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90" windowWidth="11715" windowHeight="772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EMERGENCIAS'!$2:$3212</definedName>
    <definedName name="_xlnm.Print_Area" localSheetId="0">'REPORTE DE EMERGENCIAS'!$A$2:$DF$2</definedName>
    <definedName name="_xlnm.Print_Titles" localSheetId="0">'REPORTE DE EMERGENCIAS'!$1:$2</definedName>
  </definedNames>
  <calcPr calcId="145621" fullCalcOnLoad="1"/>
</workbook>
</file>

<file path=xl/calcChain.xml><?xml version="1.0" encoding="utf-8"?>
<calcChain xmlns="http://schemas.openxmlformats.org/spreadsheetml/2006/main">
  <c r="J2166" i="1" l="1"/>
  <c r="E2166" i="1"/>
  <c r="M2078" i="1"/>
  <c r="J2225" i="1"/>
  <c r="K2225" i="1"/>
  <c r="CV3205" i="1"/>
  <c r="AB3205" i="1"/>
  <c r="AA3205" i="1"/>
  <c r="Z3205" i="1"/>
  <c r="Y3205" i="1"/>
  <c r="CV3204" i="1"/>
  <c r="Y3204" i="1"/>
  <c r="AB3204" i="1"/>
  <c r="AA3204" i="1"/>
  <c r="Z3204" i="1"/>
  <c r="CV3203" i="1"/>
  <c r="Y3203" i="1"/>
  <c r="AB3203" i="1"/>
  <c r="AA3203" i="1"/>
  <c r="Z3203" i="1"/>
  <c r="CV2166" i="1"/>
  <c r="Y2166" i="1"/>
  <c r="AB2166" i="1"/>
  <c r="AA2166" i="1"/>
  <c r="Z2166" i="1"/>
  <c r="CV2348" i="1"/>
  <c r="Y2348" i="1"/>
  <c r="AB2348" i="1"/>
  <c r="AA2348" i="1"/>
  <c r="Z2348" i="1"/>
  <c r="CV3081" i="1"/>
  <c r="Y3081" i="1"/>
  <c r="AB3081" i="1"/>
  <c r="AA3081" i="1"/>
  <c r="Z3081" i="1"/>
  <c r="DD3187" i="1"/>
  <c r="CQ3195" i="1"/>
  <c r="CY3069" i="1"/>
  <c r="CZ3069" i="1"/>
  <c r="Z3069" i="1"/>
  <c r="CV3206" i="1"/>
  <c r="Y3206" i="1"/>
  <c r="AB3206" i="1"/>
  <c r="AA3206" i="1"/>
  <c r="Z3206" i="1"/>
  <c r="CV3202" i="1"/>
  <c r="Y3202" i="1"/>
  <c r="AB3202" i="1"/>
  <c r="AA3202" i="1"/>
  <c r="Z3202" i="1"/>
  <c r="CV2971" i="1"/>
  <c r="Y2971" i="1"/>
  <c r="AB2971" i="1"/>
  <c r="AA2971" i="1"/>
  <c r="Z2971" i="1"/>
  <c r="CV2811" i="1"/>
  <c r="Y2811" i="1"/>
  <c r="AB2811" i="1"/>
  <c r="AA2811" i="1"/>
  <c r="Z2811" i="1"/>
  <c r="CV2781" i="1"/>
  <c r="Y2781" i="1"/>
  <c r="AB2781" i="1"/>
  <c r="AA2781" i="1"/>
  <c r="Z2781" i="1"/>
  <c r="CV2753" i="1"/>
  <c r="Y2753" i="1"/>
  <c r="AB2753" i="1"/>
  <c r="AA2753" i="1"/>
  <c r="Z2753" i="1"/>
  <c r="CV2666" i="1"/>
  <c r="Y2666" i="1"/>
  <c r="AB2666" i="1"/>
  <c r="AA2666" i="1"/>
  <c r="Z2666" i="1"/>
  <c r="CV2626" i="1"/>
  <c r="Y2626" i="1"/>
  <c r="AE2626" i="1"/>
  <c r="AB2626" i="1"/>
  <c r="AA2626" i="1"/>
  <c r="Z2626" i="1"/>
  <c r="CV2544" i="1"/>
  <c r="Y2544" i="1"/>
  <c r="AB2544" i="1"/>
  <c r="AA2544" i="1"/>
  <c r="Z2544" i="1"/>
  <c r="CV2507" i="1"/>
  <c r="Y2507" i="1"/>
  <c r="AB2507" i="1"/>
  <c r="AA2507" i="1"/>
  <c r="Z2507" i="1"/>
  <c r="CV2518" i="1"/>
  <c r="Y2518" i="1"/>
  <c r="AB2518" i="1"/>
  <c r="AA2518" i="1"/>
  <c r="Z2518" i="1"/>
  <c r="CV2173" i="1"/>
  <c r="Y2173" i="1"/>
  <c r="AB2173" i="1"/>
  <c r="AA2173" i="1"/>
  <c r="Z2173" i="1"/>
  <c r="CV2215" i="1"/>
  <c r="Y2215" i="1"/>
  <c r="AB2215" i="1"/>
  <c r="AA2215" i="1"/>
  <c r="Z2215" i="1"/>
  <c r="AC2246" i="1"/>
  <c r="AC3060" i="1"/>
  <c r="AC3164" i="1"/>
  <c r="J3167" i="1"/>
  <c r="J2608" i="1"/>
  <c r="CV3060" i="1"/>
  <c r="Y3060" i="1"/>
  <c r="AB3060" i="1"/>
  <c r="AA3060" i="1"/>
  <c r="Z3060" i="1"/>
  <c r="CV408" i="1"/>
  <c r="Y408" i="1"/>
  <c r="AB408" i="1"/>
  <c r="AA408" i="1"/>
  <c r="Z408" i="1"/>
  <c r="CV2908" i="1"/>
  <c r="Y2908" i="1"/>
  <c r="AB2908" i="1"/>
  <c r="AA2908" i="1"/>
  <c r="Z2908" i="1"/>
  <c r="CV2907" i="1"/>
  <c r="Y2907" i="1"/>
  <c r="AB2907" i="1"/>
  <c r="AA2907" i="1"/>
  <c r="Z2907" i="1"/>
  <c r="CZ3195" i="1"/>
  <c r="Z3195" i="1"/>
  <c r="AC3201" i="1"/>
  <c r="CX2887" i="1"/>
  <c r="AB2887" i="1"/>
  <c r="AC2887" i="1"/>
  <c r="CA3059" i="1"/>
  <c r="CX3059" i="1"/>
  <c r="CX3195" i="1"/>
  <c r="AB3195" i="1"/>
  <c r="CX2863" i="1"/>
  <c r="AC2869" i="1"/>
  <c r="CZ3072" i="1"/>
  <c r="CZ3070" i="1"/>
  <c r="Z3070" i="1"/>
  <c r="CZ2490" i="1"/>
  <c r="AC2981" i="1"/>
  <c r="CS3044" i="1"/>
  <c r="CQ3044" i="1"/>
  <c r="CV3195" i="1"/>
  <c r="Y3195" i="1"/>
  <c r="CZ2750" i="1"/>
  <c r="Z2750" i="1"/>
  <c r="AC3111" i="1"/>
  <c r="CK3111" i="1"/>
  <c r="CQ3111" i="1"/>
  <c r="AY3111" i="1"/>
  <c r="CV3111" i="1"/>
  <c r="Y3111" i="1"/>
  <c r="AY3164" i="1"/>
  <c r="BA2880" i="1"/>
  <c r="AZ2880" i="1"/>
  <c r="CS3073" i="1"/>
  <c r="CZ2773" i="1"/>
  <c r="CZ2297" i="1"/>
  <c r="CZ3080" i="1"/>
  <c r="Z3080" i="1"/>
  <c r="CZ3165" i="1"/>
  <c r="CZ2250" i="1"/>
  <c r="Z2250" i="1"/>
  <c r="CZ3021" i="1"/>
  <c r="AY2202" i="1"/>
  <c r="AC2989" i="1"/>
  <c r="AY2989" i="1"/>
  <c r="CK2889" i="1"/>
  <c r="DD3025" i="1"/>
  <c r="CZ3025" i="1"/>
  <c r="Z3025" i="1"/>
  <c r="CQ2795" i="1"/>
  <c r="BA3073" i="1"/>
  <c r="CO3058" i="1"/>
  <c r="CQ3058" i="1"/>
  <c r="CQ2889" i="1"/>
  <c r="BA2889" i="1"/>
  <c r="CV2889" i="1"/>
  <c r="Y2889" i="1"/>
  <c r="CZ2889" i="1"/>
  <c r="Z2889" i="1"/>
  <c r="CZ3194" i="1"/>
  <c r="CQ3194" i="1"/>
  <c r="CV3194" i="1"/>
  <c r="Y3194" i="1"/>
  <c r="CX2981" i="1"/>
  <c r="AB2981" i="1"/>
  <c r="CX2972" i="1"/>
  <c r="DD2296" i="1"/>
  <c r="AA2296" i="1"/>
  <c r="CZ2296" i="1"/>
  <c r="CZ3071" i="1"/>
  <c r="Z3071" i="1"/>
  <c r="CZ2683" i="1"/>
  <c r="BM3042" i="1"/>
  <c r="CA3042" i="1"/>
  <c r="CO3042" i="1"/>
  <c r="DD3042" i="1"/>
  <c r="DD2448" i="1"/>
  <c r="AA2448" i="1"/>
  <c r="DD3162" i="1"/>
  <c r="AA3162" i="1"/>
  <c r="AC2661" i="1"/>
  <c r="AC720" i="1"/>
  <c r="CZ2940" i="1"/>
  <c r="Z2940" i="1"/>
  <c r="CA3107" i="1"/>
  <c r="AW3107" i="1"/>
  <c r="CK3107" i="1"/>
  <c r="CS3107" i="1"/>
  <c r="CQ3107" i="1"/>
  <c r="CZ3107" i="1"/>
  <c r="Z3107" i="1"/>
  <c r="DD2751" i="1"/>
  <c r="AA2751" i="1"/>
  <c r="AC2751" i="1"/>
  <c r="BA2543" i="1"/>
  <c r="CI2543" i="1"/>
  <c r="CS2543" i="1"/>
  <c r="CQ3059" i="1"/>
  <c r="CQ2785" i="1"/>
  <c r="CZ2785" i="1"/>
  <c r="Z2785" i="1"/>
  <c r="CZ2469" i="1"/>
  <c r="CY2469" i="1"/>
  <c r="CY2250" i="1"/>
  <c r="CZ2556" i="1"/>
  <c r="Z2556" i="1"/>
  <c r="CY2556" i="1"/>
  <c r="CY2490" i="1"/>
  <c r="BM3187" i="1"/>
  <c r="CV3187" i="1"/>
  <c r="Y3187" i="1"/>
  <c r="CO3187" i="1"/>
  <c r="CZ3187" i="1"/>
  <c r="Z3187" i="1"/>
  <c r="CK3022" i="1"/>
  <c r="BA3022" i="1"/>
  <c r="CZ3022" i="1"/>
  <c r="CK2958" i="1"/>
  <c r="CS2958" i="1"/>
  <c r="CQ2958" i="1"/>
  <c r="BA2958" i="1"/>
  <c r="DD2960" i="1"/>
  <c r="AA2960" i="1"/>
  <c r="CA2960" i="1"/>
  <c r="CK2960" i="1"/>
  <c r="CS2960" i="1"/>
  <c r="CQ2960" i="1"/>
  <c r="BA2960" i="1"/>
  <c r="AC3017" i="1"/>
  <c r="CZ3017" i="1"/>
  <c r="AC3023" i="1"/>
  <c r="CZ3023" i="1"/>
  <c r="Z3023" i="1"/>
  <c r="CK2625" i="1"/>
  <c r="BA2625" i="1"/>
  <c r="CS2625" i="1"/>
  <c r="CQ2625" i="1"/>
  <c r="CZ2625" i="1"/>
  <c r="AC2211" i="1"/>
  <c r="CS2474" i="1"/>
  <c r="CQ2474" i="1"/>
  <c r="AC2474" i="1"/>
  <c r="DB2474" i="1"/>
  <c r="BA2474" i="1"/>
  <c r="DD2474" i="1"/>
  <c r="CZ2474" i="1"/>
  <c r="DD2750" i="1"/>
  <c r="AA2750" i="1"/>
  <c r="CK3147" i="1"/>
  <c r="CO3147" i="1"/>
  <c r="CV3147" i="1"/>
  <c r="Y3147" i="1"/>
  <c r="CK3146" i="1"/>
  <c r="CV3146" i="1"/>
  <c r="Y3146" i="1"/>
  <c r="CO3146" i="1"/>
  <c r="CA3095" i="1"/>
  <c r="CX3095" i="1"/>
  <c r="BA3095" i="1"/>
  <c r="CQ3022" i="1"/>
  <c r="CK2991" i="1"/>
  <c r="BA2991" i="1"/>
  <c r="DD2780" i="1"/>
  <c r="DD2607" i="1"/>
  <c r="AA2607" i="1"/>
  <c r="CZ2607" i="1"/>
  <c r="CQ2991" i="1"/>
  <c r="DD2947" i="1"/>
  <c r="CK2795" i="1"/>
  <c r="BA2795" i="1"/>
  <c r="CV2795" i="1"/>
  <c r="Y2795" i="1"/>
  <c r="DC2795" i="1"/>
  <c r="DD2795" i="1"/>
  <c r="AA2795" i="1"/>
  <c r="CZ2795" i="1"/>
  <c r="AC2886" i="1"/>
  <c r="CQ3164" i="1"/>
  <c r="CS3164" i="1"/>
  <c r="CQ2981" i="1"/>
  <c r="AW2981" i="1"/>
  <c r="BA2981" i="1"/>
  <c r="CQ2880" i="1"/>
  <c r="CS2880" i="1"/>
  <c r="J2295" i="1"/>
  <c r="J2283" i="1"/>
  <c r="J2502" i="1"/>
  <c r="J2904" i="1"/>
  <c r="J2902" i="1"/>
  <c r="J3057" i="1"/>
  <c r="K3057" i="1"/>
  <c r="AC2643" i="1"/>
  <c r="J3025" i="1"/>
  <c r="CZ3042" i="1"/>
  <c r="Z3042" i="1"/>
  <c r="CZ3079" i="1"/>
  <c r="Z3079" i="1"/>
  <c r="CA3077" i="1"/>
  <c r="CV3077" i="1"/>
  <c r="Y3077" i="1"/>
  <c r="J2724" i="1"/>
  <c r="J2331" i="1"/>
  <c r="J3077" i="1"/>
  <c r="DD3126" i="1"/>
  <c r="CV2904" i="1"/>
  <c r="Y2904" i="1"/>
  <c r="AB2904" i="1"/>
  <c r="AA2904" i="1"/>
  <c r="Z2904" i="1"/>
  <c r="CV2903" i="1"/>
  <c r="Y2903" i="1"/>
  <c r="AB2903" i="1"/>
  <c r="AA2903" i="1"/>
  <c r="Z2903" i="1"/>
  <c r="CV2902" i="1"/>
  <c r="Y2902" i="1"/>
  <c r="AB2902" i="1"/>
  <c r="AA2902" i="1"/>
  <c r="Z2902" i="1"/>
  <c r="CV2901" i="1"/>
  <c r="Y2901" i="1"/>
  <c r="AB2901" i="1"/>
  <c r="AA2901" i="1"/>
  <c r="Z2901" i="1"/>
  <c r="CV2900" i="1"/>
  <c r="Y2900" i="1"/>
  <c r="AB2900" i="1"/>
  <c r="AA2900" i="1"/>
  <c r="Z2900" i="1"/>
  <c r="CV2899" i="1"/>
  <c r="Y2899" i="1"/>
  <c r="AE2899" i="1"/>
  <c r="AB2899" i="1"/>
  <c r="AA2899" i="1"/>
  <c r="Z2899" i="1"/>
  <c r="CV2898" i="1"/>
  <c r="Y2898" i="1"/>
  <c r="AB2898" i="1"/>
  <c r="AA2898" i="1"/>
  <c r="Z2898" i="1"/>
  <c r="CV2897" i="1"/>
  <c r="Y2897" i="1"/>
  <c r="AB2897" i="1"/>
  <c r="AA2897" i="1"/>
  <c r="Z2897" i="1"/>
  <c r="CV3200" i="1"/>
  <c r="Y3200" i="1"/>
  <c r="AB3200" i="1"/>
  <c r="AA3200" i="1"/>
  <c r="Z3200" i="1"/>
  <c r="CV3199" i="1"/>
  <c r="Y3199" i="1"/>
  <c r="AB3199" i="1"/>
  <c r="AA3199" i="1"/>
  <c r="Z3199" i="1"/>
  <c r="CV2867" i="1"/>
  <c r="Y2867" i="1"/>
  <c r="AB2867" i="1"/>
  <c r="AA2867" i="1"/>
  <c r="Z2867" i="1"/>
  <c r="CV3182" i="1"/>
  <c r="Y3182" i="1"/>
  <c r="AB3182" i="1"/>
  <c r="AA3182" i="1"/>
  <c r="Z3182" i="1"/>
  <c r="CV3181" i="1"/>
  <c r="Y3181" i="1"/>
  <c r="AB3181" i="1"/>
  <c r="AA3181" i="1"/>
  <c r="Z3181" i="1"/>
  <c r="CV3156" i="1"/>
  <c r="Y3156" i="1"/>
  <c r="AB3156" i="1"/>
  <c r="AA3156" i="1"/>
  <c r="Z3156" i="1"/>
  <c r="CV3155" i="1"/>
  <c r="Y3155" i="1"/>
  <c r="AB3155" i="1"/>
  <c r="AA3155" i="1"/>
  <c r="Z3155" i="1"/>
  <c r="CV3128" i="1"/>
  <c r="Y3128" i="1"/>
  <c r="AB3128" i="1"/>
  <c r="AA3128" i="1"/>
  <c r="Z3128" i="1"/>
  <c r="CV3198" i="1"/>
  <c r="Y3198" i="1"/>
  <c r="AB3198" i="1"/>
  <c r="AA3198" i="1"/>
  <c r="Z3198" i="1"/>
  <c r="CV3197" i="1"/>
  <c r="Y3197" i="1"/>
  <c r="AB3197" i="1"/>
  <c r="AA3197" i="1"/>
  <c r="Z3197" i="1"/>
  <c r="CV2896" i="1"/>
  <c r="Y2896" i="1"/>
  <c r="AB2896" i="1"/>
  <c r="AA2896" i="1"/>
  <c r="Z2896" i="1"/>
  <c r="CV3025" i="1"/>
  <c r="Y3025" i="1"/>
  <c r="AB3025" i="1"/>
  <c r="AA3025" i="1"/>
  <c r="CV3196" i="1"/>
  <c r="Y3196" i="1"/>
  <c r="AB3196" i="1"/>
  <c r="AA3196" i="1"/>
  <c r="Z3196" i="1"/>
  <c r="CV3193" i="1"/>
  <c r="Y3193" i="1"/>
  <c r="AB3193" i="1"/>
  <c r="AA3193" i="1"/>
  <c r="Z3193" i="1"/>
  <c r="CV3192" i="1"/>
  <c r="Y3192" i="1"/>
  <c r="AB3192" i="1"/>
  <c r="AA3192" i="1"/>
  <c r="Z3192" i="1"/>
  <c r="CV3191" i="1"/>
  <c r="Y3191" i="1"/>
  <c r="AB3191" i="1"/>
  <c r="AA3191" i="1"/>
  <c r="Z3191" i="1"/>
  <c r="CV3190" i="1"/>
  <c r="Y3190" i="1"/>
  <c r="AB3190" i="1"/>
  <c r="AA3190" i="1"/>
  <c r="Z3190" i="1"/>
  <c r="CV3180" i="1"/>
  <c r="Y3180" i="1"/>
  <c r="AB3180" i="1"/>
  <c r="AA3180" i="1"/>
  <c r="Z3180" i="1"/>
  <c r="CV3003" i="1"/>
  <c r="Y3003" i="1"/>
  <c r="AE3003" i="1"/>
  <c r="AB3003" i="1"/>
  <c r="AA3003" i="1"/>
  <c r="Z3003" i="1"/>
  <c r="J2895" i="1"/>
  <c r="J2786" i="1"/>
  <c r="J2725" i="1"/>
  <c r="J2894" i="1"/>
  <c r="J3063" i="1"/>
  <c r="J2785" i="1"/>
  <c r="BM3058" i="1"/>
  <c r="CS3058" i="1"/>
  <c r="AC3020" i="1"/>
  <c r="CI3020" i="1"/>
  <c r="CK3020" i="1"/>
  <c r="CQ3020" i="1"/>
  <c r="CX3073" i="1"/>
  <c r="AB3073" i="1"/>
  <c r="AY3057" i="1"/>
  <c r="CZ3059" i="1"/>
  <c r="Z3059" i="1"/>
  <c r="CV3080" i="1"/>
  <c r="Y3080" i="1"/>
  <c r="AB3080" i="1"/>
  <c r="AA3080" i="1"/>
  <c r="CV2895" i="1"/>
  <c r="Y2895" i="1"/>
  <c r="AB2895" i="1"/>
  <c r="AA2895" i="1"/>
  <c r="Z2895" i="1"/>
  <c r="CV2894" i="1"/>
  <c r="Y2894" i="1"/>
  <c r="AB2894" i="1"/>
  <c r="AA2894" i="1"/>
  <c r="Z2894" i="1"/>
  <c r="CV2893" i="1"/>
  <c r="Y2893" i="1"/>
  <c r="AB2893" i="1"/>
  <c r="AA2893" i="1"/>
  <c r="Z2893" i="1"/>
  <c r="CV3189" i="1"/>
  <c r="Y3189" i="1"/>
  <c r="AB3189" i="1"/>
  <c r="AA3189" i="1"/>
  <c r="Z3189" i="1"/>
  <c r="CV3188" i="1"/>
  <c r="Y3188" i="1"/>
  <c r="AB3188" i="1"/>
  <c r="AA3188" i="1"/>
  <c r="Z3188" i="1"/>
  <c r="CV2263" i="1"/>
  <c r="Y2263" i="1"/>
  <c r="AB2263" i="1"/>
  <c r="AA2263" i="1"/>
  <c r="Z2263" i="1"/>
  <c r="CV3015" i="1"/>
  <c r="Y3015" i="1"/>
  <c r="AB3015" i="1"/>
  <c r="AA3015" i="1"/>
  <c r="Z3015" i="1"/>
  <c r="CV2850" i="1"/>
  <c r="Y2850" i="1"/>
  <c r="AB2850" i="1"/>
  <c r="AA2850" i="1"/>
  <c r="Z2850" i="1"/>
  <c r="CV2892" i="1"/>
  <c r="Y2892" i="1"/>
  <c r="AB2892" i="1"/>
  <c r="AA2892" i="1"/>
  <c r="Z2892" i="1"/>
  <c r="CV2891" i="1"/>
  <c r="Y2891" i="1"/>
  <c r="AE2891" i="1"/>
  <c r="AB2891" i="1"/>
  <c r="AA2891" i="1"/>
  <c r="Z2891" i="1"/>
  <c r="CV3110" i="1"/>
  <c r="Y3110" i="1"/>
  <c r="AB3110" i="1"/>
  <c r="AA3110" i="1"/>
  <c r="Z3110" i="1"/>
  <c r="CV2576" i="1"/>
  <c r="Y2576" i="1"/>
  <c r="AB2576" i="1"/>
  <c r="AA2576" i="1"/>
  <c r="Z2576" i="1"/>
  <c r="CV3168" i="1"/>
  <c r="Y3168" i="1"/>
  <c r="AB3168" i="1"/>
  <c r="AA3168" i="1"/>
  <c r="Z3168" i="1"/>
  <c r="AB3187" i="1"/>
  <c r="AA3187" i="1"/>
  <c r="CV3023" i="1"/>
  <c r="Y3023" i="1"/>
  <c r="AB3023" i="1"/>
  <c r="AA3023" i="1"/>
  <c r="CV2906" i="1"/>
  <c r="Y2906" i="1"/>
  <c r="AB2906" i="1"/>
  <c r="AA2906" i="1"/>
  <c r="Z2906" i="1"/>
  <c r="CV2905" i="1"/>
  <c r="Y2905" i="1"/>
  <c r="AB2905" i="1"/>
  <c r="AA2905" i="1"/>
  <c r="Z2905" i="1"/>
  <c r="CV2433" i="1"/>
  <c r="Y2433" i="1"/>
  <c r="AB2433" i="1"/>
  <c r="AA2433" i="1"/>
  <c r="Z2433" i="1"/>
  <c r="CV2070" i="1"/>
  <c r="Y2070" i="1"/>
  <c r="AB2070" i="1"/>
  <c r="AA2070" i="1"/>
  <c r="Z2070" i="1"/>
  <c r="CV3014" i="1"/>
  <c r="Y3014" i="1"/>
  <c r="AB3014" i="1"/>
  <c r="AA3014" i="1"/>
  <c r="Z3014" i="1"/>
  <c r="CV2970" i="1"/>
  <c r="Y2970" i="1"/>
  <c r="AB2970" i="1"/>
  <c r="AA2970" i="1"/>
  <c r="Z2970" i="1"/>
  <c r="CV2849" i="1"/>
  <c r="Y2849" i="1"/>
  <c r="AB2849" i="1"/>
  <c r="AA2849" i="1"/>
  <c r="Z2849" i="1"/>
  <c r="CA3026" i="1"/>
  <c r="CK3026" i="1"/>
  <c r="CX3026" i="1"/>
  <c r="AB3026" i="1"/>
  <c r="AC2726" i="1"/>
  <c r="CA2726" i="1"/>
  <c r="CV2726" i="1"/>
  <c r="Y2726" i="1"/>
  <c r="CX2726" i="1"/>
  <c r="AB2726" i="1"/>
  <c r="CX2969" i="1"/>
  <c r="AB2969" i="1"/>
  <c r="CA2771" i="1"/>
  <c r="CV2771" i="1"/>
  <c r="Y2771" i="1"/>
  <c r="CX2771" i="1"/>
  <c r="AB2771" i="1"/>
  <c r="J2890" i="1"/>
  <c r="M2841" i="1"/>
  <c r="BA3164" i="1"/>
  <c r="CZ3164" i="1"/>
  <c r="Z3164" i="1"/>
  <c r="CV2202" i="1"/>
  <c r="Y2202" i="1"/>
  <c r="CZ3044" i="1"/>
  <c r="Z3044" i="1"/>
  <c r="CS3069" i="1"/>
  <c r="CQ3069" i="1"/>
  <c r="BM2296" i="1"/>
  <c r="CS2296" i="1"/>
  <c r="CV2296" i="1"/>
  <c r="Y2296" i="1"/>
  <c r="CQ2296" i="1"/>
  <c r="CY2296" i="1"/>
  <c r="AX2989" i="1"/>
  <c r="CZ3111" i="1"/>
  <c r="Z3111" i="1"/>
  <c r="J3079" i="1"/>
  <c r="DC3162" i="1"/>
  <c r="J931" i="1"/>
  <c r="Z931" i="1"/>
  <c r="AA931" i="1"/>
  <c r="AB931" i="1"/>
  <c r="CV931" i="1"/>
  <c r="Y931" i="1"/>
  <c r="AA3195" i="1"/>
  <c r="CV2246" i="1"/>
  <c r="Y2246" i="1"/>
  <c r="AB2246" i="1"/>
  <c r="AA2246" i="1"/>
  <c r="Z2246" i="1"/>
  <c r="AB3194" i="1"/>
  <c r="AA3194" i="1"/>
  <c r="Z3194" i="1"/>
  <c r="CV3201" i="1"/>
  <c r="Y3201" i="1"/>
  <c r="AB3201" i="1"/>
  <c r="AA3201" i="1"/>
  <c r="Z3201" i="1"/>
  <c r="CV2890" i="1"/>
  <c r="Y2890" i="1"/>
  <c r="AB2890" i="1"/>
  <c r="AA2890" i="1"/>
  <c r="Z2890" i="1"/>
  <c r="CV3186" i="1"/>
  <c r="Y3186" i="1"/>
  <c r="AB3186" i="1"/>
  <c r="AA3186" i="1"/>
  <c r="Z3186" i="1"/>
  <c r="CV3185" i="1"/>
  <c r="Y3185" i="1"/>
  <c r="AB3185" i="1"/>
  <c r="AA3185" i="1"/>
  <c r="Z3185" i="1"/>
  <c r="CV3184" i="1"/>
  <c r="Y3184" i="1"/>
  <c r="AB3184" i="1"/>
  <c r="AA3184" i="1"/>
  <c r="Z3184" i="1"/>
  <c r="CV3109" i="1"/>
  <c r="Y3109" i="1"/>
  <c r="AB3109" i="1"/>
  <c r="AA3109" i="1"/>
  <c r="Z3109" i="1"/>
  <c r="AB2202" i="1"/>
  <c r="AA2202" i="1"/>
  <c r="Z2202" i="1"/>
  <c r="AB3044" i="1"/>
  <c r="AA3044" i="1"/>
  <c r="CV3079" i="1"/>
  <c r="Y3079" i="1"/>
  <c r="AB3079" i="1"/>
  <c r="AA3079" i="1"/>
  <c r="CV3162" i="1"/>
  <c r="Y3162" i="1"/>
  <c r="AB3162" i="1"/>
  <c r="Z3162" i="1"/>
  <c r="AB2889" i="1"/>
  <c r="AA2889" i="1"/>
  <c r="CV3183" i="1"/>
  <c r="Y3183" i="1"/>
  <c r="AB3183" i="1"/>
  <c r="AA3183" i="1"/>
  <c r="Z3183" i="1"/>
  <c r="CV3148" i="1"/>
  <c r="Y3148" i="1"/>
  <c r="AB3148" i="1"/>
  <c r="AA3148" i="1"/>
  <c r="Z3148" i="1"/>
  <c r="CV3167" i="1"/>
  <c r="Y3167" i="1"/>
  <c r="AB3167" i="1"/>
  <c r="AA3167" i="1"/>
  <c r="Z3167" i="1"/>
  <c r="CA2858" i="1"/>
  <c r="CK2858" i="1"/>
  <c r="BA2858" i="1"/>
  <c r="CQ2858" i="1"/>
  <c r="CZ2858" i="1"/>
  <c r="Z2858" i="1"/>
  <c r="CQ3073" i="1"/>
  <c r="CZ3073" i="1"/>
  <c r="Z3073" i="1"/>
  <c r="CZ2846" i="1"/>
  <c r="Z2846" i="1"/>
  <c r="BC2624" i="1"/>
  <c r="CQ2863" i="1"/>
  <c r="CZ2880" i="1"/>
  <c r="Z2880" i="1"/>
  <c r="AC2959" i="1"/>
  <c r="AC2812" i="1"/>
  <c r="AC2864" i="1"/>
  <c r="AC2517" i="1"/>
  <c r="AC2844" i="1"/>
  <c r="AC2843" i="1"/>
  <c r="CV3179" i="1"/>
  <c r="AB3179" i="1"/>
  <c r="AA3179" i="1"/>
  <c r="Z3179" i="1"/>
  <c r="Y3179" i="1"/>
  <c r="CV3178" i="1"/>
  <c r="Y3178" i="1"/>
  <c r="AB3178" i="1"/>
  <c r="AA3178" i="1"/>
  <c r="Z3178" i="1"/>
  <c r="CV3177" i="1"/>
  <c r="Y3177" i="1"/>
  <c r="AB3177" i="1"/>
  <c r="AA3177" i="1"/>
  <c r="Z3177" i="1"/>
  <c r="CV3176" i="1"/>
  <c r="Y3176" i="1"/>
  <c r="AB3176" i="1"/>
  <c r="AA3176" i="1"/>
  <c r="Z3176" i="1"/>
  <c r="CV3175" i="1"/>
  <c r="Y3175" i="1"/>
  <c r="AB3175" i="1"/>
  <c r="AA3175" i="1"/>
  <c r="Z3175" i="1"/>
  <c r="CV2611" i="1"/>
  <c r="Y2611" i="1"/>
  <c r="AB2611" i="1"/>
  <c r="AA2611" i="1"/>
  <c r="Z2611" i="1"/>
  <c r="CV2610" i="1"/>
  <c r="Y2610" i="1"/>
  <c r="AB2610" i="1"/>
  <c r="AA2610" i="1"/>
  <c r="Z2610" i="1"/>
  <c r="CV3174" i="1"/>
  <c r="Y3174" i="1"/>
  <c r="AB3174" i="1"/>
  <c r="AA3174" i="1"/>
  <c r="Z3174" i="1"/>
  <c r="CV3173" i="1"/>
  <c r="Y3173" i="1"/>
  <c r="AB3173" i="1"/>
  <c r="AA3173" i="1"/>
  <c r="Z3173" i="1"/>
  <c r="CV3172" i="1"/>
  <c r="Y3172" i="1"/>
  <c r="AB3172" i="1"/>
  <c r="AA3172" i="1"/>
  <c r="Z3172" i="1"/>
  <c r="CS2981" i="1"/>
  <c r="CZ2991" i="1"/>
  <c r="Z2991" i="1"/>
  <c r="CI2743" i="1"/>
  <c r="CO2743" i="1"/>
  <c r="CS2743" i="1"/>
  <c r="CQ2743" i="1"/>
  <c r="BA2521" i="1"/>
  <c r="CK2521" i="1"/>
  <c r="CS2521" i="1"/>
  <c r="CQ2521" i="1"/>
  <c r="CQ2718" i="1"/>
  <c r="CK2718" i="1"/>
  <c r="CQ2534" i="1"/>
  <c r="CV2534" i="1"/>
  <c r="Y2534" i="1"/>
  <c r="CX2846" i="1"/>
  <c r="AB2846" i="1"/>
  <c r="CY2846" i="1"/>
  <c r="BA2689" i="1"/>
  <c r="CQ2689" i="1"/>
  <c r="J3111" i="1"/>
  <c r="CS2858" i="1"/>
  <c r="CO2858" i="1"/>
  <c r="CV3169" i="1"/>
  <c r="Y3169" i="1"/>
  <c r="AB3169" i="1"/>
  <c r="AA3169" i="1"/>
  <c r="Z3169" i="1"/>
  <c r="CV3166" i="1"/>
  <c r="Y3166" i="1"/>
  <c r="AB3166" i="1"/>
  <c r="AA3166" i="1"/>
  <c r="Z3166" i="1"/>
  <c r="CV2773" i="1"/>
  <c r="Y2773" i="1"/>
  <c r="AB2773" i="1"/>
  <c r="AA2773" i="1"/>
  <c r="Z2773" i="1"/>
  <c r="CV3165" i="1"/>
  <c r="Y3165" i="1"/>
  <c r="AB3165" i="1"/>
  <c r="AA3165" i="1"/>
  <c r="Z3165" i="1"/>
  <c r="CV3078" i="1"/>
  <c r="Y3078" i="1"/>
  <c r="AB3078" i="1"/>
  <c r="AA3078" i="1"/>
  <c r="Z3078" i="1"/>
  <c r="AB3164" i="1"/>
  <c r="AA3164" i="1"/>
  <c r="CV3163" i="1"/>
  <c r="Y3163" i="1"/>
  <c r="AB3163" i="1"/>
  <c r="AA3163" i="1"/>
  <c r="Z3163" i="1"/>
  <c r="CV3161" i="1"/>
  <c r="Y3161" i="1"/>
  <c r="AB3161" i="1"/>
  <c r="AA3161" i="1"/>
  <c r="Z3161" i="1"/>
  <c r="CV2183" i="1"/>
  <c r="Y2183" i="1"/>
  <c r="AB2183" i="1"/>
  <c r="AA2183" i="1"/>
  <c r="Z2183" i="1"/>
  <c r="CV1898" i="1"/>
  <c r="Y1898" i="1"/>
  <c r="AB1898" i="1"/>
  <c r="AA1898" i="1"/>
  <c r="Z1898" i="1"/>
  <c r="J2296" i="1"/>
  <c r="AB3095" i="1"/>
  <c r="CZ3095" i="1"/>
  <c r="Z3095" i="1"/>
  <c r="J3095" i="1"/>
  <c r="AA3126" i="1"/>
  <c r="CZ3126" i="1"/>
  <c r="Z3126" i="1"/>
  <c r="CZ3077" i="1"/>
  <c r="Z3077" i="1"/>
  <c r="CZ2848" i="1"/>
  <c r="Z2848" i="1"/>
  <c r="DD2848" i="1"/>
  <c r="AA2848" i="1"/>
  <c r="J2848" i="1"/>
  <c r="AA2947" i="1"/>
  <c r="AA3042" i="1"/>
  <c r="CZ3076" i="1"/>
  <c r="Z3076" i="1"/>
  <c r="AC2913" i="1"/>
  <c r="AY2913" i="1"/>
  <c r="CX2608" i="1"/>
  <c r="AB2608" i="1"/>
  <c r="CZ2608" i="1"/>
  <c r="Z2608" i="1"/>
  <c r="AY2608" i="1"/>
  <c r="CX2536" i="1"/>
  <c r="AB2536" i="1"/>
  <c r="AC2556" i="1"/>
  <c r="J2032" i="1"/>
  <c r="AY2991" i="1"/>
  <c r="CZ2689" i="1"/>
  <c r="Z2689" i="1"/>
  <c r="CK2989" i="1"/>
  <c r="BC2989" i="1"/>
  <c r="BA2863" i="1"/>
  <c r="CZ2863" i="1"/>
  <c r="Z2863" i="1"/>
  <c r="DD2670" i="1"/>
  <c r="AA2670" i="1"/>
  <c r="CQ2670" i="1"/>
  <c r="CS2670" i="1"/>
  <c r="AW2670" i="1"/>
  <c r="BA2670" i="1"/>
  <c r="BA2812" i="1"/>
  <c r="CV1940" i="1"/>
  <c r="Y1940" i="1"/>
  <c r="AB1940" i="1"/>
  <c r="AA1940" i="1"/>
  <c r="Z1940" i="1"/>
  <c r="CV2752" i="1"/>
  <c r="Y2752" i="1"/>
  <c r="AB2752" i="1"/>
  <c r="AA2752" i="1"/>
  <c r="Z2752" i="1"/>
  <c r="CV2158" i="1"/>
  <c r="Y2158" i="1"/>
  <c r="AB2158" i="1"/>
  <c r="AA2158" i="1"/>
  <c r="Z2158" i="1"/>
  <c r="CV2665" i="1"/>
  <c r="Y2665" i="1"/>
  <c r="AB2665" i="1"/>
  <c r="AA2665" i="1"/>
  <c r="Z2665" i="1"/>
  <c r="CV3154" i="1"/>
  <c r="Y3154" i="1"/>
  <c r="AB3154" i="1"/>
  <c r="AA3154" i="1"/>
  <c r="Z3154" i="1"/>
  <c r="CV3127" i="1"/>
  <c r="Y3127" i="1"/>
  <c r="AB3127" i="1"/>
  <c r="AA3127" i="1"/>
  <c r="Z3127" i="1"/>
  <c r="CV3108" i="1"/>
  <c r="Y3108" i="1"/>
  <c r="AB3108" i="1"/>
  <c r="AA3108" i="1"/>
  <c r="Z3108" i="1"/>
  <c r="CV3043" i="1"/>
  <c r="Y3043" i="1"/>
  <c r="AB3043" i="1"/>
  <c r="AA3043" i="1"/>
  <c r="Z3043" i="1"/>
  <c r="CV2678" i="1"/>
  <c r="Y2678" i="1"/>
  <c r="AB2678" i="1"/>
  <c r="AA2678" i="1"/>
  <c r="Z2678" i="1"/>
  <c r="CV3153" i="1"/>
  <c r="Y3153" i="1"/>
  <c r="AB3153" i="1"/>
  <c r="AA3153" i="1"/>
  <c r="Z3153" i="1"/>
  <c r="CV3152" i="1"/>
  <c r="Y3152" i="1"/>
  <c r="AB3152" i="1"/>
  <c r="AA3152" i="1"/>
  <c r="Z3152" i="1"/>
  <c r="CV3151" i="1"/>
  <c r="Y3151" i="1"/>
  <c r="AB3151" i="1"/>
  <c r="AA3151" i="1"/>
  <c r="Z3151" i="1"/>
  <c r="CV3150" i="1"/>
  <c r="Y3150" i="1"/>
  <c r="AB3150" i="1"/>
  <c r="AA3150" i="1"/>
  <c r="Z3150" i="1"/>
  <c r="CV3160" i="1"/>
  <c r="Y3160" i="1"/>
  <c r="AB3160" i="1"/>
  <c r="AA3160" i="1"/>
  <c r="Z3160" i="1"/>
  <c r="CV3159" i="1"/>
  <c r="Y3159" i="1"/>
  <c r="AB3159" i="1"/>
  <c r="AA3159" i="1"/>
  <c r="Z3159" i="1"/>
  <c r="CV3158" i="1"/>
  <c r="Y3158" i="1"/>
  <c r="AB3158" i="1"/>
  <c r="AA3158" i="1"/>
  <c r="Z3158" i="1"/>
  <c r="CV3157" i="1"/>
  <c r="Y3157" i="1"/>
  <c r="AB3157" i="1"/>
  <c r="AA3157" i="1"/>
  <c r="Z3157" i="1"/>
  <c r="AB3147" i="1"/>
  <c r="AA3147" i="1"/>
  <c r="Z3147" i="1"/>
  <c r="AB3146" i="1"/>
  <c r="AA3146" i="1"/>
  <c r="Z3146" i="1"/>
  <c r="CV3126" i="1"/>
  <c r="Y3126" i="1"/>
  <c r="AB3126" i="1"/>
  <c r="AB3077" i="1"/>
  <c r="AA3077" i="1"/>
  <c r="CV2848" i="1"/>
  <c r="Y2848" i="1"/>
  <c r="AB2848" i="1"/>
  <c r="AB3042" i="1"/>
  <c r="CV3076" i="1"/>
  <c r="Y3076" i="1"/>
  <c r="AB3076" i="1"/>
  <c r="AA3076" i="1"/>
  <c r="AB3107" i="1"/>
  <c r="AA3107" i="1"/>
  <c r="CV3075" i="1"/>
  <c r="Y3075" i="1"/>
  <c r="AB3075" i="1"/>
  <c r="AA3075" i="1"/>
  <c r="Z3075" i="1"/>
  <c r="CV3074" i="1"/>
  <c r="Y3074" i="1"/>
  <c r="AB3074" i="1"/>
  <c r="AA3074" i="1"/>
  <c r="Z3074" i="1"/>
  <c r="CV3149" i="1"/>
  <c r="Y3149" i="1"/>
  <c r="AB3149" i="1"/>
  <c r="AA3149" i="1"/>
  <c r="Z3149" i="1"/>
  <c r="CV3106" i="1"/>
  <c r="Y3106" i="1"/>
  <c r="AB3106" i="1"/>
  <c r="AA3106" i="1"/>
  <c r="Z3106" i="1"/>
  <c r="CV3105" i="1"/>
  <c r="Y3105" i="1"/>
  <c r="AB3105" i="1"/>
  <c r="AA3105" i="1"/>
  <c r="Z3105" i="1"/>
  <c r="CV3145" i="1"/>
  <c r="Y3145" i="1"/>
  <c r="AB3145" i="1"/>
  <c r="AA3145" i="1"/>
  <c r="Z3145" i="1"/>
  <c r="CV3144" i="1"/>
  <c r="Y3144" i="1"/>
  <c r="AB3144" i="1"/>
  <c r="AA3144" i="1"/>
  <c r="Z3144" i="1"/>
  <c r="J2795" i="1"/>
  <c r="CZ2919" i="1"/>
  <c r="Z2919" i="1"/>
  <c r="CZ3020" i="1"/>
  <c r="Z3020" i="1"/>
  <c r="AB3059" i="1"/>
  <c r="Z3017" i="1"/>
  <c r="CZ3058" i="1"/>
  <c r="Z3058" i="1"/>
  <c r="DD3026" i="1"/>
  <c r="AA3026" i="1"/>
  <c r="CZ3026" i="1"/>
  <c r="Z3026" i="1"/>
  <c r="CV3057" i="1"/>
  <c r="Y3057" i="1"/>
  <c r="DC2751" i="1"/>
  <c r="CZ2751" i="1"/>
  <c r="Z2751" i="1"/>
  <c r="DD2567" i="1"/>
  <c r="AA2567" i="1"/>
  <c r="BA2567" i="1"/>
  <c r="CK2567" i="1"/>
  <c r="CS2567" i="1"/>
  <c r="CQ2567" i="1"/>
  <c r="BA2660" i="1"/>
  <c r="BA2541" i="1"/>
  <c r="CK2660" i="1"/>
  <c r="CK2541" i="1"/>
  <c r="CQ2660" i="1"/>
  <c r="CQ2541" i="1"/>
  <c r="CS2541" i="1"/>
  <c r="DD2660" i="1"/>
  <c r="AA2660" i="1"/>
  <c r="DD2541" i="1"/>
  <c r="AA2541" i="1"/>
  <c r="CZ2541" i="1"/>
  <c r="Z2541" i="1"/>
  <c r="DD2203" i="1"/>
  <c r="J2401" i="1"/>
  <c r="CZ2543" i="1"/>
  <c r="Z2543" i="1"/>
  <c r="CK2637" i="1"/>
  <c r="CV2637" i="1"/>
  <c r="Y2637" i="1"/>
  <c r="CZ2637" i="1"/>
  <c r="Z2637" i="1"/>
  <c r="CZ2768" i="1"/>
  <c r="Z2768" i="1"/>
  <c r="CZ2770" i="1"/>
  <c r="Z2770" i="1"/>
  <c r="BA2743" i="1"/>
  <c r="AY2546" i="1"/>
  <c r="CV2546" i="1"/>
  <c r="Y2546" i="1"/>
  <c r="AY2615" i="1"/>
  <c r="CV2615" i="1"/>
  <c r="Y2615" i="1"/>
  <c r="AC2670" i="1"/>
  <c r="DD2580" i="1"/>
  <c r="AA2580" i="1"/>
  <c r="CQ2694" i="1"/>
  <c r="CV2694" i="1"/>
  <c r="Y2694" i="1"/>
  <c r="CQ2696" i="1"/>
  <c r="CV2696" i="1"/>
  <c r="Y2696" i="1"/>
  <c r="AC2203" i="1"/>
  <c r="DB2203" i="1"/>
  <c r="AC2224" i="1"/>
  <c r="DB2224" i="1"/>
  <c r="DD2224" i="1"/>
  <c r="J3020" i="1"/>
  <c r="AC2718" i="1"/>
  <c r="CX2718" i="1"/>
  <c r="AB2718" i="1"/>
  <c r="CX2717" i="1"/>
  <c r="AB2717" i="1"/>
  <c r="AC2631" i="1"/>
  <c r="AC2668" i="1"/>
  <c r="CX2550" i="1"/>
  <c r="AB2550" i="1"/>
  <c r="CZ2764" i="1"/>
  <c r="Z2764" i="1"/>
  <c r="CS2555" i="1"/>
  <c r="CQ2555" i="1"/>
  <c r="BA2555" i="1"/>
  <c r="BA2504" i="1"/>
  <c r="CV2504" i="1"/>
  <c r="Y2504" i="1"/>
  <c r="CK2490" i="1"/>
  <c r="BA2490" i="1"/>
  <c r="BA2144" i="1"/>
  <c r="CK2144" i="1"/>
  <c r="CZ2144" i="1"/>
  <c r="Z2144" i="1"/>
  <c r="CS2144" i="1"/>
  <c r="CQ2144" i="1"/>
  <c r="CZ2719" i="1"/>
  <c r="Z2719" i="1"/>
  <c r="CX2530" i="1"/>
  <c r="AB2530" i="1"/>
  <c r="CS2607" i="1"/>
  <c r="CQ2607" i="1"/>
  <c r="CQ2989" i="1"/>
  <c r="CZ2989" i="1"/>
  <c r="Z2989" i="1"/>
  <c r="CZ2958" i="1"/>
  <c r="Z2958" i="1"/>
  <c r="CA2846" i="1"/>
  <c r="BM2846" i="1"/>
  <c r="CS2913" i="1"/>
  <c r="CQ2913" i="1"/>
  <c r="CO2913" i="1"/>
  <c r="J2780" i="1"/>
  <c r="AA2780" i="1"/>
  <c r="CZ2780" i="1"/>
  <c r="Z2780" i="1"/>
  <c r="Z2474" i="1"/>
  <c r="CA2608" i="1"/>
  <c r="CO2608" i="1"/>
  <c r="CQ2608" i="1"/>
  <c r="BM2608" i="1"/>
  <c r="AB2972" i="1"/>
  <c r="DC2960" i="1"/>
  <c r="CZ2960" i="1"/>
  <c r="Z2960" i="1"/>
  <c r="CV2609" i="1"/>
  <c r="Y2609" i="1"/>
  <c r="AB2609" i="1"/>
  <c r="AA2609" i="1"/>
  <c r="Z2609" i="1"/>
  <c r="CV2232" i="1"/>
  <c r="Y2232" i="1"/>
  <c r="AB2232" i="1"/>
  <c r="AA2232" i="1"/>
  <c r="Z2232" i="1"/>
  <c r="CV2123" i="1"/>
  <c r="Y2123" i="1"/>
  <c r="AB2123" i="1"/>
  <c r="AA2123" i="1"/>
  <c r="Z2123" i="1"/>
  <c r="CV3143" i="1"/>
  <c r="Y3143" i="1"/>
  <c r="AB3143" i="1"/>
  <c r="AA3143" i="1"/>
  <c r="Z3143" i="1"/>
  <c r="CV3142" i="1"/>
  <c r="Y3142" i="1"/>
  <c r="AB3142" i="1"/>
  <c r="AA3142" i="1"/>
  <c r="Z3142" i="1"/>
  <c r="CV3141" i="1"/>
  <c r="Y3141" i="1"/>
  <c r="AB3141" i="1"/>
  <c r="AA3141" i="1"/>
  <c r="Z3141" i="1"/>
  <c r="CV3140" i="1"/>
  <c r="Y3140" i="1"/>
  <c r="AE3140" i="1"/>
  <c r="AB3140" i="1"/>
  <c r="AA3140" i="1"/>
  <c r="Z3140" i="1"/>
  <c r="CV3139" i="1"/>
  <c r="Y3139" i="1"/>
  <c r="AB3139" i="1"/>
  <c r="AA3139" i="1"/>
  <c r="Z3139" i="1"/>
  <c r="CV3138" i="1"/>
  <c r="Y3138" i="1"/>
  <c r="AB3138" i="1"/>
  <c r="AA3138" i="1"/>
  <c r="Z3138" i="1"/>
  <c r="CV3137" i="1"/>
  <c r="Y3137" i="1"/>
  <c r="AB3137" i="1"/>
  <c r="AA3137" i="1"/>
  <c r="Z3137" i="1"/>
  <c r="CV3125" i="1"/>
  <c r="Y3125" i="1"/>
  <c r="AB3125" i="1"/>
  <c r="AA3125" i="1"/>
  <c r="Z3125" i="1"/>
  <c r="CV3124" i="1"/>
  <c r="Y3124" i="1"/>
  <c r="AB3124" i="1"/>
  <c r="AA3124" i="1"/>
  <c r="Z3124" i="1"/>
  <c r="CV3123" i="1"/>
  <c r="Y3123" i="1"/>
  <c r="AB3123" i="1"/>
  <c r="AA3123" i="1"/>
  <c r="Z3123" i="1"/>
  <c r="CV3122" i="1"/>
  <c r="Y3122" i="1"/>
  <c r="AB3122" i="1"/>
  <c r="AA3122" i="1"/>
  <c r="Z3122" i="1"/>
  <c r="CV3136" i="1"/>
  <c r="Y3136" i="1"/>
  <c r="AB3136" i="1"/>
  <c r="AA3136" i="1"/>
  <c r="Z3136" i="1"/>
  <c r="CV3041" i="1"/>
  <c r="Y3041" i="1"/>
  <c r="AB3041" i="1"/>
  <c r="AA3041" i="1"/>
  <c r="Z3041" i="1"/>
  <c r="CV3129" i="1"/>
  <c r="Y3129" i="1"/>
  <c r="AB3129" i="1"/>
  <c r="AA3129" i="1"/>
  <c r="Z3129" i="1"/>
  <c r="CV3135" i="1"/>
  <c r="Y3135" i="1"/>
  <c r="AB3135" i="1"/>
  <c r="AA3135" i="1"/>
  <c r="Z3135" i="1"/>
  <c r="CV3134" i="1"/>
  <c r="Y3134" i="1"/>
  <c r="AB3134" i="1"/>
  <c r="AA3134" i="1"/>
  <c r="Z3134" i="1"/>
  <c r="CV3133" i="1"/>
  <c r="Y3133" i="1"/>
  <c r="AB3133" i="1"/>
  <c r="AA3133" i="1"/>
  <c r="Z3133" i="1"/>
  <c r="CV3132" i="1"/>
  <c r="Y3132" i="1"/>
  <c r="AB3132" i="1"/>
  <c r="AA3132" i="1"/>
  <c r="Z3132" i="1"/>
  <c r="CV3131" i="1"/>
  <c r="Y3131" i="1"/>
  <c r="AB3131" i="1"/>
  <c r="AA3131" i="1"/>
  <c r="Z3131" i="1"/>
  <c r="CV3130" i="1"/>
  <c r="Y3130" i="1"/>
  <c r="AB3130" i="1"/>
  <c r="AA3130" i="1"/>
  <c r="Z3130" i="1"/>
  <c r="CV3121" i="1"/>
  <c r="Y3121" i="1"/>
  <c r="AB3121" i="1"/>
  <c r="AA3121" i="1"/>
  <c r="Z3121" i="1"/>
  <c r="CV3120" i="1"/>
  <c r="Y3120" i="1"/>
  <c r="AB3120" i="1"/>
  <c r="AA3120" i="1"/>
  <c r="Z3120" i="1"/>
  <c r="CV3119" i="1"/>
  <c r="Y3119" i="1"/>
  <c r="AB3119" i="1"/>
  <c r="AA3119" i="1"/>
  <c r="Z3119" i="1"/>
  <c r="CV3118" i="1"/>
  <c r="Y3118" i="1"/>
  <c r="AB3118" i="1"/>
  <c r="AA3118" i="1"/>
  <c r="Z3118" i="1"/>
  <c r="CV3117" i="1"/>
  <c r="Y3117" i="1"/>
  <c r="AB3117" i="1"/>
  <c r="AA3117" i="1"/>
  <c r="Z3117" i="1"/>
  <c r="CV3116" i="1"/>
  <c r="Y3116" i="1"/>
  <c r="AB3116" i="1"/>
  <c r="AA3116" i="1"/>
  <c r="Z3116" i="1"/>
  <c r="CV3115" i="1"/>
  <c r="Y3115" i="1"/>
  <c r="AB3115" i="1"/>
  <c r="AA3115" i="1"/>
  <c r="Z3115" i="1"/>
  <c r="CV2847" i="1"/>
  <c r="Y2847" i="1"/>
  <c r="AB2847" i="1"/>
  <c r="AA2847" i="1"/>
  <c r="Z2847" i="1"/>
  <c r="CV2664" i="1"/>
  <c r="Y2664" i="1"/>
  <c r="AB2664" i="1"/>
  <c r="AA2664" i="1"/>
  <c r="Z2664" i="1"/>
  <c r="CV2575" i="1"/>
  <c r="Y2575" i="1"/>
  <c r="AB2575" i="1"/>
  <c r="AA2575" i="1"/>
  <c r="Z2575" i="1"/>
  <c r="AA3073" i="1"/>
  <c r="AA3059" i="1"/>
  <c r="AB3058" i="1"/>
  <c r="AA3058" i="1"/>
  <c r="AB3057" i="1"/>
  <c r="AA3057" i="1"/>
  <c r="Z3057" i="1"/>
  <c r="CV2751" i="1"/>
  <c r="Y2751" i="1"/>
  <c r="AB2751" i="1"/>
  <c r="AB3022" i="1"/>
  <c r="AA3022" i="1"/>
  <c r="Z3022" i="1"/>
  <c r="CV3114" i="1"/>
  <c r="Y3114" i="1"/>
  <c r="AB3114" i="1"/>
  <c r="AA3114" i="1"/>
  <c r="Z3114" i="1"/>
  <c r="CV3113" i="1"/>
  <c r="Y3113" i="1"/>
  <c r="AB3113" i="1"/>
  <c r="AA3113" i="1"/>
  <c r="Z3113" i="1"/>
  <c r="CV3072" i="1"/>
  <c r="Y3072" i="1"/>
  <c r="AB3072" i="1"/>
  <c r="AA3072" i="1"/>
  <c r="Z3072" i="1"/>
  <c r="CV3071" i="1"/>
  <c r="Y3071" i="1"/>
  <c r="AB3071" i="1"/>
  <c r="AA3071" i="1"/>
  <c r="CV3070" i="1"/>
  <c r="Y3070" i="1"/>
  <c r="AB3070" i="1"/>
  <c r="AA3070" i="1"/>
  <c r="AB3069" i="1"/>
  <c r="AA3069" i="1"/>
  <c r="CV3112" i="1"/>
  <c r="Y3112" i="1"/>
  <c r="AB3112" i="1"/>
  <c r="AA3112" i="1"/>
  <c r="Z3112" i="1"/>
  <c r="AB3111" i="1"/>
  <c r="AA3111" i="1"/>
  <c r="CV3104" i="1"/>
  <c r="Y3104" i="1"/>
  <c r="AB3104" i="1"/>
  <c r="AA3104" i="1"/>
  <c r="Z3104" i="1"/>
  <c r="CV3103" i="1"/>
  <c r="Y3103" i="1"/>
  <c r="AB3103" i="1"/>
  <c r="AA3103" i="1"/>
  <c r="Z3103" i="1"/>
  <c r="CV3102" i="1"/>
  <c r="Y3102" i="1"/>
  <c r="AB3102" i="1"/>
  <c r="AA3102" i="1"/>
  <c r="Z3102" i="1"/>
  <c r="CV3101" i="1"/>
  <c r="Y3101" i="1"/>
  <c r="AB3101" i="1"/>
  <c r="AA3101" i="1"/>
  <c r="Z3101" i="1"/>
  <c r="CV3100" i="1"/>
  <c r="Y3100" i="1"/>
  <c r="AB3100" i="1"/>
  <c r="AA3100" i="1"/>
  <c r="Z3100" i="1"/>
  <c r="CV3099" i="1"/>
  <c r="Y3099" i="1"/>
  <c r="AB3099" i="1"/>
  <c r="AA3099" i="1"/>
  <c r="Z3099" i="1"/>
  <c r="CV3098" i="1"/>
  <c r="Y3098" i="1"/>
  <c r="AB3098" i="1"/>
  <c r="AA3098" i="1"/>
  <c r="Z3098" i="1"/>
  <c r="CV3097" i="1"/>
  <c r="Y3097" i="1"/>
  <c r="AB3097" i="1"/>
  <c r="AA3097" i="1"/>
  <c r="Z3097" i="1"/>
  <c r="CV3096" i="1"/>
  <c r="Y3096" i="1"/>
  <c r="AB3096" i="1"/>
  <c r="AA3096" i="1"/>
  <c r="Z3096" i="1"/>
  <c r="AA3095" i="1"/>
  <c r="CV3094" i="1"/>
  <c r="Y3094" i="1"/>
  <c r="AB3094" i="1"/>
  <c r="AA3094" i="1"/>
  <c r="Z3094" i="1"/>
  <c r="CV3093" i="1"/>
  <c r="Y3093" i="1"/>
  <c r="AB3093" i="1"/>
  <c r="AA3093" i="1"/>
  <c r="Z3093" i="1"/>
  <c r="CV3092" i="1"/>
  <c r="Y3092" i="1"/>
  <c r="AB3092" i="1"/>
  <c r="AA3092" i="1"/>
  <c r="Z3092" i="1"/>
  <c r="CV3091" i="1"/>
  <c r="Y3091" i="1"/>
  <c r="AB3091" i="1"/>
  <c r="AA3091" i="1"/>
  <c r="Z3091" i="1"/>
  <c r="CV3090" i="1"/>
  <c r="Y3090" i="1"/>
  <c r="AB3090" i="1"/>
  <c r="AA3090" i="1"/>
  <c r="Z3090" i="1"/>
  <c r="CV3021" i="1"/>
  <c r="Y3021" i="1"/>
  <c r="AB3021" i="1"/>
  <c r="AA3021" i="1"/>
  <c r="Z3021" i="1"/>
  <c r="CV3068" i="1"/>
  <c r="Y3068" i="1"/>
  <c r="AB3068" i="1"/>
  <c r="AA3068" i="1"/>
  <c r="Z3068" i="1"/>
  <c r="CV3089" i="1"/>
  <c r="Y3089" i="1"/>
  <c r="AB3089" i="1"/>
  <c r="AA3089" i="1"/>
  <c r="Z3089" i="1"/>
  <c r="CV3067" i="1"/>
  <c r="Y3067" i="1"/>
  <c r="AB3067" i="1"/>
  <c r="AA3067" i="1"/>
  <c r="Z3067" i="1"/>
  <c r="CV3066" i="1"/>
  <c r="Y3066" i="1"/>
  <c r="AB3066" i="1"/>
  <c r="AA3066" i="1"/>
  <c r="Z3066" i="1"/>
  <c r="CV3065" i="1"/>
  <c r="Y3065" i="1"/>
  <c r="AB3065" i="1"/>
  <c r="AA3065" i="1"/>
  <c r="Z3065" i="1"/>
  <c r="CV3064" i="1"/>
  <c r="Y3064" i="1"/>
  <c r="AB3064" i="1"/>
  <c r="AA3064" i="1"/>
  <c r="Z3064" i="1"/>
  <c r="CV3024" i="1"/>
  <c r="Y3024" i="1"/>
  <c r="AB3024" i="1"/>
  <c r="AA3024" i="1"/>
  <c r="Z3024" i="1"/>
  <c r="CV3063" i="1"/>
  <c r="Y3063" i="1"/>
  <c r="AB3063" i="1"/>
  <c r="AA3063" i="1"/>
  <c r="Z3063" i="1"/>
  <c r="CV3088" i="1"/>
  <c r="Y3088" i="1"/>
  <c r="AB3088" i="1"/>
  <c r="AA3088" i="1"/>
  <c r="Z3088" i="1"/>
  <c r="CV3062" i="1"/>
  <c r="Y3062" i="1"/>
  <c r="AB3062" i="1"/>
  <c r="AA3062" i="1"/>
  <c r="Z3062" i="1"/>
  <c r="CV3061" i="1"/>
  <c r="Y3061" i="1"/>
  <c r="AB3061" i="1"/>
  <c r="AA3061" i="1"/>
  <c r="Z3061" i="1"/>
  <c r="CV3087" i="1"/>
  <c r="Y3087" i="1"/>
  <c r="AB3087" i="1"/>
  <c r="AA3087" i="1"/>
  <c r="Z3087" i="1"/>
  <c r="CV3086" i="1"/>
  <c r="Y3086" i="1"/>
  <c r="AB3086" i="1"/>
  <c r="AA3086" i="1"/>
  <c r="Z3086" i="1"/>
  <c r="CV3085" i="1"/>
  <c r="Y3085" i="1"/>
  <c r="AB3085" i="1"/>
  <c r="AA3085" i="1"/>
  <c r="Z3085" i="1"/>
  <c r="CV3084" i="1"/>
  <c r="Y3084" i="1"/>
  <c r="AB3084" i="1"/>
  <c r="AA3084" i="1"/>
  <c r="Z3084" i="1"/>
  <c r="CV3083" i="1"/>
  <c r="Y3083" i="1"/>
  <c r="AB3083" i="1"/>
  <c r="AA3083" i="1"/>
  <c r="Z3083" i="1"/>
  <c r="CV3082" i="1"/>
  <c r="Y3082" i="1"/>
  <c r="AB3082" i="1"/>
  <c r="AA3082" i="1"/>
  <c r="Z3082" i="1"/>
  <c r="CV3040" i="1"/>
  <c r="Y3040" i="1"/>
  <c r="AB3040" i="1"/>
  <c r="AA3040" i="1"/>
  <c r="Z3040" i="1"/>
  <c r="CV3056" i="1"/>
  <c r="Y3056" i="1"/>
  <c r="AB3056" i="1"/>
  <c r="AA3056" i="1"/>
  <c r="Z3056" i="1"/>
  <c r="CV3055" i="1"/>
  <c r="Y3055" i="1"/>
  <c r="AB3055" i="1"/>
  <c r="AA3055" i="1"/>
  <c r="Z3055" i="1"/>
  <c r="CV3054" i="1"/>
  <c r="Y3054" i="1"/>
  <c r="AB3054" i="1"/>
  <c r="AA3054" i="1"/>
  <c r="Z3054" i="1"/>
  <c r="CV3053" i="1"/>
  <c r="Y3053" i="1"/>
  <c r="AB3053" i="1"/>
  <c r="AA3053" i="1"/>
  <c r="Z3053" i="1"/>
  <c r="CV3052" i="1"/>
  <c r="Y3052" i="1"/>
  <c r="AB3052" i="1"/>
  <c r="AA3052" i="1"/>
  <c r="Z3052" i="1"/>
  <c r="CV3051" i="1"/>
  <c r="Y3051" i="1"/>
  <c r="AB3051" i="1"/>
  <c r="AA3051" i="1"/>
  <c r="Z3051" i="1"/>
  <c r="CV3050" i="1"/>
  <c r="Y3050" i="1"/>
  <c r="AB3050" i="1"/>
  <c r="AA3050" i="1"/>
  <c r="Z3050" i="1"/>
  <c r="CV3049" i="1"/>
  <c r="Y3049" i="1"/>
  <c r="AB3049" i="1"/>
  <c r="AA3049" i="1"/>
  <c r="Z3049" i="1"/>
  <c r="CV3039" i="1"/>
  <c r="Y3039" i="1"/>
  <c r="AB3039" i="1"/>
  <c r="AA3039" i="1"/>
  <c r="Z3039" i="1"/>
  <c r="CV3048" i="1"/>
  <c r="Y3048" i="1"/>
  <c r="AB3048" i="1"/>
  <c r="AA3048" i="1"/>
  <c r="Z3048" i="1"/>
  <c r="CV3047" i="1"/>
  <c r="Y3047" i="1"/>
  <c r="AB3047" i="1"/>
  <c r="AA3047" i="1"/>
  <c r="Z3047" i="1"/>
  <c r="CV3034" i="1"/>
  <c r="Y3034" i="1"/>
  <c r="AB3034" i="1"/>
  <c r="AA3034" i="1"/>
  <c r="Z3034" i="1"/>
  <c r="CV3046" i="1"/>
  <c r="Y3046" i="1"/>
  <c r="AB3046" i="1"/>
  <c r="AA3046" i="1"/>
  <c r="Z3046" i="1"/>
  <c r="CV3045" i="1"/>
  <c r="Y3045" i="1"/>
  <c r="AB3045" i="1"/>
  <c r="AA3045" i="1"/>
  <c r="Z3045" i="1"/>
  <c r="AA2726" i="1"/>
  <c r="Z2726" i="1"/>
  <c r="CV2969" i="1"/>
  <c r="Y2969" i="1"/>
  <c r="AA2969" i="1"/>
  <c r="Z2969" i="1"/>
  <c r="AB2543" i="1"/>
  <c r="AA2543" i="1"/>
  <c r="CV3038" i="1"/>
  <c r="Y3038" i="1"/>
  <c r="AB3038" i="1"/>
  <c r="AA3038" i="1"/>
  <c r="Z3038" i="1"/>
  <c r="CV3037" i="1"/>
  <c r="Y3037" i="1"/>
  <c r="AB3037" i="1"/>
  <c r="AA3037" i="1"/>
  <c r="Z3037" i="1"/>
  <c r="CV3036" i="1"/>
  <c r="Y3036" i="1"/>
  <c r="AB3036" i="1"/>
  <c r="AA3036" i="1"/>
  <c r="Z3036" i="1"/>
  <c r="CV3035" i="1"/>
  <c r="Y3035" i="1"/>
  <c r="AB3035" i="1"/>
  <c r="AA3035" i="1"/>
  <c r="Z3035" i="1"/>
  <c r="CV3033" i="1"/>
  <c r="Y3033" i="1"/>
  <c r="AB3033" i="1"/>
  <c r="AA3033" i="1"/>
  <c r="Z3033" i="1"/>
  <c r="CV3032" i="1"/>
  <c r="Y3032" i="1"/>
  <c r="AB3032" i="1"/>
  <c r="AA3032" i="1"/>
  <c r="Z3032" i="1"/>
  <c r="CV3002" i="1"/>
  <c r="Y3002" i="1"/>
  <c r="AB3002" i="1"/>
  <c r="AA3002" i="1"/>
  <c r="Z3002" i="1"/>
  <c r="CV3001" i="1"/>
  <c r="Y3001" i="1"/>
  <c r="AB3001" i="1"/>
  <c r="AA3001" i="1"/>
  <c r="Z3001" i="1"/>
  <c r="CV3031" i="1"/>
  <c r="Y3031" i="1"/>
  <c r="AB3031" i="1"/>
  <c r="AA3031" i="1"/>
  <c r="Z3031" i="1"/>
  <c r="CV3030" i="1"/>
  <c r="Y3030" i="1"/>
  <c r="AB3030" i="1"/>
  <c r="AA3030" i="1"/>
  <c r="Z3030" i="1"/>
  <c r="CV3029" i="1"/>
  <c r="Y3029" i="1"/>
  <c r="AB3029" i="1"/>
  <c r="AA3029" i="1"/>
  <c r="Z3029" i="1"/>
  <c r="CV3028" i="1"/>
  <c r="Y3028" i="1"/>
  <c r="AB3028" i="1"/>
  <c r="AA3028" i="1"/>
  <c r="Z3028" i="1"/>
  <c r="CV3027" i="1"/>
  <c r="Y3027" i="1"/>
  <c r="AB3027" i="1"/>
  <c r="AA3027" i="1"/>
  <c r="Z3027" i="1"/>
  <c r="CV2529" i="1"/>
  <c r="Y2529" i="1"/>
  <c r="AB2529" i="1"/>
  <c r="AA2529" i="1"/>
  <c r="Z2529" i="1"/>
  <c r="CV2651" i="1"/>
  <c r="Y2651" i="1"/>
  <c r="AB2651" i="1"/>
  <c r="AA2651" i="1"/>
  <c r="Z2651" i="1"/>
  <c r="CV2650" i="1"/>
  <c r="Y2650" i="1"/>
  <c r="AB2650" i="1"/>
  <c r="AA2650" i="1"/>
  <c r="Z2650" i="1"/>
  <c r="CV2542" i="1"/>
  <c r="Y2542" i="1"/>
  <c r="AB2542" i="1"/>
  <c r="AA2542" i="1"/>
  <c r="Z2542" i="1"/>
  <c r="CV2460" i="1"/>
  <c r="Y2460" i="1"/>
  <c r="AB2460" i="1"/>
  <c r="AA2460" i="1"/>
  <c r="Z2460" i="1"/>
  <c r="CV2803" i="1"/>
  <c r="Y2803" i="1"/>
  <c r="AB2803" i="1"/>
  <c r="AA2803" i="1"/>
  <c r="Z2803" i="1"/>
  <c r="CV2794" i="1"/>
  <c r="Y2794" i="1"/>
  <c r="AB2794" i="1"/>
  <c r="AA2794" i="1"/>
  <c r="Z2794" i="1"/>
  <c r="CV3000" i="1"/>
  <c r="Y3000" i="1"/>
  <c r="AB3000" i="1"/>
  <c r="AA3000" i="1"/>
  <c r="Z3000" i="1"/>
  <c r="CV2725" i="1"/>
  <c r="Y2725" i="1"/>
  <c r="AB2725" i="1"/>
  <c r="AA2725" i="1"/>
  <c r="Z2725" i="1"/>
  <c r="CV2724" i="1"/>
  <c r="Y2724" i="1"/>
  <c r="AB2724" i="1"/>
  <c r="AA2724" i="1"/>
  <c r="Z2724" i="1"/>
  <c r="CV2723" i="1"/>
  <c r="Y2723" i="1"/>
  <c r="AB2723" i="1"/>
  <c r="AA2723" i="1"/>
  <c r="Z2723" i="1"/>
  <c r="CV2810" i="1"/>
  <c r="Y2810" i="1"/>
  <c r="AE2810" i="1"/>
  <c r="AB2810" i="1"/>
  <c r="AA2810" i="1"/>
  <c r="Z2810" i="1"/>
  <c r="CV2722" i="1"/>
  <c r="Y2722" i="1"/>
  <c r="AB2722" i="1"/>
  <c r="AA2722" i="1"/>
  <c r="Z2722" i="1"/>
  <c r="CV2721" i="1"/>
  <c r="Y2721" i="1"/>
  <c r="AB2721" i="1"/>
  <c r="AA2721" i="1"/>
  <c r="Z2721" i="1"/>
  <c r="AB3020" i="1"/>
  <c r="AA3020" i="1"/>
  <c r="CV3019" i="1"/>
  <c r="Y3019" i="1"/>
  <c r="AB3019" i="1"/>
  <c r="AA3019" i="1"/>
  <c r="Z3019" i="1"/>
  <c r="CV3018" i="1"/>
  <c r="Y3018" i="1"/>
  <c r="AB3018" i="1"/>
  <c r="AA3018" i="1"/>
  <c r="Z3018" i="1"/>
  <c r="CV3017" i="1"/>
  <c r="Y3017" i="1"/>
  <c r="AB3017" i="1"/>
  <c r="AA3017" i="1"/>
  <c r="CV3016" i="1"/>
  <c r="Y3016" i="1"/>
  <c r="AB3016" i="1"/>
  <c r="AA3016" i="1"/>
  <c r="Z3016" i="1"/>
  <c r="CV2888" i="1"/>
  <c r="Y2888" i="1"/>
  <c r="AB2888" i="1"/>
  <c r="AA2888" i="1"/>
  <c r="Z2888" i="1"/>
  <c r="CV2999" i="1"/>
  <c r="Y2999" i="1"/>
  <c r="AB2999" i="1"/>
  <c r="AA2999" i="1"/>
  <c r="Z2999" i="1"/>
  <c r="CV2998" i="1"/>
  <c r="Y2998" i="1"/>
  <c r="AB2998" i="1"/>
  <c r="AA2998" i="1"/>
  <c r="Z2998" i="1"/>
  <c r="CV2997" i="1"/>
  <c r="Y2997" i="1"/>
  <c r="AB2997" i="1"/>
  <c r="AA2997" i="1"/>
  <c r="Z2997" i="1"/>
  <c r="CV2996" i="1"/>
  <c r="Y2996" i="1"/>
  <c r="AB2996" i="1"/>
  <c r="AA2996" i="1"/>
  <c r="Z2996" i="1"/>
  <c r="CV2995" i="1"/>
  <c r="Y2995" i="1"/>
  <c r="AB2995" i="1"/>
  <c r="AA2995" i="1"/>
  <c r="Z2995" i="1"/>
  <c r="CV2994" i="1"/>
  <c r="Y2994" i="1"/>
  <c r="AB2994" i="1"/>
  <c r="AA2994" i="1"/>
  <c r="Z2994" i="1"/>
  <c r="CV2993" i="1"/>
  <c r="Y2993" i="1"/>
  <c r="AB2993" i="1"/>
  <c r="AA2993" i="1"/>
  <c r="Z2993" i="1"/>
  <c r="CV2992" i="1"/>
  <c r="Y2992" i="1"/>
  <c r="AB2992" i="1"/>
  <c r="AA2992" i="1"/>
  <c r="Z2992" i="1"/>
  <c r="CV2982" i="1"/>
  <c r="Y2982" i="1"/>
  <c r="AB2982" i="1"/>
  <c r="AA2982" i="1"/>
  <c r="Z2982" i="1"/>
  <c r="CV3013" i="1"/>
  <c r="Y3013" i="1"/>
  <c r="AB3013" i="1"/>
  <c r="AA3013" i="1"/>
  <c r="Z3013" i="1"/>
  <c r="CV3012" i="1"/>
  <c r="Y3012" i="1"/>
  <c r="AB3012" i="1"/>
  <c r="AA3012" i="1"/>
  <c r="Z3012" i="1"/>
  <c r="CV3011" i="1"/>
  <c r="Y3011" i="1"/>
  <c r="AB3011" i="1"/>
  <c r="AA3011" i="1"/>
  <c r="Z3011" i="1"/>
  <c r="CV3010" i="1"/>
  <c r="Y3010" i="1"/>
  <c r="AB3010" i="1"/>
  <c r="AA3010" i="1"/>
  <c r="Z3010" i="1"/>
  <c r="CV3009" i="1"/>
  <c r="Y3009" i="1"/>
  <c r="AB3009" i="1"/>
  <c r="AA3009" i="1"/>
  <c r="Z3009" i="1"/>
  <c r="CV3008" i="1"/>
  <c r="Y3008" i="1"/>
  <c r="AB3008" i="1"/>
  <c r="AA3008" i="1"/>
  <c r="Z3008" i="1"/>
  <c r="CV3007" i="1"/>
  <c r="Y3007" i="1"/>
  <c r="AB3007" i="1"/>
  <c r="AA3007" i="1"/>
  <c r="Z3007" i="1"/>
  <c r="CV3006" i="1"/>
  <c r="Y3006" i="1"/>
  <c r="AB3006" i="1"/>
  <c r="AA3006" i="1"/>
  <c r="Z3006" i="1"/>
  <c r="AB2991" i="1"/>
  <c r="AA2991" i="1"/>
  <c r="CV3005" i="1"/>
  <c r="Y3005" i="1"/>
  <c r="AB3005" i="1"/>
  <c r="AA3005" i="1"/>
  <c r="Z3005" i="1"/>
  <c r="CV3004" i="1"/>
  <c r="Y3004" i="1"/>
  <c r="AB3004" i="1"/>
  <c r="AA3004" i="1"/>
  <c r="Z3004" i="1"/>
  <c r="CV2990" i="1"/>
  <c r="Y2990" i="1"/>
  <c r="AB2990" i="1"/>
  <c r="AA2990" i="1"/>
  <c r="Z2990" i="1"/>
  <c r="AA2846" i="1"/>
  <c r="CV2750" i="1"/>
  <c r="Y2750" i="1"/>
  <c r="AB2750" i="1"/>
  <c r="AB2989" i="1"/>
  <c r="AA2989" i="1"/>
  <c r="CV2988" i="1"/>
  <c r="Y2988" i="1"/>
  <c r="AB2988" i="1"/>
  <c r="AA2988" i="1"/>
  <c r="Z2988" i="1"/>
  <c r="CV2987" i="1"/>
  <c r="Y2987" i="1"/>
  <c r="AB2987" i="1"/>
  <c r="AA2987" i="1"/>
  <c r="Z2987" i="1"/>
  <c r="CV2986" i="1"/>
  <c r="Y2986" i="1"/>
  <c r="AB2986" i="1"/>
  <c r="AA2986" i="1"/>
  <c r="Z2986" i="1"/>
  <c r="CV2985" i="1"/>
  <c r="Y2985" i="1"/>
  <c r="AB2985" i="1"/>
  <c r="AA2985" i="1"/>
  <c r="Z2985" i="1"/>
  <c r="CV2845" i="1"/>
  <c r="Y2845" i="1"/>
  <c r="AB2845" i="1"/>
  <c r="AA2845" i="1"/>
  <c r="Z2845" i="1"/>
  <c r="AA2981" i="1"/>
  <c r="Z2981" i="1"/>
  <c r="CV2866" i="1"/>
  <c r="Y2866" i="1"/>
  <c r="AB2866" i="1"/>
  <c r="AA2866" i="1"/>
  <c r="Z2866" i="1"/>
  <c r="CV2980" i="1"/>
  <c r="Y2980" i="1"/>
  <c r="AB2980" i="1"/>
  <c r="AA2980" i="1"/>
  <c r="Z2980" i="1"/>
  <c r="CV2984" i="1"/>
  <c r="Y2984" i="1"/>
  <c r="AB2984" i="1"/>
  <c r="AA2984" i="1"/>
  <c r="Z2984" i="1"/>
  <c r="CV2983" i="1"/>
  <c r="Y2983" i="1"/>
  <c r="AB2983" i="1"/>
  <c r="AA2983" i="1"/>
  <c r="Z2983" i="1"/>
  <c r="CV2979" i="1"/>
  <c r="Y2979" i="1"/>
  <c r="AB2979" i="1"/>
  <c r="AA2979" i="1"/>
  <c r="Z2979" i="1"/>
  <c r="CV2968" i="1"/>
  <c r="Y2968" i="1"/>
  <c r="AB2968" i="1"/>
  <c r="AA2968" i="1"/>
  <c r="Z2968" i="1"/>
  <c r="CV2967" i="1"/>
  <c r="Y2967" i="1"/>
  <c r="AB2967" i="1"/>
  <c r="AA2967" i="1"/>
  <c r="Z2967" i="1"/>
  <c r="CV2978" i="1"/>
  <c r="Y2978" i="1"/>
  <c r="AB2978" i="1"/>
  <c r="AA2978" i="1"/>
  <c r="Z2978" i="1"/>
  <c r="CV2977" i="1"/>
  <c r="Y2977" i="1"/>
  <c r="AB2977" i="1"/>
  <c r="AA2977" i="1"/>
  <c r="Z2977" i="1"/>
  <c r="CV2976" i="1"/>
  <c r="Y2976" i="1"/>
  <c r="AB2976" i="1"/>
  <c r="AA2976" i="1"/>
  <c r="Z2976" i="1"/>
  <c r="CV2975" i="1"/>
  <c r="Y2975" i="1"/>
  <c r="AB2975" i="1"/>
  <c r="AA2975" i="1"/>
  <c r="Z2975" i="1"/>
  <c r="CV2966" i="1"/>
  <c r="Y2966" i="1"/>
  <c r="AB2966" i="1"/>
  <c r="AA2966" i="1"/>
  <c r="Z2966" i="1"/>
  <c r="CV2965" i="1"/>
  <c r="Y2965" i="1"/>
  <c r="AB2965" i="1"/>
  <c r="AA2965" i="1"/>
  <c r="Z2965" i="1"/>
  <c r="CV2964" i="1"/>
  <c r="Y2964" i="1"/>
  <c r="AB2964" i="1"/>
  <c r="AA2964" i="1"/>
  <c r="Z2964" i="1"/>
  <c r="CV2974" i="1"/>
  <c r="Y2974" i="1"/>
  <c r="AB2974" i="1"/>
  <c r="AA2974" i="1"/>
  <c r="Z2974" i="1"/>
  <c r="CV2939" i="1"/>
  <c r="Y2939" i="1"/>
  <c r="AB2939" i="1"/>
  <c r="AA2939" i="1"/>
  <c r="Z2939" i="1"/>
  <c r="CV2932" i="1"/>
  <c r="Y2932" i="1"/>
  <c r="AB2932" i="1"/>
  <c r="AA2932" i="1"/>
  <c r="Z2932" i="1"/>
  <c r="CV2963" i="1"/>
  <c r="Y2963" i="1"/>
  <c r="AB2963" i="1"/>
  <c r="AA2963" i="1"/>
  <c r="Z2963" i="1"/>
  <c r="CV2962" i="1"/>
  <c r="Y2962" i="1"/>
  <c r="AB2962" i="1"/>
  <c r="AA2962" i="1"/>
  <c r="Z2962" i="1"/>
  <c r="CV2973" i="1"/>
  <c r="Y2973" i="1"/>
  <c r="AB2973" i="1"/>
  <c r="AA2973" i="1"/>
  <c r="Z2973" i="1"/>
  <c r="CV2961" i="1"/>
  <c r="Y2961" i="1"/>
  <c r="AB2961" i="1"/>
  <c r="AA2961" i="1"/>
  <c r="Z2961" i="1"/>
  <c r="CV2972" i="1"/>
  <c r="Y2972" i="1"/>
  <c r="AA2972" i="1"/>
  <c r="Z2972" i="1"/>
  <c r="CV2887" i="1"/>
  <c r="Y2887" i="1"/>
  <c r="AA2887" i="1"/>
  <c r="Z2887" i="1"/>
  <c r="AB2960" i="1"/>
  <c r="CV2959" i="1"/>
  <c r="Y2959" i="1"/>
  <c r="AB2959" i="1"/>
  <c r="AA2959" i="1"/>
  <c r="Z2959" i="1"/>
  <c r="AB2958" i="1"/>
  <c r="AA2958" i="1"/>
  <c r="CV2957" i="1"/>
  <c r="Y2957" i="1"/>
  <c r="AB2957" i="1"/>
  <c r="AA2957" i="1"/>
  <c r="Z2957" i="1"/>
  <c r="CV2956" i="1"/>
  <c r="Y2956" i="1"/>
  <c r="AB2956" i="1"/>
  <c r="AA2956" i="1"/>
  <c r="Z2956" i="1"/>
  <c r="CV2955" i="1"/>
  <c r="Y2955" i="1"/>
  <c r="AB2955" i="1"/>
  <c r="AA2955" i="1"/>
  <c r="Z2955" i="1"/>
  <c r="CV2954" i="1"/>
  <c r="Y2954" i="1"/>
  <c r="AB2954" i="1"/>
  <c r="AA2954" i="1"/>
  <c r="Z2954" i="1"/>
  <c r="CV2953" i="1"/>
  <c r="Y2953" i="1"/>
  <c r="AB2953" i="1"/>
  <c r="AA2953" i="1"/>
  <c r="Z2953" i="1"/>
  <c r="CV2952" i="1"/>
  <c r="Y2952" i="1"/>
  <c r="AB2952" i="1"/>
  <c r="AA2952" i="1"/>
  <c r="Z2952" i="1"/>
  <c r="CV2951" i="1"/>
  <c r="Y2951" i="1"/>
  <c r="AB2951" i="1"/>
  <c r="AA2951" i="1"/>
  <c r="Z2951" i="1"/>
  <c r="CV2950" i="1"/>
  <c r="Y2950" i="1"/>
  <c r="AB2950" i="1"/>
  <c r="AA2950" i="1"/>
  <c r="Z2950" i="1"/>
  <c r="CV3171" i="1"/>
  <c r="Y3171" i="1"/>
  <c r="AB3171" i="1"/>
  <c r="AA3171" i="1"/>
  <c r="Z3171" i="1"/>
  <c r="CV3170" i="1"/>
  <c r="Y3170" i="1"/>
  <c r="AB3170" i="1"/>
  <c r="AA3170" i="1"/>
  <c r="Z3170" i="1"/>
  <c r="CV2949" i="1"/>
  <c r="Y2949" i="1"/>
  <c r="AB2949" i="1"/>
  <c r="AA2949" i="1"/>
  <c r="Z2949" i="1"/>
  <c r="CV2948" i="1"/>
  <c r="Y2948" i="1"/>
  <c r="AB2948" i="1"/>
  <c r="AA2948" i="1"/>
  <c r="Z2948" i="1"/>
  <c r="CV2947" i="1"/>
  <c r="Y2947" i="1"/>
  <c r="AB2947" i="1"/>
  <c r="Z2947" i="1"/>
  <c r="CV2946" i="1"/>
  <c r="Y2946" i="1"/>
  <c r="AB2946" i="1"/>
  <c r="AA2946" i="1"/>
  <c r="Z2946" i="1"/>
  <c r="CV2886" i="1"/>
  <c r="Y2886" i="1"/>
  <c r="AB2886" i="1"/>
  <c r="AA2886" i="1"/>
  <c r="Z2886" i="1"/>
  <c r="CV2945" i="1"/>
  <c r="Y2945" i="1"/>
  <c r="AB2945" i="1"/>
  <c r="AA2945" i="1"/>
  <c r="Z2945" i="1"/>
  <c r="CV2944" i="1"/>
  <c r="Y2944" i="1"/>
  <c r="AB2944" i="1"/>
  <c r="AA2944" i="1"/>
  <c r="Z2944" i="1"/>
  <c r="CV2865" i="1"/>
  <c r="Y2865" i="1"/>
  <c r="AB2865" i="1"/>
  <c r="AA2865" i="1"/>
  <c r="Z2865" i="1"/>
  <c r="CV2943" i="1"/>
  <c r="Y2943" i="1"/>
  <c r="AB2943" i="1"/>
  <c r="AA2943" i="1"/>
  <c r="Z2943" i="1"/>
  <c r="CV2938" i="1"/>
  <c r="Y2938" i="1"/>
  <c r="AB2938" i="1"/>
  <c r="AA2938" i="1"/>
  <c r="Z2938" i="1"/>
  <c r="CV2484" i="1"/>
  <c r="Y2484" i="1"/>
  <c r="AB2484" i="1"/>
  <c r="AA2484" i="1"/>
  <c r="Z2484" i="1"/>
  <c r="CV2942" i="1"/>
  <c r="Y2942" i="1"/>
  <c r="AB2942" i="1"/>
  <c r="AA2942" i="1"/>
  <c r="Z2942" i="1"/>
  <c r="CV2937" i="1"/>
  <c r="Y2937" i="1"/>
  <c r="AB2937" i="1"/>
  <c r="AA2937" i="1"/>
  <c r="Z2937" i="1"/>
  <c r="CZ2743" i="1"/>
  <c r="Z2743" i="1"/>
  <c r="CO2718" i="1"/>
  <c r="BM2718" i="1"/>
  <c r="CZ2718" i="1"/>
  <c r="Z2718" i="1"/>
  <c r="BA2718" i="1"/>
  <c r="BA2289" i="1"/>
  <c r="CQ2289" i="1"/>
  <c r="CZ2289" i="1"/>
  <c r="Z2289" i="1"/>
  <c r="CA2251" i="1"/>
  <c r="BA2251" i="1"/>
  <c r="CZ2251" i="1"/>
  <c r="Z2251" i="1"/>
  <c r="CQ2360" i="1"/>
  <c r="BA2869" i="1"/>
  <c r="CV2869" i="1"/>
  <c r="Y2869" i="1"/>
  <c r="CS2624" i="1"/>
  <c r="CQ2624" i="1"/>
  <c r="CZ2624" i="1"/>
  <c r="Z2624" i="1"/>
  <c r="CZ2600" i="1"/>
  <c r="Z2600" i="1"/>
  <c r="CZ2812" i="1"/>
  <c r="Z2812" i="1"/>
  <c r="CQ2812" i="1"/>
  <c r="CV2931" i="1"/>
  <c r="Y2931" i="1"/>
  <c r="AB2931" i="1"/>
  <c r="AA2931" i="1"/>
  <c r="Z2931" i="1"/>
  <c r="CV2930" i="1"/>
  <c r="Y2930" i="1"/>
  <c r="AB2930" i="1"/>
  <c r="AA2930" i="1"/>
  <c r="Z2930" i="1"/>
  <c r="CV2929" i="1"/>
  <c r="Y2929" i="1"/>
  <c r="AB2929" i="1"/>
  <c r="AA2929" i="1"/>
  <c r="Z2929" i="1"/>
  <c r="AA2608" i="1"/>
  <c r="CV2780" i="1"/>
  <c r="Y2780" i="1"/>
  <c r="AB2780" i="1"/>
  <c r="CV2885" i="1"/>
  <c r="Y2885" i="1"/>
  <c r="AB2885" i="1"/>
  <c r="AA2885" i="1"/>
  <c r="Z2885" i="1"/>
  <c r="CV2779" i="1"/>
  <c r="Y2779" i="1"/>
  <c r="AB2779" i="1"/>
  <c r="AA2779" i="1"/>
  <c r="Z2779" i="1"/>
  <c r="CV2663" i="1"/>
  <c r="Y2663" i="1"/>
  <c r="AB2663" i="1"/>
  <c r="AA2663" i="1"/>
  <c r="Z2663" i="1"/>
  <c r="CV2941" i="1"/>
  <c r="Y2941" i="1"/>
  <c r="AB2941" i="1"/>
  <c r="AA2941" i="1"/>
  <c r="Z2941" i="1"/>
  <c r="CV2940" i="1"/>
  <c r="Y2940" i="1"/>
  <c r="AB2940" i="1"/>
  <c r="AA2940" i="1"/>
  <c r="CV2517" i="1"/>
  <c r="Y2517" i="1"/>
  <c r="AB2517" i="1"/>
  <c r="AA2517" i="1"/>
  <c r="Z2517" i="1"/>
  <c r="CV2844" i="1"/>
  <c r="Y2844" i="1"/>
  <c r="AB2844" i="1"/>
  <c r="AA2844" i="1"/>
  <c r="Z2844" i="1"/>
  <c r="CV2843" i="1"/>
  <c r="Y2843" i="1"/>
  <c r="AB2843" i="1"/>
  <c r="AA2843" i="1"/>
  <c r="Z2843" i="1"/>
  <c r="CV2936" i="1"/>
  <c r="Y2936" i="1"/>
  <c r="AB2936" i="1"/>
  <c r="AA2936" i="1"/>
  <c r="Z2936" i="1"/>
  <c r="CV2935" i="1"/>
  <c r="Y2935" i="1"/>
  <c r="AB2935" i="1"/>
  <c r="AA2935" i="1"/>
  <c r="Z2935" i="1"/>
  <c r="CV2917" i="1"/>
  <c r="Y2917" i="1"/>
  <c r="AB2917" i="1"/>
  <c r="AA2917" i="1"/>
  <c r="Z2917" i="1"/>
  <c r="CV2934" i="1"/>
  <c r="Y2934" i="1"/>
  <c r="AB2934" i="1"/>
  <c r="AA2934" i="1"/>
  <c r="Z2934" i="1"/>
  <c r="CV2933" i="1"/>
  <c r="Y2933" i="1"/>
  <c r="AB2933" i="1"/>
  <c r="AA2933" i="1"/>
  <c r="Z2933" i="1"/>
  <c r="CV2928" i="1"/>
  <c r="Y2928" i="1"/>
  <c r="AB2928" i="1"/>
  <c r="AA2928" i="1"/>
  <c r="Z2928" i="1"/>
  <c r="CV2927" i="1"/>
  <c r="Y2927" i="1"/>
  <c r="AB2927" i="1"/>
  <c r="AA2927" i="1"/>
  <c r="Z2927" i="1"/>
  <c r="CV2053" i="1"/>
  <c r="Y2053" i="1"/>
  <c r="AB2053" i="1"/>
  <c r="AA2053" i="1"/>
  <c r="Z2053" i="1"/>
  <c r="CV2317" i="1"/>
  <c r="Y2317" i="1"/>
  <c r="AB2317" i="1"/>
  <c r="AA2317" i="1"/>
  <c r="Z2317" i="1"/>
  <c r="CV2586" i="1"/>
  <c r="Y2586" i="1"/>
  <c r="AB2586" i="1"/>
  <c r="AA2586" i="1"/>
  <c r="Z2586" i="1"/>
  <c r="CV2926" i="1"/>
  <c r="Y2926" i="1"/>
  <c r="AB2926" i="1"/>
  <c r="AA2926" i="1"/>
  <c r="Z2926" i="1"/>
  <c r="CV2925" i="1"/>
  <c r="Y2925" i="1"/>
  <c r="AB2925" i="1"/>
  <c r="AA2925" i="1"/>
  <c r="Z2925" i="1"/>
  <c r="CV2924" i="1"/>
  <c r="Y2924" i="1"/>
  <c r="AB2924" i="1"/>
  <c r="AA2924" i="1"/>
  <c r="Z2924" i="1"/>
  <c r="CV2916" i="1"/>
  <c r="Y2916" i="1"/>
  <c r="AB2916" i="1"/>
  <c r="AA2916" i="1"/>
  <c r="Z2916" i="1"/>
  <c r="CV2923" i="1"/>
  <c r="Y2923" i="1"/>
  <c r="AB2923" i="1"/>
  <c r="AA2923" i="1"/>
  <c r="Z2923" i="1"/>
  <c r="J2918" i="1"/>
  <c r="CZ2534" i="1"/>
  <c r="Z2534" i="1"/>
  <c r="J2534" i="1"/>
  <c r="J2448" i="1"/>
  <c r="DD2504" i="1"/>
  <c r="AA2504" i="1"/>
  <c r="DD2490" i="1"/>
  <c r="AA2490" i="1"/>
  <c r="AC2144" i="1"/>
  <c r="DD2144" i="1"/>
  <c r="AA2144" i="1"/>
  <c r="CV2921" i="1"/>
  <c r="Y2921" i="1"/>
  <c r="AB2921" i="1"/>
  <c r="AA2921" i="1"/>
  <c r="Z2921" i="1"/>
  <c r="CV2915" i="1"/>
  <c r="Y2915" i="1"/>
  <c r="AB2915" i="1"/>
  <c r="AA2915" i="1"/>
  <c r="Z2915" i="1"/>
  <c r="CV2914" i="1"/>
  <c r="Y2914" i="1"/>
  <c r="AB2914" i="1"/>
  <c r="AA2914" i="1"/>
  <c r="Z2914" i="1"/>
  <c r="CV2920" i="1"/>
  <c r="Y2920" i="1"/>
  <c r="AB2920" i="1"/>
  <c r="AA2920" i="1"/>
  <c r="Z2920" i="1"/>
  <c r="AB2913" i="1"/>
  <c r="AA2913" i="1"/>
  <c r="Z2913" i="1"/>
  <c r="CV2919" i="1"/>
  <c r="Y2919" i="1"/>
  <c r="AB2919" i="1"/>
  <c r="AA2919" i="1"/>
  <c r="CV2912" i="1"/>
  <c r="Y2912" i="1"/>
  <c r="AB2912" i="1"/>
  <c r="AA2912" i="1"/>
  <c r="Z2912" i="1"/>
  <c r="AB2474" i="1"/>
  <c r="CV2864" i="1"/>
  <c r="Y2864" i="1"/>
  <c r="AB2864" i="1"/>
  <c r="AA2864" i="1"/>
  <c r="Z2864" i="1"/>
  <c r="CV2918" i="1"/>
  <c r="Y2918" i="1"/>
  <c r="AB2918" i="1"/>
  <c r="AA2918" i="1"/>
  <c r="Z2918" i="1"/>
  <c r="CV2911" i="1"/>
  <c r="Y2911" i="1"/>
  <c r="AB2911" i="1"/>
  <c r="AA2911" i="1"/>
  <c r="Z2911" i="1"/>
  <c r="CV2910" i="1"/>
  <c r="Y2910" i="1"/>
  <c r="AB2910" i="1"/>
  <c r="AA2910" i="1"/>
  <c r="Z2910" i="1"/>
  <c r="CV2909" i="1"/>
  <c r="Y2909" i="1"/>
  <c r="AB2909" i="1"/>
  <c r="AA2909" i="1"/>
  <c r="Z2909" i="1"/>
  <c r="CV2884" i="1"/>
  <c r="Y2884" i="1"/>
  <c r="AE2884" i="1"/>
  <c r="AB2884" i="1"/>
  <c r="AA2884" i="1"/>
  <c r="Z2884" i="1"/>
  <c r="CV2883" i="1"/>
  <c r="Y2883" i="1"/>
  <c r="AB2883" i="1"/>
  <c r="AA2883" i="1"/>
  <c r="Z2883" i="1"/>
  <c r="CV2882" i="1"/>
  <c r="Y2882" i="1"/>
  <c r="AB2882" i="1"/>
  <c r="AA2882" i="1"/>
  <c r="Z2882" i="1"/>
  <c r="CV2881" i="1"/>
  <c r="Y2881" i="1"/>
  <c r="AB2881" i="1"/>
  <c r="AA2881" i="1"/>
  <c r="Z2881" i="1"/>
  <c r="CV2793" i="1"/>
  <c r="Y2793" i="1"/>
  <c r="AB2793" i="1"/>
  <c r="AA2793" i="1"/>
  <c r="Z2793" i="1"/>
  <c r="CV2802" i="1"/>
  <c r="Y2802" i="1"/>
  <c r="AB2802" i="1"/>
  <c r="AA2802" i="1"/>
  <c r="Z2802" i="1"/>
  <c r="AB2863" i="1"/>
  <c r="CS2863" i="1"/>
  <c r="J2862" i="1"/>
  <c r="J2861" i="1"/>
  <c r="J2853" i="1"/>
  <c r="AC2479" i="1"/>
  <c r="DD2479" i="1"/>
  <c r="DB2479" i="1"/>
  <c r="CX2465" i="1"/>
  <c r="AB2465" i="1"/>
  <c r="AB2880" i="1"/>
  <c r="AA2880" i="1"/>
  <c r="AA2863" i="1"/>
  <c r="CV2862" i="1"/>
  <c r="Y2862" i="1"/>
  <c r="AB2862" i="1"/>
  <c r="AA2862" i="1"/>
  <c r="Z2862" i="1"/>
  <c r="CV2861" i="1"/>
  <c r="Y2861" i="1"/>
  <c r="AB2861" i="1"/>
  <c r="AA2861" i="1"/>
  <c r="Z2861" i="1"/>
  <c r="CV2841" i="1"/>
  <c r="Y2841" i="1"/>
  <c r="AB2841" i="1"/>
  <c r="AA2841" i="1"/>
  <c r="Z2841" i="1"/>
  <c r="CV2879" i="1"/>
  <c r="Y2879" i="1"/>
  <c r="AB2879" i="1"/>
  <c r="AA2879" i="1"/>
  <c r="Z2879" i="1"/>
  <c r="CV2878" i="1"/>
  <c r="Y2878" i="1"/>
  <c r="AB2878" i="1"/>
  <c r="AA2878" i="1"/>
  <c r="Z2878" i="1"/>
  <c r="CV2877" i="1"/>
  <c r="Y2877" i="1"/>
  <c r="AB2877" i="1"/>
  <c r="AA2877" i="1"/>
  <c r="Z2877" i="1"/>
  <c r="CV2876" i="1"/>
  <c r="Y2876" i="1"/>
  <c r="AB2876" i="1"/>
  <c r="AA2876" i="1"/>
  <c r="Z2876" i="1"/>
  <c r="CV2875" i="1"/>
  <c r="Y2875" i="1"/>
  <c r="AB2875" i="1"/>
  <c r="AA2875" i="1"/>
  <c r="Z2875" i="1"/>
  <c r="CV2874" i="1"/>
  <c r="Y2874" i="1"/>
  <c r="AB2874" i="1"/>
  <c r="AA2874" i="1"/>
  <c r="Z2874" i="1"/>
  <c r="CV2873" i="1"/>
  <c r="Y2873" i="1"/>
  <c r="AB2873" i="1"/>
  <c r="AA2873" i="1"/>
  <c r="Z2873" i="1"/>
  <c r="CV2872" i="1"/>
  <c r="Y2872" i="1"/>
  <c r="AB2872" i="1"/>
  <c r="AA2872" i="1"/>
  <c r="Z2872" i="1"/>
  <c r="CV2871" i="1"/>
  <c r="Y2871" i="1"/>
  <c r="AB2871" i="1"/>
  <c r="AA2871" i="1"/>
  <c r="Z2871" i="1"/>
  <c r="AB2795" i="1"/>
  <c r="Z2795" i="1"/>
  <c r="CV2860" i="1"/>
  <c r="Y2860" i="1"/>
  <c r="AB2860" i="1"/>
  <c r="AA2860" i="1"/>
  <c r="Z2860" i="1"/>
  <c r="CV2394" i="1"/>
  <c r="Y2394" i="1"/>
  <c r="AB2394" i="1"/>
  <c r="AA2394" i="1"/>
  <c r="Z2394" i="1"/>
  <c r="CV2859" i="1"/>
  <c r="Y2859" i="1"/>
  <c r="AB2859" i="1"/>
  <c r="AA2859" i="1"/>
  <c r="Z2859" i="1"/>
  <c r="AB2858" i="1"/>
  <c r="AA2858" i="1"/>
  <c r="CV2840" i="1"/>
  <c r="Y2840" i="1"/>
  <c r="AB2840" i="1"/>
  <c r="AA2840" i="1"/>
  <c r="Z2840" i="1"/>
  <c r="CV2839" i="1"/>
  <c r="Y2839" i="1"/>
  <c r="AB2839" i="1"/>
  <c r="AA2839" i="1"/>
  <c r="Z2839" i="1"/>
  <c r="CV2870" i="1"/>
  <c r="Y2870" i="1"/>
  <c r="AB2870" i="1"/>
  <c r="AA2870" i="1"/>
  <c r="Z2870" i="1"/>
  <c r="AB2869" i="1"/>
  <c r="AA2869" i="1"/>
  <c r="Z2869" i="1"/>
  <c r="CV2868" i="1"/>
  <c r="Y2868" i="1"/>
  <c r="AB2868" i="1"/>
  <c r="AA2868" i="1"/>
  <c r="Z2868" i="1"/>
  <c r="CV2772" i="1"/>
  <c r="Y2772" i="1"/>
  <c r="AB2772" i="1"/>
  <c r="AA2772" i="1"/>
  <c r="Z2772" i="1"/>
  <c r="CV2749" i="1"/>
  <c r="Y2749" i="1"/>
  <c r="AB2749" i="1"/>
  <c r="AA2749" i="1"/>
  <c r="Z2749" i="1"/>
  <c r="CV2662" i="1"/>
  <c r="Y2662" i="1"/>
  <c r="AB2662" i="1"/>
  <c r="AA2662" i="1"/>
  <c r="Z2662" i="1"/>
  <c r="CV2649" i="1"/>
  <c r="Y2649" i="1"/>
  <c r="AB2649" i="1"/>
  <c r="AA2649" i="1"/>
  <c r="Z2649" i="1"/>
  <c r="CV2922" i="1"/>
  <c r="Y2922" i="1"/>
  <c r="AB2922" i="1"/>
  <c r="AA2922" i="1"/>
  <c r="Z2922" i="1"/>
  <c r="CV2809" i="1"/>
  <c r="Y2809" i="1"/>
  <c r="AB2809" i="1"/>
  <c r="AA2809" i="1"/>
  <c r="Z2809" i="1"/>
  <c r="CV2842" i="1"/>
  <c r="Y2842" i="1"/>
  <c r="AB2842" i="1"/>
  <c r="AA2842" i="1"/>
  <c r="Z2842" i="1"/>
  <c r="CV2857" i="1"/>
  <c r="Y2857" i="1"/>
  <c r="AB2857" i="1"/>
  <c r="AA2857" i="1"/>
  <c r="Z2857" i="1"/>
  <c r="CV2856" i="1"/>
  <c r="Y2856" i="1"/>
  <c r="AB2856" i="1"/>
  <c r="AA2856" i="1"/>
  <c r="Z2856" i="1"/>
  <c r="CV2855" i="1"/>
  <c r="Y2855" i="1"/>
  <c r="AB2855" i="1"/>
  <c r="AA2855" i="1"/>
  <c r="Z2855" i="1"/>
  <c r="CV2854" i="1"/>
  <c r="Y2854" i="1"/>
  <c r="AB2854" i="1"/>
  <c r="AA2854" i="1"/>
  <c r="Z2854" i="1"/>
  <c r="CV2838" i="1"/>
  <c r="Y2838" i="1"/>
  <c r="AB2838" i="1"/>
  <c r="AA2838" i="1"/>
  <c r="Z2838" i="1"/>
  <c r="CV2837" i="1"/>
  <c r="Y2837" i="1"/>
  <c r="AB2837" i="1"/>
  <c r="AA2837" i="1"/>
  <c r="Z2837" i="1"/>
  <c r="CV2836" i="1"/>
  <c r="Y2836" i="1"/>
  <c r="AB2836" i="1"/>
  <c r="AA2836" i="1"/>
  <c r="Z2836" i="1"/>
  <c r="CV2853" i="1"/>
  <c r="Y2853" i="1"/>
  <c r="AB2853" i="1"/>
  <c r="AA2853" i="1"/>
  <c r="Z2853" i="1"/>
  <c r="CV2835" i="1"/>
  <c r="Y2835" i="1"/>
  <c r="AB2835" i="1"/>
  <c r="AA2835" i="1"/>
  <c r="Z2835" i="1"/>
  <c r="CV2852" i="1"/>
  <c r="Y2852" i="1"/>
  <c r="AB2852" i="1"/>
  <c r="AA2852" i="1"/>
  <c r="Z2852" i="1"/>
  <c r="CV2834" i="1"/>
  <c r="Y2834" i="1"/>
  <c r="AB2834" i="1"/>
  <c r="AA2834" i="1"/>
  <c r="Z2834" i="1"/>
  <c r="CZ2521" i="1"/>
  <c r="Z2521" i="1"/>
  <c r="Z2625" i="1"/>
  <c r="CQ2720" i="1"/>
  <c r="CV2720" i="1"/>
  <c r="Y2720" i="1"/>
  <c r="CZ2720" i="1"/>
  <c r="Z2720" i="1"/>
  <c r="CQ2695" i="1"/>
  <c r="CV2695" i="1"/>
  <c r="Y2695" i="1"/>
  <c r="CZ2695" i="1"/>
  <c r="Z2695" i="1"/>
  <c r="CZ2694" i="1"/>
  <c r="Z2694" i="1"/>
  <c r="CZ2696" i="1"/>
  <c r="Z2696" i="1"/>
  <c r="CZ2216" i="1"/>
  <c r="Z2216" i="1"/>
  <c r="AY2607" i="1"/>
  <c r="Z2469" i="1"/>
  <c r="CZ2303" i="1"/>
  <c r="Z2303" i="1"/>
  <c r="DB2211" i="1"/>
  <c r="DD2211" i="1"/>
  <c r="BA2211" i="1"/>
  <c r="CS2211" i="1"/>
  <c r="CQ2211" i="1"/>
  <c r="CZ2211" i="1"/>
  <c r="Z2211" i="1"/>
  <c r="DB2435" i="1"/>
  <c r="DD2435" i="1"/>
  <c r="BA2435" i="1"/>
  <c r="CQ2435" i="1"/>
  <c r="CS2435" i="1"/>
  <c r="CZ2435" i="1"/>
  <c r="Z2435" i="1"/>
  <c r="BA1990" i="1"/>
  <c r="CV1990" i="1"/>
  <c r="Y1990" i="1"/>
  <c r="CZ1990" i="1"/>
  <c r="Z1990" i="1"/>
  <c r="BA2299" i="1"/>
  <c r="CV2299" i="1"/>
  <c r="Y2299" i="1"/>
  <c r="DD2299" i="1"/>
  <c r="AA2299" i="1"/>
  <c r="CZ2302" i="1"/>
  <c r="Z2302" i="1"/>
  <c r="DD2459" i="1"/>
  <c r="AA2459" i="1"/>
  <c r="CK2459" i="1"/>
  <c r="BM2438" i="1"/>
  <c r="J2696" i="1"/>
  <c r="CZ2660" i="1"/>
  <c r="Z2660" i="1"/>
  <c r="AA2771" i="1"/>
  <c r="Z2771" i="1"/>
  <c r="CV2833" i="1"/>
  <c r="Y2833" i="1"/>
  <c r="AB2833" i="1"/>
  <c r="AA2833" i="1"/>
  <c r="Z2833" i="1"/>
  <c r="CV2832" i="1"/>
  <c r="Y2832" i="1"/>
  <c r="AB2832" i="1"/>
  <c r="AA2832" i="1"/>
  <c r="Z2832" i="1"/>
  <c r="CV2831" i="1"/>
  <c r="Y2831" i="1"/>
  <c r="AB2831" i="1"/>
  <c r="AA2831" i="1"/>
  <c r="Z2831" i="1"/>
  <c r="CV2830" i="1"/>
  <c r="Y2830" i="1"/>
  <c r="AB2830" i="1"/>
  <c r="AA2830" i="1"/>
  <c r="Z2830" i="1"/>
  <c r="CV2829" i="1"/>
  <c r="Y2829" i="1"/>
  <c r="AB2829" i="1"/>
  <c r="AA2829" i="1"/>
  <c r="Z2829" i="1"/>
  <c r="CV2828" i="1"/>
  <c r="Y2828" i="1"/>
  <c r="AB2828" i="1"/>
  <c r="AA2828" i="1"/>
  <c r="Z2828" i="1"/>
  <c r="CV2827" i="1"/>
  <c r="Y2827" i="1"/>
  <c r="AB2827" i="1"/>
  <c r="AA2827" i="1"/>
  <c r="Z2827" i="1"/>
  <c r="CV2826" i="1"/>
  <c r="Y2826" i="1"/>
  <c r="AB2826" i="1"/>
  <c r="AA2826" i="1"/>
  <c r="Z2826" i="1"/>
  <c r="CV2825" i="1"/>
  <c r="Y2825" i="1"/>
  <c r="AB2825" i="1"/>
  <c r="AA2825" i="1"/>
  <c r="Z2825" i="1"/>
  <c r="CV2824" i="1"/>
  <c r="Y2824" i="1"/>
  <c r="AB2824" i="1"/>
  <c r="AA2824" i="1"/>
  <c r="Z2824" i="1"/>
  <c r="CV2823" i="1"/>
  <c r="Y2823" i="1"/>
  <c r="AB2823" i="1"/>
  <c r="AA2823" i="1"/>
  <c r="Z2823" i="1"/>
  <c r="CV2822" i="1"/>
  <c r="Y2822" i="1"/>
  <c r="AB2822" i="1"/>
  <c r="AA2822" i="1"/>
  <c r="Z2822" i="1"/>
  <c r="CV2801" i="1"/>
  <c r="Y2801" i="1"/>
  <c r="AB2801" i="1"/>
  <c r="AA2801" i="1"/>
  <c r="Z2801" i="1"/>
  <c r="CV2800" i="1"/>
  <c r="Y2800" i="1"/>
  <c r="AB2800" i="1"/>
  <c r="AA2800" i="1"/>
  <c r="Z2800" i="1"/>
  <c r="CV2821" i="1"/>
  <c r="Y2821" i="1"/>
  <c r="AE2821" i="1"/>
  <c r="AB2821" i="1"/>
  <c r="AA2821" i="1"/>
  <c r="Z2821" i="1"/>
  <c r="CV2820" i="1"/>
  <c r="Y2820" i="1"/>
  <c r="AB2820" i="1"/>
  <c r="AA2820" i="1"/>
  <c r="Z2820" i="1"/>
  <c r="CV2748" i="1"/>
  <c r="Y2748" i="1"/>
  <c r="AB2748" i="1"/>
  <c r="AA2748" i="1"/>
  <c r="Z2748" i="1"/>
  <c r="CV2747" i="1"/>
  <c r="Y2747" i="1"/>
  <c r="AB2747" i="1"/>
  <c r="AA2747" i="1"/>
  <c r="Z2747" i="1"/>
  <c r="CV2746" i="1"/>
  <c r="Y2746" i="1"/>
  <c r="AE2746" i="1"/>
  <c r="AB2746" i="1"/>
  <c r="AA2746" i="1"/>
  <c r="Z2746" i="1"/>
  <c r="CV2745" i="1"/>
  <c r="Y2745" i="1"/>
  <c r="AB2745" i="1"/>
  <c r="AA2745" i="1"/>
  <c r="Z2745" i="1"/>
  <c r="CV2819" i="1"/>
  <c r="Y2819" i="1"/>
  <c r="AB2819" i="1"/>
  <c r="AA2819" i="1"/>
  <c r="Z2819" i="1"/>
  <c r="CV2818" i="1"/>
  <c r="Y2818" i="1"/>
  <c r="AB2818" i="1"/>
  <c r="AA2818" i="1"/>
  <c r="Z2818" i="1"/>
  <c r="CV2808" i="1"/>
  <c r="Y2808" i="1"/>
  <c r="AB2808" i="1"/>
  <c r="AA2808" i="1"/>
  <c r="Z2808" i="1"/>
  <c r="CV2807" i="1"/>
  <c r="Y2807" i="1"/>
  <c r="AB2807" i="1"/>
  <c r="AA2807" i="1"/>
  <c r="Z2807" i="1"/>
  <c r="CV2817" i="1"/>
  <c r="Y2817" i="1"/>
  <c r="AB2817" i="1"/>
  <c r="AA2817" i="1"/>
  <c r="Z2817" i="1"/>
  <c r="CV2816" i="1"/>
  <c r="Y2816" i="1"/>
  <c r="AB2816" i="1"/>
  <c r="AA2816" i="1"/>
  <c r="Z2816" i="1"/>
  <c r="CV2815" i="1"/>
  <c r="Y2815" i="1"/>
  <c r="AB2815" i="1"/>
  <c r="AA2815" i="1"/>
  <c r="Z2815" i="1"/>
  <c r="CV2814" i="1"/>
  <c r="Y2814" i="1"/>
  <c r="AB2814" i="1"/>
  <c r="AA2814" i="1"/>
  <c r="Z2814" i="1"/>
  <c r="CV2813" i="1"/>
  <c r="Y2813" i="1"/>
  <c r="AB2813" i="1"/>
  <c r="AA2813" i="1"/>
  <c r="Z2813" i="1"/>
  <c r="AB2812" i="1"/>
  <c r="AA2812" i="1"/>
  <c r="CV2799" i="1"/>
  <c r="Y2799" i="1"/>
  <c r="AB2799" i="1"/>
  <c r="AA2799" i="1"/>
  <c r="Z2799" i="1"/>
  <c r="CV2806" i="1"/>
  <c r="Y2806" i="1"/>
  <c r="AE2806" i="1"/>
  <c r="AB2806" i="1"/>
  <c r="AA2806" i="1"/>
  <c r="Z2806" i="1"/>
  <c r="CV2805" i="1"/>
  <c r="Y2805" i="1"/>
  <c r="AB2805" i="1"/>
  <c r="AA2805" i="1"/>
  <c r="Z2805" i="1"/>
  <c r="CV2804" i="1"/>
  <c r="Y2804" i="1"/>
  <c r="AB2804" i="1"/>
  <c r="AA2804" i="1"/>
  <c r="Z2804" i="1"/>
  <c r="CV2778" i="1"/>
  <c r="Y2778" i="1"/>
  <c r="AB2778" i="1"/>
  <c r="AA2778" i="1"/>
  <c r="Z2778" i="1"/>
  <c r="CV2777" i="1"/>
  <c r="Y2777" i="1"/>
  <c r="AB2777" i="1"/>
  <c r="AA2777" i="1"/>
  <c r="Z2777" i="1"/>
  <c r="CV2776" i="1"/>
  <c r="Y2776" i="1"/>
  <c r="AB2776" i="1"/>
  <c r="AA2776" i="1"/>
  <c r="Z2776" i="1"/>
  <c r="CV2792" i="1"/>
  <c r="Y2792" i="1"/>
  <c r="AB2792" i="1"/>
  <c r="AA2792" i="1"/>
  <c r="Z2792" i="1"/>
  <c r="CV2791" i="1"/>
  <c r="Y2791" i="1"/>
  <c r="AB2791" i="1"/>
  <c r="AA2791" i="1"/>
  <c r="Z2791" i="1"/>
  <c r="CV2790" i="1"/>
  <c r="Y2790" i="1"/>
  <c r="AB2790" i="1"/>
  <c r="AA2790" i="1"/>
  <c r="Z2790" i="1"/>
  <c r="CV2789" i="1"/>
  <c r="Y2789" i="1"/>
  <c r="AB2789" i="1"/>
  <c r="AA2789" i="1"/>
  <c r="Z2789" i="1"/>
  <c r="CV2744" i="1"/>
  <c r="Y2744" i="1"/>
  <c r="AB2744" i="1"/>
  <c r="AA2744" i="1"/>
  <c r="Z2744" i="1"/>
  <c r="CV2798" i="1"/>
  <c r="Y2798" i="1"/>
  <c r="AB2798" i="1"/>
  <c r="AA2798" i="1"/>
  <c r="Z2798" i="1"/>
  <c r="CV2797" i="1"/>
  <c r="Y2797" i="1"/>
  <c r="AB2797" i="1"/>
  <c r="AA2797" i="1"/>
  <c r="Z2797" i="1"/>
  <c r="CV2796" i="1"/>
  <c r="Y2796" i="1"/>
  <c r="AB2796" i="1"/>
  <c r="AA2796" i="1"/>
  <c r="Z2796" i="1"/>
  <c r="AB2625" i="1"/>
  <c r="AA2625" i="1"/>
  <c r="AB2720" i="1"/>
  <c r="AA2720" i="1"/>
  <c r="CV2788" i="1"/>
  <c r="Y2788" i="1"/>
  <c r="AB2788" i="1"/>
  <c r="AA2788" i="1"/>
  <c r="Z2788" i="1"/>
  <c r="CV2787" i="1"/>
  <c r="Y2787" i="1"/>
  <c r="AE2787" i="1"/>
  <c r="AB2787" i="1"/>
  <c r="AA2787" i="1"/>
  <c r="Z2787" i="1"/>
  <c r="CV2786" i="1"/>
  <c r="Y2786" i="1"/>
  <c r="AB2786" i="1"/>
  <c r="AA2786" i="1"/>
  <c r="Z2786" i="1"/>
  <c r="CV2785" i="1"/>
  <c r="Y2785" i="1"/>
  <c r="AB2785" i="1"/>
  <c r="AA2785" i="1"/>
  <c r="CV2784" i="1"/>
  <c r="Y2784" i="1"/>
  <c r="AB2784" i="1"/>
  <c r="AA2784" i="1"/>
  <c r="Z2784" i="1"/>
  <c r="CV2783" i="1"/>
  <c r="Y2783" i="1"/>
  <c r="AB2783" i="1"/>
  <c r="AA2783" i="1"/>
  <c r="Z2783" i="1"/>
  <c r="CV2782" i="1"/>
  <c r="Y2782" i="1"/>
  <c r="AE2782" i="1"/>
  <c r="AB2782" i="1"/>
  <c r="AA2782" i="1"/>
  <c r="Z2782" i="1"/>
  <c r="CV2775" i="1"/>
  <c r="Y2775" i="1"/>
  <c r="AB2775" i="1"/>
  <c r="AA2775" i="1"/>
  <c r="Z2775" i="1"/>
  <c r="CV2770" i="1"/>
  <c r="Y2770" i="1"/>
  <c r="AB2770" i="1"/>
  <c r="AA2770" i="1"/>
  <c r="CV2769" i="1"/>
  <c r="Y2769" i="1"/>
  <c r="AB2769" i="1"/>
  <c r="AA2769" i="1"/>
  <c r="Z2769" i="1"/>
  <c r="CV2768" i="1"/>
  <c r="Y2768" i="1"/>
  <c r="AB2768" i="1"/>
  <c r="AA2768" i="1"/>
  <c r="CV2774" i="1"/>
  <c r="Y2774" i="1"/>
  <c r="AB2774" i="1"/>
  <c r="AA2774" i="1"/>
  <c r="Z2774" i="1"/>
  <c r="CV2719" i="1"/>
  <c r="Y2719" i="1"/>
  <c r="AB2719" i="1"/>
  <c r="AA2719" i="1"/>
  <c r="CV2661" i="1"/>
  <c r="Y2661" i="1"/>
  <c r="AB2661" i="1"/>
  <c r="AA2661" i="1"/>
  <c r="Z2661" i="1"/>
  <c r="AA2718" i="1"/>
  <c r="AB2660" i="1"/>
  <c r="AB2541" i="1"/>
  <c r="CV2717" i="1"/>
  <c r="Y2717" i="1"/>
  <c r="AA2717" i="1"/>
  <c r="Z2717" i="1"/>
  <c r="AB2743" i="1"/>
  <c r="AA2743" i="1"/>
  <c r="CV2767" i="1"/>
  <c r="Y2767" i="1"/>
  <c r="AB2767" i="1"/>
  <c r="AA2767" i="1"/>
  <c r="Z2767" i="1"/>
  <c r="CV2851" i="1"/>
  <c r="Y2851" i="1"/>
  <c r="AB2851" i="1"/>
  <c r="AA2851" i="1"/>
  <c r="Z2851" i="1"/>
  <c r="CV2764" i="1"/>
  <c r="Y2764" i="1"/>
  <c r="AB2764" i="1"/>
  <c r="AA2764" i="1"/>
  <c r="CV2766" i="1"/>
  <c r="Y2766" i="1"/>
  <c r="AB2766" i="1"/>
  <c r="AA2766" i="1"/>
  <c r="Z2766" i="1"/>
  <c r="CV2742" i="1"/>
  <c r="Y2742" i="1"/>
  <c r="AB2742" i="1"/>
  <c r="AA2742" i="1"/>
  <c r="Z2742" i="1"/>
  <c r="CV2741" i="1"/>
  <c r="Y2741" i="1"/>
  <c r="AB2741" i="1"/>
  <c r="AA2741" i="1"/>
  <c r="Z2741" i="1"/>
  <c r="CV2763" i="1"/>
  <c r="Y2763" i="1"/>
  <c r="AB2763" i="1"/>
  <c r="AA2763" i="1"/>
  <c r="Z2763" i="1"/>
  <c r="CV2762" i="1"/>
  <c r="Y2762" i="1"/>
  <c r="AB2762" i="1"/>
  <c r="AA2762" i="1"/>
  <c r="Z2762" i="1"/>
  <c r="CV2761" i="1"/>
  <c r="Y2761" i="1"/>
  <c r="AB2761" i="1"/>
  <c r="AA2761" i="1"/>
  <c r="Z2761" i="1"/>
  <c r="CV2760" i="1"/>
  <c r="Y2760" i="1"/>
  <c r="AB2760" i="1"/>
  <c r="AA2760" i="1"/>
  <c r="Z2760" i="1"/>
  <c r="CV2759" i="1"/>
  <c r="Y2759" i="1"/>
  <c r="AB2759" i="1"/>
  <c r="AA2759" i="1"/>
  <c r="Z2759" i="1"/>
  <c r="CV2758" i="1"/>
  <c r="Y2758" i="1"/>
  <c r="AB2758" i="1"/>
  <c r="AA2758" i="1"/>
  <c r="Z2758" i="1"/>
  <c r="CV2735" i="1"/>
  <c r="Y2735" i="1"/>
  <c r="AB2735" i="1"/>
  <c r="AA2735" i="1"/>
  <c r="Z2735" i="1"/>
  <c r="CV2756" i="1"/>
  <c r="Y2756" i="1"/>
  <c r="AB2756" i="1"/>
  <c r="AA2756" i="1"/>
  <c r="Z2756" i="1"/>
  <c r="CV2734" i="1"/>
  <c r="Y2734" i="1"/>
  <c r="AB2734" i="1"/>
  <c r="AA2734" i="1"/>
  <c r="Z2734" i="1"/>
  <c r="CV2733" i="1"/>
  <c r="Y2733" i="1"/>
  <c r="AB2733" i="1"/>
  <c r="AA2733" i="1"/>
  <c r="Z2733" i="1"/>
  <c r="CV2755" i="1"/>
  <c r="Y2755" i="1"/>
  <c r="AB2755" i="1"/>
  <c r="AA2755" i="1"/>
  <c r="Z2755" i="1"/>
  <c r="CV2754" i="1"/>
  <c r="Y2754" i="1"/>
  <c r="AB2754" i="1"/>
  <c r="AA2754" i="1"/>
  <c r="Z2754" i="1"/>
  <c r="CV2732" i="1"/>
  <c r="Y2732" i="1"/>
  <c r="AB2732" i="1"/>
  <c r="AA2732" i="1"/>
  <c r="Z2732" i="1"/>
  <c r="CV2731" i="1"/>
  <c r="Y2731" i="1"/>
  <c r="AB2731" i="1"/>
  <c r="AA2731" i="1"/>
  <c r="Z2731" i="1"/>
  <c r="CV2707" i="1"/>
  <c r="Y2707" i="1"/>
  <c r="AB2707" i="1"/>
  <c r="AA2707" i="1"/>
  <c r="Z2707" i="1"/>
  <c r="CV2730" i="1"/>
  <c r="Y2730" i="1"/>
  <c r="AB2730" i="1"/>
  <c r="AA2730" i="1"/>
  <c r="Z2730" i="1"/>
  <c r="CV2738" i="1"/>
  <c r="Y2738" i="1"/>
  <c r="AB2738" i="1"/>
  <c r="AA2738" i="1"/>
  <c r="Z2738" i="1"/>
  <c r="CV2739" i="1"/>
  <c r="Y2739" i="1"/>
  <c r="AB2739" i="1"/>
  <c r="AA2739" i="1"/>
  <c r="Z2739" i="1"/>
  <c r="CV2691" i="1"/>
  <c r="Y2691" i="1"/>
  <c r="AB2691" i="1"/>
  <c r="AA2691" i="1"/>
  <c r="Z2691" i="1"/>
  <c r="CV2727" i="1"/>
  <c r="Y2727" i="1"/>
  <c r="AB2727" i="1"/>
  <c r="AA2727" i="1"/>
  <c r="Z2727" i="1"/>
  <c r="CV2728" i="1"/>
  <c r="Y2728" i="1"/>
  <c r="AB2728" i="1"/>
  <c r="AA2728" i="1"/>
  <c r="Z2728" i="1"/>
  <c r="CV2737" i="1"/>
  <c r="Y2737" i="1"/>
  <c r="AB2737" i="1"/>
  <c r="AA2737" i="1"/>
  <c r="Z2737" i="1"/>
  <c r="CV2736" i="1"/>
  <c r="Y2736" i="1"/>
  <c r="AB2736" i="1"/>
  <c r="AA2736" i="1"/>
  <c r="Z2736" i="1"/>
  <c r="CV2712" i="1"/>
  <c r="Y2712" i="1"/>
  <c r="AB2712" i="1"/>
  <c r="AA2712" i="1"/>
  <c r="Z2712" i="1"/>
  <c r="CV2740" i="1"/>
  <c r="Y2740" i="1"/>
  <c r="AB2740" i="1"/>
  <c r="AA2740" i="1"/>
  <c r="Z2740" i="1"/>
  <c r="CV2706" i="1"/>
  <c r="Y2706" i="1"/>
  <c r="AB2706" i="1"/>
  <c r="AA2706" i="1"/>
  <c r="Z2706" i="1"/>
  <c r="CV2705" i="1"/>
  <c r="Y2705" i="1"/>
  <c r="AB2705" i="1"/>
  <c r="AA2705" i="1"/>
  <c r="Z2705" i="1"/>
  <c r="CV2729" i="1"/>
  <c r="Y2729" i="1"/>
  <c r="AB2729" i="1"/>
  <c r="AA2729" i="1"/>
  <c r="Z2729" i="1"/>
  <c r="AB2696" i="1"/>
  <c r="AA2696" i="1"/>
  <c r="AB2695" i="1"/>
  <c r="AA2695" i="1"/>
  <c r="AB2694" i="1"/>
  <c r="AA2694" i="1"/>
  <c r="CV2711" i="1"/>
  <c r="Y2711" i="1"/>
  <c r="AB2711" i="1"/>
  <c r="AA2711" i="1"/>
  <c r="Z2711" i="1"/>
  <c r="CV2710" i="1"/>
  <c r="Y2710" i="1"/>
  <c r="AB2710" i="1"/>
  <c r="AA2710" i="1"/>
  <c r="Z2710" i="1"/>
  <c r="CV2709" i="1"/>
  <c r="Y2709" i="1"/>
  <c r="AB2709" i="1"/>
  <c r="AA2709" i="1"/>
  <c r="Z2709" i="1"/>
  <c r="CV2704" i="1"/>
  <c r="Y2704" i="1"/>
  <c r="AB2704" i="1"/>
  <c r="AA2704" i="1"/>
  <c r="Z2704" i="1"/>
  <c r="CV2703" i="1"/>
  <c r="Y2703" i="1"/>
  <c r="AB2703" i="1"/>
  <c r="AA2703" i="1"/>
  <c r="Z2703" i="1"/>
  <c r="CV2702" i="1"/>
  <c r="Y2702" i="1"/>
  <c r="AB2702" i="1"/>
  <c r="AA2702" i="1"/>
  <c r="Z2702" i="1"/>
  <c r="CV2701" i="1"/>
  <c r="Y2701" i="1"/>
  <c r="AB2701" i="1"/>
  <c r="AA2701" i="1"/>
  <c r="Z2701" i="1"/>
  <c r="AC2340" i="1"/>
  <c r="CK2422" i="1"/>
  <c r="AB2637" i="1"/>
  <c r="AA2637" i="1"/>
  <c r="CV2700" i="1"/>
  <c r="Y2700" i="1"/>
  <c r="AB2700" i="1"/>
  <c r="AA2700" i="1"/>
  <c r="Z2700" i="1"/>
  <c r="CV2699" i="1"/>
  <c r="Y2699" i="1"/>
  <c r="AB2699" i="1"/>
  <c r="AA2699" i="1"/>
  <c r="Z2699" i="1"/>
  <c r="CV2698" i="1"/>
  <c r="Y2698" i="1"/>
  <c r="AB2698" i="1"/>
  <c r="AA2698" i="1"/>
  <c r="Z2698" i="1"/>
  <c r="CV2716" i="1"/>
  <c r="Y2716" i="1"/>
  <c r="AB2716" i="1"/>
  <c r="AA2716" i="1"/>
  <c r="Z2716" i="1"/>
  <c r="CV2715" i="1"/>
  <c r="Y2715" i="1"/>
  <c r="AB2715" i="1"/>
  <c r="AA2715" i="1"/>
  <c r="Z2715" i="1"/>
  <c r="CV2690" i="1"/>
  <c r="Y2690" i="1"/>
  <c r="AB2690" i="1"/>
  <c r="AA2690" i="1"/>
  <c r="Z2690" i="1"/>
  <c r="CV2714" i="1"/>
  <c r="Y2714" i="1"/>
  <c r="AB2714" i="1"/>
  <c r="AA2714" i="1"/>
  <c r="Z2714" i="1"/>
  <c r="CV2708" i="1"/>
  <c r="Y2708" i="1"/>
  <c r="AB2708" i="1"/>
  <c r="AA2708" i="1"/>
  <c r="Z2708" i="1"/>
  <c r="CQ2401" i="1"/>
  <c r="CV2540" i="1"/>
  <c r="Y2540" i="1"/>
  <c r="AE2540" i="1"/>
  <c r="AB2540" i="1"/>
  <c r="AA2540" i="1"/>
  <c r="Z2540" i="1"/>
  <c r="CV2506" i="1"/>
  <c r="Y2506" i="1"/>
  <c r="AB2506" i="1"/>
  <c r="AA2506" i="1"/>
  <c r="Z2506" i="1"/>
  <c r="CV2505" i="1"/>
  <c r="Y2505" i="1"/>
  <c r="AB2505" i="1"/>
  <c r="AA2505" i="1"/>
  <c r="Z2505" i="1"/>
  <c r="CV2685" i="1"/>
  <c r="Y2685" i="1"/>
  <c r="AB2685" i="1"/>
  <c r="AA2685" i="1"/>
  <c r="Z2685" i="1"/>
  <c r="CV2684" i="1"/>
  <c r="Y2684" i="1"/>
  <c r="AB2684" i="1"/>
  <c r="AA2684" i="1"/>
  <c r="Z2684" i="1"/>
  <c r="CV2671" i="1"/>
  <c r="Y2671" i="1"/>
  <c r="AB2671" i="1"/>
  <c r="AA2671" i="1"/>
  <c r="Z2671" i="1"/>
  <c r="CV2680" i="1"/>
  <c r="Y2680" i="1"/>
  <c r="AB2680" i="1"/>
  <c r="AA2680" i="1"/>
  <c r="Z2680" i="1"/>
  <c r="CV2673" i="1"/>
  <c r="Y2673" i="1"/>
  <c r="AB2673" i="1"/>
  <c r="AA2673" i="1"/>
  <c r="Z2673" i="1"/>
  <c r="CI2401" i="1"/>
  <c r="CS2401" i="1"/>
  <c r="CS2438" i="1"/>
  <c r="CQ2438" i="1"/>
  <c r="CI2438" i="1"/>
  <c r="CO2438" i="1"/>
  <c r="CA1247" i="1"/>
  <c r="DD2214" i="1"/>
  <c r="AA2214" i="1"/>
  <c r="BA2214" i="1"/>
  <c r="CK2214" i="1"/>
  <c r="BA2462" i="1"/>
  <c r="BC2462" i="1"/>
  <c r="AC2482" i="1"/>
  <c r="CZ2438" i="1"/>
  <c r="Z2438" i="1"/>
  <c r="CA2392" i="1"/>
  <c r="CS2360" i="1"/>
  <c r="CI2360" i="1"/>
  <c r="CK2360" i="1"/>
  <c r="CZ2567" i="1"/>
  <c r="Z2567" i="1"/>
  <c r="CZ2580" i="1"/>
  <c r="Z2580" i="1"/>
  <c r="CV2497" i="1"/>
  <c r="AB2497" i="1"/>
  <c r="AA2497" i="1"/>
  <c r="Z2497" i="1"/>
  <c r="Y2497" i="1"/>
  <c r="CV2679" i="1"/>
  <c r="AB2679" i="1"/>
  <c r="AA2679" i="1"/>
  <c r="Z2679" i="1"/>
  <c r="Y2679" i="1"/>
  <c r="CV2686" i="1"/>
  <c r="AB2686" i="1"/>
  <c r="AA2686" i="1"/>
  <c r="Z2686" i="1"/>
  <c r="Y2686" i="1"/>
  <c r="CV2672" i="1"/>
  <c r="Y2672" i="1"/>
  <c r="AB2672" i="1"/>
  <c r="AA2672" i="1"/>
  <c r="Z2672" i="1"/>
  <c r="CV2688" i="1"/>
  <c r="AB2688" i="1"/>
  <c r="AA2688" i="1"/>
  <c r="Z2688" i="1"/>
  <c r="Y2688" i="1"/>
  <c r="CV2687" i="1"/>
  <c r="AB2687" i="1"/>
  <c r="AA2687" i="1"/>
  <c r="Z2687" i="1"/>
  <c r="Y2687" i="1"/>
  <c r="CV2674" i="1"/>
  <c r="AB2674" i="1"/>
  <c r="AA2674" i="1"/>
  <c r="Z2674" i="1"/>
  <c r="Y2674" i="1"/>
  <c r="CV2681" i="1"/>
  <c r="Y2681" i="1"/>
  <c r="AB2681" i="1"/>
  <c r="AA2681" i="1"/>
  <c r="Z2681" i="1"/>
  <c r="CV2683" i="1"/>
  <c r="AB2683" i="1"/>
  <c r="AA2683" i="1"/>
  <c r="Z2683" i="1"/>
  <c r="Y2683" i="1"/>
  <c r="CV2682" i="1"/>
  <c r="AB2682" i="1"/>
  <c r="AA2682" i="1"/>
  <c r="Z2682" i="1"/>
  <c r="Y2682" i="1"/>
  <c r="CV2479" i="1"/>
  <c r="Y2479" i="1"/>
  <c r="AB2479" i="1"/>
  <c r="Z2479" i="1"/>
  <c r="CV2643" i="1"/>
  <c r="Y2643" i="1"/>
  <c r="AB2643" i="1"/>
  <c r="AA2643" i="1"/>
  <c r="Z2643" i="1"/>
  <c r="AB2670" i="1"/>
  <c r="Z2670" i="1"/>
  <c r="CV2668" i="1"/>
  <c r="AB2668" i="1"/>
  <c r="AA2668" i="1"/>
  <c r="Z2668" i="1"/>
  <c r="Y2668" i="1"/>
  <c r="AB2615" i="1"/>
  <c r="AA2615" i="1"/>
  <c r="Z2615" i="1"/>
  <c r="CV2675" i="1"/>
  <c r="AB2675" i="1"/>
  <c r="AA2675" i="1"/>
  <c r="Z2675" i="1"/>
  <c r="Y2675" i="1"/>
  <c r="CV2676" i="1"/>
  <c r="AB2676" i="1"/>
  <c r="AA2676" i="1"/>
  <c r="Z2676" i="1"/>
  <c r="Y2676" i="1"/>
  <c r="CV2669" i="1"/>
  <c r="AB2669" i="1"/>
  <c r="AA2669" i="1"/>
  <c r="Z2669" i="1"/>
  <c r="Y2669" i="1"/>
  <c r="CV2667" i="1"/>
  <c r="AB2667" i="1"/>
  <c r="AA2667" i="1"/>
  <c r="Z2667" i="1"/>
  <c r="Y2667" i="1"/>
  <c r="CV2631" i="1"/>
  <c r="AB2631" i="1"/>
  <c r="AA2631" i="1"/>
  <c r="Z2631" i="1"/>
  <c r="Y2631" i="1"/>
  <c r="CV2642" i="1"/>
  <c r="AB2642" i="1"/>
  <c r="AA2642" i="1"/>
  <c r="Z2642" i="1"/>
  <c r="Y2642" i="1"/>
  <c r="CV2657" i="1"/>
  <c r="AB2657" i="1"/>
  <c r="AA2657" i="1"/>
  <c r="Z2657" i="1"/>
  <c r="Y2657" i="1"/>
  <c r="CV2677" i="1"/>
  <c r="AB2677" i="1"/>
  <c r="AA2677" i="1"/>
  <c r="Z2677" i="1"/>
  <c r="Y2677" i="1"/>
  <c r="CV2653" i="1"/>
  <c r="AB2653" i="1"/>
  <c r="AA2653" i="1"/>
  <c r="Z2653" i="1"/>
  <c r="Y2653" i="1"/>
  <c r="CV2641" i="1"/>
  <c r="AB2641" i="1"/>
  <c r="AA2641" i="1"/>
  <c r="Z2641" i="1"/>
  <c r="Y2641" i="1"/>
  <c r="CV2659" i="1"/>
  <c r="Y2659" i="1"/>
  <c r="AB2659" i="1"/>
  <c r="AA2659" i="1"/>
  <c r="Z2659" i="1"/>
  <c r="CV2656" i="1"/>
  <c r="Y2656" i="1"/>
  <c r="AB2656" i="1"/>
  <c r="AA2656" i="1"/>
  <c r="Z2656" i="1"/>
  <c r="CV2655" i="1"/>
  <c r="Y2655" i="1"/>
  <c r="AB2655" i="1"/>
  <c r="AA2655" i="1"/>
  <c r="Z2655" i="1"/>
  <c r="CV2654" i="1"/>
  <c r="Y2654" i="1"/>
  <c r="AB2654" i="1"/>
  <c r="AA2654" i="1"/>
  <c r="Z2654" i="1"/>
  <c r="CV2614" i="1"/>
  <c r="Y2614" i="1"/>
  <c r="AB2614" i="1"/>
  <c r="AA2614" i="1"/>
  <c r="Z2614" i="1"/>
  <c r="CV2613" i="1"/>
  <c r="Y2613" i="1"/>
  <c r="AB2613" i="1"/>
  <c r="AA2613" i="1"/>
  <c r="Z2613" i="1"/>
  <c r="CV2634" i="1"/>
  <c r="Y2634" i="1"/>
  <c r="AB2634" i="1"/>
  <c r="AA2634" i="1"/>
  <c r="Z2634" i="1"/>
  <c r="CV2633" i="1"/>
  <c r="Y2633" i="1"/>
  <c r="AB2633" i="1"/>
  <c r="AA2633" i="1"/>
  <c r="Z2633" i="1"/>
  <c r="CV2647" i="1"/>
  <c r="Y2647" i="1"/>
  <c r="AB2647" i="1"/>
  <c r="AA2647" i="1"/>
  <c r="Z2647" i="1"/>
  <c r="CV2627" i="1"/>
  <c r="Y2627" i="1"/>
  <c r="AB2627" i="1"/>
  <c r="AA2627" i="1"/>
  <c r="Z2627" i="1"/>
  <c r="CV2636" i="1"/>
  <c r="Y2636" i="1"/>
  <c r="AB2636" i="1"/>
  <c r="AA2636" i="1"/>
  <c r="Z2636" i="1"/>
  <c r="CV2630" i="1"/>
  <c r="Y2630" i="1"/>
  <c r="AB2630" i="1"/>
  <c r="AA2630" i="1"/>
  <c r="Z2630" i="1"/>
  <c r="CV2652" i="1"/>
  <c r="Y2652" i="1"/>
  <c r="AB2652" i="1"/>
  <c r="AA2652" i="1"/>
  <c r="Z2652" i="1"/>
  <c r="CV2640" i="1"/>
  <c r="Y2640" i="1"/>
  <c r="AB2640" i="1"/>
  <c r="AA2640" i="1"/>
  <c r="Z2640" i="1"/>
  <c r="CV2644" i="1"/>
  <c r="Y2644" i="1"/>
  <c r="AB2644" i="1"/>
  <c r="AA2644" i="1"/>
  <c r="Z2644" i="1"/>
  <c r="CV2632" i="1"/>
  <c r="Y2632" i="1"/>
  <c r="AB2632" i="1"/>
  <c r="AA2632" i="1"/>
  <c r="Z2632" i="1"/>
  <c r="CV2629" i="1"/>
  <c r="Y2629" i="1"/>
  <c r="AB2629" i="1"/>
  <c r="AA2629" i="1"/>
  <c r="Z2629" i="1"/>
  <c r="CV2646" i="1"/>
  <c r="Y2646" i="1"/>
  <c r="AB2646" i="1"/>
  <c r="AA2646" i="1"/>
  <c r="Z2646" i="1"/>
  <c r="DD2147" i="1"/>
  <c r="AA2147" i="1"/>
  <c r="AC1986" i="1"/>
  <c r="DD1986" i="1"/>
  <c r="AA1986" i="1"/>
  <c r="DD2060" i="1"/>
  <c r="DB2060" i="1"/>
  <c r="AC2060" i="1"/>
  <c r="Z2607" i="1"/>
  <c r="CZ2592" i="1"/>
  <c r="Z2592" i="1"/>
  <c r="CZ2555" i="1"/>
  <c r="Z2555" i="1"/>
  <c r="Z2490" i="1"/>
  <c r="J2303" i="1"/>
  <c r="DC2203" i="1"/>
  <c r="CV2697" i="1"/>
  <c r="AB2697" i="1"/>
  <c r="AA2697" i="1"/>
  <c r="Z2697" i="1"/>
  <c r="Y2697" i="1"/>
  <c r="CV2658" i="1"/>
  <c r="Y2658" i="1"/>
  <c r="AE2658" i="1"/>
  <c r="AB2658" i="1"/>
  <c r="AA2658" i="1"/>
  <c r="Z2658" i="1"/>
  <c r="AB2689" i="1"/>
  <c r="AA2689" i="1"/>
  <c r="CV2713" i="1"/>
  <c r="Y2713" i="1"/>
  <c r="AB2713" i="1"/>
  <c r="AA2713" i="1"/>
  <c r="Z2713" i="1"/>
  <c r="CV2693" i="1"/>
  <c r="Y2693" i="1"/>
  <c r="AB2693" i="1"/>
  <c r="AA2693" i="1"/>
  <c r="Z2693" i="1"/>
  <c r="CV2588" i="1"/>
  <c r="Y2588" i="1"/>
  <c r="AB2588" i="1"/>
  <c r="AA2588" i="1"/>
  <c r="Z2588" i="1"/>
  <c r="CV2645" i="1"/>
  <c r="Y2645" i="1"/>
  <c r="AB2645" i="1"/>
  <c r="AA2645" i="1"/>
  <c r="Z2645" i="1"/>
  <c r="CV2639" i="1"/>
  <c r="Y2639" i="1"/>
  <c r="AB2639" i="1"/>
  <c r="AA2639" i="1"/>
  <c r="Z2639" i="1"/>
  <c r="CV2638" i="1"/>
  <c r="Y2638" i="1"/>
  <c r="AB2638" i="1"/>
  <c r="AA2638" i="1"/>
  <c r="Z2638" i="1"/>
  <c r="CV2628" i="1"/>
  <c r="Y2628" i="1"/>
  <c r="AB2628" i="1"/>
  <c r="AA2628" i="1"/>
  <c r="Z2628" i="1"/>
  <c r="CV2635" i="1"/>
  <c r="Y2635" i="1"/>
  <c r="AB2635" i="1"/>
  <c r="AA2635" i="1"/>
  <c r="Z2635" i="1"/>
  <c r="CV2648" i="1"/>
  <c r="Y2648" i="1"/>
  <c r="AB2648" i="1"/>
  <c r="AA2648" i="1"/>
  <c r="Z2648" i="1"/>
  <c r="AB2624" i="1"/>
  <c r="AA2624" i="1"/>
  <c r="CV2623" i="1"/>
  <c r="Y2623" i="1"/>
  <c r="AB2623" i="1"/>
  <c r="AA2623" i="1"/>
  <c r="Z2623" i="1"/>
  <c r="CV2612" i="1"/>
  <c r="Y2612" i="1"/>
  <c r="AB2612" i="1"/>
  <c r="AA2612" i="1"/>
  <c r="Z2612" i="1"/>
  <c r="CV2621" i="1"/>
  <c r="Y2621" i="1"/>
  <c r="AB2621" i="1"/>
  <c r="AA2621" i="1"/>
  <c r="Z2621" i="1"/>
  <c r="CV2620" i="1"/>
  <c r="Y2620" i="1"/>
  <c r="AB2620" i="1"/>
  <c r="AA2620" i="1"/>
  <c r="Z2620" i="1"/>
  <c r="CV2619" i="1"/>
  <c r="Y2619" i="1"/>
  <c r="AB2619" i="1"/>
  <c r="AA2619" i="1"/>
  <c r="Z2619" i="1"/>
  <c r="AB2607" i="1"/>
  <c r="CV2536" i="1"/>
  <c r="Y2536" i="1"/>
  <c r="AA2536" i="1"/>
  <c r="Z2536" i="1"/>
  <c r="CV2469" i="1"/>
  <c r="Y2469" i="1"/>
  <c r="AB2469" i="1"/>
  <c r="AA2469" i="1"/>
  <c r="CV2530" i="1"/>
  <c r="Y2530" i="1"/>
  <c r="AA2530" i="1"/>
  <c r="Z2530" i="1"/>
  <c r="CV2550" i="1"/>
  <c r="Y2550" i="1"/>
  <c r="AA2550" i="1"/>
  <c r="Z2550" i="1"/>
  <c r="CV2590" i="1"/>
  <c r="Y2590" i="1"/>
  <c r="AB2590" i="1"/>
  <c r="AA2590" i="1"/>
  <c r="Z2590" i="1"/>
  <c r="CV2616" i="1"/>
  <c r="Y2616" i="1"/>
  <c r="AB2616" i="1"/>
  <c r="AA2616" i="1"/>
  <c r="Z2616" i="1"/>
  <c r="CV2605" i="1"/>
  <c r="Y2605" i="1"/>
  <c r="AB2605" i="1"/>
  <c r="AA2605" i="1"/>
  <c r="Z2605" i="1"/>
  <c r="CV2622" i="1"/>
  <c r="Y2622" i="1"/>
  <c r="AB2622" i="1"/>
  <c r="AA2622" i="1"/>
  <c r="Z2622" i="1"/>
  <c r="CV2618" i="1"/>
  <c r="Y2618" i="1"/>
  <c r="AB2618" i="1"/>
  <c r="AA2618" i="1"/>
  <c r="Z2618" i="1"/>
  <c r="CV2617" i="1"/>
  <c r="Y2617" i="1"/>
  <c r="AB2617" i="1"/>
  <c r="AA2617" i="1"/>
  <c r="Z2617" i="1"/>
  <c r="CV2606" i="1"/>
  <c r="Y2606" i="1"/>
  <c r="AB2606" i="1"/>
  <c r="AA2606" i="1"/>
  <c r="Z2606" i="1"/>
  <c r="AC2378" i="1"/>
  <c r="CA2378" i="1"/>
  <c r="CV2378" i="1"/>
  <c r="Y2378" i="1"/>
  <c r="CX2378" i="1"/>
  <c r="AB2378" i="1"/>
  <c r="CS2203" i="1"/>
  <c r="BA2203" i="1"/>
  <c r="CQ2203" i="1"/>
  <c r="AC2164" i="1"/>
  <c r="DD2164" i="1"/>
  <c r="AA2164" i="1"/>
  <c r="CQ2422" i="1"/>
  <c r="CZ2422" i="1"/>
  <c r="Z2422" i="1"/>
  <c r="J2593" i="1"/>
  <c r="DD2320" i="1"/>
  <c r="AA2320" i="1"/>
  <c r="CS2322" i="1"/>
  <c r="CS2321" i="1"/>
  <c r="CQ2322" i="1"/>
  <c r="CQ2321" i="1"/>
  <c r="CO2322" i="1"/>
  <c r="CO2321" i="1"/>
  <c r="BM2322" i="1"/>
  <c r="BM2321" i="1"/>
  <c r="CO2392" i="1"/>
  <c r="CZ2397" i="1"/>
  <c r="Z2397" i="1"/>
  <c r="CS2397" i="1"/>
  <c r="CX2422" i="1"/>
  <c r="AB2422" i="1"/>
  <c r="AC2392" i="1"/>
  <c r="CA2300" i="1"/>
  <c r="CV2300" i="1"/>
  <c r="Y2300" i="1"/>
  <c r="CZ2300" i="1"/>
  <c r="Z2300" i="1"/>
  <c r="CV2603" i="1"/>
  <c r="AB2603" i="1"/>
  <c r="AA2603" i="1"/>
  <c r="Z2603" i="1"/>
  <c r="Y2603" i="1"/>
  <c r="CV2602" i="1"/>
  <c r="Y2602" i="1"/>
  <c r="AB2602" i="1"/>
  <c r="AA2602" i="1"/>
  <c r="Z2602" i="1"/>
  <c r="CV2601" i="1"/>
  <c r="Y2601" i="1"/>
  <c r="AB2601" i="1"/>
  <c r="AA2601" i="1"/>
  <c r="Z2601" i="1"/>
  <c r="CV2589" i="1"/>
  <c r="Y2589" i="1"/>
  <c r="AB2589" i="1"/>
  <c r="AA2589" i="1"/>
  <c r="Z2589" i="1"/>
  <c r="CV2598" i="1"/>
  <c r="Y2598" i="1"/>
  <c r="AB2598" i="1"/>
  <c r="AA2598" i="1"/>
  <c r="Z2598" i="1"/>
  <c r="CV2597" i="1"/>
  <c r="Y2597" i="1"/>
  <c r="AB2597" i="1"/>
  <c r="AA2597" i="1"/>
  <c r="Z2597" i="1"/>
  <c r="CV2596" i="1"/>
  <c r="Y2596" i="1"/>
  <c r="AB2596" i="1"/>
  <c r="AA2596" i="1"/>
  <c r="Z2596" i="1"/>
  <c r="CV2595" i="1"/>
  <c r="Y2595" i="1"/>
  <c r="AB2595" i="1"/>
  <c r="AA2595" i="1"/>
  <c r="Z2595" i="1"/>
  <c r="CV2559" i="1"/>
  <c r="Y2559" i="1"/>
  <c r="AB2559" i="1"/>
  <c r="AA2559" i="1"/>
  <c r="Z2559" i="1"/>
  <c r="CV2558" i="1"/>
  <c r="Y2558" i="1"/>
  <c r="AB2558" i="1"/>
  <c r="AA2558" i="1"/>
  <c r="Z2558" i="1"/>
  <c r="CV2594" i="1"/>
  <c r="Y2594" i="1"/>
  <c r="AB2594" i="1"/>
  <c r="AA2594" i="1"/>
  <c r="Z2594" i="1"/>
  <c r="CV2557" i="1"/>
  <c r="Y2557" i="1"/>
  <c r="AB2557" i="1"/>
  <c r="AA2557" i="1"/>
  <c r="Z2557" i="1"/>
  <c r="CV2599" i="1"/>
  <c r="Y2599" i="1"/>
  <c r="AE2599" i="1"/>
  <c r="AB2599" i="1"/>
  <c r="AA2599" i="1"/>
  <c r="Z2599" i="1"/>
  <c r="CV2592" i="1"/>
  <c r="Y2592" i="1"/>
  <c r="AB2592" i="1"/>
  <c r="AA2592" i="1"/>
  <c r="CV2591" i="1"/>
  <c r="Y2591" i="1"/>
  <c r="AB2591" i="1"/>
  <c r="AA2591" i="1"/>
  <c r="Z2591" i="1"/>
  <c r="CV2593" i="1"/>
  <c r="Y2593" i="1"/>
  <c r="AE2593" i="1"/>
  <c r="AB2593" i="1"/>
  <c r="AA2593" i="1"/>
  <c r="Z2593" i="1"/>
  <c r="CV2574" i="1"/>
  <c r="Y2574" i="1"/>
  <c r="AB2574" i="1"/>
  <c r="AA2574" i="1"/>
  <c r="Z2574" i="1"/>
  <c r="CV2573" i="1"/>
  <c r="Y2573" i="1"/>
  <c r="AB2573" i="1"/>
  <c r="AA2573" i="1"/>
  <c r="Z2573" i="1"/>
  <c r="CV2578" i="1"/>
  <c r="Y2578" i="1"/>
  <c r="AB2578" i="1"/>
  <c r="AA2578" i="1"/>
  <c r="Z2578" i="1"/>
  <c r="CV2587" i="1"/>
  <c r="Y2587" i="1"/>
  <c r="AB2587" i="1"/>
  <c r="AA2587" i="1"/>
  <c r="Z2587" i="1"/>
  <c r="CV2556" i="1"/>
  <c r="Y2556" i="1"/>
  <c r="AB2556" i="1"/>
  <c r="AA2556" i="1"/>
  <c r="CV2585" i="1"/>
  <c r="Y2585" i="1"/>
  <c r="AB2585" i="1"/>
  <c r="AA2585" i="1"/>
  <c r="Z2585" i="1"/>
  <c r="CV2584" i="1"/>
  <c r="Y2584" i="1"/>
  <c r="AB2584" i="1"/>
  <c r="AA2584" i="1"/>
  <c r="Z2584" i="1"/>
  <c r="CV2583" i="1"/>
  <c r="Y2583" i="1"/>
  <c r="AB2583" i="1"/>
  <c r="AA2583" i="1"/>
  <c r="Z2583" i="1"/>
  <c r="CV2582" i="1"/>
  <c r="Y2582" i="1"/>
  <c r="AB2582" i="1"/>
  <c r="AA2582" i="1"/>
  <c r="Z2582" i="1"/>
  <c r="CV2580" i="1"/>
  <c r="Y2580" i="1"/>
  <c r="AB2580" i="1"/>
  <c r="CV2554" i="1"/>
  <c r="Y2554" i="1"/>
  <c r="AB2554" i="1"/>
  <c r="AA2554" i="1"/>
  <c r="Z2554" i="1"/>
  <c r="CV2565" i="1"/>
  <c r="Y2565" i="1"/>
  <c r="AB2565" i="1"/>
  <c r="AA2565" i="1"/>
  <c r="Z2565" i="1"/>
  <c r="CV2577" i="1"/>
  <c r="Y2577" i="1"/>
  <c r="AB2577" i="1"/>
  <c r="AA2577" i="1"/>
  <c r="Z2577" i="1"/>
  <c r="CV2581" i="1"/>
  <c r="Y2581" i="1"/>
  <c r="AB2581" i="1"/>
  <c r="AA2581" i="1"/>
  <c r="Z2581" i="1"/>
  <c r="CV2566" i="1"/>
  <c r="Y2566" i="1"/>
  <c r="AB2566" i="1"/>
  <c r="AA2566" i="1"/>
  <c r="Z2566" i="1"/>
  <c r="CV2572" i="1"/>
  <c r="Y2572" i="1"/>
  <c r="AB2572" i="1"/>
  <c r="AA2572" i="1"/>
  <c r="Z2572" i="1"/>
  <c r="CV2571" i="1"/>
  <c r="Y2571" i="1"/>
  <c r="AB2571" i="1"/>
  <c r="AA2571" i="1"/>
  <c r="Z2571" i="1"/>
  <c r="CV2545" i="1"/>
  <c r="Y2545" i="1"/>
  <c r="AB2545" i="1"/>
  <c r="AA2545" i="1"/>
  <c r="Z2545" i="1"/>
  <c r="CV2549" i="1"/>
  <c r="Y2549" i="1"/>
  <c r="AB2549" i="1"/>
  <c r="AA2549" i="1"/>
  <c r="Z2549" i="1"/>
  <c r="CV2551" i="1"/>
  <c r="Y2551" i="1"/>
  <c r="AB2551" i="1"/>
  <c r="AA2551" i="1"/>
  <c r="Z2551" i="1"/>
  <c r="CV2563" i="1"/>
  <c r="Y2563" i="1"/>
  <c r="AB2563" i="1"/>
  <c r="AA2563" i="1"/>
  <c r="Z2563" i="1"/>
  <c r="CV2562" i="1"/>
  <c r="Y2562" i="1"/>
  <c r="AB2562" i="1"/>
  <c r="AA2562" i="1"/>
  <c r="Z2562" i="1"/>
  <c r="CV2465" i="1"/>
  <c r="Y2465" i="1"/>
  <c r="AA2465" i="1"/>
  <c r="Z2465" i="1"/>
  <c r="CV2600" i="1"/>
  <c r="Y2600" i="1"/>
  <c r="AB2600" i="1"/>
  <c r="AA2600" i="1"/>
  <c r="CV2604" i="1"/>
  <c r="Y2604" i="1"/>
  <c r="AB2604" i="1"/>
  <c r="AA2604" i="1"/>
  <c r="Z2604" i="1"/>
  <c r="CV2561" i="1"/>
  <c r="Y2561" i="1"/>
  <c r="AB2561" i="1"/>
  <c r="AA2561" i="1"/>
  <c r="Z2561" i="1"/>
  <c r="CV2560" i="1"/>
  <c r="Y2560" i="1"/>
  <c r="AE2560" i="1"/>
  <c r="AB2560" i="1"/>
  <c r="AA2560" i="1"/>
  <c r="Z2560" i="1"/>
  <c r="CV2564" i="1"/>
  <c r="Y2564" i="1"/>
  <c r="AB2564" i="1"/>
  <c r="AA2564" i="1"/>
  <c r="Z2564" i="1"/>
  <c r="CV2570" i="1"/>
  <c r="Y2570" i="1"/>
  <c r="AB2570" i="1"/>
  <c r="AA2570" i="1"/>
  <c r="Z2570" i="1"/>
  <c r="AB2567" i="1"/>
  <c r="CV2475" i="1"/>
  <c r="Y2475" i="1"/>
  <c r="AB2475" i="1"/>
  <c r="AA2475" i="1"/>
  <c r="Z2475" i="1"/>
  <c r="CV2463" i="1"/>
  <c r="Y2463" i="1"/>
  <c r="AB2463" i="1"/>
  <c r="AA2463" i="1"/>
  <c r="Z2463" i="1"/>
  <c r="CV2402" i="1"/>
  <c r="Y2402" i="1"/>
  <c r="AB2402" i="1"/>
  <c r="AA2402" i="1"/>
  <c r="Z2402" i="1"/>
  <c r="CV2553" i="1"/>
  <c r="Y2553" i="1"/>
  <c r="AB2553" i="1"/>
  <c r="AA2553" i="1"/>
  <c r="Z2553" i="1"/>
  <c r="AB2555" i="1"/>
  <c r="AA2555" i="1"/>
  <c r="CV2552" i="1"/>
  <c r="Y2552" i="1"/>
  <c r="AB2552" i="1"/>
  <c r="AA2552" i="1"/>
  <c r="Z2552" i="1"/>
  <c r="CV2533" i="1"/>
  <c r="Y2533" i="1"/>
  <c r="AB2533" i="1"/>
  <c r="AA2533" i="1"/>
  <c r="Z2533" i="1"/>
  <c r="CV2569" i="1"/>
  <c r="Y2569" i="1"/>
  <c r="AB2569" i="1"/>
  <c r="AA2569" i="1"/>
  <c r="Z2569" i="1"/>
  <c r="CV2568" i="1"/>
  <c r="Y2568" i="1"/>
  <c r="AB2568" i="1"/>
  <c r="AA2568" i="1"/>
  <c r="Z2568" i="1"/>
  <c r="CV2532" i="1"/>
  <c r="Y2532" i="1"/>
  <c r="AB2532" i="1"/>
  <c r="AA2532" i="1"/>
  <c r="Z2532" i="1"/>
  <c r="CV2531" i="1"/>
  <c r="Y2531" i="1"/>
  <c r="AB2531" i="1"/>
  <c r="AA2531" i="1"/>
  <c r="Z2531" i="1"/>
  <c r="CV2523" i="1"/>
  <c r="Y2523" i="1"/>
  <c r="AB2523" i="1"/>
  <c r="AA2523" i="1"/>
  <c r="Z2523" i="1"/>
  <c r="CV2537" i="1"/>
  <c r="Y2537" i="1"/>
  <c r="AB2537" i="1"/>
  <c r="AA2537" i="1"/>
  <c r="Z2537" i="1"/>
  <c r="CS2347" i="1"/>
  <c r="CQ2347" i="1"/>
  <c r="CZ2347" i="1"/>
  <c r="Z2347" i="1"/>
  <c r="BA2459" i="1"/>
  <c r="CQ2459" i="1"/>
  <c r="CS2459" i="1"/>
  <c r="CZ2459" i="1"/>
  <c r="Z2459" i="1"/>
  <c r="CV2535" i="1"/>
  <c r="Y2535" i="1"/>
  <c r="AB2535" i="1"/>
  <c r="AA2535" i="1"/>
  <c r="Z2535" i="1"/>
  <c r="AB2534" i="1"/>
  <c r="AA2534" i="1"/>
  <c r="AB2347" i="1"/>
  <c r="AA2347" i="1"/>
  <c r="AB2459" i="1"/>
  <c r="AB2521" i="1"/>
  <c r="AA2521" i="1"/>
  <c r="CV2526" i="1"/>
  <c r="Y2526" i="1"/>
  <c r="AB2526" i="1"/>
  <c r="AA2526" i="1"/>
  <c r="Z2526" i="1"/>
  <c r="CV2520" i="1"/>
  <c r="Y2520" i="1"/>
  <c r="AB2520" i="1"/>
  <c r="AA2520" i="1"/>
  <c r="Z2520" i="1"/>
  <c r="CV2522" i="1"/>
  <c r="Y2522" i="1"/>
  <c r="AB2522" i="1"/>
  <c r="AA2522" i="1"/>
  <c r="Z2522" i="1"/>
  <c r="CV2547" i="1"/>
  <c r="Y2547" i="1"/>
  <c r="AB2547" i="1"/>
  <c r="AA2547" i="1"/>
  <c r="Z2547" i="1"/>
  <c r="AB2546" i="1"/>
  <c r="AA2546" i="1"/>
  <c r="Z2546" i="1"/>
  <c r="CV2539" i="1"/>
  <c r="Y2539" i="1"/>
  <c r="AB2539" i="1"/>
  <c r="AA2539" i="1"/>
  <c r="Z2539" i="1"/>
  <c r="CV2503" i="1"/>
  <c r="Y2503" i="1"/>
  <c r="AB2503" i="1"/>
  <c r="AA2503" i="1"/>
  <c r="Z2503" i="1"/>
  <c r="CV2538" i="1"/>
  <c r="Y2538" i="1"/>
  <c r="AB2538" i="1"/>
  <c r="AA2538" i="1"/>
  <c r="Z2538" i="1"/>
  <c r="CV2519" i="1"/>
  <c r="Y2519" i="1"/>
  <c r="AB2519" i="1"/>
  <c r="AA2519" i="1"/>
  <c r="Z2519" i="1"/>
  <c r="CV2528" i="1"/>
  <c r="Y2528" i="1"/>
  <c r="AB2528" i="1"/>
  <c r="AA2528" i="1"/>
  <c r="Z2528" i="1"/>
  <c r="CV2512" i="1"/>
  <c r="Y2512" i="1"/>
  <c r="AB2512" i="1"/>
  <c r="AA2512" i="1"/>
  <c r="Z2512" i="1"/>
  <c r="AB2504" i="1"/>
  <c r="Z2504" i="1"/>
  <c r="CV2527" i="1"/>
  <c r="Y2527" i="1"/>
  <c r="AB2527" i="1"/>
  <c r="AA2527" i="1"/>
  <c r="Z2527" i="1"/>
  <c r="CV2513" i="1"/>
  <c r="Y2513" i="1"/>
  <c r="AB2513" i="1"/>
  <c r="AA2513" i="1"/>
  <c r="Z2513" i="1"/>
  <c r="CV2508" i="1"/>
  <c r="Y2508" i="1"/>
  <c r="AB2508" i="1"/>
  <c r="AA2508" i="1"/>
  <c r="Z2508" i="1"/>
  <c r="CV2525" i="1"/>
  <c r="Y2525" i="1"/>
  <c r="AB2525" i="1"/>
  <c r="AA2525" i="1"/>
  <c r="Z2525" i="1"/>
  <c r="CV2515" i="1"/>
  <c r="Y2515" i="1"/>
  <c r="AB2515" i="1"/>
  <c r="AA2515" i="1"/>
  <c r="Z2515" i="1"/>
  <c r="CV2514" i="1"/>
  <c r="Y2514" i="1"/>
  <c r="AE2514" i="1"/>
  <c r="AB2514" i="1"/>
  <c r="AA2514" i="1"/>
  <c r="Z2514" i="1"/>
  <c r="CV2509" i="1"/>
  <c r="Y2509" i="1"/>
  <c r="AB2509" i="1"/>
  <c r="AA2509" i="1"/>
  <c r="Z2509" i="1"/>
  <c r="AB2490" i="1"/>
  <c r="CV2492" i="1"/>
  <c r="Y2492" i="1"/>
  <c r="AB2492" i="1"/>
  <c r="AA2492" i="1"/>
  <c r="Z2492" i="1"/>
  <c r="CV2491" i="1"/>
  <c r="Y2491" i="1"/>
  <c r="AB2491" i="1"/>
  <c r="AA2491" i="1"/>
  <c r="Z2491" i="1"/>
  <c r="CV2478" i="1"/>
  <c r="Y2478" i="1"/>
  <c r="AB2478" i="1"/>
  <c r="AA2478" i="1"/>
  <c r="Z2478" i="1"/>
  <c r="CV2477" i="1"/>
  <c r="Y2477" i="1"/>
  <c r="AB2477" i="1"/>
  <c r="AA2477" i="1"/>
  <c r="Z2477" i="1"/>
  <c r="CV2496" i="1"/>
  <c r="Y2496" i="1"/>
  <c r="AB2496" i="1"/>
  <c r="AA2496" i="1"/>
  <c r="Z2496" i="1"/>
  <c r="CV2495" i="1"/>
  <c r="Y2495" i="1"/>
  <c r="AB2495" i="1"/>
  <c r="AA2495" i="1"/>
  <c r="Z2495" i="1"/>
  <c r="CV2494" i="1"/>
  <c r="Y2494" i="1"/>
  <c r="AB2494" i="1"/>
  <c r="AA2494" i="1"/>
  <c r="Z2494" i="1"/>
  <c r="CV2502" i="1"/>
  <c r="Y2502" i="1"/>
  <c r="AB2502" i="1"/>
  <c r="AA2502" i="1"/>
  <c r="Z2502" i="1"/>
  <c r="CV2500" i="1"/>
  <c r="Y2500" i="1"/>
  <c r="AB2500" i="1"/>
  <c r="AA2500" i="1"/>
  <c r="Z2500" i="1"/>
  <c r="CV2499" i="1"/>
  <c r="Y2499" i="1"/>
  <c r="AB2499" i="1"/>
  <c r="AA2499" i="1"/>
  <c r="Z2499" i="1"/>
  <c r="CV2489" i="1"/>
  <c r="Y2489" i="1"/>
  <c r="AB2489" i="1"/>
  <c r="AA2489" i="1"/>
  <c r="Z2489" i="1"/>
  <c r="CV2501" i="1"/>
  <c r="Y2501" i="1"/>
  <c r="AB2501" i="1"/>
  <c r="AA2501" i="1"/>
  <c r="Z2501" i="1"/>
  <c r="CV2498" i="1"/>
  <c r="Y2498" i="1"/>
  <c r="AB2498" i="1"/>
  <c r="AA2498" i="1"/>
  <c r="Z2498" i="1"/>
  <c r="CV2186" i="1"/>
  <c r="Y2186" i="1"/>
  <c r="AB2186" i="1"/>
  <c r="AA2186" i="1"/>
  <c r="Z2186" i="1"/>
  <c r="CV2084" i="1"/>
  <c r="Y2084" i="1"/>
  <c r="AB2084" i="1"/>
  <c r="AA2084" i="1"/>
  <c r="Z2084" i="1"/>
  <c r="CV2261" i="1"/>
  <c r="Y2261" i="1"/>
  <c r="AB2261" i="1"/>
  <c r="AA2261" i="1"/>
  <c r="Z2261" i="1"/>
  <c r="CV2396" i="1"/>
  <c r="Y2396" i="1"/>
  <c r="AE2396" i="1"/>
  <c r="AB2396" i="1"/>
  <c r="AA2396" i="1"/>
  <c r="Z2396" i="1"/>
  <c r="CV2390" i="1"/>
  <c r="Y2390" i="1"/>
  <c r="AB2390" i="1"/>
  <c r="AA2390" i="1"/>
  <c r="Z2390" i="1"/>
  <c r="CV2389" i="1"/>
  <c r="Y2389" i="1"/>
  <c r="AB2389" i="1"/>
  <c r="AA2389" i="1"/>
  <c r="Z2389" i="1"/>
  <c r="CV2102" i="1"/>
  <c r="Y2102" i="1"/>
  <c r="AB2102" i="1"/>
  <c r="AA2102" i="1"/>
  <c r="Z2102" i="1"/>
  <c r="CV2548" i="1"/>
  <c r="Y2548" i="1"/>
  <c r="AB2548" i="1"/>
  <c r="AA2548" i="1"/>
  <c r="Z2548" i="1"/>
  <c r="CV2524" i="1"/>
  <c r="Y2524" i="1"/>
  <c r="AB2524" i="1"/>
  <c r="AA2524" i="1"/>
  <c r="Z2524" i="1"/>
  <c r="CV2493" i="1"/>
  <c r="Y2493" i="1"/>
  <c r="AE2493" i="1"/>
  <c r="AB2493" i="1"/>
  <c r="AA2493" i="1"/>
  <c r="Z2493" i="1"/>
  <c r="CV2510" i="1"/>
  <c r="Y2510" i="1"/>
  <c r="AB2510" i="1"/>
  <c r="AA2510" i="1"/>
  <c r="Z2510" i="1"/>
  <c r="CV2511" i="1"/>
  <c r="Y2511" i="1"/>
  <c r="AB2511" i="1"/>
  <c r="AA2511" i="1"/>
  <c r="Z2511" i="1"/>
  <c r="CV2516" i="1"/>
  <c r="Y2516" i="1"/>
  <c r="AB2516" i="1"/>
  <c r="AA2516" i="1"/>
  <c r="Z2516" i="1"/>
  <c r="CV2357" i="1"/>
  <c r="Y2357" i="1"/>
  <c r="AB2357" i="1"/>
  <c r="AA2357" i="1"/>
  <c r="Z2357" i="1"/>
  <c r="CV2151" i="1"/>
  <c r="Y2151" i="1"/>
  <c r="AB2151" i="1"/>
  <c r="AA2151" i="1"/>
  <c r="Z2151" i="1"/>
  <c r="CV2096" i="1"/>
  <c r="Y2096" i="1"/>
  <c r="AB2096" i="1"/>
  <c r="AA2096" i="1"/>
  <c r="Z2096" i="1"/>
  <c r="CI2462" i="1"/>
  <c r="CS2462" i="1"/>
  <c r="CQ2462" i="1"/>
  <c r="CZ2462" i="1"/>
  <c r="Z2462" i="1"/>
  <c r="CZ2401" i="1"/>
  <c r="Z2401" i="1"/>
  <c r="CZ2295" i="1"/>
  <c r="Z2295" i="1"/>
  <c r="AC2352" i="1"/>
  <c r="DD2221" i="1"/>
  <c r="AA2221" i="1"/>
  <c r="DD2204" i="1"/>
  <c r="AA2204" i="1"/>
  <c r="CK2080" i="1"/>
  <c r="CQ2080" i="1"/>
  <c r="BA2080" i="1"/>
  <c r="AC2080" i="1"/>
  <c r="DB2080" i="1"/>
  <c r="DD2080" i="1"/>
  <c r="AC2201" i="1"/>
  <c r="CQ2301" i="1"/>
  <c r="CV2301" i="1"/>
  <c r="Y2301" i="1"/>
  <c r="AW2260" i="1"/>
  <c r="CQ2260" i="1"/>
  <c r="BA2260" i="1"/>
  <c r="DD2194" i="1"/>
  <c r="AA2194" i="1"/>
  <c r="BA2194" i="1"/>
  <c r="CK2194" i="1"/>
  <c r="CQ2194" i="1"/>
  <c r="BA2295" i="1"/>
  <c r="CK2295" i="1"/>
  <c r="CX2392" i="1"/>
  <c r="AB2392" i="1"/>
  <c r="M2211" i="1"/>
  <c r="J2211" i="1"/>
  <c r="CZ670" i="1"/>
  <c r="DD2110" i="1"/>
  <c r="AA2110" i="1"/>
  <c r="DD2111" i="1"/>
  <c r="AA2111" i="1"/>
  <c r="AC2032" i="1"/>
  <c r="DD2032" i="1"/>
  <c r="DB2032" i="1"/>
  <c r="BM2032" i="1"/>
  <c r="BA2032" i="1"/>
  <c r="CO2032" i="1"/>
  <c r="CS2031" i="1"/>
  <c r="CS2032" i="1"/>
  <c r="CQ2032" i="1"/>
  <c r="CZ2032" i="1"/>
  <c r="Z2032" i="1"/>
  <c r="DB2031" i="1"/>
  <c r="DD2031" i="1"/>
  <c r="BA2031" i="1"/>
  <c r="CQ2031" i="1"/>
  <c r="CZ2031" i="1"/>
  <c r="Z2031" i="1"/>
  <c r="DD2072" i="1"/>
  <c r="AA2072" i="1"/>
  <c r="BA2297" i="1"/>
  <c r="CV2297" i="1"/>
  <c r="Y2297" i="1"/>
  <c r="DD2297" i="1"/>
  <c r="AA2297" i="1"/>
  <c r="DD1991" i="1"/>
  <c r="AA1991" i="1"/>
  <c r="DD1994" i="1"/>
  <c r="AA1994" i="1"/>
  <c r="DD1995" i="1"/>
  <c r="AA1995" i="1"/>
  <c r="CQ1991" i="1"/>
  <c r="CV1991" i="1"/>
  <c r="Y1991" i="1"/>
  <c r="CQ1993" i="1"/>
  <c r="CV1993" i="1"/>
  <c r="Y1993" i="1"/>
  <c r="CQ1994" i="1"/>
  <c r="CV1994" i="1"/>
  <c r="Y1994" i="1"/>
  <c r="CQ1995" i="1"/>
  <c r="CV1995" i="1"/>
  <c r="Y1995" i="1"/>
  <c r="CV2486" i="1"/>
  <c r="Y2486" i="1"/>
  <c r="AB2486" i="1"/>
  <c r="AA2486" i="1"/>
  <c r="Z2486" i="1"/>
  <c r="CV2487" i="1"/>
  <c r="Y2487" i="1"/>
  <c r="AB2487" i="1"/>
  <c r="AA2487" i="1"/>
  <c r="Z2487" i="1"/>
  <c r="CV2488" i="1"/>
  <c r="Y2488" i="1"/>
  <c r="AB2488" i="1"/>
  <c r="AA2488" i="1"/>
  <c r="Z2488" i="1"/>
  <c r="CV2485" i="1"/>
  <c r="Y2485" i="1"/>
  <c r="AB2485" i="1"/>
  <c r="AA2485" i="1"/>
  <c r="Z2485" i="1"/>
  <c r="CV2482" i="1"/>
  <c r="Y2482" i="1"/>
  <c r="AB2482" i="1"/>
  <c r="AA2482" i="1"/>
  <c r="Z2482" i="1"/>
  <c r="CV2483" i="1"/>
  <c r="Y2483" i="1"/>
  <c r="AB2483" i="1"/>
  <c r="AA2483" i="1"/>
  <c r="Z2483" i="1"/>
  <c r="CV2471" i="1"/>
  <c r="Y2471" i="1"/>
  <c r="AB2471" i="1"/>
  <c r="AA2471" i="1"/>
  <c r="Z2471" i="1"/>
  <c r="AB2462" i="1"/>
  <c r="AA2462" i="1"/>
  <c r="CV2468" i="1"/>
  <c r="Y2468" i="1"/>
  <c r="AB2468" i="1"/>
  <c r="AA2468" i="1"/>
  <c r="Z2468" i="1"/>
  <c r="CV2467" i="1"/>
  <c r="Y2467" i="1"/>
  <c r="AB2467" i="1"/>
  <c r="AA2467" i="1"/>
  <c r="Z2467" i="1"/>
  <c r="CV2476" i="1"/>
  <c r="Y2476" i="1"/>
  <c r="AB2476" i="1"/>
  <c r="AA2476" i="1"/>
  <c r="Z2476" i="1"/>
  <c r="CV2481" i="1"/>
  <c r="Y2481" i="1"/>
  <c r="AB2481" i="1"/>
  <c r="AA2481" i="1"/>
  <c r="Z2481" i="1"/>
  <c r="CV2480" i="1"/>
  <c r="Y2480" i="1"/>
  <c r="AB2480" i="1"/>
  <c r="AA2480" i="1"/>
  <c r="Z2480" i="1"/>
  <c r="CV2466" i="1"/>
  <c r="Y2466" i="1"/>
  <c r="AB2466" i="1"/>
  <c r="AA2466" i="1"/>
  <c r="Z2466" i="1"/>
  <c r="CV2473" i="1"/>
  <c r="Y2473" i="1"/>
  <c r="AB2473" i="1"/>
  <c r="AA2473" i="1"/>
  <c r="Z2473" i="1"/>
  <c r="CV2472" i="1"/>
  <c r="Y2472" i="1"/>
  <c r="AB2472" i="1"/>
  <c r="AA2472" i="1"/>
  <c r="Z2472" i="1"/>
  <c r="CV2470" i="1"/>
  <c r="Y2470" i="1"/>
  <c r="AB2470" i="1"/>
  <c r="AA2470" i="1"/>
  <c r="Z2470" i="1"/>
  <c r="CV1320" i="1"/>
  <c r="Y1320" i="1"/>
  <c r="AB1320" i="1"/>
  <c r="AA1320" i="1"/>
  <c r="Z1320" i="1"/>
  <c r="CV1997" i="1"/>
  <c r="Y1997" i="1"/>
  <c r="AB1997" i="1"/>
  <c r="AA1997" i="1"/>
  <c r="Z1997" i="1"/>
  <c r="CV1319" i="1"/>
  <c r="Y1319" i="1"/>
  <c r="AB1319" i="1"/>
  <c r="AA1319" i="1"/>
  <c r="Z1319" i="1"/>
  <c r="CV2464" i="1"/>
  <c r="Y2464" i="1"/>
  <c r="AB2464" i="1"/>
  <c r="AA2464" i="1"/>
  <c r="Z2464" i="1"/>
  <c r="AB2435" i="1"/>
  <c r="CV2458" i="1"/>
  <c r="Y2458" i="1"/>
  <c r="AE2458" i="1"/>
  <c r="AB2458" i="1"/>
  <c r="AA2458" i="1"/>
  <c r="Z2458" i="1"/>
  <c r="CV2457" i="1"/>
  <c r="Y2457" i="1"/>
  <c r="AB2457" i="1"/>
  <c r="AA2457" i="1"/>
  <c r="Z2457" i="1"/>
  <c r="AB2211" i="1"/>
  <c r="CV2456" i="1"/>
  <c r="Y2456" i="1"/>
  <c r="AB2456" i="1"/>
  <c r="AA2456" i="1"/>
  <c r="Z2456" i="1"/>
  <c r="CV2461" i="1"/>
  <c r="Y2461" i="1"/>
  <c r="AB2461" i="1"/>
  <c r="AA2461" i="1"/>
  <c r="Z2461" i="1"/>
  <c r="CV2423" i="1"/>
  <c r="Y2423" i="1"/>
  <c r="AB2423" i="1"/>
  <c r="AA2423" i="1"/>
  <c r="Z2423" i="1"/>
  <c r="CV2453" i="1"/>
  <c r="Y2453" i="1"/>
  <c r="AB2453" i="1"/>
  <c r="AA2453" i="1"/>
  <c r="Z2453" i="1"/>
  <c r="CV2454" i="1"/>
  <c r="Y2454" i="1"/>
  <c r="AB2454" i="1"/>
  <c r="AA2454" i="1"/>
  <c r="Z2454" i="1"/>
  <c r="CV2319" i="1"/>
  <c r="Y2319" i="1"/>
  <c r="AB2319" i="1"/>
  <c r="AA2319" i="1"/>
  <c r="Z2319" i="1"/>
  <c r="CV2372" i="1"/>
  <c r="Y2372" i="1"/>
  <c r="AE2372" i="1"/>
  <c r="AB2372" i="1"/>
  <c r="AA2372" i="1"/>
  <c r="Z2372" i="1"/>
  <c r="CV2441" i="1"/>
  <c r="Y2441" i="1"/>
  <c r="AB2441" i="1"/>
  <c r="AA2441" i="1"/>
  <c r="Z2441" i="1"/>
  <c r="CV2449" i="1"/>
  <c r="Y2449" i="1"/>
  <c r="AB2449" i="1"/>
  <c r="AA2449" i="1"/>
  <c r="Z2449" i="1"/>
  <c r="CV2444" i="1"/>
  <c r="Y2444" i="1"/>
  <c r="AB2444" i="1"/>
  <c r="AA2444" i="1"/>
  <c r="Z2444" i="1"/>
  <c r="CV2445" i="1"/>
  <c r="Y2445" i="1"/>
  <c r="AB2445" i="1"/>
  <c r="AA2445" i="1"/>
  <c r="Z2445" i="1"/>
  <c r="AC2088" i="1"/>
  <c r="CX2087" i="1"/>
  <c r="AB2087" i="1"/>
  <c r="AC2017" i="1"/>
  <c r="CA2016" i="1"/>
  <c r="CV2016" i="1"/>
  <c r="Y2016" i="1"/>
  <c r="DD2016" i="1"/>
  <c r="AA2016" i="1"/>
  <c r="CA2015" i="1"/>
  <c r="CV2015" i="1"/>
  <c r="Y2015" i="1"/>
  <c r="AE2015" i="1"/>
  <c r="DD2015" i="1"/>
  <c r="AA2015" i="1"/>
  <c r="CK2014" i="1"/>
  <c r="CA2014" i="1"/>
  <c r="CA2212" i="1"/>
  <c r="CV2212" i="1"/>
  <c r="Y2212" i="1"/>
  <c r="DD2212" i="1"/>
  <c r="AA2212" i="1"/>
  <c r="AC1999" i="1"/>
  <c r="DB1999" i="1"/>
  <c r="AA1999" i="1"/>
  <c r="AC2146" i="1"/>
  <c r="DD2146" i="1"/>
  <c r="DB2146" i="1"/>
  <c r="AC2074" i="1"/>
  <c r="DB2074" i="1"/>
  <c r="DD2074" i="1"/>
  <c r="AC2000" i="1"/>
  <c r="DB2000" i="1"/>
  <c r="DD2000" i="1"/>
  <c r="DD1996" i="1"/>
  <c r="AA1996" i="1"/>
  <c r="DD2063" i="1"/>
  <c r="AA2063" i="1"/>
  <c r="AC1964" i="1"/>
  <c r="CK2249" i="1"/>
  <c r="AC2065" i="1"/>
  <c r="DD2066" i="1"/>
  <c r="AA2066" i="1"/>
  <c r="DD2065" i="1"/>
  <c r="AA2065" i="1"/>
  <c r="CX2148" i="1"/>
  <c r="AB2148" i="1"/>
  <c r="CZ2161" i="1"/>
  <c r="Z2161" i="1"/>
  <c r="CS2126" i="1"/>
  <c r="CQ2126" i="1"/>
  <c r="BA2250" i="1"/>
  <c r="CV2250" i="1"/>
  <c r="Y2250" i="1"/>
  <c r="CX2179" i="1"/>
  <c r="AB2179" i="1"/>
  <c r="CA2214" i="1"/>
  <c r="CA2076" i="1"/>
  <c r="CV2076" i="1"/>
  <c r="Y2076" i="1"/>
  <c r="CX2076" i="1"/>
  <c r="AB2076" i="1"/>
  <c r="CX2022" i="1"/>
  <c r="AB2022" i="1"/>
  <c r="CX2025" i="1"/>
  <c r="AB2025" i="1"/>
  <c r="DD2153" i="1"/>
  <c r="AA2153" i="1"/>
  <c r="CK2189" i="1"/>
  <c r="DD2189" i="1"/>
  <c r="AA2189" i="1"/>
  <c r="CK2150" i="1"/>
  <c r="DD2150" i="1"/>
  <c r="AA2150" i="1"/>
  <c r="CS2107" i="1"/>
  <c r="DD2107" i="1"/>
  <c r="AA2107" i="1"/>
  <c r="CI2107" i="1"/>
  <c r="CK2107" i="1"/>
  <c r="CQ2107" i="1"/>
  <c r="BA2107" i="1"/>
  <c r="AC1859" i="1"/>
  <c r="CI1859" i="1"/>
  <c r="CU1859" i="1"/>
  <c r="BA1859" i="1"/>
  <c r="AC2073" i="1"/>
  <c r="CX2073" i="1"/>
  <c r="AB2073" i="1"/>
  <c r="CX2105" i="1"/>
  <c r="AB2105" i="1"/>
  <c r="CS2400" i="1"/>
  <c r="CI2400" i="1"/>
  <c r="CQ2400" i="1"/>
  <c r="CZ2400" i="1"/>
  <c r="Z2400" i="1"/>
  <c r="CQ2399" i="1"/>
  <c r="CI2399" i="1"/>
  <c r="CS2399" i="1"/>
  <c r="CZ2399" i="1"/>
  <c r="Z2399" i="1"/>
  <c r="CZ2398" i="1"/>
  <c r="Z2398" i="1"/>
  <c r="DD2398" i="1"/>
  <c r="AA2398" i="1"/>
  <c r="CI2398" i="1"/>
  <c r="CS2398" i="1"/>
  <c r="CQ2398" i="1"/>
  <c r="CI2397" i="1"/>
  <c r="CQ2397" i="1"/>
  <c r="CA2422" i="1"/>
  <c r="BM2422" i="1"/>
  <c r="CO2422" i="1"/>
  <c r="AW2415" i="1"/>
  <c r="BA2415" i="1"/>
  <c r="CS2415" i="1"/>
  <c r="CQ2415" i="1"/>
  <c r="CZ2415" i="1"/>
  <c r="Z2415" i="1"/>
  <c r="J2413" i="1"/>
  <c r="J2290" i="1"/>
  <c r="J2412" i="1"/>
  <c r="CZ1989" i="1"/>
  <c r="Z1989" i="1"/>
  <c r="J1222" i="1"/>
  <c r="CZ2380" i="1"/>
  <c r="Z2380" i="1"/>
  <c r="CZ2382" i="1"/>
  <c r="Z2382" i="1"/>
  <c r="Z2296" i="1"/>
  <c r="CZ2381" i="1"/>
  <c r="Z2381" i="1"/>
  <c r="CZ2377" i="1"/>
  <c r="Z2377" i="1"/>
  <c r="CZ2374" i="1"/>
  <c r="Z2374" i="1"/>
  <c r="CZ2383" i="1"/>
  <c r="Z2383" i="1"/>
  <c r="CZ2376" i="1"/>
  <c r="Z2376" i="1"/>
  <c r="CZ2373" i="1"/>
  <c r="Z2373" i="1"/>
  <c r="CZ2384" i="1"/>
  <c r="Z2384" i="1"/>
  <c r="CZ2323" i="1"/>
  <c r="Z2323" i="1"/>
  <c r="CZ2224" i="1"/>
  <c r="Z2224" i="1"/>
  <c r="CZ2379" i="1"/>
  <c r="Z2379" i="1"/>
  <c r="CZ2375" i="1"/>
  <c r="Z2375" i="1"/>
  <c r="CZ2324" i="1"/>
  <c r="Z2324" i="1"/>
  <c r="J2417" i="1"/>
  <c r="J2415" i="1"/>
  <c r="CS2249" i="1"/>
  <c r="M2169" i="1"/>
  <c r="CV2450" i="1"/>
  <c r="Y2450" i="1"/>
  <c r="AB2450" i="1"/>
  <c r="AA2450" i="1"/>
  <c r="Z2450" i="1"/>
  <c r="CV2455" i="1"/>
  <c r="Y2455" i="1"/>
  <c r="AE2455" i="1"/>
  <c r="AB2455" i="1"/>
  <c r="AA2455" i="1"/>
  <c r="Z2455" i="1"/>
  <c r="CV2440" i="1"/>
  <c r="Y2440" i="1"/>
  <c r="AB2440" i="1"/>
  <c r="AA2440" i="1"/>
  <c r="Z2440" i="1"/>
  <c r="CV2443" i="1"/>
  <c r="Y2443" i="1"/>
  <c r="AE2443" i="1"/>
  <c r="AB2443" i="1"/>
  <c r="AA2443" i="1"/>
  <c r="Z2443" i="1"/>
  <c r="CV2439" i="1"/>
  <c r="Y2439" i="1"/>
  <c r="AB2439" i="1"/>
  <c r="AA2439" i="1"/>
  <c r="Z2439" i="1"/>
  <c r="CV2442" i="1"/>
  <c r="Y2442" i="1"/>
  <c r="AB2442" i="1"/>
  <c r="AA2442" i="1"/>
  <c r="Z2442" i="1"/>
  <c r="CV2446" i="1"/>
  <c r="Y2446" i="1"/>
  <c r="AB2446" i="1"/>
  <c r="AA2446" i="1"/>
  <c r="Z2446" i="1"/>
  <c r="AA2422" i="1"/>
  <c r="AB2438" i="1"/>
  <c r="AA2438" i="1"/>
  <c r="CV2216" i="1"/>
  <c r="Y2216" i="1"/>
  <c r="AB2216" i="1"/>
  <c r="AA2216" i="1"/>
  <c r="CV2413" i="1"/>
  <c r="Y2413" i="1"/>
  <c r="AB2413" i="1"/>
  <c r="AA2413" i="1"/>
  <c r="Z2413" i="1"/>
  <c r="CV2412" i="1"/>
  <c r="Y2412" i="1"/>
  <c r="AB2412" i="1"/>
  <c r="AA2412" i="1"/>
  <c r="Z2412" i="1"/>
  <c r="CV2411" i="1"/>
  <c r="Y2411" i="1"/>
  <c r="AB2411" i="1"/>
  <c r="AA2411" i="1"/>
  <c r="Z2411" i="1"/>
  <c r="AA2378" i="1"/>
  <c r="Z2378" i="1"/>
  <c r="CV2434" i="1"/>
  <c r="Y2434" i="1"/>
  <c r="AB2434" i="1"/>
  <c r="AA2434" i="1"/>
  <c r="Z2434" i="1"/>
  <c r="CV1831" i="1"/>
  <c r="Y1831" i="1"/>
  <c r="AB1831" i="1"/>
  <c r="AA1831" i="1"/>
  <c r="Z1831" i="1"/>
  <c r="CV2160" i="1"/>
  <c r="Y2160" i="1"/>
  <c r="AB2160" i="1"/>
  <c r="AA2160" i="1"/>
  <c r="Z2160" i="1"/>
  <c r="CV2011" i="1"/>
  <c r="Y2011" i="1"/>
  <c r="AB2011" i="1"/>
  <c r="AA2011" i="1"/>
  <c r="Z2011" i="1"/>
  <c r="CV2437" i="1"/>
  <c r="Y2437" i="1"/>
  <c r="AB2437" i="1"/>
  <c r="AA2437" i="1"/>
  <c r="Z2437" i="1"/>
  <c r="CV2436" i="1"/>
  <c r="Y2436" i="1"/>
  <c r="AB2436" i="1"/>
  <c r="AA2436" i="1"/>
  <c r="Z2436" i="1"/>
  <c r="CV2140" i="1"/>
  <c r="Y2140" i="1"/>
  <c r="AB2140" i="1"/>
  <c r="AA2140" i="1"/>
  <c r="Z2140" i="1"/>
  <c r="CV2159" i="1"/>
  <c r="Y2159" i="1"/>
  <c r="AB2159" i="1"/>
  <c r="AA2159" i="1"/>
  <c r="Z2159" i="1"/>
  <c r="CV2002" i="1"/>
  <c r="Y2002" i="1"/>
  <c r="AB2002" i="1"/>
  <c r="AA2002" i="1"/>
  <c r="Z2002" i="1"/>
  <c r="CV1989" i="1"/>
  <c r="Y1989" i="1"/>
  <c r="AB1989" i="1"/>
  <c r="AA1989" i="1"/>
  <c r="CV2425" i="1"/>
  <c r="Y2425" i="1"/>
  <c r="AB2425" i="1"/>
  <c r="AA2425" i="1"/>
  <c r="Z2425" i="1"/>
  <c r="CV2417" i="1"/>
  <c r="Y2417" i="1"/>
  <c r="AB2417" i="1"/>
  <c r="AA2417" i="1"/>
  <c r="Z2417" i="1"/>
  <c r="AB2415" i="1"/>
  <c r="AA2415" i="1"/>
  <c r="CV2418" i="1"/>
  <c r="Y2418" i="1"/>
  <c r="AB2418" i="1"/>
  <c r="AA2418" i="1"/>
  <c r="Z2418" i="1"/>
  <c r="CV2432" i="1"/>
  <c r="Y2432" i="1"/>
  <c r="AB2432" i="1"/>
  <c r="AA2432" i="1"/>
  <c r="Z2432" i="1"/>
  <c r="CV2350" i="1"/>
  <c r="Y2350" i="1"/>
  <c r="AB2350" i="1"/>
  <c r="AA2350" i="1"/>
  <c r="Z2350" i="1"/>
  <c r="CV2349" i="1"/>
  <c r="Y2349" i="1"/>
  <c r="AB2349" i="1"/>
  <c r="AA2349" i="1"/>
  <c r="Z2349" i="1"/>
  <c r="CV1870" i="1"/>
  <c r="Y1870" i="1"/>
  <c r="AB1870" i="1"/>
  <c r="AA1870" i="1"/>
  <c r="Z1870" i="1"/>
  <c r="CV2429" i="1"/>
  <c r="Y2429" i="1"/>
  <c r="AB2429" i="1"/>
  <c r="AA2429" i="1"/>
  <c r="Z2429" i="1"/>
  <c r="CV2430" i="1"/>
  <c r="Y2430" i="1"/>
  <c r="AB2430" i="1"/>
  <c r="AA2430" i="1"/>
  <c r="Z2430" i="1"/>
  <c r="CV2426" i="1"/>
  <c r="Y2426" i="1"/>
  <c r="AB2426" i="1"/>
  <c r="AA2426" i="1"/>
  <c r="Z2426" i="1"/>
  <c r="CV2428" i="1"/>
  <c r="Y2428" i="1"/>
  <c r="AB2428" i="1"/>
  <c r="AA2428" i="1"/>
  <c r="Z2428" i="1"/>
  <c r="CZ2392" i="1"/>
  <c r="Z2392" i="1"/>
  <c r="CZ2321" i="1"/>
  <c r="Z2321" i="1"/>
  <c r="CZ2322" i="1"/>
  <c r="Z2322" i="1"/>
  <c r="CZ2203" i="1"/>
  <c r="Z2203" i="1"/>
  <c r="CZ2360" i="1"/>
  <c r="Z2360" i="1"/>
  <c r="J2371" i="1"/>
  <c r="CQ2249" i="1"/>
  <c r="BA2249" i="1"/>
  <c r="DD2249" i="1"/>
  <c r="AA2249" i="1"/>
  <c r="CZ2249" i="1"/>
  <c r="Z2249" i="1"/>
  <c r="J2382" i="1"/>
  <c r="J2374" i="1"/>
  <c r="J2381" i="1"/>
  <c r="J2377" i="1"/>
  <c r="J2376" i="1"/>
  <c r="J2383" i="1"/>
  <c r="J2373" i="1"/>
  <c r="J2380" i="1"/>
  <c r="J2384" i="1"/>
  <c r="J2379" i="1"/>
  <c r="J2323" i="1"/>
  <c r="J2375" i="1"/>
  <c r="J2324" i="1"/>
  <c r="J2332" i="1"/>
  <c r="J2321" i="1"/>
  <c r="J2322" i="1"/>
  <c r="CZ2080" i="1"/>
  <c r="Z2080" i="1"/>
  <c r="CQ2295" i="1"/>
  <c r="CS2295" i="1"/>
  <c r="CZ2335" i="1"/>
  <c r="Z2335" i="1"/>
  <c r="AD1930" i="1"/>
  <c r="CV2452" i="1"/>
  <c r="Y2452" i="1"/>
  <c r="AB2452" i="1"/>
  <c r="AA2452" i="1"/>
  <c r="Z2452" i="1"/>
  <c r="CV2431" i="1"/>
  <c r="Y2431" i="1"/>
  <c r="AB2431" i="1"/>
  <c r="AA2431" i="1"/>
  <c r="Z2431" i="1"/>
  <c r="CV2427" i="1"/>
  <c r="Y2427" i="1"/>
  <c r="AB2427" i="1"/>
  <c r="AA2427" i="1"/>
  <c r="Z2427" i="1"/>
  <c r="CV2416" i="1"/>
  <c r="Y2416" i="1"/>
  <c r="AB2416" i="1"/>
  <c r="AA2416" i="1"/>
  <c r="Z2416" i="1"/>
  <c r="CV2424" i="1"/>
  <c r="Y2424" i="1"/>
  <c r="AB2424" i="1"/>
  <c r="AA2424" i="1"/>
  <c r="Z2424" i="1"/>
  <c r="CV2420" i="1"/>
  <c r="Y2420" i="1"/>
  <c r="AB2420" i="1"/>
  <c r="AA2420" i="1"/>
  <c r="Z2420" i="1"/>
  <c r="CV2421" i="1"/>
  <c r="Y2421" i="1"/>
  <c r="AE2421" i="1"/>
  <c r="AB2421" i="1"/>
  <c r="AA2421" i="1"/>
  <c r="Z2421" i="1"/>
  <c r="CV2391" i="1"/>
  <c r="Y2391" i="1"/>
  <c r="AB2391" i="1"/>
  <c r="AA2391" i="1"/>
  <c r="Z2391" i="1"/>
  <c r="CV2393" i="1"/>
  <c r="Y2393" i="1"/>
  <c r="AB2393" i="1"/>
  <c r="AA2393" i="1"/>
  <c r="Z2393" i="1"/>
  <c r="CV2358" i="1"/>
  <c r="Y2358" i="1"/>
  <c r="AB2358" i="1"/>
  <c r="AA2358" i="1"/>
  <c r="Z2358" i="1"/>
  <c r="CV2342" i="1"/>
  <c r="Y2342" i="1"/>
  <c r="AB2342" i="1"/>
  <c r="AA2342" i="1"/>
  <c r="Z2342" i="1"/>
  <c r="CV2343" i="1"/>
  <c r="Y2343" i="1"/>
  <c r="AB2343" i="1"/>
  <c r="AA2343" i="1"/>
  <c r="Z2343" i="1"/>
  <c r="CV2341" i="1"/>
  <c r="Y2341" i="1"/>
  <c r="AB2341" i="1"/>
  <c r="AA2341" i="1"/>
  <c r="Z2341" i="1"/>
  <c r="CV2311" i="1"/>
  <c r="Y2311" i="1"/>
  <c r="AB2311" i="1"/>
  <c r="AA2311" i="1"/>
  <c r="Z2311" i="1"/>
  <c r="CV2291" i="1"/>
  <c r="Y2291" i="1"/>
  <c r="AE2291" i="1"/>
  <c r="AB2291" i="1"/>
  <c r="AA2291" i="1"/>
  <c r="Z2291" i="1"/>
  <c r="CV2242" i="1"/>
  <c r="Y2242" i="1"/>
  <c r="AB2242" i="1"/>
  <c r="AA2242" i="1"/>
  <c r="Z2242" i="1"/>
  <c r="CV2241" i="1"/>
  <c r="Y2241" i="1"/>
  <c r="AB2241" i="1"/>
  <c r="AA2241" i="1"/>
  <c r="Z2241" i="1"/>
  <c r="CV2243" i="1"/>
  <c r="Y2243" i="1"/>
  <c r="AB2243" i="1"/>
  <c r="AA2243" i="1"/>
  <c r="Z2243" i="1"/>
  <c r="CV2406" i="1"/>
  <c r="Y2406" i="1"/>
  <c r="AB2406" i="1"/>
  <c r="AA2406" i="1"/>
  <c r="Z2406" i="1"/>
  <c r="CV2407" i="1"/>
  <c r="Y2407" i="1"/>
  <c r="AB2407" i="1"/>
  <c r="AA2407" i="1"/>
  <c r="Z2407" i="1"/>
  <c r="CV2404" i="1"/>
  <c r="Y2404" i="1"/>
  <c r="AB2404" i="1"/>
  <c r="AA2404" i="1"/>
  <c r="Z2404" i="1"/>
  <c r="CV2419" i="1"/>
  <c r="Y2419" i="1"/>
  <c r="AB2419" i="1"/>
  <c r="AA2419" i="1"/>
  <c r="Z2419" i="1"/>
  <c r="AB2397" i="1"/>
  <c r="AA2397" i="1"/>
  <c r="AB2400" i="1"/>
  <c r="AA2400" i="1"/>
  <c r="AB2401" i="1"/>
  <c r="AA2401" i="1"/>
  <c r="AB2399" i="1"/>
  <c r="AA2399" i="1"/>
  <c r="AB2398" i="1"/>
  <c r="CV2408" i="1"/>
  <c r="Y2408" i="1"/>
  <c r="AB2408" i="1"/>
  <c r="AA2408" i="1"/>
  <c r="Z2408" i="1"/>
  <c r="CV2410" i="1"/>
  <c r="Y2410" i="1"/>
  <c r="AB2410" i="1"/>
  <c r="AA2410" i="1"/>
  <c r="Z2410" i="1"/>
  <c r="CV2403" i="1"/>
  <c r="Y2403" i="1"/>
  <c r="AB2403" i="1"/>
  <c r="AA2403" i="1"/>
  <c r="Z2403" i="1"/>
  <c r="CV2409" i="1"/>
  <c r="Y2409" i="1"/>
  <c r="AB2409" i="1"/>
  <c r="AA2409" i="1"/>
  <c r="Z2409" i="1"/>
  <c r="CV2414" i="1"/>
  <c r="Y2414" i="1"/>
  <c r="AB2414" i="1"/>
  <c r="AA2414" i="1"/>
  <c r="Z2414" i="1"/>
  <c r="CV2405" i="1"/>
  <c r="Y2405" i="1"/>
  <c r="AB2405" i="1"/>
  <c r="AA2405" i="1"/>
  <c r="Z2405" i="1"/>
  <c r="AA2392" i="1"/>
  <c r="AB2360" i="1"/>
  <c r="AA2360" i="1"/>
  <c r="CV2330" i="1"/>
  <c r="Y2330" i="1"/>
  <c r="AB2330" i="1"/>
  <c r="AA2330" i="1"/>
  <c r="Z2330" i="1"/>
  <c r="CV2293" i="1"/>
  <c r="Y2293" i="1"/>
  <c r="AB2293" i="1"/>
  <c r="AA2293" i="1"/>
  <c r="Z2293" i="1"/>
  <c r="CV2279" i="1"/>
  <c r="Y2279" i="1"/>
  <c r="AB2279" i="1"/>
  <c r="AA2279" i="1"/>
  <c r="Z2279" i="1"/>
  <c r="CV2278" i="1"/>
  <c r="Y2278" i="1"/>
  <c r="AB2278" i="1"/>
  <c r="AA2278" i="1"/>
  <c r="Z2278" i="1"/>
  <c r="CV2290" i="1"/>
  <c r="Y2290" i="1"/>
  <c r="AB2290" i="1"/>
  <c r="AA2290" i="1"/>
  <c r="Z2290" i="1"/>
  <c r="CV2369" i="1"/>
  <c r="Y2369" i="1"/>
  <c r="AB2369" i="1"/>
  <c r="AA2369" i="1"/>
  <c r="Z2369" i="1"/>
  <c r="CV2385" i="1"/>
  <c r="Y2385" i="1"/>
  <c r="AB2385" i="1"/>
  <c r="AA2385" i="1"/>
  <c r="Z2385" i="1"/>
  <c r="CV2395" i="1"/>
  <c r="Y2395" i="1"/>
  <c r="AB2395" i="1"/>
  <c r="AA2395" i="1"/>
  <c r="Z2395" i="1"/>
  <c r="CV2371" i="1"/>
  <c r="Y2371" i="1"/>
  <c r="AB2371" i="1"/>
  <c r="AA2371" i="1"/>
  <c r="Z2371" i="1"/>
  <c r="CV2362" i="1"/>
  <c r="Y2362" i="1"/>
  <c r="AB2362" i="1"/>
  <c r="AA2362" i="1"/>
  <c r="Z2362" i="1"/>
  <c r="CV2340" i="1"/>
  <c r="Y2340" i="1"/>
  <c r="AB2340" i="1"/>
  <c r="AA2340" i="1"/>
  <c r="Z2340" i="1"/>
  <c r="CV2382" i="1"/>
  <c r="Y2382" i="1"/>
  <c r="AB2382" i="1"/>
  <c r="AA2382" i="1"/>
  <c r="CV2374" i="1"/>
  <c r="Y2374" i="1"/>
  <c r="AB2374" i="1"/>
  <c r="AA2374" i="1"/>
  <c r="CV2381" i="1"/>
  <c r="Y2381" i="1"/>
  <c r="AB2381" i="1"/>
  <c r="AA2381" i="1"/>
  <c r="CV2377" i="1"/>
  <c r="Y2377" i="1"/>
  <c r="AB2377" i="1"/>
  <c r="AA2377" i="1"/>
  <c r="CV2376" i="1"/>
  <c r="Y2376" i="1"/>
  <c r="AB2376" i="1"/>
  <c r="AA2376" i="1"/>
  <c r="CV2383" i="1"/>
  <c r="Y2383" i="1"/>
  <c r="AB2383" i="1"/>
  <c r="AA2383" i="1"/>
  <c r="CV2373" i="1"/>
  <c r="Y2373" i="1"/>
  <c r="AB2373" i="1"/>
  <c r="AA2373" i="1"/>
  <c r="CV2380" i="1"/>
  <c r="Y2380" i="1"/>
  <c r="AB2380" i="1"/>
  <c r="AA2380" i="1"/>
  <c r="CV2384" i="1"/>
  <c r="Y2384" i="1"/>
  <c r="AB2384" i="1"/>
  <c r="AA2384" i="1"/>
  <c r="CV2379" i="1"/>
  <c r="Y2379" i="1"/>
  <c r="AB2379" i="1"/>
  <c r="AA2379" i="1"/>
  <c r="CV2375" i="1"/>
  <c r="Y2375" i="1"/>
  <c r="AB2375" i="1"/>
  <c r="AA2375" i="1"/>
  <c r="CV2331" i="1"/>
  <c r="Y2331" i="1"/>
  <c r="AB2331" i="1"/>
  <c r="AA2331" i="1"/>
  <c r="Z2331" i="1"/>
  <c r="CV2332" i="1"/>
  <c r="Y2332" i="1"/>
  <c r="AB2332" i="1"/>
  <c r="AA2332" i="1"/>
  <c r="Z2332" i="1"/>
  <c r="CV2320" i="1"/>
  <c r="Y2320" i="1"/>
  <c r="AB2320" i="1"/>
  <c r="Z2320" i="1"/>
  <c r="AB2321" i="1"/>
  <c r="AA2321" i="1"/>
  <c r="AB2322" i="1"/>
  <c r="AA2322" i="1"/>
  <c r="CV2356" i="1"/>
  <c r="Y2356" i="1"/>
  <c r="AB2356" i="1"/>
  <c r="AA2356" i="1"/>
  <c r="Z2356" i="1"/>
  <c r="CV2355" i="1"/>
  <c r="Y2355" i="1"/>
  <c r="AB2355" i="1"/>
  <c r="AA2355" i="1"/>
  <c r="Z2355" i="1"/>
  <c r="CV2388" i="1"/>
  <c r="Y2388" i="1"/>
  <c r="AB2388" i="1"/>
  <c r="AA2388" i="1"/>
  <c r="Z2388" i="1"/>
  <c r="CV2364" i="1"/>
  <c r="Y2364" i="1"/>
  <c r="AB2364" i="1"/>
  <c r="AA2364" i="1"/>
  <c r="Z2364" i="1"/>
  <c r="CV2366" i="1"/>
  <c r="Y2366" i="1"/>
  <c r="AB2366" i="1"/>
  <c r="AA2366" i="1"/>
  <c r="Z2366" i="1"/>
  <c r="CV2368" i="1"/>
  <c r="Y2368" i="1"/>
  <c r="AB2368" i="1"/>
  <c r="AA2368" i="1"/>
  <c r="Z2368" i="1"/>
  <c r="CV2367" i="1"/>
  <c r="Y2367" i="1"/>
  <c r="AB2367" i="1"/>
  <c r="AA2367" i="1"/>
  <c r="Z2367" i="1"/>
  <c r="CV2363" i="1"/>
  <c r="Y2363" i="1"/>
  <c r="AB2363" i="1"/>
  <c r="AA2363" i="1"/>
  <c r="Z2363" i="1"/>
  <c r="CV2370" i="1"/>
  <c r="Y2370" i="1"/>
  <c r="AB2370" i="1"/>
  <c r="AA2370" i="1"/>
  <c r="Z2370" i="1"/>
  <c r="CV2365" i="1"/>
  <c r="Y2365" i="1"/>
  <c r="AB2365" i="1"/>
  <c r="AA2365" i="1"/>
  <c r="Z2365" i="1"/>
  <c r="CV2334" i="1"/>
  <c r="Y2334" i="1"/>
  <c r="AB2334" i="1"/>
  <c r="AA2334" i="1"/>
  <c r="Z2334" i="1"/>
  <c r="AB2296" i="1"/>
  <c r="CV2234" i="1"/>
  <c r="Y2234" i="1"/>
  <c r="AB2234" i="1"/>
  <c r="AA2234" i="1"/>
  <c r="Z2234" i="1"/>
  <c r="CV2386" i="1"/>
  <c r="Y2386" i="1"/>
  <c r="AB2386" i="1"/>
  <c r="AA2386" i="1"/>
  <c r="Z2386" i="1"/>
  <c r="CV2387" i="1"/>
  <c r="Y2387" i="1"/>
  <c r="AB2387" i="1"/>
  <c r="AA2387" i="1"/>
  <c r="Z2387" i="1"/>
  <c r="CV2353" i="1"/>
  <c r="Y2353" i="1"/>
  <c r="AB2353" i="1"/>
  <c r="AA2353" i="1"/>
  <c r="Z2353" i="1"/>
  <c r="CV2268" i="1"/>
  <c r="Y2268" i="1"/>
  <c r="AB2268" i="1"/>
  <c r="AA2268" i="1"/>
  <c r="Z2268" i="1"/>
  <c r="CV2269" i="1"/>
  <c r="Y2269" i="1"/>
  <c r="AB2269" i="1"/>
  <c r="AA2269" i="1"/>
  <c r="Z2269" i="1"/>
  <c r="CV2361" i="1"/>
  <c r="Y2361" i="1"/>
  <c r="AB2361" i="1"/>
  <c r="AA2361" i="1"/>
  <c r="Z2361" i="1"/>
  <c r="CV2359" i="1"/>
  <c r="Y2359" i="1"/>
  <c r="AB2359" i="1"/>
  <c r="AA2359" i="1"/>
  <c r="Z2359" i="1"/>
  <c r="CV2178" i="1"/>
  <c r="Y2178" i="1"/>
  <c r="AB2178" i="1"/>
  <c r="AA2178" i="1"/>
  <c r="Z2178" i="1"/>
  <c r="AB2144" i="1"/>
  <c r="CV2141" i="1"/>
  <c r="Y2141" i="1"/>
  <c r="AB2141" i="1"/>
  <c r="AA2141" i="1"/>
  <c r="Z2141" i="1"/>
  <c r="CV2136" i="1"/>
  <c r="Y2136" i="1"/>
  <c r="AB2136" i="1"/>
  <c r="AA2136" i="1"/>
  <c r="Z2136" i="1"/>
  <c r="CV2124" i="1"/>
  <c r="Y2124" i="1"/>
  <c r="AB2124" i="1"/>
  <c r="AA2124" i="1"/>
  <c r="Z2124" i="1"/>
  <c r="CV2125" i="1"/>
  <c r="Y2125" i="1"/>
  <c r="AB2125" i="1"/>
  <c r="AA2125" i="1"/>
  <c r="Z2125" i="1"/>
  <c r="CV2116" i="1"/>
  <c r="Y2116" i="1"/>
  <c r="AB2116" i="1"/>
  <c r="AA2116" i="1"/>
  <c r="Z2116" i="1"/>
  <c r="CV2294" i="1"/>
  <c r="Y2294" i="1"/>
  <c r="AB2294" i="1"/>
  <c r="AA2294" i="1"/>
  <c r="Z2294" i="1"/>
  <c r="CV2292" i="1"/>
  <c r="Y2292" i="1"/>
  <c r="AB2292" i="1"/>
  <c r="AA2292" i="1"/>
  <c r="Z2292" i="1"/>
  <c r="CV2325" i="1"/>
  <c r="Y2325" i="1"/>
  <c r="AB2325" i="1"/>
  <c r="AA2325" i="1"/>
  <c r="Z2325" i="1"/>
  <c r="CV2352" i="1"/>
  <c r="Y2352" i="1"/>
  <c r="AB2352" i="1"/>
  <c r="AA2352" i="1"/>
  <c r="Z2352" i="1"/>
  <c r="AB2295" i="1"/>
  <c r="AA2295" i="1"/>
  <c r="CV2351" i="1"/>
  <c r="Y2351" i="1"/>
  <c r="AB2351" i="1"/>
  <c r="AA2351" i="1"/>
  <c r="Z2351" i="1"/>
  <c r="CV2227" i="1"/>
  <c r="Y2227" i="1"/>
  <c r="AB2227" i="1"/>
  <c r="AA2227" i="1"/>
  <c r="Z2227" i="1"/>
  <c r="CV2318" i="1"/>
  <c r="Y2318" i="1"/>
  <c r="AB2318" i="1"/>
  <c r="AA2318" i="1"/>
  <c r="Z2318" i="1"/>
  <c r="CV2285" i="1"/>
  <c r="Y2285" i="1"/>
  <c r="AB2285" i="1"/>
  <c r="AA2285" i="1"/>
  <c r="Z2285" i="1"/>
  <c r="CV2287" i="1"/>
  <c r="Y2287" i="1"/>
  <c r="AB2287" i="1"/>
  <c r="AA2287" i="1"/>
  <c r="Z2287" i="1"/>
  <c r="CV2286" i="1"/>
  <c r="Y2286" i="1"/>
  <c r="AB2286" i="1"/>
  <c r="AA2286" i="1"/>
  <c r="Z2286" i="1"/>
  <c r="CV2354" i="1"/>
  <c r="Y2354" i="1"/>
  <c r="AB2354" i="1"/>
  <c r="AA2354" i="1"/>
  <c r="Z2354" i="1"/>
  <c r="CV2282" i="1"/>
  <c r="Y2282" i="1"/>
  <c r="AB2282" i="1"/>
  <c r="AA2282" i="1"/>
  <c r="Z2282" i="1"/>
  <c r="CV2338" i="1"/>
  <c r="Y2338" i="1"/>
  <c r="AB2338" i="1"/>
  <c r="AA2338" i="1"/>
  <c r="Z2338" i="1"/>
  <c r="CV2094" i="1"/>
  <c r="Y2094" i="1"/>
  <c r="AE2094" i="1"/>
  <c r="AB2094" i="1"/>
  <c r="AA2094" i="1"/>
  <c r="Z2094" i="1"/>
  <c r="CV2336" i="1"/>
  <c r="Y2336" i="1"/>
  <c r="AB2336" i="1"/>
  <c r="AA2336" i="1"/>
  <c r="Z2336" i="1"/>
  <c r="CV2333" i="1"/>
  <c r="Y2333" i="1"/>
  <c r="AB2333" i="1"/>
  <c r="AA2333" i="1"/>
  <c r="Z2333" i="1"/>
  <c r="CV2324" i="1"/>
  <c r="Y2324" i="1"/>
  <c r="AB2324" i="1"/>
  <c r="AA2324" i="1"/>
  <c r="CV2323" i="1"/>
  <c r="Y2323" i="1"/>
  <c r="AB2323" i="1"/>
  <c r="AA2323" i="1"/>
  <c r="CV2339" i="1"/>
  <c r="Y2339" i="1"/>
  <c r="AB2339" i="1"/>
  <c r="AA2339" i="1"/>
  <c r="Z2339" i="1"/>
  <c r="CV2328" i="1"/>
  <c r="Y2328" i="1"/>
  <c r="AE2328" i="1"/>
  <c r="AB2328" i="1"/>
  <c r="AA2328" i="1"/>
  <c r="Z2328" i="1"/>
  <c r="CV2329" i="1"/>
  <c r="Y2329" i="1"/>
  <c r="AB2329" i="1"/>
  <c r="AA2329" i="1"/>
  <c r="Z2329" i="1"/>
  <c r="CV2327" i="1"/>
  <c r="Y2327" i="1"/>
  <c r="AB2327" i="1"/>
  <c r="AA2327" i="1"/>
  <c r="Z2327" i="1"/>
  <c r="CV2345" i="1"/>
  <c r="Y2345" i="1"/>
  <c r="AB2345" i="1"/>
  <c r="AA2345" i="1"/>
  <c r="Z2345" i="1"/>
  <c r="J2249" i="1"/>
  <c r="Z2164" i="1"/>
  <c r="CZ2306" i="1"/>
  <c r="Z2306" i="1"/>
  <c r="CZ2304" i="1"/>
  <c r="Z2304" i="1"/>
  <c r="CZ2301" i="1"/>
  <c r="Z2301" i="1"/>
  <c r="CZ1991" i="1"/>
  <c r="CZ1994" i="1"/>
  <c r="CZ1993" i="1"/>
  <c r="Z1993" i="1"/>
  <c r="CZ1995" i="1"/>
  <c r="Z1995" i="1"/>
  <c r="BA2270" i="1"/>
  <c r="CQ2270" i="1"/>
  <c r="CZ2270" i="1"/>
  <c r="Z2270" i="1"/>
  <c r="CZ2194" i="1"/>
  <c r="Z2194" i="1"/>
  <c r="J2194" i="1"/>
  <c r="CZ2260" i="1"/>
  <c r="Z2260" i="1"/>
  <c r="CZ2214" i="1"/>
  <c r="Z2214" i="1"/>
  <c r="BA2189" i="1"/>
  <c r="CZ2189" i="1"/>
  <c r="Z2189" i="1"/>
  <c r="DC2150" i="1"/>
  <c r="BA2150" i="1"/>
  <c r="DC2153" i="1"/>
  <c r="Z2066" i="1"/>
  <c r="J1874" i="1"/>
  <c r="J1583" i="1"/>
  <c r="J1602" i="1"/>
  <c r="J1601" i="1"/>
  <c r="J1600" i="1"/>
  <c r="J1599" i="1"/>
  <c r="J1598" i="1"/>
  <c r="J1597" i="1"/>
  <c r="J1596" i="1"/>
  <c r="J1595" i="1"/>
  <c r="J1594" i="1"/>
  <c r="J1593" i="1"/>
  <c r="J1592" i="1"/>
  <c r="J1591" i="1"/>
  <c r="J1590" i="1"/>
  <c r="J1589" i="1"/>
  <c r="J1588" i="1"/>
  <c r="J1587" i="1"/>
  <c r="J1586" i="1"/>
  <c r="J1585" i="1"/>
  <c r="J1584" i="1"/>
  <c r="BA2018" i="1"/>
  <c r="BA2092" i="1"/>
  <c r="CQ2092" i="1"/>
  <c r="CS2092" i="1"/>
  <c r="AB2153" i="1"/>
  <c r="J919" i="1"/>
  <c r="BA739" i="1"/>
  <c r="CQ1267" i="1"/>
  <c r="CV1267" i="1"/>
  <c r="Y1267" i="1"/>
  <c r="CQ739" i="1"/>
  <c r="CS739" i="1"/>
  <c r="CA2092" i="1"/>
  <c r="CX2092" i="1"/>
  <c r="AB2092" i="1"/>
  <c r="DD1965" i="1"/>
  <c r="AA1965" i="1"/>
  <c r="CA2126" i="1"/>
  <c r="DC2060" i="1"/>
  <c r="CZ2107" i="1"/>
  <c r="Z2107" i="1"/>
  <c r="CA2148" i="1"/>
  <c r="CV2148" i="1"/>
  <c r="Y2148" i="1"/>
  <c r="CZ2111" i="1"/>
  <c r="Z2111" i="1"/>
  <c r="CZ2147" i="1"/>
  <c r="Z2147" i="1"/>
  <c r="DC2147" i="1"/>
  <c r="DB1011" i="1"/>
  <c r="DD1011" i="1"/>
  <c r="AC1011" i="1"/>
  <c r="AC1534" i="1"/>
  <c r="AC1576" i="1"/>
  <c r="DB1012" i="1"/>
  <c r="BA1012" i="1"/>
  <c r="CV1012" i="1"/>
  <c r="Y1012" i="1"/>
  <c r="DD1012" i="1"/>
  <c r="AC1012" i="1"/>
  <c r="AC1861" i="1"/>
  <c r="CS2044" i="1"/>
  <c r="CQ2044" i="1"/>
  <c r="CK2044" i="1"/>
  <c r="BA2044" i="1"/>
  <c r="DD2044" i="1"/>
  <c r="AA2044" i="1"/>
  <c r="CS2018" i="1"/>
  <c r="CQ2018" i="1"/>
  <c r="CK2018" i="1"/>
  <c r="DD2018" i="1"/>
  <c r="AA2018" i="1"/>
  <c r="CK2069" i="1"/>
  <c r="DB2069" i="1"/>
  <c r="DD2069" i="1"/>
  <c r="BA1982" i="1"/>
  <c r="Z1603" i="1"/>
  <c r="AA1603" i="1"/>
  <c r="AB1603" i="1"/>
  <c r="Z1605" i="1"/>
  <c r="AA1605" i="1"/>
  <c r="AB1605" i="1"/>
  <c r="Z1606" i="1"/>
  <c r="AA1606" i="1"/>
  <c r="AB1606" i="1"/>
  <c r="Z1608" i="1"/>
  <c r="AA1608" i="1"/>
  <c r="AB1608" i="1"/>
  <c r="Z1610" i="1"/>
  <c r="AA1610" i="1"/>
  <c r="AB1610" i="1"/>
  <c r="Z1612" i="1"/>
  <c r="AA1612" i="1"/>
  <c r="AB1612" i="1"/>
  <c r="Z1613" i="1"/>
  <c r="AA1613" i="1"/>
  <c r="AB1613" i="1"/>
  <c r="Z1615" i="1"/>
  <c r="AA1615" i="1"/>
  <c r="AB1615" i="1"/>
  <c r="Z1616" i="1"/>
  <c r="AA1616" i="1"/>
  <c r="AB1616" i="1"/>
  <c r="Z1618" i="1"/>
  <c r="AA1618" i="1"/>
  <c r="AB1618" i="1"/>
  <c r="Z1619" i="1"/>
  <c r="AA1619" i="1"/>
  <c r="AB1619" i="1"/>
  <c r="Z1621" i="1"/>
  <c r="AA1621" i="1"/>
  <c r="AB1621" i="1"/>
  <c r="Z1622" i="1"/>
  <c r="AA1622" i="1"/>
  <c r="AB1622" i="1"/>
  <c r="Z1624" i="1"/>
  <c r="AA1624" i="1"/>
  <c r="AB1624" i="1"/>
  <c r="Z1625" i="1"/>
  <c r="AA1625" i="1"/>
  <c r="AB1625" i="1"/>
  <c r="Z1627" i="1"/>
  <c r="AA1627" i="1"/>
  <c r="AB1627" i="1"/>
  <c r="Z1628" i="1"/>
  <c r="AA1628" i="1"/>
  <c r="AB1628" i="1"/>
  <c r="Z1629" i="1"/>
  <c r="AA1629" i="1"/>
  <c r="AB1629" i="1"/>
  <c r="Z1631" i="1"/>
  <c r="AA1631" i="1"/>
  <c r="AB1631" i="1"/>
  <c r="Z1632" i="1"/>
  <c r="AA1632" i="1"/>
  <c r="AB1632" i="1"/>
  <c r="Z1633" i="1"/>
  <c r="AA1633" i="1"/>
  <c r="AB1633" i="1"/>
  <c r="Z1634" i="1"/>
  <c r="AA1634" i="1"/>
  <c r="AB1634" i="1"/>
  <c r="Z1636" i="1"/>
  <c r="AA1636" i="1"/>
  <c r="AB1636" i="1"/>
  <c r="Z1638" i="1"/>
  <c r="AA1638" i="1"/>
  <c r="AB1638" i="1"/>
  <c r="Z1640" i="1"/>
  <c r="AA1640" i="1"/>
  <c r="AB1640" i="1"/>
  <c r="Z1641" i="1"/>
  <c r="AA1641" i="1"/>
  <c r="AB1641" i="1"/>
  <c r="Z1643" i="1"/>
  <c r="AA1643" i="1"/>
  <c r="AB1643" i="1"/>
  <c r="Z1645" i="1"/>
  <c r="AA1645" i="1"/>
  <c r="AB1645" i="1"/>
  <c r="Z1646" i="1"/>
  <c r="AA1646" i="1"/>
  <c r="AB1646" i="1"/>
  <c r="Z1647" i="1"/>
  <c r="AA1647" i="1"/>
  <c r="AB1647" i="1"/>
  <c r="Z1648" i="1"/>
  <c r="AA1648" i="1"/>
  <c r="AB1648" i="1"/>
  <c r="Z1650" i="1"/>
  <c r="AA1650" i="1"/>
  <c r="AB1650" i="1"/>
  <c r="Z1651" i="1"/>
  <c r="AA1651" i="1"/>
  <c r="AB1651" i="1"/>
  <c r="Z1653" i="1"/>
  <c r="AA1653" i="1"/>
  <c r="AB1653" i="1"/>
  <c r="Z1654" i="1"/>
  <c r="AA1654" i="1"/>
  <c r="AB1654" i="1"/>
  <c r="Z1656" i="1"/>
  <c r="AA1656" i="1"/>
  <c r="AB1656" i="1"/>
  <c r="Z1657" i="1"/>
  <c r="AA1657" i="1"/>
  <c r="AB1657" i="1"/>
  <c r="Z1659" i="1"/>
  <c r="AA1659" i="1"/>
  <c r="AB1659" i="1"/>
  <c r="Z1660" i="1"/>
  <c r="AA1660" i="1"/>
  <c r="AB1660" i="1"/>
  <c r="Z1661" i="1"/>
  <c r="AA1661" i="1"/>
  <c r="AB1661" i="1"/>
  <c r="Z1663" i="1"/>
  <c r="AA1663" i="1"/>
  <c r="AB1663" i="1"/>
  <c r="Z1664" i="1"/>
  <c r="AA1664" i="1"/>
  <c r="AB1664" i="1"/>
  <c r="Z1666" i="1"/>
  <c r="AA1666" i="1"/>
  <c r="AB1666" i="1"/>
  <c r="Z1668" i="1"/>
  <c r="AA1668" i="1"/>
  <c r="AB1668" i="1"/>
  <c r="Z1670" i="1"/>
  <c r="AA1670" i="1"/>
  <c r="AB1670" i="1"/>
  <c r="Z1672" i="1"/>
  <c r="AA1672" i="1"/>
  <c r="AB1672" i="1"/>
  <c r="Z1674" i="1"/>
  <c r="AA1674" i="1"/>
  <c r="AB1674" i="1"/>
  <c r="Z1676" i="1"/>
  <c r="AA1676" i="1"/>
  <c r="AB1676" i="1"/>
  <c r="Z1678" i="1"/>
  <c r="AA1678" i="1"/>
  <c r="AB1678" i="1"/>
  <c r="Z1680" i="1"/>
  <c r="AA1680" i="1"/>
  <c r="AB1680" i="1"/>
  <c r="Z1681" i="1"/>
  <c r="AA1681" i="1"/>
  <c r="AB1681" i="1"/>
  <c r="Z1682" i="1"/>
  <c r="AA1682" i="1"/>
  <c r="AB1682" i="1"/>
  <c r="Z1683" i="1"/>
  <c r="AA1683" i="1"/>
  <c r="AB1683" i="1"/>
  <c r="Z1684" i="1"/>
  <c r="AA1684" i="1"/>
  <c r="AB1684" i="1"/>
  <c r="Z1686" i="1"/>
  <c r="AA1686" i="1"/>
  <c r="AB1686" i="1"/>
  <c r="Z1687" i="1"/>
  <c r="AA1687" i="1"/>
  <c r="AB1687" i="1"/>
  <c r="Z1689" i="1"/>
  <c r="AA1689" i="1"/>
  <c r="AB1689" i="1"/>
  <c r="Z1690" i="1"/>
  <c r="AA1690" i="1"/>
  <c r="AB1690" i="1"/>
  <c r="Z1691" i="1"/>
  <c r="AA1691" i="1"/>
  <c r="AB1691" i="1"/>
  <c r="Z1693" i="1"/>
  <c r="AA1693" i="1"/>
  <c r="AB1693" i="1"/>
  <c r="Z1695" i="1"/>
  <c r="AA1695" i="1"/>
  <c r="AB1695" i="1"/>
  <c r="Z1697" i="1"/>
  <c r="AA1697" i="1"/>
  <c r="AB1697" i="1"/>
  <c r="Z1699" i="1"/>
  <c r="AA1699" i="1"/>
  <c r="AB1699" i="1"/>
  <c r="Z1701" i="1"/>
  <c r="AA1701" i="1"/>
  <c r="AB1701" i="1"/>
  <c r="Z1702" i="1"/>
  <c r="AA1702" i="1"/>
  <c r="AB1702" i="1"/>
  <c r="Z1703" i="1"/>
  <c r="AA1703" i="1"/>
  <c r="AB1703" i="1"/>
  <c r="Z1704" i="1"/>
  <c r="AA1704" i="1"/>
  <c r="AB1704" i="1"/>
  <c r="Z1705" i="1"/>
  <c r="AA1705" i="1"/>
  <c r="AB1705" i="1"/>
  <c r="Z1707" i="1"/>
  <c r="AA1707" i="1"/>
  <c r="AB1707" i="1"/>
  <c r="Z1709" i="1"/>
  <c r="AA1709" i="1"/>
  <c r="AB1709" i="1"/>
  <c r="Z1711" i="1"/>
  <c r="AA1711" i="1"/>
  <c r="AB1711" i="1"/>
  <c r="Z1712" i="1"/>
  <c r="AA1712" i="1"/>
  <c r="AB1712" i="1"/>
  <c r="Z1714" i="1"/>
  <c r="AA1714" i="1"/>
  <c r="AB1714" i="1"/>
  <c r="Z1716" i="1"/>
  <c r="AA1716" i="1"/>
  <c r="AB1716" i="1"/>
  <c r="Z1717" i="1"/>
  <c r="AA1717" i="1"/>
  <c r="AB1717" i="1"/>
  <c r="Z1719" i="1"/>
  <c r="AA1719" i="1"/>
  <c r="AB1719" i="1"/>
  <c r="Z1721" i="1"/>
  <c r="AA1721" i="1"/>
  <c r="AB1721" i="1"/>
  <c r="Z1723" i="1"/>
  <c r="AA1723" i="1"/>
  <c r="AB1723" i="1"/>
  <c r="Z1724" i="1"/>
  <c r="AA1724" i="1"/>
  <c r="AB1724" i="1"/>
  <c r="Z1726" i="1"/>
  <c r="AA1726" i="1"/>
  <c r="AB1726" i="1"/>
  <c r="Z1728" i="1"/>
  <c r="AA1728" i="1"/>
  <c r="AB1728" i="1"/>
  <c r="Z1729" i="1"/>
  <c r="AA1729" i="1"/>
  <c r="AB1729" i="1"/>
  <c r="Z1730" i="1"/>
  <c r="AA1730" i="1"/>
  <c r="AB1730" i="1"/>
  <c r="Z1731" i="1"/>
  <c r="AA1731" i="1"/>
  <c r="AB1731" i="1"/>
  <c r="Z1732" i="1"/>
  <c r="AA1732" i="1"/>
  <c r="AB1732" i="1"/>
  <c r="Z1734" i="1"/>
  <c r="AA1734" i="1"/>
  <c r="AB1734" i="1"/>
  <c r="Z1736" i="1"/>
  <c r="AA1736" i="1"/>
  <c r="AB1736" i="1"/>
  <c r="Z1737" i="1"/>
  <c r="AA1737" i="1"/>
  <c r="AB1737" i="1"/>
  <c r="Z1739" i="1"/>
  <c r="AA1739" i="1"/>
  <c r="AB1739" i="1"/>
  <c r="Z1740" i="1"/>
  <c r="AA1740" i="1"/>
  <c r="AB1740" i="1"/>
  <c r="Z1743" i="1"/>
  <c r="AA1743" i="1"/>
  <c r="AB1743" i="1"/>
  <c r="Z1744" i="1"/>
  <c r="AA1744" i="1"/>
  <c r="AB1744" i="1"/>
  <c r="Z1746" i="1"/>
  <c r="AA1746" i="1"/>
  <c r="AB1746" i="1"/>
  <c r="Z1747" i="1"/>
  <c r="AA1747" i="1"/>
  <c r="AB1747" i="1"/>
  <c r="Z1748" i="1"/>
  <c r="AA1748" i="1"/>
  <c r="AB1748" i="1"/>
  <c r="Z1749" i="1"/>
  <c r="AA1749" i="1"/>
  <c r="AB1749" i="1"/>
  <c r="Z1751" i="1"/>
  <c r="AA1751" i="1"/>
  <c r="AB1751" i="1"/>
  <c r="Z1753" i="1"/>
  <c r="AA1753" i="1"/>
  <c r="AB1753" i="1"/>
  <c r="Z1754" i="1"/>
  <c r="AA1754" i="1"/>
  <c r="AB1754" i="1"/>
  <c r="Z1756" i="1"/>
  <c r="AA1756" i="1"/>
  <c r="AB1756" i="1"/>
  <c r="Z1757" i="1"/>
  <c r="AA1757" i="1"/>
  <c r="AB1757" i="1"/>
  <c r="Z1759" i="1"/>
  <c r="AA1759" i="1"/>
  <c r="AB1759" i="1"/>
  <c r="Z1761" i="1"/>
  <c r="AA1761" i="1"/>
  <c r="AB1761" i="1"/>
  <c r="Z1762" i="1"/>
  <c r="AA1762" i="1"/>
  <c r="AB1762" i="1"/>
  <c r="Z1763" i="1"/>
  <c r="AA1763" i="1"/>
  <c r="AB1763" i="1"/>
  <c r="Z1765" i="1"/>
  <c r="AA1765" i="1"/>
  <c r="AB1765" i="1"/>
  <c r="Z1767" i="1"/>
  <c r="AA1767" i="1"/>
  <c r="AB1767" i="1"/>
  <c r="Z1769" i="1"/>
  <c r="AA1769" i="1"/>
  <c r="AB1769" i="1"/>
  <c r="Z1770" i="1"/>
  <c r="AA1770" i="1"/>
  <c r="AB1770" i="1"/>
  <c r="Z1772" i="1"/>
  <c r="AA1772" i="1"/>
  <c r="AB1772" i="1"/>
  <c r="CV2448" i="1"/>
  <c r="Y2448" i="1"/>
  <c r="AB2448" i="1"/>
  <c r="Z2448" i="1"/>
  <c r="CV2451" i="1"/>
  <c r="Y2451" i="1"/>
  <c r="AB2451" i="1"/>
  <c r="AA2451" i="1"/>
  <c r="Z2451" i="1"/>
  <c r="AB1859" i="1"/>
  <c r="AA1859" i="1"/>
  <c r="Z1859" i="1"/>
  <c r="CV2346" i="1"/>
  <c r="Y2346" i="1"/>
  <c r="AB2346" i="1"/>
  <c r="AA2346" i="1"/>
  <c r="Z2346" i="1"/>
  <c r="CV2326" i="1"/>
  <c r="Y2326" i="1"/>
  <c r="AB2326" i="1"/>
  <c r="AA2326" i="1"/>
  <c r="Z2326" i="1"/>
  <c r="CV2254" i="1"/>
  <c r="Y2254" i="1"/>
  <c r="AB2254" i="1"/>
  <c r="AA2254" i="1"/>
  <c r="Z2254" i="1"/>
  <c r="CV2252" i="1"/>
  <c r="Y2252" i="1"/>
  <c r="AB2252" i="1"/>
  <c r="AA2252" i="1"/>
  <c r="Z2252" i="1"/>
  <c r="CV2309" i="1"/>
  <c r="Y2309" i="1"/>
  <c r="AB2309" i="1"/>
  <c r="AA2309" i="1"/>
  <c r="Z2309" i="1"/>
  <c r="CV2337" i="1"/>
  <c r="Y2337" i="1"/>
  <c r="AB2337" i="1"/>
  <c r="AA2337" i="1"/>
  <c r="Z2337" i="1"/>
  <c r="CV2223" i="1"/>
  <c r="Y2223" i="1"/>
  <c r="AB2223" i="1"/>
  <c r="AA2223" i="1"/>
  <c r="Z2223" i="1"/>
  <c r="CV2308" i="1"/>
  <c r="Y2308" i="1"/>
  <c r="AB2308" i="1"/>
  <c r="AA2308" i="1"/>
  <c r="Z2308" i="1"/>
  <c r="CV2344" i="1"/>
  <c r="Y2344" i="1"/>
  <c r="AB2344" i="1"/>
  <c r="AA2344" i="1"/>
  <c r="Z2344" i="1"/>
  <c r="CV2281" i="1"/>
  <c r="Y2281" i="1"/>
  <c r="AB2281" i="1"/>
  <c r="AA2281" i="1"/>
  <c r="Z2281" i="1"/>
  <c r="CV2283" i="1"/>
  <c r="Y2283" i="1"/>
  <c r="AB2283" i="1"/>
  <c r="AA2283" i="1"/>
  <c r="Z2283" i="1"/>
  <c r="CV2222" i="1"/>
  <c r="Y2222" i="1"/>
  <c r="AB2222" i="1"/>
  <c r="AA2222" i="1"/>
  <c r="Z2222" i="1"/>
  <c r="CV2284" i="1"/>
  <c r="Y2284" i="1"/>
  <c r="AB2284" i="1"/>
  <c r="AA2284" i="1"/>
  <c r="Z2284" i="1"/>
  <c r="CV2267" i="1"/>
  <c r="Y2267" i="1"/>
  <c r="AB2267" i="1"/>
  <c r="AA2267" i="1"/>
  <c r="Z2267" i="1"/>
  <c r="CV2266" i="1"/>
  <c r="Y2266" i="1"/>
  <c r="AB2266" i="1"/>
  <c r="AA2266" i="1"/>
  <c r="Z2266" i="1"/>
  <c r="CV2248" i="1"/>
  <c r="Y2248" i="1"/>
  <c r="AB2248" i="1"/>
  <c r="AA2248" i="1"/>
  <c r="Z2248" i="1"/>
  <c r="CV2335" i="1"/>
  <c r="Y2335" i="1"/>
  <c r="AB2335" i="1"/>
  <c r="AA2335" i="1"/>
  <c r="CV2307" i="1"/>
  <c r="Y2307" i="1"/>
  <c r="AB2307" i="1"/>
  <c r="AA2307" i="1"/>
  <c r="Z2307" i="1"/>
  <c r="CV2164" i="1"/>
  <c r="Y2164" i="1"/>
  <c r="AB2164" i="1"/>
  <c r="CV2306" i="1"/>
  <c r="Y2306" i="1"/>
  <c r="AB2306" i="1"/>
  <c r="AA2306" i="1"/>
  <c r="CV2304" i="1"/>
  <c r="Y2304" i="1"/>
  <c r="AB2304" i="1"/>
  <c r="AA2304" i="1"/>
  <c r="AB2301" i="1"/>
  <c r="AA2301" i="1"/>
  <c r="AB2297" i="1"/>
  <c r="Z2297" i="1"/>
  <c r="AB2299" i="1"/>
  <c r="Z2299" i="1"/>
  <c r="CV2302" i="1"/>
  <c r="Y2302" i="1"/>
  <c r="AB2302" i="1"/>
  <c r="AA2302" i="1"/>
  <c r="CV2298" i="1"/>
  <c r="Y2298" i="1"/>
  <c r="AB2298" i="1"/>
  <c r="AA2298" i="1"/>
  <c r="Z2298" i="1"/>
  <c r="CV2305" i="1"/>
  <c r="Y2305" i="1"/>
  <c r="AB2305" i="1"/>
  <c r="AA2305" i="1"/>
  <c r="Z2305" i="1"/>
  <c r="CV2310" i="1"/>
  <c r="Y2310" i="1"/>
  <c r="AB2310" i="1"/>
  <c r="AA2310" i="1"/>
  <c r="Z2310" i="1"/>
  <c r="CV2313" i="1"/>
  <c r="Y2313" i="1"/>
  <c r="AB2313" i="1"/>
  <c r="AA2313" i="1"/>
  <c r="Z2313" i="1"/>
  <c r="CV2316" i="1"/>
  <c r="Y2316" i="1"/>
  <c r="AB2316" i="1"/>
  <c r="AA2316" i="1"/>
  <c r="Z2316" i="1"/>
  <c r="AB2300" i="1"/>
  <c r="AA2300" i="1"/>
  <c r="AB2289" i="1"/>
  <c r="AA2289" i="1"/>
  <c r="CV2303" i="1"/>
  <c r="Y2303" i="1"/>
  <c r="AB2303" i="1"/>
  <c r="AA2303" i="1"/>
  <c r="CV2312" i="1"/>
  <c r="Y2312" i="1"/>
  <c r="AB2312" i="1"/>
  <c r="AA2312" i="1"/>
  <c r="Z2312" i="1"/>
  <c r="CV2314" i="1"/>
  <c r="Y2314" i="1"/>
  <c r="AB2314" i="1"/>
  <c r="AA2314" i="1"/>
  <c r="Z2314" i="1"/>
  <c r="CV2315" i="1"/>
  <c r="Y2315" i="1"/>
  <c r="AE2315" i="1"/>
  <c r="AB2315" i="1"/>
  <c r="AA2315" i="1"/>
  <c r="Z2315" i="1"/>
  <c r="AB2270" i="1"/>
  <c r="AA2270" i="1"/>
  <c r="CV2273" i="1"/>
  <c r="Y2273" i="1"/>
  <c r="AB2273" i="1"/>
  <c r="AA2273" i="1"/>
  <c r="Z2273" i="1"/>
  <c r="CV2277" i="1"/>
  <c r="Y2277" i="1"/>
  <c r="AB2277" i="1"/>
  <c r="AA2277" i="1"/>
  <c r="Z2277" i="1"/>
  <c r="AB2251" i="1"/>
  <c r="AA2251" i="1"/>
  <c r="AB2250" i="1"/>
  <c r="AA2250" i="1"/>
  <c r="CV2280" i="1"/>
  <c r="Y2280" i="1"/>
  <c r="AB2280" i="1"/>
  <c r="AA2280" i="1"/>
  <c r="Z2280" i="1"/>
  <c r="CV2288" i="1"/>
  <c r="Y2288" i="1"/>
  <c r="AB2288" i="1"/>
  <c r="AA2288" i="1"/>
  <c r="Z2288" i="1"/>
  <c r="CV2275" i="1"/>
  <c r="Y2275" i="1"/>
  <c r="AB2275" i="1"/>
  <c r="AA2275" i="1"/>
  <c r="Z2275" i="1"/>
  <c r="CV2274" i="1"/>
  <c r="Y2274" i="1"/>
  <c r="AB2274" i="1"/>
  <c r="AA2274" i="1"/>
  <c r="Z2274" i="1"/>
  <c r="CV2276" i="1"/>
  <c r="Y2276" i="1"/>
  <c r="AB2276" i="1"/>
  <c r="AA2276" i="1"/>
  <c r="Z2276" i="1"/>
  <c r="CV2255" i="1"/>
  <c r="Y2255" i="1"/>
  <c r="AB2255" i="1"/>
  <c r="AA2255" i="1"/>
  <c r="Z2255" i="1"/>
  <c r="CV2256" i="1"/>
  <c r="Y2256" i="1"/>
  <c r="AB2256" i="1"/>
  <c r="AA2256" i="1"/>
  <c r="Z2256" i="1"/>
  <c r="CV2258" i="1"/>
  <c r="Y2258" i="1"/>
  <c r="AB2258" i="1"/>
  <c r="AA2258" i="1"/>
  <c r="Z2258" i="1"/>
  <c r="CV2257" i="1"/>
  <c r="Y2257" i="1"/>
  <c r="AB2257" i="1"/>
  <c r="AA2257" i="1"/>
  <c r="Z2257" i="1"/>
  <c r="CV2259" i="1"/>
  <c r="Y2259" i="1"/>
  <c r="AB2259" i="1"/>
  <c r="AA2259" i="1"/>
  <c r="Z2259" i="1"/>
  <c r="CV2265" i="1"/>
  <c r="Y2265" i="1"/>
  <c r="AB2265" i="1"/>
  <c r="AA2265" i="1"/>
  <c r="Z2265" i="1"/>
  <c r="CV2264" i="1"/>
  <c r="Y2264" i="1"/>
  <c r="AB2264" i="1"/>
  <c r="AA2264" i="1"/>
  <c r="Z2264" i="1"/>
  <c r="CV2193" i="1"/>
  <c r="Y2193" i="1"/>
  <c r="AB2193" i="1"/>
  <c r="AA2193" i="1"/>
  <c r="Z2193" i="1"/>
  <c r="CV2247" i="1"/>
  <c r="Y2247" i="1"/>
  <c r="AB2247" i="1"/>
  <c r="AA2247" i="1"/>
  <c r="Z2247" i="1"/>
  <c r="CV2272" i="1"/>
  <c r="Y2272" i="1"/>
  <c r="AB2272" i="1"/>
  <c r="AA2272" i="1"/>
  <c r="Z2272" i="1"/>
  <c r="CV2271" i="1"/>
  <c r="Y2271" i="1"/>
  <c r="AB2271" i="1"/>
  <c r="AA2271" i="1"/>
  <c r="Z2271" i="1"/>
  <c r="CV2253" i="1"/>
  <c r="Y2253" i="1"/>
  <c r="AB2253" i="1"/>
  <c r="AA2253" i="1"/>
  <c r="Z2253" i="1"/>
  <c r="CV2221" i="1"/>
  <c r="Y2221" i="1"/>
  <c r="AE2221" i="1"/>
  <c r="AB2221" i="1"/>
  <c r="Z2221" i="1"/>
  <c r="AB2080" i="1"/>
  <c r="AB2194" i="1"/>
  <c r="AB2249" i="1"/>
  <c r="AB2260" i="1"/>
  <c r="AA2260" i="1"/>
  <c r="CV2187" i="1"/>
  <c r="Y2187" i="1"/>
  <c r="AB2187" i="1"/>
  <c r="AA2187" i="1"/>
  <c r="Z2187" i="1"/>
  <c r="CV2239" i="1"/>
  <c r="Y2239" i="1"/>
  <c r="AB2239" i="1"/>
  <c r="AA2239" i="1"/>
  <c r="Z2239" i="1"/>
  <c r="CV2235" i="1"/>
  <c r="Y2235" i="1"/>
  <c r="AB2235" i="1"/>
  <c r="AA2235" i="1"/>
  <c r="Z2235" i="1"/>
  <c r="CV2262" i="1"/>
  <c r="Y2262" i="1"/>
  <c r="AB2262" i="1"/>
  <c r="AA2262" i="1"/>
  <c r="Z2262" i="1"/>
  <c r="CV2179" i="1"/>
  <c r="Y2179" i="1"/>
  <c r="AA2179" i="1"/>
  <c r="Z2179" i="1"/>
  <c r="AB2214" i="1"/>
  <c r="CV2236" i="1"/>
  <c r="Y2236" i="1"/>
  <c r="AB2236" i="1"/>
  <c r="AA2236" i="1"/>
  <c r="Z2236" i="1"/>
  <c r="CV2233" i="1"/>
  <c r="Y2233" i="1"/>
  <c r="AB2233" i="1"/>
  <c r="AA2233" i="1"/>
  <c r="Z2233" i="1"/>
  <c r="CV2225" i="1"/>
  <c r="Y2225" i="1"/>
  <c r="AB2225" i="1"/>
  <c r="AA2225" i="1"/>
  <c r="Z2225" i="1"/>
  <c r="CV2224" i="1"/>
  <c r="Y2224" i="1"/>
  <c r="AB2224" i="1"/>
  <c r="CV2231" i="1"/>
  <c r="Y2231" i="1"/>
  <c r="AB2231" i="1"/>
  <c r="AA2231" i="1"/>
  <c r="Z2231" i="1"/>
  <c r="CV2245" i="1"/>
  <c r="Y2245" i="1"/>
  <c r="AB2245" i="1"/>
  <c r="AA2245" i="1"/>
  <c r="Z2245" i="1"/>
  <c r="CV2244" i="1"/>
  <c r="Y2244" i="1"/>
  <c r="AB2244" i="1"/>
  <c r="AA2244" i="1"/>
  <c r="Z2244" i="1"/>
  <c r="CV2238" i="1"/>
  <c r="Y2238" i="1"/>
  <c r="AB2238" i="1"/>
  <c r="AA2238" i="1"/>
  <c r="Z2238" i="1"/>
  <c r="CV2237" i="1"/>
  <c r="Y2237" i="1"/>
  <c r="AB2237" i="1"/>
  <c r="AA2237" i="1"/>
  <c r="Z2237" i="1"/>
  <c r="CV2226" i="1"/>
  <c r="Y2226" i="1"/>
  <c r="AB2226" i="1"/>
  <c r="AA2226" i="1"/>
  <c r="Z2226" i="1"/>
  <c r="CV2228" i="1"/>
  <c r="Y2228" i="1"/>
  <c r="AB2228" i="1"/>
  <c r="AA2228" i="1"/>
  <c r="Z2228" i="1"/>
  <c r="CV2230" i="1"/>
  <c r="Y2230" i="1"/>
  <c r="AB2230" i="1"/>
  <c r="AA2230" i="1"/>
  <c r="Z2230" i="1"/>
  <c r="CV2229" i="1"/>
  <c r="Y2229" i="1"/>
  <c r="AB2229" i="1"/>
  <c r="AA2229" i="1"/>
  <c r="Z2229" i="1"/>
  <c r="CV2240" i="1"/>
  <c r="Y2240" i="1"/>
  <c r="AB2240" i="1"/>
  <c r="AA2240" i="1"/>
  <c r="Z2240" i="1"/>
  <c r="CV2220" i="1"/>
  <c r="Y2220" i="1"/>
  <c r="AB2220" i="1"/>
  <c r="AA2220" i="1"/>
  <c r="Z2220" i="1"/>
  <c r="CV2218" i="1"/>
  <c r="Y2218" i="1"/>
  <c r="AB2218" i="1"/>
  <c r="AA2218" i="1"/>
  <c r="Z2218" i="1"/>
  <c r="CV2217" i="1"/>
  <c r="Y2217" i="1"/>
  <c r="AB2217" i="1"/>
  <c r="AA2217" i="1"/>
  <c r="Z2217" i="1"/>
  <c r="CV2213" i="1"/>
  <c r="Y2213" i="1"/>
  <c r="AB2213" i="1"/>
  <c r="AA2213" i="1"/>
  <c r="Z2213" i="1"/>
  <c r="CV2184" i="1"/>
  <c r="Y2184" i="1"/>
  <c r="AB2184" i="1"/>
  <c r="AA2184" i="1"/>
  <c r="Z2184" i="1"/>
  <c r="CV2208" i="1"/>
  <c r="Y2208" i="1"/>
  <c r="AB2208" i="1"/>
  <c r="AA2208" i="1"/>
  <c r="Z2208" i="1"/>
  <c r="CV2207" i="1"/>
  <c r="Y2207" i="1"/>
  <c r="AB2207" i="1"/>
  <c r="AA2207" i="1"/>
  <c r="Z2207" i="1"/>
  <c r="CV2209" i="1"/>
  <c r="Y2209" i="1"/>
  <c r="AB2209" i="1"/>
  <c r="AA2209" i="1"/>
  <c r="Z2209" i="1"/>
  <c r="CV2210" i="1"/>
  <c r="Y2210" i="1"/>
  <c r="AB2210" i="1"/>
  <c r="AA2210" i="1"/>
  <c r="Z2210" i="1"/>
  <c r="CV1874" i="1"/>
  <c r="Y1874" i="1"/>
  <c r="AB1874" i="1"/>
  <c r="AA1874" i="1"/>
  <c r="Z1874" i="1"/>
  <c r="CV1602" i="1"/>
  <c r="Y1602" i="1"/>
  <c r="AB1602" i="1"/>
  <c r="AA1602" i="1"/>
  <c r="Z1602" i="1"/>
  <c r="CV1601" i="1"/>
  <c r="Y1601" i="1"/>
  <c r="AB1601" i="1"/>
  <c r="AA1601" i="1"/>
  <c r="Z1601" i="1"/>
  <c r="CV1600" i="1"/>
  <c r="Y1600" i="1"/>
  <c r="AB1600" i="1"/>
  <c r="AA1600" i="1"/>
  <c r="Z1600" i="1"/>
  <c r="CV1599" i="1"/>
  <c r="Y1599" i="1"/>
  <c r="AB1599" i="1"/>
  <c r="AA1599" i="1"/>
  <c r="Z1599" i="1"/>
  <c r="CV1598" i="1"/>
  <c r="Y1598" i="1"/>
  <c r="AB1598" i="1"/>
  <c r="AA1598" i="1"/>
  <c r="Z1598" i="1"/>
  <c r="CV1597" i="1"/>
  <c r="Y1597" i="1"/>
  <c r="AB1597" i="1"/>
  <c r="AA1597" i="1"/>
  <c r="Z1597" i="1"/>
  <c r="CV1596" i="1"/>
  <c r="Y1596" i="1"/>
  <c r="AB1596" i="1"/>
  <c r="AA1596" i="1"/>
  <c r="Z1596" i="1"/>
  <c r="CV1595" i="1"/>
  <c r="Y1595" i="1"/>
  <c r="AB1595" i="1"/>
  <c r="AA1595" i="1"/>
  <c r="Z1595" i="1"/>
  <c r="CV1594" i="1"/>
  <c r="Y1594" i="1"/>
  <c r="AB1594" i="1"/>
  <c r="AA1594" i="1"/>
  <c r="Z1594" i="1"/>
  <c r="CV1593" i="1"/>
  <c r="Y1593" i="1"/>
  <c r="AB1593" i="1"/>
  <c r="AA1593" i="1"/>
  <c r="Z1593" i="1"/>
  <c r="CV1592" i="1"/>
  <c r="Y1592" i="1"/>
  <c r="AB1592" i="1"/>
  <c r="AA1592" i="1"/>
  <c r="Z1592" i="1"/>
  <c r="CV1591" i="1"/>
  <c r="Y1591" i="1"/>
  <c r="AB1591" i="1"/>
  <c r="AA1591" i="1"/>
  <c r="Z1591" i="1"/>
  <c r="CV1590" i="1"/>
  <c r="Y1590" i="1"/>
  <c r="AB1590" i="1"/>
  <c r="AA1590" i="1"/>
  <c r="Z1590" i="1"/>
  <c r="CV1589" i="1"/>
  <c r="Y1589" i="1"/>
  <c r="AB1589" i="1"/>
  <c r="AA1589" i="1"/>
  <c r="Z1589" i="1"/>
  <c r="CV1588" i="1"/>
  <c r="Y1588" i="1"/>
  <c r="AB1588" i="1"/>
  <c r="AA1588" i="1"/>
  <c r="Z1588" i="1"/>
  <c r="CV1587" i="1"/>
  <c r="Y1587" i="1"/>
  <c r="AB1587" i="1"/>
  <c r="AA1587" i="1"/>
  <c r="Z1587" i="1"/>
  <c r="CV1586" i="1"/>
  <c r="Y1586" i="1"/>
  <c r="AB1586" i="1"/>
  <c r="AA1586" i="1"/>
  <c r="Z1586" i="1"/>
  <c r="CV1585" i="1"/>
  <c r="Y1585" i="1"/>
  <c r="AB1585" i="1"/>
  <c r="AA1585" i="1"/>
  <c r="Z1585" i="1"/>
  <c r="CV1584" i="1"/>
  <c r="Y1584" i="1"/>
  <c r="AB1584" i="1"/>
  <c r="AA1584" i="1"/>
  <c r="Z1584" i="1"/>
  <c r="CV1583" i="1"/>
  <c r="Y1583" i="1"/>
  <c r="AB1583" i="1"/>
  <c r="AA1583" i="1"/>
  <c r="Z1583" i="1"/>
  <c r="CV2204" i="1"/>
  <c r="Y2204" i="1"/>
  <c r="AB2204" i="1"/>
  <c r="Z2204" i="1"/>
  <c r="AB2203" i="1"/>
  <c r="CV2205" i="1"/>
  <c r="Y2205" i="1"/>
  <c r="AB2205" i="1"/>
  <c r="AA2205" i="1"/>
  <c r="Z2205" i="1"/>
  <c r="CV2206" i="1"/>
  <c r="Y2206" i="1"/>
  <c r="AB2206" i="1"/>
  <c r="AA2206" i="1"/>
  <c r="Z2206" i="1"/>
  <c r="CV2198" i="1"/>
  <c r="Y2198" i="1"/>
  <c r="AB2198" i="1"/>
  <c r="AA2198" i="1"/>
  <c r="Z2198" i="1"/>
  <c r="CV2196" i="1"/>
  <c r="Y2196" i="1"/>
  <c r="AB2196" i="1"/>
  <c r="AA2196" i="1"/>
  <c r="Z2196" i="1"/>
  <c r="CV2200" i="1"/>
  <c r="Y2200" i="1"/>
  <c r="AB2200" i="1"/>
  <c r="AA2200" i="1"/>
  <c r="Z2200" i="1"/>
  <c r="CV2199" i="1"/>
  <c r="Y2199" i="1"/>
  <c r="AB2199" i="1"/>
  <c r="AA2199" i="1"/>
  <c r="Z2199" i="1"/>
  <c r="CV2195" i="1"/>
  <c r="Y2195" i="1"/>
  <c r="AB2195" i="1"/>
  <c r="AA2195" i="1"/>
  <c r="Z2195" i="1"/>
  <c r="CV2197" i="1"/>
  <c r="Y2197" i="1"/>
  <c r="AB2197" i="1"/>
  <c r="AA2197" i="1"/>
  <c r="Z2197" i="1"/>
  <c r="CV2201" i="1"/>
  <c r="Y2201" i="1"/>
  <c r="AB2201" i="1"/>
  <c r="AA2201" i="1"/>
  <c r="Z2201" i="1"/>
  <c r="CV2191" i="1"/>
  <c r="Y2191" i="1"/>
  <c r="AB2191" i="1"/>
  <c r="AA2191" i="1"/>
  <c r="Z2191" i="1"/>
  <c r="CV2192" i="1"/>
  <c r="Y2192" i="1"/>
  <c r="AB2192" i="1"/>
  <c r="AA2192" i="1"/>
  <c r="Z2192" i="1"/>
  <c r="CV2190" i="1"/>
  <c r="Y2190" i="1"/>
  <c r="AB2190" i="1"/>
  <c r="AA2190" i="1"/>
  <c r="Z2190" i="1"/>
  <c r="CV1784" i="1"/>
  <c r="Y1784" i="1"/>
  <c r="AB1784" i="1"/>
  <c r="AA1784" i="1"/>
  <c r="Z1784" i="1"/>
  <c r="CV1346" i="1"/>
  <c r="Y1346" i="1"/>
  <c r="AB1346" i="1"/>
  <c r="AA1346" i="1"/>
  <c r="Z1346" i="1"/>
  <c r="CV1879" i="1"/>
  <c r="Y1879" i="1"/>
  <c r="AB1879" i="1"/>
  <c r="AA1879" i="1"/>
  <c r="Z1879" i="1"/>
  <c r="AB2189" i="1"/>
  <c r="CV2188" i="1"/>
  <c r="Y2188" i="1"/>
  <c r="AB2188" i="1"/>
  <c r="AA2188" i="1"/>
  <c r="Z2188" i="1"/>
  <c r="CV2174" i="1"/>
  <c r="Y2174" i="1"/>
  <c r="AB2174" i="1"/>
  <c r="AA2174" i="1"/>
  <c r="Z2174" i="1"/>
  <c r="CV2176" i="1"/>
  <c r="Y2176" i="1"/>
  <c r="AB2176" i="1"/>
  <c r="AA2176" i="1"/>
  <c r="Z2176" i="1"/>
  <c r="CV2156" i="1"/>
  <c r="Y2156" i="1"/>
  <c r="AB2156" i="1"/>
  <c r="AA2156" i="1"/>
  <c r="Z2156" i="1"/>
  <c r="CV919" i="1"/>
  <c r="Y919" i="1"/>
  <c r="AB919" i="1"/>
  <c r="AA919" i="1"/>
  <c r="Z919" i="1"/>
  <c r="CV2185" i="1"/>
  <c r="Y2185" i="1"/>
  <c r="AB2185" i="1"/>
  <c r="AA2185" i="1"/>
  <c r="Z2185" i="1"/>
  <c r="CV2177" i="1"/>
  <c r="Y2177" i="1"/>
  <c r="AB2177" i="1"/>
  <c r="AA2177" i="1"/>
  <c r="Z2177" i="1"/>
  <c r="CV2170" i="1"/>
  <c r="Y2170" i="1"/>
  <c r="AB2170" i="1"/>
  <c r="AA2170" i="1"/>
  <c r="Z2170" i="1"/>
  <c r="CV2171" i="1"/>
  <c r="Y2171" i="1"/>
  <c r="AB2171" i="1"/>
  <c r="AA2171" i="1"/>
  <c r="Z2171" i="1"/>
  <c r="CV2172" i="1"/>
  <c r="Y2172" i="1"/>
  <c r="AB2172" i="1"/>
  <c r="AA2172" i="1"/>
  <c r="Z2172" i="1"/>
  <c r="CV2010" i="1"/>
  <c r="Y2010" i="1"/>
  <c r="AB2010" i="1"/>
  <c r="AA2010" i="1"/>
  <c r="Z2010" i="1"/>
  <c r="CV2180" i="1"/>
  <c r="Y2180" i="1"/>
  <c r="AB2180" i="1"/>
  <c r="AA2180" i="1"/>
  <c r="Z2180" i="1"/>
  <c r="CV2182" i="1"/>
  <c r="Y2182" i="1"/>
  <c r="AB2182" i="1"/>
  <c r="AA2182" i="1"/>
  <c r="Z2182" i="1"/>
  <c r="CV2181" i="1"/>
  <c r="Y2181" i="1"/>
  <c r="AB2181" i="1"/>
  <c r="AA2181" i="1"/>
  <c r="Z2181" i="1"/>
  <c r="CV2175" i="1"/>
  <c r="Y2175" i="1"/>
  <c r="AB2175" i="1"/>
  <c r="AA2175" i="1"/>
  <c r="Z2175" i="1"/>
  <c r="CV2167" i="1"/>
  <c r="Y2167" i="1"/>
  <c r="AB2167" i="1"/>
  <c r="AA2167" i="1"/>
  <c r="Z2167" i="1"/>
  <c r="CV2169" i="1"/>
  <c r="Y2169" i="1"/>
  <c r="AB2169" i="1"/>
  <c r="AA2169" i="1"/>
  <c r="Z2169" i="1"/>
  <c r="CV2168" i="1"/>
  <c r="Y2168" i="1"/>
  <c r="AB2168" i="1"/>
  <c r="AA2168" i="1"/>
  <c r="Z2168" i="1"/>
  <c r="CV2012" i="1"/>
  <c r="Y2012" i="1"/>
  <c r="AB2012" i="1"/>
  <c r="AA2012" i="1"/>
  <c r="Z2012" i="1"/>
  <c r="CV2165" i="1"/>
  <c r="Y2165" i="1"/>
  <c r="AB2165" i="1"/>
  <c r="AA2165" i="1"/>
  <c r="Z2165" i="1"/>
  <c r="CV2153" i="1"/>
  <c r="Y2153" i="1"/>
  <c r="Z2153" i="1"/>
  <c r="CV2154" i="1"/>
  <c r="Y2154" i="1"/>
  <c r="AB2154" i="1"/>
  <c r="AA2154" i="1"/>
  <c r="Z2154" i="1"/>
  <c r="CV2155" i="1"/>
  <c r="Y2155" i="1"/>
  <c r="AB2155" i="1"/>
  <c r="AA2155" i="1"/>
  <c r="Z2155" i="1"/>
  <c r="CV2057" i="1"/>
  <c r="Y2057" i="1"/>
  <c r="AB2057" i="1"/>
  <c r="AA2057" i="1"/>
  <c r="Z2057" i="1"/>
  <c r="CV2163" i="1"/>
  <c r="Y2163" i="1"/>
  <c r="AB2163" i="1"/>
  <c r="AA2163" i="1"/>
  <c r="Z2163" i="1"/>
  <c r="CV2219" i="1"/>
  <c r="Y2219" i="1"/>
  <c r="AB2219" i="1"/>
  <c r="AA2219" i="1"/>
  <c r="Z2219" i="1"/>
  <c r="CV2162" i="1"/>
  <c r="Y2162" i="1"/>
  <c r="AB2162" i="1"/>
  <c r="AA2162" i="1"/>
  <c r="Z2162" i="1"/>
  <c r="CV2152" i="1"/>
  <c r="Y2152" i="1"/>
  <c r="AB2152" i="1"/>
  <c r="AA2152" i="1"/>
  <c r="Z2152" i="1"/>
  <c r="AB2150" i="1"/>
  <c r="Z2150" i="1"/>
  <c r="CV2138" i="1"/>
  <c r="Y2138" i="1"/>
  <c r="AB2138" i="1"/>
  <c r="AA2138" i="1"/>
  <c r="Z2138" i="1"/>
  <c r="CV2157" i="1"/>
  <c r="Y2157" i="1"/>
  <c r="AB2157" i="1"/>
  <c r="AA2157" i="1"/>
  <c r="Z2157" i="1"/>
  <c r="AB2107" i="1"/>
  <c r="CV1999" i="1"/>
  <c r="Y1999" i="1"/>
  <c r="AB1999" i="1"/>
  <c r="Z1999" i="1"/>
  <c r="CV2146" i="1"/>
  <c r="Y2146" i="1"/>
  <c r="AB2146" i="1"/>
  <c r="Z2146" i="1"/>
  <c r="AA2148" i="1"/>
  <c r="Z2148" i="1"/>
  <c r="CV2072" i="1"/>
  <c r="Y2072" i="1"/>
  <c r="AB2072" i="1"/>
  <c r="Z2072" i="1"/>
  <c r="CV2110" i="1"/>
  <c r="Y2110" i="1"/>
  <c r="AB2110" i="1"/>
  <c r="Z2110" i="1"/>
  <c r="CV2111" i="1"/>
  <c r="Y2111" i="1"/>
  <c r="AB2111" i="1"/>
  <c r="CV2161" i="1"/>
  <c r="Y2161" i="1"/>
  <c r="AB2161" i="1"/>
  <c r="AA2161" i="1"/>
  <c r="CV2088" i="1"/>
  <c r="Y2088" i="1"/>
  <c r="AB2088" i="1"/>
  <c r="AA2088" i="1"/>
  <c r="Z2088" i="1"/>
  <c r="CV2147" i="1"/>
  <c r="Y2147" i="1"/>
  <c r="AB2147" i="1"/>
  <c r="CV2149" i="1"/>
  <c r="Y2149" i="1"/>
  <c r="AB2149" i="1"/>
  <c r="AA2149" i="1"/>
  <c r="Z2149" i="1"/>
  <c r="CV2143" i="1"/>
  <c r="Y2143" i="1"/>
  <c r="AB2143" i="1"/>
  <c r="AA2143" i="1"/>
  <c r="Z2143" i="1"/>
  <c r="CV2118" i="1"/>
  <c r="Y2118" i="1"/>
  <c r="AB2118" i="1"/>
  <c r="AA2118" i="1"/>
  <c r="Z2118" i="1"/>
  <c r="CV2114" i="1"/>
  <c r="Y2114" i="1"/>
  <c r="AB2114" i="1"/>
  <c r="AA2114" i="1"/>
  <c r="Z2114" i="1"/>
  <c r="CV1772" i="1"/>
  <c r="Y1772" i="1"/>
  <c r="CV1770" i="1"/>
  <c r="Y1770" i="1"/>
  <c r="CV1769" i="1"/>
  <c r="Y1769" i="1"/>
  <c r="CV1767" i="1"/>
  <c r="Y1767" i="1"/>
  <c r="CV1765" i="1"/>
  <c r="Y1765" i="1"/>
  <c r="CV1763" i="1"/>
  <c r="Y1763" i="1"/>
  <c r="CV1762" i="1"/>
  <c r="Y1762" i="1"/>
  <c r="CV1761" i="1"/>
  <c r="Y1761" i="1"/>
  <c r="CV1759" i="1"/>
  <c r="Y1759" i="1"/>
  <c r="CV1757" i="1"/>
  <c r="Y1757" i="1"/>
  <c r="CV1756" i="1"/>
  <c r="Y1756" i="1"/>
  <c r="CV1754" i="1"/>
  <c r="Y1754" i="1"/>
  <c r="CV1753" i="1"/>
  <c r="Y1753" i="1"/>
  <c r="CV1751" i="1"/>
  <c r="Y1751" i="1"/>
  <c r="CV1749" i="1"/>
  <c r="Y1749" i="1"/>
  <c r="CV1748" i="1"/>
  <c r="Y1748" i="1"/>
  <c r="CV1747" i="1"/>
  <c r="Y1747" i="1"/>
  <c r="CV1746" i="1"/>
  <c r="Y1746" i="1"/>
  <c r="CV1744" i="1"/>
  <c r="Y1744" i="1"/>
  <c r="CV1743" i="1"/>
  <c r="Y1743" i="1"/>
  <c r="CV1740" i="1"/>
  <c r="Y1740" i="1"/>
  <c r="CV1739" i="1"/>
  <c r="Y1739" i="1"/>
  <c r="CV1737" i="1"/>
  <c r="Y1737" i="1"/>
  <c r="CV1736" i="1"/>
  <c r="Y1736" i="1"/>
  <c r="CV1734" i="1"/>
  <c r="Y1734" i="1"/>
  <c r="CV1732" i="1"/>
  <c r="Y1732" i="1"/>
  <c r="CV1731" i="1"/>
  <c r="Y1731" i="1"/>
  <c r="CV1730" i="1"/>
  <c r="Y1730" i="1"/>
  <c r="CV1729" i="1"/>
  <c r="Y1729" i="1"/>
  <c r="CV1728" i="1"/>
  <c r="Y1728" i="1"/>
  <c r="CV1726" i="1"/>
  <c r="Y1726" i="1"/>
  <c r="CV1724" i="1"/>
  <c r="Y1724" i="1"/>
  <c r="CV1723" i="1"/>
  <c r="Y1723" i="1"/>
  <c r="CV1721" i="1"/>
  <c r="Y1721" i="1"/>
  <c r="CV1719" i="1"/>
  <c r="Y1719" i="1"/>
  <c r="CV1717" i="1"/>
  <c r="Y1717" i="1"/>
  <c r="CV1716" i="1"/>
  <c r="Y1716" i="1"/>
  <c r="CV1714" i="1"/>
  <c r="Y1714" i="1"/>
  <c r="CV1712" i="1"/>
  <c r="Y1712" i="1"/>
  <c r="CV1711" i="1"/>
  <c r="Y1711" i="1"/>
  <c r="CV1709" i="1"/>
  <c r="Y1709" i="1"/>
  <c r="CV1707" i="1"/>
  <c r="Y1707" i="1"/>
  <c r="CV1705" i="1"/>
  <c r="Y1705" i="1"/>
  <c r="CV1704" i="1"/>
  <c r="Y1704" i="1"/>
  <c r="CV1703" i="1"/>
  <c r="Y1703" i="1"/>
  <c r="CV1702" i="1"/>
  <c r="Y1702" i="1"/>
  <c r="CV1701" i="1"/>
  <c r="Y1701" i="1"/>
  <c r="CV1699" i="1"/>
  <c r="Y1699" i="1"/>
  <c r="CV1697" i="1"/>
  <c r="Y1697" i="1"/>
  <c r="CV1695" i="1"/>
  <c r="Y1695" i="1"/>
  <c r="CV1693" i="1"/>
  <c r="Y1693" i="1"/>
  <c r="CV1691" i="1"/>
  <c r="Y1691" i="1"/>
  <c r="CV1690" i="1"/>
  <c r="Y1690" i="1"/>
  <c r="CV1689" i="1"/>
  <c r="Y1689" i="1"/>
  <c r="CV1687" i="1"/>
  <c r="Y1687" i="1"/>
  <c r="CV1686" i="1"/>
  <c r="Y1686" i="1"/>
  <c r="CV1684" i="1"/>
  <c r="Y1684" i="1"/>
  <c r="CV1683" i="1"/>
  <c r="Y1683" i="1"/>
  <c r="CV1682" i="1"/>
  <c r="Y1682" i="1"/>
  <c r="CV1681" i="1"/>
  <c r="Y1681" i="1"/>
  <c r="CV1680" i="1"/>
  <c r="Y1680" i="1"/>
  <c r="CV1678" i="1"/>
  <c r="Y1678" i="1"/>
  <c r="CV1676" i="1"/>
  <c r="Y1676" i="1"/>
  <c r="CV1674" i="1"/>
  <c r="Y1674" i="1"/>
  <c r="CV1672" i="1"/>
  <c r="Y1672" i="1"/>
  <c r="CV1670" i="1"/>
  <c r="Y1670" i="1"/>
  <c r="CV1668" i="1"/>
  <c r="Y1668" i="1"/>
  <c r="CV1666" i="1"/>
  <c r="Y1666" i="1"/>
  <c r="CV1664" i="1"/>
  <c r="Y1664" i="1"/>
  <c r="CV1663" i="1"/>
  <c r="Y1663" i="1"/>
  <c r="CV1661" i="1"/>
  <c r="Y1661" i="1"/>
  <c r="CV1660" i="1"/>
  <c r="Y1660" i="1"/>
  <c r="CV1659" i="1"/>
  <c r="Y1659" i="1"/>
  <c r="CV1657" i="1"/>
  <c r="Y1657" i="1"/>
  <c r="CV1656" i="1"/>
  <c r="Y1656" i="1"/>
  <c r="CV1654" i="1"/>
  <c r="Y1654" i="1"/>
  <c r="CV1653" i="1"/>
  <c r="Y1653" i="1"/>
  <c r="AE1653" i="1"/>
  <c r="CV1651" i="1"/>
  <c r="Y1651" i="1"/>
  <c r="CV1650" i="1"/>
  <c r="Y1650" i="1"/>
  <c r="AE1650" i="1"/>
  <c r="CV1648" i="1"/>
  <c r="Y1648" i="1"/>
  <c r="CV1647" i="1"/>
  <c r="Y1647" i="1"/>
  <c r="AE1647" i="1"/>
  <c r="CV1646" i="1"/>
  <c r="Y1646" i="1"/>
  <c r="CV1645" i="1"/>
  <c r="Y1645" i="1"/>
  <c r="AE1645" i="1"/>
  <c r="CV1643" i="1"/>
  <c r="Y1643" i="1"/>
  <c r="CV1641" i="1"/>
  <c r="Y1641" i="1"/>
  <c r="CV1640" i="1"/>
  <c r="Y1640" i="1"/>
  <c r="CV1638" i="1"/>
  <c r="Y1638" i="1"/>
  <c r="CV1636" i="1"/>
  <c r="Y1636" i="1"/>
  <c r="CV1634" i="1"/>
  <c r="Y1634" i="1"/>
  <c r="CV1633" i="1"/>
  <c r="Y1633" i="1"/>
  <c r="CV1632" i="1"/>
  <c r="Y1632" i="1"/>
  <c r="CV1631" i="1"/>
  <c r="Y1631" i="1"/>
  <c r="AE1631" i="1"/>
  <c r="CV1629" i="1"/>
  <c r="Y1629" i="1"/>
  <c r="CV1628" i="1"/>
  <c r="Y1628" i="1"/>
  <c r="CV1627" i="1"/>
  <c r="Y1627" i="1"/>
  <c r="CV1625" i="1"/>
  <c r="Y1625" i="1"/>
  <c r="AE1625" i="1"/>
  <c r="CV1624" i="1"/>
  <c r="Y1624" i="1"/>
  <c r="CV1622" i="1"/>
  <c r="Y1622" i="1"/>
  <c r="CV1621" i="1"/>
  <c r="Y1621" i="1"/>
  <c r="AE1621" i="1"/>
  <c r="CV1619" i="1"/>
  <c r="Y1619" i="1"/>
  <c r="CV1618" i="1"/>
  <c r="Y1618" i="1"/>
  <c r="CV1616" i="1"/>
  <c r="Y1616" i="1"/>
  <c r="CV1615" i="1"/>
  <c r="Y1615" i="1"/>
  <c r="CV1613" i="1"/>
  <c r="Y1613" i="1"/>
  <c r="CV1612" i="1"/>
  <c r="Y1612" i="1"/>
  <c r="AD744" i="1"/>
  <c r="CZ1926" i="1"/>
  <c r="Z1926" i="1"/>
  <c r="BA1980" i="1"/>
  <c r="CK1980" i="1"/>
  <c r="CQ1980" i="1"/>
  <c r="CS1980" i="1"/>
  <c r="J1257" i="1"/>
  <c r="J372" i="1"/>
  <c r="J370" i="1"/>
  <c r="J368" i="1"/>
  <c r="J1243" i="1"/>
  <c r="J369" i="1"/>
  <c r="J374" i="1"/>
  <c r="J375" i="1"/>
  <c r="J367" i="1"/>
  <c r="J344" i="1"/>
  <c r="J378" i="1"/>
  <c r="J377" i="1"/>
  <c r="J611" i="1"/>
  <c r="J2106" i="1"/>
  <c r="AC1463" i="1"/>
  <c r="DB1463" i="1"/>
  <c r="DD1463" i="1"/>
  <c r="BA2126" i="1"/>
  <c r="CZ2092" i="1"/>
  <c r="Z2092" i="1"/>
  <c r="DC1986" i="1"/>
  <c r="CZ2126" i="1"/>
  <c r="Z2126" i="1"/>
  <c r="CQ1872" i="1"/>
  <c r="CZ1872" i="1"/>
  <c r="Z1872" i="1"/>
  <c r="AC1867" i="1"/>
  <c r="CQ1867" i="1"/>
  <c r="CV1867" i="1"/>
  <c r="Y1867" i="1"/>
  <c r="DD1867" i="1"/>
  <c r="AA1867" i="1"/>
  <c r="CZ1867" i="1"/>
  <c r="Z1867" i="1"/>
  <c r="DB1795" i="1"/>
  <c r="CO1795" i="1"/>
  <c r="CS1795" i="1"/>
  <c r="CQ1795" i="1"/>
  <c r="CK1795" i="1"/>
  <c r="BA1795" i="1"/>
  <c r="DD1795" i="1"/>
  <c r="CZ1795" i="1"/>
  <c r="Z1795" i="1"/>
  <c r="AC1797" i="1"/>
  <c r="DB1797" i="1"/>
  <c r="AA1797" i="1"/>
  <c r="CS1797" i="1"/>
  <c r="CQ1797" i="1"/>
  <c r="BA1797" i="1"/>
  <c r="CZ1797" i="1"/>
  <c r="Z1797" i="1"/>
  <c r="CS1845" i="1"/>
  <c r="CQ1845" i="1"/>
  <c r="CZ1845" i="1"/>
  <c r="Z1845" i="1"/>
  <c r="CK1845" i="1"/>
  <c r="AW1845" i="1"/>
  <c r="BA1845" i="1"/>
  <c r="DD1845" i="1"/>
  <c r="DB1845" i="1"/>
  <c r="DD1968" i="1"/>
  <c r="AA1968" i="1"/>
  <c r="DD2023" i="1"/>
  <c r="AA2023" i="1"/>
  <c r="DD2021" i="1"/>
  <c r="AA2021" i="1"/>
  <c r="DD2020" i="1"/>
  <c r="AA2020" i="1"/>
  <c r="DD1928" i="1"/>
  <c r="AA1928" i="1"/>
  <c r="AC1920" i="1"/>
  <c r="AC1817" i="1"/>
  <c r="CX2045" i="1"/>
  <c r="AB2045" i="1"/>
  <c r="AC2019" i="1"/>
  <c r="DD2019" i="1"/>
  <c r="AA2019" i="1"/>
  <c r="AC1984" i="1"/>
  <c r="DD1335" i="1"/>
  <c r="AA1335" i="1"/>
  <c r="AY1955" i="1"/>
  <c r="CQ1917" i="1"/>
  <c r="BM1506" i="1"/>
  <c r="CO1506" i="1"/>
  <c r="CQ1506" i="1"/>
  <c r="CZ1506" i="1"/>
  <c r="Z1506" i="1"/>
  <c r="CZ1930" i="1"/>
  <c r="Z1930" i="1"/>
  <c r="CY1930" i="1"/>
  <c r="CV1610" i="1"/>
  <c r="Y1610" i="1"/>
  <c r="CV1608" i="1"/>
  <c r="Y1608" i="1"/>
  <c r="CV1606" i="1"/>
  <c r="Y1606" i="1"/>
  <c r="CV1605" i="1"/>
  <c r="Y1605" i="1"/>
  <c r="CV1603" i="1"/>
  <c r="Y1603" i="1"/>
  <c r="AE1603" i="1"/>
  <c r="CV2137" i="1"/>
  <c r="Y2137" i="1"/>
  <c r="Z2137" i="1"/>
  <c r="AA2137" i="1"/>
  <c r="AB2137" i="1"/>
  <c r="CV2142" i="1"/>
  <c r="Y2142" i="1"/>
  <c r="Z2142" i="1"/>
  <c r="AA2142" i="1"/>
  <c r="AB2142" i="1"/>
  <c r="CV1992" i="1"/>
  <c r="Y1992" i="1"/>
  <c r="Z1992" i="1"/>
  <c r="AA1992" i="1"/>
  <c r="AB1992" i="1"/>
  <c r="CV2145" i="1"/>
  <c r="Y2145" i="1"/>
  <c r="Z2145" i="1"/>
  <c r="AA2145" i="1"/>
  <c r="AB2145" i="1"/>
  <c r="CV2139" i="1"/>
  <c r="Y2139" i="1"/>
  <c r="Z2139" i="1"/>
  <c r="AA2139" i="1"/>
  <c r="AB2139" i="1"/>
  <c r="CV2131" i="1"/>
  <c r="Y2131" i="1"/>
  <c r="Z2131" i="1"/>
  <c r="AA2131" i="1"/>
  <c r="AB2131" i="1"/>
  <c r="CV2112" i="1"/>
  <c r="Y2112" i="1"/>
  <c r="Z2112" i="1"/>
  <c r="AA2112" i="1"/>
  <c r="AB2112" i="1"/>
  <c r="CV2135" i="1"/>
  <c r="Y2135" i="1"/>
  <c r="Z2135" i="1"/>
  <c r="AA2135" i="1"/>
  <c r="AB2135" i="1"/>
  <c r="CV2134" i="1"/>
  <c r="Y2134" i="1"/>
  <c r="Z2134" i="1"/>
  <c r="AA2134" i="1"/>
  <c r="AB2134" i="1"/>
  <c r="CV2071" i="1"/>
  <c r="Y2071" i="1"/>
  <c r="Z2071" i="1"/>
  <c r="AA2071" i="1"/>
  <c r="AB2071" i="1"/>
  <c r="CV2067" i="1"/>
  <c r="Y2067" i="1"/>
  <c r="Z2067" i="1"/>
  <c r="AA2067" i="1"/>
  <c r="AB2067" i="1"/>
  <c r="CV1463" i="1"/>
  <c r="Y1463" i="1"/>
  <c r="Z1463" i="1"/>
  <c r="AB1463" i="1"/>
  <c r="CV2129" i="1"/>
  <c r="Y2129" i="1"/>
  <c r="Z2129" i="1"/>
  <c r="AA2129" i="1"/>
  <c r="AB2129" i="1"/>
  <c r="CV2133" i="1"/>
  <c r="Y2133" i="1"/>
  <c r="Z2133" i="1"/>
  <c r="AA2133" i="1"/>
  <c r="AB2133" i="1"/>
  <c r="CV2130" i="1"/>
  <c r="Y2130" i="1"/>
  <c r="Z2130" i="1"/>
  <c r="AA2130" i="1"/>
  <c r="AB2130" i="1"/>
  <c r="CV2132" i="1"/>
  <c r="Y2132" i="1"/>
  <c r="Z2132" i="1"/>
  <c r="AA2132" i="1"/>
  <c r="AB2132" i="1"/>
  <c r="Z2076" i="1"/>
  <c r="AA2076" i="1"/>
  <c r="CV2074" i="1"/>
  <c r="Y2074" i="1"/>
  <c r="Z2074" i="1"/>
  <c r="AB2074" i="1"/>
  <c r="CV2000" i="1"/>
  <c r="Y2000" i="1"/>
  <c r="Z2000" i="1"/>
  <c r="AB2000" i="1"/>
  <c r="CV2073" i="1"/>
  <c r="Y2073" i="1"/>
  <c r="Z2073" i="1"/>
  <c r="AA2073" i="1"/>
  <c r="CV2065" i="1"/>
  <c r="Y2065" i="1"/>
  <c r="Z2065" i="1"/>
  <c r="AB2065" i="1"/>
  <c r="CV2105" i="1"/>
  <c r="Y2105" i="1"/>
  <c r="Z2105" i="1"/>
  <c r="AA2105" i="1"/>
  <c r="CV2087" i="1"/>
  <c r="Y2087" i="1"/>
  <c r="Z2087" i="1"/>
  <c r="AA2087" i="1"/>
  <c r="CV1986" i="1"/>
  <c r="Y1986" i="1"/>
  <c r="Z1986" i="1"/>
  <c r="AB1986" i="1"/>
  <c r="CV2060" i="1"/>
  <c r="Y2060" i="1"/>
  <c r="Z2060" i="1"/>
  <c r="AB2060" i="1"/>
  <c r="CV2113" i="1"/>
  <c r="Y2113" i="1"/>
  <c r="Z2113" i="1"/>
  <c r="AA2113" i="1"/>
  <c r="AB2113" i="1"/>
  <c r="CV2120" i="1"/>
  <c r="Y2120" i="1"/>
  <c r="Z2120" i="1"/>
  <c r="AA2120" i="1"/>
  <c r="AB2120" i="1"/>
  <c r="CV2119" i="1"/>
  <c r="Y2119" i="1"/>
  <c r="Z2119" i="1"/>
  <c r="AA2119" i="1"/>
  <c r="AB2119" i="1"/>
  <c r="CV2121" i="1"/>
  <c r="Y2121" i="1"/>
  <c r="Z2121" i="1"/>
  <c r="AA2121" i="1"/>
  <c r="AB2121" i="1"/>
  <c r="CV2115" i="1"/>
  <c r="Y2115" i="1"/>
  <c r="Z2115" i="1"/>
  <c r="AA2115" i="1"/>
  <c r="AB2115" i="1"/>
  <c r="CV2128" i="1"/>
  <c r="Y2128" i="1"/>
  <c r="Z2128" i="1"/>
  <c r="AA2128" i="1"/>
  <c r="AB2128" i="1"/>
  <c r="CV2127" i="1"/>
  <c r="Y2127" i="1"/>
  <c r="Z2127" i="1"/>
  <c r="AA2127" i="1"/>
  <c r="AB2127" i="1"/>
  <c r="AB2126" i="1"/>
  <c r="AA2126" i="1"/>
  <c r="CV2106" i="1"/>
  <c r="Y2106" i="1"/>
  <c r="AB2106" i="1"/>
  <c r="AA2106" i="1"/>
  <c r="Z2106" i="1"/>
  <c r="CV2122" i="1"/>
  <c r="Y2122" i="1"/>
  <c r="AB2122" i="1"/>
  <c r="AA2122" i="1"/>
  <c r="Z2122" i="1"/>
  <c r="CV2117" i="1"/>
  <c r="Y2117" i="1"/>
  <c r="AB2117" i="1"/>
  <c r="AA2117" i="1"/>
  <c r="Z2117" i="1"/>
  <c r="CV2109" i="1"/>
  <c r="Y2109" i="1"/>
  <c r="AB2109" i="1"/>
  <c r="AA2109" i="1"/>
  <c r="Z2109" i="1"/>
  <c r="CV2108" i="1"/>
  <c r="Y2108" i="1"/>
  <c r="AB2108" i="1"/>
  <c r="AA2108" i="1"/>
  <c r="Z2108" i="1"/>
  <c r="CV2066" i="1"/>
  <c r="Y2066" i="1"/>
  <c r="AB2066" i="1"/>
  <c r="CV2104" i="1"/>
  <c r="Y2104" i="1"/>
  <c r="AB2104" i="1"/>
  <c r="AA2104" i="1"/>
  <c r="Z2104" i="1"/>
  <c r="CV2103" i="1"/>
  <c r="Y2103" i="1"/>
  <c r="AE2103" i="1"/>
  <c r="AB2103" i="1"/>
  <c r="AA2103" i="1"/>
  <c r="Z2103" i="1"/>
  <c r="CV2101" i="1"/>
  <c r="Y2101" i="1"/>
  <c r="AB2101" i="1"/>
  <c r="AA2101" i="1"/>
  <c r="Z2101" i="1"/>
  <c r="AA2092" i="1"/>
  <c r="CV2041" i="1"/>
  <c r="Y2041" i="1"/>
  <c r="AB2041" i="1"/>
  <c r="AA2041" i="1"/>
  <c r="Z2041" i="1"/>
  <c r="CV2095" i="1"/>
  <c r="Y2095" i="1"/>
  <c r="AB2095" i="1"/>
  <c r="AA2095" i="1"/>
  <c r="Z2095" i="1"/>
  <c r="CV1938" i="1"/>
  <c r="Y1938" i="1"/>
  <c r="AB1938" i="1"/>
  <c r="AA1938" i="1"/>
  <c r="Z1938" i="1"/>
  <c r="CV2100" i="1"/>
  <c r="Y2100" i="1"/>
  <c r="AB2100" i="1"/>
  <c r="AA2100" i="1"/>
  <c r="Z2100" i="1"/>
  <c r="CV2098" i="1"/>
  <c r="Y2098" i="1"/>
  <c r="AB2098" i="1"/>
  <c r="AA2098" i="1"/>
  <c r="Z2098" i="1"/>
  <c r="CV2099" i="1"/>
  <c r="Y2099" i="1"/>
  <c r="AB2099" i="1"/>
  <c r="AA2099" i="1"/>
  <c r="Z2099" i="1"/>
  <c r="CV2086" i="1"/>
  <c r="Y2086" i="1"/>
  <c r="AB2086" i="1"/>
  <c r="AA2086" i="1"/>
  <c r="Z2086" i="1"/>
  <c r="CV2097" i="1"/>
  <c r="Y2097" i="1"/>
  <c r="AB2097" i="1"/>
  <c r="AA2097" i="1"/>
  <c r="Z2097" i="1"/>
  <c r="CV2085" i="1"/>
  <c r="Y2085" i="1"/>
  <c r="AB2085" i="1"/>
  <c r="AA2085" i="1"/>
  <c r="Z2085" i="1"/>
  <c r="CV2091" i="1"/>
  <c r="Y2091" i="1"/>
  <c r="AB2091" i="1"/>
  <c r="AA2091" i="1"/>
  <c r="Z2091" i="1"/>
  <c r="CV2058" i="1"/>
  <c r="Y2058" i="1"/>
  <c r="AB2058" i="1"/>
  <c r="AA2058" i="1"/>
  <c r="Z2058" i="1"/>
  <c r="CV2090" i="1"/>
  <c r="Y2090" i="1"/>
  <c r="AB2090" i="1"/>
  <c r="AA2090" i="1"/>
  <c r="Z2090" i="1"/>
  <c r="CA2069" i="1"/>
  <c r="BA2069" i="1"/>
  <c r="CS2069" i="1"/>
  <c r="CQ2069" i="1"/>
  <c r="DC2069" i="1"/>
  <c r="CZ2069" i="1"/>
  <c r="Z2069" i="1"/>
  <c r="DC2044" i="1"/>
  <c r="CZ2044" i="1"/>
  <c r="Z2044" i="1"/>
  <c r="DD2040" i="1"/>
  <c r="AA2040" i="1"/>
  <c r="CS2040" i="1"/>
  <c r="CQ2040" i="1"/>
  <c r="CZ2040" i="1"/>
  <c r="Z2040" i="1"/>
  <c r="BA2038" i="1"/>
  <c r="CI2038" i="1"/>
  <c r="CS2038" i="1"/>
  <c r="CQ2038" i="1"/>
  <c r="CZ2038" i="1"/>
  <c r="Z2038" i="1"/>
  <c r="BA2036" i="1"/>
  <c r="CI2036" i="1"/>
  <c r="CQ2036" i="1"/>
  <c r="CS2036" i="1"/>
  <c r="CZ2036" i="1"/>
  <c r="Z2036" i="1"/>
  <c r="DD2039" i="1"/>
  <c r="AA2039" i="1"/>
  <c r="BA2039" i="1"/>
  <c r="CI2039" i="1"/>
  <c r="CQ2039" i="1"/>
  <c r="CS2039" i="1"/>
  <c r="CZ2039" i="1"/>
  <c r="Z2039" i="1"/>
  <c r="CZ1980" i="1"/>
  <c r="Z1980" i="1"/>
  <c r="DC2015" i="1"/>
  <c r="DC2016" i="1"/>
  <c r="DD2017" i="1"/>
  <c r="AA2017" i="1"/>
  <c r="DD2014" i="1"/>
  <c r="AA2014" i="1"/>
  <c r="CV2061" i="1"/>
  <c r="Y2061" i="1"/>
  <c r="CV2050" i="1"/>
  <c r="Y2050" i="1"/>
  <c r="CV2042" i="1"/>
  <c r="Y2042" i="1"/>
  <c r="CV2064" i="1"/>
  <c r="Y2064" i="1"/>
  <c r="CV2077" i="1"/>
  <c r="Y2077" i="1"/>
  <c r="CV2063" i="1"/>
  <c r="Y2063" i="1"/>
  <c r="CV2054" i="1"/>
  <c r="Y2054" i="1"/>
  <c r="CV2056" i="1"/>
  <c r="Y2056" i="1"/>
  <c r="CV2083" i="1"/>
  <c r="Y2083" i="1"/>
  <c r="CV2082" i="1"/>
  <c r="Y2082" i="1"/>
  <c r="AB2061" i="1"/>
  <c r="AB2050" i="1"/>
  <c r="AB2042" i="1"/>
  <c r="AB2064" i="1"/>
  <c r="AB2077" i="1"/>
  <c r="AB2063" i="1"/>
  <c r="AB2054" i="1"/>
  <c r="AB2056" i="1"/>
  <c r="AB2083" i="1"/>
  <c r="AB2082" i="1"/>
  <c r="AA2061" i="1"/>
  <c r="AA2050" i="1"/>
  <c r="AA2042" i="1"/>
  <c r="AA2064" i="1"/>
  <c r="AA2077" i="1"/>
  <c r="AA2054" i="1"/>
  <c r="AA2056" i="1"/>
  <c r="AA2083" i="1"/>
  <c r="AA2082" i="1"/>
  <c r="Z2061" i="1"/>
  <c r="Z2050" i="1"/>
  <c r="Z2042" i="1"/>
  <c r="Z2064" i="1"/>
  <c r="Z2077" i="1"/>
  <c r="Z2063" i="1"/>
  <c r="Z2054" i="1"/>
  <c r="Z2056" i="1"/>
  <c r="Z2083" i="1"/>
  <c r="Z2082" i="1"/>
  <c r="J2040" i="1"/>
  <c r="CZ2018" i="1"/>
  <c r="Z2018" i="1"/>
  <c r="CV2068" i="1"/>
  <c r="Y2068" i="1"/>
  <c r="Z2068" i="1"/>
  <c r="AA2068" i="1"/>
  <c r="AB2068" i="1"/>
  <c r="CV2075" i="1"/>
  <c r="Y2075" i="1"/>
  <c r="Z2075" i="1"/>
  <c r="AA2075" i="1"/>
  <c r="AB2075" i="1"/>
  <c r="CV2081" i="1"/>
  <c r="Y2081" i="1"/>
  <c r="Z2081" i="1"/>
  <c r="AA2081" i="1"/>
  <c r="AB2081" i="1"/>
  <c r="CV2043" i="1"/>
  <c r="Y2043" i="1"/>
  <c r="Z2043" i="1"/>
  <c r="AA2043" i="1"/>
  <c r="AB2043" i="1"/>
  <c r="CV2059" i="1"/>
  <c r="Y2059" i="1"/>
  <c r="Z2059" i="1"/>
  <c r="AA2059" i="1"/>
  <c r="AB2059" i="1"/>
  <c r="AB2040" i="1"/>
  <c r="CV2051" i="1"/>
  <c r="Y2051" i="1"/>
  <c r="Z2051" i="1"/>
  <c r="AA2051" i="1"/>
  <c r="AB2051" i="1"/>
  <c r="CV2049" i="1"/>
  <c r="Y2049" i="1"/>
  <c r="Z2049" i="1"/>
  <c r="AA2049" i="1"/>
  <c r="AB2049" i="1"/>
  <c r="CV2047" i="1"/>
  <c r="Y2047" i="1"/>
  <c r="Z2047" i="1"/>
  <c r="AA2047" i="1"/>
  <c r="AB2047" i="1"/>
  <c r="CV2048" i="1"/>
  <c r="Y2048" i="1"/>
  <c r="Z2048" i="1"/>
  <c r="AA2048" i="1"/>
  <c r="AB2048" i="1"/>
  <c r="CV2046" i="1"/>
  <c r="Y2046" i="1"/>
  <c r="Z2046" i="1"/>
  <c r="AA2046" i="1"/>
  <c r="AB2046" i="1"/>
  <c r="CV2052" i="1"/>
  <c r="Y2052" i="1"/>
  <c r="Z2052" i="1"/>
  <c r="AA2052" i="1"/>
  <c r="AB2052" i="1"/>
  <c r="AB2044" i="1"/>
  <c r="CV2033" i="1"/>
  <c r="Y2033" i="1"/>
  <c r="Z2033" i="1"/>
  <c r="AA2033" i="1"/>
  <c r="AB2033" i="1"/>
  <c r="CV2029" i="1"/>
  <c r="Y2029" i="1"/>
  <c r="Z2029" i="1"/>
  <c r="AA2029" i="1"/>
  <c r="AB2029" i="1"/>
  <c r="CV2089" i="1"/>
  <c r="Y2089" i="1"/>
  <c r="Z2089" i="1"/>
  <c r="AA2089" i="1"/>
  <c r="AB2089" i="1"/>
  <c r="AB2069" i="1"/>
  <c r="AB2031" i="1"/>
  <c r="AB2032" i="1"/>
  <c r="CV2017" i="1"/>
  <c r="Y2017" i="1"/>
  <c r="Z2017" i="1"/>
  <c r="AB2017" i="1"/>
  <c r="Z2212" i="1"/>
  <c r="AB2212" i="1"/>
  <c r="Z2014" i="1"/>
  <c r="AB2014" i="1"/>
  <c r="Z2015" i="1"/>
  <c r="AB2015" i="1"/>
  <c r="Z2016" i="1"/>
  <c r="AB2016" i="1"/>
  <c r="CV2055" i="1"/>
  <c r="Y2055" i="1"/>
  <c r="Z2055" i="1"/>
  <c r="AA2055" i="1"/>
  <c r="AB2055" i="1"/>
  <c r="CV2062" i="1"/>
  <c r="Y2062" i="1"/>
  <c r="Z2062" i="1"/>
  <c r="AA2062" i="1"/>
  <c r="AB2062" i="1"/>
  <c r="CV2028" i="1"/>
  <c r="Y2028" i="1"/>
  <c r="Z2028" i="1"/>
  <c r="AA2028" i="1"/>
  <c r="AB2028" i="1"/>
  <c r="CV2030" i="1"/>
  <c r="Y2030" i="1"/>
  <c r="Z2030" i="1"/>
  <c r="AA2030" i="1"/>
  <c r="AB2030" i="1"/>
  <c r="CV2035" i="1"/>
  <c r="Y2035" i="1"/>
  <c r="Z2035" i="1"/>
  <c r="AA2035" i="1"/>
  <c r="AB2035" i="1"/>
  <c r="CV2037" i="1"/>
  <c r="Y2037" i="1"/>
  <c r="Z2037" i="1"/>
  <c r="AA2037" i="1"/>
  <c r="AB2037" i="1"/>
  <c r="AA2038" i="1"/>
  <c r="AB2038" i="1"/>
  <c r="AA2036" i="1"/>
  <c r="AB2036" i="1"/>
  <c r="DC1968" i="1"/>
  <c r="DC2020" i="1"/>
  <c r="CQ1840" i="1"/>
  <c r="CV1840" i="1"/>
  <c r="Y1840" i="1"/>
  <c r="CZ1840" i="1"/>
  <c r="Z1840" i="1"/>
  <c r="CQ1926" i="1"/>
  <c r="CV1926" i="1"/>
  <c r="Y1926" i="1"/>
  <c r="BA1829" i="1"/>
  <c r="BC1829" i="1"/>
  <c r="CS1829" i="1"/>
  <c r="CI1829" i="1"/>
  <c r="BC1078" i="1"/>
  <c r="DC2019" i="1"/>
  <c r="CZ1267" i="1"/>
  <c r="CZ739" i="1"/>
  <c r="Z739" i="1"/>
  <c r="M739" i="1"/>
  <c r="J739" i="1"/>
  <c r="CQ1982" i="1"/>
  <c r="CS1982" i="1"/>
  <c r="CZ1982" i="1"/>
  <c r="Z1982" i="1"/>
  <c r="CQ2003" i="1"/>
  <c r="CV2003" i="1"/>
  <c r="Y2003" i="1"/>
  <c r="CZ2003" i="1"/>
  <c r="Z2003" i="1"/>
  <c r="DC1965" i="1"/>
  <c r="J2023" i="1"/>
  <c r="J1468" i="1"/>
  <c r="J1467" i="1"/>
  <c r="AB3207" i="1"/>
  <c r="AA3207" i="1"/>
  <c r="Z3207" i="1"/>
  <c r="AB2765" i="1"/>
  <c r="AA2765" i="1"/>
  <c r="Z2765" i="1"/>
  <c r="AB2757" i="1"/>
  <c r="AA2757" i="1"/>
  <c r="Z2757" i="1"/>
  <c r="AB2692" i="1"/>
  <c r="AA2692" i="1"/>
  <c r="Z2692" i="1"/>
  <c r="AB2579" i="1"/>
  <c r="AA2579" i="1"/>
  <c r="Z2579" i="1"/>
  <c r="AB2447" i="1"/>
  <c r="AA2447" i="1"/>
  <c r="Z2447" i="1"/>
  <c r="AB2093" i="1"/>
  <c r="AA2093" i="1"/>
  <c r="Z2093" i="1"/>
  <c r="AB2039" i="1"/>
  <c r="AA2045" i="1"/>
  <c r="Z2045" i="1"/>
  <c r="AA2025" i="1"/>
  <c r="Z2025" i="1"/>
  <c r="AA2022" i="1"/>
  <c r="Z2022" i="1"/>
  <c r="AB2034" i="1"/>
  <c r="AA2034" i="1"/>
  <c r="Z2034" i="1"/>
  <c r="AB2024" i="1"/>
  <c r="AA2024" i="1"/>
  <c r="Z2024" i="1"/>
  <c r="AB2027" i="1"/>
  <c r="AA2027" i="1"/>
  <c r="Z2027" i="1"/>
  <c r="AB2026" i="1"/>
  <c r="AA2026" i="1"/>
  <c r="Z2026" i="1"/>
  <c r="AB2018" i="1"/>
  <c r="AB1984" i="1"/>
  <c r="AA1984" i="1"/>
  <c r="Z1984" i="1"/>
  <c r="AB1982" i="1"/>
  <c r="AA1982" i="1"/>
  <c r="AB2003" i="1"/>
  <c r="AA2003" i="1"/>
  <c r="AB1996" i="1"/>
  <c r="Z1996" i="1"/>
  <c r="AB2020" i="1"/>
  <c r="Z2020" i="1"/>
  <c r="AB2021" i="1"/>
  <c r="Z2021" i="1"/>
  <c r="AB2023" i="1"/>
  <c r="Z2023" i="1"/>
  <c r="AB1468" i="1"/>
  <c r="AA1468" i="1"/>
  <c r="Z1468" i="1"/>
  <c r="AB2019" i="1"/>
  <c r="Z2019" i="1"/>
  <c r="AB2013" i="1"/>
  <c r="AA2013" i="1"/>
  <c r="Z2013" i="1"/>
  <c r="AB2006" i="1"/>
  <c r="AA2006" i="1"/>
  <c r="Z2006" i="1"/>
  <c r="AB2009" i="1"/>
  <c r="AA2009" i="1"/>
  <c r="Z2009" i="1"/>
  <c r="AB2007" i="1"/>
  <c r="AA2007" i="1"/>
  <c r="Z2007" i="1"/>
  <c r="AB2005" i="1"/>
  <c r="AA2005" i="1"/>
  <c r="Z2005" i="1"/>
  <c r="AB2008" i="1"/>
  <c r="AA2008" i="1"/>
  <c r="Z2008" i="1"/>
  <c r="AB1840" i="1"/>
  <c r="AA1840" i="1"/>
  <c r="AB1926" i="1"/>
  <c r="AA1926" i="1"/>
  <c r="CV3207" i="1"/>
  <c r="Y3207" i="1"/>
  <c r="CV2765" i="1"/>
  <c r="Y2765" i="1"/>
  <c r="CV2757" i="1"/>
  <c r="Y2757" i="1"/>
  <c r="CV2692" i="1"/>
  <c r="Y2692" i="1"/>
  <c r="CV2579" i="1"/>
  <c r="Y2579" i="1"/>
  <c r="CV2447" i="1"/>
  <c r="Y2447" i="1"/>
  <c r="CV2093" i="1"/>
  <c r="Y2093" i="1"/>
  <c r="CV2045" i="1"/>
  <c r="Y2045" i="1"/>
  <c r="CV2025" i="1"/>
  <c r="Y2025" i="1"/>
  <c r="CV2022" i="1"/>
  <c r="Y2022" i="1"/>
  <c r="CV2034" i="1"/>
  <c r="Y2034" i="1"/>
  <c r="CV2024" i="1"/>
  <c r="Y2024" i="1"/>
  <c r="CV2027" i="1"/>
  <c r="Y2027" i="1"/>
  <c r="CV2026" i="1"/>
  <c r="Y2026" i="1"/>
  <c r="CV1984" i="1"/>
  <c r="Y1984" i="1"/>
  <c r="CV1996" i="1"/>
  <c r="Y1996" i="1"/>
  <c r="CV2020" i="1"/>
  <c r="Y2020" i="1"/>
  <c r="CV2021" i="1"/>
  <c r="Y2021" i="1"/>
  <c r="CV2023" i="1"/>
  <c r="Y2023" i="1"/>
  <c r="CV1468" i="1"/>
  <c r="Y1468" i="1"/>
  <c r="CV2019" i="1"/>
  <c r="Y2019" i="1"/>
  <c r="CV2013" i="1"/>
  <c r="Y2013" i="1"/>
  <c r="CV2006" i="1"/>
  <c r="Y2006" i="1"/>
  <c r="CV2009" i="1"/>
  <c r="Y2009" i="1"/>
  <c r="CV2007" i="1"/>
  <c r="Y2007" i="1"/>
  <c r="CV2005" i="1"/>
  <c r="Y2005" i="1"/>
  <c r="CV2008" i="1"/>
  <c r="Y2008" i="1"/>
  <c r="CV1577" i="1"/>
  <c r="Y1577" i="1"/>
  <c r="CV2004" i="1"/>
  <c r="Y2004" i="1"/>
  <c r="CV1981" i="1"/>
  <c r="Y1981" i="1"/>
  <c r="Z1981" i="1"/>
  <c r="AA1981" i="1"/>
  <c r="AB1981" i="1"/>
  <c r="CV1987" i="1"/>
  <c r="Y1987" i="1"/>
  <c r="CV1998" i="1"/>
  <c r="Y1998" i="1"/>
  <c r="CV1988" i="1"/>
  <c r="Y1988" i="1"/>
  <c r="CV2001" i="1"/>
  <c r="Y2001" i="1"/>
  <c r="CV1985" i="1"/>
  <c r="CV1983" i="1"/>
  <c r="Y1983" i="1"/>
  <c r="CV1979" i="1"/>
  <c r="Y1979" i="1"/>
  <c r="CV1977" i="1"/>
  <c r="Y1977" i="1"/>
  <c r="CV1978" i="1"/>
  <c r="Y1978" i="1"/>
  <c r="CV1972" i="1"/>
  <c r="Y1972" i="1"/>
  <c r="CV1970" i="1"/>
  <c r="Y1970" i="1"/>
  <c r="CV1974" i="1"/>
  <c r="Y1974" i="1"/>
  <c r="CV1975" i="1"/>
  <c r="Y1975" i="1"/>
  <c r="CV1973" i="1"/>
  <c r="Y1973" i="1"/>
  <c r="CV1971" i="1"/>
  <c r="Y1971" i="1"/>
  <c r="CV1976" i="1"/>
  <c r="Y1976" i="1"/>
  <c r="CV1969" i="1"/>
  <c r="Y1969" i="1"/>
  <c r="CV1968" i="1"/>
  <c r="Y1968" i="1"/>
  <c r="CV1966" i="1"/>
  <c r="Y1966" i="1"/>
  <c r="CV1965" i="1"/>
  <c r="Y1965" i="1"/>
  <c r="CV1967" i="1"/>
  <c r="Y1967" i="1"/>
  <c r="CV1964" i="1"/>
  <c r="Y1964" i="1"/>
  <c r="CV1963" i="1"/>
  <c r="Y1963" i="1"/>
  <c r="CV1961" i="1"/>
  <c r="Y1961" i="1"/>
  <c r="CV1960" i="1"/>
  <c r="CV1957" i="1"/>
  <c r="Y1957" i="1"/>
  <c r="CV1953" i="1"/>
  <c r="Y1953" i="1"/>
  <c r="CV1959" i="1"/>
  <c r="Y1959" i="1"/>
  <c r="CV1954" i="1"/>
  <c r="Y1954" i="1"/>
  <c r="CV1952" i="1"/>
  <c r="Y1952" i="1"/>
  <c r="CV1956" i="1"/>
  <c r="Y1956" i="1"/>
  <c r="CV1958" i="1"/>
  <c r="Y1958" i="1"/>
  <c r="CV1949" i="1"/>
  <c r="Y1949" i="1"/>
  <c r="CV1948" i="1"/>
  <c r="Y1948" i="1"/>
  <c r="CV1946" i="1"/>
  <c r="Y1946" i="1"/>
  <c r="CV1947" i="1"/>
  <c r="Y1947" i="1"/>
  <c r="CV1950" i="1"/>
  <c r="Y1950" i="1"/>
  <c r="CV1945" i="1"/>
  <c r="Y1945" i="1"/>
  <c r="CV1944" i="1"/>
  <c r="Y1944" i="1"/>
  <c r="CV1943" i="1"/>
  <c r="Y1943" i="1"/>
  <c r="CV1941" i="1"/>
  <c r="Y1941" i="1"/>
  <c r="CV1942" i="1"/>
  <c r="Y1942" i="1"/>
  <c r="CV1939" i="1"/>
  <c r="Y1939" i="1"/>
  <c r="CV1937" i="1"/>
  <c r="Y1937" i="1"/>
  <c r="CV1935" i="1"/>
  <c r="Y1935" i="1"/>
  <c r="CV1936" i="1"/>
  <c r="Y1936" i="1"/>
  <c r="CV1933" i="1"/>
  <c r="Y1933" i="1"/>
  <c r="CV1934" i="1"/>
  <c r="Y1934" i="1"/>
  <c r="CV1932" i="1"/>
  <c r="Y1932" i="1"/>
  <c r="CV1930" i="1"/>
  <c r="Y1930" i="1"/>
  <c r="CV1931" i="1"/>
  <c r="Y1931" i="1"/>
  <c r="CV1929" i="1"/>
  <c r="Y1929" i="1"/>
  <c r="CV1928" i="1"/>
  <c r="Y1928" i="1"/>
  <c r="CV1927" i="1"/>
  <c r="Y1927" i="1"/>
  <c r="CV1925" i="1"/>
  <c r="Y1925" i="1"/>
  <c r="CV1924" i="1"/>
  <c r="Y1924" i="1"/>
  <c r="CV1923" i="1"/>
  <c r="Y1923" i="1"/>
  <c r="CV1920" i="1"/>
  <c r="Y1920" i="1"/>
  <c r="CV1922" i="1"/>
  <c r="Y1922" i="1"/>
  <c r="CV1921" i="1"/>
  <c r="Y1921" i="1"/>
  <c r="CV1919" i="1"/>
  <c r="Y1919" i="1"/>
  <c r="CV1918" i="1"/>
  <c r="Y1918" i="1"/>
  <c r="CV1916" i="1"/>
  <c r="Y1916" i="1"/>
  <c r="CV1915" i="1"/>
  <c r="Y1915" i="1"/>
  <c r="CV1914" i="1"/>
  <c r="Y1914" i="1"/>
  <c r="CV1913" i="1"/>
  <c r="Y1913" i="1"/>
  <c r="CV1912" i="1"/>
  <c r="Y1912" i="1"/>
  <c r="CV1911" i="1"/>
  <c r="Y1911" i="1"/>
  <c r="CV1909" i="1"/>
  <c r="Y1909" i="1"/>
  <c r="CV1910" i="1"/>
  <c r="Y1910" i="1"/>
  <c r="CV1908" i="1"/>
  <c r="Y1908" i="1"/>
  <c r="CV1907" i="1"/>
  <c r="Y1907" i="1"/>
  <c r="AE1907" i="1"/>
  <c r="CV1906" i="1"/>
  <c r="Y1906" i="1"/>
  <c r="CV1905" i="1"/>
  <c r="Y1905" i="1"/>
  <c r="CV1904" i="1"/>
  <c r="Y1904" i="1"/>
  <c r="CV1902" i="1"/>
  <c r="Y1902" i="1"/>
  <c r="CV1900" i="1"/>
  <c r="Y1900" i="1"/>
  <c r="CV1901" i="1"/>
  <c r="Y1901" i="1"/>
  <c r="CV1899" i="1"/>
  <c r="Y1899" i="1"/>
  <c r="CV1903" i="1"/>
  <c r="Y1903" i="1"/>
  <c r="CV1892" i="1"/>
  <c r="Y1892" i="1"/>
  <c r="CV1897" i="1"/>
  <c r="Y1897" i="1"/>
  <c r="CV1896" i="1"/>
  <c r="Y1896" i="1"/>
  <c r="CV1894" i="1"/>
  <c r="Y1894" i="1"/>
  <c r="CV1890" i="1"/>
  <c r="Y1890" i="1"/>
  <c r="CV1895" i="1"/>
  <c r="Y1895" i="1"/>
  <c r="CV1891" i="1"/>
  <c r="Y1891" i="1"/>
  <c r="AE1891" i="1"/>
  <c r="CV1893" i="1"/>
  <c r="Y1893" i="1"/>
  <c r="CV1885" i="1"/>
  <c r="Y1885" i="1"/>
  <c r="CV1886" i="1"/>
  <c r="Y1886" i="1"/>
  <c r="CV1888" i="1"/>
  <c r="Y1888" i="1"/>
  <c r="CV1889" i="1"/>
  <c r="Y1889" i="1"/>
  <c r="CV1887" i="1"/>
  <c r="Y1887" i="1"/>
  <c r="CV1882" i="1"/>
  <c r="Y1882" i="1"/>
  <c r="CV1883" i="1"/>
  <c r="Y1883" i="1"/>
  <c r="CV1878" i="1"/>
  <c r="Y1878" i="1"/>
  <c r="CV1881" i="1"/>
  <c r="Y1881" i="1"/>
  <c r="CV1884" i="1"/>
  <c r="Y1884" i="1"/>
  <c r="CV1877" i="1"/>
  <c r="Y1877" i="1"/>
  <c r="CV1880" i="1"/>
  <c r="Y1880" i="1"/>
  <c r="CV1875" i="1"/>
  <c r="Y1875" i="1"/>
  <c r="CV1876" i="1"/>
  <c r="Y1876" i="1"/>
  <c r="CV1869" i="1"/>
  <c r="Y1869" i="1"/>
  <c r="CV1873" i="1"/>
  <c r="Y1873" i="1"/>
  <c r="CV1868" i="1"/>
  <c r="Y1868" i="1"/>
  <c r="CV1871" i="1"/>
  <c r="Y1871" i="1"/>
  <c r="CV1866" i="1"/>
  <c r="Y1866" i="1"/>
  <c r="CV1865" i="1"/>
  <c r="Y1865" i="1"/>
  <c r="CV1862" i="1"/>
  <c r="Y1862" i="1"/>
  <c r="CV1863" i="1"/>
  <c r="Y1863" i="1"/>
  <c r="CV1864" i="1"/>
  <c r="Y1864" i="1"/>
  <c r="CV1861" i="1"/>
  <c r="Y1861" i="1"/>
  <c r="CV1860" i="1"/>
  <c r="Y1860" i="1"/>
  <c r="CV1858" i="1"/>
  <c r="Y1858" i="1"/>
  <c r="CV1856" i="1"/>
  <c r="Y1856" i="1"/>
  <c r="CV1857" i="1"/>
  <c r="Y1857" i="1"/>
  <c r="CV1855" i="1"/>
  <c r="Y1855" i="1"/>
  <c r="CV1854" i="1"/>
  <c r="Y1854" i="1"/>
  <c r="CV1853" i="1"/>
  <c r="Y1853" i="1"/>
  <c r="CV1852" i="1"/>
  <c r="Y1852" i="1"/>
  <c r="CV1851" i="1"/>
  <c r="Y1851" i="1"/>
  <c r="CV1850" i="1"/>
  <c r="Y1850" i="1"/>
  <c r="CV1848" i="1"/>
  <c r="Y1848" i="1"/>
  <c r="CV1849" i="1"/>
  <c r="Y1849" i="1"/>
  <c r="CV1844" i="1"/>
  <c r="Y1844" i="1"/>
  <c r="CV1843" i="1"/>
  <c r="Y1843" i="1"/>
  <c r="CV1842" i="1"/>
  <c r="Y1842" i="1"/>
  <c r="CV1841" i="1"/>
  <c r="Y1841" i="1"/>
  <c r="CV1839" i="1"/>
  <c r="Y1839" i="1"/>
  <c r="CV1837" i="1"/>
  <c r="Y1837" i="1"/>
  <c r="CV1838" i="1"/>
  <c r="Y1838" i="1"/>
  <c r="CV1835" i="1"/>
  <c r="Y1835" i="1"/>
  <c r="CV1830" i="1"/>
  <c r="Y1830" i="1"/>
  <c r="CV1833" i="1"/>
  <c r="Y1833" i="1"/>
  <c r="CV1832" i="1"/>
  <c r="Y1832" i="1"/>
  <c r="CV1834" i="1"/>
  <c r="Y1834" i="1"/>
  <c r="CV1828" i="1"/>
  <c r="Y1828" i="1"/>
  <c r="CV1826" i="1"/>
  <c r="Y1826" i="1"/>
  <c r="CV1825" i="1"/>
  <c r="Y1825" i="1"/>
  <c r="CV1824" i="1"/>
  <c r="Y1824" i="1"/>
  <c r="CV1822" i="1"/>
  <c r="Y1822" i="1"/>
  <c r="CV1823" i="1"/>
  <c r="Y1823" i="1"/>
  <c r="CV1818" i="1"/>
  <c r="Y1818" i="1"/>
  <c r="CV1819" i="1"/>
  <c r="Y1819" i="1"/>
  <c r="CV1821" i="1"/>
  <c r="Y1821" i="1"/>
  <c r="CV1820" i="1"/>
  <c r="Y1820" i="1"/>
  <c r="CV1813" i="1"/>
  <c r="Y1813" i="1"/>
  <c r="CV1812" i="1"/>
  <c r="Y1812" i="1"/>
  <c r="CV1814" i="1"/>
  <c r="Y1814" i="1"/>
  <c r="CV1817" i="1"/>
  <c r="Y1817" i="1"/>
  <c r="CV1816" i="1"/>
  <c r="Y1816" i="1"/>
  <c r="CV1804" i="1"/>
  <c r="Y1804" i="1"/>
  <c r="CV1811" i="1"/>
  <c r="Y1811" i="1"/>
  <c r="CV1809" i="1"/>
  <c r="Y1809" i="1"/>
  <c r="CV1808" i="1"/>
  <c r="Y1808" i="1"/>
  <c r="CV1805" i="1"/>
  <c r="Y1805" i="1"/>
  <c r="CV1807" i="1"/>
  <c r="Y1807" i="1"/>
  <c r="CV1802" i="1"/>
  <c r="Y1802" i="1"/>
  <c r="CV1803" i="1"/>
  <c r="Y1803" i="1"/>
  <c r="CV1799" i="1"/>
  <c r="Y1799" i="1"/>
  <c r="CV1800" i="1"/>
  <c r="Y1800" i="1"/>
  <c r="CV1801" i="1"/>
  <c r="Y1801" i="1"/>
  <c r="CV1798" i="1"/>
  <c r="Y1798" i="1"/>
  <c r="CV1794" i="1"/>
  <c r="Y1794" i="1"/>
  <c r="CV1788" i="1"/>
  <c r="Y1788" i="1"/>
  <c r="CV1789" i="1"/>
  <c r="Y1789" i="1"/>
  <c r="CV1783" i="1"/>
  <c r="Y1783" i="1"/>
  <c r="CV1791" i="1"/>
  <c r="Y1791" i="1"/>
  <c r="CV1785" i="1"/>
  <c r="Y1785" i="1"/>
  <c r="CV1786" i="1"/>
  <c r="Y1786" i="1"/>
  <c r="CV1792" i="1"/>
  <c r="Y1792" i="1"/>
  <c r="CV1787" i="1"/>
  <c r="Y1787" i="1"/>
  <c r="CV1790" i="1"/>
  <c r="Y1790" i="1"/>
  <c r="CV1781" i="1"/>
  <c r="Y1781" i="1"/>
  <c r="CV1780" i="1"/>
  <c r="Y1780" i="1"/>
  <c r="CV1581" i="1"/>
  <c r="Y1581" i="1"/>
  <c r="CV1779" i="1"/>
  <c r="Y1779" i="1"/>
  <c r="CV2079" i="1"/>
  <c r="Y2079" i="1"/>
  <c r="CV1771" i="1"/>
  <c r="Y1771" i="1"/>
  <c r="CV1768" i="1"/>
  <c r="Y1768" i="1"/>
  <c r="CV1766" i="1"/>
  <c r="Y1766" i="1"/>
  <c r="CV1764" i="1"/>
  <c r="Y1764" i="1"/>
  <c r="CV1760" i="1"/>
  <c r="Y1760" i="1"/>
  <c r="CV1758" i="1"/>
  <c r="Y1758" i="1"/>
  <c r="CV1755" i="1"/>
  <c r="Y1755" i="1"/>
  <c r="CV1752" i="1"/>
  <c r="Y1752" i="1"/>
  <c r="CV1750" i="1"/>
  <c r="Y1750" i="1"/>
  <c r="CV1745" i="1"/>
  <c r="Y1745" i="1"/>
  <c r="CV1742" i="1"/>
  <c r="Y1742" i="1"/>
  <c r="CV1741" i="1"/>
  <c r="Y1741" i="1"/>
  <c r="CV1738" i="1"/>
  <c r="Y1738" i="1"/>
  <c r="CV1735" i="1"/>
  <c r="Y1735" i="1"/>
  <c r="CV1733" i="1"/>
  <c r="Y1733" i="1"/>
  <c r="CV1727" i="1"/>
  <c r="Y1727" i="1"/>
  <c r="CV1725" i="1"/>
  <c r="Y1725" i="1"/>
  <c r="CV1722" i="1"/>
  <c r="Y1722" i="1"/>
  <c r="CV1720" i="1"/>
  <c r="Y1720" i="1"/>
  <c r="CV1718" i="1"/>
  <c r="Y1718" i="1"/>
  <c r="CV1715" i="1"/>
  <c r="Y1715" i="1"/>
  <c r="CV1713" i="1"/>
  <c r="Y1713" i="1"/>
  <c r="CV1710" i="1"/>
  <c r="Y1710" i="1"/>
  <c r="CV1708" i="1"/>
  <c r="Y1708" i="1"/>
  <c r="CV1706" i="1"/>
  <c r="Y1706" i="1"/>
  <c r="CV1700" i="1"/>
  <c r="Y1700" i="1"/>
  <c r="CV1698" i="1"/>
  <c r="Y1698" i="1"/>
  <c r="CV1696" i="1"/>
  <c r="Y1696" i="1"/>
  <c r="CV1694" i="1"/>
  <c r="Y1694" i="1"/>
  <c r="CV1692" i="1"/>
  <c r="Y1692" i="1"/>
  <c r="CV1688" i="1"/>
  <c r="Y1688" i="1"/>
  <c r="CV1685" i="1"/>
  <c r="Y1685" i="1"/>
  <c r="CV1679" i="1"/>
  <c r="Y1679" i="1"/>
  <c r="CV1677" i="1"/>
  <c r="Y1677" i="1"/>
  <c r="CV1675" i="1"/>
  <c r="Y1675" i="1"/>
  <c r="CV1673" i="1"/>
  <c r="Y1673" i="1"/>
  <c r="CV1671" i="1"/>
  <c r="Y1671" i="1"/>
  <c r="CV1669" i="1"/>
  <c r="Y1669" i="1"/>
  <c r="CV1667" i="1"/>
  <c r="Y1667" i="1"/>
  <c r="CV1665" i="1"/>
  <c r="Y1665" i="1"/>
  <c r="CV1662" i="1"/>
  <c r="Y1662" i="1"/>
  <c r="CV1658" i="1"/>
  <c r="Y1658" i="1"/>
  <c r="CV1655" i="1"/>
  <c r="Y1655" i="1"/>
  <c r="CV1652" i="1"/>
  <c r="Y1652" i="1"/>
  <c r="CV1649" i="1"/>
  <c r="Y1649" i="1"/>
  <c r="CV1644" i="1"/>
  <c r="Y1644" i="1"/>
  <c r="CV1642" i="1"/>
  <c r="Y1642" i="1"/>
  <c r="CV1639" i="1"/>
  <c r="Y1639" i="1"/>
  <c r="CV1637" i="1"/>
  <c r="Y1637" i="1"/>
  <c r="CV1635" i="1"/>
  <c r="Y1635" i="1"/>
  <c r="CV1630" i="1"/>
  <c r="Y1630" i="1"/>
  <c r="CV1626" i="1"/>
  <c r="Y1626" i="1"/>
  <c r="CV1623" i="1"/>
  <c r="Y1623" i="1"/>
  <c r="CV1620" i="1"/>
  <c r="Y1620" i="1"/>
  <c r="CV1617" i="1"/>
  <c r="Y1617" i="1"/>
  <c r="CV1614" i="1"/>
  <c r="Y1614" i="1"/>
  <c r="CV1611" i="1"/>
  <c r="Y1611" i="1"/>
  <c r="CV1609" i="1"/>
  <c r="Y1609" i="1"/>
  <c r="CV1607" i="1"/>
  <c r="Y1607" i="1"/>
  <c r="CV1604" i="1"/>
  <c r="Y1604" i="1"/>
  <c r="CV1579" i="1"/>
  <c r="Y1579" i="1"/>
  <c r="CV1776" i="1"/>
  <c r="Y1776" i="1"/>
  <c r="CV1775" i="1"/>
  <c r="Y1775" i="1"/>
  <c r="CV1774" i="1"/>
  <c r="Y1774" i="1"/>
  <c r="CV1773" i="1"/>
  <c r="Y1773" i="1"/>
  <c r="CV1778" i="1"/>
  <c r="Y1778" i="1"/>
  <c r="CV1777" i="1"/>
  <c r="Y1777" i="1"/>
  <c r="CV1582" i="1"/>
  <c r="Y1582" i="1"/>
  <c r="CV1580" i="1"/>
  <c r="Y1580" i="1"/>
  <c r="CV1570" i="1"/>
  <c r="Y1570" i="1"/>
  <c r="CV1572" i="1"/>
  <c r="Y1572" i="1"/>
  <c r="CV1571" i="1"/>
  <c r="Y1571" i="1"/>
  <c r="CV1574" i="1"/>
  <c r="Y1574" i="1"/>
  <c r="CV1575" i="1"/>
  <c r="Y1575" i="1"/>
  <c r="CV1576" i="1"/>
  <c r="Y1576" i="1"/>
  <c r="CV1578" i="1"/>
  <c r="Y1578" i="1"/>
  <c r="CV1573" i="1"/>
  <c r="Y1573" i="1"/>
  <c r="CV1562" i="1"/>
  <c r="Y1562" i="1"/>
  <c r="CV1561" i="1"/>
  <c r="Y1561" i="1"/>
  <c r="CV1565" i="1"/>
  <c r="Y1565" i="1"/>
  <c r="CV1564" i="1"/>
  <c r="Y1564" i="1"/>
  <c r="CV1568" i="1"/>
  <c r="Y1568" i="1"/>
  <c r="CV1569" i="1"/>
  <c r="Y1569" i="1"/>
  <c r="CV1567" i="1"/>
  <c r="Y1567" i="1"/>
  <c r="CV1566" i="1"/>
  <c r="Y1566" i="1"/>
  <c r="CV1563" i="1"/>
  <c r="Y1563" i="1"/>
  <c r="CV1559" i="1"/>
  <c r="Y1559" i="1"/>
  <c r="CV1560" i="1"/>
  <c r="Y1560" i="1"/>
  <c r="CV1558" i="1"/>
  <c r="Y1558" i="1"/>
  <c r="CV1557" i="1"/>
  <c r="Y1557" i="1"/>
  <c r="CV1556" i="1"/>
  <c r="Y1556" i="1"/>
  <c r="CV1554" i="1"/>
  <c r="Y1554" i="1"/>
  <c r="CV1553" i="1"/>
  <c r="Y1553" i="1"/>
  <c r="CV1552" i="1"/>
  <c r="Y1552" i="1"/>
  <c r="CV1551" i="1"/>
  <c r="Y1551" i="1"/>
  <c r="CV1550" i="1"/>
  <c r="Y1550" i="1"/>
  <c r="CV1549" i="1"/>
  <c r="Y1549" i="1"/>
  <c r="CV1548" i="1"/>
  <c r="Y1548" i="1"/>
  <c r="CV1504" i="1"/>
  <c r="Y1504" i="1"/>
  <c r="CV1513" i="1"/>
  <c r="Y1513" i="1"/>
  <c r="CV1511" i="1"/>
  <c r="Y1511" i="1"/>
  <c r="CV1510" i="1"/>
  <c r="Y1510" i="1"/>
  <c r="CV1512" i="1"/>
  <c r="Y1512" i="1"/>
  <c r="CV1541" i="1"/>
  <c r="Y1541" i="1"/>
  <c r="CV1546" i="1"/>
  <c r="Y1546" i="1"/>
  <c r="CV1545" i="1"/>
  <c r="Y1545" i="1"/>
  <c r="CV1544" i="1"/>
  <c r="Y1544" i="1"/>
  <c r="CV1543" i="1"/>
  <c r="Y1543" i="1"/>
  <c r="CV1542" i="1"/>
  <c r="Y1542" i="1"/>
  <c r="CV1540" i="1"/>
  <c r="Y1540" i="1"/>
  <c r="CV1538" i="1"/>
  <c r="Y1538" i="1"/>
  <c r="CV1539" i="1"/>
  <c r="Y1539" i="1"/>
  <c r="CV1533" i="1"/>
  <c r="Y1533" i="1"/>
  <c r="CV1537" i="1"/>
  <c r="Y1537" i="1"/>
  <c r="CV1536" i="1"/>
  <c r="Y1536" i="1"/>
  <c r="CV1535" i="1"/>
  <c r="Y1535" i="1"/>
  <c r="CV1534" i="1"/>
  <c r="Y1534" i="1"/>
  <c r="CV1529" i="1"/>
  <c r="Y1529" i="1"/>
  <c r="CV1532" i="1"/>
  <c r="Y1532" i="1"/>
  <c r="CV1531" i="1"/>
  <c r="Y1531" i="1"/>
  <c r="CV1530" i="1"/>
  <c r="Y1530" i="1"/>
  <c r="CV1523" i="1"/>
  <c r="Y1523" i="1"/>
  <c r="CV1528" i="1"/>
  <c r="Y1528" i="1"/>
  <c r="CV1527" i="1"/>
  <c r="Y1527" i="1"/>
  <c r="CV1526" i="1"/>
  <c r="Y1526" i="1"/>
  <c r="CV1525" i="1"/>
  <c r="Y1525" i="1"/>
  <c r="CV1524" i="1"/>
  <c r="Y1524" i="1"/>
  <c r="CV1522" i="1"/>
  <c r="Y1522" i="1"/>
  <c r="CV1521" i="1"/>
  <c r="Y1521" i="1"/>
  <c r="CV1520" i="1"/>
  <c r="Y1520" i="1"/>
  <c r="CV1519" i="1"/>
  <c r="Y1519" i="1"/>
  <c r="CV1518" i="1"/>
  <c r="Y1518" i="1"/>
  <c r="CV1517" i="1"/>
  <c r="Y1517" i="1"/>
  <c r="CV1514" i="1"/>
  <c r="Y1514" i="1"/>
  <c r="CV1516" i="1"/>
  <c r="Y1516" i="1"/>
  <c r="CV1515" i="1"/>
  <c r="Y1515" i="1"/>
  <c r="CV1509" i="1"/>
  <c r="Y1509" i="1"/>
  <c r="CV1508" i="1"/>
  <c r="Y1508" i="1"/>
  <c r="CV1507" i="1"/>
  <c r="Y1507" i="1"/>
  <c r="CV1505" i="1"/>
  <c r="Y1505" i="1"/>
  <c r="CV1502" i="1"/>
  <c r="Y1502" i="1"/>
  <c r="CV1501" i="1"/>
  <c r="Y1501" i="1"/>
  <c r="CV1500" i="1"/>
  <c r="Y1500" i="1"/>
  <c r="CV1503" i="1"/>
  <c r="Y1503" i="1"/>
  <c r="CV1497" i="1"/>
  <c r="Y1497" i="1"/>
  <c r="CV1495" i="1"/>
  <c r="Y1495" i="1"/>
  <c r="CV1498" i="1"/>
  <c r="Y1498" i="1"/>
  <c r="CV1496" i="1"/>
  <c r="Y1496" i="1"/>
  <c r="CV1494" i="1"/>
  <c r="Y1494" i="1"/>
  <c r="CV1493" i="1"/>
  <c r="Y1493" i="1"/>
  <c r="CV1489" i="1"/>
  <c r="Y1489" i="1"/>
  <c r="CV1488" i="1"/>
  <c r="Y1488" i="1"/>
  <c r="CV1490" i="1"/>
  <c r="Y1490" i="1"/>
  <c r="CV1492" i="1"/>
  <c r="Y1492" i="1"/>
  <c r="CV1491" i="1"/>
  <c r="Y1491" i="1"/>
  <c r="CV1487" i="1"/>
  <c r="Y1487" i="1"/>
  <c r="CV1484" i="1"/>
  <c r="Y1484" i="1"/>
  <c r="CV1482" i="1"/>
  <c r="Y1482" i="1"/>
  <c r="CV1480" i="1"/>
  <c r="Y1480" i="1"/>
  <c r="CV1483" i="1"/>
  <c r="Y1483" i="1"/>
  <c r="CV1486" i="1"/>
  <c r="Y1486" i="1"/>
  <c r="CV1485" i="1"/>
  <c r="Y1485" i="1"/>
  <c r="CV1481" i="1"/>
  <c r="Y1481" i="1"/>
  <c r="CV1479" i="1"/>
  <c r="Y1479" i="1"/>
  <c r="CV1478" i="1"/>
  <c r="Y1478" i="1"/>
  <c r="CV1476" i="1"/>
  <c r="Y1476" i="1"/>
  <c r="CV1475" i="1"/>
  <c r="Y1475" i="1"/>
  <c r="CV1474" i="1"/>
  <c r="Y1474" i="1"/>
  <c r="CV1473" i="1"/>
  <c r="Y1473" i="1"/>
  <c r="CV1470" i="1"/>
  <c r="Y1470" i="1"/>
  <c r="CV1472" i="1"/>
  <c r="Y1472" i="1"/>
  <c r="CV1471" i="1"/>
  <c r="Y1471" i="1"/>
  <c r="CV1467" i="1"/>
  <c r="Y1467" i="1"/>
  <c r="CV1466" i="1"/>
  <c r="Y1466" i="1"/>
  <c r="CV1465" i="1"/>
  <c r="Y1465" i="1"/>
  <c r="CV1458" i="1"/>
  <c r="Y1458" i="1"/>
  <c r="CV1459" i="1"/>
  <c r="Y1459" i="1"/>
  <c r="CV1453" i="1"/>
  <c r="Y1453" i="1"/>
  <c r="CV1464" i="1"/>
  <c r="Y1464" i="1"/>
  <c r="CV1461" i="1"/>
  <c r="Y1461" i="1"/>
  <c r="CV1456" i="1"/>
  <c r="Y1456" i="1"/>
  <c r="CV1455" i="1"/>
  <c r="Y1455" i="1"/>
  <c r="CV1454" i="1"/>
  <c r="Y1454" i="1"/>
  <c r="CV1451" i="1"/>
  <c r="Y1451" i="1"/>
  <c r="CV1446" i="1"/>
  <c r="Y1446" i="1"/>
  <c r="CV1452" i="1"/>
  <c r="Y1452" i="1"/>
  <c r="CV1450" i="1"/>
  <c r="Y1450" i="1"/>
  <c r="CV1449" i="1"/>
  <c r="Y1449" i="1"/>
  <c r="CV1448" i="1"/>
  <c r="Y1448" i="1"/>
  <c r="CV1447" i="1"/>
  <c r="Y1447" i="1"/>
  <c r="CV1440" i="1"/>
  <c r="Y1440" i="1"/>
  <c r="CV1444" i="1"/>
  <c r="Y1444" i="1"/>
  <c r="CV1442" i="1"/>
  <c r="Y1442" i="1"/>
  <c r="CV1441" i="1"/>
  <c r="Y1441" i="1"/>
  <c r="CV1439" i="1"/>
  <c r="Y1439" i="1"/>
  <c r="CV1443" i="1"/>
  <c r="Y1443" i="1"/>
  <c r="CV1433" i="1"/>
  <c r="Y1433" i="1"/>
  <c r="CV1432" i="1"/>
  <c r="Y1432" i="1"/>
  <c r="CV1435" i="1"/>
  <c r="Y1435" i="1"/>
  <c r="CV1437" i="1"/>
  <c r="Y1437" i="1"/>
  <c r="CV1436" i="1"/>
  <c r="Y1436" i="1"/>
  <c r="AE1436" i="1"/>
  <c r="CV1434" i="1"/>
  <c r="Y1434" i="1"/>
  <c r="CV1431" i="1"/>
  <c r="Y1431" i="1"/>
  <c r="CV1429" i="1"/>
  <c r="Y1429" i="1"/>
  <c r="CV1438" i="1"/>
  <c r="Y1438" i="1"/>
  <c r="CV1428" i="1"/>
  <c r="Y1428" i="1"/>
  <c r="CV1427" i="1"/>
  <c r="Y1427" i="1"/>
  <c r="CV1426" i="1"/>
  <c r="Y1426" i="1"/>
  <c r="CV1425" i="1"/>
  <c r="Y1425" i="1"/>
  <c r="CV1423" i="1"/>
  <c r="Y1423" i="1"/>
  <c r="CV1424" i="1"/>
  <c r="Y1424" i="1"/>
  <c r="CV1422" i="1"/>
  <c r="Y1422" i="1"/>
  <c r="CV1419" i="1"/>
  <c r="Y1419" i="1"/>
  <c r="CV1420" i="1"/>
  <c r="Y1420" i="1"/>
  <c r="CV1418" i="1"/>
  <c r="Y1418" i="1"/>
  <c r="CV1417" i="1"/>
  <c r="Y1417" i="1"/>
  <c r="CV1416" i="1"/>
  <c r="Y1416" i="1"/>
  <c r="CV1415" i="1"/>
  <c r="Y1415" i="1"/>
  <c r="CV1782" i="1"/>
  <c r="Y1782" i="1"/>
  <c r="CV1412" i="1"/>
  <c r="Y1412" i="1"/>
  <c r="CV1414" i="1"/>
  <c r="Y1414" i="1"/>
  <c r="CV1413" i="1"/>
  <c r="Y1413" i="1"/>
  <c r="CV1410" i="1"/>
  <c r="Y1410" i="1"/>
  <c r="CV1409" i="1"/>
  <c r="Y1409" i="1"/>
  <c r="CV1407" i="1"/>
  <c r="Y1407" i="1"/>
  <c r="CV1411" i="1"/>
  <c r="Y1411" i="1"/>
  <c r="CV1403" i="1"/>
  <c r="Y1403" i="1"/>
  <c r="CV1402" i="1"/>
  <c r="Y1402" i="1"/>
  <c r="CV1401" i="1"/>
  <c r="Y1401" i="1"/>
  <c r="CV1400" i="1"/>
  <c r="Y1400" i="1"/>
  <c r="CV1399" i="1"/>
  <c r="Y1399" i="1"/>
  <c r="CV1405" i="1"/>
  <c r="Y1405" i="1"/>
  <c r="CV1404" i="1"/>
  <c r="Y1404" i="1"/>
  <c r="AE1404" i="1"/>
  <c r="CV1398" i="1"/>
  <c r="Y1398" i="1"/>
  <c r="CV1397" i="1"/>
  <c r="Y1397" i="1"/>
  <c r="CV1396" i="1"/>
  <c r="Y1396" i="1"/>
  <c r="CV1395" i="1"/>
  <c r="Y1395" i="1"/>
  <c r="CV1394" i="1"/>
  <c r="Y1394" i="1"/>
  <c r="CV1393" i="1"/>
  <c r="Y1393" i="1"/>
  <c r="CV1392" i="1"/>
  <c r="Y1392" i="1"/>
  <c r="CV1391" i="1"/>
  <c r="Y1391" i="1"/>
  <c r="CV1388" i="1"/>
  <c r="Y1388" i="1"/>
  <c r="CV1390" i="1"/>
  <c r="Y1390" i="1"/>
  <c r="CV1387" i="1"/>
  <c r="Y1387" i="1"/>
  <c r="CV1386" i="1"/>
  <c r="Y1386" i="1"/>
  <c r="CV1385" i="1"/>
  <c r="Y1385" i="1"/>
  <c r="CV1389" i="1"/>
  <c r="Y1389" i="1"/>
  <c r="CV1384" i="1"/>
  <c r="Y1384" i="1"/>
  <c r="CV1383" i="1"/>
  <c r="Y1383" i="1"/>
  <c r="CV1382" i="1"/>
  <c r="Y1382" i="1"/>
  <c r="CV1381" i="1"/>
  <c r="Y1381" i="1"/>
  <c r="CV1380" i="1"/>
  <c r="Y1380" i="1"/>
  <c r="CV1379" i="1"/>
  <c r="Y1379" i="1"/>
  <c r="CV1378" i="1"/>
  <c r="Y1378" i="1"/>
  <c r="CV1377" i="1"/>
  <c r="Y1377" i="1"/>
  <c r="CV1376" i="1"/>
  <c r="Y1376" i="1"/>
  <c r="CV1375" i="1"/>
  <c r="Y1375" i="1"/>
  <c r="CV1374" i="1"/>
  <c r="Y1374" i="1"/>
  <c r="CV1373" i="1"/>
  <c r="Y1373" i="1"/>
  <c r="CV1372" i="1"/>
  <c r="Y1372" i="1"/>
  <c r="CV1371" i="1"/>
  <c r="Y1371" i="1"/>
  <c r="CV1370" i="1"/>
  <c r="Y1370" i="1"/>
  <c r="CV1369" i="1"/>
  <c r="Y1369" i="1"/>
  <c r="CV1368" i="1"/>
  <c r="Y1368" i="1"/>
  <c r="CV1367" i="1"/>
  <c r="Y1367" i="1"/>
  <c r="CV1366" i="1"/>
  <c r="Y1366" i="1"/>
  <c r="CV1365" i="1"/>
  <c r="Y1365" i="1"/>
  <c r="CV1364" i="1"/>
  <c r="Y1364" i="1"/>
  <c r="CV1363" i="1"/>
  <c r="Y1363" i="1"/>
  <c r="CV1362" i="1"/>
  <c r="Y1362" i="1"/>
  <c r="CV1361" i="1"/>
  <c r="Y1361" i="1"/>
  <c r="CV1360" i="1"/>
  <c r="Y1360" i="1"/>
  <c r="CV1359" i="1"/>
  <c r="Y1359" i="1"/>
  <c r="CV1358" i="1"/>
  <c r="Y1358" i="1"/>
  <c r="CV1357" i="1"/>
  <c r="Y1357" i="1"/>
  <c r="CV1356" i="1"/>
  <c r="Y1356" i="1"/>
  <c r="CV1355" i="1"/>
  <c r="Y1355" i="1"/>
  <c r="CV1351" i="1"/>
  <c r="Y1351" i="1"/>
  <c r="CV1354" i="1"/>
  <c r="Y1354" i="1"/>
  <c r="CV1353" i="1"/>
  <c r="Y1353" i="1"/>
  <c r="CV1352" i="1"/>
  <c r="Y1352" i="1"/>
  <c r="CV1350" i="1"/>
  <c r="Y1350" i="1"/>
  <c r="CV1344" i="1"/>
  <c r="Y1344" i="1"/>
  <c r="CV1343" i="1"/>
  <c r="Y1343" i="1"/>
  <c r="CV1349" i="1"/>
  <c r="Y1349" i="1"/>
  <c r="CV1348" i="1"/>
  <c r="Y1348" i="1"/>
  <c r="CV1345" i="1"/>
  <c r="Y1345" i="1"/>
  <c r="CV1335" i="1"/>
  <c r="Y1335" i="1"/>
  <c r="CV1341" i="1"/>
  <c r="Y1341" i="1"/>
  <c r="CV1340" i="1"/>
  <c r="Y1340" i="1"/>
  <c r="CV1339" i="1"/>
  <c r="Y1339" i="1"/>
  <c r="CV1338" i="1"/>
  <c r="Y1338" i="1"/>
  <c r="CV1337" i="1"/>
  <c r="Y1337" i="1"/>
  <c r="CV1333" i="1"/>
  <c r="Y1333" i="1"/>
  <c r="CV1332" i="1"/>
  <c r="Y1332" i="1"/>
  <c r="CV1331" i="1"/>
  <c r="Y1331" i="1"/>
  <c r="CV1330" i="1"/>
  <c r="Y1330" i="1"/>
  <c r="CV1329" i="1"/>
  <c r="Y1329" i="1"/>
  <c r="CV1328" i="1"/>
  <c r="Y1328" i="1"/>
  <c r="CV1327" i="1"/>
  <c r="Y1327" i="1"/>
  <c r="CV1326" i="1"/>
  <c r="Y1326" i="1"/>
  <c r="CV1325" i="1"/>
  <c r="Y1325" i="1"/>
  <c r="CV1342" i="1"/>
  <c r="Y1342" i="1"/>
  <c r="CV1334" i="1"/>
  <c r="Y1334" i="1"/>
  <c r="CV1324" i="1"/>
  <c r="Y1324" i="1"/>
  <c r="CV1323" i="1"/>
  <c r="Y1323" i="1"/>
  <c r="CV1322" i="1"/>
  <c r="Y1322" i="1"/>
  <c r="CV1321" i="1"/>
  <c r="Y1321" i="1"/>
  <c r="CV1316" i="1"/>
  <c r="Y1316" i="1"/>
  <c r="CV1315" i="1"/>
  <c r="Y1315" i="1"/>
  <c r="CV1314" i="1"/>
  <c r="Y1314" i="1"/>
  <c r="CV1318" i="1"/>
  <c r="Y1318" i="1"/>
  <c r="CV1312" i="1"/>
  <c r="Y1312" i="1"/>
  <c r="CV1311" i="1"/>
  <c r="Y1311" i="1"/>
  <c r="CV1310" i="1"/>
  <c r="Y1310" i="1"/>
  <c r="CV1307" i="1"/>
  <c r="Y1307" i="1"/>
  <c r="CV1305" i="1"/>
  <c r="Y1305" i="1"/>
  <c r="CV1304" i="1"/>
  <c r="Y1304" i="1"/>
  <c r="CV1309" i="1"/>
  <c r="Y1309" i="1"/>
  <c r="CV1308" i="1"/>
  <c r="Y1308" i="1"/>
  <c r="CV1303" i="1"/>
  <c r="Y1303" i="1"/>
  <c r="CV1301" i="1"/>
  <c r="Y1301" i="1"/>
  <c r="CV1300" i="1"/>
  <c r="Y1300" i="1"/>
  <c r="CV1299" i="1"/>
  <c r="Y1299" i="1"/>
  <c r="CV1298" i="1"/>
  <c r="Y1298" i="1"/>
  <c r="CV1297" i="1"/>
  <c r="Y1297" i="1"/>
  <c r="CV1296" i="1"/>
  <c r="Y1296" i="1"/>
  <c r="CV1295" i="1"/>
  <c r="Y1295" i="1"/>
  <c r="CV1290" i="1"/>
  <c r="Y1290" i="1"/>
  <c r="AE1290" i="1"/>
  <c r="CV1294" i="1"/>
  <c r="Y1294" i="1"/>
  <c r="CV1293" i="1"/>
  <c r="Y1293" i="1"/>
  <c r="CV1292" i="1"/>
  <c r="Y1292" i="1"/>
  <c r="CV1291" i="1"/>
  <c r="Y1291" i="1"/>
  <c r="CV1289" i="1"/>
  <c r="Y1289" i="1"/>
  <c r="CV1288" i="1"/>
  <c r="Y1288" i="1"/>
  <c r="CV1287" i="1"/>
  <c r="Y1287" i="1"/>
  <c r="CV1286" i="1"/>
  <c r="Y1286" i="1"/>
  <c r="CV1285" i="1"/>
  <c r="Y1285" i="1"/>
  <c r="CV1284" i="1"/>
  <c r="Y1284" i="1"/>
  <c r="CV1283" i="1"/>
  <c r="Y1283" i="1"/>
  <c r="CV1282" i="1"/>
  <c r="Y1282" i="1"/>
  <c r="CV1281" i="1"/>
  <c r="Y1281" i="1"/>
  <c r="CV1280" i="1"/>
  <c r="Y1280" i="1"/>
  <c r="CV1272" i="1"/>
  <c r="Y1272" i="1"/>
  <c r="CV1279" i="1"/>
  <c r="Y1279" i="1"/>
  <c r="AE1279" i="1"/>
  <c r="CV1278" i="1"/>
  <c r="Y1278" i="1"/>
  <c r="CV1277" i="1"/>
  <c r="Y1277" i="1"/>
  <c r="CV1276" i="1"/>
  <c r="Y1276" i="1"/>
  <c r="CV1275" i="1"/>
  <c r="Y1275" i="1"/>
  <c r="CV1274" i="1"/>
  <c r="Y1274" i="1"/>
  <c r="CV1273" i="1"/>
  <c r="Y1273" i="1"/>
  <c r="CV1271" i="1"/>
  <c r="Y1271" i="1"/>
  <c r="CV1270" i="1"/>
  <c r="Y1270" i="1"/>
  <c r="CV1269" i="1"/>
  <c r="Y1269" i="1"/>
  <c r="CV1268" i="1"/>
  <c r="Y1268" i="1"/>
  <c r="CV1265" i="1"/>
  <c r="Y1265" i="1"/>
  <c r="CV1266" i="1"/>
  <c r="Y1266" i="1"/>
  <c r="CV1264" i="1"/>
  <c r="Y1264" i="1"/>
  <c r="CV1262" i="1"/>
  <c r="Y1262" i="1"/>
  <c r="CV1261" i="1"/>
  <c r="Y1261" i="1"/>
  <c r="CV1260" i="1"/>
  <c r="Y1260" i="1"/>
  <c r="CV1257" i="1"/>
  <c r="Y1257" i="1"/>
  <c r="CV1256" i="1"/>
  <c r="Y1256" i="1"/>
  <c r="CV1255" i="1"/>
  <c r="Y1255" i="1"/>
  <c r="CV1263" i="1"/>
  <c r="Y1263" i="1"/>
  <c r="CV1259" i="1"/>
  <c r="Y1259" i="1"/>
  <c r="CV1258" i="1"/>
  <c r="Y1258" i="1"/>
  <c r="CV1254" i="1"/>
  <c r="Y1254" i="1"/>
  <c r="CV1252" i="1"/>
  <c r="Y1252" i="1"/>
  <c r="CV1253" i="1"/>
  <c r="Y1253" i="1"/>
  <c r="CV1251" i="1"/>
  <c r="Y1251" i="1"/>
  <c r="CV1248" i="1"/>
  <c r="Y1248" i="1"/>
  <c r="CV1246" i="1"/>
  <c r="Y1246" i="1"/>
  <c r="CV1245" i="1"/>
  <c r="Y1245" i="1"/>
  <c r="CV1244" i="1"/>
  <c r="Y1244" i="1"/>
  <c r="CV1242" i="1"/>
  <c r="Y1242" i="1"/>
  <c r="CV1241" i="1"/>
  <c r="Y1241" i="1"/>
  <c r="CV1249" i="1"/>
  <c r="Y1249" i="1"/>
  <c r="CV1238" i="1"/>
  <c r="Y1238" i="1"/>
  <c r="CV1237" i="1"/>
  <c r="Y1237" i="1"/>
  <c r="CV1240" i="1"/>
  <c r="Y1240" i="1"/>
  <c r="CV1236" i="1"/>
  <c r="Y1236" i="1"/>
  <c r="CV1235" i="1"/>
  <c r="Y1235" i="1"/>
  <c r="CV1234" i="1"/>
  <c r="Y1234" i="1"/>
  <c r="CV1230" i="1"/>
  <c r="Y1230" i="1"/>
  <c r="CV1231" i="1"/>
  <c r="Y1231" i="1"/>
  <c r="CV1228" i="1"/>
  <c r="Y1228" i="1"/>
  <c r="CV1204" i="1"/>
  <c r="Y1204" i="1"/>
  <c r="CV1203" i="1"/>
  <c r="Y1203" i="1"/>
  <c r="CV1226" i="1"/>
  <c r="Y1226" i="1"/>
  <c r="CV1225" i="1"/>
  <c r="Y1225" i="1"/>
  <c r="CV1224" i="1"/>
  <c r="Y1224" i="1"/>
  <c r="CV1223" i="1"/>
  <c r="Y1223" i="1"/>
  <c r="AE1223" i="1"/>
  <c r="CV1221" i="1"/>
  <c r="Y1221" i="1"/>
  <c r="CV1220" i="1"/>
  <c r="Y1220" i="1"/>
  <c r="CV1219" i="1"/>
  <c r="Y1219" i="1"/>
  <c r="CV1218" i="1"/>
  <c r="Y1218" i="1"/>
  <c r="CV1216" i="1"/>
  <c r="Y1216" i="1"/>
  <c r="CV1215" i="1"/>
  <c r="Y1215" i="1"/>
  <c r="CV1214" i="1"/>
  <c r="Y1214" i="1"/>
  <c r="CV1213" i="1"/>
  <c r="Y1213" i="1"/>
  <c r="CV1212" i="1"/>
  <c r="Y1212" i="1"/>
  <c r="CV1211" i="1"/>
  <c r="Y1211" i="1"/>
  <c r="CV1210" i="1"/>
  <c r="Y1210" i="1"/>
  <c r="CV1209" i="1"/>
  <c r="Y1209" i="1"/>
  <c r="CV1208" i="1"/>
  <c r="Y1208" i="1"/>
  <c r="CV1207" i="1"/>
  <c r="Y1207" i="1"/>
  <c r="CV1205" i="1"/>
  <c r="Y1205" i="1"/>
  <c r="CV1227" i="1"/>
  <c r="Y1227" i="1"/>
  <c r="AE1227" i="1"/>
  <c r="CV1217" i="1"/>
  <c r="Y1217" i="1"/>
  <c r="CV1206" i="1"/>
  <c r="Y1206" i="1"/>
  <c r="CV1202" i="1"/>
  <c r="Y1202" i="1"/>
  <c r="CV1201" i="1"/>
  <c r="Y1201" i="1"/>
  <c r="CV1190" i="1"/>
  <c r="Y1190" i="1"/>
  <c r="CV1198" i="1"/>
  <c r="Y1198" i="1"/>
  <c r="CV1196" i="1"/>
  <c r="Y1196" i="1"/>
  <c r="CV1195" i="1"/>
  <c r="Y1195" i="1"/>
  <c r="CV1194" i="1"/>
  <c r="Y1194" i="1"/>
  <c r="CV1191" i="1"/>
  <c r="Y1191" i="1"/>
  <c r="CV1187" i="1"/>
  <c r="Y1187" i="1"/>
  <c r="CV1186" i="1"/>
  <c r="Y1186" i="1"/>
  <c r="CV1185" i="1"/>
  <c r="Y1185" i="1"/>
  <c r="CV1184" i="1"/>
  <c r="Y1184" i="1"/>
  <c r="CV1183" i="1"/>
  <c r="Y1183" i="1"/>
  <c r="CV1182" i="1"/>
  <c r="Y1182" i="1"/>
  <c r="CV1181" i="1"/>
  <c r="Y1181" i="1"/>
  <c r="CV1180" i="1"/>
  <c r="Y1180" i="1"/>
  <c r="CV1178" i="1"/>
  <c r="Y1178" i="1"/>
  <c r="CV1176" i="1"/>
  <c r="Y1176" i="1"/>
  <c r="CV1175" i="1"/>
  <c r="Y1175" i="1"/>
  <c r="CV1174" i="1"/>
  <c r="Y1174" i="1"/>
  <c r="CV1170" i="1"/>
  <c r="Y1170" i="1"/>
  <c r="CV1169" i="1"/>
  <c r="Y1169" i="1"/>
  <c r="CV1177" i="1"/>
  <c r="Y1177" i="1"/>
  <c r="CV1173" i="1"/>
  <c r="Y1173" i="1"/>
  <c r="CV1172" i="1"/>
  <c r="Y1172" i="1"/>
  <c r="CV1171" i="1"/>
  <c r="Y1171" i="1"/>
  <c r="CV1168" i="1"/>
  <c r="Y1168" i="1"/>
  <c r="CV1167" i="1"/>
  <c r="Y1167" i="1"/>
  <c r="CV1166" i="1"/>
  <c r="Y1166" i="1"/>
  <c r="CV1165" i="1"/>
  <c r="Y1165" i="1"/>
  <c r="CV1164" i="1"/>
  <c r="Y1164" i="1"/>
  <c r="CV1163" i="1"/>
  <c r="Y1163" i="1"/>
  <c r="CV1146" i="1"/>
  <c r="Y1146" i="1"/>
  <c r="CV1162" i="1"/>
  <c r="Y1162" i="1"/>
  <c r="CV1156" i="1"/>
  <c r="Y1156" i="1"/>
  <c r="CV1155" i="1"/>
  <c r="Y1155" i="1"/>
  <c r="CV1153" i="1"/>
  <c r="Y1153" i="1"/>
  <c r="CV1151" i="1"/>
  <c r="Y1151" i="1"/>
  <c r="CV1150" i="1"/>
  <c r="Y1150" i="1"/>
  <c r="CV1148" i="1"/>
  <c r="Y1148" i="1"/>
  <c r="CV1147" i="1"/>
  <c r="Y1147" i="1"/>
  <c r="CV1145" i="1"/>
  <c r="Y1145" i="1"/>
  <c r="CV1144" i="1"/>
  <c r="Y1144" i="1"/>
  <c r="CV1143" i="1"/>
  <c r="Y1143" i="1"/>
  <c r="CV1161" i="1"/>
  <c r="Y1161" i="1"/>
  <c r="CV1160" i="1"/>
  <c r="Y1160" i="1"/>
  <c r="AE1160" i="1"/>
  <c r="CV1159" i="1"/>
  <c r="Y1159" i="1"/>
  <c r="CV1158" i="1"/>
  <c r="Y1158" i="1"/>
  <c r="CV1157" i="1"/>
  <c r="Y1157" i="1"/>
  <c r="CV1154" i="1"/>
  <c r="Y1154" i="1"/>
  <c r="CV1152" i="1"/>
  <c r="Y1152" i="1"/>
  <c r="CV1149" i="1"/>
  <c r="Y1149" i="1"/>
  <c r="CV1142" i="1"/>
  <c r="Y1142" i="1"/>
  <c r="CV1139" i="1"/>
  <c r="Y1139" i="1"/>
  <c r="CV1138" i="1"/>
  <c r="Y1138" i="1"/>
  <c r="CV1137" i="1"/>
  <c r="Y1137" i="1"/>
  <c r="CV1136" i="1"/>
  <c r="Y1136" i="1"/>
  <c r="CV1135" i="1"/>
  <c r="Y1135" i="1"/>
  <c r="CV1134" i="1"/>
  <c r="Y1134" i="1"/>
  <c r="CV1141" i="1"/>
  <c r="Y1141" i="1"/>
  <c r="CV1140" i="1"/>
  <c r="Y1140" i="1"/>
  <c r="CV1133" i="1"/>
  <c r="Y1133" i="1"/>
  <c r="AE1133" i="1"/>
  <c r="CV1132" i="1"/>
  <c r="Y1132" i="1"/>
  <c r="CV1131" i="1"/>
  <c r="Y1131" i="1"/>
  <c r="CV1130" i="1"/>
  <c r="Y1130" i="1"/>
  <c r="CV1129" i="1"/>
  <c r="Y1129" i="1"/>
  <c r="CV1128" i="1"/>
  <c r="Y1128" i="1"/>
  <c r="CV1127" i="1"/>
  <c r="Y1127" i="1"/>
  <c r="CV1126" i="1"/>
  <c r="Y1126" i="1"/>
  <c r="CV1125" i="1"/>
  <c r="Y1125" i="1"/>
  <c r="CV1124" i="1"/>
  <c r="Y1124" i="1"/>
  <c r="CV1123" i="1"/>
  <c r="Y1123" i="1"/>
  <c r="CV1122" i="1"/>
  <c r="Y1122" i="1"/>
  <c r="CV1121" i="1"/>
  <c r="Y1121" i="1"/>
  <c r="CV1120" i="1"/>
  <c r="Y1120" i="1"/>
  <c r="CV1119" i="1"/>
  <c r="Y1119" i="1"/>
  <c r="CV1118" i="1"/>
  <c r="Y1118" i="1"/>
  <c r="CV1112" i="1"/>
  <c r="Y1112" i="1"/>
  <c r="CV1111" i="1"/>
  <c r="Y1111" i="1"/>
  <c r="CV1108" i="1"/>
  <c r="Y1108" i="1"/>
  <c r="CV1107" i="1"/>
  <c r="Y1107" i="1"/>
  <c r="CV1106" i="1"/>
  <c r="Y1106" i="1"/>
  <c r="CV1104" i="1"/>
  <c r="Y1104" i="1"/>
  <c r="CV1103" i="1"/>
  <c r="Y1103" i="1"/>
  <c r="CV1102" i="1"/>
  <c r="Y1102" i="1"/>
  <c r="CV1098" i="1"/>
  <c r="Y1098" i="1"/>
  <c r="CV1094" i="1"/>
  <c r="Y1094" i="1"/>
  <c r="CV1090" i="1"/>
  <c r="Y1090" i="1"/>
  <c r="CV1114" i="1"/>
  <c r="Y1114" i="1"/>
  <c r="CV1113" i="1"/>
  <c r="Y1113" i="1"/>
  <c r="CV1105" i="1"/>
  <c r="Y1105" i="1"/>
  <c r="CV1100" i="1"/>
  <c r="Y1100" i="1"/>
  <c r="CV1099" i="1"/>
  <c r="Y1099" i="1"/>
  <c r="CV1097" i="1"/>
  <c r="Y1097" i="1"/>
  <c r="CV1096" i="1"/>
  <c r="Y1096" i="1"/>
  <c r="CV1093" i="1"/>
  <c r="Y1093" i="1"/>
  <c r="CV1092" i="1"/>
  <c r="Y1092" i="1"/>
  <c r="CV1068" i="1"/>
  <c r="Y1068" i="1"/>
  <c r="CV1085" i="1"/>
  <c r="Y1085" i="1"/>
  <c r="CV1084" i="1"/>
  <c r="Y1084" i="1"/>
  <c r="CV1082" i="1"/>
  <c r="Y1082" i="1"/>
  <c r="CV1081" i="1"/>
  <c r="Y1081" i="1"/>
  <c r="CV1080" i="1"/>
  <c r="Y1080" i="1"/>
  <c r="CV1079" i="1"/>
  <c r="Y1079" i="1"/>
  <c r="CV1077" i="1"/>
  <c r="Y1077" i="1"/>
  <c r="CV1074" i="1"/>
  <c r="Y1074" i="1"/>
  <c r="CV1073" i="1"/>
  <c r="Y1073" i="1"/>
  <c r="CV1066" i="1"/>
  <c r="Y1066" i="1"/>
  <c r="CV1065" i="1"/>
  <c r="Y1065" i="1"/>
  <c r="CV1089" i="1"/>
  <c r="Y1089" i="1"/>
  <c r="AE1089" i="1"/>
  <c r="CV1088" i="1"/>
  <c r="Y1088" i="1"/>
  <c r="CV1087" i="1"/>
  <c r="Y1087" i="1"/>
  <c r="CV1083" i="1"/>
  <c r="Y1083" i="1"/>
  <c r="CV1076" i="1"/>
  <c r="Y1076" i="1"/>
  <c r="CV1075" i="1"/>
  <c r="Y1075" i="1"/>
  <c r="CV1072" i="1"/>
  <c r="Y1072" i="1"/>
  <c r="CV1069" i="1"/>
  <c r="Y1069" i="1"/>
  <c r="CV1067" i="1"/>
  <c r="Y1067" i="1"/>
  <c r="CV1064" i="1"/>
  <c r="Y1064" i="1"/>
  <c r="CV1054" i="1"/>
  <c r="Y1054" i="1"/>
  <c r="CV1053" i="1"/>
  <c r="Y1053" i="1"/>
  <c r="CV1052" i="1"/>
  <c r="Y1052" i="1"/>
  <c r="CV1051" i="1"/>
  <c r="Y1051" i="1"/>
  <c r="CV1063" i="1"/>
  <c r="Y1063" i="1"/>
  <c r="CV1062" i="1"/>
  <c r="Y1062" i="1"/>
  <c r="CV1061" i="1"/>
  <c r="Y1061" i="1"/>
  <c r="AE1061" i="1"/>
  <c r="CV1060" i="1"/>
  <c r="Y1060" i="1"/>
  <c r="CV1059" i="1"/>
  <c r="Y1059" i="1"/>
  <c r="CV1058" i="1"/>
  <c r="Y1058" i="1"/>
  <c r="CV1057" i="1"/>
  <c r="Y1057" i="1"/>
  <c r="CV1056" i="1"/>
  <c r="Y1056" i="1"/>
  <c r="CV1050" i="1"/>
  <c r="Y1050" i="1"/>
  <c r="CV1049" i="1"/>
  <c r="Y1049" i="1"/>
  <c r="CV1048" i="1"/>
  <c r="Y1048" i="1"/>
  <c r="CV1046" i="1"/>
  <c r="Y1046" i="1"/>
  <c r="CV1047" i="1"/>
  <c r="Y1047" i="1"/>
  <c r="CV1045" i="1"/>
  <c r="Y1045" i="1"/>
  <c r="CV1044" i="1"/>
  <c r="Y1044" i="1"/>
  <c r="CV1043" i="1"/>
  <c r="Y1043" i="1"/>
  <c r="CV1032" i="1"/>
  <c r="Y1032" i="1"/>
  <c r="CV1041" i="1"/>
  <c r="Y1041" i="1"/>
  <c r="CV1039" i="1"/>
  <c r="Y1039" i="1"/>
  <c r="CV1033" i="1"/>
  <c r="Y1033" i="1"/>
  <c r="CV1040" i="1"/>
  <c r="Y1040" i="1"/>
  <c r="CV1038" i="1"/>
  <c r="Y1038" i="1"/>
  <c r="CV1037" i="1"/>
  <c r="Y1037" i="1"/>
  <c r="CV1036" i="1"/>
  <c r="Y1036" i="1"/>
  <c r="CV1035" i="1"/>
  <c r="Y1035" i="1"/>
  <c r="CV1031" i="1"/>
  <c r="Y1031" i="1"/>
  <c r="CV1030" i="1"/>
  <c r="Y1030" i="1"/>
  <c r="CV1029" i="1"/>
  <c r="Y1029" i="1"/>
  <c r="CV1028" i="1"/>
  <c r="Y1028" i="1"/>
  <c r="CV1025" i="1"/>
  <c r="Y1025" i="1"/>
  <c r="CV1024" i="1"/>
  <c r="Y1024" i="1"/>
  <c r="CV1023" i="1"/>
  <c r="Y1023" i="1"/>
  <c r="CV1022" i="1"/>
  <c r="Y1022" i="1"/>
  <c r="CV1021" i="1"/>
  <c r="Y1021" i="1"/>
  <c r="CV1020" i="1"/>
  <c r="Y1020" i="1"/>
  <c r="CV1005" i="1"/>
  <c r="Y1005" i="1"/>
  <c r="CV1003" i="1"/>
  <c r="Y1003" i="1"/>
  <c r="CV1018" i="1"/>
  <c r="Y1018" i="1"/>
  <c r="CV1016" i="1"/>
  <c r="Y1016" i="1"/>
  <c r="CV1015" i="1"/>
  <c r="Y1015" i="1"/>
  <c r="CV1014" i="1"/>
  <c r="Y1014" i="1"/>
  <c r="CV1013" i="1"/>
  <c r="Y1013" i="1"/>
  <c r="CV1011" i="1"/>
  <c r="Y1011" i="1"/>
  <c r="CV1009" i="1"/>
  <c r="Y1009" i="1"/>
  <c r="CV1008" i="1"/>
  <c r="Y1008" i="1"/>
  <c r="CV1007" i="1"/>
  <c r="Y1007" i="1"/>
  <c r="CV1002" i="1"/>
  <c r="Y1002" i="1"/>
  <c r="CV1019" i="1"/>
  <c r="Y1019" i="1"/>
  <c r="CV1017" i="1"/>
  <c r="Y1017" i="1"/>
  <c r="CV1010" i="1"/>
  <c r="Y1010" i="1"/>
  <c r="CV1004" i="1"/>
  <c r="Y1004" i="1"/>
  <c r="AE1004" i="1"/>
  <c r="CV1001" i="1"/>
  <c r="Y1001" i="1"/>
  <c r="CV995" i="1"/>
  <c r="Y995" i="1"/>
  <c r="CV1000" i="1"/>
  <c r="Y1000" i="1"/>
  <c r="CV998" i="1"/>
  <c r="Y998" i="1"/>
  <c r="CV993" i="1"/>
  <c r="Y993" i="1"/>
  <c r="CV992" i="1"/>
  <c r="Y992" i="1"/>
  <c r="CV999" i="1"/>
  <c r="Y999" i="1"/>
  <c r="CV997" i="1"/>
  <c r="Y997" i="1"/>
  <c r="CV994" i="1"/>
  <c r="Y994" i="1"/>
  <c r="CV973" i="1"/>
  <c r="Y973" i="1"/>
  <c r="CV972" i="1"/>
  <c r="Y972" i="1"/>
  <c r="CV991" i="1"/>
  <c r="Y991" i="1"/>
  <c r="CV988" i="1"/>
  <c r="Y988" i="1"/>
  <c r="CV981" i="1"/>
  <c r="Y981" i="1"/>
  <c r="CV980" i="1"/>
  <c r="Y980" i="1"/>
  <c r="CV970" i="1"/>
  <c r="Y970" i="1"/>
  <c r="AE970" i="1"/>
  <c r="CV989" i="1"/>
  <c r="Y989" i="1"/>
  <c r="CV986" i="1"/>
  <c r="Y986" i="1"/>
  <c r="CV985" i="1"/>
  <c r="Y985" i="1"/>
  <c r="CV984" i="1"/>
  <c r="Y984" i="1"/>
  <c r="CV983" i="1"/>
  <c r="Y983" i="1"/>
  <c r="CV982" i="1"/>
  <c r="Y982" i="1"/>
  <c r="CV978" i="1"/>
  <c r="Y978" i="1"/>
  <c r="CV977" i="1"/>
  <c r="Y977" i="1"/>
  <c r="CV976" i="1"/>
  <c r="Y976" i="1"/>
  <c r="CV955" i="1"/>
  <c r="Y955" i="1"/>
  <c r="CV966" i="1"/>
  <c r="Y966" i="1"/>
  <c r="CV965" i="1"/>
  <c r="Y965" i="1"/>
  <c r="CV964" i="1"/>
  <c r="Y964" i="1"/>
  <c r="CV963" i="1"/>
  <c r="Y963" i="1"/>
  <c r="CV962" i="1"/>
  <c r="Y962" i="1"/>
  <c r="CV961" i="1"/>
  <c r="Y961" i="1"/>
  <c r="CV960" i="1"/>
  <c r="Y960" i="1"/>
  <c r="CV957" i="1"/>
  <c r="Y957" i="1"/>
  <c r="CV969" i="1"/>
  <c r="Y969" i="1"/>
  <c r="CV968" i="1"/>
  <c r="Y968" i="1"/>
  <c r="CV967" i="1"/>
  <c r="Y967" i="1"/>
  <c r="CV959" i="1"/>
  <c r="Y959" i="1"/>
  <c r="CV958" i="1"/>
  <c r="Y958" i="1"/>
  <c r="CV956" i="1"/>
  <c r="Y956" i="1"/>
  <c r="CV954" i="1"/>
  <c r="Y954" i="1"/>
  <c r="CV953" i="1"/>
  <c r="Y953" i="1"/>
  <c r="CV925" i="1"/>
  <c r="CV932" i="1"/>
  <c r="Y932" i="1"/>
  <c r="CV952" i="1"/>
  <c r="Y952" i="1"/>
  <c r="CV951" i="1"/>
  <c r="Y951" i="1"/>
  <c r="CV950" i="1"/>
  <c r="Y950" i="1"/>
  <c r="CV948" i="1"/>
  <c r="Y948" i="1"/>
  <c r="CV947" i="1"/>
  <c r="Y947" i="1"/>
  <c r="CV946" i="1"/>
  <c r="Y946" i="1"/>
  <c r="CV945" i="1"/>
  <c r="Y945" i="1"/>
  <c r="CV943" i="1"/>
  <c r="Y943" i="1"/>
  <c r="CV942" i="1"/>
  <c r="Y942" i="1"/>
  <c r="CV941" i="1"/>
  <c r="Y941" i="1"/>
  <c r="CV940" i="1"/>
  <c r="Y940" i="1"/>
  <c r="CV939" i="1"/>
  <c r="Y939" i="1"/>
  <c r="CV937" i="1"/>
  <c r="Y937" i="1"/>
  <c r="CV936" i="1"/>
  <c r="Y936" i="1"/>
  <c r="CV935" i="1"/>
  <c r="Y935" i="1"/>
  <c r="CV934" i="1"/>
  <c r="Y934" i="1"/>
  <c r="CV933" i="1"/>
  <c r="Y933" i="1"/>
  <c r="CV930" i="1"/>
  <c r="Y930" i="1"/>
  <c r="CV929" i="1"/>
  <c r="Y929" i="1"/>
  <c r="CV928" i="1"/>
  <c r="Y928" i="1"/>
  <c r="AE928" i="1"/>
  <c r="CV927" i="1"/>
  <c r="Y927" i="1"/>
  <c r="CV924" i="1"/>
  <c r="Y924" i="1"/>
  <c r="CV923" i="1"/>
  <c r="Y923" i="1"/>
  <c r="CV922" i="1"/>
  <c r="Y922" i="1"/>
  <c r="CV921" i="1"/>
  <c r="Y921" i="1"/>
  <c r="CV949" i="1"/>
  <c r="Y949" i="1"/>
  <c r="CV944" i="1"/>
  <c r="Y944" i="1"/>
  <c r="CV938" i="1"/>
  <c r="Y938" i="1"/>
  <c r="CV916" i="1"/>
  <c r="Y916" i="1"/>
  <c r="CV914" i="1"/>
  <c r="Y914" i="1"/>
  <c r="CV913" i="1"/>
  <c r="Y913" i="1"/>
  <c r="CV912" i="1"/>
  <c r="Y912" i="1"/>
  <c r="CV910" i="1"/>
  <c r="Y910" i="1"/>
  <c r="CV917" i="1"/>
  <c r="Y917" i="1"/>
  <c r="CV906" i="1"/>
  <c r="Y906" i="1"/>
  <c r="CV904" i="1"/>
  <c r="Y904" i="1"/>
  <c r="CV903" i="1"/>
  <c r="Y903" i="1"/>
  <c r="CV902" i="1"/>
  <c r="Y902" i="1"/>
  <c r="CV901" i="1"/>
  <c r="Y901" i="1"/>
  <c r="CV900" i="1"/>
  <c r="Y900" i="1"/>
  <c r="CV899" i="1"/>
  <c r="Y899" i="1"/>
  <c r="CV896" i="1"/>
  <c r="Y896" i="1"/>
  <c r="CV895" i="1"/>
  <c r="Y895" i="1"/>
  <c r="CV894" i="1"/>
  <c r="Y894" i="1"/>
  <c r="CV893" i="1"/>
  <c r="Y893" i="1"/>
  <c r="CV907" i="1"/>
  <c r="Y907" i="1"/>
  <c r="AE907" i="1"/>
  <c r="CV898" i="1"/>
  <c r="Y898" i="1"/>
  <c r="CV897" i="1"/>
  <c r="Y897" i="1"/>
  <c r="CV891" i="1"/>
  <c r="Y891" i="1"/>
  <c r="CV879" i="1"/>
  <c r="Y879" i="1"/>
  <c r="CV878" i="1"/>
  <c r="Y878" i="1"/>
  <c r="CV890" i="1"/>
  <c r="Y890" i="1"/>
  <c r="AE890" i="1"/>
  <c r="CV889" i="1"/>
  <c r="Y889" i="1"/>
  <c r="CV888" i="1"/>
  <c r="Y888" i="1"/>
  <c r="CV887" i="1"/>
  <c r="Y887" i="1"/>
  <c r="CV886" i="1"/>
  <c r="Y886" i="1"/>
  <c r="CV885" i="1"/>
  <c r="Y885" i="1"/>
  <c r="CV884" i="1"/>
  <c r="Y884" i="1"/>
  <c r="CV883" i="1"/>
  <c r="Y883" i="1"/>
  <c r="CV882" i="1"/>
  <c r="Y882" i="1"/>
  <c r="CV881" i="1"/>
  <c r="Y881" i="1"/>
  <c r="CV880" i="1"/>
  <c r="Y880" i="1"/>
  <c r="CV876" i="1"/>
  <c r="Y876" i="1"/>
  <c r="CV877" i="1"/>
  <c r="Y877" i="1"/>
  <c r="CV875" i="1"/>
  <c r="Y875" i="1"/>
  <c r="CV872" i="1"/>
  <c r="Y872" i="1"/>
  <c r="CV871" i="1"/>
  <c r="Y871" i="1"/>
  <c r="CV870" i="1"/>
  <c r="Y870" i="1"/>
  <c r="CV869" i="1"/>
  <c r="Y869" i="1"/>
  <c r="CV868" i="1"/>
  <c r="Y868" i="1"/>
  <c r="CV867" i="1"/>
  <c r="Y867" i="1"/>
  <c r="CV865" i="1"/>
  <c r="Y865" i="1"/>
  <c r="CV861" i="1"/>
  <c r="Y861" i="1"/>
  <c r="CV860" i="1"/>
  <c r="Y860" i="1"/>
  <c r="CV858" i="1"/>
  <c r="Y858" i="1"/>
  <c r="CV857" i="1"/>
  <c r="Y857" i="1"/>
  <c r="CV855" i="1"/>
  <c r="Y855" i="1"/>
  <c r="CV854" i="1"/>
  <c r="Y854" i="1"/>
  <c r="AE854" i="1"/>
  <c r="CV853" i="1"/>
  <c r="Y853" i="1"/>
  <c r="CV851" i="1"/>
  <c r="Y851" i="1"/>
  <c r="CV874" i="1"/>
  <c r="Y874" i="1"/>
  <c r="CV863" i="1"/>
  <c r="Y863" i="1"/>
  <c r="CV859" i="1"/>
  <c r="Y859" i="1"/>
  <c r="CV856" i="1"/>
  <c r="Y856" i="1"/>
  <c r="AE856" i="1"/>
  <c r="CV839" i="1"/>
  <c r="Y839" i="1"/>
  <c r="CV838" i="1"/>
  <c r="Y838" i="1"/>
  <c r="CV837" i="1"/>
  <c r="Y837" i="1"/>
  <c r="CV836" i="1"/>
  <c r="Y836" i="1"/>
  <c r="CV834" i="1"/>
  <c r="Y834" i="1"/>
  <c r="CV849" i="1"/>
  <c r="Y849" i="1"/>
  <c r="CV848" i="1"/>
  <c r="Y848" i="1"/>
  <c r="CV847" i="1"/>
  <c r="Y847" i="1"/>
  <c r="CV846" i="1"/>
  <c r="Y846" i="1"/>
  <c r="CV845" i="1"/>
  <c r="Y845" i="1"/>
  <c r="CV844" i="1"/>
  <c r="Y844" i="1"/>
  <c r="CV843" i="1"/>
  <c r="Y843" i="1"/>
  <c r="CV833" i="1"/>
  <c r="Y833" i="1"/>
  <c r="CV832" i="1"/>
  <c r="Y832" i="1"/>
  <c r="CV850" i="1"/>
  <c r="Y850" i="1"/>
  <c r="CV841" i="1"/>
  <c r="Y841" i="1"/>
  <c r="CV835" i="1"/>
  <c r="Y835" i="1"/>
  <c r="CV813" i="1"/>
  <c r="Y813" i="1"/>
  <c r="CV812" i="1"/>
  <c r="Y812" i="1"/>
  <c r="CV829" i="1"/>
  <c r="Y829" i="1"/>
  <c r="CV828" i="1"/>
  <c r="Y828" i="1"/>
  <c r="CV827" i="1"/>
  <c r="Y827" i="1"/>
  <c r="CV826" i="1"/>
  <c r="Y826" i="1"/>
  <c r="CV824" i="1"/>
  <c r="Y824" i="1"/>
  <c r="CV823" i="1"/>
  <c r="Y823" i="1"/>
  <c r="CV822" i="1"/>
  <c r="Y822" i="1"/>
  <c r="AE822" i="1"/>
  <c r="CV821" i="1"/>
  <c r="Y821" i="1"/>
  <c r="CV820" i="1"/>
  <c r="Y820" i="1"/>
  <c r="CV819" i="1"/>
  <c r="Y819" i="1"/>
  <c r="CV814" i="1"/>
  <c r="Y814" i="1"/>
  <c r="CV811" i="1"/>
  <c r="Y811" i="1"/>
  <c r="CV809" i="1"/>
  <c r="Y809" i="1"/>
  <c r="AE809" i="1"/>
  <c r="CV831" i="1"/>
  <c r="Y831" i="1"/>
  <c r="CV830" i="1"/>
  <c r="Y830" i="1"/>
  <c r="CV818" i="1"/>
  <c r="Y818" i="1"/>
  <c r="CV816" i="1"/>
  <c r="Y816" i="1"/>
  <c r="CV815" i="1"/>
  <c r="Y815" i="1"/>
  <c r="CV810" i="1"/>
  <c r="Y810" i="1"/>
  <c r="CV807" i="1"/>
  <c r="Y807" i="1"/>
  <c r="CV804" i="1"/>
  <c r="Y804" i="1"/>
  <c r="CV802" i="1"/>
  <c r="Y802" i="1"/>
  <c r="CV801" i="1"/>
  <c r="Y801" i="1"/>
  <c r="CV800" i="1"/>
  <c r="Y800" i="1"/>
  <c r="CV798" i="1"/>
  <c r="Y798" i="1"/>
  <c r="CV795" i="1"/>
  <c r="Y795" i="1"/>
  <c r="CV808" i="1"/>
  <c r="Y808" i="1"/>
  <c r="CV806" i="1"/>
  <c r="Y806" i="1"/>
  <c r="CV803" i="1"/>
  <c r="Y803" i="1"/>
  <c r="CV796" i="1"/>
  <c r="Y796" i="1"/>
  <c r="CV772" i="1"/>
  <c r="Y772" i="1"/>
  <c r="CV771" i="1"/>
  <c r="Y771" i="1"/>
  <c r="CV770" i="1"/>
  <c r="Y770" i="1"/>
  <c r="CV794" i="1"/>
  <c r="Y794" i="1"/>
  <c r="CV791" i="1"/>
  <c r="Y791" i="1"/>
  <c r="CV790" i="1"/>
  <c r="Y790" i="1"/>
  <c r="CV789" i="1"/>
  <c r="Y789" i="1"/>
  <c r="CV788" i="1"/>
  <c r="Y788" i="1"/>
  <c r="CV787" i="1"/>
  <c r="Y787" i="1"/>
  <c r="AE787" i="1"/>
  <c r="CV786" i="1"/>
  <c r="Y786" i="1"/>
  <c r="CV785" i="1"/>
  <c r="Y785" i="1"/>
  <c r="CV784" i="1"/>
  <c r="Y784" i="1"/>
  <c r="CV783" i="1"/>
  <c r="Y783" i="1"/>
  <c r="CV782" i="1"/>
  <c r="Y782" i="1"/>
  <c r="CV781" i="1"/>
  <c r="Y781" i="1"/>
  <c r="AE781" i="1"/>
  <c r="CV780" i="1"/>
  <c r="Y780" i="1"/>
  <c r="CV779" i="1"/>
  <c r="Y779" i="1"/>
  <c r="CV778" i="1"/>
  <c r="Y778" i="1"/>
  <c r="CV2078" i="1"/>
  <c r="Y2078" i="1"/>
  <c r="CV777" i="1"/>
  <c r="Y777" i="1"/>
  <c r="CV776" i="1"/>
  <c r="Y776" i="1"/>
  <c r="CV775" i="1"/>
  <c r="Y775" i="1"/>
  <c r="CV774" i="1"/>
  <c r="Y774" i="1"/>
  <c r="CV773" i="1"/>
  <c r="Y773" i="1"/>
  <c r="CV768" i="1"/>
  <c r="Y768" i="1"/>
  <c r="CV767" i="1"/>
  <c r="Y767" i="1"/>
  <c r="CV793" i="1"/>
  <c r="Y793" i="1"/>
  <c r="CV792" i="1"/>
  <c r="Y792" i="1"/>
  <c r="CV769" i="1"/>
  <c r="Y769" i="1"/>
  <c r="CV737" i="1"/>
  <c r="Y737" i="1"/>
  <c r="CV735" i="1"/>
  <c r="Y735" i="1"/>
  <c r="CV766" i="1"/>
  <c r="Y766" i="1"/>
  <c r="CV765" i="1"/>
  <c r="Y765" i="1"/>
  <c r="CV764" i="1"/>
  <c r="Y764" i="1"/>
  <c r="CV763" i="1"/>
  <c r="Y763" i="1"/>
  <c r="CV762" i="1"/>
  <c r="Y762" i="1"/>
  <c r="CV761" i="1"/>
  <c r="Y761" i="1"/>
  <c r="CV757" i="1"/>
  <c r="Y757" i="1"/>
  <c r="CV755" i="1"/>
  <c r="Y755" i="1"/>
  <c r="CV754" i="1"/>
  <c r="Y754" i="1"/>
  <c r="CV753" i="1"/>
  <c r="Y753" i="1"/>
  <c r="AE753" i="1"/>
  <c r="CV752" i="1"/>
  <c r="Y752" i="1"/>
  <c r="CV751" i="1"/>
  <c r="Y751" i="1"/>
  <c r="CV749" i="1"/>
  <c r="Y749" i="1"/>
  <c r="CV748" i="1"/>
  <c r="Y748" i="1"/>
  <c r="CV747" i="1"/>
  <c r="Y747" i="1"/>
  <c r="CV740" i="1"/>
  <c r="Y740" i="1"/>
  <c r="AE740" i="1"/>
  <c r="CV738" i="1"/>
  <c r="Y738" i="1"/>
  <c r="CV734" i="1"/>
  <c r="Y734" i="1"/>
  <c r="CV731" i="1"/>
  <c r="Y731" i="1"/>
  <c r="CV730" i="1"/>
  <c r="Y730" i="1"/>
  <c r="CV758" i="1"/>
  <c r="Y758" i="1"/>
  <c r="CV756" i="1"/>
  <c r="Y756" i="1"/>
  <c r="CV746" i="1"/>
  <c r="Y746" i="1"/>
  <c r="CV745" i="1"/>
  <c r="Y745" i="1"/>
  <c r="CV744" i="1"/>
  <c r="Y744" i="1"/>
  <c r="CV743" i="1"/>
  <c r="Y743" i="1"/>
  <c r="CV742" i="1"/>
  <c r="Y742" i="1"/>
  <c r="CV741" i="1"/>
  <c r="Y741" i="1"/>
  <c r="CV736" i="1"/>
  <c r="Y736" i="1"/>
  <c r="CV733" i="1"/>
  <c r="Y733" i="1"/>
  <c r="CV732" i="1"/>
  <c r="Y732" i="1"/>
  <c r="CV729" i="1"/>
  <c r="Y729" i="1"/>
  <c r="CV728" i="1"/>
  <c r="Y728" i="1"/>
  <c r="CV727" i="1"/>
  <c r="Y727" i="1"/>
  <c r="CV725" i="1"/>
  <c r="Y725" i="1"/>
  <c r="CV723" i="1"/>
  <c r="Y723" i="1"/>
  <c r="CV722" i="1"/>
  <c r="Y722" i="1"/>
  <c r="CV719" i="1"/>
  <c r="Y719" i="1"/>
  <c r="CV717" i="1"/>
  <c r="Y717" i="1"/>
  <c r="CV715" i="1"/>
  <c r="Y715" i="1"/>
  <c r="CV714" i="1"/>
  <c r="Y714" i="1"/>
  <c r="CV713" i="1"/>
  <c r="Y713" i="1"/>
  <c r="CV712" i="1"/>
  <c r="Y712" i="1"/>
  <c r="CV711" i="1"/>
  <c r="Y711" i="1"/>
  <c r="CV710" i="1"/>
  <c r="Y710" i="1"/>
  <c r="CV709" i="1"/>
  <c r="Y709" i="1"/>
  <c r="CV708" i="1"/>
  <c r="Y708" i="1"/>
  <c r="CV707" i="1"/>
  <c r="Y707" i="1"/>
  <c r="CV706" i="1"/>
  <c r="Y706" i="1"/>
  <c r="CV705" i="1"/>
  <c r="Y705" i="1"/>
  <c r="CV704" i="1"/>
  <c r="Y704" i="1"/>
  <c r="CV703" i="1"/>
  <c r="Y703" i="1"/>
  <c r="CV702" i="1"/>
  <c r="Y702" i="1"/>
  <c r="CV700" i="1"/>
  <c r="Y700" i="1"/>
  <c r="CV726" i="1"/>
  <c r="Y726" i="1"/>
  <c r="CV724" i="1"/>
  <c r="Y724" i="1"/>
  <c r="CV721" i="1"/>
  <c r="Y721" i="1"/>
  <c r="CV720" i="1"/>
  <c r="Y720" i="1"/>
  <c r="CV718" i="1"/>
  <c r="Y718" i="1"/>
  <c r="CV716" i="1"/>
  <c r="Y716" i="1"/>
  <c r="CV675" i="1"/>
  <c r="Y675" i="1"/>
  <c r="CV676" i="1"/>
  <c r="Y676" i="1"/>
  <c r="CV698" i="1"/>
  <c r="Y698" i="1"/>
  <c r="CV693" i="1"/>
  <c r="Y693" i="1"/>
  <c r="CV692" i="1"/>
  <c r="Y692" i="1"/>
  <c r="CV691" i="1"/>
  <c r="Y691" i="1"/>
  <c r="CV690" i="1"/>
  <c r="Y690" i="1"/>
  <c r="CV689" i="1"/>
  <c r="Y689" i="1"/>
  <c r="CV688" i="1"/>
  <c r="Y688" i="1"/>
  <c r="CV687" i="1"/>
  <c r="Y687" i="1"/>
  <c r="CV686" i="1"/>
  <c r="Y686" i="1"/>
  <c r="CV685" i="1"/>
  <c r="Y685" i="1"/>
  <c r="CV683" i="1"/>
  <c r="Y683" i="1"/>
  <c r="CV682" i="1"/>
  <c r="Y682" i="1"/>
  <c r="CV680" i="1"/>
  <c r="Y680" i="1"/>
  <c r="CV677" i="1"/>
  <c r="Y677" i="1"/>
  <c r="CV672" i="1"/>
  <c r="Y672" i="1"/>
  <c r="CV671" i="1"/>
  <c r="Y671" i="1"/>
  <c r="CV669" i="1"/>
  <c r="Y669" i="1"/>
  <c r="CV697" i="1"/>
  <c r="Y697" i="1"/>
  <c r="CV694" i="1"/>
  <c r="Y694" i="1"/>
  <c r="CV679" i="1"/>
  <c r="Y679" i="1"/>
  <c r="CV674" i="1"/>
  <c r="Y674" i="1"/>
  <c r="CV670" i="1"/>
  <c r="Y670" i="1"/>
  <c r="CV639" i="1"/>
  <c r="Y639" i="1"/>
  <c r="CV642" i="1"/>
  <c r="Y642" i="1"/>
  <c r="CV641" i="1"/>
  <c r="Y641" i="1"/>
  <c r="CV640" i="1"/>
  <c r="Y640" i="1"/>
  <c r="CV668" i="1"/>
  <c r="Y668" i="1"/>
  <c r="CV667" i="1"/>
  <c r="Y667" i="1"/>
  <c r="CV666" i="1"/>
  <c r="Y666" i="1"/>
  <c r="CV662" i="1"/>
  <c r="Y662" i="1"/>
  <c r="CV659" i="1"/>
  <c r="Y659" i="1"/>
  <c r="CV658" i="1"/>
  <c r="Y658" i="1"/>
  <c r="CV657" i="1"/>
  <c r="Y657" i="1"/>
  <c r="CV656" i="1"/>
  <c r="Y656" i="1"/>
  <c r="CV655" i="1"/>
  <c r="Y655" i="1"/>
  <c r="CV654" i="1"/>
  <c r="Y654" i="1"/>
  <c r="CV653" i="1"/>
  <c r="Y653" i="1"/>
  <c r="CV652" i="1"/>
  <c r="Y652" i="1"/>
  <c r="CV651" i="1"/>
  <c r="Y651" i="1"/>
  <c r="CV650" i="1"/>
  <c r="Y650" i="1"/>
  <c r="CV649" i="1"/>
  <c r="Y649" i="1"/>
  <c r="CV648" i="1"/>
  <c r="Y648" i="1"/>
  <c r="CV647" i="1"/>
  <c r="Y647" i="1"/>
  <c r="CV644" i="1"/>
  <c r="Y644" i="1"/>
  <c r="CV665" i="1"/>
  <c r="Y665" i="1"/>
  <c r="CV637" i="1"/>
  <c r="Y637" i="1"/>
  <c r="CV636" i="1"/>
  <c r="Y636" i="1"/>
  <c r="CV664" i="1"/>
  <c r="Y664" i="1"/>
  <c r="CV663" i="1"/>
  <c r="Y663" i="1"/>
  <c r="CV661" i="1"/>
  <c r="Y661" i="1"/>
  <c r="CV660" i="1"/>
  <c r="Y660" i="1"/>
  <c r="CV645" i="1"/>
  <c r="Y645" i="1"/>
  <c r="CV643" i="1"/>
  <c r="Y643" i="1"/>
  <c r="CV617" i="1"/>
  <c r="Y617" i="1"/>
  <c r="CV612" i="1"/>
  <c r="Y612" i="1"/>
  <c r="CV634" i="1"/>
  <c r="Y634" i="1"/>
  <c r="CV633" i="1"/>
  <c r="Y633" i="1"/>
  <c r="CV632" i="1"/>
  <c r="Y632" i="1"/>
  <c r="CV631" i="1"/>
  <c r="Y631" i="1"/>
  <c r="CV630" i="1"/>
  <c r="Y630" i="1"/>
  <c r="CV629" i="1"/>
  <c r="Y629" i="1"/>
  <c r="CV628" i="1"/>
  <c r="Y628" i="1"/>
  <c r="CV627" i="1"/>
  <c r="Y627" i="1"/>
  <c r="CV626" i="1"/>
  <c r="Y626" i="1"/>
  <c r="CV623" i="1"/>
  <c r="Y623" i="1"/>
  <c r="CV622" i="1"/>
  <c r="Y622" i="1"/>
  <c r="CV621" i="1"/>
  <c r="Y621" i="1"/>
  <c r="CV619" i="1"/>
  <c r="Y619" i="1"/>
  <c r="CV635" i="1"/>
  <c r="Y635" i="1"/>
  <c r="CV625" i="1"/>
  <c r="Y625" i="1"/>
  <c r="CV620" i="1"/>
  <c r="Y620" i="1"/>
  <c r="CV610" i="1"/>
  <c r="Y610" i="1"/>
  <c r="CV618" i="1"/>
  <c r="Y618" i="1"/>
  <c r="CV616" i="1"/>
  <c r="Y616" i="1"/>
  <c r="CV614" i="1"/>
  <c r="Y614" i="1"/>
  <c r="CV613" i="1"/>
  <c r="Y613" i="1"/>
  <c r="CV609" i="1"/>
  <c r="Y609" i="1"/>
  <c r="CV608" i="1"/>
  <c r="Y608" i="1"/>
  <c r="CV607" i="1"/>
  <c r="Y607" i="1"/>
  <c r="CV606" i="1"/>
  <c r="Y606" i="1"/>
  <c r="CV605" i="1"/>
  <c r="Y605" i="1"/>
  <c r="CV598" i="1"/>
  <c r="Y598" i="1"/>
  <c r="CV597" i="1"/>
  <c r="Y597" i="1"/>
  <c r="CV596" i="1"/>
  <c r="Y596" i="1"/>
  <c r="CV595" i="1"/>
  <c r="Y595" i="1"/>
  <c r="CV594" i="1"/>
  <c r="Y594" i="1"/>
  <c r="CV593" i="1"/>
  <c r="Y593" i="1"/>
  <c r="CV592" i="1"/>
  <c r="Y592" i="1"/>
  <c r="CV591" i="1"/>
  <c r="Y591" i="1"/>
  <c r="CV590" i="1"/>
  <c r="Y590" i="1"/>
  <c r="CV589" i="1"/>
  <c r="Y589" i="1"/>
  <c r="CV588" i="1"/>
  <c r="Y588" i="1"/>
  <c r="CV587" i="1"/>
  <c r="Y587" i="1"/>
  <c r="CV586" i="1"/>
  <c r="Y586" i="1"/>
  <c r="CV604" i="1"/>
  <c r="Y604" i="1"/>
  <c r="CV603" i="1"/>
  <c r="Y603" i="1"/>
  <c r="CV582" i="1"/>
  <c r="Y582" i="1"/>
  <c r="CV581" i="1"/>
  <c r="Y581" i="1"/>
  <c r="CV601" i="1"/>
  <c r="Y601" i="1"/>
  <c r="CV600" i="1"/>
  <c r="Y600" i="1"/>
  <c r="CV599" i="1"/>
  <c r="Y599" i="1"/>
  <c r="CV585" i="1"/>
  <c r="Y585" i="1"/>
  <c r="CV584" i="1"/>
  <c r="Y584" i="1"/>
  <c r="CV583" i="1"/>
  <c r="Y583" i="1"/>
  <c r="CV580" i="1"/>
  <c r="Y580" i="1"/>
  <c r="CV573" i="1"/>
  <c r="Y573" i="1"/>
  <c r="CV572" i="1"/>
  <c r="Y572" i="1"/>
  <c r="CV579" i="1"/>
  <c r="Y579" i="1"/>
  <c r="CV578" i="1"/>
  <c r="Y578" i="1"/>
  <c r="CV577" i="1"/>
  <c r="Y577" i="1"/>
  <c r="CV568" i="1"/>
  <c r="Y568" i="1"/>
  <c r="CV567" i="1"/>
  <c r="Y567" i="1"/>
  <c r="CV566" i="1"/>
  <c r="Y566" i="1"/>
  <c r="CV576" i="1"/>
  <c r="Y576" i="1"/>
  <c r="CV575" i="1"/>
  <c r="Y575" i="1"/>
  <c r="CV574" i="1"/>
  <c r="Y574" i="1"/>
  <c r="CV571" i="1"/>
  <c r="Y571" i="1"/>
  <c r="CV570" i="1"/>
  <c r="Y570" i="1"/>
  <c r="CV564" i="1"/>
  <c r="Y564" i="1"/>
  <c r="CV563" i="1"/>
  <c r="Y563" i="1"/>
  <c r="CV557" i="1"/>
  <c r="Y557" i="1"/>
  <c r="CV556" i="1"/>
  <c r="Y556" i="1"/>
  <c r="CV555" i="1"/>
  <c r="Y555" i="1"/>
  <c r="CV554" i="1"/>
  <c r="Y554" i="1"/>
  <c r="CV553" i="1"/>
  <c r="Y553" i="1"/>
  <c r="CV552" i="1"/>
  <c r="Y552" i="1"/>
  <c r="CV551" i="1"/>
  <c r="Y551" i="1"/>
  <c r="CV565" i="1"/>
  <c r="Y565" i="1"/>
  <c r="CV549" i="1"/>
  <c r="Y549" i="1"/>
  <c r="CV548" i="1"/>
  <c r="Y548" i="1"/>
  <c r="CV547" i="1"/>
  <c r="Y547" i="1"/>
  <c r="CV546" i="1"/>
  <c r="Y546" i="1"/>
  <c r="CV545" i="1"/>
  <c r="Y545" i="1"/>
  <c r="CV544" i="1"/>
  <c r="Y544" i="1"/>
  <c r="CV562" i="1"/>
  <c r="Y562" i="1"/>
  <c r="CV561" i="1"/>
  <c r="Y561" i="1"/>
  <c r="CV560" i="1"/>
  <c r="Y560" i="1"/>
  <c r="CV559" i="1"/>
  <c r="Y559" i="1"/>
  <c r="CV558" i="1"/>
  <c r="Y558" i="1"/>
  <c r="CV550" i="1"/>
  <c r="Y550" i="1"/>
  <c r="CV543" i="1"/>
  <c r="Y543" i="1"/>
  <c r="CV542" i="1"/>
  <c r="Y542" i="1"/>
  <c r="CV541" i="1"/>
  <c r="Y541" i="1"/>
  <c r="CV540" i="1"/>
  <c r="Y540" i="1"/>
  <c r="CV539" i="1"/>
  <c r="Y539" i="1"/>
  <c r="CV538" i="1"/>
  <c r="Y538" i="1"/>
  <c r="CV536" i="1"/>
  <c r="Y536" i="1"/>
  <c r="CV531" i="1"/>
  <c r="Y531" i="1"/>
  <c r="CV535" i="1"/>
  <c r="Y535" i="1"/>
  <c r="CV534" i="1"/>
  <c r="Y534" i="1"/>
  <c r="CV533" i="1"/>
  <c r="Y533" i="1"/>
  <c r="CV532" i="1"/>
  <c r="Y532" i="1"/>
  <c r="CV530" i="1"/>
  <c r="Y530" i="1"/>
  <c r="CV529" i="1"/>
  <c r="Y529" i="1"/>
  <c r="CV527" i="1"/>
  <c r="Y527" i="1"/>
  <c r="CV537" i="1"/>
  <c r="Y537" i="1"/>
  <c r="CV528" i="1"/>
  <c r="Y528" i="1"/>
  <c r="CV526" i="1"/>
  <c r="Y526" i="1"/>
  <c r="CV525" i="1"/>
  <c r="Y525" i="1"/>
  <c r="CV524" i="1"/>
  <c r="Y524" i="1"/>
  <c r="CV523" i="1"/>
  <c r="Y523" i="1"/>
  <c r="CV517" i="1"/>
  <c r="Y517" i="1"/>
  <c r="CV516" i="1"/>
  <c r="Y516" i="1"/>
  <c r="CV515" i="1"/>
  <c r="Y515" i="1"/>
  <c r="CV522" i="1"/>
  <c r="Y522" i="1"/>
  <c r="CV513" i="1"/>
  <c r="Y513" i="1"/>
  <c r="CV512" i="1"/>
  <c r="Y512" i="1"/>
  <c r="CV521" i="1"/>
  <c r="Y521" i="1"/>
  <c r="CV510" i="1"/>
  <c r="Y510" i="1"/>
  <c r="CV509" i="1"/>
  <c r="Y509" i="1"/>
  <c r="CV508" i="1"/>
  <c r="Y508" i="1"/>
  <c r="CV507" i="1"/>
  <c r="Y507" i="1"/>
  <c r="CV506" i="1"/>
  <c r="Y506" i="1"/>
  <c r="CV505" i="1"/>
  <c r="Y505" i="1"/>
  <c r="CV504" i="1"/>
  <c r="Y504" i="1"/>
  <c r="CV503" i="1"/>
  <c r="Y503" i="1"/>
  <c r="CV502" i="1"/>
  <c r="Y502" i="1"/>
  <c r="CV501" i="1"/>
  <c r="Y501" i="1"/>
  <c r="CV520" i="1"/>
  <c r="Y520" i="1"/>
  <c r="CV499" i="1"/>
  <c r="Y499" i="1"/>
  <c r="CV519" i="1"/>
  <c r="Y519" i="1"/>
  <c r="CV497" i="1"/>
  <c r="Y497" i="1"/>
  <c r="CV496" i="1"/>
  <c r="Y496" i="1"/>
  <c r="CV518" i="1"/>
  <c r="Y518" i="1"/>
  <c r="CV514" i="1"/>
  <c r="Y514" i="1"/>
  <c r="CV511" i="1"/>
  <c r="Y511" i="1"/>
  <c r="CV500" i="1"/>
  <c r="Y500" i="1"/>
  <c r="CV498" i="1"/>
  <c r="Y498" i="1"/>
  <c r="CV490" i="1"/>
  <c r="Y490" i="1"/>
  <c r="CV489" i="1"/>
  <c r="Y489" i="1"/>
  <c r="CV488" i="1"/>
  <c r="Y488" i="1"/>
  <c r="CV495" i="1"/>
  <c r="Y495" i="1"/>
  <c r="CV494" i="1"/>
  <c r="Y494" i="1"/>
  <c r="CV485" i="1"/>
  <c r="Y485" i="1"/>
  <c r="CV493" i="1"/>
  <c r="Y493" i="1"/>
  <c r="CV492" i="1"/>
  <c r="Y492" i="1"/>
  <c r="CV487" i="1"/>
  <c r="Y487" i="1"/>
  <c r="CV486" i="1"/>
  <c r="Y486" i="1"/>
  <c r="CV456" i="1"/>
  <c r="Y456" i="1"/>
  <c r="CV484" i="1"/>
  <c r="Y484" i="1"/>
  <c r="CV483" i="1"/>
  <c r="Y483" i="1"/>
  <c r="CV478" i="1"/>
  <c r="Y478" i="1"/>
  <c r="CV477" i="1"/>
  <c r="Y477" i="1"/>
  <c r="CV476" i="1"/>
  <c r="Y476" i="1"/>
  <c r="CV475" i="1"/>
  <c r="Y475" i="1"/>
  <c r="CV474" i="1"/>
  <c r="Y474" i="1"/>
  <c r="CV473" i="1"/>
  <c r="Y473" i="1"/>
  <c r="CV482" i="1"/>
  <c r="Y482" i="1"/>
  <c r="CV481" i="1"/>
  <c r="Y481" i="1"/>
  <c r="CV480" i="1"/>
  <c r="Y480" i="1"/>
  <c r="CV468" i="1"/>
  <c r="Y468" i="1"/>
  <c r="CV467" i="1"/>
  <c r="Y467" i="1"/>
  <c r="CV466" i="1"/>
  <c r="Y466" i="1"/>
  <c r="CV465" i="1"/>
  <c r="Y465" i="1"/>
  <c r="CV479" i="1"/>
  <c r="Y479" i="1"/>
  <c r="CV463" i="1"/>
  <c r="Y463" i="1"/>
  <c r="CV472" i="1"/>
  <c r="Y472" i="1"/>
  <c r="CV471" i="1"/>
  <c r="Y471" i="1"/>
  <c r="CV460" i="1"/>
  <c r="Y460" i="1"/>
  <c r="CV459" i="1"/>
  <c r="Y459" i="1"/>
  <c r="CV470" i="1"/>
  <c r="Y470" i="1"/>
  <c r="CV469" i="1"/>
  <c r="Y469" i="1"/>
  <c r="CV455" i="1"/>
  <c r="Y455" i="1"/>
  <c r="CV454" i="1"/>
  <c r="Y454" i="1"/>
  <c r="CV464" i="1"/>
  <c r="Y464" i="1"/>
  <c r="CV462" i="1"/>
  <c r="Y462" i="1"/>
  <c r="CV461" i="1"/>
  <c r="Y461" i="1"/>
  <c r="CV457" i="1"/>
  <c r="Y457" i="1"/>
  <c r="CV438" i="1"/>
  <c r="Y438" i="1"/>
  <c r="CV453" i="1"/>
  <c r="Y453" i="1"/>
  <c r="CV449" i="1"/>
  <c r="Y449" i="1"/>
  <c r="CV448" i="1"/>
  <c r="Y448" i="1"/>
  <c r="CV447" i="1"/>
  <c r="Y447" i="1"/>
  <c r="CV445" i="1"/>
  <c r="Y445" i="1"/>
  <c r="CV444" i="1"/>
  <c r="Y444" i="1"/>
  <c r="CV443" i="1"/>
  <c r="Y443" i="1"/>
  <c r="CV442" i="1"/>
  <c r="Y442" i="1"/>
  <c r="CV441" i="1"/>
  <c r="Y441" i="1"/>
  <c r="CV440" i="1"/>
  <c r="Y440" i="1"/>
  <c r="CV451" i="1"/>
  <c r="Y451" i="1"/>
  <c r="CV450" i="1"/>
  <c r="Y450" i="1"/>
  <c r="CV446" i="1"/>
  <c r="Y446" i="1"/>
  <c r="CV439" i="1"/>
  <c r="Y439" i="1"/>
  <c r="CV437" i="1"/>
  <c r="Y437" i="1"/>
  <c r="CV436" i="1"/>
  <c r="Y436" i="1"/>
  <c r="CV435" i="1"/>
  <c r="Y435" i="1"/>
  <c r="CV434" i="1"/>
  <c r="Y434" i="1"/>
  <c r="CV433" i="1"/>
  <c r="Y433" i="1"/>
  <c r="CV430" i="1"/>
  <c r="Y430" i="1"/>
  <c r="CV429" i="1"/>
  <c r="Y429" i="1"/>
  <c r="CV428" i="1"/>
  <c r="Y428" i="1"/>
  <c r="CV427" i="1"/>
  <c r="Y427" i="1"/>
  <c r="CV425" i="1"/>
  <c r="Y425" i="1"/>
  <c r="CV424" i="1"/>
  <c r="Y424" i="1"/>
  <c r="CV423" i="1"/>
  <c r="Y423" i="1"/>
  <c r="CV432" i="1"/>
  <c r="Y432" i="1"/>
  <c r="CV431" i="1"/>
  <c r="Y431" i="1"/>
  <c r="CV426" i="1"/>
  <c r="Y426" i="1"/>
  <c r="CV416" i="1"/>
  <c r="Y416" i="1"/>
  <c r="CV422" i="1"/>
  <c r="Y422" i="1"/>
  <c r="CV421" i="1"/>
  <c r="Y421" i="1"/>
  <c r="CV420" i="1"/>
  <c r="Y420" i="1"/>
  <c r="CV419" i="1"/>
  <c r="Y419" i="1"/>
  <c r="CV417" i="1"/>
  <c r="Y417" i="1"/>
  <c r="CV418" i="1"/>
  <c r="Y418" i="1"/>
  <c r="CV410" i="1"/>
  <c r="Y410" i="1"/>
  <c r="CV415" i="1"/>
  <c r="Y415" i="1"/>
  <c r="CV414" i="1"/>
  <c r="Y414" i="1"/>
  <c r="CV413" i="1"/>
  <c r="Y413" i="1"/>
  <c r="CV411" i="1"/>
  <c r="Y411" i="1"/>
  <c r="CV412" i="1"/>
  <c r="Y412" i="1"/>
  <c r="CV409" i="1"/>
  <c r="Y409" i="1"/>
  <c r="CV407" i="1"/>
  <c r="Y407" i="1"/>
  <c r="CV406" i="1"/>
  <c r="Y406" i="1"/>
  <c r="CV405" i="1"/>
  <c r="Y405" i="1"/>
  <c r="CV404" i="1"/>
  <c r="Y404" i="1"/>
  <c r="CV403" i="1"/>
  <c r="Y403" i="1"/>
  <c r="CV402" i="1"/>
  <c r="Y402" i="1"/>
  <c r="Z402" i="1"/>
  <c r="AA402" i="1"/>
  <c r="AB402" i="1"/>
  <c r="CV401" i="1"/>
  <c r="Y401" i="1"/>
  <c r="CV399" i="1"/>
  <c r="Y399" i="1"/>
  <c r="CV398" i="1"/>
  <c r="Y398" i="1"/>
  <c r="CV397" i="1"/>
  <c r="Y397" i="1"/>
  <c r="CV400" i="1"/>
  <c r="Y400" i="1"/>
  <c r="CV396" i="1"/>
  <c r="Y396" i="1"/>
  <c r="CV395" i="1"/>
  <c r="Y395" i="1"/>
  <c r="CV394" i="1"/>
  <c r="Y394" i="1"/>
  <c r="CV391" i="1"/>
  <c r="Y391" i="1"/>
  <c r="CV390" i="1"/>
  <c r="Y390" i="1"/>
  <c r="CV389" i="1"/>
  <c r="Y389" i="1"/>
  <c r="CV388" i="1"/>
  <c r="Y388" i="1"/>
  <c r="CV387" i="1"/>
  <c r="Y387" i="1"/>
  <c r="CV386" i="1"/>
  <c r="Y386" i="1"/>
  <c r="CV393" i="1"/>
  <c r="Y393" i="1"/>
  <c r="CV384" i="1"/>
  <c r="Y384" i="1"/>
  <c r="CV392" i="1"/>
  <c r="Y392" i="1"/>
  <c r="CV385" i="1"/>
  <c r="Y385" i="1"/>
  <c r="AE385" i="1"/>
  <c r="CV383" i="1"/>
  <c r="Y383" i="1"/>
  <c r="CV382" i="1"/>
  <c r="Y382" i="1"/>
  <c r="AE382" i="1"/>
  <c r="CV380" i="1"/>
  <c r="Y380" i="1"/>
  <c r="CV379" i="1"/>
  <c r="Y379" i="1"/>
  <c r="CV381" i="1"/>
  <c r="Y381" i="1"/>
  <c r="CV373" i="1"/>
  <c r="Y373" i="1"/>
  <c r="CV367" i="1"/>
  <c r="Y367" i="1"/>
  <c r="CV365" i="1"/>
  <c r="Y365" i="1"/>
  <c r="CV363" i="1"/>
  <c r="Y363" i="1"/>
  <c r="CV362" i="1"/>
  <c r="Y362" i="1"/>
  <c r="CV364" i="1"/>
  <c r="Y364" i="1"/>
  <c r="CV360" i="1"/>
  <c r="Y360" i="1"/>
  <c r="CV361" i="1"/>
  <c r="Y361" i="1"/>
  <c r="CV358" i="1"/>
  <c r="Y358" i="1"/>
  <c r="CV359" i="1"/>
  <c r="Y359" i="1"/>
  <c r="CV351" i="1"/>
  <c r="Y351" i="1"/>
  <c r="CV345" i="1"/>
  <c r="Y345" i="1"/>
  <c r="CV357" i="1"/>
  <c r="Y357" i="1"/>
  <c r="AE357" i="1"/>
  <c r="CV355" i="1"/>
  <c r="Y355" i="1"/>
  <c r="CV354" i="1"/>
  <c r="Y354" i="1"/>
  <c r="CV356" i="1"/>
  <c r="Y356" i="1"/>
  <c r="CV353" i="1"/>
  <c r="Y353" i="1"/>
  <c r="CV350" i="1"/>
  <c r="Y350" i="1"/>
  <c r="CV349" i="1"/>
  <c r="Y349" i="1"/>
  <c r="CV348" i="1"/>
  <c r="Y348" i="1"/>
  <c r="CV347" i="1"/>
  <c r="Y347" i="1"/>
  <c r="CV352" i="1"/>
  <c r="Y352" i="1"/>
  <c r="CV346" i="1"/>
  <c r="Y346" i="1"/>
  <c r="CV343" i="1"/>
  <c r="Y343" i="1"/>
  <c r="CV342" i="1"/>
  <c r="Y342" i="1"/>
  <c r="CV341" i="1"/>
  <c r="Y341" i="1"/>
  <c r="CV340" i="1"/>
  <c r="Y340" i="1"/>
  <c r="CV339" i="1"/>
  <c r="Y339" i="1"/>
  <c r="CV338" i="1"/>
  <c r="Y338" i="1"/>
  <c r="AE338" i="1"/>
  <c r="CV337" i="1"/>
  <c r="Y337" i="1"/>
  <c r="CV336" i="1"/>
  <c r="Y336" i="1"/>
  <c r="CV335" i="1"/>
  <c r="Y335" i="1"/>
  <c r="CV334" i="1"/>
  <c r="Y334" i="1"/>
  <c r="AE334" i="1"/>
  <c r="CV333" i="1"/>
  <c r="Y333" i="1"/>
  <c r="CV332" i="1"/>
  <c r="Y332" i="1"/>
  <c r="AE332" i="1"/>
  <c r="CV331" i="1"/>
  <c r="Y331" i="1"/>
  <c r="CV329" i="1"/>
  <c r="Y329" i="1"/>
  <c r="CV328" i="1"/>
  <c r="Y328" i="1"/>
  <c r="CV327" i="1"/>
  <c r="Y327" i="1"/>
  <c r="CV326" i="1"/>
  <c r="Y326" i="1"/>
  <c r="CV325" i="1"/>
  <c r="Y325" i="1"/>
  <c r="AE325" i="1"/>
  <c r="CV324" i="1"/>
  <c r="Y324" i="1"/>
  <c r="CV323" i="1"/>
  <c r="Y323" i="1"/>
  <c r="CV322" i="1"/>
  <c r="Y322" i="1"/>
  <c r="CV321" i="1"/>
  <c r="Y321" i="1"/>
  <c r="CV320" i="1"/>
  <c r="Y320" i="1"/>
  <c r="CV319" i="1"/>
  <c r="Y319" i="1"/>
  <c r="CV318" i="1"/>
  <c r="Y318" i="1"/>
  <c r="CV317" i="1"/>
  <c r="Y317" i="1"/>
  <c r="CV316" i="1"/>
  <c r="Y316" i="1"/>
  <c r="CV315" i="1"/>
  <c r="Y315" i="1"/>
  <c r="CV314" i="1"/>
  <c r="Y314" i="1"/>
  <c r="CV313" i="1"/>
  <c r="Y313" i="1"/>
  <c r="AE313" i="1"/>
  <c r="CV312" i="1"/>
  <c r="Y312" i="1"/>
  <c r="CV311" i="1"/>
  <c r="Y311" i="1"/>
  <c r="CV310" i="1"/>
  <c r="Y310" i="1"/>
  <c r="CV308" i="1"/>
  <c r="Y308" i="1"/>
  <c r="CV309" i="1"/>
  <c r="Y309" i="1"/>
  <c r="CV306" i="1"/>
  <c r="Y306" i="1"/>
  <c r="CV305" i="1"/>
  <c r="Y305" i="1"/>
  <c r="CV304" i="1"/>
  <c r="Y304" i="1"/>
  <c r="AE304" i="1"/>
  <c r="CV303" i="1"/>
  <c r="Y303" i="1"/>
  <c r="CV302" i="1"/>
  <c r="Y302" i="1"/>
  <c r="CV301" i="1"/>
  <c r="Y301" i="1"/>
  <c r="CV300" i="1"/>
  <c r="Y300" i="1"/>
  <c r="CV299" i="1"/>
  <c r="Y299" i="1"/>
  <c r="CV298" i="1"/>
  <c r="Y298" i="1"/>
  <c r="AE298" i="1"/>
  <c r="CV297" i="1"/>
  <c r="Y297" i="1"/>
  <c r="CV296" i="1"/>
  <c r="Y296" i="1"/>
  <c r="AE296" i="1"/>
  <c r="CV295" i="1"/>
  <c r="Y295" i="1"/>
  <c r="CV294" i="1"/>
  <c r="Y294" i="1"/>
  <c r="CV293" i="1"/>
  <c r="Y293" i="1"/>
  <c r="CV292" i="1"/>
  <c r="Y292" i="1"/>
  <c r="AE292" i="1"/>
  <c r="CV291" i="1"/>
  <c r="Y291" i="1"/>
  <c r="CV290" i="1"/>
  <c r="Y290" i="1"/>
  <c r="AE290" i="1"/>
  <c r="CV289" i="1"/>
  <c r="Y289" i="1"/>
  <c r="CV288" i="1"/>
  <c r="Y288" i="1"/>
  <c r="CV285" i="1"/>
  <c r="Y285" i="1"/>
  <c r="CV287" i="1"/>
  <c r="Y287" i="1"/>
  <c r="CV286" i="1"/>
  <c r="Y286" i="1"/>
  <c r="CV284" i="1"/>
  <c r="Y284" i="1"/>
  <c r="AE284" i="1"/>
  <c r="CV283" i="1"/>
  <c r="Y283" i="1"/>
  <c r="CV282" i="1"/>
  <c r="Y282" i="1"/>
  <c r="CV281" i="1"/>
  <c r="Y281" i="1"/>
  <c r="CV280" i="1"/>
  <c r="Y280" i="1"/>
  <c r="CV279" i="1"/>
  <c r="Y279" i="1"/>
  <c r="CV278" i="1"/>
  <c r="Y278" i="1"/>
  <c r="CV277" i="1"/>
  <c r="Y277" i="1"/>
  <c r="CV276" i="1"/>
  <c r="Y276" i="1"/>
  <c r="CV275" i="1"/>
  <c r="Y275" i="1"/>
  <c r="CV274" i="1"/>
  <c r="Y274" i="1"/>
  <c r="CV273" i="1"/>
  <c r="Y273" i="1"/>
  <c r="CV272" i="1"/>
  <c r="Y272" i="1"/>
  <c r="CV271" i="1"/>
  <c r="Y271" i="1"/>
  <c r="CV270" i="1"/>
  <c r="Y270" i="1"/>
  <c r="AE270" i="1"/>
  <c r="CV269" i="1"/>
  <c r="Y269" i="1"/>
  <c r="CV266" i="1"/>
  <c r="Y266" i="1"/>
  <c r="AE266" i="1"/>
  <c r="CV268" i="1"/>
  <c r="Y268" i="1"/>
  <c r="CV267" i="1"/>
  <c r="Y267" i="1"/>
  <c r="CV262" i="1"/>
  <c r="Y262" i="1"/>
  <c r="CV265" i="1"/>
  <c r="Y265" i="1"/>
  <c r="CV264" i="1"/>
  <c r="Y264" i="1"/>
  <c r="CV263" i="1"/>
  <c r="Y263" i="1"/>
  <c r="CV260" i="1"/>
  <c r="Y260" i="1"/>
  <c r="CV261" i="1"/>
  <c r="Y261" i="1"/>
  <c r="Z261" i="1"/>
  <c r="AA261" i="1"/>
  <c r="AB261" i="1"/>
  <c r="CV259" i="1"/>
  <c r="Y259" i="1"/>
  <c r="CV258" i="1"/>
  <c r="Y258" i="1"/>
  <c r="CV257" i="1"/>
  <c r="Y257" i="1"/>
  <c r="CV256" i="1"/>
  <c r="Y256" i="1"/>
  <c r="CV255" i="1"/>
  <c r="Y255" i="1"/>
  <c r="CV254" i="1"/>
  <c r="Y254" i="1"/>
  <c r="CV252" i="1"/>
  <c r="Y252" i="1"/>
  <c r="CV253" i="1"/>
  <c r="Y253" i="1"/>
  <c r="CV251" i="1"/>
  <c r="Y251" i="1"/>
  <c r="CV250" i="1"/>
  <c r="Y250" i="1"/>
  <c r="CV249" i="1"/>
  <c r="Y249" i="1"/>
  <c r="AE249" i="1"/>
  <c r="CV248" i="1"/>
  <c r="Y248" i="1"/>
  <c r="CV247" i="1"/>
  <c r="Y247" i="1"/>
  <c r="CV246" i="1"/>
  <c r="Y246" i="1"/>
  <c r="CV245" i="1"/>
  <c r="Y245" i="1"/>
  <c r="CV244" i="1"/>
  <c r="Y244" i="1"/>
  <c r="CV243" i="1"/>
  <c r="Y243" i="1"/>
  <c r="AE243" i="1"/>
  <c r="CV242" i="1"/>
  <c r="Y242" i="1"/>
  <c r="CV241" i="1"/>
  <c r="Y241" i="1"/>
  <c r="CV240" i="1"/>
  <c r="Y240" i="1"/>
  <c r="CV239" i="1"/>
  <c r="Y239" i="1"/>
  <c r="CV238" i="1"/>
  <c r="Y238" i="1"/>
  <c r="CV237" i="1"/>
  <c r="Y237" i="1"/>
  <c r="AE237" i="1"/>
  <c r="CV236" i="1"/>
  <c r="Y236" i="1"/>
  <c r="CV235" i="1"/>
  <c r="Y235" i="1"/>
  <c r="CV234" i="1"/>
  <c r="Y234" i="1"/>
  <c r="CV233" i="1"/>
  <c r="Y233" i="1"/>
  <c r="CV232" i="1"/>
  <c r="Y232" i="1"/>
  <c r="CV219" i="1"/>
  <c r="Y219" i="1"/>
  <c r="CV218" i="1"/>
  <c r="Y218" i="1"/>
  <c r="CV231" i="1"/>
  <c r="Y231" i="1"/>
  <c r="CV230" i="1"/>
  <c r="Y230" i="1"/>
  <c r="CV229" i="1"/>
  <c r="Y229" i="1"/>
  <c r="CV228" i="1"/>
  <c r="Y228" i="1"/>
  <c r="CV227" i="1"/>
  <c r="Y227" i="1"/>
  <c r="AE227" i="1"/>
  <c r="CV226" i="1"/>
  <c r="Y226" i="1"/>
  <c r="CV225" i="1"/>
  <c r="Y225" i="1"/>
  <c r="CV224" i="1"/>
  <c r="Y224" i="1"/>
  <c r="CV223" i="1"/>
  <c r="Y223" i="1"/>
  <c r="CV222" i="1"/>
  <c r="Y222" i="1"/>
  <c r="CV221" i="1"/>
  <c r="Y221" i="1"/>
  <c r="AE221" i="1"/>
  <c r="CV220" i="1"/>
  <c r="Y220" i="1"/>
  <c r="CV217" i="1"/>
  <c r="Y217" i="1"/>
  <c r="CV216" i="1"/>
  <c r="Y216" i="1"/>
  <c r="CV215" i="1"/>
  <c r="Y215" i="1"/>
  <c r="CV214" i="1"/>
  <c r="Y214" i="1"/>
  <c r="CV213" i="1"/>
  <c r="Y213" i="1"/>
  <c r="CV212" i="1"/>
  <c r="Y212" i="1"/>
  <c r="CV211" i="1"/>
  <c r="Y211" i="1"/>
  <c r="CV210" i="1"/>
  <c r="Y210" i="1"/>
  <c r="CV203" i="1"/>
  <c r="Y203" i="1"/>
  <c r="CV209" i="1"/>
  <c r="Y209" i="1"/>
  <c r="CV208" i="1"/>
  <c r="Y208" i="1"/>
  <c r="CV207" i="1"/>
  <c r="Y207" i="1"/>
  <c r="CV206" i="1"/>
  <c r="Y206" i="1"/>
  <c r="CV205" i="1"/>
  <c r="Y205" i="1"/>
  <c r="CV204" i="1"/>
  <c r="Y204" i="1"/>
  <c r="CV202" i="1"/>
  <c r="Y202" i="1"/>
  <c r="CV201" i="1"/>
  <c r="Y201" i="1"/>
  <c r="CV200" i="1"/>
  <c r="Y200" i="1"/>
  <c r="CV199" i="1"/>
  <c r="Y199" i="1"/>
  <c r="CV198" i="1"/>
  <c r="Y198" i="1"/>
  <c r="CV197" i="1"/>
  <c r="Y197" i="1"/>
  <c r="CV196" i="1"/>
  <c r="Y196" i="1"/>
  <c r="CV195" i="1"/>
  <c r="Y195" i="1"/>
  <c r="CV194" i="1"/>
  <c r="Y194" i="1"/>
  <c r="CV193" i="1"/>
  <c r="Y193" i="1"/>
  <c r="CV192" i="1"/>
  <c r="Y192" i="1"/>
  <c r="CV191" i="1"/>
  <c r="Y191" i="1"/>
  <c r="CV190" i="1"/>
  <c r="Y190" i="1"/>
  <c r="CV186" i="1"/>
  <c r="Y186" i="1"/>
  <c r="CV189" i="1"/>
  <c r="Y189" i="1"/>
  <c r="CV187" i="1"/>
  <c r="Y187" i="1"/>
  <c r="CV185" i="1"/>
  <c r="Y185" i="1"/>
  <c r="CV184" i="1"/>
  <c r="Y184" i="1"/>
  <c r="AE184" i="1"/>
  <c r="CV183" i="1"/>
  <c r="Y183" i="1"/>
  <c r="CV182" i="1"/>
  <c r="Y182" i="1"/>
  <c r="CV181" i="1"/>
  <c r="Y181" i="1"/>
  <c r="CV180" i="1"/>
  <c r="Y180" i="1"/>
  <c r="CV179" i="1"/>
  <c r="Y179" i="1"/>
  <c r="CV178" i="1"/>
  <c r="Y178" i="1"/>
  <c r="CV177" i="1"/>
  <c r="Y177" i="1"/>
  <c r="CV176" i="1"/>
  <c r="Y176" i="1"/>
  <c r="CV175" i="1"/>
  <c r="Y175" i="1"/>
  <c r="CV174" i="1"/>
  <c r="Y174" i="1"/>
  <c r="CV173" i="1"/>
  <c r="Y173" i="1"/>
  <c r="CV172" i="1"/>
  <c r="Y172" i="1"/>
  <c r="CV171" i="1"/>
  <c r="Y171" i="1"/>
  <c r="CV170" i="1"/>
  <c r="Y170" i="1"/>
  <c r="CV169" i="1"/>
  <c r="Y169" i="1"/>
  <c r="CV168" i="1"/>
  <c r="Y168" i="1"/>
  <c r="CV167" i="1"/>
  <c r="Y167" i="1"/>
  <c r="CV166" i="1"/>
  <c r="Y166" i="1"/>
  <c r="CV165" i="1"/>
  <c r="Y165" i="1"/>
  <c r="CV164" i="1"/>
  <c r="Y164" i="1"/>
  <c r="CV163" i="1"/>
  <c r="Y163" i="1"/>
  <c r="CV162" i="1"/>
  <c r="Y162" i="1"/>
  <c r="CV161" i="1"/>
  <c r="Y161" i="1"/>
  <c r="CV160" i="1"/>
  <c r="Y160" i="1"/>
  <c r="CV159" i="1"/>
  <c r="Y159" i="1"/>
  <c r="CV158" i="1"/>
  <c r="Y158" i="1"/>
  <c r="CV155" i="1"/>
  <c r="Y155" i="1"/>
  <c r="CV157" i="1"/>
  <c r="Y157" i="1"/>
  <c r="CV156" i="1"/>
  <c r="Y156" i="1"/>
  <c r="CV154" i="1"/>
  <c r="Y154" i="1"/>
  <c r="CV153" i="1"/>
  <c r="Y153" i="1"/>
  <c r="CV152" i="1"/>
  <c r="Y152" i="1"/>
  <c r="CV151" i="1"/>
  <c r="Y151" i="1"/>
  <c r="CV150" i="1"/>
  <c r="Y150" i="1"/>
  <c r="CV149" i="1"/>
  <c r="Y149" i="1"/>
  <c r="CV148" i="1"/>
  <c r="Y148" i="1"/>
  <c r="AE148" i="1"/>
  <c r="CV147" i="1"/>
  <c r="Y147" i="1"/>
  <c r="CV146" i="1"/>
  <c r="Y146" i="1"/>
  <c r="CV145" i="1"/>
  <c r="Y145" i="1"/>
  <c r="CV144" i="1"/>
  <c r="Y144" i="1"/>
  <c r="CV143" i="1"/>
  <c r="Y143" i="1"/>
  <c r="CV142" i="1"/>
  <c r="Y142" i="1"/>
  <c r="CV141" i="1"/>
  <c r="Y141" i="1"/>
  <c r="CV140" i="1"/>
  <c r="Y140" i="1"/>
  <c r="CV136" i="1"/>
  <c r="Y136" i="1"/>
  <c r="CV139" i="1"/>
  <c r="Y139" i="1"/>
  <c r="CV138" i="1"/>
  <c r="Y138" i="1"/>
  <c r="CV137" i="1"/>
  <c r="Y137" i="1"/>
  <c r="CV135" i="1"/>
  <c r="Y135" i="1"/>
  <c r="CV134" i="1"/>
  <c r="Y134" i="1"/>
  <c r="CV133" i="1"/>
  <c r="Y133" i="1"/>
  <c r="CV132" i="1"/>
  <c r="Y132" i="1"/>
  <c r="CV131" i="1"/>
  <c r="Y131" i="1"/>
  <c r="CV130" i="1"/>
  <c r="Y130" i="1"/>
  <c r="CV129" i="1"/>
  <c r="Y129" i="1"/>
  <c r="CV128" i="1"/>
  <c r="Y128" i="1"/>
  <c r="CV127" i="1"/>
  <c r="Y127" i="1"/>
  <c r="CV123" i="1"/>
  <c r="Y123" i="1"/>
  <c r="CV126" i="1"/>
  <c r="Y126" i="1"/>
  <c r="CV125" i="1"/>
  <c r="Y125" i="1"/>
  <c r="CV124" i="1"/>
  <c r="Y124" i="1"/>
  <c r="CV122" i="1"/>
  <c r="Y122" i="1"/>
  <c r="CV121" i="1"/>
  <c r="Y121" i="1"/>
  <c r="CV120" i="1"/>
  <c r="Y120" i="1"/>
  <c r="CV119" i="1"/>
  <c r="Y119" i="1"/>
  <c r="CV118" i="1"/>
  <c r="Y118" i="1"/>
  <c r="CV117" i="1"/>
  <c r="Y117" i="1"/>
  <c r="CV116" i="1"/>
  <c r="Y116" i="1"/>
  <c r="CV115" i="1"/>
  <c r="Y115" i="1"/>
  <c r="CV105" i="1"/>
  <c r="Y105" i="1"/>
  <c r="CV106" i="1"/>
  <c r="Y106" i="1"/>
  <c r="CV114" i="1"/>
  <c r="Y114" i="1"/>
  <c r="CV113" i="1"/>
  <c r="Y113" i="1"/>
  <c r="CV112" i="1"/>
  <c r="Y112" i="1"/>
  <c r="CV111" i="1"/>
  <c r="Y111" i="1"/>
  <c r="CV110" i="1"/>
  <c r="Y110" i="1"/>
  <c r="CV109" i="1"/>
  <c r="Y109" i="1"/>
  <c r="CV108" i="1"/>
  <c r="Y108" i="1"/>
  <c r="CV107" i="1"/>
  <c r="Y107" i="1"/>
  <c r="CV104" i="1"/>
  <c r="Y104" i="1"/>
  <c r="CV103" i="1"/>
  <c r="Y103" i="1"/>
  <c r="CV102" i="1"/>
  <c r="Y102" i="1"/>
  <c r="CV101" i="1"/>
  <c r="Y101" i="1"/>
  <c r="AE101" i="1"/>
  <c r="Z101" i="1"/>
  <c r="AA101" i="1"/>
  <c r="AB101" i="1"/>
  <c r="CV100" i="1"/>
  <c r="Y100" i="1"/>
  <c r="CV99" i="1"/>
  <c r="Y99" i="1"/>
  <c r="CV98" i="1"/>
  <c r="Y98" i="1"/>
  <c r="CV97" i="1"/>
  <c r="Y97" i="1"/>
  <c r="CV96" i="1"/>
  <c r="Y96" i="1"/>
  <c r="CV95" i="1"/>
  <c r="Y95" i="1"/>
  <c r="CV94" i="1"/>
  <c r="Y94" i="1"/>
  <c r="CV93" i="1"/>
  <c r="Y93" i="1"/>
  <c r="CV92" i="1"/>
  <c r="Y92" i="1"/>
  <c r="CV91" i="1"/>
  <c r="Y91" i="1"/>
  <c r="CV90" i="1"/>
  <c r="Y90" i="1"/>
  <c r="CV89" i="1"/>
  <c r="Y89" i="1"/>
  <c r="CV88" i="1"/>
  <c r="Y88" i="1"/>
  <c r="CV87" i="1"/>
  <c r="Y87" i="1"/>
  <c r="CV86" i="1"/>
  <c r="Y86" i="1"/>
  <c r="CV85" i="1"/>
  <c r="Y85" i="1"/>
  <c r="CV84" i="1"/>
  <c r="Y84" i="1"/>
  <c r="CV83" i="1"/>
  <c r="Y83" i="1"/>
  <c r="CV82" i="1"/>
  <c r="Y82" i="1"/>
  <c r="CV81" i="1"/>
  <c r="Y81" i="1"/>
  <c r="CV80" i="1"/>
  <c r="Y80" i="1"/>
  <c r="CV79" i="1"/>
  <c r="Y79" i="1"/>
  <c r="CV78" i="1"/>
  <c r="Y78" i="1"/>
  <c r="CV77" i="1"/>
  <c r="Y77" i="1"/>
  <c r="CV76" i="1"/>
  <c r="Y76" i="1"/>
  <c r="CV75" i="1"/>
  <c r="Y75" i="1"/>
  <c r="CV74" i="1"/>
  <c r="Y74" i="1"/>
  <c r="CV73" i="1"/>
  <c r="Y73" i="1"/>
  <c r="CV72" i="1"/>
  <c r="Y72" i="1"/>
  <c r="CV71" i="1"/>
  <c r="Y71" i="1"/>
  <c r="CV70" i="1"/>
  <c r="Y70" i="1"/>
  <c r="CV69" i="1"/>
  <c r="Y69" i="1"/>
  <c r="CV68" i="1"/>
  <c r="Y68" i="1"/>
  <c r="CV67" i="1"/>
  <c r="Y67" i="1"/>
  <c r="Z67" i="1"/>
  <c r="AA67" i="1"/>
  <c r="AB67" i="1"/>
  <c r="CV62" i="1"/>
  <c r="Y62" i="1"/>
  <c r="AE62" i="1"/>
  <c r="CV66" i="1"/>
  <c r="Y66" i="1"/>
  <c r="CV65" i="1"/>
  <c r="Y65" i="1"/>
  <c r="CV64" i="1"/>
  <c r="Y64" i="1"/>
  <c r="CV63" i="1"/>
  <c r="Y63" i="1"/>
  <c r="CV61" i="1"/>
  <c r="Y61" i="1"/>
  <c r="CV60" i="1"/>
  <c r="Y60" i="1"/>
  <c r="CV59" i="1"/>
  <c r="Y59" i="1"/>
  <c r="CV58" i="1"/>
  <c r="Y58" i="1"/>
  <c r="AE58" i="1"/>
  <c r="CV57" i="1"/>
  <c r="Y57" i="1"/>
  <c r="CV56" i="1"/>
  <c r="Y56" i="1"/>
  <c r="CV55" i="1"/>
  <c r="Y55" i="1"/>
  <c r="CV54" i="1"/>
  <c r="Y54" i="1"/>
  <c r="CV53" i="1"/>
  <c r="Y53" i="1"/>
  <c r="CV52" i="1"/>
  <c r="Y52" i="1"/>
  <c r="CV51" i="1"/>
  <c r="Y51" i="1"/>
  <c r="CV50" i="1"/>
  <c r="Y50" i="1"/>
  <c r="CV49" i="1"/>
  <c r="Y49" i="1"/>
  <c r="CV48" i="1"/>
  <c r="Y48" i="1"/>
  <c r="CV47" i="1"/>
  <c r="Y47" i="1"/>
  <c r="CV46" i="1"/>
  <c r="Y46" i="1"/>
  <c r="CV45" i="1"/>
  <c r="Y45" i="1"/>
  <c r="CV44" i="1"/>
  <c r="Y44" i="1"/>
  <c r="CV43" i="1"/>
  <c r="Y43" i="1"/>
  <c r="CV42" i="1"/>
  <c r="Y42" i="1"/>
  <c r="CV41" i="1"/>
  <c r="Y41" i="1"/>
  <c r="CV40" i="1"/>
  <c r="Y40" i="1"/>
  <c r="CV39" i="1"/>
  <c r="Y39" i="1"/>
  <c r="CV38" i="1"/>
  <c r="Y38" i="1"/>
  <c r="CV37" i="1"/>
  <c r="Y37" i="1"/>
  <c r="CV36" i="1"/>
  <c r="Y36" i="1"/>
  <c r="CV35" i="1"/>
  <c r="Y35" i="1"/>
  <c r="CV32" i="1"/>
  <c r="Y32" i="1"/>
  <c r="AE32" i="1"/>
  <c r="CV34" i="1"/>
  <c r="Y34" i="1"/>
  <c r="CV33" i="1"/>
  <c r="Y33" i="1"/>
  <c r="CV31" i="1"/>
  <c r="Y31" i="1"/>
  <c r="CV30" i="1"/>
  <c r="Y30" i="1"/>
  <c r="CV29" i="1"/>
  <c r="Y29" i="1"/>
  <c r="CV28" i="1"/>
  <c r="Y28" i="1"/>
  <c r="CV27" i="1"/>
  <c r="Y27" i="1"/>
  <c r="CV26" i="1"/>
  <c r="Y26" i="1"/>
  <c r="CV25" i="1"/>
  <c r="Y25" i="1"/>
  <c r="CV24" i="1"/>
  <c r="Y24" i="1"/>
  <c r="CV23" i="1"/>
  <c r="Y23" i="1"/>
  <c r="CV22" i="1"/>
  <c r="Y22" i="1"/>
  <c r="CV21" i="1"/>
  <c r="Y21" i="1"/>
  <c r="CV20" i="1"/>
  <c r="Y20" i="1"/>
  <c r="CV19" i="1"/>
  <c r="Y19" i="1"/>
  <c r="CV18" i="1"/>
  <c r="Y18" i="1"/>
  <c r="CV17" i="1"/>
  <c r="Y17" i="1"/>
  <c r="CV16" i="1"/>
  <c r="Y16" i="1"/>
  <c r="CV15" i="1"/>
  <c r="Y15" i="1"/>
  <c r="CV14" i="1"/>
  <c r="Y14" i="1"/>
  <c r="CV13" i="1"/>
  <c r="Y13" i="1"/>
  <c r="CV10" i="1"/>
  <c r="Y10" i="1"/>
  <c r="CV9" i="1"/>
  <c r="Y9" i="1"/>
  <c r="CV12" i="1"/>
  <c r="Y12" i="1"/>
  <c r="AE12" i="1"/>
  <c r="CV11" i="1"/>
  <c r="Y11" i="1"/>
  <c r="CV8" i="1"/>
  <c r="Y8" i="1"/>
  <c r="CV7" i="1"/>
  <c r="Y7" i="1"/>
  <c r="CV6" i="1"/>
  <c r="Y6" i="1"/>
  <c r="CV5" i="1"/>
  <c r="Y5" i="1"/>
  <c r="CV4" i="1"/>
  <c r="Y4" i="1"/>
  <c r="AC967" i="1"/>
  <c r="AC1533" i="1"/>
  <c r="AC536" i="1"/>
  <c r="AC1516" i="1"/>
  <c r="DB1283" i="1"/>
  <c r="DD1283" i="1"/>
  <c r="AC1283" i="1"/>
  <c r="DD1902" i="1"/>
  <c r="DB1902" i="1"/>
  <c r="AC1902" i="1"/>
  <c r="DB1922" i="1"/>
  <c r="DD1922" i="1"/>
  <c r="AC1922" i="1"/>
  <c r="AC721" i="1"/>
  <c r="K1985" i="1"/>
  <c r="DB1626" i="1"/>
  <c r="AA1626" i="1"/>
  <c r="AC1626" i="1"/>
  <c r="AC1921" i="1"/>
  <c r="AC1043" i="1"/>
  <c r="DB1043" i="1"/>
  <c r="DD1043" i="1"/>
  <c r="BA1917" i="1"/>
  <c r="CS1917" i="1"/>
  <c r="BA1070" i="1"/>
  <c r="CK1070" i="1"/>
  <c r="CS1070" i="1"/>
  <c r="CQ1070" i="1"/>
  <c r="DD1440" i="1"/>
  <c r="AA1440" i="1"/>
  <c r="DD1909" i="1"/>
  <c r="AA1909" i="1"/>
  <c r="J1840" i="1"/>
  <c r="J1926" i="1"/>
  <c r="J1048" i="1"/>
  <c r="K1048" i="1"/>
  <c r="J1449" i="1"/>
  <c r="K1449" i="1"/>
  <c r="J1443" i="1"/>
  <c r="K1443" i="1"/>
  <c r="J982" i="1"/>
  <c r="K982" i="1"/>
  <c r="J1965" i="1"/>
  <c r="M1965" i="1"/>
  <c r="J1388" i="1"/>
  <c r="J1011" i="1"/>
  <c r="CQ1951" i="1"/>
  <c r="CV1951" i="1"/>
  <c r="Y1951" i="1"/>
  <c r="CZ1951" i="1"/>
  <c r="Z1951" i="1"/>
  <c r="CS1955" i="1"/>
  <c r="CQ1955" i="1"/>
  <c r="CZ1955" i="1"/>
  <c r="Z1955" i="1"/>
  <c r="CQ1962" i="1"/>
  <c r="CV1962" i="1"/>
  <c r="Y1962" i="1"/>
  <c r="CZ1962" i="1"/>
  <c r="Z1962" i="1"/>
  <c r="CP1917" i="1"/>
  <c r="CZ1917" i="1"/>
  <c r="Z1917" i="1"/>
  <c r="CY1917" i="1"/>
  <c r="DD1445" i="1"/>
  <c r="AA1445" i="1"/>
  <c r="BA1445" i="1"/>
  <c r="CI1445" i="1"/>
  <c r="CK1445" i="1"/>
  <c r="CQ1445" i="1"/>
  <c r="CS1445" i="1"/>
  <c r="BA1302" i="1"/>
  <c r="CK1302" i="1"/>
  <c r="CQ1302" i="1"/>
  <c r="CS1302" i="1"/>
  <c r="CZ1302" i="1"/>
  <c r="Z1302" i="1"/>
  <c r="AC1027" i="1"/>
  <c r="BA1027" i="1"/>
  <c r="CK1027" i="1"/>
  <c r="CQ1027" i="1"/>
  <c r="CS1027" i="1"/>
  <c r="BA1810" i="1"/>
  <c r="CK1810" i="1"/>
  <c r="CQ1810" i="1"/>
  <c r="CS1810" i="1"/>
  <c r="AB1577" i="1"/>
  <c r="AA1577" i="1"/>
  <c r="Z1577" i="1"/>
  <c r="AB1987" i="1"/>
  <c r="AA1987" i="1"/>
  <c r="Z1987" i="1"/>
  <c r="AB1998" i="1"/>
  <c r="AA1998" i="1"/>
  <c r="Z1998" i="1"/>
  <c r="AB2004" i="1"/>
  <c r="AA2004" i="1"/>
  <c r="Z2004" i="1"/>
  <c r="AB1988" i="1"/>
  <c r="AA1988" i="1"/>
  <c r="Z1988" i="1"/>
  <c r="AB1990" i="1"/>
  <c r="AA1990" i="1"/>
  <c r="AB1980" i="1"/>
  <c r="AA1980" i="1"/>
  <c r="AB1882" i="1"/>
  <c r="AA1882" i="1"/>
  <c r="Z1882" i="1"/>
  <c r="AB2001" i="1"/>
  <c r="AA2001" i="1"/>
  <c r="Z2001" i="1"/>
  <c r="AB1972" i="1"/>
  <c r="AA1972" i="1"/>
  <c r="Z1972" i="1"/>
  <c r="AB1970" i="1"/>
  <c r="AA1970" i="1"/>
  <c r="Z1970" i="1"/>
  <c r="AB1979" i="1"/>
  <c r="AA1979" i="1"/>
  <c r="Z1979" i="1"/>
  <c r="AB1983" i="1"/>
  <c r="AA1983" i="1"/>
  <c r="Z1983" i="1"/>
  <c r="AB1908" i="1"/>
  <c r="AA1908" i="1"/>
  <c r="Z1908" i="1"/>
  <c r="AB1911" i="1"/>
  <c r="AA1911" i="1"/>
  <c r="Z1911" i="1"/>
  <c r="AB1915" i="1"/>
  <c r="AA1915" i="1"/>
  <c r="Z1915" i="1"/>
  <c r="AB1974" i="1"/>
  <c r="AA1974" i="1"/>
  <c r="Z1974" i="1"/>
  <c r="AB1977" i="1"/>
  <c r="AA1977" i="1"/>
  <c r="Z1977" i="1"/>
  <c r="AB1388" i="1"/>
  <c r="AA1388" i="1"/>
  <c r="Z1388" i="1"/>
  <c r="AB1818" i="1"/>
  <c r="AA1818" i="1"/>
  <c r="Z1818" i="1"/>
  <c r="AB1829" i="1"/>
  <c r="AA1829" i="1"/>
  <c r="Z1829" i="1"/>
  <c r="AB1964" i="1"/>
  <c r="AA1964" i="1"/>
  <c r="Z1964" i="1"/>
  <c r="AB1962" i="1"/>
  <c r="AA1962" i="1"/>
  <c r="AB1920" i="1"/>
  <c r="AA1920" i="1"/>
  <c r="Z1920" i="1"/>
  <c r="AC1503" i="1"/>
  <c r="DD1503" i="1"/>
  <c r="AA1503" i="1"/>
  <c r="DC1503" i="1"/>
  <c r="DB1849" i="1"/>
  <c r="DD1849" i="1"/>
  <c r="AY1006" i="1"/>
  <c r="CV1006" i="1"/>
  <c r="Y1006" i="1"/>
  <c r="AY1250" i="1"/>
  <c r="CV1250" i="1"/>
  <c r="Y1250" i="1"/>
  <c r="AY1247" i="1"/>
  <c r="AY918" i="1"/>
  <c r="J1581" i="1"/>
  <c r="AC1272" i="1"/>
  <c r="AC1204" i="1"/>
  <c r="CS1847" i="1"/>
  <c r="CV1847" i="1"/>
  <c r="Y1847" i="1"/>
  <c r="CQ1116" i="1"/>
  <c r="CV1116" i="1"/>
  <c r="Y1116" i="1"/>
  <c r="J1867" i="1"/>
  <c r="J1914" i="1"/>
  <c r="DD1787" i="1"/>
  <c r="AA1787" i="1"/>
  <c r="DD1497" i="1"/>
  <c r="AA1497" i="1"/>
  <c r="CQ1460" i="1"/>
  <c r="CV1460" i="1"/>
  <c r="Y1460" i="1"/>
  <c r="CK990" i="1"/>
  <c r="CS990" i="1"/>
  <c r="CQ990" i="1"/>
  <c r="CV1872" i="1"/>
  <c r="Y1872" i="1"/>
  <c r="Z1975" i="1"/>
  <c r="AA1975" i="1"/>
  <c r="AB1975" i="1"/>
  <c r="Z1973" i="1"/>
  <c r="AA1973" i="1"/>
  <c r="AB1973" i="1"/>
  <c r="Z1971" i="1"/>
  <c r="AA1971" i="1"/>
  <c r="AB1971" i="1"/>
  <c r="Z1976" i="1"/>
  <c r="AA1976" i="1"/>
  <c r="AB1976" i="1"/>
  <c r="Z1969" i="1"/>
  <c r="AA1969" i="1"/>
  <c r="AB1969" i="1"/>
  <c r="Z1966" i="1"/>
  <c r="AA1966" i="1"/>
  <c r="AB1966" i="1"/>
  <c r="Z1965" i="1"/>
  <c r="AB1965" i="1"/>
  <c r="Z1968" i="1"/>
  <c r="AB1968" i="1"/>
  <c r="Z1967" i="1"/>
  <c r="AA1967" i="1"/>
  <c r="AB1967" i="1"/>
  <c r="Z1957" i="1"/>
  <c r="AA1957" i="1"/>
  <c r="AB1957" i="1"/>
  <c r="Z1943" i="1"/>
  <c r="AA1943" i="1"/>
  <c r="AB1943" i="1"/>
  <c r="Z1953" i="1"/>
  <c r="AA1953" i="1"/>
  <c r="AB1953" i="1"/>
  <c r="Z1959" i="1"/>
  <c r="AA1959" i="1"/>
  <c r="AB1959" i="1"/>
  <c r="Z1963" i="1"/>
  <c r="AA1963" i="1"/>
  <c r="AB1963" i="1"/>
  <c r="Z1954" i="1"/>
  <c r="AA1954" i="1"/>
  <c r="AB1954" i="1"/>
  <c r="AA1955" i="1"/>
  <c r="AB1955" i="1"/>
  <c r="Z1952" i="1"/>
  <c r="AA1952" i="1"/>
  <c r="AB1952" i="1"/>
  <c r="Z1883" i="1"/>
  <c r="AA1883" i="1"/>
  <c r="AB1883" i="1"/>
  <c r="AA1951" i="1"/>
  <c r="AB1951" i="1"/>
  <c r="Z1335" i="1"/>
  <c r="AB1335" i="1"/>
  <c r="Z1961" i="1"/>
  <c r="AA1961" i="1"/>
  <c r="AB1961" i="1"/>
  <c r="Z1250" i="1"/>
  <c r="AA1250" i="1"/>
  <c r="AB1250" i="1"/>
  <c r="Z531" i="1"/>
  <c r="AA531" i="1"/>
  <c r="AB531" i="1"/>
  <c r="Z1956" i="1"/>
  <c r="AA1956" i="1"/>
  <c r="AB1956" i="1"/>
  <c r="Z1958" i="1"/>
  <c r="AA1958" i="1"/>
  <c r="AB1958" i="1"/>
  <c r="Z1949" i="1"/>
  <c r="AA1949" i="1"/>
  <c r="AB1949" i="1"/>
  <c r="Z1948" i="1"/>
  <c r="AA1948" i="1"/>
  <c r="AB1948" i="1"/>
  <c r="Z1941" i="1"/>
  <c r="AA1941" i="1"/>
  <c r="AB1941" i="1"/>
  <c r="Z1942" i="1"/>
  <c r="AA1942" i="1"/>
  <c r="AB1942" i="1"/>
  <c r="Z1946" i="1"/>
  <c r="AA1946" i="1"/>
  <c r="AB1946" i="1"/>
  <c r="Z1947" i="1"/>
  <c r="AA1947" i="1"/>
  <c r="AB1947" i="1"/>
  <c r="Z1945" i="1"/>
  <c r="AA1945" i="1"/>
  <c r="AB1945" i="1"/>
  <c r="Z1950" i="1"/>
  <c r="AA1950" i="1"/>
  <c r="AB1950" i="1"/>
  <c r="Z1937" i="1"/>
  <c r="AA1937" i="1"/>
  <c r="AB1937" i="1"/>
  <c r="Z1935" i="1"/>
  <c r="AA1935" i="1"/>
  <c r="AB1935" i="1"/>
  <c r="AA1993" i="1"/>
  <c r="AB1993" i="1"/>
  <c r="Z1944" i="1"/>
  <c r="AA1944" i="1"/>
  <c r="AB1944" i="1"/>
  <c r="Z1861" i="1"/>
  <c r="AA1861" i="1"/>
  <c r="AB1861" i="1"/>
  <c r="Z456" i="1"/>
  <c r="AA456" i="1"/>
  <c r="AB456" i="1"/>
  <c r="Z1581" i="1"/>
  <c r="AA1581" i="1"/>
  <c r="AB1581" i="1"/>
  <c r="Z1939" i="1"/>
  <c r="AA1939" i="1"/>
  <c r="AB1939" i="1"/>
  <c r="Z1936" i="1"/>
  <c r="AA1936" i="1"/>
  <c r="AB1936" i="1"/>
  <c r="Z1933" i="1"/>
  <c r="AA1933" i="1"/>
  <c r="AB1933" i="1"/>
  <c r="Z1934" i="1"/>
  <c r="AA1934" i="1"/>
  <c r="AB1934" i="1"/>
  <c r="Z1932" i="1"/>
  <c r="AA1932" i="1"/>
  <c r="AB1932" i="1"/>
  <c r="AA1930" i="1"/>
  <c r="AB1930" i="1"/>
  <c r="Z1931" i="1"/>
  <c r="AA1931" i="1"/>
  <c r="AB1931" i="1"/>
  <c r="Z1929" i="1"/>
  <c r="AA1929" i="1"/>
  <c r="AB1929" i="1"/>
  <c r="Z1925" i="1"/>
  <c r="AA1925" i="1"/>
  <c r="AB1925" i="1"/>
  <c r="Z1902" i="1"/>
  <c r="AB1902" i="1"/>
  <c r="Z1922" i="1"/>
  <c r="AB1922" i="1"/>
  <c r="AB1867" i="1"/>
  <c r="Z1921" i="1"/>
  <c r="AA1921" i="1"/>
  <c r="AB1921" i="1"/>
  <c r="Z1914" i="1"/>
  <c r="AA1914" i="1"/>
  <c r="AB1914" i="1"/>
  <c r="Z1900" i="1"/>
  <c r="AA1900" i="1"/>
  <c r="AB1900" i="1"/>
  <c r="Z1909" i="1"/>
  <c r="AB1909" i="1"/>
  <c r="AA1917" i="1"/>
  <c r="AB1917" i="1"/>
  <c r="Z1907" i="1"/>
  <c r="AA1907" i="1"/>
  <c r="AB1907" i="1"/>
  <c r="Z1928" i="1"/>
  <c r="AB1928" i="1"/>
  <c r="Z1924" i="1"/>
  <c r="AA1924" i="1"/>
  <c r="AB1924" i="1"/>
  <c r="Z1927" i="1"/>
  <c r="AA1927" i="1"/>
  <c r="AB1927" i="1"/>
  <c r="Z1923" i="1"/>
  <c r="AA1923" i="1"/>
  <c r="AB1923" i="1"/>
  <c r="Z1919" i="1"/>
  <c r="AA1919" i="1"/>
  <c r="AB1919" i="1"/>
  <c r="Z1906" i="1"/>
  <c r="AA1906" i="1"/>
  <c r="AB1906" i="1"/>
  <c r="Z1918" i="1"/>
  <c r="AA1918" i="1"/>
  <c r="AB1918" i="1"/>
  <c r="Z1913" i="1"/>
  <c r="AA1913" i="1"/>
  <c r="AB1913" i="1"/>
  <c r="Z1878" i="1"/>
  <c r="AA1878" i="1"/>
  <c r="AB1878" i="1"/>
  <c r="Z1862" i="1"/>
  <c r="AA1862" i="1"/>
  <c r="AB1862" i="1"/>
  <c r="Z1863" i="1"/>
  <c r="AA1863" i="1"/>
  <c r="AB1863" i="1"/>
  <c r="Z1848" i="1"/>
  <c r="AA1848" i="1"/>
  <c r="AB1848" i="1"/>
  <c r="Z1912" i="1"/>
  <c r="AA1912" i="1"/>
  <c r="AB1912" i="1"/>
  <c r="Z1866" i="1"/>
  <c r="AA1866" i="1"/>
  <c r="AB1866" i="1"/>
  <c r="Z1910" i="1"/>
  <c r="AA1910" i="1"/>
  <c r="AB1910" i="1"/>
  <c r="Z1904" i="1"/>
  <c r="AA1904" i="1"/>
  <c r="AB1904" i="1"/>
  <c r="Z1892" i="1"/>
  <c r="AA1892" i="1"/>
  <c r="AB1892" i="1"/>
  <c r="Z1905" i="1"/>
  <c r="AA1905" i="1"/>
  <c r="AB1905" i="1"/>
  <c r="Z1901" i="1"/>
  <c r="AA1901" i="1"/>
  <c r="AB1901" i="1"/>
  <c r="DD1217" i="1"/>
  <c r="AA1217" i="1"/>
  <c r="AC932" i="1"/>
  <c r="DB932" i="1"/>
  <c r="AA932" i="1"/>
  <c r="CX1451" i="1"/>
  <c r="AB1451" i="1"/>
  <c r="AC1515" i="1"/>
  <c r="AC1821" i="1"/>
  <c r="AC1529" i="1"/>
  <c r="AC1816" i="1"/>
  <c r="AC1017" i="1"/>
  <c r="DD1017" i="1"/>
  <c r="DB1017" i="1"/>
  <c r="AC1853" i="1"/>
  <c r="AC1288" i="1"/>
  <c r="AY842" i="1"/>
  <c r="CA1827" i="1"/>
  <c r="CV1827" i="1"/>
  <c r="Y1827" i="1"/>
  <c r="DD1827" i="1"/>
  <c r="AA1827" i="1"/>
  <c r="AC1827" i="1"/>
  <c r="CZ1847" i="1"/>
  <c r="Z1847" i="1"/>
  <c r="J1847" i="1"/>
  <c r="CZ1116" i="1"/>
  <c r="Z1116" i="1"/>
  <c r="CZ1027" i="1"/>
  <c r="Z1027" i="1"/>
  <c r="CZ1810" i="1"/>
  <c r="Z1810" i="1"/>
  <c r="BA1793" i="1"/>
  <c r="CV1793" i="1"/>
  <c r="Y1793" i="1"/>
  <c r="CZ1793" i="1"/>
  <c r="Z1793" i="1"/>
  <c r="CQ1846" i="1"/>
  <c r="CV1846" i="1"/>
  <c r="Y1846" i="1"/>
  <c r="CZ1846" i="1"/>
  <c r="Z1846" i="1"/>
  <c r="CZ1849" i="1"/>
  <c r="Z1849" i="1"/>
  <c r="J1849" i="1"/>
  <c r="AD1028" i="1"/>
  <c r="CS866" i="1"/>
  <c r="CQ866" i="1"/>
  <c r="CZ866" i="1"/>
  <c r="Z866" i="1"/>
  <c r="J1846" i="1"/>
  <c r="Z1899" i="1"/>
  <c r="AA1899" i="1"/>
  <c r="AB1899" i="1"/>
  <c r="Z1897" i="1"/>
  <c r="AA1897" i="1"/>
  <c r="AB1897" i="1"/>
  <c r="Z1903" i="1"/>
  <c r="AA1903" i="1"/>
  <c r="AB1903" i="1"/>
  <c r="Z1896" i="1"/>
  <c r="AA1896" i="1"/>
  <c r="AB1896" i="1"/>
  <c r="Z1894" i="1"/>
  <c r="AA1894" i="1"/>
  <c r="AB1894" i="1"/>
  <c r="Z1890" i="1"/>
  <c r="AA1890" i="1"/>
  <c r="AB1890" i="1"/>
  <c r="Z1895" i="1"/>
  <c r="AA1895" i="1"/>
  <c r="AB1895" i="1"/>
  <c r="Z1886" i="1"/>
  <c r="AA1886" i="1"/>
  <c r="AB1886" i="1"/>
  <c r="Z1891" i="1"/>
  <c r="AA1891" i="1"/>
  <c r="AB1891" i="1"/>
  <c r="Z1888" i="1"/>
  <c r="AA1888" i="1"/>
  <c r="AB1888" i="1"/>
  <c r="Z1893" i="1"/>
  <c r="AA1893" i="1"/>
  <c r="AB1893" i="1"/>
  <c r="Z1889" i="1"/>
  <c r="AA1889" i="1"/>
  <c r="AB1889" i="1"/>
  <c r="Z1887" i="1"/>
  <c r="AA1887" i="1"/>
  <c r="AB1887" i="1"/>
  <c r="Z1884" i="1"/>
  <c r="AA1884" i="1"/>
  <c r="AB1884" i="1"/>
  <c r="AB1849" i="1"/>
  <c r="Z1877" i="1"/>
  <c r="AA1877" i="1"/>
  <c r="AB1877" i="1"/>
  <c r="Z1880" i="1"/>
  <c r="AA1880" i="1"/>
  <c r="AB1880" i="1"/>
  <c r="Z829" i="1"/>
  <c r="AA829" i="1"/>
  <c r="AB829" i="1"/>
  <c r="Z828" i="1"/>
  <c r="AA828" i="1"/>
  <c r="AB828" i="1"/>
  <c r="Z252" i="1"/>
  <c r="AA252" i="1"/>
  <c r="AB252" i="1"/>
  <c r="Z186" i="1"/>
  <c r="AA186" i="1"/>
  <c r="AB186" i="1"/>
  <c r="Z99" i="1"/>
  <c r="AA99" i="1"/>
  <c r="AB99" i="1"/>
  <c r="Z1789" i="1"/>
  <c r="AA1789" i="1"/>
  <c r="AB1789" i="1"/>
  <c r="Z1779" i="1"/>
  <c r="AA1779" i="1"/>
  <c r="AB1779" i="1"/>
  <c r="AA1846" i="1"/>
  <c r="AB1846" i="1"/>
  <c r="Z1422" i="1"/>
  <c r="AA1422" i="1"/>
  <c r="AB1422" i="1"/>
  <c r="Z1844" i="1"/>
  <c r="AA1844" i="1"/>
  <c r="AB1844" i="1"/>
  <c r="Z1843" i="1"/>
  <c r="AA1843" i="1"/>
  <c r="AB1843" i="1"/>
  <c r="Z1813" i="1"/>
  <c r="AA1813" i="1"/>
  <c r="AB1813" i="1"/>
  <c r="Z1812" i="1"/>
  <c r="AA1812" i="1"/>
  <c r="AB1812" i="1"/>
  <c r="Z1825" i="1"/>
  <c r="AA1825" i="1"/>
  <c r="AB1825" i="1"/>
  <c r="Z1814" i="1"/>
  <c r="AA1814" i="1"/>
  <c r="AB1814" i="1"/>
  <c r="Z1875" i="1"/>
  <c r="AA1875" i="1"/>
  <c r="AB1875" i="1"/>
  <c r="Z1876" i="1"/>
  <c r="AA1876" i="1"/>
  <c r="AB1876" i="1"/>
  <c r="Z1869" i="1"/>
  <c r="AA1869" i="1"/>
  <c r="AB1869" i="1"/>
  <c r="Z1828" i="1"/>
  <c r="AA1828" i="1"/>
  <c r="AB1828" i="1"/>
  <c r="Z2079" i="1"/>
  <c r="AA2079" i="1"/>
  <c r="AB2079" i="1"/>
  <c r="Z1873" i="1"/>
  <c r="AA1873" i="1"/>
  <c r="AB1873" i="1"/>
  <c r="Z1868" i="1"/>
  <c r="AA1868" i="1"/>
  <c r="AB1868" i="1"/>
  <c r="AA1872" i="1"/>
  <c r="AB1872" i="1"/>
  <c r="Z1871" i="1"/>
  <c r="AA1871" i="1"/>
  <c r="AB1871" i="1"/>
  <c r="Z1864" i="1"/>
  <c r="AA1864" i="1"/>
  <c r="AB1864" i="1"/>
  <c r="Z1865" i="1"/>
  <c r="AA1865" i="1"/>
  <c r="AB1865" i="1"/>
  <c r="Z1858" i="1"/>
  <c r="AA1858" i="1"/>
  <c r="AB1858" i="1"/>
  <c r="Z1854" i="1"/>
  <c r="AA1854" i="1"/>
  <c r="AB1854" i="1"/>
  <c r="J62" i="1"/>
  <c r="J995" i="1"/>
  <c r="AC375" i="1"/>
  <c r="CQ1806" i="1"/>
  <c r="J1579" i="1"/>
  <c r="AC1457" i="1"/>
  <c r="DD1457" i="1"/>
  <c r="AA1457" i="1"/>
  <c r="DD1146" i="1"/>
  <c r="AC1146" i="1"/>
  <c r="DB1146" i="1"/>
  <c r="AA1146" i="1"/>
  <c r="AC1317" i="1"/>
  <c r="DB1317" i="1"/>
  <c r="DD1317" i="1"/>
  <c r="DD1408" i="1"/>
  <c r="AC1408" i="1"/>
  <c r="DB1408" i="1"/>
  <c r="AA1408" i="1"/>
  <c r="BM1306" i="1"/>
  <c r="CK1306" i="1"/>
  <c r="CS1306" i="1"/>
  <c r="CQ1306" i="1"/>
  <c r="CZ1306" i="1"/>
  <c r="Z1306" i="1"/>
  <c r="CZ1836" i="1"/>
  <c r="Z1836" i="1"/>
  <c r="CS1499" i="1"/>
  <c r="CQ1499" i="1"/>
  <c r="CZ1499" i="1"/>
  <c r="Z1499" i="1"/>
  <c r="CZ1070" i="1"/>
  <c r="Z1070" i="1"/>
  <c r="DC1440" i="1"/>
  <c r="CQ1477" i="1"/>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E116" i="1"/>
  <c r="J1499" i="1"/>
  <c r="DD1239" i="1"/>
  <c r="AA1239" i="1"/>
  <c r="AC575" i="1"/>
  <c r="DD575" i="1"/>
  <c r="DB575" i="1"/>
  <c r="CK1815" i="1"/>
  <c r="BA1815" i="1"/>
  <c r="CX1484" i="1"/>
  <c r="AB1484" i="1"/>
  <c r="BA1796" i="1"/>
  <c r="CK1796" i="1"/>
  <c r="CQ1796" i="1"/>
  <c r="CS1796" i="1"/>
  <c r="CZ1796" i="1"/>
  <c r="Z1796" i="1"/>
  <c r="CO1836" i="1"/>
  <c r="BA1836" i="1"/>
  <c r="BM1836" i="1"/>
  <c r="J1787" i="1"/>
  <c r="J1497" i="1"/>
  <c r="J1795" i="1"/>
  <c r="J1516" i="1"/>
  <c r="K1516" i="1"/>
  <c r="L351" i="1"/>
  <c r="CZ1445" i="1"/>
  <c r="Z1445" i="1"/>
  <c r="BA1806" i="1"/>
  <c r="CK1806" i="1"/>
  <c r="CS1806" i="1"/>
  <c r="CZ1806" i="1"/>
  <c r="Z1806" i="1"/>
  <c r="CQ1179" i="1"/>
  <c r="CV1179" i="1"/>
  <c r="Y1179" i="1"/>
  <c r="CZ1179" i="1"/>
  <c r="Z1179" i="1"/>
  <c r="J932" i="1"/>
  <c r="CQ1555" i="1"/>
  <c r="AD624" i="1"/>
  <c r="J1440" i="1"/>
  <c r="AB1857" i="1"/>
  <c r="AA1857" i="1"/>
  <c r="Z1857" i="1"/>
  <c r="Z1855" i="1"/>
  <c r="AA1855" i="1"/>
  <c r="AB1855" i="1"/>
  <c r="AB1771" i="1"/>
  <c r="AA1771" i="1"/>
  <c r="Z1771" i="1"/>
  <c r="AB1768" i="1"/>
  <c r="AA1768" i="1"/>
  <c r="Z1768" i="1"/>
  <c r="AB1766" i="1"/>
  <c r="AA1766" i="1"/>
  <c r="Z1766" i="1"/>
  <c r="AB1764" i="1"/>
  <c r="AA1764" i="1"/>
  <c r="Z1764" i="1"/>
  <c r="AB1760" i="1"/>
  <c r="AA1760" i="1"/>
  <c r="Z1760" i="1"/>
  <c r="AB1758" i="1"/>
  <c r="AA1758" i="1"/>
  <c r="Z1758" i="1"/>
  <c r="AB1755" i="1"/>
  <c r="AA1755" i="1"/>
  <c r="Z1755" i="1"/>
  <c r="AB1752" i="1"/>
  <c r="AA1752" i="1"/>
  <c r="Z1752" i="1"/>
  <c r="AB1750" i="1"/>
  <c r="AA1750" i="1"/>
  <c r="Z1750" i="1"/>
  <c r="AB1745" i="1"/>
  <c r="AA1745" i="1"/>
  <c r="Z1745" i="1"/>
  <c r="AB1742" i="1"/>
  <c r="AA1742" i="1"/>
  <c r="Z1742" i="1"/>
  <c r="AB1741" i="1"/>
  <c r="AA1741" i="1"/>
  <c r="Z1741" i="1"/>
  <c r="AB1738" i="1"/>
  <c r="AA1738" i="1"/>
  <c r="Z1738" i="1"/>
  <c r="AB1735" i="1"/>
  <c r="AA1735" i="1"/>
  <c r="Z1735" i="1"/>
  <c r="AB1733" i="1"/>
  <c r="AA1733" i="1"/>
  <c r="Z1733" i="1"/>
  <c r="AB1727" i="1"/>
  <c r="AA1727" i="1"/>
  <c r="Z1727" i="1"/>
  <c r="AB1725" i="1"/>
  <c r="AA1725" i="1"/>
  <c r="Z1725" i="1"/>
  <c r="AB1722" i="1"/>
  <c r="AA1722" i="1"/>
  <c r="Z1722" i="1"/>
  <c r="AB1720" i="1"/>
  <c r="AA1720" i="1"/>
  <c r="Z1720" i="1"/>
  <c r="AB1718" i="1"/>
  <c r="AA1718" i="1"/>
  <c r="Z1718" i="1"/>
  <c r="AB1715" i="1"/>
  <c r="AA1715" i="1"/>
  <c r="Z1715" i="1"/>
  <c r="AB1713" i="1"/>
  <c r="AA1713" i="1"/>
  <c r="Z1713" i="1"/>
  <c r="AB1710" i="1"/>
  <c r="AA1710" i="1"/>
  <c r="Z1710" i="1"/>
  <c r="AB1708" i="1"/>
  <c r="AA1708" i="1"/>
  <c r="Z1708" i="1"/>
  <c r="AB1706" i="1"/>
  <c r="AA1706" i="1"/>
  <c r="Z1706" i="1"/>
  <c r="AB1700" i="1"/>
  <c r="AA1700" i="1"/>
  <c r="Z1700" i="1"/>
  <c r="AB1698" i="1"/>
  <c r="AA1698" i="1"/>
  <c r="Z1698" i="1"/>
  <c r="AB1696" i="1"/>
  <c r="AA1696" i="1"/>
  <c r="Z1696" i="1"/>
  <c r="AB1694" i="1"/>
  <c r="AA1694" i="1"/>
  <c r="Z1694" i="1"/>
  <c r="AB1692" i="1"/>
  <c r="AA1692" i="1"/>
  <c r="Z1692" i="1"/>
  <c r="AB1688" i="1"/>
  <c r="AA1688" i="1"/>
  <c r="Z1688" i="1"/>
  <c r="AB1685" i="1"/>
  <c r="AA1685" i="1"/>
  <c r="Z1685" i="1"/>
  <c r="AB1679" i="1"/>
  <c r="AA1679" i="1"/>
  <c r="Z1679" i="1"/>
  <c r="AB1677" i="1"/>
  <c r="AA1677" i="1"/>
  <c r="Z1677" i="1"/>
  <c r="AB1675" i="1"/>
  <c r="AA1675" i="1"/>
  <c r="Z1675" i="1"/>
  <c r="AB1673" i="1"/>
  <c r="AA1673" i="1"/>
  <c r="Z1673" i="1"/>
  <c r="AB1671" i="1"/>
  <c r="AA1671" i="1"/>
  <c r="Z1671" i="1"/>
  <c r="AB1669" i="1"/>
  <c r="AA1669" i="1"/>
  <c r="Z1669" i="1"/>
  <c r="AB1667" i="1"/>
  <c r="AA1667" i="1"/>
  <c r="Z1667" i="1"/>
  <c r="AB1665" i="1"/>
  <c r="AA1665" i="1"/>
  <c r="Z1665" i="1"/>
  <c r="AB1662" i="1"/>
  <c r="AA1662" i="1"/>
  <c r="Z1662" i="1"/>
  <c r="AB1658" i="1"/>
  <c r="AA1658" i="1"/>
  <c r="Z1658" i="1"/>
  <c r="AB1655" i="1"/>
  <c r="AA1655" i="1"/>
  <c r="Z1655" i="1"/>
  <c r="AB1652" i="1"/>
  <c r="AA1652" i="1"/>
  <c r="Z1652" i="1"/>
  <c r="AB1649" i="1"/>
  <c r="AA1649" i="1"/>
  <c r="Z1649" i="1"/>
  <c r="AB1644" i="1"/>
  <c r="AA1644" i="1"/>
  <c r="Z1644" i="1"/>
  <c r="AB1642" i="1"/>
  <c r="AA1642" i="1"/>
  <c r="Z1642" i="1"/>
  <c r="AB1639" i="1"/>
  <c r="AA1639" i="1"/>
  <c r="Z1639" i="1"/>
  <c r="AB1637" i="1"/>
  <c r="AA1637" i="1"/>
  <c r="Z1637" i="1"/>
  <c r="AB1635" i="1"/>
  <c r="AA1635" i="1"/>
  <c r="Z1635" i="1"/>
  <c r="AB1630" i="1"/>
  <c r="AA1630" i="1"/>
  <c r="Z1630" i="1"/>
  <c r="AB1626" i="1"/>
  <c r="Z1626" i="1"/>
  <c r="AB1623" i="1"/>
  <c r="AA1623" i="1"/>
  <c r="Z1623" i="1"/>
  <c r="AB1620" i="1"/>
  <c r="AA1620" i="1"/>
  <c r="Z1620" i="1"/>
  <c r="AB1617" i="1"/>
  <c r="AA1617" i="1"/>
  <c r="Z1617" i="1"/>
  <c r="AB1614" i="1"/>
  <c r="AA1614" i="1"/>
  <c r="Z1614" i="1"/>
  <c r="AB1611" i="1"/>
  <c r="AA1611" i="1"/>
  <c r="Z1611" i="1"/>
  <c r="AB1609" i="1"/>
  <c r="AA1609" i="1"/>
  <c r="Z1609" i="1"/>
  <c r="AB1607" i="1"/>
  <c r="AA1607" i="1"/>
  <c r="Z1607" i="1"/>
  <c r="AB1604" i="1"/>
  <c r="AA1604" i="1"/>
  <c r="Z1604" i="1"/>
  <c r="AB62" i="1"/>
  <c r="AA62" i="1"/>
  <c r="Z62" i="1"/>
  <c r="AB995" i="1"/>
  <c r="AA995" i="1"/>
  <c r="Z995" i="1"/>
  <c r="AB1847" i="1"/>
  <c r="AA1847" i="1"/>
  <c r="AB1783" i="1"/>
  <c r="AA1783" i="1"/>
  <c r="Z1783" i="1"/>
  <c r="AB1791" i="1"/>
  <c r="AA1791" i="1"/>
  <c r="Z1791" i="1"/>
  <c r="AB1817" i="1"/>
  <c r="AA1817" i="1"/>
  <c r="Z1817" i="1"/>
  <c r="AB1579" i="1"/>
  <c r="AA1579" i="1"/>
  <c r="Z1579" i="1"/>
  <c r="AB1264" i="1"/>
  <c r="AA1264" i="1"/>
  <c r="Z1264" i="1"/>
  <c r="AB1860" i="1"/>
  <c r="AA1860" i="1"/>
  <c r="Z1860" i="1"/>
  <c r="AB1827" i="1"/>
  <c r="Z1827" i="1"/>
  <c r="AB1816" i="1"/>
  <c r="AA1816" i="1"/>
  <c r="Z1816" i="1"/>
  <c r="AB1853" i="1"/>
  <c r="AA1853" i="1"/>
  <c r="Z1853" i="1"/>
  <c r="AB1852" i="1"/>
  <c r="AA1852" i="1"/>
  <c r="Z1852" i="1"/>
  <c r="AB1851" i="1"/>
  <c r="AA1851" i="1"/>
  <c r="Z1851" i="1"/>
  <c r="AB1850" i="1"/>
  <c r="AA1850" i="1"/>
  <c r="Z1850" i="1"/>
  <c r="AB1499" i="1"/>
  <c r="AA1499" i="1"/>
  <c r="AB1845" i="1"/>
  <c r="AB1815" i="1"/>
  <c r="AA1815" i="1"/>
  <c r="Z1815" i="1"/>
  <c r="AB1785" i="1"/>
  <c r="AA1785" i="1"/>
  <c r="Z1785" i="1"/>
  <c r="AB1497" i="1"/>
  <c r="Z1497" i="1"/>
  <c r="AB1793" i="1"/>
  <c r="AA1793" i="1"/>
  <c r="AB1795" i="1"/>
  <c r="AB1842" i="1"/>
  <c r="AA1842" i="1"/>
  <c r="Z1842" i="1"/>
  <c r="AB1841" i="1"/>
  <c r="AA1841" i="1"/>
  <c r="Z1841" i="1"/>
  <c r="AB1839" i="1"/>
  <c r="AA1839" i="1"/>
  <c r="Z1839" i="1"/>
  <c r="AB1837" i="1"/>
  <c r="AA1837" i="1"/>
  <c r="Z1837" i="1"/>
  <c r="AB1838" i="1"/>
  <c r="AA1838" i="1"/>
  <c r="Z1838" i="1"/>
  <c r="AB1835" i="1"/>
  <c r="AA1835" i="1"/>
  <c r="Z1835" i="1"/>
  <c r="AB1830" i="1"/>
  <c r="AA1830" i="1"/>
  <c r="Z1830" i="1"/>
  <c r="AB1836" i="1"/>
  <c r="AA1836" i="1"/>
  <c r="AB1833" i="1"/>
  <c r="AA1833" i="1"/>
  <c r="Z1833" i="1"/>
  <c r="AB1826" i="1"/>
  <c r="AA1826" i="1"/>
  <c r="Z1826" i="1"/>
  <c r="AB1832" i="1"/>
  <c r="AA1832" i="1"/>
  <c r="Z1832" i="1"/>
  <c r="AB1834" i="1"/>
  <c r="AA1834" i="1"/>
  <c r="Z1834" i="1"/>
  <c r="AB351" i="1"/>
  <c r="AA351" i="1"/>
  <c r="Z351" i="1"/>
  <c r="AB1570" i="1"/>
  <c r="AA1570" i="1"/>
  <c r="Z1570" i="1"/>
  <c r="AB1572" i="1"/>
  <c r="AA1572" i="1"/>
  <c r="Z1572" i="1"/>
  <c r="AB1571" i="1"/>
  <c r="AA1571" i="1"/>
  <c r="Z1571" i="1"/>
  <c r="AB1562" i="1"/>
  <c r="AA1562" i="1"/>
  <c r="Z1562" i="1"/>
  <c r="AB1561" i="1"/>
  <c r="AA1561" i="1"/>
  <c r="Z1561" i="1"/>
  <c r="AB1489" i="1"/>
  <c r="AA1489" i="1"/>
  <c r="Z1489" i="1"/>
  <c r="AB1488" i="1"/>
  <c r="AA1488" i="1"/>
  <c r="Z1488" i="1"/>
  <c r="AB1490" i="1"/>
  <c r="AA1490" i="1"/>
  <c r="Z1490" i="1"/>
  <c r="AB1482" i="1"/>
  <c r="AA1482" i="1"/>
  <c r="Z1482" i="1"/>
  <c r="AB1504" i="1"/>
  <c r="AA1504" i="1"/>
  <c r="Z1504" i="1"/>
  <c r="AB1480" i="1"/>
  <c r="AA1480" i="1"/>
  <c r="Z1480" i="1"/>
  <c r="AB1483" i="1"/>
  <c r="AA1483" i="1"/>
  <c r="Z1483" i="1"/>
  <c r="AB1824" i="1"/>
  <c r="AA1824" i="1"/>
  <c r="Z1824" i="1"/>
  <c r="AB1495" i="1"/>
  <c r="AA1495" i="1"/>
  <c r="Z1495" i="1"/>
  <c r="AB1440" i="1"/>
  <c r="Z1440" i="1"/>
  <c r="AB1403" i="1"/>
  <c r="AA1403" i="1"/>
  <c r="Z1403" i="1"/>
  <c r="AB1565" i="1"/>
  <c r="AA1565" i="1"/>
  <c r="Z1565" i="1"/>
  <c r="AB1402" i="1"/>
  <c r="AA1402" i="1"/>
  <c r="Z1402" i="1"/>
  <c r="AB1401" i="1"/>
  <c r="AA1401" i="1"/>
  <c r="Z1401" i="1"/>
  <c r="AB1513" i="1"/>
  <c r="AA1513" i="1"/>
  <c r="Z1513" i="1"/>
  <c r="AB1498" i="1"/>
  <c r="AA1498" i="1"/>
  <c r="Z1498" i="1"/>
  <c r="AB1341" i="1"/>
  <c r="AA1341" i="1"/>
  <c r="Z1341" i="1"/>
  <c r="AB1419" i="1"/>
  <c r="AA1419" i="1"/>
  <c r="Z1419" i="1"/>
  <c r="AB1492" i="1"/>
  <c r="AA1492" i="1"/>
  <c r="Z1492" i="1"/>
  <c r="AB1412" i="1"/>
  <c r="AA1412" i="1"/>
  <c r="Z1412" i="1"/>
  <c r="AB1433" i="1"/>
  <c r="AA1433" i="1"/>
  <c r="Z1433" i="1"/>
  <c r="AB1564" i="1"/>
  <c r="AA1564" i="1"/>
  <c r="Z1564" i="1"/>
  <c r="AB1776" i="1"/>
  <c r="AA1776" i="1"/>
  <c r="Z1776" i="1"/>
  <c r="AB1472" i="1"/>
  <c r="AA1472" i="1"/>
  <c r="Z1472" i="1"/>
  <c r="AB1511" i="1"/>
  <c r="AA1511" i="1"/>
  <c r="Z1511" i="1"/>
  <c r="AB1775" i="1"/>
  <c r="AA1775" i="1"/>
  <c r="Z1775" i="1"/>
  <c r="AB1486" i="1"/>
  <c r="AA1486" i="1"/>
  <c r="Z1486" i="1"/>
  <c r="AB1432" i="1"/>
  <c r="AA1432" i="1"/>
  <c r="Z1432" i="1"/>
  <c r="AB1340" i="1"/>
  <c r="AA1340" i="1"/>
  <c r="Z1340" i="1"/>
  <c r="AB1774" i="1"/>
  <c r="AA1774" i="1"/>
  <c r="Z1774" i="1"/>
  <c r="AB1339" i="1"/>
  <c r="AA1339" i="1"/>
  <c r="Z1339" i="1"/>
  <c r="AB1773" i="1"/>
  <c r="AA1773" i="1"/>
  <c r="Z1773" i="1"/>
  <c r="AB1510" i="1"/>
  <c r="AA1510" i="1"/>
  <c r="Z1510" i="1"/>
  <c r="AB1351" i="1"/>
  <c r="AA1351" i="1"/>
  <c r="Z1351" i="1"/>
  <c r="AB1471" i="1"/>
  <c r="AA1471" i="1"/>
  <c r="Z1471" i="1"/>
  <c r="AB1491" i="1"/>
  <c r="AA1491" i="1"/>
  <c r="Z1491" i="1"/>
  <c r="AB1574" i="1"/>
  <c r="AA1574" i="1"/>
  <c r="Z1574" i="1"/>
  <c r="AB1444" i="1"/>
  <c r="AA1444" i="1"/>
  <c r="Z1444" i="1"/>
  <c r="AC624" i="1"/>
  <c r="J1435" i="1"/>
  <c r="CQ458" i="1"/>
  <c r="CK1555" i="1"/>
  <c r="BA1555" i="1"/>
  <c r="CS1555" i="1"/>
  <c r="CZ1555" i="1"/>
  <c r="Z1555" i="1"/>
  <c r="AY862" i="1"/>
  <c r="BA996" i="1"/>
  <c r="CV996" i="1"/>
  <c r="Y996" i="1"/>
  <c r="DD996" i="1"/>
  <c r="AA996" i="1"/>
  <c r="DD1071" i="1"/>
  <c r="AA1071" i="1"/>
  <c r="CI1071" i="1"/>
  <c r="BA1071" i="1"/>
  <c r="CQ1071" i="1"/>
  <c r="CS1071" i="1"/>
  <c r="CZ1071" i="1"/>
  <c r="Z1071" i="1"/>
  <c r="AC346" i="1"/>
  <c r="DD346" i="1"/>
  <c r="DB346" i="1"/>
  <c r="CZ346" i="1"/>
  <c r="Z346" i="1"/>
  <c r="Z1819" i="1"/>
  <c r="AA1819" i="1"/>
  <c r="AB1819" i="1"/>
  <c r="Z1788" i="1"/>
  <c r="AA1788" i="1"/>
  <c r="AB1788" i="1"/>
  <c r="Z1881" i="1"/>
  <c r="AA1881" i="1"/>
  <c r="AB1881" i="1"/>
  <c r="Z1856" i="1"/>
  <c r="AA1856" i="1"/>
  <c r="AB1856" i="1"/>
  <c r="Z1400" i="1"/>
  <c r="AA1400" i="1"/>
  <c r="AB1400" i="1"/>
  <c r="Z1512" i="1"/>
  <c r="AA1512" i="1"/>
  <c r="AB1512" i="1"/>
  <c r="Z1487" i="1"/>
  <c r="AA1487" i="1"/>
  <c r="AB1487" i="1"/>
  <c r="Z1822" i="1"/>
  <c r="AA1822" i="1"/>
  <c r="AB1822" i="1"/>
  <c r="Z1802" i="1"/>
  <c r="AA1802" i="1"/>
  <c r="AB1802" i="1"/>
  <c r="Z1804" i="1"/>
  <c r="AA1804" i="1"/>
  <c r="AB1804" i="1"/>
  <c r="Z1821" i="1"/>
  <c r="AA1821" i="1"/>
  <c r="AB1821" i="1"/>
  <c r="Z1823" i="1"/>
  <c r="AA1823" i="1"/>
  <c r="AB1823" i="1"/>
  <c r="J866" i="1"/>
  <c r="K866" i="1"/>
  <c r="J1179" i="1"/>
  <c r="CS1477" i="1"/>
  <c r="BA1477" i="1"/>
  <c r="CZ1477" i="1"/>
  <c r="Z1477" i="1"/>
  <c r="BA1317" i="1"/>
  <c r="CQ1317" i="1"/>
  <c r="CS1317" i="1"/>
  <c r="CZ1317" i="1"/>
  <c r="Z1317" i="1"/>
  <c r="BA1408" i="1"/>
  <c r="CV1408" i="1"/>
  <c r="Y1408" i="1"/>
  <c r="CZ1408" i="1"/>
  <c r="Z1408" i="1"/>
  <c r="AC760" i="1"/>
  <c r="CZ1115" i="1"/>
  <c r="Z1115" i="1"/>
  <c r="DD1294" i="1"/>
  <c r="AA1294" i="1"/>
  <c r="CQ372" i="1"/>
  <c r="CS1189" i="1"/>
  <c r="CQ1189" i="1"/>
  <c r="CS1547" i="1"/>
  <c r="CQ1547" i="1"/>
  <c r="CZ1547" i="1"/>
  <c r="Z1547" i="1"/>
  <c r="Z704" i="1"/>
  <c r="AA704" i="1"/>
  <c r="AB704" i="1"/>
  <c r="CZ1460" i="1"/>
  <c r="Z1460" i="1"/>
  <c r="CA1101" i="1"/>
  <c r="CS1101" i="1"/>
  <c r="CQ1101" i="1"/>
  <c r="CK1101" i="1"/>
  <c r="BA1101" i="1"/>
  <c r="CZ1101" i="1"/>
  <c r="Z1101" i="1"/>
  <c r="CZ990" i="1"/>
  <c r="Z990" i="1"/>
  <c r="J990" i="1"/>
  <c r="M1188" i="1"/>
  <c r="M1087" i="1"/>
  <c r="J1087" i="1"/>
  <c r="K1087" i="1"/>
  <c r="J229" i="1"/>
  <c r="M133" i="1"/>
  <c r="J485" i="1"/>
  <c r="J536" i="1"/>
  <c r="K536" i="1"/>
  <c r="M1362" i="1"/>
  <c r="J1305" i="1"/>
  <c r="J1397" i="1"/>
  <c r="J1317" i="1"/>
  <c r="J1408" i="1"/>
  <c r="AY1026" i="1"/>
  <c r="AC1469" i="1"/>
  <c r="CX1189" i="1"/>
  <c r="AB1189" i="1"/>
  <c r="DB720" i="1"/>
  <c r="DD720" i="1"/>
  <c r="DD1293" i="1"/>
  <c r="AA1293" i="1"/>
  <c r="DD1189" i="1"/>
  <c r="AA1189" i="1"/>
  <c r="CX1222" i="1"/>
  <c r="AB1222" i="1"/>
  <c r="AC1222" i="1"/>
  <c r="DD1222" i="1"/>
  <c r="AA1222" i="1"/>
  <c r="CQ915" i="1"/>
  <c r="CK344" i="1"/>
  <c r="AC750" i="1"/>
  <c r="DB760" i="1"/>
  <c r="AA760" i="1"/>
  <c r="AC661" i="1"/>
  <c r="DB661" i="1"/>
  <c r="DD661" i="1"/>
  <c r="J1450" i="1"/>
  <c r="J1157" i="1"/>
  <c r="J100" i="1"/>
  <c r="DF1233" i="1"/>
  <c r="BK979" i="1"/>
  <c r="DD908" i="1"/>
  <c r="AA908" i="1"/>
  <c r="CK908" i="1"/>
  <c r="AY376" i="1"/>
  <c r="CX920" i="1"/>
  <c r="AB920" i="1"/>
  <c r="CQ624" i="1"/>
  <c r="CS1457" i="1"/>
  <c r="CQ1457" i="1"/>
  <c r="CK1457" i="1"/>
  <c r="BA1457" i="1"/>
  <c r="DC1457" i="1"/>
  <c r="CS1462" i="1"/>
  <c r="CQ1462" i="1"/>
  <c r="CZ1462" i="1"/>
  <c r="Z1462" i="1"/>
  <c r="CQ1421" i="1"/>
  <c r="CK1421" i="1"/>
  <c r="BM1421" i="1"/>
  <c r="BA1421" i="1"/>
  <c r="CZ1421" i="1"/>
  <c r="Z1421" i="1"/>
  <c r="CS1469" i="1"/>
  <c r="CQ1469" i="1"/>
  <c r="CZ1469" i="1"/>
  <c r="Z1469" i="1"/>
  <c r="CZ799" i="1"/>
  <c r="Z799" i="1"/>
  <c r="CS799" i="1"/>
  <c r="CQ799" i="1"/>
  <c r="CS646" i="1"/>
  <c r="CQ646" i="1"/>
  <c r="CZ646" i="1"/>
  <c r="Z646" i="1"/>
  <c r="CP458" i="1"/>
  <c r="CS458" i="1"/>
  <c r="CZ458" i="1"/>
  <c r="Z458" i="1"/>
  <c r="CY458" i="1"/>
  <c r="CO1055" i="1"/>
  <c r="CQ1055" i="1"/>
  <c r="CZ1055" i="1"/>
  <c r="Z1055" i="1"/>
  <c r="CQ1243" i="1"/>
  <c r="CV1243" i="1"/>
  <c r="Y1243" i="1"/>
  <c r="CZ1243" i="1"/>
  <c r="Z1243" i="1"/>
  <c r="CS1430" i="1"/>
  <c r="CQ1430" i="1"/>
  <c r="CK1430" i="1"/>
  <c r="BA1430" i="1"/>
  <c r="CZ1430" i="1"/>
  <c r="Z1430" i="1"/>
  <c r="J1101" i="1"/>
  <c r="AB1559" i="1"/>
  <c r="AA1559" i="1"/>
  <c r="Z1559" i="1"/>
  <c r="AB1552" i="1"/>
  <c r="AA1552" i="1"/>
  <c r="Z1552" i="1"/>
  <c r="AB1551" i="1"/>
  <c r="AA1551" i="1"/>
  <c r="Z1551" i="1"/>
  <c r="AB1811" i="1"/>
  <c r="AA1811" i="1"/>
  <c r="Z1811" i="1"/>
  <c r="AB1810" i="1"/>
  <c r="AA1810" i="1"/>
  <c r="AB1399" i="1"/>
  <c r="AA1399" i="1"/>
  <c r="Z1399" i="1"/>
  <c r="AB1809" i="1"/>
  <c r="AA1809" i="1"/>
  <c r="Z1809" i="1"/>
  <c r="AB1808" i="1"/>
  <c r="AA1808" i="1"/>
  <c r="Z1808" i="1"/>
  <c r="AB1805" i="1"/>
  <c r="AA1805" i="1"/>
  <c r="Z1805" i="1"/>
  <c r="AB1807" i="1"/>
  <c r="AA1807" i="1"/>
  <c r="Z1807" i="1"/>
  <c r="AB1806" i="1"/>
  <c r="AA1806" i="1"/>
  <c r="AB1803" i="1"/>
  <c r="AA1803" i="1"/>
  <c r="Z1803" i="1"/>
  <c r="AB1576" i="1"/>
  <c r="AA1576" i="1"/>
  <c r="Z1576" i="1"/>
  <c r="AB32" i="1"/>
  <c r="AA32" i="1"/>
  <c r="Z32" i="1"/>
  <c r="AB105" i="1"/>
  <c r="AA105" i="1"/>
  <c r="Z105" i="1"/>
  <c r="AB106" i="1"/>
  <c r="AA106" i="1"/>
  <c r="Z106" i="1"/>
  <c r="AB136" i="1"/>
  <c r="AA136" i="1"/>
  <c r="Z136" i="1"/>
  <c r="AB140" i="1"/>
  <c r="AA140" i="1"/>
  <c r="Z140" i="1"/>
  <c r="AB203" i="1"/>
  <c r="AA203" i="1"/>
  <c r="Z203" i="1"/>
  <c r="AB219" i="1"/>
  <c r="AA219" i="1"/>
  <c r="Z219" i="1"/>
  <c r="AB218" i="1"/>
  <c r="AA218" i="1"/>
  <c r="Z218" i="1"/>
  <c r="AB260" i="1"/>
  <c r="AA260" i="1"/>
  <c r="Z260" i="1"/>
  <c r="AB262" i="1"/>
  <c r="AA262" i="1"/>
  <c r="Z262" i="1"/>
  <c r="AB266" i="1"/>
  <c r="AA266" i="1"/>
  <c r="Z266" i="1"/>
  <c r="AB285" i="1"/>
  <c r="AA285" i="1"/>
  <c r="Z285" i="1"/>
  <c r="AB345" i="1"/>
  <c r="AA345" i="1"/>
  <c r="Z345" i="1"/>
  <c r="AB410" i="1"/>
  <c r="AA410" i="1"/>
  <c r="Z410" i="1"/>
  <c r="AB416" i="1"/>
  <c r="AA416" i="1"/>
  <c r="Z416" i="1"/>
  <c r="AB438" i="1"/>
  <c r="AA438" i="1"/>
  <c r="Z438" i="1"/>
  <c r="AB617" i="1"/>
  <c r="AA617" i="1"/>
  <c r="Z617" i="1"/>
  <c r="AB612" i="1"/>
  <c r="AA612" i="1"/>
  <c r="Z612" i="1"/>
  <c r="AB639" i="1"/>
  <c r="AA639" i="1"/>
  <c r="Z639" i="1"/>
  <c r="AB642" i="1"/>
  <c r="AA642" i="1"/>
  <c r="Z642" i="1"/>
  <c r="AB641" i="1"/>
  <c r="AA641" i="1"/>
  <c r="Z641" i="1"/>
  <c r="AB640" i="1"/>
  <c r="AA640" i="1"/>
  <c r="Z640" i="1"/>
  <c r="AB675" i="1"/>
  <c r="AA675" i="1"/>
  <c r="Z675" i="1"/>
  <c r="AB676" i="1"/>
  <c r="AA676" i="1"/>
  <c r="Z676" i="1"/>
  <c r="AB737" i="1"/>
  <c r="AA737" i="1"/>
  <c r="Z737" i="1"/>
  <c r="AB735" i="1"/>
  <c r="AA735" i="1"/>
  <c r="Z735" i="1"/>
  <c r="AB1797" i="1"/>
  <c r="AB1786" i="1"/>
  <c r="AA1786" i="1"/>
  <c r="Z1786" i="1"/>
  <c r="AA1484" i="1"/>
  <c r="Z1484" i="1"/>
  <c r="AB1146" i="1"/>
  <c r="Z1146" i="1"/>
  <c r="AB1470" i="1"/>
  <c r="AA1470" i="1"/>
  <c r="Z1470" i="1"/>
  <c r="AB1800" i="1"/>
  <c r="AA1800" i="1"/>
  <c r="Z1800" i="1"/>
  <c r="AB1801" i="1"/>
  <c r="AA1801" i="1"/>
  <c r="Z1801" i="1"/>
  <c r="AB1798" i="1"/>
  <c r="AA1798" i="1"/>
  <c r="Z1798" i="1"/>
  <c r="AB1796" i="1"/>
  <c r="AA1796" i="1"/>
  <c r="AB1547" i="1"/>
  <c r="AA1547" i="1"/>
  <c r="AA1451" i="1"/>
  <c r="Z1451" i="1"/>
  <c r="AB1446" i="1"/>
  <c r="AA1446" i="1"/>
  <c r="Z1446" i="1"/>
  <c r="AB1506" i="1"/>
  <c r="AA1506" i="1"/>
  <c r="AB1792" i="1"/>
  <c r="AA1792" i="1"/>
  <c r="Z1792" i="1"/>
  <c r="AB1787" i="1"/>
  <c r="Z1787" i="1"/>
  <c r="AB485" i="1"/>
  <c r="AA485" i="1"/>
  <c r="Z485" i="1"/>
  <c r="AB557" i="1"/>
  <c r="AA557" i="1"/>
  <c r="Z557" i="1"/>
  <c r="AB536" i="1"/>
  <c r="AA536" i="1"/>
  <c r="Z536" i="1"/>
  <c r="AB1780" i="1"/>
  <c r="AA1780" i="1"/>
  <c r="Z1780" i="1"/>
  <c r="AB1790" i="1"/>
  <c r="AA1790" i="1"/>
  <c r="Z1790" i="1"/>
  <c r="AB1580" i="1"/>
  <c r="AA1580" i="1"/>
  <c r="Z1580" i="1"/>
  <c r="AB772" i="1"/>
  <c r="AA772" i="1"/>
  <c r="Z772" i="1"/>
  <c r="AB770" i="1"/>
  <c r="AA770" i="1"/>
  <c r="Z770" i="1"/>
  <c r="AB771" i="1"/>
  <c r="AA771" i="1"/>
  <c r="Z771" i="1"/>
  <c r="AB814" i="1"/>
  <c r="AA814" i="1"/>
  <c r="Z814" i="1"/>
  <c r="AB812" i="1"/>
  <c r="AA812" i="1"/>
  <c r="Z812" i="1"/>
  <c r="AB813" i="1"/>
  <c r="AA813" i="1"/>
  <c r="Z813" i="1"/>
  <c r="AB837" i="1"/>
  <c r="AA837" i="1"/>
  <c r="Z837" i="1"/>
  <c r="AB839" i="1"/>
  <c r="AA839" i="1"/>
  <c r="Z839" i="1"/>
  <c r="AB834" i="1"/>
  <c r="AA834" i="1"/>
  <c r="Z834" i="1"/>
  <c r="AB838" i="1"/>
  <c r="AA838" i="1"/>
  <c r="Z838" i="1"/>
  <c r="AB836" i="1"/>
  <c r="AA836" i="1"/>
  <c r="Z836" i="1"/>
  <c r="AB878" i="1"/>
  <c r="AA878" i="1"/>
  <c r="Z878" i="1"/>
  <c r="AB879" i="1"/>
  <c r="AA879" i="1"/>
  <c r="Z879" i="1"/>
  <c r="AB955" i="1"/>
  <c r="AA955" i="1"/>
  <c r="Z955" i="1"/>
  <c r="AB973" i="1"/>
  <c r="AA973" i="1"/>
  <c r="Z973" i="1"/>
  <c r="AB972" i="1"/>
  <c r="AA972" i="1"/>
  <c r="Z972" i="1"/>
  <c r="AB1003" i="1"/>
  <c r="AA1003" i="1"/>
  <c r="Z1003" i="1"/>
  <c r="AB1005" i="1"/>
  <c r="AA1005" i="1"/>
  <c r="Z1005" i="1"/>
  <c r="AB1781" i="1"/>
  <c r="AA1781" i="1"/>
  <c r="Z1781" i="1"/>
  <c r="AB1573" i="1"/>
  <c r="AA1573" i="1"/>
  <c r="Z1573" i="1"/>
  <c r="AB1778" i="1"/>
  <c r="AA1778" i="1"/>
  <c r="Z1778" i="1"/>
  <c r="AB1777" i="1"/>
  <c r="AA1777" i="1"/>
  <c r="Z1777" i="1"/>
  <c r="AB1578" i="1"/>
  <c r="AA1578" i="1"/>
  <c r="Z1578" i="1"/>
  <c r="AB1032" i="1"/>
  <c r="AA1032" i="1"/>
  <c r="Z1032" i="1"/>
  <c r="AB1033" i="1"/>
  <c r="AA1033" i="1"/>
  <c r="Z1033" i="1"/>
  <c r="AB1068" i="1"/>
  <c r="AA1068" i="1"/>
  <c r="Z1068" i="1"/>
  <c r="AB1273" i="1"/>
  <c r="AA1273" i="1"/>
  <c r="Z1273" i="1"/>
  <c r="AB1134" i="1"/>
  <c r="AA1134" i="1"/>
  <c r="Z1134" i="1"/>
  <c r="AB1203" i="1"/>
  <c r="AA1203" i="1"/>
  <c r="Z1203" i="1"/>
  <c r="AB1204" i="1"/>
  <c r="AA1204" i="1"/>
  <c r="Z1204" i="1"/>
  <c r="AB1272" i="1"/>
  <c r="AA1272" i="1"/>
  <c r="Z1272" i="1"/>
  <c r="AB1276" i="1"/>
  <c r="AA1276" i="1"/>
  <c r="Z1276" i="1"/>
  <c r="AB1275" i="1"/>
  <c r="AA1275" i="1"/>
  <c r="Z1275" i="1"/>
  <c r="AB1271" i="1"/>
  <c r="AA1271" i="1"/>
  <c r="Z1271" i="1"/>
  <c r="AB1305" i="1"/>
  <c r="AA1305" i="1"/>
  <c r="Z1305" i="1"/>
  <c r="AB1360" i="1"/>
  <c r="AA1360" i="1"/>
  <c r="Z1360" i="1"/>
  <c r="AB1358" i="1"/>
  <c r="AA1358" i="1"/>
  <c r="Z1358" i="1"/>
  <c r="AB1365" i="1"/>
  <c r="AA1365" i="1"/>
  <c r="Z1365" i="1"/>
  <c r="AB1359" i="1"/>
  <c r="AA1359" i="1"/>
  <c r="Z1359" i="1"/>
  <c r="AB1356" i="1"/>
  <c r="AA1356" i="1"/>
  <c r="Z1356" i="1"/>
  <c r="AB1361" i="1"/>
  <c r="AA1361" i="1"/>
  <c r="Z1361" i="1"/>
  <c r="AB1364" i="1"/>
  <c r="AA1364" i="1"/>
  <c r="Z1364" i="1"/>
  <c r="AB1362" i="1"/>
  <c r="AA1362" i="1"/>
  <c r="Z1362" i="1"/>
  <c r="AB1363" i="1"/>
  <c r="AA1363" i="1"/>
  <c r="Z1363" i="1"/>
  <c r="AB1357" i="1"/>
  <c r="AA1357" i="1"/>
  <c r="Z1357" i="1"/>
  <c r="AB1366" i="1"/>
  <c r="AA1366" i="1"/>
  <c r="Z1366" i="1"/>
  <c r="AB1396" i="1"/>
  <c r="AA1396" i="1"/>
  <c r="Z1396" i="1"/>
  <c r="AB1395" i="1"/>
  <c r="AA1395" i="1"/>
  <c r="Z1395" i="1"/>
  <c r="AB1397" i="1"/>
  <c r="AA1397" i="1"/>
  <c r="Z1397" i="1"/>
  <c r="AB1582" i="1"/>
  <c r="AA1582" i="1"/>
  <c r="Z1582" i="1"/>
  <c r="AB1566" i="1"/>
  <c r="AA1566" i="1"/>
  <c r="Z1566" i="1"/>
  <c r="AB1545" i="1"/>
  <c r="AA1545" i="1"/>
  <c r="Z1545" i="1"/>
  <c r="AB1544" i="1"/>
  <c r="AA1544" i="1"/>
  <c r="Z1544" i="1"/>
  <c r="AB1543" i="1"/>
  <c r="AA1543" i="1"/>
  <c r="Z1543" i="1"/>
  <c r="AB1542" i="1"/>
  <c r="AA1542" i="1"/>
  <c r="Z1542" i="1"/>
  <c r="AB1541" i="1"/>
  <c r="AA1541" i="1"/>
  <c r="Z1541" i="1"/>
  <c r="AB1540" i="1"/>
  <c r="AA1540" i="1"/>
  <c r="Z1540" i="1"/>
  <c r="AB1539" i="1"/>
  <c r="AA1539" i="1"/>
  <c r="Z1539" i="1"/>
  <c r="AB1538" i="1"/>
  <c r="AA1538" i="1"/>
  <c r="Z1538" i="1"/>
  <c r="AB1537" i="1"/>
  <c r="AA1537" i="1"/>
  <c r="Z1537" i="1"/>
  <c r="AB1536" i="1"/>
  <c r="AA1536" i="1"/>
  <c r="Z1536" i="1"/>
  <c r="AB1535" i="1"/>
  <c r="AA1535" i="1"/>
  <c r="Z1535" i="1"/>
  <c r="AB1534" i="1"/>
  <c r="AA1534" i="1"/>
  <c r="Z1534" i="1"/>
  <c r="AB1533" i="1"/>
  <c r="AA1533" i="1"/>
  <c r="Z1533" i="1"/>
  <c r="AB1532" i="1"/>
  <c r="AA1532" i="1"/>
  <c r="Z1532" i="1"/>
  <c r="AB1531" i="1"/>
  <c r="AA1531" i="1"/>
  <c r="Z1531" i="1"/>
  <c r="AB1530" i="1"/>
  <c r="AA1530" i="1"/>
  <c r="Z1530" i="1"/>
  <c r="AB1529" i="1"/>
  <c r="AA1529" i="1"/>
  <c r="Z1529" i="1"/>
  <c r="AB1528" i="1"/>
  <c r="AA1528" i="1"/>
  <c r="Z1528" i="1"/>
  <c r="AB1523" i="1"/>
  <c r="AA1523" i="1"/>
  <c r="Z1523" i="1"/>
  <c r="AB1569" i="1"/>
  <c r="AA1569" i="1"/>
  <c r="Z1569" i="1"/>
  <c r="AB948" i="1"/>
  <c r="AA948" i="1"/>
  <c r="Z948" i="1"/>
  <c r="AB942" i="1"/>
  <c r="AA942" i="1"/>
  <c r="Z942" i="1"/>
  <c r="AB1414" i="1"/>
  <c r="AA1414" i="1"/>
  <c r="Z1414" i="1"/>
  <c r="AB1317" i="1"/>
  <c r="AB1408" i="1"/>
  <c r="AB1323" i="1"/>
  <c r="AA1323" i="1"/>
  <c r="Z1323" i="1"/>
  <c r="Z1322" i="1"/>
  <c r="AA1322" i="1"/>
  <c r="AB1322" i="1"/>
  <c r="Z1311" i="1"/>
  <c r="AA1311" i="1"/>
  <c r="AB1311" i="1"/>
  <c r="AB1310" i="1"/>
  <c r="AA1310" i="1"/>
  <c r="Z1310" i="1"/>
  <c r="AB1312" i="1"/>
  <c r="AA1312" i="1"/>
  <c r="Z1312" i="1"/>
  <c r="AB1299" i="1"/>
  <c r="AA1299" i="1"/>
  <c r="Z1299" i="1"/>
  <c r="AB1298" i="1"/>
  <c r="AA1298" i="1"/>
  <c r="Z1298" i="1"/>
  <c r="AB1277" i="1"/>
  <c r="AA1277" i="1"/>
  <c r="Z1277" i="1"/>
  <c r="AB1278" i="1"/>
  <c r="AA1278" i="1"/>
  <c r="Z1278" i="1"/>
  <c r="AB1268" i="1"/>
  <c r="AA1268" i="1"/>
  <c r="Z1268" i="1"/>
  <c r="AB1260" i="1"/>
  <c r="AA1260" i="1"/>
  <c r="Z1260" i="1"/>
  <c r="AB1254" i="1"/>
  <c r="AA1254" i="1"/>
  <c r="Z1254" i="1"/>
  <c r="AB1224" i="1"/>
  <c r="AA1224" i="1"/>
  <c r="Z1224" i="1"/>
  <c r="AB1223" i="1"/>
  <c r="AA1223" i="1"/>
  <c r="Z1223" i="1"/>
  <c r="AB1179" i="1"/>
  <c r="AA1179" i="1"/>
  <c r="AB1181" i="1"/>
  <c r="AA1181" i="1"/>
  <c r="Z1181" i="1"/>
  <c r="AB1184" i="1"/>
  <c r="AA1184" i="1"/>
  <c r="Z1184" i="1"/>
  <c r="AB1150" i="1"/>
  <c r="AA1150" i="1"/>
  <c r="Z1150" i="1"/>
  <c r="AB1138" i="1"/>
  <c r="AA1138" i="1"/>
  <c r="Z1138" i="1"/>
  <c r="AB1137" i="1"/>
  <c r="AA1137" i="1"/>
  <c r="Z1137" i="1"/>
  <c r="AB1136" i="1"/>
  <c r="AA1136" i="1"/>
  <c r="Z1136" i="1"/>
  <c r="AB1081" i="1"/>
  <c r="AA1081" i="1"/>
  <c r="Z1081" i="1"/>
  <c r="AB1080" i="1"/>
  <c r="AA1080" i="1"/>
  <c r="Z1080" i="1"/>
  <c r="AB1082" i="1"/>
  <c r="AA1082" i="1"/>
  <c r="Z1082" i="1"/>
  <c r="AB1050" i="1"/>
  <c r="AA1050" i="1"/>
  <c r="Z1050" i="1"/>
  <c r="AB1049" i="1"/>
  <c r="AA1049" i="1"/>
  <c r="Z1049" i="1"/>
  <c r="AB1041" i="1"/>
  <c r="AA1041" i="1"/>
  <c r="Z1041" i="1"/>
  <c r="AB1030" i="1"/>
  <c r="AA1030" i="1"/>
  <c r="Z1030" i="1"/>
  <c r="AB1029" i="1"/>
  <c r="AA1029" i="1"/>
  <c r="Z1029" i="1"/>
  <c r="AB1021" i="1"/>
  <c r="AA1021" i="1"/>
  <c r="Z1021" i="1"/>
  <c r="AB998" i="1"/>
  <c r="AA998" i="1"/>
  <c r="Z998" i="1"/>
  <c r="AB964" i="1"/>
  <c r="AA964" i="1"/>
  <c r="Z964" i="1"/>
  <c r="AB963" i="1"/>
  <c r="AA963" i="1"/>
  <c r="Z963" i="1"/>
  <c r="AB962" i="1"/>
  <c r="AA962" i="1"/>
  <c r="Z962" i="1"/>
  <c r="AB961" i="1"/>
  <c r="AA961" i="1"/>
  <c r="Z961" i="1"/>
  <c r="AB960" i="1"/>
  <c r="AA960" i="1"/>
  <c r="Z960" i="1"/>
  <c r="AB914" i="1"/>
  <c r="AA914" i="1"/>
  <c r="Z914" i="1"/>
  <c r="AB901" i="1"/>
  <c r="AA901" i="1"/>
  <c r="Z901" i="1"/>
  <c r="AB899" i="1"/>
  <c r="AA899" i="1"/>
  <c r="Z899" i="1"/>
  <c r="AB902" i="1"/>
  <c r="AA902" i="1"/>
  <c r="Z902" i="1"/>
  <c r="AB900" i="1"/>
  <c r="AA900" i="1"/>
  <c r="Z900" i="1"/>
  <c r="AB883" i="1"/>
  <c r="AA883" i="1"/>
  <c r="Z883" i="1"/>
  <c r="AB822" i="1"/>
  <c r="AA822" i="1"/>
  <c r="Z822" i="1"/>
  <c r="AB823" i="1"/>
  <c r="AA823" i="1"/>
  <c r="Z823" i="1"/>
  <c r="AB824" i="1"/>
  <c r="AA824" i="1"/>
  <c r="Z824" i="1"/>
  <c r="AB717" i="1"/>
  <c r="AA717" i="1"/>
  <c r="Z717" i="1"/>
  <c r="AB690" i="1"/>
  <c r="AA690" i="1"/>
  <c r="Z690" i="1"/>
  <c r="AB627" i="1"/>
  <c r="AA627" i="1"/>
  <c r="Z627" i="1"/>
  <c r="AB626" i="1"/>
  <c r="AA626" i="1"/>
  <c r="Z626" i="1"/>
  <c r="AB420" i="1"/>
  <c r="AA420" i="1"/>
  <c r="Z420" i="1"/>
  <c r="AB246" i="1"/>
  <c r="AA246" i="1"/>
  <c r="Z246" i="1"/>
  <c r="AB226" i="1"/>
  <c r="AA226" i="1"/>
  <c r="Z226" i="1"/>
  <c r="AB225" i="1"/>
  <c r="AA225" i="1"/>
  <c r="Z225" i="1"/>
  <c r="AB224" i="1"/>
  <c r="AA224" i="1"/>
  <c r="Z224" i="1"/>
  <c r="AB223" i="1"/>
  <c r="AA223" i="1"/>
  <c r="Z223" i="1"/>
  <c r="AB192" i="1"/>
  <c r="AA192" i="1"/>
  <c r="Z192" i="1"/>
  <c r="AB193" i="1"/>
  <c r="AA193" i="1"/>
  <c r="Z193" i="1"/>
  <c r="AB175" i="1"/>
  <c r="AA175" i="1"/>
  <c r="Z175" i="1"/>
  <c r="AB168" i="1"/>
  <c r="AA168" i="1"/>
  <c r="Z168" i="1"/>
  <c r="AB171" i="1"/>
  <c r="AA171" i="1"/>
  <c r="Z171" i="1"/>
  <c r="AB170" i="1"/>
  <c r="AA170" i="1"/>
  <c r="Z170" i="1"/>
  <c r="AB169" i="1"/>
  <c r="AA169" i="1"/>
  <c r="Z169" i="1"/>
  <c r="AB167" i="1"/>
  <c r="AA167" i="1"/>
  <c r="Z167" i="1"/>
  <c r="AB154" i="1"/>
  <c r="AA154" i="1"/>
  <c r="Z154" i="1"/>
  <c r="AB139" i="1"/>
  <c r="AA139" i="1"/>
  <c r="Z139" i="1"/>
  <c r="AB125" i="1"/>
  <c r="AA125" i="1"/>
  <c r="Z125" i="1"/>
  <c r="AB118" i="1"/>
  <c r="AA118" i="1"/>
  <c r="Z118" i="1"/>
  <c r="AB96" i="1"/>
  <c r="AA96" i="1"/>
  <c r="Z96" i="1"/>
  <c r="AB93" i="1"/>
  <c r="AA93" i="1"/>
  <c r="Z93" i="1"/>
  <c r="AB70" i="1"/>
  <c r="AA70" i="1"/>
  <c r="Z70" i="1"/>
  <c r="AB69" i="1"/>
  <c r="AA69" i="1"/>
  <c r="Z69" i="1"/>
  <c r="AB68" i="1"/>
  <c r="AA68" i="1"/>
  <c r="Z68" i="1"/>
  <c r="AB66" i="1"/>
  <c r="AA66" i="1"/>
  <c r="Z66" i="1"/>
  <c r="AB65" i="1"/>
  <c r="AA65" i="1"/>
  <c r="Z65" i="1"/>
  <c r="AB64" i="1"/>
  <c r="AA64" i="1"/>
  <c r="Z64" i="1"/>
  <c r="AB48" i="1"/>
  <c r="AA48" i="1"/>
  <c r="Z48" i="1"/>
  <c r="AB47" i="1"/>
  <c r="AA47" i="1"/>
  <c r="Z47" i="1"/>
  <c r="AB275" i="1"/>
  <c r="AA275" i="1"/>
  <c r="Z275" i="1"/>
  <c r="AB274" i="1"/>
  <c r="AA274" i="1"/>
  <c r="Z274" i="1"/>
  <c r="AB1418" i="1"/>
  <c r="AA1418" i="1"/>
  <c r="Z1418" i="1"/>
  <c r="AB859" i="1"/>
  <c r="AA859" i="1"/>
  <c r="Z859" i="1"/>
  <c r="AB1132" i="1"/>
  <c r="AA1132" i="1"/>
  <c r="Z1132" i="1"/>
  <c r="AB1555" i="1"/>
  <c r="AA1555" i="1"/>
  <c r="AB1449" i="1"/>
  <c r="AA1449" i="1"/>
  <c r="Z1449" i="1"/>
  <c r="AB1450" i="1"/>
  <c r="AA1450" i="1"/>
  <c r="Z1450" i="1"/>
  <c r="AB133" i="1"/>
  <c r="AA133" i="1"/>
  <c r="Z133" i="1"/>
  <c r="AB1481" i="1"/>
  <c r="AA1481" i="1"/>
  <c r="Z1481" i="1"/>
  <c r="AB1567" i="1"/>
  <c r="AA1567" i="1"/>
  <c r="Z1567" i="1"/>
  <c r="AB1072" i="1"/>
  <c r="AA1072" i="1"/>
  <c r="Z1072" i="1"/>
  <c r="AB1334" i="1"/>
  <c r="AA1334" i="1"/>
  <c r="Z1334" i="1"/>
  <c r="AB426" i="1"/>
  <c r="AA426" i="1"/>
  <c r="Z426" i="1"/>
  <c r="AB1170" i="1"/>
  <c r="AA1170" i="1"/>
  <c r="Z1170" i="1"/>
  <c r="AB1548" i="1"/>
  <c r="AA1548" i="1"/>
  <c r="Z1548" i="1"/>
  <c r="AB1522" i="1"/>
  <c r="AA1522" i="1"/>
  <c r="Z1522" i="1"/>
  <c r="AB1521" i="1"/>
  <c r="AA1521" i="1"/>
  <c r="Z1521" i="1"/>
  <c r="AB1527" i="1"/>
  <c r="AA1527" i="1"/>
  <c r="Z1527" i="1"/>
  <c r="AB1526" i="1"/>
  <c r="AA1526" i="1"/>
  <c r="Z1526" i="1"/>
  <c r="AB1525" i="1"/>
  <c r="AA1525" i="1"/>
  <c r="Z1525" i="1"/>
  <c r="AB1524" i="1"/>
  <c r="AA1524" i="1"/>
  <c r="Z1524" i="1"/>
  <c r="AB1520" i="1"/>
  <c r="AA1520" i="1"/>
  <c r="Z1520" i="1"/>
  <c r="AB1519" i="1"/>
  <c r="AA1519" i="1"/>
  <c r="Z1519" i="1"/>
  <c r="AB1518" i="1"/>
  <c r="AA1518" i="1"/>
  <c r="Z1518" i="1"/>
  <c r="AB1517" i="1"/>
  <c r="AA1517" i="1"/>
  <c r="Z1517" i="1"/>
  <c r="AB1516" i="1"/>
  <c r="AA1516" i="1"/>
  <c r="Z1516" i="1"/>
  <c r="AB1515" i="1"/>
  <c r="AA1515" i="1"/>
  <c r="Z1515" i="1"/>
  <c r="AB1514" i="1"/>
  <c r="AA1514" i="1"/>
  <c r="Z1514" i="1"/>
  <c r="AB1546" i="1"/>
  <c r="AA1546" i="1"/>
  <c r="Z1546" i="1"/>
  <c r="AB1553" i="1"/>
  <c r="AA1553" i="1"/>
  <c r="Z1553" i="1"/>
  <c r="AB1556" i="1"/>
  <c r="AA1556" i="1"/>
  <c r="Z1556" i="1"/>
  <c r="AB1563" i="1"/>
  <c r="AA1563" i="1"/>
  <c r="Z1563" i="1"/>
  <c r="AB1560" i="1"/>
  <c r="AA1560" i="1"/>
  <c r="Z1560" i="1"/>
  <c r="AB1127" i="1"/>
  <c r="AA1127" i="1"/>
  <c r="Z1127" i="1"/>
  <c r="AB387" i="1"/>
  <c r="AA387" i="1"/>
  <c r="Z387" i="1"/>
  <c r="AB386" i="1"/>
  <c r="AA386" i="1"/>
  <c r="Z386" i="1"/>
  <c r="AB340" i="1"/>
  <c r="AA340" i="1"/>
  <c r="Z340" i="1"/>
  <c r="AB1381" i="1"/>
  <c r="AA1381" i="1"/>
  <c r="Z1381" i="1"/>
  <c r="AB1427" i="1"/>
  <c r="AA1427" i="1"/>
  <c r="Z1427" i="1"/>
  <c r="AB1420" i="1"/>
  <c r="AA1420" i="1"/>
  <c r="Z1420" i="1"/>
  <c r="AB763" i="1"/>
  <c r="AA763" i="1"/>
  <c r="Z763" i="1"/>
  <c r="AB1238" i="1"/>
  <c r="AA1238" i="1"/>
  <c r="Z1238" i="1"/>
  <c r="AB1131" i="1"/>
  <c r="AA1131" i="1"/>
  <c r="Z1131" i="1"/>
  <c r="AB1130" i="1"/>
  <c r="AA1130" i="1"/>
  <c r="Z1130" i="1"/>
  <c r="AB1269" i="1"/>
  <c r="AA1269" i="1"/>
  <c r="Z1269" i="1"/>
  <c r="AB1234" i="1"/>
  <c r="AA1234" i="1"/>
  <c r="Z1234" i="1"/>
  <c r="AB277" i="1"/>
  <c r="AA277" i="1"/>
  <c r="Z277" i="1"/>
  <c r="AB208" i="1"/>
  <c r="AA208" i="1"/>
  <c r="Z208" i="1"/>
  <c r="AB1474" i="1"/>
  <c r="AA1474" i="1"/>
  <c r="Z1474" i="1"/>
  <c r="AB1354" i="1"/>
  <c r="AA1354" i="1"/>
  <c r="Z1354" i="1"/>
  <c r="AB945" i="1"/>
  <c r="AA945" i="1"/>
  <c r="Z945" i="1"/>
  <c r="AB1125" i="1"/>
  <c r="AA1125" i="1"/>
  <c r="Z1125" i="1"/>
  <c r="AB1558" i="1"/>
  <c r="AA1558" i="1"/>
  <c r="Z1558" i="1"/>
  <c r="AB1557" i="1"/>
  <c r="AA1557" i="1"/>
  <c r="Z1557" i="1"/>
  <c r="AB1554" i="1"/>
  <c r="AA1554" i="1"/>
  <c r="Z1554" i="1"/>
  <c r="AB1550" i="1"/>
  <c r="AA1550" i="1"/>
  <c r="Z1550" i="1"/>
  <c r="AB100" i="1"/>
  <c r="AA100" i="1"/>
  <c r="Z100" i="1"/>
  <c r="AB685" i="1"/>
  <c r="AA685" i="1"/>
  <c r="Z685" i="1"/>
  <c r="AB1549" i="1"/>
  <c r="AA1549" i="1"/>
  <c r="Z1549" i="1"/>
  <c r="AB1508" i="1"/>
  <c r="AA1508" i="1"/>
  <c r="Z1508" i="1"/>
  <c r="AB1505" i="1"/>
  <c r="AA1505" i="1"/>
  <c r="Z1505" i="1"/>
  <c r="AB1507" i="1"/>
  <c r="AA1507" i="1"/>
  <c r="Z1507" i="1"/>
  <c r="AB1509" i="1"/>
  <c r="AA1509" i="1"/>
  <c r="Z1509" i="1"/>
  <c r="AB1502" i="1"/>
  <c r="AA1502" i="1"/>
  <c r="Z1502" i="1"/>
  <c r="AB1501" i="1"/>
  <c r="AA1501" i="1"/>
  <c r="Z1501" i="1"/>
  <c r="AB1500" i="1"/>
  <c r="AA1500" i="1"/>
  <c r="Z1500" i="1"/>
  <c r="AB1503" i="1"/>
  <c r="Z1503" i="1"/>
  <c r="AB1493" i="1"/>
  <c r="AA1493" i="1"/>
  <c r="Z1493" i="1"/>
  <c r="AB1494" i="1"/>
  <c r="AA1494" i="1"/>
  <c r="Z1494" i="1"/>
  <c r="AB1496" i="1"/>
  <c r="AA1496" i="1"/>
  <c r="Z1496" i="1"/>
  <c r="AB1485" i="1"/>
  <c r="AA1485" i="1"/>
  <c r="Z1485" i="1"/>
  <c r="AB1467" i="1"/>
  <c r="AA1467" i="1"/>
  <c r="Z1467" i="1"/>
  <c r="Z1266" i="1"/>
  <c r="AA1266" i="1"/>
  <c r="AB1266" i="1"/>
  <c r="AB1454" i="1"/>
  <c r="AA1454" i="1"/>
  <c r="Z1454" i="1"/>
  <c r="AB1447" i="1"/>
  <c r="AA1447" i="1"/>
  <c r="Z1447" i="1"/>
  <c r="AB967" i="1"/>
  <c r="AA967" i="1"/>
  <c r="Z967" i="1"/>
  <c r="AB1443" i="1"/>
  <c r="AA1443" i="1"/>
  <c r="Z1443" i="1"/>
  <c r="AB1438" i="1"/>
  <c r="AA1438" i="1"/>
  <c r="Z1438" i="1"/>
  <c r="AB1089" i="1"/>
  <c r="AA1089" i="1"/>
  <c r="Z1089" i="1"/>
  <c r="AB1194" i="1"/>
  <c r="AA1194" i="1"/>
  <c r="Z1194" i="1"/>
  <c r="AB1332" i="1"/>
  <c r="AA1332" i="1"/>
  <c r="Z1332" i="1"/>
  <c r="AB1201" i="1"/>
  <c r="AA1201" i="1"/>
  <c r="Z1201" i="1"/>
  <c r="AB1476" i="1"/>
  <c r="AA1476" i="1"/>
  <c r="Z1476" i="1"/>
  <c r="AB1479" i="1"/>
  <c r="AA1479" i="1"/>
  <c r="Z1479" i="1"/>
  <c r="AB1478" i="1"/>
  <c r="AA1478" i="1"/>
  <c r="Z1478" i="1"/>
  <c r="AB1436" i="1"/>
  <c r="AA1436" i="1"/>
  <c r="Z1436" i="1"/>
  <c r="AB1477" i="1"/>
  <c r="AA1477" i="1"/>
  <c r="AB1473" i="1"/>
  <c r="AA1473" i="1"/>
  <c r="Z1473" i="1"/>
  <c r="AB1475" i="1"/>
  <c r="AA1475" i="1"/>
  <c r="Z1475" i="1"/>
  <c r="AB1459" i="1"/>
  <c r="AA1459" i="1"/>
  <c r="Z1459" i="1"/>
  <c r="AB1460" i="1"/>
  <c r="AA1460" i="1"/>
  <c r="AB1466" i="1"/>
  <c r="AA1466" i="1"/>
  <c r="Z1466" i="1"/>
  <c r="AB1457" i="1"/>
  <c r="Z1457" i="1"/>
  <c r="AB1462" i="1"/>
  <c r="AA1462" i="1"/>
  <c r="AB1421" i="1"/>
  <c r="AA1421" i="1"/>
  <c r="AB1469" i="1"/>
  <c r="AA1469" i="1"/>
  <c r="AB1055" i="1"/>
  <c r="AA1055" i="1"/>
  <c r="AB1373" i="1"/>
  <c r="AA1373" i="1"/>
  <c r="Z1373" i="1"/>
  <c r="AB1465" i="1"/>
  <c r="AA1465" i="1"/>
  <c r="Z1465" i="1"/>
  <c r="AB1409" i="1"/>
  <c r="AA1409" i="1"/>
  <c r="Z1409" i="1"/>
  <c r="AB1410" i="1"/>
  <c r="AA1410" i="1"/>
  <c r="Z1410" i="1"/>
  <c r="AB1453" i="1"/>
  <c r="AA1453" i="1"/>
  <c r="Z1453" i="1"/>
  <c r="AB1452" i="1"/>
  <c r="AA1452" i="1"/>
  <c r="Z1452" i="1"/>
  <c r="AB1439" i="1"/>
  <c r="AA1439" i="1"/>
  <c r="Z1439" i="1"/>
  <c r="AB1445" i="1"/>
  <c r="AB1431" i="1"/>
  <c r="AA1431" i="1"/>
  <c r="Z1431" i="1"/>
  <c r="AB1437" i="1"/>
  <c r="AA1437" i="1"/>
  <c r="Z1437" i="1"/>
  <c r="AB1442" i="1"/>
  <c r="AA1442" i="1"/>
  <c r="Z1442" i="1"/>
  <c r="AB1441" i="1"/>
  <c r="AA1441" i="1"/>
  <c r="Z1441" i="1"/>
  <c r="AB1429" i="1"/>
  <c r="AA1429" i="1"/>
  <c r="Z1429" i="1"/>
  <c r="Z3" i="1"/>
  <c r="AA3" i="1"/>
  <c r="AB3" i="1"/>
  <c r="CV3" i="1"/>
  <c r="Y3" i="1"/>
  <c r="Z4" i="1"/>
  <c r="AA4" i="1"/>
  <c r="AB4" i="1"/>
  <c r="J5" i="1"/>
  <c r="Z5" i="1"/>
  <c r="AA5" i="1"/>
  <c r="AB5" i="1"/>
  <c r="Z6" i="1"/>
  <c r="AA6" i="1"/>
  <c r="AB6" i="1"/>
  <c r="Z7" i="1"/>
  <c r="AA7" i="1"/>
  <c r="AB7" i="1"/>
  <c r="Z8" i="1"/>
  <c r="AA8" i="1"/>
  <c r="AB8" i="1"/>
  <c r="Z11" i="1"/>
  <c r="AA11" i="1"/>
  <c r="AB11" i="1"/>
  <c r="Z12" i="1"/>
  <c r="AA12" i="1"/>
  <c r="AB12" i="1"/>
  <c r="Z9" i="1"/>
  <c r="AA9" i="1"/>
  <c r="AB9" i="1"/>
  <c r="Z10" i="1"/>
  <c r="AA10" i="1"/>
  <c r="AB10" i="1"/>
  <c r="Z13" i="1"/>
  <c r="AA13" i="1"/>
  <c r="AB13" i="1"/>
  <c r="J14" i="1"/>
  <c r="Z14" i="1"/>
  <c r="AA14" i="1"/>
  <c r="AB14" i="1"/>
  <c r="Z15" i="1"/>
  <c r="AA15" i="1"/>
  <c r="AB15" i="1"/>
  <c r="J16" i="1"/>
  <c r="K16" i="1"/>
  <c r="Z16" i="1"/>
  <c r="AA16" i="1"/>
  <c r="AB16" i="1"/>
  <c r="Z17" i="1"/>
  <c r="AA17" i="1"/>
  <c r="AB17" i="1"/>
  <c r="Z18" i="1"/>
  <c r="AA18" i="1"/>
  <c r="AB18" i="1"/>
  <c r="Z19" i="1"/>
  <c r="AA19" i="1"/>
  <c r="AB19" i="1"/>
  <c r="Z20" i="1"/>
  <c r="AA20" i="1"/>
  <c r="AB20" i="1"/>
  <c r="Z21" i="1"/>
  <c r="AA21" i="1"/>
  <c r="AB21" i="1"/>
  <c r="Z22" i="1"/>
  <c r="AA22" i="1"/>
  <c r="AB22" i="1"/>
  <c r="Z23" i="1"/>
  <c r="AA23" i="1"/>
  <c r="AB23" i="1"/>
  <c r="L24" i="1"/>
  <c r="M24" i="1"/>
  <c r="Z24" i="1"/>
  <c r="AA24" i="1"/>
  <c r="AB24" i="1"/>
  <c r="Z25" i="1"/>
  <c r="AA25" i="1"/>
  <c r="AB25" i="1"/>
  <c r="Z26" i="1"/>
  <c r="AA26" i="1"/>
  <c r="AB26" i="1"/>
  <c r="Z27" i="1"/>
  <c r="AA27" i="1"/>
  <c r="AB27" i="1"/>
  <c r="Z28" i="1"/>
  <c r="AA28" i="1"/>
  <c r="AB28" i="1"/>
  <c r="J29" i="1"/>
  <c r="Z29" i="1"/>
  <c r="AA29" i="1"/>
  <c r="AB29" i="1"/>
  <c r="Z30" i="1"/>
  <c r="AA30" i="1"/>
  <c r="AB30" i="1"/>
  <c r="Z31" i="1"/>
  <c r="AA31" i="1"/>
  <c r="AB31" i="1"/>
  <c r="Z33" i="1"/>
  <c r="AA33" i="1"/>
  <c r="AB33" i="1"/>
  <c r="J34" i="1"/>
  <c r="K34" i="1"/>
  <c r="M34" i="1"/>
  <c r="Z34" i="1"/>
  <c r="AA34" i="1"/>
  <c r="AB34" i="1"/>
  <c r="J35" i="1"/>
  <c r="Z35" i="1"/>
  <c r="AA35" i="1"/>
  <c r="AB35" i="1"/>
  <c r="Z36" i="1"/>
  <c r="AA36" i="1"/>
  <c r="AB36" i="1"/>
  <c r="Z37" i="1"/>
  <c r="AA37" i="1"/>
  <c r="AB37" i="1"/>
  <c r="Z38" i="1"/>
  <c r="AA38" i="1"/>
  <c r="AB38" i="1"/>
  <c r="Z39" i="1"/>
  <c r="AA39" i="1"/>
  <c r="AB39" i="1"/>
  <c r="Z40" i="1"/>
  <c r="AA40" i="1"/>
  <c r="AB40" i="1"/>
  <c r="Z41" i="1"/>
  <c r="AA41" i="1"/>
  <c r="AB41" i="1"/>
  <c r="Z42" i="1"/>
  <c r="AA42" i="1"/>
  <c r="AB42" i="1"/>
  <c r="Z43" i="1"/>
  <c r="AA43" i="1"/>
  <c r="AB43" i="1"/>
  <c r="Z44" i="1"/>
  <c r="AA44" i="1"/>
  <c r="AB44" i="1"/>
  <c r="Z45" i="1"/>
  <c r="AA45" i="1"/>
  <c r="AB45" i="1"/>
  <c r="Z46" i="1"/>
  <c r="AA46" i="1"/>
  <c r="AB46" i="1"/>
  <c r="Z49" i="1"/>
  <c r="AA49" i="1"/>
  <c r="AB49" i="1"/>
  <c r="Z50" i="1"/>
  <c r="AA50" i="1"/>
  <c r="AB50" i="1"/>
  <c r="Z51" i="1"/>
  <c r="AA51" i="1"/>
  <c r="AB51" i="1"/>
  <c r="Z52" i="1"/>
  <c r="AA52" i="1"/>
  <c r="AB52" i="1"/>
  <c r="Z53" i="1"/>
  <c r="AA53" i="1"/>
  <c r="AB53" i="1"/>
  <c r="Z54" i="1"/>
  <c r="AA54" i="1"/>
  <c r="AB54" i="1"/>
  <c r="Z55" i="1"/>
  <c r="AA55" i="1"/>
  <c r="AB55" i="1"/>
  <c r="Z56" i="1"/>
  <c r="AA56" i="1"/>
  <c r="AB56" i="1"/>
  <c r="Z57" i="1"/>
  <c r="AA57" i="1"/>
  <c r="AB57" i="1"/>
  <c r="Z58" i="1"/>
  <c r="AA58" i="1"/>
  <c r="AB58" i="1"/>
  <c r="Z59" i="1"/>
  <c r="AA59" i="1"/>
  <c r="AB59" i="1"/>
  <c r="Z60" i="1"/>
  <c r="AA60" i="1"/>
  <c r="AB60" i="1"/>
  <c r="Z61" i="1"/>
  <c r="AA61" i="1"/>
  <c r="AB61" i="1"/>
  <c r="Z63" i="1"/>
  <c r="AA63" i="1"/>
  <c r="AB63" i="1"/>
  <c r="Z71" i="1"/>
  <c r="AA71" i="1"/>
  <c r="AB71" i="1"/>
  <c r="Z72" i="1"/>
  <c r="AA72" i="1"/>
  <c r="AB72" i="1"/>
  <c r="Z73" i="1"/>
  <c r="AA73" i="1"/>
  <c r="AB73" i="1"/>
  <c r="Z74" i="1"/>
  <c r="AA74" i="1"/>
  <c r="AB74" i="1"/>
  <c r="Z75" i="1"/>
  <c r="AA75" i="1"/>
  <c r="AB75" i="1"/>
  <c r="J76" i="1"/>
  <c r="Z76" i="1"/>
  <c r="AA76" i="1"/>
  <c r="AB76" i="1"/>
  <c r="Z77" i="1"/>
  <c r="AA77" i="1"/>
  <c r="AB77" i="1"/>
  <c r="J78" i="1"/>
  <c r="Z78" i="1"/>
  <c r="AA78" i="1"/>
  <c r="AB78" i="1"/>
  <c r="J79" i="1"/>
  <c r="Z79" i="1"/>
  <c r="AA79" i="1"/>
  <c r="AB79" i="1"/>
  <c r="J80" i="1"/>
  <c r="Z80" i="1"/>
  <c r="AA80" i="1"/>
  <c r="AB80" i="1"/>
  <c r="Z81" i="1"/>
  <c r="AA81" i="1"/>
  <c r="AB81" i="1"/>
  <c r="J82" i="1"/>
  <c r="Z82" i="1"/>
  <c r="AA82" i="1"/>
  <c r="AB82" i="1"/>
  <c r="J83" i="1"/>
  <c r="K83" i="1"/>
  <c r="Z83" i="1"/>
  <c r="AA83" i="1"/>
  <c r="AB83" i="1"/>
  <c r="J84" i="1"/>
  <c r="Z84" i="1"/>
  <c r="AA84" i="1"/>
  <c r="AB84" i="1"/>
  <c r="J85" i="1"/>
  <c r="Z85" i="1"/>
  <c r="AA85" i="1"/>
  <c r="AB85" i="1"/>
  <c r="J86" i="1"/>
  <c r="Z86" i="1"/>
  <c r="AA86" i="1"/>
  <c r="AB86" i="1"/>
  <c r="Z87" i="1"/>
  <c r="AA87" i="1"/>
  <c r="AB87" i="1"/>
  <c r="J88" i="1"/>
  <c r="K88" i="1"/>
  <c r="M88" i="1"/>
  <c r="Z88" i="1"/>
  <c r="AA88" i="1"/>
  <c r="AB88" i="1"/>
  <c r="Z89" i="1"/>
  <c r="AA89" i="1"/>
  <c r="AB89" i="1"/>
  <c r="Z90" i="1"/>
  <c r="AA90" i="1"/>
  <c r="AB90" i="1"/>
  <c r="Z91" i="1"/>
  <c r="AA91" i="1"/>
  <c r="AB91" i="1"/>
  <c r="Z92" i="1"/>
  <c r="AA92" i="1"/>
  <c r="AB92" i="1"/>
  <c r="Z94" i="1"/>
  <c r="AA94" i="1"/>
  <c r="AB94" i="1"/>
  <c r="Z95" i="1"/>
  <c r="AA95" i="1"/>
  <c r="AB95" i="1"/>
  <c r="Z97" i="1"/>
  <c r="AA97" i="1"/>
  <c r="AB97" i="1"/>
  <c r="J98" i="1"/>
  <c r="Z98" i="1"/>
  <c r="AA98" i="1"/>
  <c r="AB98" i="1"/>
  <c r="Z102" i="1"/>
  <c r="AA102" i="1"/>
  <c r="AB102" i="1"/>
  <c r="J103" i="1"/>
  <c r="Z103" i="1"/>
  <c r="AA103" i="1"/>
  <c r="AB103" i="1"/>
  <c r="Z104" i="1"/>
  <c r="AA104" i="1"/>
  <c r="AB104" i="1"/>
  <c r="J107" i="1"/>
  <c r="Z107" i="1"/>
  <c r="AA107" i="1"/>
  <c r="AB107" i="1"/>
  <c r="J108" i="1"/>
  <c r="Z108" i="1"/>
  <c r="AA108" i="1"/>
  <c r="AB108" i="1"/>
  <c r="J109" i="1"/>
  <c r="K109" i="1"/>
  <c r="Z109" i="1"/>
  <c r="AA109" i="1"/>
  <c r="AB109" i="1"/>
  <c r="J110" i="1"/>
  <c r="K110" i="1"/>
  <c r="Z110" i="1"/>
  <c r="AA110" i="1"/>
  <c r="AB110" i="1"/>
  <c r="Z111" i="1"/>
  <c r="AA111" i="1"/>
  <c r="AB111" i="1"/>
  <c r="Z112" i="1"/>
  <c r="AA112" i="1"/>
  <c r="AB112" i="1"/>
  <c r="Z113" i="1"/>
  <c r="AA113" i="1"/>
  <c r="AB113" i="1"/>
  <c r="Z114" i="1"/>
  <c r="AA114" i="1"/>
  <c r="AB114" i="1"/>
  <c r="Z115" i="1"/>
  <c r="AA115" i="1"/>
  <c r="AB115" i="1"/>
  <c r="Z116" i="1"/>
  <c r="AA116" i="1"/>
  <c r="AB116" i="1"/>
  <c r="Z117" i="1"/>
  <c r="AA117" i="1"/>
  <c r="AB117" i="1"/>
  <c r="Z119" i="1"/>
  <c r="AA119" i="1"/>
  <c r="AB119" i="1"/>
  <c r="Z120" i="1"/>
  <c r="AA120" i="1"/>
  <c r="AB120" i="1"/>
  <c r="Z121" i="1"/>
  <c r="AA121" i="1"/>
  <c r="AB121" i="1"/>
  <c r="Z122" i="1"/>
  <c r="AA122" i="1"/>
  <c r="AB122" i="1"/>
  <c r="Z124" i="1"/>
  <c r="AA124" i="1"/>
  <c r="AB124" i="1"/>
  <c r="Z126" i="1"/>
  <c r="AA126" i="1"/>
  <c r="AB126" i="1"/>
  <c r="Z123" i="1"/>
  <c r="AA123" i="1"/>
  <c r="AB123" i="1"/>
  <c r="Z127" i="1"/>
  <c r="AA127" i="1"/>
  <c r="AB127" i="1"/>
  <c r="Z128" i="1"/>
  <c r="AA128" i="1"/>
  <c r="AB128" i="1"/>
  <c r="J129" i="1"/>
  <c r="K129" i="1"/>
  <c r="Z129" i="1"/>
  <c r="AA129" i="1"/>
  <c r="AB129" i="1"/>
  <c r="Z130" i="1"/>
  <c r="AA130" i="1"/>
  <c r="AB130" i="1"/>
  <c r="Z131" i="1"/>
  <c r="AA131" i="1"/>
  <c r="AB131" i="1"/>
  <c r="Z132" i="1"/>
  <c r="AA132" i="1"/>
  <c r="AB132" i="1"/>
  <c r="Z134" i="1"/>
  <c r="AA134" i="1"/>
  <c r="AB134" i="1"/>
  <c r="Z135" i="1"/>
  <c r="AA135" i="1"/>
  <c r="AB135" i="1"/>
  <c r="Z137" i="1"/>
  <c r="AA137" i="1"/>
  <c r="AB137" i="1"/>
  <c r="Z138" i="1"/>
  <c r="AA138" i="1"/>
  <c r="AB138" i="1"/>
  <c r="J141" i="1"/>
  <c r="Z141" i="1"/>
  <c r="AA141" i="1"/>
  <c r="AB141" i="1"/>
  <c r="Z142" i="1"/>
  <c r="AA142" i="1"/>
  <c r="AB142" i="1"/>
  <c r="Z143" i="1"/>
  <c r="AA143" i="1"/>
  <c r="AB143" i="1"/>
  <c r="Z144" i="1"/>
  <c r="AA144" i="1"/>
  <c r="AB144" i="1"/>
  <c r="Z145" i="1"/>
  <c r="AA145" i="1"/>
  <c r="AB145" i="1"/>
  <c r="Z146" i="1"/>
  <c r="AA146" i="1"/>
  <c r="AB146" i="1"/>
  <c r="Z147" i="1"/>
  <c r="AA147" i="1"/>
  <c r="AB147" i="1"/>
  <c r="Z148" i="1"/>
  <c r="AA148" i="1"/>
  <c r="AB148" i="1"/>
  <c r="Z149" i="1"/>
  <c r="AA149" i="1"/>
  <c r="AB149" i="1"/>
  <c r="Z150" i="1"/>
  <c r="AA150" i="1"/>
  <c r="AB150" i="1"/>
  <c r="M151" i="1"/>
  <c r="Z151" i="1"/>
  <c r="AA151" i="1"/>
  <c r="AB151" i="1"/>
  <c r="Z152" i="1"/>
  <c r="AA152" i="1"/>
  <c r="AB152" i="1"/>
  <c r="J153" i="1"/>
  <c r="Z153" i="1"/>
  <c r="AA153" i="1"/>
  <c r="AB153" i="1"/>
  <c r="J157" i="1"/>
  <c r="K157" i="1"/>
  <c r="Z157" i="1"/>
  <c r="AA157" i="1"/>
  <c r="AB157" i="1"/>
  <c r="Z156" i="1"/>
  <c r="AA156" i="1"/>
  <c r="AB156" i="1"/>
  <c r="Z155" i="1"/>
  <c r="AA155" i="1"/>
  <c r="AB155" i="1"/>
  <c r="J158" i="1"/>
  <c r="Z158" i="1"/>
  <c r="AA158" i="1"/>
  <c r="AB158" i="1"/>
  <c r="Z159" i="1"/>
  <c r="AA159" i="1"/>
  <c r="AB159" i="1"/>
  <c r="J160" i="1"/>
  <c r="K160" i="1"/>
  <c r="Z160" i="1"/>
  <c r="AA160" i="1"/>
  <c r="AB160" i="1"/>
  <c r="Z161" i="1"/>
  <c r="AA161" i="1"/>
  <c r="AB161" i="1"/>
  <c r="Z162" i="1"/>
  <c r="AA162" i="1"/>
  <c r="AB162" i="1"/>
  <c r="J163" i="1"/>
  <c r="Z163" i="1"/>
  <c r="AA163" i="1"/>
  <c r="AB163" i="1"/>
  <c r="Z164" i="1"/>
  <c r="AA164" i="1"/>
  <c r="AB164" i="1"/>
  <c r="Z165" i="1"/>
  <c r="AA165" i="1"/>
  <c r="AB165" i="1"/>
  <c r="Z166" i="1"/>
  <c r="AA166" i="1"/>
  <c r="AB166" i="1"/>
  <c r="Z172" i="1"/>
  <c r="AA172" i="1"/>
  <c r="AB172" i="1"/>
  <c r="J173" i="1"/>
  <c r="Z173" i="1"/>
  <c r="AA173" i="1"/>
  <c r="AB173" i="1"/>
  <c r="J174" i="1"/>
  <c r="Z174" i="1"/>
  <c r="AA174" i="1"/>
  <c r="AB174" i="1"/>
  <c r="Z176" i="1"/>
  <c r="AA176" i="1"/>
  <c r="AB176" i="1"/>
  <c r="Z177" i="1"/>
  <c r="AA177" i="1"/>
  <c r="AB177" i="1"/>
  <c r="Z178" i="1"/>
  <c r="AA178" i="1"/>
  <c r="AB178" i="1"/>
  <c r="Z179" i="1"/>
  <c r="AA179" i="1"/>
  <c r="AB179" i="1"/>
  <c r="J180" i="1"/>
  <c r="Z180" i="1"/>
  <c r="AA180" i="1"/>
  <c r="AB180" i="1"/>
  <c r="Z181" i="1"/>
  <c r="AA181" i="1"/>
  <c r="AB181" i="1"/>
  <c r="Z182" i="1"/>
  <c r="AA182" i="1"/>
  <c r="AB182" i="1"/>
  <c r="Z183" i="1"/>
  <c r="AA183" i="1"/>
  <c r="AB183" i="1"/>
  <c r="Z184" i="1"/>
  <c r="AA184" i="1"/>
  <c r="AB184" i="1"/>
  <c r="Z187" i="1"/>
  <c r="AA187" i="1"/>
  <c r="AB187" i="1"/>
  <c r="Z185" i="1"/>
  <c r="AA185" i="1"/>
  <c r="AB185" i="1"/>
  <c r="J188" i="1"/>
  <c r="K188" i="1"/>
  <c r="CZ188" i="1"/>
  <c r="Z188" i="1"/>
  <c r="AA188" i="1"/>
  <c r="AB188" i="1"/>
  <c r="BA188" i="1"/>
  <c r="CA188" i="1"/>
  <c r="CK188" i="1"/>
  <c r="CQ188" i="1"/>
  <c r="CS188" i="1"/>
  <c r="Z189" i="1"/>
  <c r="AA189" i="1"/>
  <c r="AB189" i="1"/>
  <c r="J190" i="1"/>
  <c r="K190" i="1"/>
  <c r="Z190" i="1"/>
  <c r="AA190" i="1"/>
  <c r="AB190" i="1"/>
  <c r="J191" i="1"/>
  <c r="Z191" i="1"/>
  <c r="AA191" i="1"/>
  <c r="AB191" i="1"/>
  <c r="Z194" i="1"/>
  <c r="AA194" i="1"/>
  <c r="AB194" i="1"/>
  <c r="Z195" i="1"/>
  <c r="AA195" i="1"/>
  <c r="AB195" i="1"/>
  <c r="Z196" i="1"/>
  <c r="AA196" i="1"/>
  <c r="AB196" i="1"/>
  <c r="Z197" i="1"/>
  <c r="AA197" i="1"/>
  <c r="AB197" i="1"/>
  <c r="Z198" i="1"/>
  <c r="AA198" i="1"/>
  <c r="AB198" i="1"/>
  <c r="J199" i="1"/>
  <c r="Z199" i="1"/>
  <c r="AA199" i="1"/>
  <c r="AB199" i="1"/>
  <c r="Z200" i="1"/>
  <c r="AA200" i="1"/>
  <c r="AB200" i="1"/>
  <c r="Z201" i="1"/>
  <c r="AA201" i="1"/>
  <c r="AB201" i="1"/>
  <c r="Z202" i="1"/>
  <c r="AA202" i="1"/>
  <c r="AB202" i="1"/>
  <c r="Z204" i="1"/>
  <c r="AA204" i="1"/>
  <c r="CX204" i="1"/>
  <c r="AB204" i="1"/>
  <c r="Z205" i="1"/>
  <c r="AA205" i="1"/>
  <c r="AB205" i="1"/>
  <c r="Z206" i="1"/>
  <c r="AA206" i="1"/>
  <c r="AB206" i="1"/>
  <c r="Z207" i="1"/>
  <c r="AA207" i="1"/>
  <c r="AB207" i="1"/>
  <c r="Z209" i="1"/>
  <c r="AA209" i="1"/>
  <c r="AB209" i="1"/>
  <c r="Z210" i="1"/>
  <c r="AA210" i="1"/>
  <c r="AB210" i="1"/>
  <c r="Z211" i="1"/>
  <c r="AA211" i="1"/>
  <c r="AB211" i="1"/>
  <c r="Z212" i="1"/>
  <c r="AA212" i="1"/>
  <c r="AB212" i="1"/>
  <c r="Z213" i="1"/>
  <c r="AA213" i="1"/>
  <c r="AB213" i="1"/>
  <c r="Z214" i="1"/>
  <c r="AA214" i="1"/>
  <c r="AB214" i="1"/>
  <c r="Z215" i="1"/>
  <c r="AA215" i="1"/>
  <c r="AB215" i="1"/>
  <c r="Z216" i="1"/>
  <c r="AA216" i="1"/>
  <c r="AB216" i="1"/>
  <c r="Z217" i="1"/>
  <c r="AA217" i="1"/>
  <c r="AB217" i="1"/>
  <c r="Z220" i="1"/>
  <c r="AA220" i="1"/>
  <c r="AB220" i="1"/>
  <c r="Z221" i="1"/>
  <c r="AA221" i="1"/>
  <c r="AB221" i="1"/>
  <c r="Z222" i="1"/>
  <c r="AA222" i="1"/>
  <c r="AB222" i="1"/>
  <c r="Z227" i="1"/>
  <c r="AA227" i="1"/>
  <c r="AB227" i="1"/>
  <c r="J228" i="1"/>
  <c r="Z228" i="1"/>
  <c r="AA228" i="1"/>
  <c r="AB228" i="1"/>
  <c r="Z229" i="1"/>
  <c r="AA229" i="1"/>
  <c r="AB229" i="1"/>
  <c r="J230" i="1"/>
  <c r="Z230" i="1"/>
  <c r="AA230" i="1"/>
  <c r="AB230" i="1"/>
  <c r="Z231" i="1"/>
  <c r="AA231" i="1"/>
  <c r="AB231" i="1"/>
  <c r="Z232" i="1"/>
  <c r="AA232" i="1"/>
  <c r="AB232" i="1"/>
  <c r="Z233" i="1"/>
  <c r="AA233" i="1"/>
  <c r="AB233" i="1"/>
  <c r="Z234" i="1"/>
  <c r="AA234" i="1"/>
  <c r="AB234" i="1"/>
  <c r="Z235" i="1"/>
  <c r="AA235" i="1"/>
  <c r="AB235" i="1"/>
  <c r="Z236" i="1"/>
  <c r="AA236" i="1"/>
  <c r="AB236" i="1"/>
  <c r="Z237" i="1"/>
  <c r="AA237" i="1"/>
  <c r="AB237" i="1"/>
  <c r="Z238" i="1"/>
  <c r="AA238" i="1"/>
  <c r="AB238" i="1"/>
  <c r="Z239" i="1"/>
  <c r="AA239" i="1"/>
  <c r="AB239" i="1"/>
  <c r="J240" i="1"/>
  <c r="Z240" i="1"/>
  <c r="AA240" i="1"/>
  <c r="AB240" i="1"/>
  <c r="J241" i="1"/>
  <c r="Z241" i="1"/>
  <c r="AA241" i="1"/>
  <c r="AB241" i="1"/>
  <c r="Z242" i="1"/>
  <c r="AA242" i="1"/>
  <c r="AB242" i="1"/>
  <c r="Z243" i="1"/>
  <c r="AA243" i="1"/>
  <c r="AB243" i="1"/>
  <c r="J244" i="1"/>
  <c r="K244" i="1"/>
  <c r="Z244" i="1"/>
  <c r="AA244" i="1"/>
  <c r="AB244" i="1"/>
  <c r="Z245" i="1"/>
  <c r="AA245" i="1"/>
  <c r="AB245" i="1"/>
  <c r="Z247" i="1"/>
  <c r="AA247" i="1"/>
  <c r="AB247" i="1"/>
  <c r="Z248" i="1"/>
  <c r="AA248" i="1"/>
  <c r="AB248" i="1"/>
  <c r="Z249" i="1"/>
  <c r="AA249" i="1"/>
  <c r="AB249" i="1"/>
  <c r="Z250" i="1"/>
  <c r="AA250" i="1"/>
  <c r="AB250" i="1"/>
  <c r="Z251" i="1"/>
  <c r="AA251" i="1"/>
  <c r="AB251" i="1"/>
  <c r="Z253" i="1"/>
  <c r="AA253" i="1"/>
  <c r="AB253" i="1"/>
  <c r="Z254" i="1"/>
  <c r="AA254" i="1"/>
  <c r="AB254" i="1"/>
  <c r="J255" i="1"/>
  <c r="Z255" i="1"/>
  <c r="AA255" i="1"/>
  <c r="AB255" i="1"/>
  <c r="Z256" i="1"/>
  <c r="AA256" i="1"/>
  <c r="AB256" i="1"/>
  <c r="Z257" i="1"/>
  <c r="AA257" i="1"/>
  <c r="AB257" i="1"/>
  <c r="Z258" i="1"/>
  <c r="AA258" i="1"/>
  <c r="AB258" i="1"/>
  <c r="Z259" i="1"/>
  <c r="AA259" i="1"/>
  <c r="AB259" i="1"/>
  <c r="Z263" i="1"/>
  <c r="AA263" i="1"/>
  <c r="AB263" i="1"/>
  <c r="Z264" i="1"/>
  <c r="AA264" i="1"/>
  <c r="AB264" i="1"/>
  <c r="Z265" i="1"/>
  <c r="AA265" i="1"/>
  <c r="AB265" i="1"/>
  <c r="Z267" i="1"/>
  <c r="AA267" i="1"/>
  <c r="AB267" i="1"/>
  <c r="Z268" i="1"/>
  <c r="AA268" i="1"/>
  <c r="AB268" i="1"/>
  <c r="Z269" i="1"/>
  <c r="AA269" i="1"/>
  <c r="AB269" i="1"/>
  <c r="Z270" i="1"/>
  <c r="AA270" i="1"/>
  <c r="AB270" i="1"/>
  <c r="Z271" i="1"/>
  <c r="AA271" i="1"/>
  <c r="AB271" i="1"/>
  <c r="Z272" i="1"/>
  <c r="AA272" i="1"/>
  <c r="AB272" i="1"/>
  <c r="Z273" i="1"/>
  <c r="AA273" i="1"/>
  <c r="AB273" i="1"/>
  <c r="Z276" i="1"/>
  <c r="AA276" i="1"/>
  <c r="AB276" i="1"/>
  <c r="Z278" i="1"/>
  <c r="AA278" i="1"/>
  <c r="AB278" i="1"/>
  <c r="Z279" i="1"/>
  <c r="AA279" i="1"/>
  <c r="AB279" i="1"/>
  <c r="Z280" i="1"/>
  <c r="AA280" i="1"/>
  <c r="AB280" i="1"/>
  <c r="Z281" i="1"/>
  <c r="AA281" i="1"/>
  <c r="AB281" i="1"/>
  <c r="Z282" i="1"/>
  <c r="AA282" i="1"/>
  <c r="AB282" i="1"/>
  <c r="Z283" i="1"/>
  <c r="AA283" i="1"/>
  <c r="AB283" i="1"/>
  <c r="Z284" i="1"/>
  <c r="AA284" i="1"/>
  <c r="AB284" i="1"/>
  <c r="Z286" i="1"/>
  <c r="AA286" i="1"/>
  <c r="AB286" i="1"/>
  <c r="Z287" i="1"/>
  <c r="AA287" i="1"/>
  <c r="AB287" i="1"/>
  <c r="Z288" i="1"/>
  <c r="AA288" i="1"/>
  <c r="AB288" i="1"/>
  <c r="Z289" i="1"/>
  <c r="AA289" i="1"/>
  <c r="AB289" i="1"/>
  <c r="J290" i="1"/>
  <c r="Z290" i="1"/>
  <c r="AA290" i="1"/>
  <c r="AB290" i="1"/>
  <c r="J291" i="1"/>
  <c r="Z291" i="1"/>
  <c r="AA291" i="1"/>
  <c r="AB291" i="1"/>
  <c r="Z292" i="1"/>
  <c r="AA292" i="1"/>
  <c r="AB292" i="1"/>
  <c r="Z293" i="1"/>
  <c r="AA293" i="1"/>
  <c r="AB293" i="1"/>
  <c r="Z294" i="1"/>
  <c r="AA294" i="1"/>
  <c r="AB294" i="1"/>
  <c r="Z295" i="1"/>
  <c r="AA295" i="1"/>
  <c r="AB295" i="1"/>
  <c r="Z296" i="1"/>
  <c r="AA296" i="1"/>
  <c r="AB296" i="1"/>
  <c r="Z297" i="1"/>
  <c r="AA297" i="1"/>
  <c r="AB297" i="1"/>
  <c r="Z298" i="1"/>
  <c r="AA298" i="1"/>
  <c r="AB298" i="1"/>
  <c r="J299" i="1"/>
  <c r="Z299" i="1"/>
  <c r="AA299" i="1"/>
  <c r="AB299" i="1"/>
  <c r="Z300" i="1"/>
  <c r="AA300" i="1"/>
  <c r="AB300" i="1"/>
  <c r="Z301" i="1"/>
  <c r="AA301" i="1"/>
  <c r="AB301" i="1"/>
  <c r="Z302" i="1"/>
  <c r="AA302" i="1"/>
  <c r="AB302" i="1"/>
  <c r="Z303" i="1"/>
  <c r="AA303" i="1"/>
  <c r="AB303" i="1"/>
  <c r="Z304" i="1"/>
  <c r="AA304" i="1"/>
  <c r="AB304" i="1"/>
  <c r="Z305" i="1"/>
  <c r="AA305" i="1"/>
  <c r="AB305" i="1"/>
  <c r="Z306" i="1"/>
  <c r="AA306" i="1"/>
  <c r="AB306" i="1"/>
  <c r="J307" i="1"/>
  <c r="K307" i="1"/>
  <c r="Z307" i="1"/>
  <c r="AA307" i="1"/>
  <c r="AB307" i="1"/>
  <c r="AY307" i="1"/>
  <c r="CV307" i="1"/>
  <c r="Y307" i="1"/>
  <c r="AE307" i="1"/>
  <c r="J308" i="1"/>
  <c r="K308" i="1"/>
  <c r="Z308" i="1"/>
  <c r="AA308" i="1"/>
  <c r="AB308" i="1"/>
  <c r="Z309" i="1"/>
  <c r="AA309" i="1"/>
  <c r="AB309" i="1"/>
  <c r="Z310" i="1"/>
  <c r="AA310" i="1"/>
  <c r="AB310" i="1"/>
  <c r="Z311" i="1"/>
  <c r="AA311" i="1"/>
  <c r="AB311" i="1"/>
  <c r="Z312" i="1"/>
  <c r="AA312" i="1"/>
  <c r="AB312" i="1"/>
  <c r="Z313" i="1"/>
  <c r="AA313" i="1"/>
  <c r="AB313" i="1"/>
  <c r="Z314" i="1"/>
  <c r="AA314" i="1"/>
  <c r="AB314" i="1"/>
  <c r="Z315" i="1"/>
  <c r="AA315" i="1"/>
  <c r="AB315" i="1"/>
  <c r="J316" i="1"/>
  <c r="Z316" i="1"/>
  <c r="AA316" i="1"/>
  <c r="AB316" i="1"/>
  <c r="Z317" i="1"/>
  <c r="AA317" i="1"/>
  <c r="AB317" i="1"/>
  <c r="Z318" i="1"/>
  <c r="AA318" i="1"/>
  <c r="AB318" i="1"/>
  <c r="Z319" i="1"/>
  <c r="AA319" i="1"/>
  <c r="AB319" i="1"/>
  <c r="Z320" i="1"/>
  <c r="AA320" i="1"/>
  <c r="AB320" i="1"/>
  <c r="Z321" i="1"/>
  <c r="AA321" i="1"/>
  <c r="AB321" i="1"/>
  <c r="Z322" i="1"/>
  <c r="AA322" i="1"/>
  <c r="AB322" i="1"/>
  <c r="Z323" i="1"/>
  <c r="AA323" i="1"/>
  <c r="AB323" i="1"/>
  <c r="J324" i="1"/>
  <c r="Z324" i="1"/>
  <c r="AA324" i="1"/>
  <c r="AB324" i="1"/>
  <c r="Z325" i="1"/>
  <c r="AA325" i="1"/>
  <c r="AB325" i="1"/>
  <c r="Z326" i="1"/>
  <c r="AA326" i="1"/>
  <c r="AB326" i="1"/>
  <c r="Z327" i="1"/>
  <c r="AA327" i="1"/>
  <c r="AB327" i="1"/>
  <c r="Z328" i="1"/>
  <c r="AA328" i="1"/>
  <c r="AB328" i="1"/>
  <c r="Z329" i="1"/>
  <c r="AA329" i="1"/>
  <c r="AB329" i="1"/>
  <c r="CZ330" i="1"/>
  <c r="Z330" i="1"/>
  <c r="AB330" i="1"/>
  <c r="BA330" i="1"/>
  <c r="CA330" i="1"/>
  <c r="CK330" i="1"/>
  <c r="CS330" i="1"/>
  <c r="DC330" i="1"/>
  <c r="DD330" i="1"/>
  <c r="AA330" i="1"/>
  <c r="Z331" i="1"/>
  <c r="AA331" i="1"/>
  <c r="AB331" i="1"/>
  <c r="Z332" i="1"/>
  <c r="AA332" i="1"/>
  <c r="AB332" i="1"/>
  <c r="Z333" i="1"/>
  <c r="AA333" i="1"/>
  <c r="AB333" i="1"/>
  <c r="Z334" i="1"/>
  <c r="AA334" i="1"/>
  <c r="AB334" i="1"/>
  <c r="J335" i="1"/>
  <c r="Z335" i="1"/>
  <c r="AA335" i="1"/>
  <c r="AB335" i="1"/>
  <c r="Z336" i="1"/>
  <c r="AA336" i="1"/>
  <c r="AB336" i="1"/>
  <c r="Z337" i="1"/>
  <c r="AA337" i="1"/>
  <c r="AB337" i="1"/>
  <c r="Z338" i="1"/>
  <c r="AA338" i="1"/>
  <c r="AB338" i="1"/>
  <c r="Z339" i="1"/>
  <c r="AA339" i="1"/>
  <c r="AB339" i="1"/>
  <c r="Z341" i="1"/>
  <c r="AA341" i="1"/>
  <c r="AB341" i="1"/>
  <c r="Z342" i="1"/>
  <c r="AA342" i="1"/>
  <c r="AB342" i="1"/>
  <c r="J343" i="1"/>
  <c r="Z343" i="1"/>
  <c r="AA343" i="1"/>
  <c r="AB343" i="1"/>
  <c r="AA344" i="1"/>
  <c r="AC344" i="1"/>
  <c r="BE344" i="1"/>
  <c r="BM344" i="1"/>
  <c r="CA344" i="1"/>
  <c r="CO344" i="1"/>
  <c r="CS344" i="1"/>
  <c r="CX344" i="1"/>
  <c r="AB344" i="1"/>
  <c r="CZ344" i="1"/>
  <c r="Z344" i="1"/>
  <c r="Z347" i="1"/>
  <c r="AA347" i="1"/>
  <c r="AB347" i="1"/>
  <c r="AB346" i="1"/>
  <c r="Z348" i="1"/>
  <c r="AA348" i="1"/>
  <c r="AB348" i="1"/>
  <c r="Z349" i="1"/>
  <c r="AA349" i="1"/>
  <c r="AB349" i="1"/>
  <c r="J350" i="1"/>
  <c r="Z350" i="1"/>
  <c r="AA350" i="1"/>
  <c r="AB350" i="1"/>
  <c r="Z352" i="1"/>
  <c r="AA352" i="1"/>
  <c r="AB352" i="1"/>
  <c r="Z353" i="1"/>
  <c r="AA353" i="1"/>
  <c r="AB353" i="1"/>
  <c r="Z354" i="1"/>
  <c r="AA354" i="1"/>
  <c r="AB354" i="1"/>
  <c r="Z355" i="1"/>
  <c r="AA355" i="1"/>
  <c r="AB355" i="1"/>
  <c r="J356" i="1"/>
  <c r="Z356" i="1"/>
  <c r="AA356" i="1"/>
  <c r="AB356" i="1"/>
  <c r="Z357" i="1"/>
  <c r="AA357" i="1"/>
  <c r="AB357" i="1"/>
  <c r="Z358" i="1"/>
  <c r="AA358" i="1"/>
  <c r="AB358" i="1"/>
  <c r="Z359" i="1"/>
  <c r="AA359" i="1"/>
  <c r="AB359" i="1"/>
  <c r="Z360" i="1"/>
  <c r="AA360" i="1"/>
  <c r="AB360" i="1"/>
  <c r="Z361" i="1"/>
  <c r="AA361" i="1"/>
  <c r="AB361" i="1"/>
  <c r="Z362" i="1"/>
  <c r="AA362" i="1"/>
  <c r="AB362" i="1"/>
  <c r="Z363" i="1"/>
  <c r="AA363" i="1"/>
  <c r="AB363" i="1"/>
  <c r="Z364" i="1"/>
  <c r="AA364" i="1"/>
  <c r="AB364" i="1"/>
  <c r="Z365" i="1"/>
  <c r="AA365" i="1"/>
  <c r="AB365" i="1"/>
  <c r="AA366" i="1"/>
  <c r="AB366" i="1"/>
  <c r="BM366" i="1"/>
  <c r="CO366" i="1"/>
  <c r="CQ366" i="1"/>
  <c r="CZ366" i="1"/>
  <c r="Z366" i="1"/>
  <c r="Z367" i="1"/>
  <c r="AA367" i="1"/>
  <c r="AB367" i="1"/>
  <c r="AA368" i="1"/>
  <c r="BA368" i="1"/>
  <c r="CA368" i="1"/>
  <c r="CQ368" i="1"/>
  <c r="CX368" i="1"/>
  <c r="AB368" i="1"/>
  <c r="CZ368" i="1"/>
  <c r="Z368" i="1"/>
  <c r="AA369" i="1"/>
  <c r="CA369" i="1"/>
  <c r="CQ369" i="1"/>
  <c r="CX369" i="1"/>
  <c r="AB369" i="1"/>
  <c r="CZ369" i="1"/>
  <c r="Z369" i="1"/>
  <c r="AA370" i="1"/>
  <c r="AB370" i="1"/>
  <c r="BE370" i="1"/>
  <c r="BM370" i="1"/>
  <c r="CQ370" i="1"/>
  <c r="CZ370" i="1"/>
  <c r="Z370" i="1"/>
  <c r="AA371" i="1"/>
  <c r="AB371" i="1"/>
  <c r="CQ371" i="1"/>
  <c r="CV371" i="1"/>
  <c r="CZ371" i="1"/>
  <c r="Z371" i="1"/>
  <c r="AA372" i="1"/>
  <c r="AB372" i="1"/>
  <c r="BA372" i="1"/>
  <c r="BE372" i="1"/>
  <c r="CA372" i="1"/>
  <c r="CO372" i="1"/>
  <c r="CY372" i="1"/>
  <c r="CZ372" i="1"/>
  <c r="Z372" i="1"/>
  <c r="Z373" i="1"/>
  <c r="AA373" i="1"/>
  <c r="AB373" i="1"/>
  <c r="CZ374" i="1"/>
  <c r="Z374" i="1"/>
  <c r="AA374" i="1"/>
  <c r="BA374" i="1"/>
  <c r="BZ374" i="1"/>
  <c r="CA374" i="1"/>
  <c r="CQ374" i="1"/>
  <c r="CX374" i="1"/>
  <c r="AB374" i="1"/>
  <c r="AA375" i="1"/>
  <c r="CA375" i="1"/>
  <c r="CQ375" i="1"/>
  <c r="CS375" i="1"/>
  <c r="CX375" i="1"/>
  <c r="AB375" i="1"/>
  <c r="CZ375" i="1"/>
  <c r="Z375" i="1"/>
  <c r="AA376" i="1"/>
  <c r="AB376" i="1"/>
  <c r="CQ376" i="1"/>
  <c r="CZ376" i="1"/>
  <c r="Z376" i="1"/>
  <c r="CZ377" i="1"/>
  <c r="Z377" i="1"/>
  <c r="AA377" i="1"/>
  <c r="AB377" i="1"/>
  <c r="CA377" i="1"/>
  <c r="CQ377" i="1"/>
  <c r="AA378" i="1"/>
  <c r="AB378" i="1"/>
  <c r="CA378" i="1"/>
  <c r="CQ378" i="1"/>
  <c r="CZ378" i="1"/>
  <c r="Z378" i="1"/>
  <c r="Z379" i="1"/>
  <c r="AA379" i="1"/>
  <c r="AB379" i="1"/>
  <c r="Z380" i="1"/>
  <c r="AA380" i="1"/>
  <c r="AB380" i="1"/>
  <c r="Z381" i="1"/>
  <c r="AA381" i="1"/>
  <c r="AB381" i="1"/>
  <c r="Z382" i="1"/>
  <c r="AA382" i="1"/>
  <c r="AB382" i="1"/>
  <c r="Z383" i="1"/>
  <c r="AA383" i="1"/>
  <c r="AB383" i="1"/>
  <c r="Z384" i="1"/>
  <c r="AA384" i="1"/>
  <c r="AB384" i="1"/>
  <c r="Z385" i="1"/>
  <c r="AA385" i="1"/>
  <c r="AB385" i="1"/>
  <c r="Z388" i="1"/>
  <c r="AA388" i="1"/>
  <c r="AB388" i="1"/>
  <c r="Z389" i="1"/>
  <c r="AA389" i="1"/>
  <c r="AB389" i="1"/>
  <c r="Z390" i="1"/>
  <c r="AA390" i="1"/>
  <c r="AB390" i="1"/>
  <c r="Z391" i="1"/>
  <c r="AA391" i="1"/>
  <c r="AB391" i="1"/>
  <c r="Z392" i="1"/>
  <c r="AA392" i="1"/>
  <c r="AB392" i="1"/>
  <c r="Z393" i="1"/>
  <c r="AA393" i="1"/>
  <c r="AB393" i="1"/>
  <c r="Z394" i="1"/>
  <c r="AA394" i="1"/>
  <c r="AB394" i="1"/>
  <c r="Z395" i="1"/>
  <c r="AA395" i="1"/>
  <c r="AB395" i="1"/>
  <c r="Z396" i="1"/>
  <c r="AA396" i="1"/>
  <c r="AB396" i="1"/>
  <c r="Z397" i="1"/>
  <c r="AA397" i="1"/>
  <c r="AB397" i="1"/>
  <c r="Z398" i="1"/>
  <c r="AA398" i="1"/>
  <c r="AB398" i="1"/>
  <c r="Z399" i="1"/>
  <c r="AA399" i="1"/>
  <c r="AB399" i="1"/>
  <c r="Z400" i="1"/>
  <c r="AA400" i="1"/>
  <c r="AB400" i="1"/>
  <c r="Z401" i="1"/>
  <c r="AA401" i="1"/>
  <c r="AB401" i="1"/>
  <c r="J402" i="1"/>
  <c r="Z403" i="1"/>
  <c r="AA403" i="1"/>
  <c r="AB403" i="1"/>
  <c r="Z404" i="1"/>
  <c r="AA404" i="1"/>
  <c r="AB404" i="1"/>
  <c r="Z405" i="1"/>
  <c r="AA405" i="1"/>
  <c r="AB405" i="1"/>
  <c r="Z406" i="1"/>
  <c r="AA406" i="1"/>
  <c r="AB406" i="1"/>
  <c r="Z407" i="1"/>
  <c r="AA407" i="1"/>
  <c r="AB407" i="1"/>
  <c r="Z409" i="1"/>
  <c r="AA409" i="1"/>
  <c r="AB409" i="1"/>
  <c r="Z411" i="1"/>
  <c r="AA411" i="1"/>
  <c r="AB411" i="1"/>
  <c r="Z412" i="1"/>
  <c r="AA412" i="1"/>
  <c r="AB412" i="1"/>
  <c r="J413" i="1"/>
  <c r="K413" i="1"/>
  <c r="M413" i="1"/>
  <c r="Z413" i="1"/>
  <c r="AA413" i="1"/>
  <c r="AB413" i="1"/>
  <c r="Z414" i="1"/>
  <c r="AA414" i="1"/>
  <c r="AB414" i="1"/>
  <c r="Z415" i="1"/>
  <c r="AA415" i="1"/>
  <c r="AB415" i="1"/>
  <c r="Z417" i="1"/>
  <c r="AA417" i="1"/>
  <c r="AB417" i="1"/>
  <c r="Z418" i="1"/>
  <c r="AA418" i="1"/>
  <c r="AB418" i="1"/>
  <c r="Z419" i="1"/>
  <c r="AA419" i="1"/>
  <c r="AB419" i="1"/>
  <c r="Z421" i="1"/>
  <c r="AA421" i="1"/>
  <c r="AB421" i="1"/>
  <c r="Z422" i="1"/>
  <c r="AA422" i="1"/>
  <c r="AB422" i="1"/>
  <c r="Z423" i="1"/>
  <c r="AA423" i="1"/>
  <c r="AB423" i="1"/>
  <c r="Z424" i="1"/>
  <c r="AA424" i="1"/>
  <c r="AB424" i="1"/>
  <c r="J425" i="1"/>
  <c r="Z425" i="1"/>
  <c r="AA425" i="1"/>
  <c r="AB425" i="1"/>
  <c r="Z427" i="1"/>
  <c r="AA427" i="1"/>
  <c r="AB427" i="1"/>
  <c r="Z428" i="1"/>
  <c r="AA428" i="1"/>
  <c r="AB428" i="1"/>
  <c r="J429" i="1"/>
  <c r="K429" i="1"/>
  <c r="Z429" i="1"/>
  <c r="AA429" i="1"/>
  <c r="AB429" i="1"/>
  <c r="Z430" i="1"/>
  <c r="AA430" i="1"/>
  <c r="AB430" i="1"/>
  <c r="J431" i="1"/>
  <c r="Z431" i="1"/>
  <c r="AA431" i="1"/>
  <c r="AB431" i="1"/>
  <c r="Z432" i="1"/>
  <c r="AA432" i="1"/>
  <c r="AB432" i="1"/>
  <c r="Z433" i="1"/>
  <c r="AA433" i="1"/>
  <c r="AB433" i="1"/>
  <c r="Z434" i="1"/>
  <c r="AA434" i="1"/>
  <c r="AB434" i="1"/>
  <c r="J435" i="1"/>
  <c r="Z435" i="1"/>
  <c r="AA435" i="1"/>
  <c r="AB435" i="1"/>
  <c r="Z436" i="1"/>
  <c r="AA436" i="1"/>
  <c r="AB436" i="1"/>
  <c r="Z437" i="1"/>
  <c r="AA437" i="1"/>
  <c r="AB437" i="1"/>
  <c r="J439" i="1"/>
  <c r="Z439" i="1"/>
  <c r="AA439" i="1"/>
  <c r="AB439" i="1"/>
  <c r="Z440" i="1"/>
  <c r="AA440" i="1"/>
  <c r="AB440" i="1"/>
  <c r="Z441" i="1"/>
  <c r="AA441" i="1"/>
  <c r="AB441" i="1"/>
  <c r="Z442" i="1"/>
  <c r="AA442" i="1"/>
  <c r="AB442" i="1"/>
  <c r="Z443" i="1"/>
  <c r="AA443" i="1"/>
  <c r="AB443" i="1"/>
  <c r="Z444" i="1"/>
  <c r="AA444" i="1"/>
  <c r="AB444" i="1"/>
  <c r="Z445" i="1"/>
  <c r="AA445" i="1"/>
  <c r="AB445" i="1"/>
  <c r="J446" i="1"/>
  <c r="Z446" i="1"/>
  <c r="AA446" i="1"/>
  <c r="AB446" i="1"/>
  <c r="Z447" i="1"/>
  <c r="AA447" i="1"/>
  <c r="AB447" i="1"/>
  <c r="Z448" i="1"/>
  <c r="AA448" i="1"/>
  <c r="AB448" i="1"/>
  <c r="Z449" i="1"/>
  <c r="AA449" i="1"/>
  <c r="AB449" i="1"/>
  <c r="J450" i="1"/>
  <c r="Z450" i="1"/>
  <c r="AA450" i="1"/>
  <c r="AB450" i="1"/>
  <c r="Z451" i="1"/>
  <c r="AA451" i="1"/>
  <c r="AB451" i="1"/>
  <c r="AA452" i="1"/>
  <c r="AB452" i="1"/>
  <c r="AC452" i="1"/>
  <c r="AY452" i="1"/>
  <c r="BA452" i="1"/>
  <c r="BE452" i="1"/>
  <c r="CA452" i="1"/>
  <c r="CK452" i="1"/>
  <c r="CQ452" i="1"/>
  <c r="BZ452" i="1"/>
  <c r="CZ452" i="1"/>
  <c r="Z452" i="1"/>
  <c r="Z453" i="1"/>
  <c r="AA453" i="1"/>
  <c r="AB453" i="1"/>
  <c r="Z454" i="1"/>
  <c r="AA454" i="1"/>
  <c r="AB454" i="1"/>
  <c r="Z455" i="1"/>
  <c r="AA455" i="1"/>
  <c r="AB455" i="1"/>
  <c r="Z457" i="1"/>
  <c r="AA457" i="1"/>
  <c r="AB457" i="1"/>
  <c r="J458" i="1"/>
  <c r="AA458" i="1"/>
  <c r="AD458" i="1"/>
  <c r="AZ458" i="1"/>
  <c r="BA458" i="1"/>
  <c r="CA458" i="1"/>
  <c r="CK458" i="1"/>
  <c r="CO458" i="1"/>
  <c r="CX458" i="1"/>
  <c r="AB458" i="1"/>
  <c r="Z459" i="1"/>
  <c r="AA459" i="1"/>
  <c r="AB459" i="1"/>
  <c r="Z460" i="1"/>
  <c r="AA460" i="1"/>
  <c r="AB460" i="1"/>
  <c r="Z461" i="1"/>
  <c r="AA461" i="1"/>
  <c r="AB461" i="1"/>
  <c r="Z462" i="1"/>
  <c r="AA462" i="1"/>
  <c r="AB462" i="1"/>
  <c r="J463" i="1"/>
  <c r="Z463" i="1"/>
  <c r="AA463" i="1"/>
  <c r="AB463" i="1"/>
  <c r="J464" i="1"/>
  <c r="AA464" i="1"/>
  <c r="AB464" i="1"/>
  <c r="CZ464" i="1"/>
  <c r="Z464" i="1"/>
  <c r="J465" i="1"/>
  <c r="K465" i="1"/>
  <c r="Z465" i="1"/>
  <c r="AA465" i="1"/>
  <c r="AB465" i="1"/>
  <c r="Z466" i="1"/>
  <c r="AA466" i="1"/>
  <c r="AB466" i="1"/>
  <c r="Z467" i="1"/>
  <c r="AA467" i="1"/>
  <c r="AB467" i="1"/>
  <c r="Z468" i="1"/>
  <c r="AA468" i="1"/>
  <c r="AB468" i="1"/>
  <c r="Z469" i="1"/>
  <c r="AA469" i="1"/>
  <c r="AB469" i="1"/>
  <c r="Z470" i="1"/>
  <c r="AA470" i="1"/>
  <c r="AB470" i="1"/>
  <c r="Z471" i="1"/>
  <c r="AA471" i="1"/>
  <c r="AB471" i="1"/>
  <c r="Z472" i="1"/>
  <c r="AA472" i="1"/>
  <c r="AB472" i="1"/>
  <c r="Z473" i="1"/>
  <c r="AA473" i="1"/>
  <c r="AB473" i="1"/>
  <c r="Z474" i="1"/>
  <c r="AA474" i="1"/>
  <c r="AB474" i="1"/>
  <c r="Z475" i="1"/>
  <c r="AA475" i="1"/>
  <c r="AB475" i="1"/>
  <c r="Z476" i="1"/>
  <c r="AA476" i="1"/>
  <c r="AB476" i="1"/>
  <c r="Z477" i="1"/>
  <c r="AA477" i="1"/>
  <c r="AB477" i="1"/>
  <c r="Z478" i="1"/>
  <c r="AA478" i="1"/>
  <c r="AB478" i="1"/>
  <c r="Z479" i="1"/>
  <c r="AA479" i="1"/>
  <c r="AB479" i="1"/>
  <c r="Z480" i="1"/>
  <c r="AA480" i="1"/>
  <c r="AB480" i="1"/>
  <c r="Z481" i="1"/>
  <c r="AA481" i="1"/>
  <c r="AB481" i="1"/>
  <c r="Z482" i="1"/>
  <c r="AA482" i="1"/>
  <c r="AB482" i="1"/>
  <c r="Z483" i="1"/>
  <c r="AA483" i="1"/>
  <c r="AB483" i="1"/>
  <c r="Z484" i="1"/>
  <c r="AA484" i="1"/>
  <c r="AB484" i="1"/>
  <c r="Z486" i="1"/>
  <c r="AA486" i="1"/>
  <c r="AB486" i="1"/>
  <c r="Z487" i="1"/>
  <c r="AA487" i="1"/>
  <c r="AB487" i="1"/>
  <c r="Z488" i="1"/>
  <c r="AA488" i="1"/>
  <c r="AB488" i="1"/>
  <c r="Z489" i="1"/>
  <c r="AA489" i="1"/>
  <c r="AB489" i="1"/>
  <c r="Z490" i="1"/>
  <c r="AA490" i="1"/>
  <c r="AB490" i="1"/>
  <c r="AA491" i="1"/>
  <c r="BE491" i="1"/>
  <c r="CA491" i="1"/>
  <c r="CQ491" i="1"/>
  <c r="CX491" i="1"/>
  <c r="AB491" i="1"/>
  <c r="CZ491" i="1"/>
  <c r="Z491" i="1"/>
  <c r="Z492" i="1"/>
  <c r="AA492" i="1"/>
  <c r="AB492" i="1"/>
  <c r="Z493" i="1"/>
  <c r="AA493" i="1"/>
  <c r="AB493" i="1"/>
  <c r="Z494" i="1"/>
  <c r="AA494" i="1"/>
  <c r="AB494" i="1"/>
  <c r="Z495" i="1"/>
  <c r="AA495" i="1"/>
  <c r="AB495" i="1"/>
  <c r="Z496" i="1"/>
  <c r="AA496" i="1"/>
  <c r="AB496" i="1"/>
  <c r="Z497" i="1"/>
  <c r="AA497" i="1"/>
  <c r="AB497" i="1"/>
  <c r="J498" i="1"/>
  <c r="K498" i="1"/>
  <c r="Z498" i="1"/>
  <c r="AA498" i="1"/>
  <c r="AB498" i="1"/>
  <c r="J499" i="1"/>
  <c r="Z499" i="1"/>
  <c r="AA499" i="1"/>
  <c r="AB499" i="1"/>
  <c r="J500" i="1"/>
  <c r="Z500" i="1"/>
  <c r="AA500" i="1"/>
  <c r="AB500" i="1"/>
  <c r="Z501" i="1"/>
  <c r="AA501" i="1"/>
  <c r="AB501" i="1"/>
  <c r="Z502" i="1"/>
  <c r="AA502" i="1"/>
  <c r="AB502" i="1"/>
  <c r="Z503" i="1"/>
  <c r="AA503" i="1"/>
  <c r="AB503" i="1"/>
  <c r="Z504" i="1"/>
  <c r="AA504" i="1"/>
  <c r="AB504" i="1"/>
  <c r="Z505" i="1"/>
  <c r="AA505" i="1"/>
  <c r="AB505" i="1"/>
  <c r="Z506" i="1"/>
  <c r="AA506" i="1"/>
  <c r="AB506" i="1"/>
  <c r="Z507" i="1"/>
  <c r="AA507" i="1"/>
  <c r="AB507" i="1"/>
  <c r="Z508" i="1"/>
  <c r="AA508" i="1"/>
  <c r="AB508" i="1"/>
  <c r="J509" i="1"/>
  <c r="Z509" i="1"/>
  <c r="AA509" i="1"/>
  <c r="AB509" i="1"/>
  <c r="J510" i="1"/>
  <c r="K510" i="1"/>
  <c r="Z510" i="1"/>
  <c r="AA510" i="1"/>
  <c r="AB510" i="1"/>
  <c r="Z511" i="1"/>
  <c r="AA511" i="1"/>
  <c r="AB511" i="1"/>
  <c r="Z512" i="1"/>
  <c r="AA512" i="1"/>
  <c r="AB512" i="1"/>
  <c r="Z513" i="1"/>
  <c r="AA513" i="1"/>
  <c r="AB513" i="1"/>
  <c r="J514" i="1"/>
  <c r="Z514" i="1"/>
  <c r="AA514" i="1"/>
  <c r="AB514" i="1"/>
  <c r="Z515" i="1"/>
  <c r="AA515" i="1"/>
  <c r="AB515" i="1"/>
  <c r="Z516" i="1"/>
  <c r="AA516" i="1"/>
  <c r="AB516" i="1"/>
  <c r="Z517" i="1"/>
  <c r="AA517" i="1"/>
  <c r="AB517" i="1"/>
  <c r="Z518" i="1"/>
  <c r="AA518" i="1"/>
  <c r="AB518" i="1"/>
  <c r="Z519" i="1"/>
  <c r="AA519" i="1"/>
  <c r="AB519" i="1"/>
  <c r="Z520" i="1"/>
  <c r="AA520" i="1"/>
  <c r="CX520" i="1"/>
  <c r="AB520" i="1"/>
  <c r="Z522" i="1"/>
  <c r="AA522" i="1"/>
  <c r="AB522" i="1"/>
  <c r="Z521" i="1"/>
  <c r="AA521" i="1"/>
  <c r="AB521" i="1"/>
  <c r="Z523" i="1"/>
  <c r="AA523" i="1"/>
  <c r="AB523" i="1"/>
  <c r="Z524" i="1"/>
  <c r="AA524" i="1"/>
  <c r="AB524" i="1"/>
  <c r="Z525" i="1"/>
  <c r="AA525" i="1"/>
  <c r="AB525" i="1"/>
  <c r="Z526" i="1"/>
  <c r="AA526" i="1"/>
  <c r="AB526" i="1"/>
  <c r="Z527" i="1"/>
  <c r="AA527" i="1"/>
  <c r="AB527" i="1"/>
  <c r="Z528" i="1"/>
  <c r="AA528" i="1"/>
  <c r="CX528" i="1"/>
  <c r="AB528" i="1"/>
  <c r="AE528" i="1"/>
  <c r="Z529" i="1"/>
  <c r="AA529" i="1"/>
  <c r="AB529" i="1"/>
  <c r="Z530" i="1"/>
  <c r="AA530" i="1"/>
  <c r="AB530" i="1"/>
  <c r="J532" i="1"/>
  <c r="Z532" i="1"/>
  <c r="AA532" i="1"/>
  <c r="AB532" i="1"/>
  <c r="Z533" i="1"/>
  <c r="AA533" i="1"/>
  <c r="AB533" i="1"/>
  <c r="Z534" i="1"/>
  <c r="AA534" i="1"/>
  <c r="AB534" i="1"/>
  <c r="Z535" i="1"/>
  <c r="AA535" i="1"/>
  <c r="AB535" i="1"/>
  <c r="Z537" i="1"/>
  <c r="AA537" i="1"/>
  <c r="AB537" i="1"/>
  <c r="Z538" i="1"/>
  <c r="AA538" i="1"/>
  <c r="AB538" i="1"/>
  <c r="Z539" i="1"/>
  <c r="AA539" i="1"/>
  <c r="AB539" i="1"/>
  <c r="Z540" i="1"/>
  <c r="AA540" i="1"/>
  <c r="AB540" i="1"/>
  <c r="Z541" i="1"/>
  <c r="AA541" i="1"/>
  <c r="AB541" i="1"/>
  <c r="Z542" i="1"/>
  <c r="AA542" i="1"/>
  <c r="AB542" i="1"/>
  <c r="Z543" i="1"/>
  <c r="AA543" i="1"/>
  <c r="AB543" i="1"/>
  <c r="Z544" i="1"/>
  <c r="AA544" i="1"/>
  <c r="AB544" i="1"/>
  <c r="Z545" i="1"/>
  <c r="AA545" i="1"/>
  <c r="AB545" i="1"/>
  <c r="Z546" i="1"/>
  <c r="AA546" i="1"/>
  <c r="AB546" i="1"/>
  <c r="Z547" i="1"/>
  <c r="AA547" i="1"/>
  <c r="AB547" i="1"/>
  <c r="Z548" i="1"/>
  <c r="AA548" i="1"/>
  <c r="AB548" i="1"/>
  <c r="Z549" i="1"/>
  <c r="AA549" i="1"/>
  <c r="AB549" i="1"/>
  <c r="Z550" i="1"/>
  <c r="AA550" i="1"/>
  <c r="AB550" i="1"/>
  <c r="AD550" i="1"/>
  <c r="Z551" i="1"/>
  <c r="AA551" i="1"/>
  <c r="AB551" i="1"/>
  <c r="Z552" i="1"/>
  <c r="AA552" i="1"/>
  <c r="AB552" i="1"/>
  <c r="Z553" i="1"/>
  <c r="AA553" i="1"/>
  <c r="AB553" i="1"/>
  <c r="Z554" i="1"/>
  <c r="AA554" i="1"/>
  <c r="AB554" i="1"/>
  <c r="Z555" i="1"/>
  <c r="AA555" i="1"/>
  <c r="AB555" i="1"/>
  <c r="Z556" i="1"/>
  <c r="AA556" i="1"/>
  <c r="AB556" i="1"/>
  <c r="J558" i="1"/>
  <c r="Z558" i="1"/>
  <c r="AA558" i="1"/>
  <c r="AB558" i="1"/>
  <c r="Z559" i="1"/>
  <c r="AA559" i="1"/>
  <c r="AB559" i="1"/>
  <c r="Z560" i="1"/>
  <c r="AA560" i="1"/>
  <c r="AB560" i="1"/>
  <c r="Z561" i="1"/>
  <c r="AA561" i="1"/>
  <c r="AB561" i="1"/>
  <c r="Z562" i="1"/>
  <c r="AA562" i="1"/>
  <c r="AB562" i="1"/>
  <c r="Z563" i="1"/>
  <c r="AA563" i="1"/>
  <c r="AB563" i="1"/>
  <c r="Z564" i="1"/>
  <c r="AA564" i="1"/>
  <c r="AB564" i="1"/>
  <c r="Z565" i="1"/>
  <c r="AA565" i="1"/>
  <c r="AB565" i="1"/>
  <c r="Z566" i="1"/>
  <c r="AA566" i="1"/>
  <c r="AB566" i="1"/>
  <c r="Z567" i="1"/>
  <c r="AA567" i="1"/>
  <c r="AB567" i="1"/>
  <c r="Z568" i="1"/>
  <c r="AA568" i="1"/>
  <c r="AB568" i="1"/>
  <c r="Z569" i="1"/>
  <c r="AA569" i="1"/>
  <c r="AB569" i="1"/>
  <c r="AW569" i="1"/>
  <c r="BA569" i="1"/>
  <c r="CK569" i="1"/>
  <c r="J570" i="1"/>
  <c r="K570" i="1"/>
  <c r="V570" i="1"/>
  <c r="V3208" i="1"/>
  <c r="Z570" i="1"/>
  <c r="AA570" i="1"/>
  <c r="AB570" i="1"/>
  <c r="Z571" i="1"/>
  <c r="AA571" i="1"/>
  <c r="AB571" i="1"/>
  <c r="Z572" i="1"/>
  <c r="AA572" i="1"/>
  <c r="AB572" i="1"/>
  <c r="Z573" i="1"/>
  <c r="AA573" i="1"/>
  <c r="AB573" i="1"/>
  <c r="Z574" i="1"/>
  <c r="AA574" i="1"/>
  <c r="AB574" i="1"/>
  <c r="Z575" i="1"/>
  <c r="AB575" i="1"/>
  <c r="J576" i="1"/>
  <c r="Z576" i="1"/>
  <c r="AA576" i="1"/>
  <c r="AB576" i="1"/>
  <c r="J577" i="1"/>
  <c r="Z577" i="1"/>
  <c r="AA577" i="1"/>
  <c r="AB577" i="1"/>
  <c r="Z578" i="1"/>
  <c r="AA578" i="1"/>
  <c r="AB578" i="1"/>
  <c r="Z579" i="1"/>
  <c r="AA579" i="1"/>
  <c r="AB579" i="1"/>
  <c r="Z580" i="1"/>
  <c r="AA580" i="1"/>
  <c r="AB580" i="1"/>
  <c r="Z581" i="1"/>
  <c r="AA581" i="1"/>
  <c r="AB581" i="1"/>
  <c r="Z582" i="1"/>
  <c r="AA582" i="1"/>
  <c r="AB582" i="1"/>
  <c r="Z583" i="1"/>
  <c r="AA583" i="1"/>
  <c r="AB583" i="1"/>
  <c r="Z584" i="1"/>
  <c r="AA584" i="1"/>
  <c r="AB584" i="1"/>
  <c r="Z585" i="1"/>
  <c r="AA585" i="1"/>
  <c r="AB585" i="1"/>
  <c r="Z587" i="1"/>
  <c r="AA587" i="1"/>
  <c r="AB587" i="1"/>
  <c r="Z588" i="1"/>
  <c r="AA588" i="1"/>
  <c r="AB588" i="1"/>
  <c r="Z589" i="1"/>
  <c r="AA589" i="1"/>
  <c r="AB589" i="1"/>
  <c r="Z590" i="1"/>
  <c r="AA590" i="1"/>
  <c r="AB590" i="1"/>
  <c r="Z591" i="1"/>
  <c r="AA591" i="1"/>
  <c r="AB591" i="1"/>
  <c r="Z592" i="1"/>
  <c r="AA592" i="1"/>
  <c r="AB592" i="1"/>
  <c r="Z593" i="1"/>
  <c r="AA593" i="1"/>
  <c r="AB593" i="1"/>
  <c r="Z594" i="1"/>
  <c r="AA594" i="1"/>
  <c r="AB594" i="1"/>
  <c r="J586" i="1"/>
  <c r="Z586" i="1"/>
  <c r="AA586" i="1"/>
  <c r="AB586" i="1"/>
  <c r="J595" i="1"/>
  <c r="Z595" i="1"/>
  <c r="AA595" i="1"/>
  <c r="AB595" i="1"/>
  <c r="Z596" i="1"/>
  <c r="AA596" i="1"/>
  <c r="AB596" i="1"/>
  <c r="J597" i="1"/>
  <c r="K597" i="1"/>
  <c r="Z597" i="1"/>
  <c r="AA597" i="1"/>
  <c r="AB597" i="1"/>
  <c r="Z598" i="1"/>
  <c r="AA598" i="1"/>
  <c r="AB598" i="1"/>
  <c r="Z599" i="1"/>
  <c r="AA599" i="1"/>
  <c r="AB599" i="1"/>
  <c r="Z600" i="1"/>
  <c r="AA600" i="1"/>
  <c r="AB600" i="1"/>
  <c r="Z601" i="1"/>
  <c r="AA601" i="1"/>
  <c r="AB601" i="1"/>
  <c r="J602" i="1"/>
  <c r="M602" i="1"/>
  <c r="AA602" i="1"/>
  <c r="AB602" i="1"/>
  <c r="BA602" i="1"/>
  <c r="CO602" i="1"/>
  <c r="CQ602" i="1"/>
  <c r="CS602" i="1"/>
  <c r="CZ602" i="1"/>
  <c r="Z602" i="1"/>
  <c r="Z603" i="1"/>
  <c r="AA603" i="1"/>
  <c r="AB603" i="1"/>
  <c r="Z604" i="1"/>
  <c r="AA604" i="1"/>
  <c r="AB604" i="1"/>
  <c r="Z605" i="1"/>
  <c r="AA605" i="1"/>
  <c r="AB605" i="1"/>
  <c r="Z606" i="1"/>
  <c r="AA606" i="1"/>
  <c r="AB606" i="1"/>
  <c r="Z607" i="1"/>
  <c r="AA607" i="1"/>
  <c r="AB607" i="1"/>
  <c r="Z608" i="1"/>
  <c r="AA608" i="1"/>
  <c r="AB608" i="1"/>
  <c r="Z609" i="1"/>
  <c r="AA609" i="1"/>
  <c r="AB609" i="1"/>
  <c r="Z610" i="1"/>
  <c r="AA610" i="1"/>
  <c r="AB610" i="1"/>
  <c r="AA611" i="1"/>
  <c r="AB611" i="1"/>
  <c r="CA611" i="1"/>
  <c r="CQ611" i="1"/>
  <c r="CZ611" i="1"/>
  <c r="Z611" i="1"/>
  <c r="J613" i="1"/>
  <c r="Z613" i="1"/>
  <c r="AA613" i="1"/>
  <c r="AB613" i="1"/>
  <c r="Z614" i="1"/>
  <c r="AA614" i="1"/>
  <c r="AB614" i="1"/>
  <c r="AB615" i="1"/>
  <c r="AC615" i="1"/>
  <c r="BA615" i="1"/>
  <c r="BE615" i="1"/>
  <c r="BM615" i="1"/>
  <c r="CO615" i="1"/>
  <c r="CQ615" i="1"/>
  <c r="CY615" i="1"/>
  <c r="CZ615" i="1"/>
  <c r="Z615" i="1"/>
  <c r="DD615" i="1"/>
  <c r="AA615" i="1"/>
  <c r="J616" i="1"/>
  <c r="Z616" i="1"/>
  <c r="AA616" i="1"/>
  <c r="AB616" i="1"/>
  <c r="Z618" i="1"/>
  <c r="AA618" i="1"/>
  <c r="AB618" i="1"/>
  <c r="Z619" i="1"/>
  <c r="AA619" i="1"/>
  <c r="AB619" i="1"/>
  <c r="Z620" i="1"/>
  <c r="AA620" i="1"/>
  <c r="AB620" i="1"/>
  <c r="Z621" i="1"/>
  <c r="AA621" i="1"/>
  <c r="AB621" i="1"/>
  <c r="Z622" i="1"/>
  <c r="AA622" i="1"/>
  <c r="AB622" i="1"/>
  <c r="Z623" i="1"/>
  <c r="AA623" i="1"/>
  <c r="AB623" i="1"/>
  <c r="Z624" i="1"/>
  <c r="AA624" i="1"/>
  <c r="BE624" i="1"/>
  <c r="CX624" i="1"/>
  <c r="AB624" i="1"/>
  <c r="Z625" i="1"/>
  <c r="AA625" i="1"/>
  <c r="AB625" i="1"/>
  <c r="Z628" i="1"/>
  <c r="AA628" i="1"/>
  <c r="AB628" i="1"/>
  <c r="Z629" i="1"/>
  <c r="AA629" i="1"/>
  <c r="AB629" i="1"/>
  <c r="Z630" i="1"/>
  <c r="AA630" i="1"/>
  <c r="AB630" i="1"/>
  <c r="Z631" i="1"/>
  <c r="AA631" i="1"/>
  <c r="AB631" i="1"/>
  <c r="Z632" i="1"/>
  <c r="AA632" i="1"/>
  <c r="AB632" i="1"/>
  <c r="Z633" i="1"/>
  <c r="AA633" i="1"/>
  <c r="AB633" i="1"/>
  <c r="Z634" i="1"/>
  <c r="AA634" i="1"/>
  <c r="AB634" i="1"/>
  <c r="J635" i="1"/>
  <c r="Z635" i="1"/>
  <c r="AA635" i="1"/>
  <c r="AB635" i="1"/>
  <c r="Z636" i="1"/>
  <c r="AA636" i="1"/>
  <c r="AB636" i="1"/>
  <c r="Z637" i="1"/>
  <c r="AA637" i="1"/>
  <c r="AB637" i="1"/>
  <c r="J638" i="1"/>
  <c r="AA638" i="1"/>
  <c r="AB638" i="1"/>
  <c r="CQ638" i="1"/>
  <c r="CV638" i="1"/>
  <c r="Y638" i="1"/>
  <c r="CZ638" i="1"/>
  <c r="Z638" i="1"/>
  <c r="Z643" i="1"/>
  <c r="AA643" i="1"/>
  <c r="AB643" i="1"/>
  <c r="Z644" i="1"/>
  <c r="AA644" i="1"/>
  <c r="AB644" i="1"/>
  <c r="Z645" i="1"/>
  <c r="AA645" i="1"/>
  <c r="AB645" i="1"/>
  <c r="AA646" i="1"/>
  <c r="AB646" i="1"/>
  <c r="Z648" i="1"/>
  <c r="AA648" i="1"/>
  <c r="AB648" i="1"/>
  <c r="Z647" i="1"/>
  <c r="AA647" i="1"/>
  <c r="AB647" i="1"/>
  <c r="Z649" i="1"/>
  <c r="AA649" i="1"/>
  <c r="AB649" i="1"/>
  <c r="Z650" i="1"/>
  <c r="AA650" i="1"/>
  <c r="AB650" i="1"/>
  <c r="Z651" i="1"/>
  <c r="AA651" i="1"/>
  <c r="AB651" i="1"/>
  <c r="Z652" i="1"/>
  <c r="AA652" i="1"/>
  <c r="AB652" i="1"/>
  <c r="Z653" i="1"/>
  <c r="AA653" i="1"/>
  <c r="AB653" i="1"/>
  <c r="Z654" i="1"/>
  <c r="AA654" i="1"/>
  <c r="AB654" i="1"/>
  <c r="Z655" i="1"/>
  <c r="AA655" i="1"/>
  <c r="AB655" i="1"/>
  <c r="Z656" i="1"/>
  <c r="AA656" i="1"/>
  <c r="AB656" i="1"/>
  <c r="Z657" i="1"/>
  <c r="AA657" i="1"/>
  <c r="AB657" i="1"/>
  <c r="Z658" i="1"/>
  <c r="AA658" i="1"/>
  <c r="AB658" i="1"/>
  <c r="Z659" i="1"/>
  <c r="AA659" i="1"/>
  <c r="AB659" i="1"/>
  <c r="Z660" i="1"/>
  <c r="AA660" i="1"/>
  <c r="AB660" i="1"/>
  <c r="Z661" i="1"/>
  <c r="AB661" i="1"/>
  <c r="Z662" i="1"/>
  <c r="AA662" i="1"/>
  <c r="AB662" i="1"/>
  <c r="Z663" i="1"/>
  <c r="AA663" i="1"/>
  <c r="AB663" i="1"/>
  <c r="Z664" i="1"/>
  <c r="AA664" i="1"/>
  <c r="AB664" i="1"/>
  <c r="Z665" i="1"/>
  <c r="AA665" i="1"/>
  <c r="AB665" i="1"/>
  <c r="Z666" i="1"/>
  <c r="AA666" i="1"/>
  <c r="AB666" i="1"/>
  <c r="Z667" i="1"/>
  <c r="AA667" i="1"/>
  <c r="AB667" i="1"/>
  <c r="Z668" i="1"/>
  <c r="AA668" i="1"/>
  <c r="AB668" i="1"/>
  <c r="Z669" i="1"/>
  <c r="AA669" i="1"/>
  <c r="AB669" i="1"/>
  <c r="J670" i="1"/>
  <c r="Z670" i="1"/>
  <c r="AB670" i="1"/>
  <c r="AC670" i="1"/>
  <c r="DC670" i="1"/>
  <c r="DD670" i="1"/>
  <c r="Z671" i="1"/>
  <c r="AA671" i="1"/>
  <c r="AB671" i="1"/>
  <c r="Z672" i="1"/>
  <c r="AA672" i="1"/>
  <c r="AB672" i="1"/>
  <c r="Z673" i="1"/>
  <c r="AA673" i="1"/>
  <c r="CA673" i="1"/>
  <c r="CV673" i="1"/>
  <c r="Y673" i="1"/>
  <c r="CW673" i="1"/>
  <c r="CW3208" i="1"/>
  <c r="CX673" i="1"/>
  <c r="AB673" i="1"/>
  <c r="Z674" i="1"/>
  <c r="AA674" i="1"/>
  <c r="AB674" i="1"/>
  <c r="Z679" i="1"/>
  <c r="AA679" i="1"/>
  <c r="CX679" i="1"/>
  <c r="AB679" i="1"/>
  <c r="Z680" i="1"/>
  <c r="AA680" i="1"/>
  <c r="AB680" i="1"/>
  <c r="AB681" i="1"/>
  <c r="BA681" i="1"/>
  <c r="CK681" i="1"/>
  <c r="CQ681" i="1"/>
  <c r="CZ681" i="1"/>
  <c r="Z681" i="1"/>
  <c r="DD681" i="1"/>
  <c r="AA681" i="1"/>
  <c r="Z682" i="1"/>
  <c r="AA682" i="1"/>
  <c r="AB682" i="1"/>
  <c r="Z683" i="1"/>
  <c r="AA683" i="1"/>
  <c r="AB683" i="1"/>
  <c r="AA684" i="1"/>
  <c r="AB684" i="1"/>
  <c r="BA684" i="1"/>
  <c r="CA684" i="1"/>
  <c r="CQ684" i="1"/>
  <c r="CS684" i="1"/>
  <c r="CZ684" i="1"/>
  <c r="Z684" i="1"/>
  <c r="Z686" i="1"/>
  <c r="AA686" i="1"/>
  <c r="AB686" i="1"/>
  <c r="Z687" i="1"/>
  <c r="AA687" i="1"/>
  <c r="AB687" i="1"/>
  <c r="Z677" i="1"/>
  <c r="AA677" i="1"/>
  <c r="AB677" i="1"/>
  <c r="J678" i="1"/>
  <c r="K678" i="1"/>
  <c r="Z678" i="1"/>
  <c r="AB678" i="1"/>
  <c r="BA678" i="1"/>
  <c r="CV678" i="1"/>
  <c r="Y678" i="1"/>
  <c r="DD678" i="1"/>
  <c r="AA678" i="1"/>
  <c r="Z688" i="1"/>
  <c r="AA688" i="1"/>
  <c r="AB688" i="1"/>
  <c r="Z689" i="1"/>
  <c r="AA689" i="1"/>
  <c r="AB689" i="1"/>
  <c r="Z691" i="1"/>
  <c r="AA691" i="1"/>
  <c r="AB691" i="1"/>
  <c r="Z692" i="1"/>
  <c r="AA692" i="1"/>
  <c r="AB692" i="1"/>
  <c r="Z693" i="1"/>
  <c r="AA693" i="1"/>
  <c r="AB693" i="1"/>
  <c r="Z694" i="1"/>
  <c r="AA694" i="1"/>
  <c r="AB694" i="1"/>
  <c r="Z695" i="1"/>
  <c r="AA695" i="1"/>
  <c r="CA695" i="1"/>
  <c r="CV695" i="1"/>
  <c r="Y695" i="1"/>
  <c r="CX695" i="1"/>
  <c r="AB695" i="1"/>
  <c r="AA696" i="1"/>
  <c r="AB696" i="1"/>
  <c r="BA696" i="1"/>
  <c r="CA696" i="1"/>
  <c r="CK696" i="1"/>
  <c r="CQ696" i="1"/>
  <c r="CS696" i="1"/>
  <c r="CZ696" i="1"/>
  <c r="Z696" i="1"/>
  <c r="J697" i="1"/>
  <c r="Z697" i="1"/>
  <c r="AA697" i="1"/>
  <c r="AB697" i="1"/>
  <c r="Z698" i="1"/>
  <c r="AA698" i="1"/>
  <c r="AB698" i="1"/>
  <c r="AA699" i="1"/>
  <c r="AB699" i="1"/>
  <c r="BA699" i="1"/>
  <c r="CA699" i="1"/>
  <c r="CK699" i="1"/>
  <c r="CZ699" i="1"/>
  <c r="Z699" i="1"/>
  <c r="Z700" i="1"/>
  <c r="AA700" i="1"/>
  <c r="AB700" i="1"/>
  <c r="AA701" i="1"/>
  <c r="BA701" i="1"/>
  <c r="CA701" i="1"/>
  <c r="CK701" i="1"/>
  <c r="CQ701" i="1"/>
  <c r="CS701" i="1"/>
  <c r="CX701" i="1"/>
  <c r="AB701" i="1"/>
  <c r="CY701" i="1"/>
  <c r="CZ701" i="1"/>
  <c r="Z701" i="1"/>
  <c r="Z702" i="1"/>
  <c r="AA702" i="1"/>
  <c r="AB702" i="1"/>
  <c r="Z703" i="1"/>
  <c r="AA703" i="1"/>
  <c r="AB703" i="1"/>
  <c r="Z705" i="1"/>
  <c r="AA705" i="1"/>
  <c r="AB705" i="1"/>
  <c r="Z706" i="1"/>
  <c r="AA706" i="1"/>
  <c r="AB706" i="1"/>
  <c r="Z707" i="1"/>
  <c r="AA707" i="1"/>
  <c r="AB707" i="1"/>
  <c r="Z708" i="1"/>
  <c r="AA708" i="1"/>
  <c r="AB708" i="1"/>
  <c r="Z709" i="1"/>
  <c r="AA709" i="1"/>
  <c r="AB709" i="1"/>
  <c r="J710" i="1"/>
  <c r="Z710" i="1"/>
  <c r="AA710" i="1"/>
  <c r="AB710" i="1"/>
  <c r="J711" i="1"/>
  <c r="Z711" i="1"/>
  <c r="AA711" i="1"/>
  <c r="AB711" i="1"/>
  <c r="J712" i="1"/>
  <c r="Z712" i="1"/>
  <c r="AA712" i="1"/>
  <c r="AB712" i="1"/>
  <c r="Z713" i="1"/>
  <c r="AA713" i="1"/>
  <c r="AB713" i="1"/>
  <c r="J714" i="1"/>
  <c r="Z714" i="1"/>
  <c r="AA714" i="1"/>
  <c r="AB714" i="1"/>
  <c r="J715" i="1"/>
  <c r="K715" i="1"/>
  <c r="Z715" i="1"/>
  <c r="AA715" i="1"/>
  <c r="AB715" i="1"/>
  <c r="Z716" i="1"/>
  <c r="AA716" i="1"/>
  <c r="CX716" i="1"/>
  <c r="AB716" i="1"/>
  <c r="Z718" i="1"/>
  <c r="AA718" i="1"/>
  <c r="AB718" i="1"/>
  <c r="M720" i="1"/>
  <c r="Z720" i="1"/>
  <c r="AB720" i="1"/>
  <c r="Z719" i="1"/>
  <c r="AA719" i="1"/>
  <c r="AB719" i="1"/>
  <c r="Z721" i="1"/>
  <c r="AA721" i="1"/>
  <c r="AB721" i="1"/>
  <c r="Z722" i="1"/>
  <c r="AA722" i="1"/>
  <c r="AB722" i="1"/>
  <c r="Z723" i="1"/>
  <c r="AA723" i="1"/>
  <c r="AB723" i="1"/>
  <c r="Z724" i="1"/>
  <c r="AA724" i="1"/>
  <c r="AB724" i="1"/>
  <c r="Z725" i="1"/>
  <c r="AA725" i="1"/>
  <c r="AB725" i="1"/>
  <c r="Z726" i="1"/>
  <c r="AB726" i="1"/>
  <c r="AC726" i="1"/>
  <c r="DD726" i="1"/>
  <c r="AA726" i="1"/>
  <c r="Z727" i="1"/>
  <c r="AA727" i="1"/>
  <c r="AB727" i="1"/>
  <c r="Z728" i="1"/>
  <c r="AA728" i="1"/>
  <c r="AB728" i="1"/>
  <c r="Z729" i="1"/>
  <c r="AA729" i="1"/>
  <c r="AB729" i="1"/>
  <c r="Z730" i="1"/>
  <c r="AA730" i="1"/>
  <c r="AB730" i="1"/>
  <c r="Z731" i="1"/>
  <c r="AA731" i="1"/>
  <c r="AB731" i="1"/>
  <c r="Z732" i="1"/>
  <c r="AA732" i="1"/>
  <c r="AB732" i="1"/>
  <c r="Z733" i="1"/>
  <c r="AA733" i="1"/>
  <c r="AB733" i="1"/>
  <c r="Z734" i="1"/>
  <c r="AA734" i="1"/>
  <c r="AB734" i="1"/>
  <c r="J736" i="1"/>
  <c r="Z736" i="1"/>
  <c r="AA736" i="1"/>
  <c r="AB736" i="1"/>
  <c r="Z738" i="1"/>
  <c r="AA738" i="1"/>
  <c r="AB738" i="1"/>
  <c r="AA739" i="1"/>
  <c r="AB739" i="1"/>
  <c r="Z740" i="1"/>
  <c r="AA740" i="1"/>
  <c r="AB740" i="1"/>
  <c r="Z741" i="1"/>
  <c r="AA741" i="1"/>
  <c r="AB741" i="1"/>
  <c r="Z742" i="1"/>
  <c r="AA742" i="1"/>
  <c r="AB742" i="1"/>
  <c r="Z743" i="1"/>
  <c r="AA743" i="1"/>
  <c r="AB743" i="1"/>
  <c r="Z744" i="1"/>
  <c r="AA744" i="1"/>
  <c r="AB744" i="1"/>
  <c r="Z745" i="1"/>
  <c r="AA745" i="1"/>
  <c r="AB745" i="1"/>
  <c r="Z746" i="1"/>
  <c r="AA746" i="1"/>
  <c r="AB746" i="1"/>
  <c r="Z748" i="1"/>
  <c r="AA748" i="1"/>
  <c r="AB748" i="1"/>
  <c r="Z749" i="1"/>
  <c r="AA749" i="1"/>
  <c r="AB749" i="1"/>
  <c r="AA750" i="1"/>
  <c r="AW750" i="1"/>
  <c r="AY750" i="1"/>
  <c r="BA750" i="1"/>
  <c r="BE750" i="1"/>
  <c r="CA750" i="1"/>
  <c r="CK750" i="1"/>
  <c r="CQ750" i="1"/>
  <c r="CS750" i="1"/>
  <c r="AX750" i="1"/>
  <c r="CX750" i="1"/>
  <c r="AB750" i="1"/>
  <c r="CZ750" i="1"/>
  <c r="Z750" i="1"/>
  <c r="Z751" i="1"/>
  <c r="AA751" i="1"/>
  <c r="AB751" i="1"/>
  <c r="Z752" i="1"/>
  <c r="AA752" i="1"/>
  <c r="AB752" i="1"/>
  <c r="Z753" i="1"/>
  <c r="AA753" i="1"/>
  <c r="AB753" i="1"/>
  <c r="Z754" i="1"/>
  <c r="AA754" i="1"/>
  <c r="AB754" i="1"/>
  <c r="Z747" i="1"/>
  <c r="AA747" i="1"/>
  <c r="AB747" i="1"/>
  <c r="Z755" i="1"/>
  <c r="AA755" i="1"/>
  <c r="AB755" i="1"/>
  <c r="Z756" i="1"/>
  <c r="AA756" i="1"/>
  <c r="AB756" i="1"/>
  <c r="Z757" i="1"/>
  <c r="AA757" i="1"/>
  <c r="AB757" i="1"/>
  <c r="Z758" i="1"/>
  <c r="AA758" i="1"/>
  <c r="AB758" i="1"/>
  <c r="J759" i="1"/>
  <c r="AB759" i="1"/>
  <c r="AC759" i="1"/>
  <c r="BA759" i="1"/>
  <c r="CA759" i="1"/>
  <c r="CK759" i="1"/>
  <c r="CQ759" i="1"/>
  <c r="CS759" i="1"/>
  <c r="CZ759" i="1"/>
  <c r="Z759" i="1"/>
  <c r="DB759" i="1"/>
  <c r="DC759" i="1"/>
  <c r="DD759" i="1"/>
  <c r="AB760" i="1"/>
  <c r="BA760" i="1"/>
  <c r="CQ760" i="1"/>
  <c r="CZ760" i="1"/>
  <c r="Z760" i="1"/>
  <c r="Z761" i="1"/>
  <c r="AA761" i="1"/>
  <c r="AB761" i="1"/>
  <c r="Z762" i="1"/>
  <c r="AA762" i="1"/>
  <c r="AB762" i="1"/>
  <c r="Z764" i="1"/>
  <c r="AA764" i="1"/>
  <c r="AB764" i="1"/>
  <c r="Z765" i="1"/>
  <c r="AA765" i="1"/>
  <c r="AB765" i="1"/>
  <c r="Z766" i="1"/>
  <c r="AA766" i="1"/>
  <c r="AB766" i="1"/>
  <c r="Z767" i="1"/>
  <c r="AA767" i="1"/>
  <c r="AB767" i="1"/>
  <c r="Z768" i="1"/>
  <c r="AA768" i="1"/>
  <c r="AB768" i="1"/>
  <c r="Z769" i="1"/>
  <c r="AA769" i="1"/>
  <c r="AB769" i="1"/>
  <c r="Z773" i="1"/>
  <c r="AA773" i="1"/>
  <c r="AB773" i="1"/>
  <c r="Z774" i="1"/>
  <c r="AA774" i="1"/>
  <c r="AB774" i="1"/>
  <c r="Z775" i="1"/>
  <c r="AA775" i="1"/>
  <c r="AB775" i="1"/>
  <c r="Z777" i="1"/>
  <c r="AA777" i="1"/>
  <c r="AB777" i="1"/>
  <c r="Z2078" i="1"/>
  <c r="AA2078" i="1"/>
  <c r="AB2078" i="1"/>
  <c r="Z778" i="1"/>
  <c r="AA778" i="1"/>
  <c r="AB778" i="1"/>
  <c r="Z779" i="1"/>
  <c r="AA779" i="1"/>
  <c r="AB779" i="1"/>
  <c r="Z780" i="1"/>
  <c r="AA780" i="1"/>
  <c r="AB780" i="1"/>
  <c r="Z781" i="1"/>
  <c r="AA781" i="1"/>
  <c r="AB781" i="1"/>
  <c r="Z782" i="1"/>
  <c r="AA782" i="1"/>
  <c r="AB782" i="1"/>
  <c r="Z783" i="1"/>
  <c r="AA783" i="1"/>
  <c r="AB783" i="1"/>
  <c r="Z784" i="1"/>
  <c r="AA784" i="1"/>
  <c r="AB784" i="1"/>
  <c r="Z776" i="1"/>
  <c r="AA776" i="1"/>
  <c r="AB776" i="1"/>
  <c r="Z785" i="1"/>
  <c r="AA785" i="1"/>
  <c r="AB785" i="1"/>
  <c r="Z786" i="1"/>
  <c r="AA786" i="1"/>
  <c r="AB786" i="1"/>
  <c r="Z787" i="1"/>
  <c r="AA787" i="1"/>
  <c r="AB787" i="1"/>
  <c r="Z788" i="1"/>
  <c r="AA788" i="1"/>
  <c r="AB788" i="1"/>
  <c r="Z789" i="1"/>
  <c r="AA789" i="1"/>
  <c r="AB789" i="1"/>
  <c r="Z790" i="1"/>
  <c r="AA790" i="1"/>
  <c r="AB790" i="1"/>
  <c r="Z791" i="1"/>
  <c r="AA791" i="1"/>
  <c r="AB791" i="1"/>
  <c r="Z792" i="1"/>
  <c r="AA792" i="1"/>
  <c r="AB792" i="1"/>
  <c r="Z793" i="1"/>
  <c r="AA793" i="1"/>
  <c r="AB793" i="1"/>
  <c r="Z794" i="1"/>
  <c r="AA794" i="1"/>
  <c r="AB794" i="1"/>
  <c r="Z795" i="1"/>
  <c r="AA795" i="1"/>
  <c r="AB795" i="1"/>
  <c r="Z796" i="1"/>
  <c r="AA796" i="1"/>
  <c r="AB796" i="1"/>
  <c r="Z798" i="1"/>
  <c r="AA798" i="1"/>
  <c r="AB798" i="1"/>
  <c r="AA799" i="1"/>
  <c r="AB799" i="1"/>
  <c r="Z800" i="1"/>
  <c r="AA800" i="1"/>
  <c r="AB800" i="1"/>
  <c r="Z801" i="1"/>
  <c r="AA801" i="1"/>
  <c r="AB801" i="1"/>
  <c r="J797" i="1"/>
  <c r="Z797" i="1"/>
  <c r="AA797" i="1"/>
  <c r="AB797" i="1"/>
  <c r="AC797" i="1"/>
  <c r="AY797" i="1"/>
  <c r="CV797" i="1"/>
  <c r="Y797" i="1"/>
  <c r="Z802" i="1"/>
  <c r="AA802" i="1"/>
  <c r="AB802" i="1"/>
  <c r="Z803" i="1"/>
  <c r="AA803" i="1"/>
  <c r="CX803" i="1"/>
  <c r="AB803" i="1"/>
  <c r="Z804" i="1"/>
  <c r="AA804" i="1"/>
  <c r="AB804" i="1"/>
  <c r="AB805" i="1"/>
  <c r="AC805" i="1"/>
  <c r="BA805" i="1"/>
  <c r="CQ805" i="1"/>
  <c r="CS805" i="1"/>
  <c r="CZ805" i="1"/>
  <c r="Z805" i="1"/>
  <c r="DB805" i="1"/>
  <c r="DD805" i="1"/>
  <c r="Z806" i="1"/>
  <c r="AA806" i="1"/>
  <c r="AB806" i="1"/>
  <c r="Z807" i="1"/>
  <c r="AA807" i="1"/>
  <c r="AB807" i="1"/>
  <c r="Z808" i="1"/>
  <c r="AA808" i="1"/>
  <c r="AB808" i="1"/>
  <c r="Z809" i="1"/>
  <c r="AA809" i="1"/>
  <c r="AB809" i="1"/>
  <c r="J810" i="1"/>
  <c r="K810" i="1"/>
  <c r="Z810" i="1"/>
  <c r="AA810" i="1"/>
  <c r="AB810" i="1"/>
  <c r="Z815" i="1"/>
  <c r="AA815" i="1"/>
  <c r="AB815" i="1"/>
  <c r="Z816" i="1"/>
  <c r="AA816" i="1"/>
  <c r="AB816" i="1"/>
  <c r="AA817" i="1"/>
  <c r="AB817" i="1"/>
  <c r="BE817" i="1"/>
  <c r="CI817" i="1"/>
  <c r="CK817" i="1"/>
  <c r="CO817" i="1"/>
  <c r="CQ817" i="1"/>
  <c r="CS817" i="1"/>
  <c r="CZ817" i="1"/>
  <c r="Z817" i="1"/>
  <c r="Z818" i="1"/>
  <c r="AA818" i="1"/>
  <c r="AB818" i="1"/>
  <c r="Z819" i="1"/>
  <c r="AA819" i="1"/>
  <c r="AB819" i="1"/>
  <c r="Z820" i="1"/>
  <c r="AA820" i="1"/>
  <c r="AB820" i="1"/>
  <c r="Z821" i="1"/>
  <c r="AA821" i="1"/>
  <c r="AB821" i="1"/>
  <c r="Z825" i="1"/>
  <c r="AA825" i="1"/>
  <c r="AB825" i="1"/>
  <c r="AC825" i="1"/>
  <c r="AY825" i="1"/>
  <c r="BA825" i="1"/>
  <c r="BE825" i="1"/>
  <c r="CK825" i="1"/>
  <c r="CO825" i="1"/>
  <c r="CQ825" i="1"/>
  <c r="CS825" i="1"/>
  <c r="Z826" i="1"/>
  <c r="AA826" i="1"/>
  <c r="AB826" i="1"/>
  <c r="Z827" i="1"/>
  <c r="AA827" i="1"/>
  <c r="AB827" i="1"/>
  <c r="Z830" i="1"/>
  <c r="AA830" i="1"/>
  <c r="AB830" i="1"/>
  <c r="J831" i="1"/>
  <c r="Z831" i="1"/>
  <c r="AA831" i="1"/>
  <c r="AB831" i="1"/>
  <c r="Z811" i="1"/>
  <c r="AA811" i="1"/>
  <c r="AB811" i="1"/>
  <c r="Z832" i="1"/>
  <c r="AA832" i="1"/>
  <c r="AB832" i="1"/>
  <c r="Z833" i="1"/>
  <c r="AA833" i="1"/>
  <c r="AB833" i="1"/>
  <c r="Z835" i="1"/>
  <c r="AA835" i="1"/>
  <c r="AB835" i="1"/>
  <c r="AA840" i="1"/>
  <c r="AB840" i="1"/>
  <c r="AY840" i="1"/>
  <c r="BA840" i="1"/>
  <c r="CK840" i="1"/>
  <c r="CQ840" i="1"/>
  <c r="CS840" i="1"/>
  <c r="CZ840" i="1"/>
  <c r="Z840" i="1"/>
  <c r="Z841" i="1"/>
  <c r="AA841" i="1"/>
  <c r="AB841" i="1"/>
  <c r="AA842" i="1"/>
  <c r="BA842" i="1"/>
  <c r="CA842" i="1"/>
  <c r="CO842" i="1"/>
  <c r="CQ842" i="1"/>
  <c r="CS842" i="1"/>
  <c r="CX842" i="1"/>
  <c r="AB842" i="1"/>
  <c r="CZ842" i="1"/>
  <c r="Z842" i="1"/>
  <c r="Z843" i="1"/>
  <c r="AA843" i="1"/>
  <c r="AB843" i="1"/>
  <c r="Z844" i="1"/>
  <c r="AA844" i="1"/>
  <c r="AB844" i="1"/>
  <c r="Z845" i="1"/>
  <c r="AA845" i="1"/>
  <c r="AB845" i="1"/>
  <c r="Z846" i="1"/>
  <c r="AA846" i="1"/>
  <c r="AB846" i="1"/>
  <c r="Z847" i="1"/>
  <c r="AA847" i="1"/>
  <c r="AB847" i="1"/>
  <c r="Z848" i="1"/>
  <c r="AA848" i="1"/>
  <c r="AB848" i="1"/>
  <c r="Z849" i="1"/>
  <c r="AA849" i="1"/>
  <c r="AB849" i="1"/>
  <c r="Z850" i="1"/>
  <c r="AA850" i="1"/>
  <c r="AB850" i="1"/>
  <c r="Z851" i="1"/>
  <c r="AA851" i="1"/>
  <c r="AB851" i="1"/>
  <c r="Z853" i="1"/>
  <c r="AA853" i="1"/>
  <c r="AB853" i="1"/>
  <c r="Z854" i="1"/>
  <c r="AA854" i="1"/>
  <c r="AB854" i="1"/>
  <c r="J852" i="1"/>
  <c r="Z852" i="1"/>
  <c r="AA852" i="1"/>
  <c r="AB852" i="1"/>
  <c r="BA852" i="1"/>
  <c r="CI852" i="1"/>
  <c r="CK852" i="1"/>
  <c r="CI1034" i="1"/>
  <c r="Z855" i="1"/>
  <c r="AA855" i="1"/>
  <c r="AB855" i="1"/>
  <c r="Z856" i="1"/>
  <c r="AA856" i="1"/>
  <c r="AB856" i="1"/>
  <c r="Z857" i="1"/>
  <c r="AA857" i="1"/>
  <c r="AB857" i="1"/>
  <c r="Z860" i="1"/>
  <c r="AA860" i="1"/>
  <c r="AB860" i="1"/>
  <c r="Z858" i="1"/>
  <c r="AA858" i="1"/>
  <c r="AB858" i="1"/>
  <c r="J861" i="1"/>
  <c r="Z861" i="1"/>
  <c r="AA861" i="1"/>
  <c r="AB861" i="1"/>
  <c r="Z862" i="1"/>
  <c r="AA862" i="1"/>
  <c r="AX862" i="1"/>
  <c r="BA862" i="1"/>
  <c r="CO862" i="1"/>
  <c r="CQ862" i="1"/>
  <c r="CS862" i="1"/>
  <c r="CX862" i="1"/>
  <c r="AB862" i="1"/>
  <c r="Z863" i="1"/>
  <c r="AA863" i="1"/>
  <c r="AB863" i="1"/>
  <c r="J864" i="1"/>
  <c r="Z864" i="1"/>
  <c r="AC864" i="1"/>
  <c r="CA864" i="1"/>
  <c r="CV864" i="1"/>
  <c r="Y864" i="1"/>
  <c r="CX864" i="1"/>
  <c r="AB864" i="1"/>
  <c r="DB864" i="1"/>
  <c r="DC864" i="1"/>
  <c r="DD864" i="1"/>
  <c r="J865" i="1"/>
  <c r="K865" i="1"/>
  <c r="Z865" i="1"/>
  <c r="AA865" i="1"/>
  <c r="AB865" i="1"/>
  <c r="AA866" i="1"/>
  <c r="AB866" i="1"/>
  <c r="Z867" i="1"/>
  <c r="AA867" i="1"/>
  <c r="AB867" i="1"/>
  <c r="Z868" i="1"/>
  <c r="AA868" i="1"/>
  <c r="AB868" i="1"/>
  <c r="Z869" i="1"/>
  <c r="AA869" i="1"/>
  <c r="AB869" i="1"/>
  <c r="Z870" i="1"/>
  <c r="AA870" i="1"/>
  <c r="AB870" i="1"/>
  <c r="Z871" i="1"/>
  <c r="AA871" i="1"/>
  <c r="AB871" i="1"/>
  <c r="Z872" i="1"/>
  <c r="AA872" i="1"/>
  <c r="AB872" i="1"/>
  <c r="AA873" i="1"/>
  <c r="AB873" i="1"/>
  <c r="AY873" i="1"/>
  <c r="CV873" i="1"/>
  <c r="Y873" i="1"/>
  <c r="CZ873" i="1"/>
  <c r="Z873" i="1"/>
  <c r="Z874" i="1"/>
  <c r="AA874" i="1"/>
  <c r="AB874" i="1"/>
  <c r="Z875" i="1"/>
  <c r="AA875" i="1"/>
  <c r="AB875" i="1"/>
  <c r="J876" i="1"/>
  <c r="Z876" i="1"/>
  <c r="AA876" i="1"/>
  <c r="AB876" i="1"/>
  <c r="Z877" i="1"/>
  <c r="AA877" i="1"/>
  <c r="AB877" i="1"/>
  <c r="Z881" i="1"/>
  <c r="AA881" i="1"/>
  <c r="AB881" i="1"/>
  <c r="Z882" i="1"/>
  <c r="AA882" i="1"/>
  <c r="AB882" i="1"/>
  <c r="J880" i="1"/>
  <c r="Z880" i="1"/>
  <c r="AA880" i="1"/>
  <c r="AB880" i="1"/>
  <c r="Z884" i="1"/>
  <c r="AA884" i="1"/>
  <c r="AB884" i="1"/>
  <c r="Z885" i="1"/>
  <c r="AA885" i="1"/>
  <c r="AB885" i="1"/>
  <c r="Z886" i="1"/>
  <c r="AA886" i="1"/>
  <c r="AB886" i="1"/>
  <c r="Z887" i="1"/>
  <c r="AA887" i="1"/>
  <c r="AB887" i="1"/>
  <c r="Z888" i="1"/>
  <c r="AA888" i="1"/>
  <c r="AB888" i="1"/>
  <c r="Z889" i="1"/>
  <c r="AA889" i="1"/>
  <c r="AB889" i="1"/>
  <c r="Z890" i="1"/>
  <c r="AA890" i="1"/>
  <c r="AB890" i="1"/>
  <c r="Z891" i="1"/>
  <c r="AA891" i="1"/>
  <c r="AB891" i="1"/>
  <c r="J892" i="1"/>
  <c r="AA892" i="1"/>
  <c r="AB892" i="1"/>
  <c r="BA892" i="1"/>
  <c r="CK892" i="1"/>
  <c r="CQ892" i="1"/>
  <c r="CS892" i="1"/>
  <c r="CZ892" i="1"/>
  <c r="Z892" i="1"/>
  <c r="Z893" i="1"/>
  <c r="AA893" i="1"/>
  <c r="AB893" i="1"/>
  <c r="Z894" i="1"/>
  <c r="AA894" i="1"/>
  <c r="AB894" i="1"/>
  <c r="Z895" i="1"/>
  <c r="AA895" i="1"/>
  <c r="AB895" i="1"/>
  <c r="Z896" i="1"/>
  <c r="AA896" i="1"/>
  <c r="AB896" i="1"/>
  <c r="Z897" i="1"/>
  <c r="AA897" i="1"/>
  <c r="AB897" i="1"/>
  <c r="Z898" i="1"/>
  <c r="AA898" i="1"/>
  <c r="AB898" i="1"/>
  <c r="Z903" i="1"/>
  <c r="AA903" i="1"/>
  <c r="AB903" i="1"/>
  <c r="Z904" i="1"/>
  <c r="AA904" i="1"/>
  <c r="AB904" i="1"/>
  <c r="Z905" i="1"/>
  <c r="AA905" i="1"/>
  <c r="CA905" i="1"/>
  <c r="CV905" i="1"/>
  <c r="Y905" i="1"/>
  <c r="CX905" i="1"/>
  <c r="AB905" i="1"/>
  <c r="Z906" i="1"/>
  <c r="AA906" i="1"/>
  <c r="AB906" i="1"/>
  <c r="Z907" i="1"/>
  <c r="AA907" i="1"/>
  <c r="AB907" i="1"/>
  <c r="AB908" i="1"/>
  <c r="BA908" i="1"/>
  <c r="CQ908" i="1"/>
  <c r="CS908" i="1"/>
  <c r="CZ908" i="1"/>
  <c r="Z908" i="1"/>
  <c r="AA909" i="1"/>
  <c r="AB909" i="1"/>
  <c r="CK909" i="1"/>
  <c r="CQ909" i="1"/>
  <c r="CS909" i="1"/>
  <c r="CZ909" i="1"/>
  <c r="Z909" i="1"/>
  <c r="Z910" i="1"/>
  <c r="AA910" i="1"/>
  <c r="AB910" i="1"/>
  <c r="Z911" i="1"/>
  <c r="AB911" i="1"/>
  <c r="AY911" i="1"/>
  <c r="CV911" i="1"/>
  <c r="Y911" i="1"/>
  <c r="DD911" i="1"/>
  <c r="AA911" i="1"/>
  <c r="J912" i="1"/>
  <c r="K912" i="1"/>
  <c r="Z912" i="1"/>
  <c r="AA912" i="1"/>
  <c r="AB912" i="1"/>
  <c r="Z913" i="1"/>
  <c r="AA913" i="1"/>
  <c r="AB913" i="1"/>
  <c r="AA915" i="1"/>
  <c r="AB915" i="1"/>
  <c r="AC915" i="1"/>
  <c r="BE915" i="1"/>
  <c r="CS915" i="1"/>
  <c r="CZ915" i="1"/>
  <c r="Z915" i="1"/>
  <c r="Z916" i="1"/>
  <c r="AA916" i="1"/>
  <c r="AB916" i="1"/>
  <c r="Z917" i="1"/>
  <c r="AA917" i="1"/>
  <c r="AB917" i="1"/>
  <c r="AA918" i="1"/>
  <c r="AB918" i="1"/>
  <c r="AC918" i="1"/>
  <c r="BA918" i="1"/>
  <c r="CQ918" i="1"/>
  <c r="CZ918" i="1"/>
  <c r="Z918" i="1"/>
  <c r="Z920" i="1"/>
  <c r="AA920" i="1"/>
  <c r="BA920" i="1"/>
  <c r="CQ920" i="1"/>
  <c r="CS920" i="1"/>
  <c r="Z921" i="1"/>
  <c r="AA921" i="1"/>
  <c r="AB921" i="1"/>
  <c r="Z922" i="1"/>
  <c r="AA922" i="1"/>
  <c r="AB922" i="1"/>
  <c r="Z923" i="1"/>
  <c r="AA923" i="1"/>
  <c r="AB923" i="1"/>
  <c r="Z924" i="1"/>
  <c r="AA924" i="1"/>
  <c r="AB924" i="1"/>
  <c r="J926" i="1"/>
  <c r="AB926" i="1"/>
  <c r="BA926" i="1"/>
  <c r="BK926" i="1"/>
  <c r="CK926" i="1"/>
  <c r="CQ926" i="1"/>
  <c r="CS926" i="1"/>
  <c r="CZ926" i="1"/>
  <c r="Z926" i="1"/>
  <c r="DD926" i="1"/>
  <c r="AA926" i="1"/>
  <c r="J927" i="1"/>
  <c r="Z927" i="1"/>
  <c r="AA927" i="1"/>
  <c r="AB927" i="1"/>
  <c r="J928" i="1"/>
  <c r="Z928" i="1"/>
  <c r="AA928" i="1"/>
  <c r="AB928" i="1"/>
  <c r="J929" i="1"/>
  <c r="Z929" i="1"/>
  <c r="AA929" i="1"/>
  <c r="AB929" i="1"/>
  <c r="J930" i="1"/>
  <c r="Z930" i="1"/>
  <c r="AA930" i="1"/>
  <c r="AB930" i="1"/>
  <c r="Z936" i="1"/>
  <c r="AA936" i="1"/>
  <c r="AB936" i="1"/>
  <c r="Z937" i="1"/>
  <c r="AA937" i="1"/>
  <c r="AB937" i="1"/>
  <c r="Z938" i="1"/>
  <c r="AA938" i="1"/>
  <c r="AB938" i="1"/>
  <c r="J939" i="1"/>
  <c r="Z939" i="1"/>
  <c r="AA939" i="1"/>
  <c r="AB939" i="1"/>
  <c r="Z940" i="1"/>
  <c r="AA940" i="1"/>
  <c r="AB940" i="1"/>
  <c r="Z941" i="1"/>
  <c r="AA941" i="1"/>
  <c r="AB941" i="1"/>
  <c r="Z933" i="1"/>
  <c r="AA933" i="1"/>
  <c r="AB933" i="1"/>
  <c r="Z934" i="1"/>
  <c r="AA934" i="1"/>
  <c r="AB934" i="1"/>
  <c r="J935" i="1"/>
  <c r="K935" i="1"/>
  <c r="Z935" i="1"/>
  <c r="AA935" i="1"/>
  <c r="AB935" i="1"/>
  <c r="Z943" i="1"/>
  <c r="AA943" i="1"/>
  <c r="AB943" i="1"/>
  <c r="Z944" i="1"/>
  <c r="AA944" i="1"/>
  <c r="AB944" i="1"/>
  <c r="Z946" i="1"/>
  <c r="AA946" i="1"/>
  <c r="AB946" i="1"/>
  <c r="Z947" i="1"/>
  <c r="AA947" i="1"/>
  <c r="AB947" i="1"/>
  <c r="Z949" i="1"/>
  <c r="AA949" i="1"/>
  <c r="AB949" i="1"/>
  <c r="Z950" i="1"/>
  <c r="AA950" i="1"/>
  <c r="AB950" i="1"/>
  <c r="Z951" i="1"/>
  <c r="AA951" i="1"/>
  <c r="AB951" i="1"/>
  <c r="Z952" i="1"/>
  <c r="AA952" i="1"/>
  <c r="AB952" i="1"/>
  <c r="Z953" i="1"/>
  <c r="AA953" i="1"/>
  <c r="CX953" i="1"/>
  <c r="AB953" i="1"/>
  <c r="Z956" i="1"/>
  <c r="AA956" i="1"/>
  <c r="AB956" i="1"/>
  <c r="Z957" i="1"/>
  <c r="AA957" i="1"/>
  <c r="AB957" i="1"/>
  <c r="Z958" i="1"/>
  <c r="AA958" i="1"/>
  <c r="AB958" i="1"/>
  <c r="Z959" i="1"/>
  <c r="AA959" i="1"/>
  <c r="AB959" i="1"/>
  <c r="Z965" i="1"/>
  <c r="AA965" i="1"/>
  <c r="AB965" i="1"/>
  <c r="Z966" i="1"/>
  <c r="AA966" i="1"/>
  <c r="AB966" i="1"/>
  <c r="Z968" i="1"/>
  <c r="AA968" i="1"/>
  <c r="AB968" i="1"/>
  <c r="Z969" i="1"/>
  <c r="AA969" i="1"/>
  <c r="AB969" i="1"/>
  <c r="Z954" i="1"/>
  <c r="AA954" i="1"/>
  <c r="AB954" i="1"/>
  <c r="Z970" i="1"/>
  <c r="AA970" i="1"/>
  <c r="AB970" i="1"/>
  <c r="AA971" i="1"/>
  <c r="AB971" i="1"/>
  <c r="AC971" i="1"/>
  <c r="AY971" i="1"/>
  <c r="BA971" i="1"/>
  <c r="BE971" i="1"/>
  <c r="BM971" i="1"/>
  <c r="CK971" i="1"/>
  <c r="CO971" i="1"/>
  <c r="CQ971" i="1"/>
  <c r="CS971" i="1"/>
  <c r="CZ971" i="1"/>
  <c r="Z971" i="1"/>
  <c r="AB974" i="1"/>
  <c r="BA974" i="1"/>
  <c r="CK974" i="1"/>
  <c r="CQ974" i="1"/>
  <c r="CS974" i="1"/>
  <c r="CZ974" i="1"/>
  <c r="Z974" i="1"/>
  <c r="DD974" i="1"/>
  <c r="AA974" i="1"/>
  <c r="J975" i="1"/>
  <c r="AB975" i="1"/>
  <c r="BA975" i="1"/>
  <c r="BM975" i="1"/>
  <c r="CO975" i="1"/>
  <c r="CQ975" i="1"/>
  <c r="CS975" i="1"/>
  <c r="CZ975" i="1"/>
  <c r="Z975" i="1"/>
  <c r="DB975" i="1"/>
  <c r="DD975" i="1"/>
  <c r="Z976" i="1"/>
  <c r="AA976" i="1"/>
  <c r="AB976" i="1"/>
  <c r="J977" i="1"/>
  <c r="Z977" i="1"/>
  <c r="AA977" i="1"/>
  <c r="AB977" i="1"/>
  <c r="Z978" i="1"/>
  <c r="AA978" i="1"/>
  <c r="AB978" i="1"/>
  <c r="AA979" i="1"/>
  <c r="AB979" i="1"/>
  <c r="AZ979" i="1"/>
  <c r="BA979" i="1"/>
  <c r="CK979" i="1"/>
  <c r="CP979" i="1"/>
  <c r="CQ979" i="1"/>
  <c r="CR979" i="1"/>
  <c r="CR3208" i="1"/>
  <c r="CS979" i="1"/>
  <c r="CY979" i="1"/>
  <c r="CZ979" i="1"/>
  <c r="Z979" i="1"/>
  <c r="Z980" i="1"/>
  <c r="AA980" i="1"/>
  <c r="AB980" i="1"/>
  <c r="J981" i="1"/>
  <c r="Z981" i="1"/>
  <c r="AA981" i="1"/>
  <c r="AB981" i="1"/>
  <c r="Z982" i="1"/>
  <c r="AA982" i="1"/>
  <c r="AB982" i="1"/>
  <c r="Z983" i="1"/>
  <c r="AA983" i="1"/>
  <c r="AB983" i="1"/>
  <c r="Z984" i="1"/>
  <c r="AA984" i="1"/>
  <c r="AB984" i="1"/>
  <c r="Z985" i="1"/>
  <c r="AA985" i="1"/>
  <c r="AB985" i="1"/>
  <c r="Z986" i="1"/>
  <c r="AA986" i="1"/>
  <c r="AB986" i="1"/>
  <c r="AA987" i="1"/>
  <c r="AB987" i="1"/>
  <c r="CQ987" i="1"/>
  <c r="CV987" i="1"/>
  <c r="Y987" i="1"/>
  <c r="CZ987" i="1"/>
  <c r="Z987" i="1"/>
  <c r="Z988" i="1"/>
  <c r="AA988" i="1"/>
  <c r="AB988" i="1"/>
  <c r="Z989" i="1"/>
  <c r="AA989" i="1"/>
  <c r="AB989" i="1"/>
  <c r="AA990" i="1"/>
  <c r="AB990" i="1"/>
  <c r="Z991" i="1"/>
  <c r="AA991" i="1"/>
  <c r="AB991" i="1"/>
  <c r="Z992" i="1"/>
  <c r="AA992" i="1"/>
  <c r="AB992" i="1"/>
  <c r="Z993" i="1"/>
  <c r="AA993" i="1"/>
  <c r="AB993" i="1"/>
  <c r="Z994" i="1"/>
  <c r="AA994" i="1"/>
  <c r="AB994" i="1"/>
  <c r="Z996" i="1"/>
  <c r="AB996" i="1"/>
  <c r="J997" i="1"/>
  <c r="Z997" i="1"/>
  <c r="AA997" i="1"/>
  <c r="AB997" i="1"/>
  <c r="AC997" i="1"/>
  <c r="J999" i="1"/>
  <c r="Z999" i="1"/>
  <c r="AB999" i="1"/>
  <c r="AC999" i="1"/>
  <c r="DB999" i="1"/>
  <c r="DD999" i="1"/>
  <c r="Z1000" i="1"/>
  <c r="AA1000" i="1"/>
  <c r="AB1000" i="1"/>
  <c r="J1001" i="1"/>
  <c r="Z1001" i="1"/>
  <c r="AA1001" i="1"/>
  <c r="AB1001" i="1"/>
  <c r="Z1002" i="1"/>
  <c r="AA1002" i="1"/>
  <c r="AB1002" i="1"/>
  <c r="Z1004" i="1"/>
  <c r="AA1004" i="1"/>
  <c r="AB1004" i="1"/>
  <c r="Z1006" i="1"/>
  <c r="AA1006" i="1"/>
  <c r="AB1006" i="1"/>
  <c r="Z1007" i="1"/>
  <c r="AA1007" i="1"/>
  <c r="AB1007" i="1"/>
  <c r="Z1008" i="1"/>
  <c r="AA1008" i="1"/>
  <c r="AB1008" i="1"/>
  <c r="Z1009" i="1"/>
  <c r="AA1009" i="1"/>
  <c r="AB1009" i="1"/>
  <c r="Z1010" i="1"/>
  <c r="AA1010" i="1"/>
  <c r="AB1010" i="1"/>
  <c r="Z1011" i="1"/>
  <c r="AB1011" i="1"/>
  <c r="Z1012" i="1"/>
  <c r="AB1012" i="1"/>
  <c r="Z1013" i="1"/>
  <c r="AA1013" i="1"/>
  <c r="AB1013" i="1"/>
  <c r="Z1014" i="1"/>
  <c r="AA1014" i="1"/>
  <c r="AB1014" i="1"/>
  <c r="Z1015" i="1"/>
  <c r="AA1015" i="1"/>
  <c r="AB1015" i="1"/>
  <c r="Z1016" i="1"/>
  <c r="AA1016" i="1"/>
  <c r="AB1016" i="1"/>
  <c r="Z1017" i="1"/>
  <c r="AB1017" i="1"/>
  <c r="Z1018" i="1"/>
  <c r="AA1018" i="1"/>
  <c r="AB1018" i="1"/>
  <c r="J1019" i="1"/>
  <c r="Z1019" i="1"/>
  <c r="AA1019" i="1"/>
  <c r="AB1019" i="1"/>
  <c r="Z1022" i="1"/>
  <c r="AA1022" i="1"/>
  <c r="AB1022" i="1"/>
  <c r="Z1020" i="1"/>
  <c r="AA1020" i="1"/>
  <c r="AB1020" i="1"/>
  <c r="Z1023" i="1"/>
  <c r="AA1023" i="1"/>
  <c r="AB1023" i="1"/>
  <c r="Z1024" i="1"/>
  <c r="AA1024" i="1"/>
  <c r="AB1024" i="1"/>
  <c r="AA1026" i="1"/>
  <c r="AB1026" i="1"/>
  <c r="BA1026" i="1"/>
  <c r="BE1026" i="1"/>
  <c r="CK1026" i="1"/>
  <c r="CQ1026" i="1"/>
  <c r="CZ1026" i="1"/>
  <c r="Z1026" i="1"/>
  <c r="Z1025" i="1"/>
  <c r="AA1025" i="1"/>
  <c r="AB1025" i="1"/>
  <c r="AA1027" i="1"/>
  <c r="AB1027" i="1"/>
  <c r="Z1028" i="1"/>
  <c r="AA1028" i="1"/>
  <c r="AB1028" i="1"/>
  <c r="Z1031" i="1"/>
  <c r="AA1031" i="1"/>
  <c r="AB1031" i="1"/>
  <c r="AB1034" i="1"/>
  <c r="BA1034" i="1"/>
  <c r="BM1034" i="1"/>
  <c r="BM1239" i="1"/>
  <c r="CK1034" i="1"/>
  <c r="CO1034" i="1"/>
  <c r="CQ1034" i="1"/>
  <c r="CS1034" i="1"/>
  <c r="CJ1034" i="1"/>
  <c r="CJ1188" i="1"/>
  <c r="CZ1034" i="1"/>
  <c r="Z1034" i="1"/>
  <c r="DD1034" i="1"/>
  <c r="AA1034" i="1"/>
  <c r="Z1035" i="1"/>
  <c r="AA1035" i="1"/>
  <c r="AB1035" i="1"/>
  <c r="Z1036" i="1"/>
  <c r="AA1036" i="1"/>
  <c r="AB1036" i="1"/>
  <c r="Z1037" i="1"/>
  <c r="AA1037" i="1"/>
  <c r="AB1037" i="1"/>
  <c r="J1038" i="1"/>
  <c r="Z1038" i="1"/>
  <c r="AA1038" i="1"/>
  <c r="AB1038" i="1"/>
  <c r="Z1040" i="1"/>
  <c r="AA1040" i="1"/>
  <c r="AB1040" i="1"/>
  <c r="Z1039" i="1"/>
  <c r="AA1039" i="1"/>
  <c r="AB1039" i="1"/>
  <c r="J1042" i="1"/>
  <c r="AB1042" i="1"/>
  <c r="BA1042" i="1"/>
  <c r="CK1042" i="1"/>
  <c r="CQ1042" i="1"/>
  <c r="CS1042" i="1"/>
  <c r="CZ1042" i="1"/>
  <c r="Z1042" i="1"/>
  <c r="DD1042" i="1"/>
  <c r="AA1042" i="1"/>
  <c r="Z1043" i="1"/>
  <c r="AB1043" i="1"/>
  <c r="Z1044" i="1"/>
  <c r="AA1044" i="1"/>
  <c r="AB1044" i="1"/>
  <c r="Z1045" i="1"/>
  <c r="AA1045" i="1"/>
  <c r="AB1045" i="1"/>
  <c r="Z1046" i="1"/>
  <c r="AA1046" i="1"/>
  <c r="AB1046" i="1"/>
  <c r="Z1047" i="1"/>
  <c r="AA1047" i="1"/>
  <c r="AB1047" i="1"/>
  <c r="Z1048" i="1"/>
  <c r="AA1048" i="1"/>
  <c r="AB1048" i="1"/>
  <c r="Z1051" i="1"/>
  <c r="AA1051" i="1"/>
  <c r="AB1051" i="1"/>
  <c r="Z1052" i="1"/>
  <c r="AA1052" i="1"/>
  <c r="AB1052" i="1"/>
  <c r="Z1053" i="1"/>
  <c r="AA1053" i="1"/>
  <c r="AB1053" i="1"/>
  <c r="Z1054" i="1"/>
  <c r="AA1054" i="1"/>
  <c r="AB1054" i="1"/>
  <c r="Z1062" i="1"/>
  <c r="AA1062" i="1"/>
  <c r="AB1062" i="1"/>
  <c r="Z1064" i="1"/>
  <c r="AA1064" i="1"/>
  <c r="AB1064" i="1"/>
  <c r="Z1060" i="1"/>
  <c r="AA1060" i="1"/>
  <c r="AB1060" i="1"/>
  <c r="Z1061" i="1"/>
  <c r="AA1061" i="1"/>
  <c r="AB1061" i="1"/>
  <c r="Z1056" i="1"/>
  <c r="AA1056" i="1"/>
  <c r="AB1056" i="1"/>
  <c r="Z1058" i="1"/>
  <c r="AA1058" i="1"/>
  <c r="AB1058" i="1"/>
  <c r="Z1063" i="1"/>
  <c r="AA1063" i="1"/>
  <c r="AB1063" i="1"/>
  <c r="Z1057" i="1"/>
  <c r="AA1057" i="1"/>
  <c r="AB1057" i="1"/>
  <c r="Z1059" i="1"/>
  <c r="AA1059" i="1"/>
  <c r="AB1059" i="1"/>
  <c r="Z1065" i="1"/>
  <c r="AA1065" i="1"/>
  <c r="AB1065" i="1"/>
  <c r="Z1066" i="1"/>
  <c r="AA1066" i="1"/>
  <c r="AB1066" i="1"/>
  <c r="Z1067" i="1"/>
  <c r="AA1067" i="1"/>
  <c r="AB1067" i="1"/>
  <c r="Z1069" i="1"/>
  <c r="AA1069" i="1"/>
  <c r="AB1069" i="1"/>
  <c r="J1070" i="1"/>
  <c r="K1070" i="1"/>
  <c r="AA1070" i="1"/>
  <c r="AB1070" i="1"/>
  <c r="Z1073" i="1"/>
  <c r="AA1073" i="1"/>
  <c r="AB1073" i="1"/>
  <c r="Z1074" i="1"/>
  <c r="AA1074" i="1"/>
  <c r="AB1074" i="1"/>
  <c r="Z1075" i="1"/>
  <c r="AA1075" i="1"/>
  <c r="AB1075" i="1"/>
  <c r="Z1076" i="1"/>
  <c r="AA1076" i="1"/>
  <c r="AB1076" i="1"/>
  <c r="Z1077" i="1"/>
  <c r="AA1077" i="1"/>
  <c r="AB1077" i="1"/>
  <c r="AA1078" i="1"/>
  <c r="AB1078" i="1"/>
  <c r="AC1078" i="1"/>
  <c r="AY1078" i="1"/>
  <c r="BE1078" i="1"/>
  <c r="CK1078" i="1"/>
  <c r="CM1078" i="1"/>
  <c r="CM3208" i="1"/>
  <c r="CP1078" i="1"/>
  <c r="CQ1078" i="1"/>
  <c r="CS1078" i="1"/>
  <c r="CZ1078" i="1"/>
  <c r="Z1078" i="1"/>
  <c r="Z1079" i="1"/>
  <c r="AA1079" i="1"/>
  <c r="AB1079" i="1"/>
  <c r="Z1083" i="1"/>
  <c r="AA1083" i="1"/>
  <c r="AB1083" i="1"/>
  <c r="Z1084" i="1"/>
  <c r="AA1084" i="1"/>
  <c r="AB1084" i="1"/>
  <c r="Z1085" i="1"/>
  <c r="AA1085" i="1"/>
  <c r="AB1085" i="1"/>
  <c r="AA1086" i="1"/>
  <c r="AB1086" i="1"/>
  <c r="AC1086" i="1"/>
  <c r="CK1086" i="1"/>
  <c r="CQ1086" i="1"/>
  <c r="CZ1086" i="1"/>
  <c r="Z1086" i="1"/>
  <c r="Z1087" i="1"/>
  <c r="AA1087" i="1"/>
  <c r="AB1087" i="1"/>
  <c r="Z1088" i="1"/>
  <c r="AA1088" i="1"/>
  <c r="AB1088" i="1"/>
  <c r="AB1071" i="1"/>
  <c r="Z1090" i="1"/>
  <c r="AA1090" i="1"/>
  <c r="AB1090" i="1"/>
  <c r="AA1091" i="1"/>
  <c r="AB1091" i="1"/>
  <c r="AC1091" i="1"/>
  <c r="BA1091" i="1"/>
  <c r="CK1091" i="1"/>
  <c r="CQ1091" i="1"/>
  <c r="CS1091" i="1"/>
  <c r="CZ1091" i="1"/>
  <c r="Z1091" i="1"/>
  <c r="Z1092" i="1"/>
  <c r="AA1092" i="1"/>
  <c r="AB1092" i="1"/>
  <c r="Z1093" i="1"/>
  <c r="AA1093" i="1"/>
  <c r="AB1093" i="1"/>
  <c r="J1094" i="1"/>
  <c r="Z1094" i="1"/>
  <c r="AA1094" i="1"/>
  <c r="AB1094" i="1"/>
  <c r="AA1095" i="1"/>
  <c r="AB1095" i="1"/>
  <c r="AY1095" i="1"/>
  <c r="BA1095" i="1"/>
  <c r="BK1095" i="1"/>
  <c r="CK1095" i="1"/>
  <c r="CQ1095" i="1"/>
  <c r="CS1095" i="1"/>
  <c r="CZ1095" i="1"/>
  <c r="Z1095" i="1"/>
  <c r="J1096" i="1"/>
  <c r="Z1096" i="1"/>
  <c r="AA1096" i="1"/>
  <c r="AB1096" i="1"/>
  <c r="Z1098" i="1"/>
  <c r="AA1098" i="1"/>
  <c r="AB1098" i="1"/>
  <c r="Z1099" i="1"/>
  <c r="AA1099" i="1"/>
  <c r="AB1099" i="1"/>
  <c r="Z1100" i="1"/>
  <c r="AA1100" i="1"/>
  <c r="AB1100" i="1"/>
  <c r="J1097" i="1"/>
  <c r="K1097" i="1"/>
  <c r="Z1097" i="1"/>
  <c r="AA1097" i="1"/>
  <c r="AB1097" i="1"/>
  <c r="AA1101" i="1"/>
  <c r="AB1101" i="1"/>
  <c r="Z1102" i="1"/>
  <c r="AA1102" i="1"/>
  <c r="AB1102" i="1"/>
  <c r="Z1103" i="1"/>
  <c r="AA1103" i="1"/>
  <c r="AB1103" i="1"/>
  <c r="Z1104" i="1"/>
  <c r="AA1104" i="1"/>
  <c r="AB1104" i="1"/>
  <c r="Z1105" i="1"/>
  <c r="AA1105" i="1"/>
  <c r="AB1105" i="1"/>
  <c r="Z1106" i="1"/>
  <c r="AA1106" i="1"/>
  <c r="AB1106" i="1"/>
  <c r="Z1107" i="1"/>
  <c r="AA1107" i="1"/>
  <c r="AB1107" i="1"/>
  <c r="Z1108" i="1"/>
  <c r="AA1108" i="1"/>
  <c r="AB1108" i="1"/>
  <c r="J1109" i="1"/>
  <c r="Z1109" i="1"/>
  <c r="AA1109" i="1"/>
  <c r="AB1109" i="1"/>
  <c r="AY1109" i="1"/>
  <c r="CV1109" i="1"/>
  <c r="Y1109" i="1"/>
  <c r="Z1110" i="1"/>
  <c r="AA1110" i="1"/>
  <c r="AB1110" i="1"/>
  <c r="AY1110" i="1"/>
  <c r="CV1110" i="1"/>
  <c r="Y1110" i="1"/>
  <c r="Z1111" i="1"/>
  <c r="AA1111" i="1"/>
  <c r="AB1111" i="1"/>
  <c r="Z1112" i="1"/>
  <c r="AA1112" i="1"/>
  <c r="AB1112" i="1"/>
  <c r="Z1113" i="1"/>
  <c r="AA1113" i="1"/>
  <c r="AB1113" i="1"/>
  <c r="J1114" i="1"/>
  <c r="M1114" i="1"/>
  <c r="Z1114" i="1"/>
  <c r="AA1114" i="1"/>
  <c r="AB1114" i="1"/>
  <c r="AA1115" i="1"/>
  <c r="AB1115" i="1"/>
  <c r="BA1115" i="1"/>
  <c r="CK1115" i="1"/>
  <c r="CQ1115" i="1"/>
  <c r="CS1115" i="1"/>
  <c r="AA1116" i="1"/>
  <c r="AB1116" i="1"/>
  <c r="AA1117" i="1"/>
  <c r="AB1117" i="1"/>
  <c r="CQ1117" i="1"/>
  <c r="CS1117" i="1"/>
  <c r="CZ1117" i="1"/>
  <c r="Z1117" i="1"/>
  <c r="Z1118" i="1"/>
  <c r="AA1118" i="1"/>
  <c r="AB1118" i="1"/>
  <c r="Z1119" i="1"/>
  <c r="AA1119" i="1"/>
  <c r="AB1119" i="1"/>
  <c r="J1120" i="1"/>
  <c r="Z1120" i="1"/>
  <c r="AA1120" i="1"/>
  <c r="AB1120" i="1"/>
  <c r="Z1121" i="1"/>
  <c r="AA1121" i="1"/>
  <c r="AB1121" i="1"/>
  <c r="Z1122" i="1"/>
  <c r="AA1122" i="1"/>
  <c r="AB1122" i="1"/>
  <c r="Z1123" i="1"/>
  <c r="AA1123" i="1"/>
  <c r="AB1123" i="1"/>
  <c r="Z1124" i="1"/>
  <c r="AA1124" i="1"/>
  <c r="AB1124" i="1"/>
  <c r="Z1126" i="1"/>
  <c r="AA1126" i="1"/>
  <c r="AB1126" i="1"/>
  <c r="Z1128" i="1"/>
  <c r="AA1128" i="1"/>
  <c r="AB1128" i="1"/>
  <c r="Z1129" i="1"/>
  <c r="AA1129" i="1"/>
  <c r="AB1129" i="1"/>
  <c r="Z1133" i="1"/>
  <c r="AA1133" i="1"/>
  <c r="AB1133" i="1"/>
  <c r="Z1135" i="1"/>
  <c r="AA1135" i="1"/>
  <c r="AB1135" i="1"/>
  <c r="Z1139" i="1"/>
  <c r="AA1139" i="1"/>
  <c r="AB1139" i="1"/>
  <c r="Z1140" i="1"/>
  <c r="AA1140" i="1"/>
  <c r="AB1140" i="1"/>
  <c r="Z1141" i="1"/>
  <c r="AA1141" i="1"/>
  <c r="AB1141" i="1"/>
  <c r="Z1142" i="1"/>
  <c r="AA1142" i="1"/>
  <c r="AB1142" i="1"/>
  <c r="J1143" i="1"/>
  <c r="Z1143" i="1"/>
  <c r="AA1143" i="1"/>
  <c r="AB1143" i="1"/>
  <c r="Z1144" i="1"/>
  <c r="AA1144" i="1"/>
  <c r="AB1144" i="1"/>
  <c r="Z1145" i="1"/>
  <c r="AA1145" i="1"/>
  <c r="AB1145" i="1"/>
  <c r="Z1147" i="1"/>
  <c r="AA1147" i="1"/>
  <c r="AB1147" i="1"/>
  <c r="Z1148" i="1"/>
  <c r="AA1148" i="1"/>
  <c r="AB1148" i="1"/>
  <c r="Z1149" i="1"/>
  <c r="AA1149" i="1"/>
  <c r="AB1149" i="1"/>
  <c r="Z1151" i="1"/>
  <c r="AA1151" i="1"/>
  <c r="AB1151" i="1"/>
  <c r="Z1152" i="1"/>
  <c r="AA1152" i="1"/>
  <c r="AB1152" i="1"/>
  <c r="Z1153" i="1"/>
  <c r="AA1153" i="1"/>
  <c r="AB1153" i="1"/>
  <c r="Z1154" i="1"/>
  <c r="AA1154" i="1"/>
  <c r="AB1154" i="1"/>
  <c r="Z1155" i="1"/>
  <c r="AA1155" i="1"/>
  <c r="AB1155" i="1"/>
  <c r="Z1156" i="1"/>
  <c r="AA1156" i="1"/>
  <c r="AB1156" i="1"/>
  <c r="Z1157" i="1"/>
  <c r="AA1157" i="1"/>
  <c r="AB1157" i="1"/>
  <c r="Z1158" i="1"/>
  <c r="AA1158" i="1"/>
  <c r="AB1158" i="1"/>
  <c r="Z1159" i="1"/>
  <c r="AA1159" i="1"/>
  <c r="AB1159" i="1"/>
  <c r="Z1160" i="1"/>
  <c r="AA1160" i="1"/>
  <c r="AB1160" i="1"/>
  <c r="Z1161" i="1"/>
  <c r="AA1161" i="1"/>
  <c r="AB1161" i="1"/>
  <c r="Z1162" i="1"/>
  <c r="AA1162" i="1"/>
  <c r="AB1162" i="1"/>
  <c r="Z1164" i="1"/>
  <c r="AA1164" i="1"/>
  <c r="AB1164" i="1"/>
  <c r="Z1163" i="1"/>
  <c r="AA1163" i="1"/>
  <c r="AB1163" i="1"/>
  <c r="J1165" i="1"/>
  <c r="Z1165" i="1"/>
  <c r="AA1165" i="1"/>
  <c r="AB1165" i="1"/>
  <c r="Z1166" i="1"/>
  <c r="AA1166" i="1"/>
  <c r="AB1166" i="1"/>
  <c r="Z1167" i="1"/>
  <c r="AA1167" i="1"/>
  <c r="AB1167" i="1"/>
  <c r="Z1169" i="1"/>
  <c r="AA1169" i="1"/>
  <c r="AB1169" i="1"/>
  <c r="Z1171" i="1"/>
  <c r="AA1171" i="1"/>
  <c r="AB1171" i="1"/>
  <c r="Z1172" i="1"/>
  <c r="AA1172" i="1"/>
  <c r="AB1172" i="1"/>
  <c r="Z1173" i="1"/>
  <c r="AA1173" i="1"/>
  <c r="AB1173" i="1"/>
  <c r="Z1174" i="1"/>
  <c r="AA1174" i="1"/>
  <c r="AB1174" i="1"/>
  <c r="Z1175" i="1"/>
  <c r="AA1175" i="1"/>
  <c r="AB1175" i="1"/>
  <c r="Z1176" i="1"/>
  <c r="AA1176" i="1"/>
  <c r="AB1176" i="1"/>
  <c r="Z1177" i="1"/>
  <c r="AA1177" i="1"/>
  <c r="AB1177" i="1"/>
  <c r="Z1178" i="1"/>
  <c r="AA1178" i="1"/>
  <c r="AB1178" i="1"/>
  <c r="Z1180" i="1"/>
  <c r="AA1180" i="1"/>
  <c r="AB1180" i="1"/>
  <c r="Z1182" i="1"/>
  <c r="AA1182" i="1"/>
  <c r="AB1182" i="1"/>
  <c r="Z1183" i="1"/>
  <c r="AA1183" i="1"/>
  <c r="AB1183" i="1"/>
  <c r="Z1185" i="1"/>
  <c r="AA1185" i="1"/>
  <c r="AB1185" i="1"/>
  <c r="Z1186" i="1"/>
  <c r="AA1186" i="1"/>
  <c r="AB1186" i="1"/>
  <c r="Z1187" i="1"/>
  <c r="AA1187" i="1"/>
  <c r="AB1187" i="1"/>
  <c r="AA1188" i="1"/>
  <c r="AB1188" i="1"/>
  <c r="BK1188" i="1"/>
  <c r="CK1188" i="1"/>
  <c r="CQ1188" i="1"/>
  <c r="CS1188" i="1"/>
  <c r="CZ1188" i="1"/>
  <c r="Z1188" i="1"/>
  <c r="Z1168" i="1"/>
  <c r="AA1168" i="1"/>
  <c r="AB1168" i="1"/>
  <c r="BA1189" i="1"/>
  <c r="CZ1189" i="1"/>
  <c r="Z1189" i="1"/>
  <c r="Z1190" i="1"/>
  <c r="AA1190" i="1"/>
  <c r="AB1190" i="1"/>
  <c r="Z1191" i="1"/>
  <c r="AA1191" i="1"/>
  <c r="AB1191" i="1"/>
  <c r="J1192" i="1"/>
  <c r="AB1192" i="1"/>
  <c r="BA1192" i="1"/>
  <c r="CV1192" i="1"/>
  <c r="Y1192" i="1"/>
  <c r="CZ1192" i="1"/>
  <c r="Z1192" i="1"/>
  <c r="DB1192" i="1"/>
  <c r="DD1192" i="1"/>
  <c r="J1193" i="1"/>
  <c r="AB1193" i="1"/>
  <c r="BA1193" i="1"/>
  <c r="CQ1193" i="1"/>
  <c r="CS1193" i="1"/>
  <c r="CZ1193" i="1"/>
  <c r="Z1193" i="1"/>
  <c r="DD1193" i="1"/>
  <c r="AA1193" i="1"/>
  <c r="Z1195" i="1"/>
  <c r="AA1195" i="1"/>
  <c r="AB1195" i="1"/>
  <c r="Z1196" i="1"/>
  <c r="AA1196" i="1"/>
  <c r="AB1196" i="1"/>
  <c r="AB1197" i="1"/>
  <c r="AY1197" i="1"/>
  <c r="BA1197" i="1"/>
  <c r="CA1197" i="1"/>
  <c r="CK1197" i="1"/>
  <c r="CQ1197" i="1"/>
  <c r="CS1197" i="1"/>
  <c r="CZ1197" i="1"/>
  <c r="Z1197" i="1"/>
  <c r="DD1197" i="1"/>
  <c r="AA1197" i="1"/>
  <c r="Z1198" i="1"/>
  <c r="AA1198" i="1"/>
  <c r="AB1198" i="1"/>
  <c r="AA1199" i="1"/>
  <c r="AB1199" i="1"/>
  <c r="CQ1199" i="1"/>
  <c r="CV1199" i="1"/>
  <c r="Y1199" i="1"/>
  <c r="CZ1199" i="1"/>
  <c r="Z1199" i="1"/>
  <c r="AA1200" i="1"/>
  <c r="AB1200" i="1"/>
  <c r="CQ1200" i="1"/>
  <c r="CV1200" i="1"/>
  <c r="Y1200" i="1"/>
  <c r="CZ1200" i="1"/>
  <c r="Z1200" i="1"/>
  <c r="Z1202" i="1"/>
  <c r="AA1202" i="1"/>
  <c r="AB1202" i="1"/>
  <c r="AC1202" i="1"/>
  <c r="Z1205" i="1"/>
  <c r="AA1205" i="1"/>
  <c r="AB1205" i="1"/>
  <c r="Z1206" i="1"/>
  <c r="AA1206" i="1"/>
  <c r="AB1206" i="1"/>
  <c r="Z1207" i="1"/>
  <c r="AA1207" i="1"/>
  <c r="AB1207" i="1"/>
  <c r="J1208" i="1"/>
  <c r="Z1208" i="1"/>
  <c r="AA1208" i="1"/>
  <c r="AB1208" i="1"/>
  <c r="J1209" i="1"/>
  <c r="Z1209" i="1"/>
  <c r="AA1209" i="1"/>
  <c r="AB1209" i="1"/>
  <c r="J1210" i="1"/>
  <c r="Z1210" i="1"/>
  <c r="AA1210" i="1"/>
  <c r="AB1210" i="1"/>
  <c r="J1211" i="1"/>
  <c r="Z1211" i="1"/>
  <c r="AA1211" i="1"/>
  <c r="AB1211" i="1"/>
  <c r="J1212" i="1"/>
  <c r="Z1212" i="1"/>
  <c r="AA1212" i="1"/>
  <c r="AB1212" i="1"/>
  <c r="J1213" i="1"/>
  <c r="Z1213" i="1"/>
  <c r="AA1213" i="1"/>
  <c r="AB1213" i="1"/>
  <c r="J1214" i="1"/>
  <c r="Z1214" i="1"/>
  <c r="AA1214" i="1"/>
  <c r="AB1214" i="1"/>
  <c r="J1215" i="1"/>
  <c r="Z1215" i="1"/>
  <c r="AA1215" i="1"/>
  <c r="AB1215" i="1"/>
  <c r="J1216" i="1"/>
  <c r="Z1216" i="1"/>
  <c r="AA1216" i="1"/>
  <c r="AB1216" i="1"/>
  <c r="J1217" i="1"/>
  <c r="Z1217" i="1"/>
  <c r="AB1217" i="1"/>
  <c r="J1218" i="1"/>
  <c r="Z1218" i="1"/>
  <c r="AA1218" i="1"/>
  <c r="AB1218" i="1"/>
  <c r="J1219" i="1"/>
  <c r="Z1219" i="1"/>
  <c r="AA1219" i="1"/>
  <c r="AB1219" i="1"/>
  <c r="Z1220" i="1"/>
  <c r="AA1220" i="1"/>
  <c r="AB1220" i="1"/>
  <c r="J1221" i="1"/>
  <c r="Z1221" i="1"/>
  <c r="AA1221" i="1"/>
  <c r="AB1221" i="1"/>
  <c r="Z1222" i="1"/>
  <c r="BA1222" i="1"/>
  <c r="BE1222" i="1"/>
  <c r="CA1222" i="1"/>
  <c r="CK1222" i="1"/>
  <c r="CO1222" i="1"/>
  <c r="Z1225" i="1"/>
  <c r="AA1225" i="1"/>
  <c r="AB1225" i="1"/>
  <c r="Z1226" i="1"/>
  <c r="AA1226" i="1"/>
  <c r="AB1226" i="1"/>
  <c r="Z1227" i="1"/>
  <c r="AA1227" i="1"/>
  <c r="AB1227" i="1"/>
  <c r="J1229" i="1"/>
  <c r="AB1229" i="1"/>
  <c r="BA1229" i="1"/>
  <c r="BE1229" i="1"/>
  <c r="CA1229" i="1"/>
  <c r="CK1229" i="1"/>
  <c r="CO1229" i="1"/>
  <c r="CQ1229" i="1"/>
  <c r="CS1229" i="1"/>
  <c r="BZ1229" i="1"/>
  <c r="CZ1229" i="1"/>
  <c r="Z1229" i="1"/>
  <c r="DD1229" i="1"/>
  <c r="AA1229" i="1"/>
  <c r="Z1230" i="1"/>
  <c r="AA1230" i="1"/>
  <c r="AB1230" i="1"/>
  <c r="Z1231" i="1"/>
  <c r="AA1231" i="1"/>
  <c r="AB1231" i="1"/>
  <c r="Z1232" i="1"/>
  <c r="AA1232" i="1"/>
  <c r="AB1232" i="1"/>
  <c r="BA1232" i="1"/>
  <c r="CK1232" i="1"/>
  <c r="AA1233" i="1"/>
  <c r="AB1233" i="1"/>
  <c r="BA1233" i="1"/>
  <c r="CK1233" i="1"/>
  <c r="CQ1233" i="1"/>
  <c r="CS1233" i="1"/>
  <c r="CZ1233" i="1"/>
  <c r="Z1233" i="1"/>
  <c r="Z1235" i="1"/>
  <c r="AA1235" i="1"/>
  <c r="AB1235" i="1"/>
  <c r="Z1236" i="1"/>
  <c r="AA1236" i="1"/>
  <c r="AB1236" i="1"/>
  <c r="Z1228" i="1"/>
  <c r="AA1228" i="1"/>
  <c r="AB1228" i="1"/>
  <c r="Z1237" i="1"/>
  <c r="AA1237" i="1"/>
  <c r="AB1237" i="1"/>
  <c r="AB1239" i="1"/>
  <c r="AY1239" i="1"/>
  <c r="CQ1239" i="1"/>
  <c r="CS1239" i="1"/>
  <c r="CZ1239" i="1"/>
  <c r="Z1239" i="1"/>
  <c r="Z1240" i="1"/>
  <c r="AA1240" i="1"/>
  <c r="AB1240" i="1"/>
  <c r="Z1241" i="1"/>
  <c r="AA1241" i="1"/>
  <c r="AB1241" i="1"/>
  <c r="Z1242" i="1"/>
  <c r="AA1242" i="1"/>
  <c r="AB1242" i="1"/>
  <c r="AA1243" i="1"/>
  <c r="AB1243" i="1"/>
  <c r="J1991" i="1"/>
  <c r="Z1991" i="1"/>
  <c r="AB1991" i="1"/>
  <c r="J1994" i="1"/>
  <c r="Z1994" i="1"/>
  <c r="AB1994" i="1"/>
  <c r="J1995" i="1"/>
  <c r="AB1995" i="1"/>
  <c r="Z1244" i="1"/>
  <c r="AA1244" i="1"/>
  <c r="AB1244" i="1"/>
  <c r="Z1245" i="1"/>
  <c r="AA1245" i="1"/>
  <c r="AB1245" i="1"/>
  <c r="Z1246" i="1"/>
  <c r="AA1246" i="1"/>
  <c r="AB1246" i="1"/>
  <c r="Z1247" i="1"/>
  <c r="AA1247" i="1"/>
  <c r="AB1247" i="1"/>
  <c r="BA1247" i="1"/>
  <c r="Z1248" i="1"/>
  <c r="AA1248" i="1"/>
  <c r="AB1248" i="1"/>
  <c r="Z1249" i="1"/>
  <c r="AA1249" i="1"/>
  <c r="AB1249" i="1"/>
  <c r="Z1251" i="1"/>
  <c r="AA1251" i="1"/>
  <c r="AB1251" i="1"/>
  <c r="Z1252" i="1"/>
  <c r="AA1252" i="1"/>
  <c r="AB1252" i="1"/>
  <c r="Z1253" i="1"/>
  <c r="AA1253" i="1"/>
  <c r="AB1253" i="1"/>
  <c r="Z1255" i="1"/>
  <c r="AA1255" i="1"/>
  <c r="AB1255" i="1"/>
  <c r="Z1256" i="1"/>
  <c r="AA1256" i="1"/>
  <c r="AB1256" i="1"/>
  <c r="J1258" i="1"/>
  <c r="Z1258" i="1"/>
  <c r="AA1258" i="1"/>
  <c r="AB1258" i="1"/>
  <c r="Z1259" i="1"/>
  <c r="AA1259" i="1"/>
  <c r="AB1259" i="1"/>
  <c r="Z1261" i="1"/>
  <c r="AA1261" i="1"/>
  <c r="AB1261" i="1"/>
  <c r="Z1262" i="1"/>
  <c r="AA1262" i="1"/>
  <c r="AB1262" i="1"/>
  <c r="AA1263" i="1"/>
  <c r="AB1263" i="1"/>
  <c r="CZ1263" i="1"/>
  <c r="Z1263" i="1"/>
  <c r="Z1257" i="1"/>
  <c r="AA1257" i="1"/>
  <c r="AB1257" i="1"/>
  <c r="J1265" i="1"/>
  <c r="Z1265" i="1"/>
  <c r="AA1265" i="1"/>
  <c r="AB1265" i="1"/>
  <c r="Z1267" i="1"/>
  <c r="AA1267" i="1"/>
  <c r="AB1267" i="1"/>
  <c r="Z1270" i="1"/>
  <c r="AA1270" i="1"/>
  <c r="AB1270" i="1"/>
  <c r="Z1274" i="1"/>
  <c r="AA1274" i="1"/>
  <c r="AB1274" i="1"/>
  <c r="Z1279" i="1"/>
  <c r="AA1279" i="1"/>
  <c r="AB1279" i="1"/>
  <c r="J1280" i="1"/>
  <c r="Z1280" i="1"/>
  <c r="AA1280" i="1"/>
  <c r="AB1280" i="1"/>
  <c r="J1281" i="1"/>
  <c r="Z1281" i="1"/>
  <c r="AA1281" i="1"/>
  <c r="AB1281" i="1"/>
  <c r="J1282" i="1"/>
  <c r="Z1282" i="1"/>
  <c r="AA1282" i="1"/>
  <c r="AB1282" i="1"/>
  <c r="J1283" i="1"/>
  <c r="Z1283" i="1"/>
  <c r="AB1283" i="1"/>
  <c r="J1284" i="1"/>
  <c r="Z1284" i="1"/>
  <c r="AA1284" i="1"/>
  <c r="AB1284" i="1"/>
  <c r="J1285" i="1"/>
  <c r="Z1285" i="1"/>
  <c r="AA1285" i="1"/>
  <c r="AB1285" i="1"/>
  <c r="J1286" i="1"/>
  <c r="Z1286" i="1"/>
  <c r="AA1286" i="1"/>
  <c r="AB1286" i="1"/>
  <c r="J1287" i="1"/>
  <c r="Z1287" i="1"/>
  <c r="AA1287" i="1"/>
  <c r="AB1287" i="1"/>
  <c r="Z1288" i="1"/>
  <c r="AA1288" i="1"/>
  <c r="AB1288" i="1"/>
  <c r="Z1289" i="1"/>
  <c r="AA1289" i="1"/>
  <c r="AB1289" i="1"/>
  <c r="Z1292" i="1"/>
  <c r="AA1292" i="1"/>
  <c r="AB1292" i="1"/>
  <c r="Z1290" i="1"/>
  <c r="AA1290" i="1"/>
  <c r="AB1290" i="1"/>
  <c r="Z1293" i="1"/>
  <c r="AB1293" i="1"/>
  <c r="J1294" i="1"/>
  <c r="Z1294" i="1"/>
  <c r="AB1294" i="1"/>
  <c r="Z1295" i="1"/>
  <c r="AA1295" i="1"/>
  <c r="AB1295" i="1"/>
  <c r="Z1297" i="1"/>
  <c r="AA1297" i="1"/>
  <c r="AB1297" i="1"/>
  <c r="Z1296" i="1"/>
  <c r="AA1296" i="1"/>
  <c r="AB1296" i="1"/>
  <c r="Z1300" i="1"/>
  <c r="AA1300" i="1"/>
  <c r="AB1300" i="1"/>
  <c r="Z1301" i="1"/>
  <c r="AA1301" i="1"/>
  <c r="AB1301" i="1"/>
  <c r="AA1302" i="1"/>
  <c r="AB1302" i="1"/>
  <c r="Z1303" i="1"/>
  <c r="AA1303" i="1"/>
  <c r="AB1303" i="1"/>
  <c r="Z1291" i="1"/>
  <c r="AA1291" i="1"/>
  <c r="AB1291" i="1"/>
  <c r="Z1304" i="1"/>
  <c r="AA1304" i="1"/>
  <c r="AB1304" i="1"/>
  <c r="Z1307" i="1"/>
  <c r="AA1307" i="1"/>
  <c r="AB1307" i="1"/>
  <c r="Z1309" i="1"/>
  <c r="AA1309" i="1"/>
  <c r="AB1309" i="1"/>
  <c r="AC1309" i="1"/>
  <c r="J1313" i="1"/>
  <c r="AA1313" i="1"/>
  <c r="AB1313" i="1"/>
  <c r="CQ1313" i="1"/>
  <c r="CS1313" i="1"/>
  <c r="CZ1313" i="1"/>
  <c r="Z1313" i="1"/>
  <c r="Z1308" i="1"/>
  <c r="AA1308" i="1"/>
  <c r="AB1308" i="1"/>
  <c r="J1306" i="1"/>
  <c r="K1306" i="1"/>
  <c r="AA1306" i="1"/>
  <c r="AB1306" i="1"/>
  <c r="Z1314" i="1"/>
  <c r="AA1314" i="1"/>
  <c r="AB1314" i="1"/>
  <c r="Z1315" i="1"/>
  <c r="AA1315" i="1"/>
  <c r="AB1315" i="1"/>
  <c r="Z1316" i="1"/>
  <c r="AA1316" i="1"/>
  <c r="AB1316" i="1"/>
  <c r="Z1318" i="1"/>
  <c r="AA1318" i="1"/>
  <c r="AB1318" i="1"/>
  <c r="Z1321" i="1"/>
  <c r="AA1321" i="1"/>
  <c r="AB1321" i="1"/>
  <c r="Z1324" i="1"/>
  <c r="AA1324" i="1"/>
  <c r="AB1324" i="1"/>
  <c r="Z1325" i="1"/>
  <c r="AA1325" i="1"/>
  <c r="AB1325" i="1"/>
  <c r="Z1326" i="1"/>
  <c r="AA1326" i="1"/>
  <c r="AB1326" i="1"/>
  <c r="Z1327" i="1"/>
  <c r="AA1327" i="1"/>
  <c r="AB1327" i="1"/>
  <c r="Z1328" i="1"/>
  <c r="AA1328" i="1"/>
  <c r="AB1328" i="1"/>
  <c r="Z1329" i="1"/>
  <c r="AA1329" i="1"/>
  <c r="AB1329" i="1"/>
  <c r="Z1330" i="1"/>
  <c r="AA1330" i="1"/>
  <c r="AB1330" i="1"/>
  <c r="Z1331" i="1"/>
  <c r="AA1331" i="1"/>
  <c r="AB1331" i="1"/>
  <c r="Z1337" i="1"/>
  <c r="AA1337" i="1"/>
  <c r="AB1337" i="1"/>
  <c r="Z1338" i="1"/>
  <c r="AA1338" i="1"/>
  <c r="AB1338" i="1"/>
  <c r="Z1336" i="1"/>
  <c r="AA1336" i="1"/>
  <c r="AB1336" i="1"/>
  <c r="CA1336" i="1"/>
  <c r="CV1336" i="1"/>
  <c r="Y1336" i="1"/>
  <c r="Z1333" i="1"/>
  <c r="AA1333" i="1"/>
  <c r="AB1333" i="1"/>
  <c r="Z1342" i="1"/>
  <c r="AA1342" i="1"/>
  <c r="AB1342" i="1"/>
  <c r="Z1343" i="1"/>
  <c r="AA1343" i="1"/>
  <c r="AB1343" i="1"/>
  <c r="Z1344" i="1"/>
  <c r="AA1344" i="1"/>
  <c r="AB1344" i="1"/>
  <c r="Z1345" i="1"/>
  <c r="AA1345" i="1"/>
  <c r="AB1345" i="1"/>
  <c r="Z1348" i="1"/>
  <c r="AA1348" i="1"/>
  <c r="AB1348" i="1"/>
  <c r="Z1349" i="1"/>
  <c r="AA1349" i="1"/>
  <c r="AB1349" i="1"/>
  <c r="Z1350" i="1"/>
  <c r="AA1350" i="1"/>
  <c r="AB1350" i="1"/>
  <c r="Z1352" i="1"/>
  <c r="AA1352" i="1"/>
  <c r="AB1352" i="1"/>
  <c r="AA1347" i="1"/>
  <c r="AB1347" i="1"/>
  <c r="CQ1347" i="1"/>
  <c r="CS1347" i="1"/>
  <c r="CZ1347" i="1"/>
  <c r="Z1347" i="1"/>
  <c r="Z1353" i="1"/>
  <c r="AA1353" i="1"/>
  <c r="AB1353" i="1"/>
  <c r="Z1367" i="1"/>
  <c r="AA1367" i="1"/>
  <c r="AB1367" i="1"/>
  <c r="Z1368" i="1"/>
  <c r="AA1368" i="1"/>
  <c r="AB1368" i="1"/>
  <c r="Z1369" i="1"/>
  <c r="AA1369" i="1"/>
  <c r="AB1369" i="1"/>
  <c r="Z1370" i="1"/>
  <c r="AA1370" i="1"/>
  <c r="AB1370" i="1"/>
  <c r="Z1371" i="1"/>
  <c r="AA1371" i="1"/>
  <c r="AB1371" i="1"/>
  <c r="Z1372" i="1"/>
  <c r="AA1372" i="1"/>
  <c r="AB1372" i="1"/>
  <c r="Z1355" i="1"/>
  <c r="AA1355" i="1"/>
  <c r="AB1355" i="1"/>
  <c r="Z1380" i="1"/>
  <c r="AA1380" i="1"/>
  <c r="AB1380" i="1"/>
  <c r="Z1384" i="1"/>
  <c r="AA1384" i="1"/>
  <c r="AB1384" i="1"/>
  <c r="Z1382" i="1"/>
  <c r="AA1382" i="1"/>
  <c r="AB1382" i="1"/>
  <c r="Z1375" i="1"/>
  <c r="AA1375" i="1"/>
  <c r="AB1375" i="1"/>
  <c r="Z1376" i="1"/>
  <c r="AA1376" i="1"/>
  <c r="AB1376" i="1"/>
  <c r="Z1377" i="1"/>
  <c r="AA1377" i="1"/>
  <c r="AB1377" i="1"/>
  <c r="Z1383" i="1"/>
  <c r="AA1383" i="1"/>
  <c r="AB1383" i="1"/>
  <c r="Z1379" i="1"/>
  <c r="AA1379" i="1"/>
  <c r="AB1379" i="1"/>
  <c r="Z1378" i="1"/>
  <c r="AA1378" i="1"/>
  <c r="AB1378" i="1"/>
  <c r="Z1374" i="1"/>
  <c r="AA1374" i="1"/>
  <c r="AB1374" i="1"/>
  <c r="Z1386" i="1"/>
  <c r="AA1386" i="1"/>
  <c r="AB1386" i="1"/>
  <c r="Z1385" i="1"/>
  <c r="AA1385" i="1"/>
  <c r="AB1385" i="1"/>
  <c r="Z1387" i="1"/>
  <c r="AA1387" i="1"/>
  <c r="AB1387" i="1"/>
  <c r="Z1389" i="1"/>
  <c r="AA1389" i="1"/>
  <c r="AB1389" i="1"/>
  <c r="Z1390" i="1"/>
  <c r="AA1390" i="1"/>
  <c r="AB1390" i="1"/>
  <c r="Z1398" i="1"/>
  <c r="AA1398" i="1"/>
  <c r="AB1398" i="1"/>
  <c r="Z1394" i="1"/>
  <c r="AA1394" i="1"/>
  <c r="AB1394" i="1"/>
  <c r="Z1404" i="1"/>
  <c r="AA1404" i="1"/>
  <c r="AB1404" i="1"/>
  <c r="Z1405" i="1"/>
  <c r="AA1405" i="1"/>
  <c r="AB1405" i="1"/>
  <c r="Z1392" i="1"/>
  <c r="AA1392" i="1"/>
  <c r="AB1392" i="1"/>
  <c r="Z1393" i="1"/>
  <c r="AA1393" i="1"/>
  <c r="AB1393" i="1"/>
  <c r="Z1391" i="1"/>
  <c r="AA1391" i="1"/>
  <c r="AB1391" i="1"/>
  <c r="AA1406" i="1"/>
  <c r="AB1406" i="1"/>
  <c r="CQ1406" i="1"/>
  <c r="CV1406" i="1"/>
  <c r="Y1406" i="1"/>
  <c r="CZ1406" i="1"/>
  <c r="Z1406" i="1"/>
  <c r="Z1413" i="1"/>
  <c r="AA1413" i="1"/>
  <c r="AB1413" i="1"/>
  <c r="Z1411" i="1"/>
  <c r="AA1411" i="1"/>
  <c r="AB1411" i="1"/>
  <c r="Z1782" i="1"/>
  <c r="AA1782" i="1"/>
  <c r="AB1782" i="1"/>
  <c r="Z1417" i="1"/>
  <c r="AA1417" i="1"/>
  <c r="AB1417" i="1"/>
  <c r="Z1415" i="1"/>
  <c r="AA1415" i="1"/>
  <c r="AB1415" i="1"/>
  <c r="Z1416" i="1"/>
  <c r="AA1416" i="1"/>
  <c r="AB1416" i="1"/>
  <c r="Z1425" i="1"/>
  <c r="AA1425" i="1"/>
  <c r="AB1425" i="1"/>
  <c r="Z1423" i="1"/>
  <c r="AA1423" i="1"/>
  <c r="AB1423" i="1"/>
  <c r="Z1424" i="1"/>
  <c r="AA1424" i="1"/>
  <c r="AB1424" i="1"/>
  <c r="Z1426" i="1"/>
  <c r="AA1426" i="1"/>
  <c r="AB1426" i="1"/>
  <c r="Z1428" i="1"/>
  <c r="AA1428" i="1"/>
  <c r="AB1428" i="1"/>
  <c r="Z1455" i="1"/>
  <c r="AA1455" i="1"/>
  <c r="AB1455" i="1"/>
  <c r="Z1448" i="1"/>
  <c r="AA1448" i="1"/>
  <c r="AB1448" i="1"/>
  <c r="Z1464" i="1"/>
  <c r="AA1464" i="1"/>
  <c r="AB1464" i="1"/>
  <c r="Z1461" i="1"/>
  <c r="AA1461" i="1"/>
  <c r="AB1461" i="1"/>
  <c r="Z1456" i="1"/>
  <c r="AA1456" i="1"/>
  <c r="AB1456" i="1"/>
  <c r="AA1430" i="1"/>
  <c r="AB1430" i="1"/>
  <c r="Z1434" i="1"/>
  <c r="AA1434" i="1"/>
  <c r="AB1434" i="1"/>
  <c r="Z1407" i="1"/>
  <c r="AA1407" i="1"/>
  <c r="AB1407" i="1"/>
  <c r="Z1568" i="1"/>
  <c r="AA1568" i="1"/>
  <c r="AB1568" i="1"/>
  <c r="Z1575" i="1"/>
  <c r="AA1575" i="1"/>
  <c r="AB1575" i="1"/>
  <c r="Z1799" i="1"/>
  <c r="AA1799" i="1"/>
  <c r="AB1799" i="1"/>
  <c r="Z1794" i="1"/>
  <c r="AA1794" i="1"/>
  <c r="AB1794" i="1"/>
  <c r="Z932" i="1"/>
  <c r="AB932" i="1"/>
  <c r="Z1458" i="1"/>
  <c r="AA1458" i="1"/>
  <c r="AB1458" i="1"/>
  <c r="Z1435" i="1"/>
  <c r="AA1435" i="1"/>
  <c r="AB1435" i="1"/>
  <c r="Z1820" i="1"/>
  <c r="AA1820" i="1"/>
  <c r="AB1820" i="1"/>
  <c r="Z1885" i="1"/>
  <c r="AA1885" i="1"/>
  <c r="AB1885" i="1"/>
  <c r="Z1916" i="1"/>
  <c r="AA1916" i="1"/>
  <c r="AB1916" i="1"/>
  <c r="Z1978" i="1"/>
  <c r="AA1978" i="1"/>
  <c r="AB1978" i="1"/>
  <c r="G3208" i="1"/>
  <c r="H3208" i="1"/>
  <c r="I3208" i="1"/>
  <c r="N3208" i="1"/>
  <c r="O3208" i="1"/>
  <c r="P3208" i="1"/>
  <c r="Q3208" i="1"/>
  <c r="R3208" i="1"/>
  <c r="S3208" i="1"/>
  <c r="T3208" i="1"/>
  <c r="U3208" i="1"/>
  <c r="W3208" i="1"/>
  <c r="AF3208" i="1"/>
  <c r="AN3208" i="1"/>
  <c r="AO3208" i="1"/>
  <c r="AP3208" i="1"/>
  <c r="AQ3208" i="1"/>
  <c r="AR3208" i="1"/>
  <c r="AS3208" i="1"/>
  <c r="AT3208" i="1"/>
  <c r="AU3208" i="1"/>
  <c r="AV3208" i="1"/>
  <c r="BB3208" i="1"/>
  <c r="BD3208" i="1"/>
  <c r="BF3208" i="1"/>
  <c r="BG3208" i="1"/>
  <c r="BH3208" i="1"/>
  <c r="BI3208" i="1"/>
  <c r="BJ3208" i="1"/>
  <c r="BL3208" i="1"/>
  <c r="BN3208" i="1"/>
  <c r="BO3208" i="1"/>
  <c r="BP3208" i="1"/>
  <c r="BQ3208" i="1"/>
  <c r="BR3208" i="1"/>
  <c r="BS3208" i="1"/>
  <c r="BT3208" i="1"/>
  <c r="BU3208" i="1"/>
  <c r="BV3208" i="1"/>
  <c r="BW3208" i="1"/>
  <c r="BX3208" i="1"/>
  <c r="BY3208" i="1"/>
  <c r="CB3208" i="1"/>
  <c r="CC3208" i="1"/>
  <c r="CD3208" i="1"/>
  <c r="CE3208" i="1"/>
  <c r="CF3208" i="1"/>
  <c r="CG3208" i="1"/>
  <c r="CH3208" i="1"/>
  <c r="CL3208" i="1"/>
  <c r="CN3208" i="1"/>
  <c r="CT3208" i="1"/>
  <c r="CU3208" i="1"/>
  <c r="DA3208" i="1"/>
  <c r="AA670" i="1"/>
  <c r="AA1017" i="1"/>
  <c r="AA1922" i="1"/>
  <c r="CV866" i="1"/>
  <c r="Y866" i="1"/>
  <c r="CV1188" i="1"/>
  <c r="Y1188" i="1"/>
  <c r="CV615" i="1"/>
  <c r="Y615" i="1"/>
  <c r="CV366" i="1"/>
  <c r="Y366" i="1"/>
  <c r="AE366" i="1"/>
  <c r="CV1477" i="1"/>
  <c r="Y1477" i="1"/>
  <c r="CV1815" i="1"/>
  <c r="Y1815" i="1"/>
  <c r="AE1815" i="1"/>
  <c r="CV1445" i="1"/>
  <c r="Y1445" i="1"/>
  <c r="CV1506" i="1"/>
  <c r="Y1506" i="1"/>
  <c r="AE1506" i="1"/>
  <c r="CV852" i="1"/>
  <c r="Y852" i="1"/>
  <c r="AE852" i="1"/>
  <c r="CV696" i="1"/>
  <c r="Y696" i="1"/>
  <c r="AE696" i="1"/>
  <c r="CV491" i="1"/>
  <c r="Y491" i="1"/>
  <c r="AE491" i="1"/>
  <c r="CV1795" i="1"/>
  <c r="Y1795" i="1"/>
  <c r="CV842" i="1"/>
  <c r="Y842" i="1"/>
  <c r="CV1247" i="1"/>
  <c r="Y1247" i="1"/>
  <c r="CV1810" i="1"/>
  <c r="Y1810" i="1"/>
  <c r="CV1027" i="1"/>
  <c r="Y1027" i="1"/>
  <c r="AE1027" i="1"/>
  <c r="CV1302" i="1"/>
  <c r="Y1302" i="1"/>
  <c r="CV1955" i="1"/>
  <c r="Y1955" i="1"/>
  <c r="CV2036" i="1"/>
  <c r="Y2036" i="1"/>
  <c r="AE2036" i="1"/>
  <c r="CV1982" i="1"/>
  <c r="Y1982" i="1"/>
  <c r="AE1982" i="1"/>
  <c r="CV2031" i="1"/>
  <c r="Y2031" i="1"/>
  <c r="CV2038" i="1"/>
  <c r="Y2038" i="1"/>
  <c r="AE2038" i="1"/>
  <c r="AA2031" i="1"/>
  <c r="AA1283" i="1"/>
  <c r="CV1980" i="1"/>
  <c r="Y1980" i="1"/>
  <c r="AE1980" i="1"/>
  <c r="CV2107" i="1"/>
  <c r="Y2107" i="1"/>
  <c r="AE2107" i="1"/>
  <c r="AA1902" i="1"/>
  <c r="AA2074" i="1"/>
  <c r="CV2032" i="1"/>
  <c r="Y2032" i="1"/>
  <c r="CV1845" i="1"/>
  <c r="Y1845" i="1"/>
  <c r="AE1845" i="1"/>
  <c r="CV2126" i="1"/>
  <c r="Y2126" i="1"/>
  <c r="AE2126" i="1"/>
  <c r="AA2032" i="1"/>
  <c r="CV1829" i="1"/>
  <c r="Y1829" i="1"/>
  <c r="AE1829" i="1"/>
  <c r="AA575" i="1"/>
  <c r="AA2069" i="1"/>
  <c r="AZ3208" i="1"/>
  <c r="CV2040" i="1"/>
  <c r="Y2040" i="1"/>
  <c r="AE2040" i="1"/>
  <c r="AA2080" i="1"/>
  <c r="AA1012" i="1"/>
  <c r="CV1462" i="1"/>
  <c r="Y1462" i="1"/>
  <c r="AA2060" i="1"/>
  <c r="AA1463" i="1"/>
  <c r="BC3208" i="1"/>
  <c r="AA346" i="1"/>
  <c r="AA1317" i="1"/>
  <c r="AA1845" i="1"/>
  <c r="CV2289" i="1"/>
  <c r="Y2289" i="1"/>
  <c r="AE2289" i="1"/>
  <c r="AA864" i="1"/>
  <c r="CV2214" i="1"/>
  <c r="Y2214" i="1"/>
  <c r="AE2214" i="1"/>
  <c r="CV2260" i="1"/>
  <c r="Y2260" i="1"/>
  <c r="AE2260" i="1"/>
  <c r="CV2018" i="1"/>
  <c r="Y2018" i="1"/>
  <c r="AE2018" i="1"/>
  <c r="CV2270" i="1"/>
  <c r="Y2270" i="1"/>
  <c r="AE2270" i="1"/>
  <c r="CV2044" i="1"/>
  <c r="Y2044" i="1"/>
  <c r="AE2044" i="1"/>
  <c r="CV2150" i="1"/>
  <c r="Y2150" i="1"/>
  <c r="AE2150" i="1"/>
  <c r="CV2194" i="1"/>
  <c r="Y2194" i="1"/>
  <c r="AE2194" i="1"/>
  <c r="CV2321" i="1"/>
  <c r="Y2321" i="1"/>
  <c r="AE2321" i="1"/>
  <c r="CV2322" i="1"/>
  <c r="Y2322" i="1"/>
  <c r="AE2322" i="1"/>
  <c r="CV2203" i="1"/>
  <c r="Y2203" i="1"/>
  <c r="BA3208" i="1"/>
  <c r="CV2422" i="1"/>
  <c r="Y2422" i="1"/>
  <c r="AE2422" i="1"/>
  <c r="CV2438" i="1"/>
  <c r="Y2438" i="1"/>
  <c r="AE2438" i="1"/>
  <c r="CV2415" i="1"/>
  <c r="Y2415" i="1"/>
  <c r="AE2415" i="1"/>
  <c r="CV2397" i="1"/>
  <c r="Y2397" i="1"/>
  <c r="AE2397" i="1"/>
  <c r="CV2398" i="1"/>
  <c r="Y2398" i="1"/>
  <c r="AE2398" i="1"/>
  <c r="CV2399" i="1"/>
  <c r="Y2399" i="1"/>
  <c r="AE2399" i="1"/>
  <c r="CV2400" i="1"/>
  <c r="Y2400" i="1"/>
  <c r="AE2400" i="1"/>
  <c r="CV2401" i="1"/>
  <c r="Y2401" i="1"/>
  <c r="AE2401" i="1"/>
  <c r="CV1859" i="1"/>
  <c r="Y1859" i="1"/>
  <c r="AE1859" i="1"/>
  <c r="CV2014" i="1"/>
  <c r="Y2014" i="1"/>
  <c r="AE2014" i="1"/>
  <c r="CV2080" i="1"/>
  <c r="Y2080" i="1"/>
  <c r="CV2462" i="1"/>
  <c r="Y2462" i="1"/>
  <c r="AE2462" i="1"/>
  <c r="AA2146" i="1"/>
  <c r="CV2459" i="1"/>
  <c r="Y2459" i="1"/>
  <c r="AE2459" i="1"/>
  <c r="CV2211" i="1"/>
  <c r="Y2211" i="1"/>
  <c r="CV2347" i="1"/>
  <c r="Y2347" i="1"/>
  <c r="AE2347" i="1"/>
  <c r="CV2144" i="1"/>
  <c r="Y2144" i="1"/>
  <c r="AE2144" i="1"/>
  <c r="AA2435" i="1"/>
  <c r="AA2211" i="1"/>
  <c r="CY3208" i="1"/>
  <c r="CV1193" i="1"/>
  <c r="Y1193" i="1"/>
  <c r="CP3208" i="1"/>
  <c r="CV920" i="1"/>
  <c r="Y920" i="1"/>
  <c r="AA759" i="1"/>
  <c r="CV375" i="1"/>
  <c r="Y375" i="1"/>
  <c r="CV368" i="1"/>
  <c r="Y368" i="1"/>
  <c r="CA3208" i="1"/>
  <c r="CV646" i="1"/>
  <c r="Y646" i="1"/>
  <c r="CV915" i="1"/>
  <c r="Y915" i="1"/>
  <c r="AE915" i="1"/>
  <c r="CV1555" i="1"/>
  <c r="Y1555" i="1"/>
  <c r="AE1555" i="1"/>
  <c r="CV1070" i="1"/>
  <c r="Y1070" i="1"/>
  <c r="AE1070" i="1"/>
  <c r="AA1043" i="1"/>
  <c r="CV2039" i="1"/>
  <c r="Y2039" i="1"/>
  <c r="AE2039" i="1"/>
  <c r="CI3208" i="1"/>
  <c r="CV2069" i="1"/>
  <c r="Y2069" i="1"/>
  <c r="AE2069" i="1"/>
  <c r="CV1917" i="1"/>
  <c r="Y1917" i="1"/>
  <c r="CV1797" i="1"/>
  <c r="Y1797" i="1"/>
  <c r="AE1797" i="1"/>
  <c r="AA1795" i="1"/>
  <c r="AA1011" i="1"/>
  <c r="CV739" i="1"/>
  <c r="Y739" i="1"/>
  <c r="AE739" i="1"/>
  <c r="CV2092" i="1"/>
  <c r="Y2092" i="1"/>
  <c r="AE2092" i="1"/>
  <c r="CV2189" i="1"/>
  <c r="Y2189" i="1"/>
  <c r="AE2189" i="1"/>
  <c r="CV2251" i="1"/>
  <c r="Y2251" i="1"/>
  <c r="AE2251" i="1"/>
  <c r="CV2295" i="1"/>
  <c r="Y2295" i="1"/>
  <c r="AE2295" i="1"/>
  <c r="CV2249" i="1"/>
  <c r="Y2249" i="1"/>
  <c r="AE2249" i="1"/>
  <c r="CV2360" i="1"/>
  <c r="Y2360" i="1"/>
  <c r="AE2360" i="1"/>
  <c r="AA2000" i="1"/>
  <c r="CV1091" i="1"/>
  <c r="Y1091" i="1"/>
  <c r="AE1091" i="1"/>
  <c r="CZ3208" i="1"/>
  <c r="CV2435" i="1"/>
  <c r="Y2435" i="1"/>
  <c r="AE2435" i="1"/>
  <c r="E2629" i="1"/>
  <c r="E180" i="1"/>
  <c r="E437" i="1"/>
  <c r="E181" i="1"/>
  <c r="E438" i="1"/>
  <c r="E595" i="1"/>
  <c r="E723" i="1"/>
  <c r="E832" i="1"/>
  <c r="E882" i="1"/>
  <c r="E1002" i="1"/>
  <c r="E1070" i="1"/>
  <c r="E1134" i="1"/>
  <c r="E1198" i="1"/>
  <c r="E1262" i="1"/>
  <c r="E1326" i="1"/>
  <c r="E1386" i="1"/>
  <c r="E1446" i="1"/>
  <c r="E1510" i="1"/>
  <c r="E550" i="1"/>
  <c r="E614" i="1"/>
  <c r="E678" i="1"/>
  <c r="E742" i="1"/>
  <c r="E805" i="1"/>
  <c r="E845" i="1"/>
  <c r="E893" i="1"/>
  <c r="E957" i="1"/>
  <c r="E1021" i="1"/>
  <c r="E1085" i="1"/>
  <c r="E1149" i="1"/>
  <c r="E1213" i="1"/>
  <c r="E1277" i="1"/>
  <c r="E1341" i="1"/>
  <c r="E1377" i="1"/>
  <c r="E1441" i="1"/>
  <c r="E1505" i="1"/>
  <c r="E2565" i="1"/>
  <c r="E2526" i="1"/>
  <c r="E2486" i="1"/>
  <c r="E2450" i="1"/>
  <c r="E2417" i="1"/>
  <c r="E2384" i="1"/>
  <c r="E2352" i="1"/>
  <c r="E2319" i="1"/>
  <c r="E2286" i="1"/>
  <c r="E2252" i="1"/>
  <c r="E2219" i="1"/>
  <c r="E2185" i="1"/>
  <c r="E2149" i="1"/>
  <c r="E2116" i="1"/>
  <c r="E2100" i="1"/>
  <c r="E2084" i="1"/>
  <c r="E2065" i="1"/>
  <c r="E2048" i="1"/>
  <c r="E2032" i="1"/>
  <c r="E2016" i="1"/>
  <c r="E1997" i="1"/>
  <c r="E1985" i="1"/>
  <c r="E1968" i="1"/>
  <c r="E1952" i="1"/>
  <c r="E1935" i="1"/>
  <c r="E1919" i="1"/>
  <c r="E1903" i="1"/>
  <c r="E1886" i="1"/>
  <c r="E1870" i="1"/>
  <c r="E1854" i="1"/>
  <c r="E1838" i="1"/>
  <c r="E1822" i="1"/>
  <c r="E1806" i="1"/>
  <c r="E1790" i="1"/>
  <c r="E1775" i="1"/>
  <c r="E1759" i="1"/>
  <c r="E1743" i="1"/>
  <c r="E1727" i="1"/>
  <c r="E1711" i="1"/>
  <c r="E1695" i="1"/>
  <c r="E1679" i="1"/>
  <c r="E1663" i="1"/>
  <c r="E1647" i="1"/>
  <c r="E1631" i="1"/>
  <c r="E1615" i="1"/>
  <c r="E1599" i="1"/>
  <c r="E1583" i="1"/>
  <c r="E1567" i="1"/>
  <c r="E1551" i="1"/>
  <c r="E1535" i="1"/>
  <c r="E2604" i="1"/>
  <c r="E2585" i="1"/>
  <c r="E2566" i="1"/>
  <c r="E2553" i="1"/>
  <c r="E2520" i="1"/>
  <c r="E2503" i="1"/>
  <c r="E2487" i="1"/>
  <c r="E2472" i="1"/>
  <c r="E2449" i="1"/>
  <c r="E2432" i="1"/>
  <c r="E2416" i="1"/>
  <c r="E2401" i="1"/>
  <c r="E2383" i="1"/>
  <c r="E2367" i="1"/>
  <c r="E2351" i="1"/>
  <c r="E2334" i="1"/>
  <c r="E2318" i="1"/>
  <c r="E2301" i="1"/>
  <c r="E2285" i="1"/>
  <c r="E2269" i="1"/>
  <c r="E2253" i="1"/>
  <c r="E2236" i="1"/>
  <c r="E2220" i="1"/>
  <c r="E2203" i="1"/>
  <c r="E2186" i="1"/>
  <c r="E2172" i="1"/>
  <c r="E2154" i="1"/>
  <c r="E2138" i="1"/>
  <c r="E2121" i="1"/>
  <c r="E2105" i="1"/>
  <c r="E2089" i="1"/>
  <c r="E2071" i="1"/>
  <c r="E2054" i="1"/>
  <c r="E2037" i="1"/>
  <c r="E2021" i="1"/>
  <c r="E2005" i="1"/>
  <c r="E1990" i="1"/>
  <c r="E1973" i="1"/>
  <c r="E1957" i="1"/>
  <c r="E1941" i="1"/>
  <c r="E1924" i="1"/>
  <c r="E1908" i="1"/>
  <c r="E1891" i="1"/>
  <c r="E1875" i="1"/>
  <c r="E1867" i="1"/>
  <c r="E1859" i="1"/>
  <c r="E1851" i="1"/>
  <c r="E1843" i="1"/>
  <c r="E1835" i="1"/>
  <c r="E1827" i="1"/>
  <c r="E1819" i="1"/>
  <c r="E1811" i="1"/>
  <c r="E1803" i="1"/>
  <c r="E1795" i="1"/>
  <c r="E1787" i="1"/>
  <c r="E1779" i="1"/>
  <c r="E1772" i="1"/>
  <c r="E1764" i="1"/>
  <c r="E1756" i="1"/>
  <c r="E1748" i="1"/>
  <c r="E1740" i="1"/>
  <c r="E1732" i="1"/>
  <c r="E1724" i="1"/>
  <c r="E1716" i="1"/>
  <c r="E1708" i="1"/>
  <c r="E1700" i="1"/>
  <c r="E1692" i="1"/>
  <c r="E1684" i="1"/>
  <c r="E1676" i="1"/>
  <c r="E1668" i="1"/>
  <c r="E1660" i="1"/>
  <c r="E1652" i="1"/>
  <c r="E1644" i="1"/>
  <c r="E1636" i="1"/>
  <c r="E1628" i="1"/>
  <c r="E1620" i="1"/>
  <c r="E1612" i="1"/>
  <c r="E1604" i="1"/>
  <c r="E1596" i="1"/>
  <c r="E1588" i="1"/>
  <c r="E1580" i="1"/>
  <c r="E1572" i="1"/>
  <c r="E1564" i="1"/>
  <c r="E1556" i="1"/>
  <c r="E1548" i="1"/>
  <c r="E1540" i="1"/>
  <c r="E1532" i="1"/>
  <c r="E1524" i="1"/>
  <c r="E2641" i="1"/>
  <c r="E2653" i="1"/>
  <c r="E2623" i="1"/>
  <c r="E2632" i="1"/>
  <c r="E2613" i="1"/>
  <c r="E2612" i="1"/>
  <c r="E2646" i="1"/>
  <c r="E2634" i="1"/>
  <c r="E2630" i="1"/>
  <c r="E2469" i="1"/>
  <c r="E18" i="1"/>
  <c r="E34" i="1"/>
  <c r="E50" i="1"/>
  <c r="E66" i="1"/>
  <c r="E82" i="1"/>
  <c r="E98" i="1"/>
  <c r="E114" i="1"/>
  <c r="E130" i="1"/>
  <c r="E146" i="1"/>
  <c r="E162" i="1"/>
  <c r="E178" i="1"/>
  <c r="E194" i="1"/>
  <c r="E210" i="1"/>
  <c r="E226" i="1"/>
  <c r="E242" i="1"/>
  <c r="E258" i="1"/>
  <c r="E274" i="1"/>
  <c r="E290" i="1"/>
  <c r="E306" i="1"/>
  <c r="E322" i="1"/>
  <c r="E338" i="1"/>
  <c r="E354" i="1"/>
  <c r="E370" i="1"/>
  <c r="E386" i="1"/>
  <c r="E402" i="1"/>
  <c r="E419" i="1"/>
  <c r="E435" i="1"/>
  <c r="E451" i="1"/>
  <c r="E467" i="1"/>
  <c r="E483" i="1"/>
  <c r="E2652" i="1"/>
  <c r="E2465" i="1"/>
  <c r="E19" i="1"/>
  <c r="E35" i="1"/>
  <c r="E51" i="1"/>
  <c r="E67" i="1"/>
  <c r="E83" i="1"/>
  <c r="E95" i="1"/>
  <c r="E107" i="1"/>
  <c r="E124" i="1"/>
  <c r="E135" i="1"/>
  <c r="E147" i="1"/>
  <c r="E163" i="1"/>
  <c r="E179" i="1"/>
  <c r="E195" i="1"/>
  <c r="E211" i="1"/>
  <c r="E227" i="1"/>
  <c r="E243" i="1"/>
  <c r="E259" i="1"/>
  <c r="E275" i="1"/>
  <c r="E291" i="1"/>
  <c r="E307" i="1"/>
  <c r="E323" i="1"/>
  <c r="E339" i="1"/>
  <c r="E355" i="1"/>
  <c r="E371" i="1"/>
  <c r="E387" i="1"/>
  <c r="E403" i="1"/>
  <c r="E420" i="1"/>
  <c r="E428" i="1"/>
  <c r="E444" i="1"/>
  <c r="E460" i="1"/>
  <c r="E476" i="1"/>
  <c r="E492" i="1"/>
  <c r="E2631" i="1"/>
  <c r="E2674" i="1"/>
  <c r="E2688" i="1"/>
  <c r="E2505" i="1"/>
  <c r="E2669" i="1"/>
  <c r="E2671" i="1"/>
  <c r="E2680" i="1"/>
  <c r="CV2490" i="1"/>
  <c r="Y2490" i="1"/>
  <c r="AE2490" i="1"/>
  <c r="CV2607" i="1"/>
  <c r="Y2607" i="1"/>
  <c r="AE2607" i="1"/>
  <c r="AA2224" i="1"/>
  <c r="CV2670" i="1"/>
  <c r="Y2670" i="1"/>
  <c r="AE2670" i="1"/>
  <c r="CV2743" i="1"/>
  <c r="Y2743" i="1"/>
  <c r="AE2743" i="1"/>
  <c r="DD3208" i="1"/>
  <c r="AA2479" i="1"/>
  <c r="CV2555" i="1"/>
  <c r="Y2555" i="1"/>
  <c r="AE2555" i="1"/>
  <c r="CV2567" i="1"/>
  <c r="Y2567" i="1"/>
  <c r="AE2567" i="1"/>
  <c r="E2758" i="1"/>
  <c r="E2738" i="1"/>
  <c r="E2730" i="1"/>
  <c r="E2710" i="1"/>
  <c r="E2702" i="1"/>
  <c r="E2694" i="1"/>
  <c r="E2716" i="1"/>
  <c r="E2761" i="1"/>
  <c r="E2754" i="1"/>
  <c r="E2733" i="1"/>
  <c r="E2713" i="1"/>
  <c r="E2705" i="1"/>
  <c r="E2697" i="1"/>
  <c r="E2658" i="1"/>
  <c r="CV1313" i="1"/>
  <c r="Y1313" i="1"/>
  <c r="AE1313" i="1"/>
  <c r="CV1229" i="1"/>
  <c r="Y1229" i="1"/>
  <c r="CV1222" i="1"/>
  <c r="Y1222" i="1"/>
  <c r="CV1197" i="1"/>
  <c r="Y1197" i="1"/>
  <c r="CV1115" i="1"/>
  <c r="Y1115" i="1"/>
  <c r="AA999" i="1"/>
  <c r="AE999" i="1"/>
  <c r="CV971" i="1"/>
  <c r="Y971" i="1"/>
  <c r="CV825" i="1"/>
  <c r="Y825" i="1"/>
  <c r="AE825" i="1"/>
  <c r="CV1034" i="1"/>
  <c r="Y1034" i="1"/>
  <c r="CV926" i="1"/>
  <c r="Y926" i="1"/>
  <c r="CV759" i="1"/>
  <c r="Y759" i="1"/>
  <c r="AE759" i="1"/>
  <c r="AC3208" i="1"/>
  <c r="AX3208" i="1"/>
  <c r="CV1232" i="1"/>
  <c r="Y1232" i="1"/>
  <c r="BZ3208" i="1"/>
  <c r="CV2392" i="1"/>
  <c r="Y2392" i="1"/>
  <c r="AE2392" i="1"/>
  <c r="CV1347" i="1"/>
  <c r="Y1347" i="1"/>
  <c r="CV805" i="1"/>
  <c r="Y805" i="1"/>
  <c r="AA2203" i="1"/>
  <c r="CV2718" i="1"/>
  <c r="Y2718" i="1"/>
  <c r="AE2718" i="1"/>
  <c r="CV1086" i="1"/>
  <c r="Y1086" i="1"/>
  <c r="AE1086" i="1"/>
  <c r="CV918" i="1"/>
  <c r="Y918" i="1"/>
  <c r="AE918" i="1"/>
  <c r="CV2541" i="1"/>
  <c r="Y2541" i="1"/>
  <c r="AE2541" i="1"/>
  <c r="E2778" i="1"/>
  <c r="E2744" i="1"/>
  <c r="E2782" i="1"/>
  <c r="E2743" i="1"/>
  <c r="E2541" i="1"/>
  <c r="E2804" i="1"/>
  <c r="E2815" i="1"/>
  <c r="E2783" i="1"/>
  <c r="E2766" i="1"/>
  <c r="CV2625" i="1"/>
  <c r="Y2625" i="1"/>
  <c r="AE2625" i="1"/>
  <c r="E2879" i="1"/>
  <c r="E2871" i="1"/>
  <c r="E2869" i="1"/>
  <c r="E2854" i="1"/>
  <c r="E2851" i="1"/>
  <c r="E2828" i="1"/>
  <c r="E2820" i="1"/>
  <c r="E2800" i="1"/>
  <c r="E2880" i="1"/>
  <c r="E2874" i="1"/>
  <c r="E2859" i="1"/>
  <c r="E2749" i="1"/>
  <c r="E2838" i="1"/>
  <c r="E2764" i="1"/>
  <c r="E2827" i="1"/>
  <c r="E2819" i="1"/>
  <c r="E2748" i="1"/>
  <c r="E2934" i="1"/>
  <c r="E2919" i="1"/>
  <c r="E2912" i="1"/>
  <c r="E2882" i="1"/>
  <c r="E2474" i="1"/>
  <c r="E2926" i="1"/>
  <c r="E2918" i="1"/>
  <c r="E2909" i="1"/>
  <c r="E2802" i="1"/>
  <c r="CV378" i="1"/>
  <c r="Y378" i="1"/>
  <c r="AE378" i="1"/>
  <c r="AD3208" i="1"/>
  <c r="CV979" i="1"/>
  <c r="Y979" i="1"/>
  <c r="AE979" i="1"/>
  <c r="AA975" i="1"/>
  <c r="AA805" i="1"/>
  <c r="CV1239" i="1"/>
  <c r="Y1239" i="1"/>
  <c r="AA1192" i="1"/>
  <c r="CV1117" i="1"/>
  <c r="Y1117" i="1"/>
  <c r="CV1078" i="1"/>
  <c r="Y1078" i="1"/>
  <c r="CV1042" i="1"/>
  <c r="Y1042" i="1"/>
  <c r="BK3208" i="1"/>
  <c r="CV760" i="1"/>
  <c r="Y760" i="1"/>
  <c r="CV699" i="1"/>
  <c r="Y699" i="1"/>
  <c r="CV684" i="1"/>
  <c r="Y684" i="1"/>
  <c r="CV681" i="1"/>
  <c r="Y681" i="1"/>
  <c r="CV611" i="1"/>
  <c r="Y611" i="1"/>
  <c r="CV569" i="1"/>
  <c r="Y569" i="1"/>
  <c r="AE569" i="1"/>
  <c r="CO3208" i="1"/>
  <c r="CV370" i="1"/>
  <c r="Y370" i="1"/>
  <c r="AE370" i="1"/>
  <c r="CV369" i="1"/>
  <c r="Y369" i="1"/>
  <c r="BM3208" i="1"/>
  <c r="CV344" i="1"/>
  <c r="Y344" i="1"/>
  <c r="CK3208" i="1"/>
  <c r="CV330" i="1"/>
  <c r="Y330" i="1"/>
  <c r="M3208" i="1"/>
  <c r="CV1430" i="1"/>
  <c r="Y1430" i="1"/>
  <c r="AE1430" i="1"/>
  <c r="CV1055" i="1"/>
  <c r="Y1055" i="1"/>
  <c r="CV799" i="1"/>
  <c r="Y799" i="1"/>
  <c r="CV1421" i="1"/>
  <c r="Y1421" i="1"/>
  <c r="AY3208" i="1"/>
  <c r="AA661" i="1"/>
  <c r="CV1071" i="1"/>
  <c r="Y1071" i="1"/>
  <c r="CV1796" i="1"/>
  <c r="Y1796" i="1"/>
  <c r="AE1796" i="1"/>
  <c r="CV1095" i="1"/>
  <c r="Y1095" i="1"/>
  <c r="AE1095" i="1"/>
  <c r="CV1026" i="1"/>
  <c r="Y1026" i="1"/>
  <c r="AE1026" i="1"/>
  <c r="CV975" i="1"/>
  <c r="Y975" i="1"/>
  <c r="CV909" i="1"/>
  <c r="Y909" i="1"/>
  <c r="CV840" i="1"/>
  <c r="Y840" i="1"/>
  <c r="AE840" i="1"/>
  <c r="CV817" i="1"/>
  <c r="Y817" i="1"/>
  <c r="CV750" i="1"/>
  <c r="Y750" i="1"/>
  <c r="AE750" i="1"/>
  <c r="CV452" i="1"/>
  <c r="Y452" i="1"/>
  <c r="AE452" i="1"/>
  <c r="CV1806" i="1"/>
  <c r="Y1806" i="1"/>
  <c r="AE1806" i="1"/>
  <c r="CV1306" i="1"/>
  <c r="Y1306" i="1"/>
  <c r="AE1306" i="1"/>
  <c r="CV2863" i="1"/>
  <c r="Y2863" i="1"/>
  <c r="AE2863" i="1"/>
  <c r="CV2858" i="1"/>
  <c r="Y2858" i="1"/>
  <c r="AE2858" i="1"/>
  <c r="CX3208" i="1"/>
  <c r="AW3208" i="1"/>
  <c r="CV2521" i="1"/>
  <c r="Y2521" i="1"/>
  <c r="AE2521" i="1"/>
  <c r="E2844" i="1"/>
  <c r="E2663" i="1"/>
  <c r="E2608" i="1"/>
  <c r="E2937" i="1"/>
  <c r="E2943" i="1"/>
  <c r="E2886" i="1"/>
  <c r="E2843" i="1"/>
  <c r="E2941" i="1"/>
  <c r="E2780" i="1"/>
  <c r="E2931" i="1"/>
  <c r="E2938" i="1"/>
  <c r="E2945" i="1"/>
  <c r="AA1849" i="1"/>
  <c r="AA720" i="1"/>
  <c r="CV1101" i="1"/>
  <c r="Y1101" i="1"/>
  <c r="CV1317" i="1"/>
  <c r="Y1317" i="1"/>
  <c r="CV1499" i="1"/>
  <c r="Y1499" i="1"/>
  <c r="CV2812" i="1"/>
  <c r="Y2812" i="1"/>
  <c r="AE2812" i="1"/>
  <c r="CV1547" i="1"/>
  <c r="Y1547" i="1"/>
  <c r="CV990" i="1"/>
  <c r="Y990" i="1"/>
  <c r="E2786" i="1"/>
  <c r="E2721" i="1"/>
  <c r="E2724" i="1"/>
  <c r="E2542" i="1"/>
  <c r="E2794" i="1"/>
  <c r="E2887" i="1"/>
  <c r="E2947" i="1"/>
  <c r="E2951" i="1"/>
  <c r="E2955" i="1"/>
  <c r="E2959" i="1"/>
  <c r="E2963" i="1"/>
  <c r="E2967" i="1"/>
  <c r="E2974" i="1"/>
  <c r="E2978" i="1"/>
  <c r="E2982" i="1"/>
  <c r="E2986" i="1"/>
  <c r="E2988" i="1"/>
  <c r="E2990" i="1"/>
  <c r="E2993" i="1"/>
  <c r="E2996" i="1"/>
  <c r="E2998" i="1"/>
  <c r="E3000" i="1"/>
  <c r="E3005" i="1"/>
  <c r="E3007" i="1"/>
  <c r="E3009" i="1"/>
  <c r="E3011" i="1"/>
  <c r="E3013" i="1"/>
  <c r="E3017" i="1"/>
  <c r="E3019" i="1"/>
  <c r="E3027" i="1"/>
  <c r="E2599" i="1"/>
  <c r="E2785" i="1"/>
  <c r="E2888" i="1"/>
  <c r="E2995" i="1"/>
  <c r="E2722" i="1"/>
  <c r="E2723" i="1"/>
  <c r="E2725" i="1"/>
  <c r="E2529" i="1"/>
  <c r="E2650" i="1"/>
  <c r="E2750" i="1"/>
  <c r="E2803" i="1"/>
  <c r="E2846" i="1"/>
  <c r="E2866" i="1"/>
  <c r="E2932" i="1"/>
  <c r="E2946" i="1"/>
  <c r="E2948" i="1"/>
  <c r="E2950" i="1"/>
  <c r="E2952" i="1"/>
  <c r="E2954" i="1"/>
  <c r="E2956" i="1"/>
  <c r="E2958" i="1"/>
  <c r="E2960" i="1"/>
  <c r="E2962" i="1"/>
  <c r="E2964" i="1"/>
  <c r="E2966" i="1"/>
  <c r="E2968" i="1"/>
  <c r="E2973" i="1"/>
  <c r="E2975" i="1"/>
  <c r="E2977" i="1"/>
  <c r="E2979" i="1"/>
  <c r="E2981" i="1"/>
  <c r="E2985" i="1"/>
  <c r="E2987" i="1"/>
  <c r="E2989" i="1"/>
  <c r="E2991" i="1"/>
  <c r="E2992" i="1"/>
  <c r="E2994" i="1"/>
  <c r="E2997" i="1"/>
  <c r="E2999" i="1"/>
  <c r="E3004" i="1"/>
  <c r="E3006" i="1"/>
  <c r="E3008" i="1"/>
  <c r="E3010" i="1"/>
  <c r="E3012" i="1"/>
  <c r="E3016" i="1"/>
  <c r="E3018" i="1"/>
  <c r="E3020" i="1"/>
  <c r="CV2981" i="1"/>
  <c r="Y2981" i="1"/>
  <c r="AE2981" i="1"/>
  <c r="CV2624" i="1"/>
  <c r="Y2624" i="1"/>
  <c r="AE2624" i="1"/>
  <c r="CV2474" i="1"/>
  <c r="Y2474" i="1"/>
  <c r="AE2474" i="1"/>
  <c r="CV2913" i="1"/>
  <c r="Y2913" i="1"/>
  <c r="AE2913" i="1"/>
  <c r="CV2846" i="1"/>
  <c r="Y2846" i="1"/>
  <c r="AE2846" i="1"/>
  <c r="CV2960" i="1"/>
  <c r="Y2960" i="1"/>
  <c r="AE2960" i="1"/>
  <c r="AA2474" i="1"/>
  <c r="CV2608" i="1"/>
  <c r="Y2608" i="1"/>
  <c r="AE2608" i="1"/>
  <c r="E3033" i="1"/>
  <c r="E3035" i="1"/>
  <c r="CV2958" i="1"/>
  <c r="Y2958" i="1"/>
  <c r="AE2958" i="1"/>
  <c r="CV2991" i="1"/>
  <c r="Y2991" i="1"/>
  <c r="AE2991" i="1"/>
  <c r="CV2689" i="1"/>
  <c r="Y2689" i="1"/>
  <c r="AE2689" i="1"/>
  <c r="E2936" i="1"/>
  <c r="E3045" i="1"/>
  <c r="E3072" i="1"/>
  <c r="E3069" i="1"/>
  <c r="E3111" i="1"/>
  <c r="E3103" i="1"/>
  <c r="E3101" i="1"/>
  <c r="E3099" i="1"/>
  <c r="E3097" i="1"/>
  <c r="E3095" i="1"/>
  <c r="E3093" i="1"/>
  <c r="E3091" i="1"/>
  <c r="E3021" i="1"/>
  <c r="E3068" i="1"/>
  <c r="E3066" i="1"/>
  <c r="E3064" i="1"/>
  <c r="E3063" i="1"/>
  <c r="E3062" i="1"/>
  <c r="E3086" i="1"/>
  <c r="E3084" i="1"/>
  <c r="E3082" i="1"/>
  <c r="E3055" i="1"/>
  <c r="E3053" i="1"/>
  <c r="E3051" i="1"/>
  <c r="E3049" i="1"/>
  <c r="E3048" i="1"/>
  <c r="E3034" i="1"/>
  <c r="E2726" i="1"/>
  <c r="E2543" i="1"/>
  <c r="E3037" i="1"/>
  <c r="E3032" i="1"/>
  <c r="E3030" i="1"/>
  <c r="E3028" i="1"/>
  <c r="E3001" i="1"/>
  <c r="E3056" i="1"/>
  <c r="E3071" i="1"/>
  <c r="E3070" i="1"/>
  <c r="E3112" i="1"/>
  <c r="E3104" i="1"/>
  <c r="E3102" i="1"/>
  <c r="E3100" i="1"/>
  <c r="E3098" i="1"/>
  <c r="E3096" i="1"/>
  <c r="E3094" i="1"/>
  <c r="E3092" i="1"/>
  <c r="E3090" i="1"/>
  <c r="E3067" i="1"/>
  <c r="E3065" i="1"/>
  <c r="E3024" i="1"/>
  <c r="E3088" i="1"/>
  <c r="E3061" i="1"/>
  <c r="E3087" i="1"/>
  <c r="E3085" i="1"/>
  <c r="E3083" i="1"/>
  <c r="E3040" i="1"/>
  <c r="E3054" i="1"/>
  <c r="E3052" i="1"/>
  <c r="E3050" i="1"/>
  <c r="E3039" i="1"/>
  <c r="E3047" i="1"/>
  <c r="E3046" i="1"/>
  <c r="E2969" i="1"/>
  <c r="E3038" i="1"/>
  <c r="E3036" i="1"/>
  <c r="E3031" i="1"/>
  <c r="E3029" i="1"/>
  <c r="E3002" i="1"/>
  <c r="E3089" i="1"/>
  <c r="E2664" i="1"/>
  <c r="E2847" i="1"/>
  <c r="E3041" i="1"/>
  <c r="E3058" i="1"/>
  <c r="E3073" i="1"/>
  <c r="E3114" i="1"/>
  <c r="E3116" i="1"/>
  <c r="E3118" i="1"/>
  <c r="E3120" i="1"/>
  <c r="E3122" i="1"/>
  <c r="E3124" i="1"/>
  <c r="E3129" i="1"/>
  <c r="E3131" i="1"/>
  <c r="E3133" i="1"/>
  <c r="E3135" i="1"/>
  <c r="E3137" i="1"/>
  <c r="E3139" i="1"/>
  <c r="E3141" i="1"/>
  <c r="E3143" i="1"/>
  <c r="E3145" i="1"/>
  <c r="E2575" i="1"/>
  <c r="E2751" i="1"/>
  <c r="E3022" i="1"/>
  <c r="E3057" i="1"/>
  <c r="E3059" i="1"/>
  <c r="E3113" i="1"/>
  <c r="E3115" i="1"/>
  <c r="E3117" i="1"/>
  <c r="E3119" i="1"/>
  <c r="E3121" i="1"/>
  <c r="E3123" i="1"/>
  <c r="E3125" i="1"/>
  <c r="E3130" i="1"/>
  <c r="E3132" i="1"/>
  <c r="E3134" i="1"/>
  <c r="E3136" i="1"/>
  <c r="E3138" i="1"/>
  <c r="E3140" i="1"/>
  <c r="E3142" i="1"/>
  <c r="CV377" i="1"/>
  <c r="Y377" i="1"/>
  <c r="CV1457" i="1"/>
  <c r="Y1457" i="1"/>
  <c r="CV3022" i="1"/>
  <c r="Y3022" i="1"/>
  <c r="AE3022" i="1"/>
  <c r="CV3059" i="1"/>
  <c r="Y3059" i="1"/>
  <c r="AE3059" i="1"/>
  <c r="CV1233" i="1"/>
  <c r="Y1233" i="1"/>
  <c r="CV974" i="1"/>
  <c r="Y974" i="1"/>
  <c r="CV892" i="1"/>
  <c r="Y892" i="1"/>
  <c r="CV602" i="1"/>
  <c r="Y602" i="1"/>
  <c r="AE602" i="1"/>
  <c r="CV458" i="1"/>
  <c r="Y458" i="1"/>
  <c r="BE3208" i="1"/>
  <c r="CV372" i="1"/>
  <c r="Y372" i="1"/>
  <c r="AE372" i="1"/>
  <c r="CS3208" i="1"/>
  <c r="K3208" i="1"/>
  <c r="CV1469" i="1"/>
  <c r="Y1469" i="1"/>
  <c r="CV376" i="1"/>
  <c r="Y376" i="1"/>
  <c r="AE376" i="1"/>
  <c r="DB3208" i="1"/>
  <c r="CV862" i="1"/>
  <c r="Y862" i="1"/>
  <c r="CV701" i="1"/>
  <c r="Y701" i="1"/>
  <c r="AE701" i="1"/>
  <c r="CV374" i="1"/>
  <c r="Y374" i="1"/>
  <c r="AE374" i="1"/>
  <c r="DC3208" i="1"/>
  <c r="CV188" i="1"/>
  <c r="Y188" i="1"/>
  <c r="AE188" i="1"/>
  <c r="J3208" i="1"/>
  <c r="CV3058" i="1"/>
  <c r="Y3058" i="1"/>
  <c r="AE3058" i="1"/>
  <c r="E3026" i="1"/>
  <c r="E3" i="1"/>
  <c r="E2618" i="1"/>
  <c r="E2536" i="1"/>
  <c r="E8" i="1"/>
  <c r="E16" i="1"/>
  <c r="E24" i="1"/>
  <c r="E32" i="1"/>
  <c r="E40" i="1"/>
  <c r="E48" i="1"/>
  <c r="E56" i="1"/>
  <c r="E64" i="1"/>
  <c r="E72" i="1"/>
  <c r="E80" i="1"/>
  <c r="E88" i="1"/>
  <c r="E96" i="1"/>
  <c r="E104" i="1"/>
  <c r="E112" i="1"/>
  <c r="E120" i="1"/>
  <c r="E128" i="1"/>
  <c r="E136" i="1"/>
  <c r="E144" i="1"/>
  <c r="E152" i="1"/>
  <c r="E160" i="1"/>
  <c r="E168" i="1"/>
  <c r="E176" i="1"/>
  <c r="E184" i="1"/>
  <c r="E192" i="1"/>
  <c r="E200" i="1"/>
  <c r="E208" i="1"/>
  <c r="E216" i="1"/>
  <c r="E224" i="1"/>
  <c r="E232" i="1"/>
  <c r="E240" i="1"/>
  <c r="E248" i="1"/>
  <c r="E256" i="1"/>
  <c r="E264" i="1"/>
  <c r="E272" i="1"/>
  <c r="E280" i="1"/>
  <c r="E288" i="1"/>
  <c r="E296" i="1"/>
  <c r="E304" i="1"/>
  <c r="E312" i="1"/>
  <c r="E320" i="1"/>
  <c r="E328" i="1"/>
  <c r="E336" i="1"/>
  <c r="E344" i="1"/>
  <c r="E352" i="1"/>
  <c r="E360" i="1"/>
  <c r="E368" i="1"/>
  <c r="E376" i="1"/>
  <c r="E384" i="1"/>
  <c r="E392" i="1"/>
  <c r="E400" i="1"/>
  <c r="E409" i="1"/>
  <c r="E417" i="1"/>
  <c r="E425" i="1"/>
  <c r="E433" i="1"/>
  <c r="E441" i="1"/>
  <c r="E449" i="1"/>
  <c r="E457" i="1"/>
  <c r="E465" i="1"/>
  <c r="E473" i="1"/>
  <c r="E481" i="1"/>
  <c r="E489" i="1"/>
  <c r="E497" i="1"/>
  <c r="E2617" i="1"/>
  <c r="E2530" i="1"/>
  <c r="E11" i="1"/>
  <c r="E17" i="1"/>
  <c r="E25" i="1"/>
  <c r="E33" i="1"/>
  <c r="E41" i="1"/>
  <c r="E49" i="1"/>
  <c r="E57" i="1"/>
  <c r="E65" i="1"/>
  <c r="E73" i="1"/>
  <c r="E81" i="1"/>
  <c r="E89" i="1"/>
  <c r="E97" i="1"/>
  <c r="E105" i="1"/>
  <c r="E113" i="1"/>
  <c r="E121" i="1"/>
  <c r="E129" i="1"/>
  <c r="E137" i="1"/>
  <c r="E145" i="1"/>
  <c r="E153" i="1"/>
  <c r="E161" i="1"/>
  <c r="E169" i="1"/>
  <c r="E177" i="1"/>
  <c r="E185" i="1"/>
  <c r="E193" i="1"/>
  <c r="E201" i="1"/>
  <c r="E209" i="1"/>
  <c r="E217" i="1"/>
  <c r="E225" i="1"/>
  <c r="E233" i="1"/>
  <c r="E241" i="1"/>
  <c r="E249" i="1"/>
  <c r="E257" i="1"/>
  <c r="E265" i="1"/>
  <c r="E273" i="1"/>
  <c r="E281" i="1"/>
  <c r="E289" i="1"/>
  <c r="E297" i="1"/>
  <c r="E305" i="1"/>
  <c r="E313" i="1"/>
  <c r="E321" i="1"/>
  <c r="E329" i="1"/>
  <c r="E337" i="1"/>
  <c r="E345" i="1"/>
  <c r="E353" i="1"/>
  <c r="E361" i="1"/>
  <c r="E369" i="1"/>
  <c r="E377" i="1"/>
  <c r="E385" i="1"/>
  <c r="E393" i="1"/>
  <c r="E401" i="1"/>
  <c r="E410" i="1"/>
  <c r="E418" i="1"/>
  <c r="E426" i="1"/>
  <c r="E434" i="1"/>
  <c r="E442" i="1"/>
  <c r="E450" i="1"/>
  <c r="E458" i="1"/>
  <c r="E466" i="1"/>
  <c r="E474" i="1"/>
  <c r="E482" i="1"/>
  <c r="E490" i="1"/>
  <c r="E496" i="1"/>
  <c r="E501" i="1"/>
  <c r="E505" i="1"/>
  <c r="E509" i="1"/>
  <c r="E513" i="1"/>
  <c r="E517" i="1"/>
  <c r="E521" i="1"/>
  <c r="E525" i="1"/>
  <c r="E529" i="1"/>
  <c r="E533" i="1"/>
  <c r="E537" i="1"/>
  <c r="E541" i="1"/>
  <c r="E545" i="1"/>
  <c r="E549" i="1"/>
  <c r="E553" i="1"/>
  <c r="E557" i="1"/>
  <c r="E561" i="1"/>
  <c r="E565" i="1"/>
  <c r="E569" i="1"/>
  <c r="E573" i="1"/>
  <c r="E577" i="1"/>
  <c r="E581" i="1"/>
  <c r="E585" i="1"/>
  <c r="E589" i="1"/>
  <c r="E593" i="1"/>
  <c r="E597" i="1"/>
  <c r="E601" i="1"/>
  <c r="E605" i="1"/>
  <c r="E609" i="1"/>
  <c r="E613" i="1"/>
  <c r="E617" i="1"/>
  <c r="E621" i="1"/>
  <c r="E625" i="1"/>
  <c r="E629" i="1"/>
  <c r="E633" i="1"/>
  <c r="E637" i="1"/>
  <c r="E641" i="1"/>
  <c r="E645" i="1"/>
  <c r="E649" i="1"/>
  <c r="E653" i="1"/>
  <c r="E657" i="1"/>
  <c r="E661" i="1"/>
  <c r="E665" i="1"/>
  <c r="E669" i="1"/>
  <c r="E673" i="1"/>
  <c r="E677" i="1"/>
  <c r="E681" i="1"/>
  <c r="E685" i="1"/>
  <c r="E689" i="1"/>
  <c r="E693" i="1"/>
  <c r="E697" i="1"/>
  <c r="E701" i="1"/>
  <c r="E705" i="1"/>
  <c r="E709" i="1"/>
  <c r="E713" i="1"/>
  <c r="E717" i="1"/>
  <c r="E721" i="1"/>
  <c r="E725" i="1"/>
  <c r="E729" i="1"/>
  <c r="E733" i="1"/>
  <c r="E737" i="1"/>
  <c r="E741" i="1"/>
  <c r="E745" i="1"/>
  <c r="E749" i="1"/>
  <c r="E753" i="1"/>
  <c r="E757" i="1"/>
  <c r="E761" i="1"/>
  <c r="E765" i="1"/>
  <c r="E769" i="1"/>
  <c r="E773" i="1"/>
  <c r="E777" i="1"/>
  <c r="E780" i="1"/>
  <c r="E784" i="1"/>
  <c r="E788" i="1"/>
  <c r="E792" i="1"/>
  <c r="E796" i="1"/>
  <c r="E800" i="1"/>
  <c r="E804" i="1"/>
  <c r="E808" i="1"/>
  <c r="E812" i="1"/>
  <c r="E816" i="1"/>
  <c r="E820" i="1"/>
  <c r="E824" i="1"/>
  <c r="E828" i="1"/>
  <c r="E836" i="1"/>
  <c r="E840" i="1"/>
  <c r="E844" i="1"/>
  <c r="E848" i="1"/>
  <c r="E856" i="1"/>
  <c r="E860" i="1"/>
  <c r="E864" i="1"/>
  <c r="E868" i="1"/>
  <c r="E872" i="1"/>
  <c r="E876" i="1"/>
  <c r="E880" i="1"/>
  <c r="E884" i="1"/>
  <c r="E888" i="1"/>
  <c r="E892" i="1"/>
  <c r="E896" i="1"/>
  <c r="E900" i="1"/>
  <c r="E904" i="1"/>
  <c r="E908" i="1"/>
  <c r="E912" i="1"/>
  <c r="E916" i="1"/>
  <c r="E920" i="1"/>
  <c r="E924" i="1"/>
  <c r="E928" i="1"/>
  <c r="E932" i="1"/>
  <c r="E936" i="1"/>
  <c r="E940" i="1"/>
  <c r="E944" i="1"/>
  <c r="E948" i="1"/>
  <c r="E952" i="1"/>
  <c r="E956" i="1"/>
  <c r="E960" i="1"/>
  <c r="E964" i="1"/>
  <c r="E968" i="1"/>
  <c r="E972" i="1"/>
  <c r="E976" i="1"/>
  <c r="E980" i="1"/>
  <c r="E984" i="1"/>
  <c r="E988" i="1"/>
  <c r="E992" i="1"/>
  <c r="E996" i="1"/>
  <c r="E1000" i="1"/>
  <c r="E1004" i="1"/>
  <c r="E1008" i="1"/>
  <c r="E2605" i="1"/>
  <c r="E10" i="1"/>
  <c r="E28" i="1"/>
  <c r="E44" i="1"/>
  <c r="E60" i="1"/>
  <c r="E76" i="1"/>
  <c r="E92" i="1"/>
  <c r="E108" i="1"/>
  <c r="E125" i="1"/>
  <c r="E140" i="1"/>
  <c r="E157" i="1"/>
  <c r="E172" i="1"/>
  <c r="E188" i="1"/>
  <c r="E204" i="1"/>
  <c r="E220" i="1"/>
  <c r="E236" i="1"/>
  <c r="E252" i="1"/>
  <c r="E268" i="1"/>
  <c r="E284" i="1"/>
  <c r="E300" i="1"/>
  <c r="E316" i="1"/>
  <c r="E332" i="1"/>
  <c r="E348" i="1"/>
  <c r="E364" i="1"/>
  <c r="E380" i="1"/>
  <c r="E396" i="1"/>
  <c r="E413" i="1"/>
  <c r="E429" i="1"/>
  <c r="E445" i="1"/>
  <c r="E461" i="1"/>
  <c r="E477" i="1"/>
  <c r="E493" i="1"/>
  <c r="E2606" i="1"/>
  <c r="E13" i="1"/>
  <c r="E29" i="1"/>
  <c r="E45" i="1"/>
  <c r="E61" i="1"/>
  <c r="E77" i="1"/>
  <c r="E93" i="1"/>
  <c r="E109" i="1"/>
  <c r="E126" i="1"/>
  <c r="E141" i="1"/>
  <c r="E155" i="1"/>
  <c r="E173" i="1"/>
  <c r="E189" i="1"/>
  <c r="E205" i="1"/>
  <c r="E221" i="1"/>
  <c r="E237" i="1"/>
  <c r="E253" i="1"/>
  <c r="E269" i="1"/>
  <c r="E285" i="1"/>
  <c r="E301" i="1"/>
  <c r="E317" i="1"/>
  <c r="E333" i="1"/>
  <c r="E349" i="1"/>
  <c r="E365" i="1"/>
  <c r="E381" i="1"/>
  <c r="E397" i="1"/>
  <c r="E414" i="1"/>
  <c r="E430" i="1"/>
  <c r="E446" i="1"/>
  <c r="E462" i="1"/>
  <c r="E478" i="1"/>
  <c r="E494" i="1"/>
  <c r="E503" i="1"/>
  <c r="E511" i="1"/>
  <c r="E519" i="1"/>
  <c r="E527" i="1"/>
  <c r="E535" i="1"/>
  <c r="E543" i="1"/>
  <c r="E551" i="1"/>
  <c r="E559" i="1"/>
  <c r="E567" i="1"/>
  <c r="E575" i="1"/>
  <c r="E583" i="1"/>
  <c r="E591" i="1"/>
  <c r="E599" i="1"/>
  <c r="E607" i="1"/>
  <c r="E615" i="1"/>
  <c r="E623" i="1"/>
  <c r="E631" i="1"/>
  <c r="E639" i="1"/>
  <c r="E647" i="1"/>
  <c r="E655" i="1"/>
  <c r="E663" i="1"/>
  <c r="E671" i="1"/>
  <c r="E679" i="1"/>
  <c r="E687" i="1"/>
  <c r="E695" i="1"/>
  <c r="E703" i="1"/>
  <c r="E711" i="1"/>
  <c r="E719" i="1"/>
  <c r="E727" i="1"/>
  <c r="E735" i="1"/>
  <c r="E743" i="1"/>
  <c r="E751" i="1"/>
  <c r="E759" i="1"/>
  <c r="E767" i="1"/>
  <c r="E775" i="1"/>
  <c r="E782" i="1"/>
  <c r="E790" i="1"/>
  <c r="E798" i="1"/>
  <c r="E806" i="1"/>
  <c r="E814" i="1"/>
  <c r="E822" i="1"/>
  <c r="E830" i="1"/>
  <c r="E834" i="1"/>
  <c r="E842" i="1"/>
  <c r="E850" i="1"/>
  <c r="E862" i="1"/>
  <c r="E870" i="1"/>
  <c r="E878" i="1"/>
  <c r="E886" i="1"/>
  <c r="E894" i="1"/>
  <c r="E902" i="1"/>
  <c r="E918" i="1"/>
  <c r="E926" i="1"/>
  <c r="E934" i="1"/>
  <c r="E942" i="1"/>
  <c r="E950" i="1"/>
  <c r="E958" i="1"/>
  <c r="E966" i="1"/>
  <c r="E974" i="1"/>
  <c r="E982" i="1"/>
  <c r="E990" i="1"/>
  <c r="E998" i="1"/>
  <c r="E1006" i="1"/>
  <c r="E1012" i="1"/>
  <c r="E1016" i="1"/>
  <c r="E1020" i="1"/>
  <c r="E1024" i="1"/>
  <c r="E1028" i="1"/>
  <c r="E1032" i="1"/>
  <c r="E1036" i="1"/>
  <c r="E1040" i="1"/>
  <c r="E1044" i="1"/>
  <c r="E1048" i="1"/>
  <c r="E1052" i="1"/>
  <c r="E1056" i="1"/>
  <c r="E1060" i="1"/>
  <c r="E1064" i="1"/>
  <c r="E1068" i="1"/>
  <c r="E1072" i="1"/>
  <c r="E1076" i="1"/>
  <c r="E1080" i="1"/>
  <c r="E1084" i="1"/>
  <c r="E1088" i="1"/>
  <c r="E1092" i="1"/>
  <c r="E1096" i="1"/>
  <c r="E1100" i="1"/>
  <c r="E1104" i="1"/>
  <c r="E1108" i="1"/>
  <c r="E1112" i="1"/>
  <c r="E1116" i="1"/>
  <c r="E1120" i="1"/>
  <c r="E1124" i="1"/>
  <c r="E1128" i="1"/>
  <c r="E1132" i="1"/>
  <c r="E1136" i="1"/>
  <c r="E1140" i="1"/>
  <c r="E1144" i="1"/>
  <c r="E1148" i="1"/>
  <c r="E1152" i="1"/>
  <c r="E1156" i="1"/>
  <c r="E1160" i="1"/>
  <c r="E1164" i="1"/>
  <c r="E1168" i="1"/>
  <c r="E1172" i="1"/>
  <c r="E1176" i="1"/>
  <c r="E1180" i="1"/>
  <c r="E1184" i="1"/>
  <c r="E1188" i="1"/>
  <c r="E1192" i="1"/>
  <c r="E1196" i="1"/>
  <c r="E1200" i="1"/>
  <c r="E1204" i="1"/>
  <c r="E1208" i="1"/>
  <c r="E1212" i="1"/>
  <c r="E1216" i="1"/>
  <c r="E1220" i="1"/>
  <c r="E1224" i="1"/>
  <c r="E1228" i="1"/>
  <c r="E1232" i="1"/>
  <c r="E1236" i="1"/>
  <c r="E1240" i="1"/>
  <c r="E1244" i="1"/>
  <c r="E1248" i="1"/>
  <c r="E1252" i="1"/>
  <c r="E1256" i="1"/>
  <c r="E1260" i="1"/>
  <c r="E1264" i="1"/>
  <c r="E1268" i="1"/>
  <c r="E1272" i="1"/>
  <c r="E1276" i="1"/>
  <c r="E1280" i="1"/>
  <c r="E1284" i="1"/>
  <c r="E1288" i="1"/>
  <c r="E1292" i="1"/>
  <c r="E1296" i="1"/>
  <c r="E1300" i="1"/>
  <c r="E1304" i="1"/>
  <c r="E1308" i="1"/>
  <c r="E1312" i="1"/>
  <c r="E1316" i="1"/>
  <c r="E1322" i="1"/>
  <c r="E1320" i="1"/>
  <c r="E1328" i="1"/>
  <c r="E1332" i="1"/>
  <c r="E1336" i="1"/>
  <c r="E1340" i="1"/>
  <c r="E1344" i="1"/>
  <c r="E1348" i="1"/>
  <c r="E1352" i="1"/>
  <c r="E1356" i="1"/>
  <c r="E1360" i="1"/>
  <c r="E1364" i="1"/>
  <c r="E1368" i="1"/>
  <c r="E1372" i="1"/>
  <c r="E1376" i="1"/>
  <c r="E1380" i="1"/>
  <c r="E1384" i="1"/>
  <c r="E1388" i="1"/>
  <c r="E1392" i="1"/>
  <c r="E1396" i="1"/>
  <c r="E1400" i="1"/>
  <c r="E1404" i="1"/>
  <c r="E1408" i="1"/>
  <c r="E1412" i="1"/>
  <c r="E1416" i="1"/>
  <c r="E1420" i="1"/>
  <c r="E1424" i="1"/>
  <c r="E1428" i="1"/>
  <c r="E1432" i="1"/>
  <c r="E1436" i="1"/>
  <c r="E1440" i="1"/>
  <c r="E1444" i="1"/>
  <c r="E1448" i="1"/>
  <c r="E1452" i="1"/>
  <c r="E1456" i="1"/>
  <c r="E1460" i="1"/>
  <c r="E1464" i="1"/>
  <c r="E1468" i="1"/>
  <c r="E1472" i="1"/>
  <c r="E1476" i="1"/>
  <c r="E1480" i="1"/>
  <c r="E1484" i="1"/>
  <c r="E1488" i="1"/>
  <c r="E1492" i="1"/>
  <c r="E1496" i="1"/>
  <c r="E1500" i="1"/>
  <c r="E1504" i="1"/>
  <c r="E1508" i="1"/>
  <c r="E1512" i="1"/>
  <c r="E1516" i="1"/>
  <c r="E1520" i="1"/>
  <c r="E500" i="1"/>
  <c r="E504" i="1"/>
  <c r="E508" i="1"/>
  <c r="E512" i="1"/>
  <c r="E516" i="1"/>
  <c r="E520" i="1"/>
  <c r="E524" i="1"/>
  <c r="E528" i="1"/>
  <c r="E532" i="1"/>
  <c r="E536" i="1"/>
  <c r="E540" i="1"/>
  <c r="E544" i="1"/>
  <c r="E548" i="1"/>
  <c r="E552" i="1"/>
  <c r="E556" i="1"/>
  <c r="E560" i="1"/>
  <c r="E564" i="1"/>
  <c r="E568" i="1"/>
  <c r="E572" i="1"/>
  <c r="E576" i="1"/>
  <c r="E580" i="1"/>
  <c r="E584" i="1"/>
  <c r="E588" i="1"/>
  <c r="E592" i="1"/>
  <c r="E596" i="1"/>
  <c r="E600" i="1"/>
  <c r="E604" i="1"/>
  <c r="E608" i="1"/>
  <c r="E612" i="1"/>
  <c r="E616" i="1"/>
  <c r="E620" i="1"/>
  <c r="E624" i="1"/>
  <c r="E628" i="1"/>
  <c r="E632" i="1"/>
  <c r="E636" i="1"/>
  <c r="E640" i="1"/>
  <c r="E644" i="1"/>
  <c r="E648" i="1"/>
  <c r="E652" i="1"/>
  <c r="E656" i="1"/>
  <c r="E660" i="1"/>
  <c r="E664" i="1"/>
  <c r="E668" i="1"/>
  <c r="E672" i="1"/>
  <c r="E676" i="1"/>
  <c r="E680" i="1"/>
  <c r="E684" i="1"/>
  <c r="E688" i="1"/>
  <c r="E692" i="1"/>
  <c r="E696" i="1"/>
  <c r="E700" i="1"/>
  <c r="E704" i="1"/>
  <c r="E708" i="1"/>
  <c r="E712" i="1"/>
  <c r="E716" i="1"/>
  <c r="E720" i="1"/>
  <c r="E724" i="1"/>
  <c r="E728" i="1"/>
  <c r="E732" i="1"/>
  <c r="E736" i="1"/>
  <c r="E740" i="1"/>
  <c r="E744" i="1"/>
  <c r="E748" i="1"/>
  <c r="E752" i="1"/>
  <c r="E756" i="1"/>
  <c r="E760" i="1"/>
  <c r="E764" i="1"/>
  <c r="E768" i="1"/>
  <c r="E772" i="1"/>
  <c r="E776" i="1"/>
  <c r="E779" i="1"/>
  <c r="E783" i="1"/>
  <c r="E787" i="1"/>
  <c r="E791" i="1"/>
  <c r="E795" i="1"/>
  <c r="E799" i="1"/>
  <c r="E803" i="1"/>
  <c r="E807" i="1"/>
  <c r="E811" i="1"/>
  <c r="E815" i="1"/>
  <c r="E819" i="1"/>
  <c r="E823" i="1"/>
  <c r="E827" i="1"/>
  <c r="E831" i="1"/>
  <c r="E835" i="1"/>
  <c r="E839" i="1"/>
  <c r="E843" i="1"/>
  <c r="E847" i="1"/>
  <c r="E851" i="1"/>
  <c r="E855" i="1"/>
  <c r="E859" i="1"/>
  <c r="E863" i="1"/>
  <c r="E867" i="1"/>
  <c r="E871" i="1"/>
  <c r="E875" i="1"/>
  <c r="E879" i="1"/>
  <c r="E883" i="1"/>
  <c r="E887" i="1"/>
  <c r="E891" i="1"/>
  <c r="E895" i="1"/>
  <c r="E899" i="1"/>
  <c r="E903" i="1"/>
  <c r="E907" i="1"/>
  <c r="E911" i="1"/>
  <c r="E915" i="1"/>
  <c r="E919" i="1"/>
  <c r="E923" i="1"/>
  <c r="E927" i="1"/>
  <c r="E935" i="1"/>
  <c r="E939" i="1"/>
  <c r="E943" i="1"/>
  <c r="E947" i="1"/>
  <c r="E951" i="1"/>
  <c r="E955" i="1"/>
  <c r="E959" i="1"/>
  <c r="E963" i="1"/>
  <c r="E967" i="1"/>
  <c r="E971" i="1"/>
  <c r="E975" i="1"/>
  <c r="E979" i="1"/>
  <c r="E983" i="1"/>
  <c r="E987" i="1"/>
  <c r="E991" i="1"/>
  <c r="E995" i="1"/>
  <c r="E999" i="1"/>
  <c r="E1003" i="1"/>
  <c r="E1007" i="1"/>
  <c r="E1011" i="1"/>
  <c r="E1015" i="1"/>
  <c r="E1019" i="1"/>
  <c r="E1023" i="1"/>
  <c r="E1027" i="1"/>
  <c r="E1031" i="1"/>
  <c r="E1035" i="1"/>
  <c r="E1039" i="1"/>
  <c r="E1043" i="1"/>
  <c r="E1047" i="1"/>
  <c r="E1051" i="1"/>
  <c r="E1055" i="1"/>
  <c r="E1059" i="1"/>
  <c r="E1063" i="1"/>
  <c r="E1067" i="1"/>
  <c r="E1071" i="1"/>
  <c r="E1075" i="1"/>
  <c r="E1079" i="1"/>
  <c r="E1083" i="1"/>
  <c r="E1087" i="1"/>
  <c r="E1091" i="1"/>
  <c r="E1095" i="1"/>
  <c r="E1099" i="1"/>
  <c r="E1103" i="1"/>
  <c r="E1107" i="1"/>
  <c r="E1111" i="1"/>
  <c r="E1115" i="1"/>
  <c r="E1119" i="1"/>
  <c r="E1123" i="1"/>
  <c r="E1127" i="1"/>
  <c r="E1131" i="1"/>
  <c r="E1135" i="1"/>
  <c r="E1139" i="1"/>
  <c r="E1143" i="1"/>
  <c r="E1147" i="1"/>
  <c r="E1151" i="1"/>
  <c r="E1155" i="1"/>
  <c r="E1159" i="1"/>
  <c r="E1163" i="1"/>
  <c r="E1167" i="1"/>
  <c r="E1171" i="1"/>
  <c r="E1175" i="1"/>
  <c r="E1179" i="1"/>
  <c r="E1183" i="1"/>
  <c r="E1187" i="1"/>
  <c r="E1191" i="1"/>
  <c r="E1195" i="1"/>
  <c r="E1199" i="1"/>
  <c r="E1203" i="1"/>
  <c r="E1207" i="1"/>
  <c r="E1211" i="1"/>
  <c r="E1215" i="1"/>
  <c r="E1219" i="1"/>
  <c r="E1223" i="1"/>
  <c r="E1227" i="1"/>
  <c r="E1231" i="1"/>
  <c r="E1235" i="1"/>
  <c r="E1239" i="1"/>
  <c r="E1243" i="1"/>
  <c r="E1247" i="1"/>
  <c r="E1251" i="1"/>
  <c r="E1255" i="1"/>
  <c r="E1259" i="1"/>
  <c r="E1263" i="1"/>
  <c r="E1267" i="1"/>
  <c r="E1271" i="1"/>
  <c r="E1275" i="1"/>
  <c r="E1279" i="1"/>
  <c r="E1283" i="1"/>
  <c r="E1287" i="1"/>
  <c r="E1291" i="1"/>
  <c r="E1295" i="1"/>
  <c r="E1299" i="1"/>
  <c r="E1303" i="1"/>
  <c r="E1307" i="1"/>
  <c r="E1311" i="1"/>
  <c r="E1315" i="1"/>
  <c r="E1321" i="1"/>
  <c r="E1319" i="1"/>
  <c r="E1327" i="1"/>
  <c r="E1331" i="1"/>
  <c r="E1335" i="1"/>
  <c r="E1339" i="1"/>
  <c r="E1343" i="1"/>
  <c r="E1347" i="1"/>
  <c r="E1351" i="1"/>
  <c r="E1355" i="1"/>
  <c r="E1359" i="1"/>
  <c r="E1363" i="1"/>
  <c r="E1367" i="1"/>
  <c r="E1371" i="1"/>
  <c r="E1379" i="1"/>
  <c r="E1383" i="1"/>
  <c r="E1387" i="1"/>
  <c r="E1391" i="1"/>
  <c r="E1395" i="1"/>
  <c r="E1399" i="1"/>
  <c r="E1403" i="1"/>
  <c r="E1407" i="1"/>
  <c r="E1411" i="1"/>
  <c r="E1415" i="1"/>
  <c r="E1419" i="1"/>
  <c r="E1423" i="1"/>
  <c r="E1427" i="1"/>
  <c r="E1431" i="1"/>
  <c r="E1435" i="1"/>
  <c r="E1439" i="1"/>
  <c r="E1443" i="1"/>
  <c r="E1447" i="1"/>
  <c r="E1451" i="1"/>
  <c r="E1455" i="1"/>
  <c r="E1459" i="1"/>
  <c r="E1463" i="1"/>
  <c r="E1467" i="1"/>
  <c r="E1471" i="1"/>
  <c r="E1475" i="1"/>
  <c r="E1479" i="1"/>
  <c r="E1483" i="1"/>
  <c r="E1487" i="1"/>
  <c r="E1491" i="1"/>
  <c r="E1495" i="1"/>
  <c r="E1499" i="1"/>
  <c r="E1503" i="1"/>
  <c r="E1507" i="1"/>
  <c r="E1511" i="1"/>
  <c r="E1515" i="1"/>
  <c r="E1519" i="1"/>
  <c r="E2601" i="1"/>
  <c r="E2595" i="1"/>
  <c r="E4" i="1"/>
  <c r="E36" i="1"/>
  <c r="E68" i="1"/>
  <c r="E100" i="1"/>
  <c r="E132" i="1"/>
  <c r="E164" i="1"/>
  <c r="E196" i="1"/>
  <c r="E228" i="1"/>
  <c r="E260" i="1"/>
  <c r="E292" i="1"/>
  <c r="E324" i="1"/>
  <c r="E356" i="1"/>
  <c r="E388" i="1"/>
  <c r="E421" i="1"/>
  <c r="E453" i="1"/>
  <c r="E485" i="1"/>
  <c r="E5" i="1"/>
  <c r="E37" i="1"/>
  <c r="E69" i="1"/>
  <c r="E101" i="1"/>
  <c r="E133" i="1"/>
  <c r="E165" i="1"/>
  <c r="E197" i="1"/>
  <c r="E229" i="1"/>
  <c r="E261" i="1"/>
  <c r="E293" i="1"/>
  <c r="E325" i="1"/>
  <c r="E357" i="1"/>
  <c r="E389" i="1"/>
  <c r="E422" i="1"/>
  <c r="E454" i="1"/>
  <c r="E486" i="1"/>
  <c r="E507" i="1"/>
  <c r="E523" i="1"/>
  <c r="E539" i="1"/>
  <c r="E555" i="1"/>
  <c r="E571" i="1"/>
  <c r="E587" i="1"/>
  <c r="E603" i="1"/>
  <c r="E619" i="1"/>
  <c r="E635" i="1"/>
  <c r="E651" i="1"/>
  <c r="E667" i="1"/>
  <c r="E683" i="1"/>
  <c r="E699" i="1"/>
  <c r="E715" i="1"/>
  <c r="E731" i="1"/>
  <c r="E747" i="1"/>
  <c r="E763" i="1"/>
  <c r="E778" i="1"/>
  <c r="E794" i="1"/>
  <c r="E810" i="1"/>
  <c r="E826" i="1"/>
  <c r="E838" i="1"/>
  <c r="E858" i="1"/>
  <c r="E874" i="1"/>
  <c r="E890" i="1"/>
  <c r="E906" i="1"/>
  <c r="E914" i="1"/>
  <c r="E930" i="1"/>
  <c r="E946" i="1"/>
  <c r="E962" i="1"/>
  <c r="E978" i="1"/>
  <c r="E994" i="1"/>
  <c r="E1010" i="1"/>
  <c r="E1018" i="1"/>
  <c r="E1026" i="1"/>
  <c r="E1034" i="1"/>
  <c r="E1042" i="1"/>
  <c r="E1050" i="1"/>
  <c r="E1058" i="1"/>
  <c r="E1066" i="1"/>
  <c r="E1074" i="1"/>
  <c r="E1082" i="1"/>
  <c r="E1090" i="1"/>
  <c r="E1098" i="1"/>
  <c r="E1106" i="1"/>
  <c r="E1114" i="1"/>
  <c r="E1122" i="1"/>
  <c r="E1130" i="1"/>
  <c r="E1138" i="1"/>
  <c r="E1146" i="1"/>
  <c r="E1154" i="1"/>
  <c r="E1162" i="1"/>
  <c r="E1170" i="1"/>
  <c r="E1178" i="1"/>
  <c r="E1186" i="1"/>
  <c r="E1194" i="1"/>
  <c r="E1202" i="1"/>
  <c r="E1210" i="1"/>
  <c r="E1218" i="1"/>
  <c r="E1226" i="1"/>
  <c r="E1234" i="1"/>
  <c r="E1242" i="1"/>
  <c r="E1250" i="1"/>
  <c r="E1258" i="1"/>
  <c r="E1266" i="1"/>
  <c r="E1274" i="1"/>
  <c r="E1282" i="1"/>
  <c r="E1290" i="1"/>
  <c r="E1298" i="1"/>
  <c r="E1306" i="1"/>
  <c r="E1314" i="1"/>
  <c r="E1324" i="1"/>
  <c r="E1330" i="1"/>
  <c r="E1338" i="1"/>
  <c r="E1346" i="1"/>
  <c r="E1354" i="1"/>
  <c r="E1362" i="1"/>
  <c r="E1370" i="1"/>
  <c r="E1378" i="1"/>
  <c r="E1394" i="1"/>
  <c r="E1402" i="1"/>
  <c r="E1410" i="1"/>
  <c r="E1418" i="1"/>
  <c r="E1426" i="1"/>
  <c r="E1434" i="1"/>
  <c r="E1442" i="1"/>
  <c r="E1450" i="1"/>
  <c r="E1458" i="1"/>
  <c r="E1466" i="1"/>
  <c r="E1474" i="1"/>
  <c r="E1482" i="1"/>
  <c r="E1490" i="1"/>
  <c r="E1498" i="1"/>
  <c r="E1506" i="1"/>
  <c r="E1514" i="1"/>
  <c r="E498" i="1"/>
  <c r="E506" i="1"/>
  <c r="E514" i="1"/>
  <c r="E522" i="1"/>
  <c r="E530" i="1"/>
  <c r="E538" i="1"/>
  <c r="E546" i="1"/>
  <c r="E554" i="1"/>
  <c r="E562" i="1"/>
  <c r="E570" i="1"/>
  <c r="E578" i="1"/>
  <c r="E586" i="1"/>
  <c r="E594" i="1"/>
  <c r="E602" i="1"/>
  <c r="E610" i="1"/>
  <c r="E618" i="1"/>
  <c r="E626" i="1"/>
  <c r="E634" i="1"/>
  <c r="E642" i="1"/>
  <c r="E650" i="1"/>
  <c r="E658" i="1"/>
  <c r="E666" i="1"/>
  <c r="E674" i="1"/>
  <c r="E682" i="1"/>
  <c r="E690" i="1"/>
  <c r="E698" i="1"/>
  <c r="E706" i="1"/>
  <c r="E714" i="1"/>
  <c r="E722" i="1"/>
  <c r="E730" i="1"/>
  <c r="E738" i="1"/>
  <c r="E746" i="1"/>
  <c r="E754" i="1"/>
  <c r="E762" i="1"/>
  <c r="E770" i="1"/>
  <c r="E2078" i="1"/>
  <c r="E785" i="1"/>
  <c r="E793" i="1"/>
  <c r="E801" i="1"/>
  <c r="E817" i="1"/>
  <c r="E825" i="1"/>
  <c r="E833" i="1"/>
  <c r="E841" i="1"/>
  <c r="E849" i="1"/>
  <c r="E857" i="1"/>
  <c r="E865" i="1"/>
  <c r="E873" i="1"/>
  <c r="E881" i="1"/>
  <c r="E889" i="1"/>
  <c r="E897" i="1"/>
  <c r="E905" i="1"/>
  <c r="E913" i="1"/>
  <c r="E921" i="1"/>
  <c r="E929" i="1"/>
  <c r="E937" i="1"/>
  <c r="E945" i="1"/>
  <c r="E953" i="1"/>
  <c r="E961" i="1"/>
  <c r="E969" i="1"/>
  <c r="E977" i="1"/>
  <c r="E985" i="1"/>
  <c r="E993" i="1"/>
  <c r="E1001" i="1"/>
  <c r="E1009" i="1"/>
  <c r="E1017" i="1"/>
  <c r="E1025" i="1"/>
  <c r="E1033" i="1"/>
  <c r="E1041" i="1"/>
  <c r="E1049" i="1"/>
  <c r="E1057" i="1"/>
  <c r="E1065" i="1"/>
  <c r="E1073" i="1"/>
  <c r="E1081" i="1"/>
  <c r="E1089" i="1"/>
  <c r="E1097" i="1"/>
  <c r="E1105" i="1"/>
  <c r="E1113" i="1"/>
  <c r="E1121" i="1"/>
  <c r="E1129" i="1"/>
  <c r="E1137" i="1"/>
  <c r="E1145" i="1"/>
  <c r="E1153" i="1"/>
  <c r="E1161" i="1"/>
  <c r="E1169" i="1"/>
  <c r="E1177" i="1"/>
  <c r="E1185" i="1"/>
  <c r="E1193" i="1"/>
  <c r="E1201" i="1"/>
  <c r="E1209" i="1"/>
  <c r="E1217" i="1"/>
  <c r="E1225" i="1"/>
  <c r="E1233" i="1"/>
  <c r="E1241" i="1"/>
  <c r="E1249" i="1"/>
  <c r="E1257" i="1"/>
  <c r="E1265" i="1"/>
  <c r="E1273" i="1"/>
  <c r="E1281" i="1"/>
  <c r="E1289" i="1"/>
  <c r="E1297" i="1"/>
  <c r="E1305" i="1"/>
  <c r="E1313" i="1"/>
  <c r="E1323" i="1"/>
  <c r="E1329" i="1"/>
  <c r="E1337" i="1"/>
  <c r="E1345" i="1"/>
  <c r="E1353" i="1"/>
  <c r="E1361" i="1"/>
  <c r="E1369" i="1"/>
  <c r="E1381" i="1"/>
  <c r="E1389" i="1"/>
  <c r="E1397" i="1"/>
  <c r="E1405" i="1"/>
  <c r="E1413" i="1"/>
  <c r="E1421" i="1"/>
  <c r="E1429" i="1"/>
  <c r="E1437" i="1"/>
  <c r="E1445" i="1"/>
  <c r="E1453" i="1"/>
  <c r="E1461" i="1"/>
  <c r="E1469" i="1"/>
  <c r="E1477" i="1"/>
  <c r="E1485" i="1"/>
  <c r="E1493" i="1"/>
  <c r="E1501" i="1"/>
  <c r="E1509" i="1"/>
  <c r="E1517" i="1"/>
  <c r="E2597" i="1"/>
  <c r="E2589" i="1"/>
  <c r="E2584" i="1"/>
  <c r="E2577" i="1"/>
  <c r="E2558" i="1"/>
  <c r="E2556" i="1"/>
  <c r="E2572" i="1"/>
  <c r="E2551" i="1"/>
  <c r="E2560" i="1"/>
  <c r="E2548" i="1"/>
  <c r="E2555" i="1"/>
  <c r="E2539" i="1"/>
  <c r="E2537" i="1"/>
  <c r="E2523" i="1"/>
  <c r="E2522" i="1"/>
  <c r="E2525" i="1"/>
  <c r="E2508" i="1"/>
  <c r="E2515" i="1"/>
  <c r="E2504" i="1"/>
  <c r="E2493" i="1"/>
  <c r="E2496" i="1"/>
  <c r="E2489" i="1"/>
  <c r="E2488" i="1"/>
  <c r="E2475" i="1"/>
  <c r="E2481" i="1"/>
  <c r="E2467" i="1"/>
  <c r="E2470" i="1"/>
  <c r="E2461" i="1"/>
  <c r="E2456" i="1"/>
  <c r="E2452" i="1"/>
  <c r="E2448" i="1"/>
  <c r="E2444" i="1"/>
  <c r="E2440" i="1"/>
  <c r="E2437" i="1"/>
  <c r="E2431" i="1"/>
  <c r="E2427" i="1"/>
  <c r="E2424" i="1"/>
  <c r="E2419" i="1"/>
  <c r="E2415" i="1"/>
  <c r="E2411" i="1"/>
  <c r="E2407" i="1"/>
  <c r="E2404" i="1"/>
  <c r="E2400" i="1"/>
  <c r="E2395" i="1"/>
  <c r="E2392" i="1"/>
  <c r="E2386" i="1"/>
  <c r="E2382" i="1"/>
  <c r="E2378" i="1"/>
  <c r="E2374" i="1"/>
  <c r="E2370" i="1"/>
  <c r="E2366" i="1"/>
  <c r="E2362" i="1"/>
  <c r="E2357" i="1"/>
  <c r="E2354" i="1"/>
  <c r="E2350" i="1"/>
  <c r="E2345" i="1"/>
  <c r="E2341" i="1"/>
  <c r="E2337" i="1"/>
  <c r="E2333" i="1"/>
  <c r="E2329" i="1"/>
  <c r="E2325" i="1"/>
  <c r="E2321" i="1"/>
  <c r="E2316" i="1"/>
  <c r="E2312" i="1"/>
  <c r="E2308" i="1"/>
  <c r="E2304" i="1"/>
  <c r="E2300" i="1"/>
  <c r="E2296" i="1"/>
  <c r="E2292" i="1"/>
  <c r="E2288" i="1"/>
  <c r="E2284" i="1"/>
  <c r="E2280" i="1"/>
  <c r="E2276" i="1"/>
  <c r="E2272" i="1"/>
  <c r="E2268" i="1"/>
  <c r="E2264" i="1"/>
  <c r="E2258" i="1"/>
  <c r="E2254" i="1"/>
  <c r="E2250" i="1"/>
  <c r="E2245" i="1"/>
  <c r="E2241" i="1"/>
  <c r="E2237" i="1"/>
  <c r="E2233" i="1"/>
  <c r="E2228" i="1"/>
  <c r="E2224" i="1"/>
  <c r="E2221" i="1"/>
  <c r="E2217" i="1"/>
  <c r="E2213" i="1"/>
  <c r="E2207" i="1"/>
  <c r="E2204" i="1"/>
  <c r="E2199" i="1"/>
  <c r="E2195" i="1"/>
  <c r="E2191" i="1"/>
  <c r="E2187" i="1"/>
  <c r="E2182" i="1"/>
  <c r="E2178" i="1"/>
  <c r="E2174" i="1"/>
  <c r="E2169" i="1"/>
  <c r="E2164" i="1"/>
  <c r="E2160" i="1"/>
  <c r="E2155" i="1"/>
  <c r="E2151" i="1"/>
  <c r="E2147" i="1"/>
  <c r="E2143" i="1"/>
  <c r="E2139" i="1"/>
  <c r="E2135" i="1"/>
  <c r="E2131" i="1"/>
  <c r="E2127" i="1"/>
  <c r="E2122" i="1"/>
  <c r="E2118" i="1"/>
  <c r="E2114" i="1"/>
  <c r="E2110" i="1"/>
  <c r="E2106" i="1"/>
  <c r="E2103" i="1"/>
  <c r="E2098" i="1"/>
  <c r="E2094" i="1"/>
  <c r="E2090" i="1"/>
  <c r="E2086" i="1"/>
  <c r="E2082" i="1"/>
  <c r="E2076" i="1"/>
  <c r="E2072" i="1"/>
  <c r="E2067" i="1"/>
  <c r="E2063" i="1"/>
  <c r="E2059" i="1"/>
  <c r="E2055" i="1"/>
  <c r="E2050" i="1"/>
  <c r="E2046" i="1"/>
  <c r="E2042" i="1"/>
  <c r="E2038" i="1"/>
  <c r="E2034" i="1"/>
  <c r="E2030" i="1"/>
  <c r="E2026" i="1"/>
  <c r="E2022" i="1"/>
  <c r="E2018" i="1"/>
  <c r="E2014" i="1"/>
  <c r="E2010" i="1"/>
  <c r="E2006" i="1"/>
  <c r="E2003" i="1"/>
  <c r="E2000" i="1"/>
  <c r="E1995" i="1"/>
  <c r="E1991" i="1"/>
  <c r="E1987" i="1"/>
  <c r="E1983" i="1"/>
  <c r="E1978" i="1"/>
  <c r="E1974" i="1"/>
  <c r="E1970" i="1"/>
  <c r="E1966" i="1"/>
  <c r="E1962" i="1"/>
  <c r="E1958" i="1"/>
  <c r="E1954" i="1"/>
  <c r="E1950" i="1"/>
  <c r="E1946" i="1"/>
  <c r="E1942" i="1"/>
  <c r="E1937" i="1"/>
  <c r="E1933" i="1"/>
  <c r="E1929" i="1"/>
  <c r="E1925" i="1"/>
  <c r="E1921" i="1"/>
  <c r="E1917" i="1"/>
  <c r="E1913" i="1"/>
  <c r="E1909" i="1"/>
  <c r="E1905" i="1"/>
  <c r="E1901" i="1"/>
  <c r="E1896" i="1"/>
  <c r="E1892" i="1"/>
  <c r="E1888" i="1"/>
  <c r="E1884" i="1"/>
  <c r="E1880" i="1"/>
  <c r="E1876" i="1"/>
  <c r="E1872" i="1"/>
  <c r="E1868" i="1"/>
  <c r="E1864" i="1"/>
  <c r="E1860" i="1"/>
  <c r="E1856" i="1"/>
  <c r="E1852" i="1"/>
  <c r="E1848" i="1"/>
  <c r="E1844" i="1"/>
  <c r="E1840" i="1"/>
  <c r="E1836" i="1"/>
  <c r="E1832" i="1"/>
  <c r="E1828" i="1"/>
  <c r="E1824" i="1"/>
  <c r="E1820" i="1"/>
  <c r="E1816" i="1"/>
  <c r="E1812" i="1"/>
  <c r="E1808" i="1"/>
  <c r="E1804" i="1"/>
  <c r="E1800" i="1"/>
  <c r="E1796" i="1"/>
  <c r="E1792" i="1"/>
  <c r="E1788" i="1"/>
  <c r="E1784" i="1"/>
  <c r="E1780" i="1"/>
  <c r="E1777" i="1"/>
  <c r="E1773" i="1"/>
  <c r="E1769" i="1"/>
  <c r="E1765" i="1"/>
  <c r="E1761" i="1"/>
  <c r="E1757" i="1"/>
  <c r="E1753" i="1"/>
  <c r="E1749" i="1"/>
  <c r="E1745" i="1"/>
  <c r="E1741" i="1"/>
  <c r="E1737" i="1"/>
  <c r="E1733" i="1"/>
  <c r="E1729" i="1"/>
  <c r="E1725" i="1"/>
  <c r="E1721" i="1"/>
  <c r="E1717" i="1"/>
  <c r="E1713" i="1"/>
  <c r="E1709" i="1"/>
  <c r="E1705" i="1"/>
  <c r="E1701" i="1"/>
  <c r="E1697" i="1"/>
  <c r="E1693" i="1"/>
  <c r="E1689" i="1"/>
  <c r="E1685" i="1"/>
  <c r="E1681" i="1"/>
  <c r="E1677" i="1"/>
  <c r="E1673" i="1"/>
  <c r="E1669" i="1"/>
  <c r="E1665" i="1"/>
  <c r="E1661" i="1"/>
  <c r="E1657" i="1"/>
  <c r="E1653" i="1"/>
  <c r="E1649" i="1"/>
  <c r="E1645" i="1"/>
  <c r="E1641" i="1"/>
  <c r="E1637" i="1"/>
  <c r="E1633" i="1"/>
  <c r="E1629" i="1"/>
  <c r="E1625" i="1"/>
  <c r="E1621" i="1"/>
  <c r="E1617" i="1"/>
  <c r="E1613" i="1"/>
  <c r="E1609" i="1"/>
  <c r="E1605" i="1"/>
  <c r="E1601" i="1"/>
  <c r="E1597" i="1"/>
  <c r="E1593" i="1"/>
  <c r="E1589" i="1"/>
  <c r="E1585" i="1"/>
  <c r="E1581" i="1"/>
  <c r="E1577" i="1"/>
  <c r="E1573" i="1"/>
  <c r="E1569" i="1"/>
  <c r="E1565" i="1"/>
  <c r="E1561" i="1"/>
  <c r="E1557" i="1"/>
  <c r="E1553" i="1"/>
  <c r="E1549" i="1"/>
  <c r="E1545" i="1"/>
  <c r="E1541" i="1"/>
  <c r="E1537" i="1"/>
  <c r="E1533" i="1"/>
  <c r="E1529" i="1"/>
  <c r="E1525" i="1"/>
  <c r="E1521" i="1"/>
  <c r="E2602" i="1"/>
  <c r="E2596" i="1"/>
  <c r="E2592" i="1"/>
  <c r="E2587" i="1"/>
  <c r="E2583" i="1"/>
  <c r="E2581" i="1"/>
  <c r="E2557" i="1"/>
  <c r="E2554" i="1"/>
  <c r="E2571" i="1"/>
  <c r="E2563" i="1"/>
  <c r="E2564" i="1"/>
  <c r="E2547" i="1"/>
  <c r="E2552" i="1"/>
  <c r="E2533" i="1"/>
  <c r="E2538" i="1"/>
  <c r="E2521" i="1"/>
  <c r="E2519" i="1"/>
  <c r="E2524" i="1"/>
  <c r="E2510" i="1"/>
  <c r="E2514" i="1"/>
  <c r="E2502" i="1"/>
  <c r="E2490" i="1"/>
  <c r="E2495" i="1"/>
  <c r="E2498" i="1"/>
  <c r="E2485" i="1"/>
  <c r="E2478" i="1"/>
  <c r="E2480" i="1"/>
  <c r="E2466" i="1"/>
  <c r="E2463" i="1"/>
  <c r="E2459" i="1"/>
  <c r="E2453" i="1"/>
  <c r="E2451" i="1"/>
  <c r="E2447" i="1"/>
  <c r="E2443" i="1"/>
  <c r="E2439" i="1"/>
  <c r="E2436" i="1"/>
  <c r="E2430" i="1"/>
  <c r="E2426" i="1"/>
  <c r="E2422" i="1"/>
  <c r="E2418" i="1"/>
  <c r="E2414" i="1"/>
  <c r="E2410" i="1"/>
  <c r="E2402" i="1"/>
  <c r="E2403" i="1"/>
  <c r="E2399" i="1"/>
  <c r="E2390" i="1"/>
  <c r="E2391" i="1"/>
  <c r="E2385" i="1"/>
  <c r="E2381" i="1"/>
  <c r="E2377" i="1"/>
  <c r="E2373" i="1"/>
  <c r="E2369" i="1"/>
  <c r="E2365" i="1"/>
  <c r="E2361" i="1"/>
  <c r="E2358" i="1"/>
  <c r="E2353" i="1"/>
  <c r="E2349" i="1"/>
  <c r="E2344" i="1"/>
  <c r="E2340" i="1"/>
  <c r="E2336" i="1"/>
  <c r="E2332" i="1"/>
  <c r="E2328" i="1"/>
  <c r="E2324" i="1"/>
  <c r="E2320" i="1"/>
  <c r="E2315" i="1"/>
  <c r="E2311" i="1"/>
  <c r="E2307" i="1"/>
  <c r="E2303" i="1"/>
  <c r="E2299" i="1"/>
  <c r="E2295" i="1"/>
  <c r="E2291" i="1"/>
  <c r="E2287" i="1"/>
  <c r="E2283" i="1"/>
  <c r="E2279" i="1"/>
  <c r="E2275" i="1"/>
  <c r="E2271" i="1"/>
  <c r="E2267" i="1"/>
  <c r="E2261" i="1"/>
  <c r="E2259" i="1"/>
  <c r="E2255" i="1"/>
  <c r="E2251" i="1"/>
  <c r="E2247" i="1"/>
  <c r="E2242" i="1"/>
  <c r="E2238" i="1"/>
  <c r="E2234" i="1"/>
  <c r="E2229" i="1"/>
  <c r="E2225" i="1"/>
  <c r="E2218" i="1"/>
  <c r="E2214" i="1"/>
  <c r="E2208" i="1"/>
  <c r="E2205" i="1"/>
  <c r="E2200" i="1"/>
  <c r="E2196" i="1"/>
  <c r="E2192" i="1"/>
  <c r="E2188" i="1"/>
  <c r="E2184" i="1"/>
  <c r="E2179" i="1"/>
  <c r="E2170" i="1"/>
  <c r="E2165" i="1"/>
  <c r="E2161" i="1"/>
  <c r="E2156" i="1"/>
  <c r="E2152" i="1"/>
  <c r="E2148" i="1"/>
  <c r="E2144" i="1"/>
  <c r="E2140" i="1"/>
  <c r="E2136" i="1"/>
  <c r="E2132" i="1"/>
  <c r="E2128" i="1"/>
  <c r="E2124" i="1"/>
  <c r="E2119" i="1"/>
  <c r="E2115" i="1"/>
  <c r="E2111" i="1"/>
  <c r="E2107" i="1"/>
  <c r="E2102" i="1"/>
  <c r="E2099" i="1"/>
  <c r="E2095" i="1"/>
  <c r="E2091" i="1"/>
  <c r="E2087" i="1"/>
  <c r="E2083" i="1"/>
  <c r="E2077" i="1"/>
  <c r="E2073" i="1"/>
  <c r="E2068" i="1"/>
  <c r="E2064" i="1"/>
  <c r="E2060" i="1"/>
  <c r="E2056" i="1"/>
  <c r="E2051" i="1"/>
  <c r="E2047" i="1"/>
  <c r="E2043" i="1"/>
  <c r="E2039" i="1"/>
  <c r="E2035" i="1"/>
  <c r="E2031" i="1"/>
  <c r="E2027" i="1"/>
  <c r="E2023" i="1"/>
  <c r="E2019" i="1"/>
  <c r="E2015" i="1"/>
  <c r="E2011" i="1"/>
  <c r="E2007" i="1"/>
  <c r="E2004" i="1"/>
  <c r="E2001" i="1"/>
  <c r="E1996" i="1"/>
  <c r="E1992" i="1"/>
  <c r="E1988" i="1"/>
  <c r="E1984" i="1"/>
  <c r="E1979" i="1"/>
  <c r="E1975" i="1"/>
  <c r="E1971" i="1"/>
  <c r="E1967" i="1"/>
  <c r="E1963" i="1"/>
  <c r="E1959" i="1"/>
  <c r="E1955" i="1"/>
  <c r="E1951" i="1"/>
  <c r="E1947" i="1"/>
  <c r="E1943" i="1"/>
  <c r="E1938" i="1"/>
  <c r="E1934" i="1"/>
  <c r="E1930" i="1"/>
  <c r="E1926" i="1"/>
  <c r="E1922" i="1"/>
  <c r="E1918" i="1"/>
  <c r="E1914" i="1"/>
  <c r="E1910" i="1"/>
  <c r="E1906" i="1"/>
  <c r="E1902" i="1"/>
  <c r="E1897" i="1"/>
  <c r="E1893" i="1"/>
  <c r="E1889" i="1"/>
  <c r="E1885" i="1"/>
  <c r="E1881" i="1"/>
  <c r="E1877" i="1"/>
  <c r="E1873" i="1"/>
  <c r="E1869" i="1"/>
  <c r="E1865" i="1"/>
  <c r="E1861" i="1"/>
  <c r="E1857" i="1"/>
  <c r="E1853" i="1"/>
  <c r="E1849" i="1"/>
  <c r="E1845" i="1"/>
  <c r="E1841" i="1"/>
  <c r="E1837" i="1"/>
  <c r="E1833" i="1"/>
  <c r="E1829" i="1"/>
  <c r="E1825" i="1"/>
  <c r="E1821" i="1"/>
  <c r="E1817" i="1"/>
  <c r="E1813" i="1"/>
  <c r="E1809" i="1"/>
  <c r="E1805" i="1"/>
  <c r="E1801" i="1"/>
  <c r="E1797" i="1"/>
  <c r="E1793" i="1"/>
  <c r="E1789" i="1"/>
  <c r="E1785" i="1"/>
  <c r="E1781" i="1"/>
  <c r="E1778" i="1"/>
  <c r="E1774" i="1"/>
  <c r="E1770" i="1"/>
  <c r="E1766" i="1"/>
  <c r="E1762" i="1"/>
  <c r="E1758" i="1"/>
  <c r="E1754" i="1"/>
  <c r="E1750" i="1"/>
  <c r="E1746" i="1"/>
  <c r="E1742" i="1"/>
  <c r="E1738" i="1"/>
  <c r="E1734" i="1"/>
  <c r="E1730" i="1"/>
  <c r="E1726" i="1"/>
  <c r="E1722" i="1"/>
  <c r="E1718" i="1"/>
  <c r="E1714" i="1"/>
  <c r="E1710" i="1"/>
  <c r="E1706" i="1"/>
  <c r="E1702" i="1"/>
  <c r="E1698" i="1"/>
  <c r="E1694" i="1"/>
  <c r="E1690" i="1"/>
  <c r="E1686" i="1"/>
  <c r="E1682" i="1"/>
  <c r="E1678" i="1"/>
  <c r="E1674" i="1"/>
  <c r="E1670" i="1"/>
  <c r="E1666" i="1"/>
  <c r="E1662" i="1"/>
  <c r="E1658" i="1"/>
  <c r="E1654" i="1"/>
  <c r="E1650" i="1"/>
  <c r="E1646" i="1"/>
  <c r="E1642" i="1"/>
  <c r="E1638" i="1"/>
  <c r="E1634" i="1"/>
  <c r="E1630" i="1"/>
  <c r="E1626" i="1"/>
  <c r="E1622" i="1"/>
  <c r="E1618" i="1"/>
  <c r="E1614" i="1"/>
  <c r="E1610" i="1"/>
  <c r="E1606" i="1"/>
  <c r="E1602" i="1"/>
  <c r="E1598" i="1"/>
  <c r="E1594" i="1"/>
  <c r="E1590" i="1"/>
  <c r="E1586" i="1"/>
  <c r="E1582" i="1"/>
  <c r="E1578" i="1"/>
  <c r="E1574" i="1"/>
  <c r="E1570" i="1"/>
  <c r="E1566" i="1"/>
  <c r="E1562" i="1"/>
  <c r="E1558" i="1"/>
  <c r="E1554" i="1"/>
  <c r="E1550" i="1"/>
  <c r="E1546" i="1"/>
  <c r="E1542" i="1"/>
  <c r="E1538" i="1"/>
  <c r="E1534" i="1"/>
  <c r="E1530" i="1"/>
  <c r="E1526" i="1"/>
  <c r="E1522" i="1"/>
  <c r="E2677" i="1"/>
  <c r="E2659" i="1"/>
  <c r="E2657" i="1"/>
  <c r="E2621" i="1"/>
  <c r="E2648" i="1"/>
  <c r="E2645" i="1"/>
  <c r="E2640" i="1"/>
  <c r="E2633" i="1"/>
  <c r="E2654" i="1"/>
  <c r="E2620" i="1"/>
  <c r="E2624" i="1"/>
  <c r="E2639" i="1"/>
  <c r="E2644" i="1"/>
  <c r="E2647" i="1"/>
  <c r="E2614" i="1"/>
  <c r="E2655" i="1"/>
  <c r="E2616" i="1"/>
  <c r="E2600" i="1"/>
  <c r="E6" i="1"/>
  <c r="E14" i="1"/>
  <c r="E22" i="1"/>
  <c r="E30" i="1"/>
  <c r="E38" i="1"/>
  <c r="E46" i="1"/>
  <c r="E54" i="1"/>
  <c r="E62" i="1"/>
  <c r="E70" i="1"/>
  <c r="E78" i="1"/>
  <c r="E86" i="1"/>
  <c r="E94" i="1"/>
  <c r="E102" i="1"/>
  <c r="E110" i="1"/>
  <c r="E118" i="1"/>
  <c r="E123" i="1"/>
  <c r="E134" i="1"/>
  <c r="E142" i="1"/>
  <c r="E150" i="1"/>
  <c r="E158" i="1"/>
  <c r="E166" i="1"/>
  <c r="E174" i="1"/>
  <c r="E182" i="1"/>
  <c r="E190" i="1"/>
  <c r="E198" i="1"/>
  <c r="E206" i="1"/>
  <c r="E214" i="1"/>
  <c r="E222" i="1"/>
  <c r="E230" i="1"/>
  <c r="E238" i="1"/>
  <c r="E246" i="1"/>
  <c r="E254" i="1"/>
  <c r="E262" i="1"/>
  <c r="E270" i="1"/>
  <c r="E278" i="1"/>
  <c r="E286" i="1"/>
  <c r="E294" i="1"/>
  <c r="E302" i="1"/>
  <c r="E310" i="1"/>
  <c r="E318" i="1"/>
  <c r="E326" i="1"/>
  <c r="E334" i="1"/>
  <c r="E342" i="1"/>
  <c r="E350" i="1"/>
  <c r="E358" i="1"/>
  <c r="E366" i="1"/>
  <c r="E374" i="1"/>
  <c r="E382" i="1"/>
  <c r="E390" i="1"/>
  <c r="E398" i="1"/>
  <c r="E406" i="1"/>
  <c r="E415" i="1"/>
  <c r="E423" i="1"/>
  <c r="E431" i="1"/>
  <c r="E439" i="1"/>
  <c r="E447" i="1"/>
  <c r="E455" i="1"/>
  <c r="E463" i="1"/>
  <c r="E471" i="1"/>
  <c r="E479" i="1"/>
  <c r="E487" i="1"/>
  <c r="E495" i="1"/>
  <c r="E2622" i="1"/>
  <c r="E2550" i="1"/>
  <c r="E7" i="1"/>
  <c r="E15" i="1"/>
  <c r="E23" i="1"/>
  <c r="E31" i="1"/>
  <c r="E39" i="1"/>
  <c r="E47" i="1"/>
  <c r="E55" i="1"/>
  <c r="E63" i="1"/>
  <c r="E71" i="1"/>
  <c r="E79" i="1"/>
  <c r="E87" i="1"/>
  <c r="E103" i="1"/>
  <c r="E111" i="1"/>
  <c r="E119" i="1"/>
  <c r="E127" i="1"/>
  <c r="E143" i="1"/>
  <c r="E151" i="1"/>
  <c r="E159" i="1"/>
  <c r="E167" i="1"/>
  <c r="E175" i="1"/>
  <c r="E183" i="1"/>
  <c r="E191" i="1"/>
  <c r="E199" i="1"/>
  <c r="E207" i="1"/>
  <c r="E215" i="1"/>
  <c r="E223" i="1"/>
  <c r="E231" i="1"/>
  <c r="E239" i="1"/>
  <c r="E247" i="1"/>
  <c r="E255" i="1"/>
  <c r="E263" i="1"/>
  <c r="E271" i="1"/>
  <c r="E279" i="1"/>
  <c r="E287" i="1"/>
  <c r="E295" i="1"/>
  <c r="E303" i="1"/>
  <c r="E311" i="1"/>
  <c r="E319" i="1"/>
  <c r="E327" i="1"/>
  <c r="E335" i="1"/>
  <c r="E343" i="1"/>
  <c r="E351" i="1"/>
  <c r="E359" i="1"/>
  <c r="E367" i="1"/>
  <c r="E375" i="1"/>
  <c r="E383" i="1"/>
  <c r="E391" i="1"/>
  <c r="E399" i="1"/>
  <c r="E407" i="1"/>
  <c r="E416" i="1"/>
  <c r="E432" i="1"/>
  <c r="E440" i="1"/>
  <c r="E448" i="1"/>
  <c r="E456" i="1"/>
  <c r="E464" i="1"/>
  <c r="E472" i="1"/>
  <c r="E480" i="1"/>
  <c r="E488" i="1"/>
  <c r="E2497" i="1"/>
  <c r="E2588" i="1"/>
  <c r="E2667" i="1"/>
  <c r="E2668" i="1"/>
  <c r="E2673" i="1"/>
  <c r="E2681" i="1"/>
  <c r="E2679" i="1"/>
  <c r="E2479" i="1"/>
  <c r="E2540" i="1"/>
  <c r="E2643" i="1"/>
  <c r="E2675" i="1"/>
  <c r="E2672" i="1"/>
  <c r="E2683" i="1"/>
  <c r="E2686" i="1"/>
  <c r="E2741" i="1"/>
  <c r="E2760" i="1"/>
  <c r="E2757" i="1"/>
  <c r="E2740" i="1"/>
  <c r="E2736" i="1"/>
  <c r="E2732" i="1"/>
  <c r="E2728" i="1"/>
  <c r="E2712" i="1"/>
  <c r="E2708" i="1"/>
  <c r="E2704" i="1"/>
  <c r="E2700" i="1"/>
  <c r="E2696" i="1"/>
  <c r="E2692" i="1"/>
  <c r="E2637" i="1"/>
  <c r="E2690" i="1"/>
  <c r="E2763" i="1"/>
  <c r="E2759" i="1"/>
  <c r="E2756" i="1"/>
  <c r="E2739" i="1"/>
  <c r="E2735" i="1"/>
  <c r="E2731" i="1"/>
  <c r="E2727" i="1"/>
  <c r="E2711" i="1"/>
  <c r="E2707" i="1"/>
  <c r="E2703" i="1"/>
  <c r="E2699" i="1"/>
  <c r="E2695" i="1"/>
  <c r="E2691" i="1"/>
  <c r="E2715" i="1"/>
  <c r="E2813" i="1"/>
  <c r="E2805" i="1"/>
  <c r="E2776" i="1"/>
  <c r="E2789" i="1"/>
  <c r="E2797" i="1"/>
  <c r="E2784" i="1"/>
  <c r="E2774" i="1"/>
  <c r="E2767" i="1"/>
  <c r="E2719" i="1"/>
  <c r="E2660" i="1"/>
  <c r="E2814" i="1"/>
  <c r="E2806" i="1"/>
  <c r="E2777" i="1"/>
  <c r="E2790" i="1"/>
  <c r="E2798" i="1"/>
  <c r="E2787" i="1"/>
  <c r="E2775" i="1"/>
  <c r="E2768" i="1"/>
  <c r="E2720" i="1"/>
  <c r="E2625" i="1"/>
  <c r="E2861" i="1"/>
  <c r="E2877" i="1"/>
  <c r="E2873" i="1"/>
  <c r="E2394" i="1"/>
  <c r="E2839" i="1"/>
  <c r="E2772" i="1"/>
  <c r="E2857" i="1"/>
  <c r="E2837" i="1"/>
  <c r="E2852" i="1"/>
  <c r="E2771" i="1"/>
  <c r="E2830" i="1"/>
  <c r="E2826" i="1"/>
  <c r="E2822" i="1"/>
  <c r="E2818" i="1"/>
  <c r="E2807" i="1"/>
  <c r="E2747" i="1"/>
  <c r="E2862" i="1"/>
  <c r="E2841" i="1"/>
  <c r="E2876" i="1"/>
  <c r="E2872" i="1"/>
  <c r="E2860" i="1"/>
  <c r="E2840" i="1"/>
  <c r="E2868" i="1"/>
  <c r="E2649" i="1"/>
  <c r="E2855" i="1"/>
  <c r="E2836" i="1"/>
  <c r="E2834" i="1"/>
  <c r="E2833" i="1"/>
  <c r="E2829" i="1"/>
  <c r="E2825" i="1"/>
  <c r="E2821" i="1"/>
  <c r="E2817" i="1"/>
  <c r="E2801" i="1"/>
  <c r="E2746" i="1"/>
  <c r="E2917" i="1"/>
  <c r="E2927" i="1"/>
  <c r="E2921" i="1"/>
  <c r="E2916" i="1"/>
  <c r="E2884" i="1"/>
  <c r="E2864" i="1"/>
  <c r="E2793" i="1"/>
  <c r="E2053" i="1"/>
  <c r="E2928" i="1"/>
  <c r="E2924" i="1"/>
  <c r="E2920" i="1"/>
  <c r="E2915" i="1"/>
  <c r="E2911" i="1"/>
  <c r="E2883" i="1"/>
  <c r="E2842" i="1"/>
  <c r="E2586" i="1"/>
  <c r="E2120" i="1"/>
  <c r="E2129" i="1"/>
  <c r="E2137" i="1"/>
  <c r="E2145" i="1"/>
  <c r="E2153" i="1"/>
  <c r="E2162" i="1"/>
  <c r="E2171" i="1"/>
  <c r="E2180" i="1"/>
  <c r="E2189" i="1"/>
  <c r="E2197" i="1"/>
  <c r="E2206" i="1"/>
  <c r="E2211" i="1"/>
  <c r="E2222" i="1"/>
  <c r="E2230" i="1"/>
  <c r="E2239" i="1"/>
  <c r="E2248" i="1"/>
  <c r="E2256" i="1"/>
  <c r="E2266" i="1"/>
  <c r="E2274" i="1"/>
  <c r="E2282" i="1"/>
  <c r="E2290" i="1"/>
  <c r="E2298" i="1"/>
  <c r="E2306" i="1"/>
  <c r="E2314" i="1"/>
  <c r="E2323" i="1"/>
  <c r="E2331" i="1"/>
  <c r="E2339" i="1"/>
  <c r="E2347" i="1"/>
  <c r="E2356" i="1"/>
  <c r="E2364" i="1"/>
  <c r="E2372" i="1"/>
  <c r="E2380" i="1"/>
  <c r="E2388" i="1"/>
  <c r="E2398" i="1"/>
  <c r="E2406" i="1"/>
  <c r="E2413" i="1"/>
  <c r="E2421" i="1"/>
  <c r="E2429" i="1"/>
  <c r="E2438" i="1"/>
  <c r="E2446" i="1"/>
  <c r="E2455" i="1"/>
  <c r="E2462" i="1"/>
  <c r="E2471" i="1"/>
  <c r="E2482" i="1"/>
  <c r="E2494" i="1"/>
  <c r="E2500" i="1"/>
  <c r="E2511" i="1"/>
  <c r="E2528" i="1"/>
  <c r="E2535" i="1"/>
  <c r="E2569" i="1"/>
  <c r="E2570" i="1"/>
  <c r="E2545" i="1"/>
  <c r="E2574" i="1"/>
  <c r="E2582" i="1"/>
  <c r="E2591" i="1"/>
  <c r="E1513" i="1"/>
  <c r="E1497" i="1"/>
  <c r="E1481" i="1"/>
  <c r="E1465" i="1"/>
  <c r="E1449" i="1"/>
  <c r="E1433" i="1"/>
  <c r="E1417" i="1"/>
  <c r="E1401" i="1"/>
  <c r="E1385" i="1"/>
  <c r="E1365" i="1"/>
  <c r="E1349" i="1"/>
  <c r="E1333" i="1"/>
  <c r="E1317" i="1"/>
  <c r="E1301" i="1"/>
  <c r="E1285" i="1"/>
  <c r="E1269" i="1"/>
  <c r="E1253" i="1"/>
  <c r="E1237" i="1"/>
  <c r="E1221" i="1"/>
  <c r="E1205" i="1"/>
  <c r="E1189" i="1"/>
  <c r="E1173" i="1"/>
  <c r="E1157" i="1"/>
  <c r="E1141" i="1"/>
  <c r="E1125" i="1"/>
  <c r="E1109" i="1"/>
  <c r="E1093" i="1"/>
  <c r="E1077" i="1"/>
  <c r="E1061" i="1"/>
  <c r="E1045" i="1"/>
  <c r="E1029" i="1"/>
  <c r="E1013" i="1"/>
  <c r="E997" i="1"/>
  <c r="E981" i="1"/>
  <c r="E965" i="1"/>
  <c r="E949" i="1"/>
  <c r="E933" i="1"/>
  <c r="E917" i="1"/>
  <c r="E901" i="1"/>
  <c r="E885" i="1"/>
  <c r="E869" i="1"/>
  <c r="E837" i="1"/>
  <c r="E821" i="1"/>
  <c r="E797" i="1"/>
  <c r="E781" i="1"/>
  <c r="E766" i="1"/>
  <c r="E750" i="1"/>
  <c r="E734" i="1"/>
  <c r="E718" i="1"/>
  <c r="E702" i="1"/>
  <c r="E686" i="1"/>
  <c r="E670" i="1"/>
  <c r="E654" i="1"/>
  <c r="E638" i="1"/>
  <c r="E622" i="1"/>
  <c r="E606" i="1"/>
  <c r="E590" i="1"/>
  <c r="E574" i="1"/>
  <c r="E558" i="1"/>
  <c r="E542" i="1"/>
  <c r="E526" i="1"/>
  <c r="E510" i="1"/>
  <c r="E1518" i="1"/>
  <c r="E1502" i="1"/>
  <c r="E1486" i="1"/>
  <c r="E1470" i="1"/>
  <c r="E1454" i="1"/>
  <c r="E1438" i="1"/>
  <c r="E1422" i="1"/>
  <c r="E1406" i="1"/>
  <c r="E1390" i="1"/>
  <c r="E1382" i="1"/>
  <c r="E1366" i="1"/>
  <c r="E1350" i="1"/>
  <c r="E1334" i="1"/>
  <c r="E1318" i="1"/>
  <c r="E1302" i="1"/>
  <c r="E1286" i="1"/>
  <c r="E1270" i="1"/>
  <c r="E1254" i="1"/>
  <c r="E1238" i="1"/>
  <c r="E1222" i="1"/>
  <c r="E1206" i="1"/>
  <c r="E1190" i="1"/>
  <c r="E1174" i="1"/>
  <c r="E1158" i="1"/>
  <c r="E1142" i="1"/>
  <c r="E1126" i="1"/>
  <c r="E1110" i="1"/>
  <c r="E1094" i="1"/>
  <c r="E1078" i="1"/>
  <c r="E1062" i="1"/>
  <c r="E1046" i="1"/>
  <c r="E1030" i="1"/>
  <c r="E1014" i="1"/>
  <c r="E986" i="1"/>
  <c r="E954" i="1"/>
  <c r="E922" i="1"/>
  <c r="E898" i="1"/>
  <c r="E866" i="1"/>
  <c r="E802" i="1"/>
  <c r="E771" i="1"/>
  <c r="E739" i="1"/>
  <c r="E707" i="1"/>
  <c r="E675" i="1"/>
  <c r="E643" i="1"/>
  <c r="E611" i="1"/>
  <c r="E579" i="1"/>
  <c r="E547" i="1"/>
  <c r="E515" i="1"/>
  <c r="E470" i="1"/>
  <c r="E405" i="1"/>
  <c r="E341" i="1"/>
  <c r="E277" i="1"/>
  <c r="E213" i="1"/>
  <c r="E149" i="1"/>
  <c r="E85" i="1"/>
  <c r="E21" i="1"/>
  <c r="E469" i="1"/>
  <c r="E404" i="1"/>
  <c r="E340" i="1"/>
  <c r="E276" i="1"/>
  <c r="E212" i="1"/>
  <c r="E84" i="1"/>
  <c r="E20" i="1"/>
  <c r="CV3020" i="1"/>
  <c r="Y3020" i="1"/>
  <c r="AE3020" i="1"/>
  <c r="CV3073" i="1"/>
  <c r="Y3073" i="1"/>
  <c r="AE3073" i="1"/>
  <c r="CV908" i="1"/>
  <c r="Y908" i="1"/>
  <c r="AE908" i="1"/>
  <c r="CV3026" i="1"/>
  <c r="Y3026" i="1"/>
  <c r="AE3026" i="1"/>
  <c r="CJ3208" i="1"/>
  <c r="CV2543" i="1"/>
  <c r="Y2543" i="1"/>
  <c r="AE2543" i="1"/>
  <c r="CV2880" i="1"/>
  <c r="Y2880" i="1"/>
  <c r="AE2880" i="1"/>
  <c r="AE1521" i="1"/>
  <c r="E3106" i="1"/>
  <c r="E1940" i="1"/>
  <c r="E2158" i="1"/>
  <c r="E2232" i="1"/>
  <c r="E2665" i="1"/>
  <c r="E2752" i="1"/>
  <c r="E3043" i="1"/>
  <c r="E3075" i="1"/>
  <c r="E3077" i="1"/>
  <c r="E3108" i="1"/>
  <c r="E3127" i="1"/>
  <c r="E3147" i="1"/>
  <c r="E3151" i="1"/>
  <c r="E3153" i="1"/>
  <c r="E3157" i="1"/>
  <c r="E3159" i="1"/>
  <c r="E3161" i="1"/>
  <c r="E3105" i="1"/>
  <c r="E3149" i="1"/>
  <c r="E1898" i="1"/>
  <c r="E2123" i="1"/>
  <c r="E2183" i="1"/>
  <c r="E2609" i="1"/>
  <c r="E2678" i="1"/>
  <c r="E2848" i="1"/>
  <c r="E3042" i="1"/>
  <c r="E3074" i="1"/>
  <c r="E3076" i="1"/>
  <c r="E3107" i="1"/>
  <c r="E3126" i="1"/>
  <c r="E3146" i="1"/>
  <c r="E3150" i="1"/>
  <c r="E3152" i="1"/>
  <c r="E3154" i="1"/>
  <c r="E3158" i="1"/>
  <c r="E3163" i="1"/>
  <c r="E3078" i="1"/>
  <c r="E3164" i="1"/>
  <c r="E3173" i="1"/>
  <c r="E3171" i="1"/>
  <c r="E3169" i="1"/>
  <c r="E3166" i="1"/>
  <c r="E3165" i="1"/>
  <c r="E3174" i="1"/>
  <c r="E3172" i="1"/>
  <c r="E3170" i="1"/>
  <c r="E2773" i="1"/>
  <c r="CV624" i="1"/>
  <c r="Y624" i="1"/>
  <c r="AE624" i="1"/>
  <c r="CV1836" i="1"/>
  <c r="Y1836" i="1"/>
  <c r="CV3042" i="1"/>
  <c r="Y3042" i="1"/>
  <c r="AE3042" i="1"/>
  <c r="CV2660" i="1"/>
  <c r="Y2660" i="1"/>
  <c r="AE2660" i="1"/>
  <c r="CV1189" i="1"/>
  <c r="Y1189" i="1"/>
  <c r="CV3107" i="1"/>
  <c r="Y3107" i="1"/>
  <c r="AE3107" i="1"/>
  <c r="CV2989" i="1"/>
  <c r="Y2989" i="1"/>
  <c r="AE2989" i="1"/>
  <c r="E2610" i="1"/>
  <c r="E3175" i="1"/>
  <c r="E3177" i="1"/>
  <c r="E3167" i="1"/>
  <c r="E931" i="1"/>
  <c r="E3184" i="1"/>
  <c r="E2889" i="1"/>
  <c r="E3079" i="1"/>
  <c r="E3148" i="1"/>
  <c r="E3179" i="1"/>
  <c r="E3183" i="1"/>
  <c r="E2611" i="1"/>
  <c r="E3176" i="1"/>
  <c r="E3178" i="1"/>
  <c r="E2202" i="1"/>
  <c r="E3044" i="1"/>
  <c r="E3109" i="1"/>
  <c r="E3162" i="1"/>
  <c r="L3208" i="1"/>
  <c r="CV3095" i="1"/>
  <c r="Y3095" i="1"/>
  <c r="AE3095" i="1"/>
  <c r="E3193" i="1"/>
  <c r="E3191" i="1"/>
  <c r="E3180" i="1"/>
  <c r="E3080" i="1"/>
  <c r="E2894" i="1"/>
  <c r="E3189" i="1"/>
  <c r="E2263" i="1"/>
  <c r="E2850" i="1"/>
  <c r="E2891" i="1"/>
  <c r="E2576" i="1"/>
  <c r="E2433" i="1"/>
  <c r="E3014" i="1"/>
  <c r="E2849" i="1"/>
  <c r="E3186" i="1"/>
  <c r="E3196" i="1"/>
  <c r="E3192" i="1"/>
  <c r="E3190" i="1"/>
  <c r="E3003" i="1"/>
  <c r="E2895" i="1"/>
  <c r="E2893" i="1"/>
  <c r="E3188" i="1"/>
  <c r="E3015" i="1"/>
  <c r="E2892" i="1"/>
  <c r="E3110" i="1"/>
  <c r="E3168" i="1"/>
  <c r="E2070" i="1"/>
  <c r="E2970" i="1"/>
  <c r="E2890" i="1"/>
  <c r="E3185" i="1"/>
  <c r="E3144" i="1"/>
  <c r="E3160" i="1"/>
  <c r="E2905" i="1"/>
  <c r="E2903" i="1"/>
  <c r="E2898" i="1"/>
  <c r="E2906" i="1"/>
  <c r="E2904" i="1"/>
  <c r="E3025" i="1"/>
  <c r="E2896" i="1"/>
  <c r="E3198" i="1"/>
  <c r="E3181" i="1"/>
  <c r="E3156" i="1"/>
  <c r="E3199" i="1"/>
  <c r="E2899" i="1"/>
  <c r="E2902" i="1"/>
  <c r="E3197" i="1"/>
  <c r="E3128" i="1"/>
  <c r="E3155" i="1"/>
  <c r="E3182" i="1"/>
  <c r="E2867" i="1"/>
  <c r="E3200" i="1"/>
  <c r="E2900" i="1"/>
  <c r="E2901" i="1"/>
  <c r="CV3069" i="1"/>
  <c r="Y3069" i="1"/>
  <c r="AE3069" i="1"/>
  <c r="CV3044" i="1"/>
  <c r="Y3044" i="1"/>
  <c r="AE3044" i="1"/>
  <c r="E3023" i="1"/>
  <c r="E2897" i="1"/>
  <c r="E2983" i="1"/>
  <c r="E3201" i="1"/>
  <c r="E3195" i="1"/>
  <c r="CQ3208" i="1"/>
  <c r="E2980" i="1"/>
  <c r="E2976" i="1"/>
  <c r="E2972" i="1"/>
  <c r="E2965" i="1"/>
  <c r="E2961" i="1"/>
  <c r="E2957" i="1"/>
  <c r="E2953" i="1"/>
  <c r="E2949" i="1"/>
  <c r="E2939" i="1"/>
  <c r="E2845" i="1"/>
  <c r="E2651" i="1"/>
  <c r="E2460" i="1"/>
  <c r="E2810" i="1"/>
  <c r="E2925" i="1"/>
  <c r="E2718" i="1"/>
  <c r="E2865" i="1"/>
  <c r="E2942" i="1"/>
  <c r="E2929" i="1"/>
  <c r="E2779" i="1"/>
  <c r="E2517" i="1"/>
  <c r="E2984" i="1"/>
  <c r="E2944" i="1"/>
  <c r="E2484" i="1"/>
  <c r="E2930" i="1"/>
  <c r="E2885" i="1"/>
  <c r="E2940" i="1"/>
  <c r="E2317" i="1"/>
  <c r="E2881" i="1"/>
  <c r="E2913" i="1"/>
  <c r="E2922" i="1"/>
  <c r="E2933" i="1"/>
  <c r="E2809" i="1"/>
  <c r="E2910" i="1"/>
  <c r="E2914" i="1"/>
  <c r="E2923" i="1"/>
  <c r="E2935" i="1"/>
  <c r="E2808" i="1"/>
  <c r="E2823" i="1"/>
  <c r="E2831" i="1"/>
  <c r="E2835" i="1"/>
  <c r="E2856" i="1"/>
  <c r="E2870" i="1"/>
  <c r="E2795" i="1"/>
  <c r="E2878" i="1"/>
  <c r="E2745" i="1"/>
  <c r="E2816" i="1"/>
  <c r="E2824" i="1"/>
  <c r="E2832" i="1"/>
  <c r="E2853" i="1"/>
  <c r="E2662" i="1"/>
  <c r="E2858" i="1"/>
  <c r="E2875" i="1"/>
  <c r="E2863" i="1"/>
  <c r="E2661" i="1"/>
  <c r="E2770" i="1"/>
  <c r="E2796" i="1"/>
  <c r="E2792" i="1"/>
  <c r="E2812" i="1"/>
  <c r="E2717" i="1"/>
  <c r="E2769" i="1"/>
  <c r="E2788" i="1"/>
  <c r="E2791" i="1"/>
  <c r="E2799" i="1"/>
  <c r="E2693" i="1"/>
  <c r="E2701" i="1"/>
  <c r="E2709" i="1"/>
  <c r="E2729" i="1"/>
  <c r="E2737" i="1"/>
  <c r="E2765" i="1"/>
  <c r="E2742" i="1"/>
  <c r="E2689" i="1"/>
  <c r="E2698" i="1"/>
  <c r="E2706" i="1"/>
  <c r="E2714" i="1"/>
  <c r="E2734" i="1"/>
  <c r="E2755" i="1"/>
  <c r="E2762" i="1"/>
  <c r="E2687" i="1"/>
  <c r="E2670" i="1"/>
  <c r="E2615" i="1"/>
  <c r="E2684" i="1"/>
  <c r="E2682" i="1"/>
  <c r="E2676" i="1"/>
  <c r="E2506" i="1"/>
  <c r="E484" i="1"/>
  <c r="E468" i="1"/>
  <c r="E452" i="1"/>
  <c r="E436" i="1"/>
  <c r="E424" i="1"/>
  <c r="E412" i="1"/>
  <c r="E395" i="1"/>
  <c r="E379" i="1"/>
  <c r="E363" i="1"/>
  <c r="E347" i="1"/>
  <c r="E331" i="1"/>
  <c r="E315" i="1"/>
  <c r="E299" i="1"/>
  <c r="E283" i="1"/>
  <c r="E267" i="1"/>
  <c r="E251" i="1"/>
  <c r="E235" i="1"/>
  <c r="E219" i="1"/>
  <c r="E203" i="1"/>
  <c r="E187" i="1"/>
  <c r="E171" i="1"/>
  <c r="E156" i="1"/>
  <c r="E139" i="1"/>
  <c r="E131" i="1"/>
  <c r="E115" i="1"/>
  <c r="E99" i="1"/>
  <c r="E91" i="1"/>
  <c r="E75" i="1"/>
  <c r="E59" i="1"/>
  <c r="E43" i="1"/>
  <c r="E27" i="1"/>
  <c r="E9" i="1"/>
  <c r="E2590" i="1"/>
  <c r="E491" i="1"/>
  <c r="E475" i="1"/>
  <c r="E459" i="1"/>
  <c r="E443" i="1"/>
  <c r="E427" i="1"/>
  <c r="E411" i="1"/>
  <c r="E394" i="1"/>
  <c r="E378" i="1"/>
  <c r="E362" i="1"/>
  <c r="E346" i="1"/>
  <c r="E330" i="1"/>
  <c r="E314" i="1"/>
  <c r="E298" i="1"/>
  <c r="E282" i="1"/>
  <c r="E266" i="1"/>
  <c r="E250" i="1"/>
  <c r="E234" i="1"/>
  <c r="E218" i="1"/>
  <c r="E202" i="1"/>
  <c r="E186" i="1"/>
  <c r="E170" i="1"/>
  <c r="E154" i="1"/>
  <c r="E138" i="1"/>
  <c r="E122" i="1"/>
  <c r="E106" i="1"/>
  <c r="E90" i="1"/>
  <c r="E74" i="1"/>
  <c r="E58" i="1"/>
  <c r="E42" i="1"/>
  <c r="E26" i="1"/>
  <c r="E12" i="1"/>
  <c r="E2607" i="1"/>
  <c r="E2685" i="1"/>
  <c r="E2636" i="1"/>
  <c r="E2635" i="1"/>
  <c r="E2656" i="1"/>
  <c r="E2627" i="1"/>
  <c r="E2638" i="1"/>
  <c r="E2619" i="1"/>
  <c r="E2642" i="1"/>
  <c r="E1528" i="1"/>
  <c r="E1536" i="1"/>
  <c r="E1544" i="1"/>
  <c r="E1552" i="1"/>
  <c r="E1560" i="1"/>
  <c r="E1568" i="1"/>
  <c r="E1576" i="1"/>
  <c r="E1584" i="1"/>
  <c r="E1592" i="1"/>
  <c r="E1600" i="1"/>
  <c r="E1608" i="1"/>
  <c r="E1616" i="1"/>
  <c r="E1624" i="1"/>
  <c r="E1632" i="1"/>
  <c r="E1640" i="1"/>
  <c r="E1648" i="1"/>
  <c r="E1656" i="1"/>
  <c r="E1664" i="1"/>
  <c r="E1672" i="1"/>
  <c r="E1680" i="1"/>
  <c r="E1688" i="1"/>
  <c r="E1696" i="1"/>
  <c r="E1704" i="1"/>
  <c r="E1712" i="1"/>
  <c r="E1720" i="1"/>
  <c r="E1728" i="1"/>
  <c r="E1736" i="1"/>
  <c r="E1744" i="1"/>
  <c r="E1752" i="1"/>
  <c r="E1760" i="1"/>
  <c r="E1768" i="1"/>
  <c r="E1776" i="1"/>
  <c r="E1783" i="1"/>
  <c r="E1791" i="1"/>
  <c r="E1799" i="1"/>
  <c r="E1807" i="1"/>
  <c r="E1815" i="1"/>
  <c r="E1823" i="1"/>
  <c r="E1831" i="1"/>
  <c r="E1839" i="1"/>
  <c r="E1847" i="1"/>
  <c r="E1855" i="1"/>
  <c r="E1863" i="1"/>
  <c r="E1871" i="1"/>
  <c r="E1883" i="1"/>
  <c r="E1900" i="1"/>
  <c r="E1916" i="1"/>
  <c r="E1932" i="1"/>
  <c r="E1949" i="1"/>
  <c r="E1965" i="1"/>
  <c r="E1982" i="1"/>
  <c r="E1999" i="1"/>
  <c r="E2013" i="1"/>
  <c r="E2029" i="1"/>
  <c r="E2045" i="1"/>
  <c r="E2062" i="1"/>
  <c r="E2081" i="1"/>
  <c r="E2096" i="1"/>
  <c r="E2113" i="1"/>
  <c r="E2130" i="1"/>
  <c r="E2146" i="1"/>
  <c r="E2163" i="1"/>
  <c r="E2177" i="1"/>
  <c r="E2194" i="1"/>
  <c r="E2210" i="1"/>
  <c r="E2227" i="1"/>
  <c r="E2244" i="1"/>
  <c r="E2262" i="1"/>
  <c r="E2277" i="1"/>
  <c r="E2293" i="1"/>
  <c r="E2309" i="1"/>
  <c r="E2326" i="1"/>
  <c r="E2342" i="1"/>
  <c r="E2359" i="1"/>
  <c r="E2375" i="1"/>
  <c r="E2393" i="1"/>
  <c r="E2408" i="1"/>
  <c r="E2423" i="1"/>
  <c r="E2441" i="1"/>
  <c r="E2457" i="1"/>
  <c r="E2476" i="1"/>
  <c r="E2491" i="1"/>
  <c r="E2513" i="1"/>
  <c r="E2531" i="1"/>
  <c r="E2561" i="1"/>
  <c r="E2559" i="1"/>
  <c r="E2594" i="1"/>
  <c r="E1527" i="1"/>
  <c r="E1543" i="1"/>
  <c r="E1559" i="1"/>
  <c r="E1575" i="1"/>
  <c r="E1591" i="1"/>
  <c r="E1607" i="1"/>
  <c r="E1623" i="1"/>
  <c r="E1639" i="1"/>
  <c r="E1655" i="1"/>
  <c r="E1671" i="1"/>
  <c r="E1687" i="1"/>
  <c r="E1703" i="1"/>
  <c r="E1719" i="1"/>
  <c r="E1735" i="1"/>
  <c r="E1751" i="1"/>
  <c r="E1767" i="1"/>
  <c r="E1782" i="1"/>
  <c r="E1798" i="1"/>
  <c r="E1814" i="1"/>
  <c r="E1830" i="1"/>
  <c r="E1846" i="1"/>
  <c r="E1862" i="1"/>
  <c r="E1878" i="1"/>
  <c r="E1894" i="1"/>
  <c r="E1911" i="1"/>
  <c r="E1927" i="1"/>
  <c r="E1944" i="1"/>
  <c r="E1960" i="1"/>
  <c r="E1976" i="1"/>
  <c r="E1993" i="1"/>
  <c r="E2008" i="1"/>
  <c r="E2024" i="1"/>
  <c r="E2040" i="1"/>
  <c r="E2057" i="1"/>
  <c r="E2074" i="1"/>
  <c r="E2092" i="1"/>
  <c r="E2108" i="1"/>
  <c r="E2133" i="1"/>
  <c r="E2167" i="1"/>
  <c r="E2201" i="1"/>
  <c r="E2235" i="1"/>
  <c r="E2270" i="1"/>
  <c r="E2302" i="1"/>
  <c r="E2335" i="1"/>
  <c r="E2368" i="1"/>
  <c r="E2396" i="1"/>
  <c r="E2434" i="1"/>
  <c r="E2473" i="1"/>
  <c r="E2509" i="1"/>
  <c r="E2546" i="1"/>
  <c r="E2578" i="1"/>
  <c r="E1473" i="1"/>
  <c r="E1409" i="1"/>
  <c r="E1373" i="1"/>
  <c r="E1309" i="1"/>
  <c r="E1245" i="1"/>
  <c r="E1181" i="1"/>
  <c r="E1117" i="1"/>
  <c r="E1053" i="1"/>
  <c r="E989" i="1"/>
  <c r="E925" i="1"/>
  <c r="E861" i="1"/>
  <c r="E813" i="1"/>
  <c r="E774" i="1"/>
  <c r="E710" i="1"/>
  <c r="E646" i="1"/>
  <c r="E582" i="1"/>
  <c r="E518" i="1"/>
  <c r="E1478" i="1"/>
  <c r="E1414" i="1"/>
  <c r="E1358" i="1"/>
  <c r="E1294" i="1"/>
  <c r="E1230" i="1"/>
  <c r="E1166" i="1"/>
  <c r="E1102" i="1"/>
  <c r="E1038" i="1"/>
  <c r="E938" i="1"/>
  <c r="E852" i="1"/>
  <c r="E786" i="1"/>
  <c r="E659" i="1"/>
  <c r="E531" i="1"/>
  <c r="E309" i="1"/>
  <c r="E53" i="1"/>
  <c r="E308" i="1"/>
  <c r="E52" i="1"/>
  <c r="E148" i="1"/>
  <c r="E244" i="1"/>
  <c r="E372" i="1"/>
  <c r="E2628" i="1"/>
  <c r="E117" i="1"/>
  <c r="E245" i="1"/>
  <c r="E373" i="1"/>
  <c r="E499" i="1"/>
  <c r="E563" i="1"/>
  <c r="E627" i="1"/>
  <c r="E691" i="1"/>
  <c r="E755" i="1"/>
  <c r="E818" i="1"/>
  <c r="E846" i="1"/>
  <c r="E854" i="1"/>
  <c r="E910" i="1"/>
  <c r="E970" i="1"/>
  <c r="E1022" i="1"/>
  <c r="E1054" i="1"/>
  <c r="E1086" i="1"/>
  <c r="E1118" i="1"/>
  <c r="E1150" i="1"/>
  <c r="E1182" i="1"/>
  <c r="E1214" i="1"/>
  <c r="E1246" i="1"/>
  <c r="E1278" i="1"/>
  <c r="E1310" i="1"/>
  <c r="E1342" i="1"/>
  <c r="E1374" i="1"/>
  <c r="E1398" i="1"/>
  <c r="E1430" i="1"/>
  <c r="E1462" i="1"/>
  <c r="E1494" i="1"/>
  <c r="E502" i="1"/>
  <c r="E534" i="1"/>
  <c r="E566" i="1"/>
  <c r="E598" i="1"/>
  <c r="E630" i="1"/>
  <c r="E662" i="1"/>
  <c r="E694" i="1"/>
  <c r="E726" i="1"/>
  <c r="E758" i="1"/>
  <c r="E789" i="1"/>
  <c r="E809" i="1"/>
  <c r="E829" i="1"/>
  <c r="E853" i="1"/>
  <c r="E877" i="1"/>
  <c r="E909" i="1"/>
  <c r="E941" i="1"/>
  <c r="E973" i="1"/>
  <c r="E1005" i="1"/>
  <c r="E1037" i="1"/>
  <c r="E1069" i="1"/>
  <c r="E1101" i="1"/>
  <c r="E1133" i="1"/>
  <c r="E1165" i="1"/>
  <c r="E1197" i="1"/>
  <c r="E1229" i="1"/>
  <c r="E1261" i="1"/>
  <c r="E1293" i="1"/>
  <c r="E1325" i="1"/>
  <c r="E1357" i="1"/>
  <c r="E1375" i="1"/>
  <c r="E1393" i="1"/>
  <c r="E1425" i="1"/>
  <c r="E1457" i="1"/>
  <c r="E1489" i="1"/>
  <c r="E2603" i="1"/>
  <c r="E2579" i="1"/>
  <c r="E2562" i="1"/>
  <c r="E2532" i="1"/>
  <c r="E2512" i="1"/>
  <c r="E2492" i="1"/>
  <c r="E2477" i="1"/>
  <c r="E2458" i="1"/>
  <c r="E2442" i="1"/>
  <c r="E2425" i="1"/>
  <c r="E2409" i="1"/>
  <c r="E2389" i="1"/>
  <c r="E2376" i="1"/>
  <c r="E2360" i="1"/>
  <c r="E2343" i="1"/>
  <c r="E2327" i="1"/>
  <c r="E2310" i="1"/>
  <c r="E2294" i="1"/>
  <c r="E2278" i="1"/>
  <c r="E2260" i="1"/>
  <c r="E2243" i="1"/>
  <c r="E2226" i="1"/>
  <c r="E2209" i="1"/>
  <c r="E2193" i="1"/>
  <c r="E2176" i="1"/>
  <c r="E2157" i="1"/>
  <c r="E2141" i="1"/>
  <c r="E2125" i="1"/>
  <c r="E2112" i="1"/>
  <c r="E2104" i="1"/>
  <c r="E2097" i="1"/>
  <c r="E2088" i="1"/>
  <c r="E2080" i="1"/>
  <c r="E2069" i="1"/>
  <c r="E2061" i="1"/>
  <c r="E2052" i="1"/>
  <c r="E2044" i="1"/>
  <c r="E2036" i="1"/>
  <c r="E2028" i="1"/>
  <c r="E2020" i="1"/>
  <c r="E2012" i="1"/>
  <c r="E1981" i="1"/>
  <c r="E1998" i="1"/>
  <c r="E1989" i="1"/>
  <c r="E1980" i="1"/>
  <c r="E1972" i="1"/>
  <c r="E1964" i="1"/>
  <c r="E1956" i="1"/>
  <c r="E1948" i="1"/>
  <c r="E1939" i="1"/>
  <c r="E1931" i="1"/>
  <c r="E1923" i="1"/>
  <c r="E1915" i="1"/>
  <c r="E1907" i="1"/>
  <c r="E1899" i="1"/>
  <c r="E1890" i="1"/>
  <c r="E1882" i="1"/>
  <c r="E1874" i="1"/>
  <c r="E1866" i="1"/>
  <c r="E1858" i="1"/>
  <c r="E1850" i="1"/>
  <c r="E1842" i="1"/>
  <c r="E1834" i="1"/>
  <c r="E1826" i="1"/>
  <c r="E1818" i="1"/>
  <c r="E1810" i="1"/>
  <c r="E1802" i="1"/>
  <c r="E1794" i="1"/>
  <c r="E1786" i="1"/>
  <c r="E2079" i="1"/>
  <c r="E1771" i="1"/>
  <c r="E1763" i="1"/>
  <c r="E1755" i="1"/>
  <c r="E1747" i="1"/>
  <c r="E1739" i="1"/>
  <c r="E1731" i="1"/>
  <c r="E1723" i="1"/>
  <c r="E1715" i="1"/>
  <c r="E1707" i="1"/>
  <c r="E1699" i="1"/>
  <c r="E1691" i="1"/>
  <c r="E1683" i="1"/>
  <c r="E1675" i="1"/>
  <c r="E1667" i="1"/>
  <c r="E1659" i="1"/>
  <c r="E1651" i="1"/>
  <c r="E1643" i="1"/>
  <c r="E1635" i="1"/>
  <c r="E1627" i="1"/>
  <c r="E1619" i="1"/>
  <c r="E1611" i="1"/>
  <c r="E1603" i="1"/>
  <c r="E1595" i="1"/>
  <c r="E1587" i="1"/>
  <c r="E1579" i="1"/>
  <c r="E1571" i="1"/>
  <c r="E1563" i="1"/>
  <c r="E1555" i="1"/>
  <c r="E1547" i="1"/>
  <c r="E1539" i="1"/>
  <c r="E1531" i="1"/>
  <c r="E1523" i="1"/>
  <c r="E2598" i="1"/>
  <c r="E2593" i="1"/>
  <c r="E2580" i="1"/>
  <c r="E2573" i="1"/>
  <c r="E2549" i="1"/>
  <c r="E2567" i="1"/>
  <c r="E2568" i="1"/>
  <c r="E2534" i="1"/>
  <c r="E2527" i="1"/>
  <c r="E2516" i="1"/>
  <c r="E2501" i="1"/>
  <c r="E2499" i="1"/>
  <c r="E2483" i="1"/>
  <c r="E2468" i="1"/>
  <c r="E2464" i="1"/>
  <c r="E2454" i="1"/>
  <c r="E2445" i="1"/>
  <c r="E2435" i="1"/>
  <c r="E2428" i="1"/>
  <c r="E2420" i="1"/>
  <c r="E2412" i="1"/>
  <c r="E2405" i="1"/>
  <c r="E2397" i="1"/>
  <c r="E2387" i="1"/>
  <c r="E2379" i="1"/>
  <c r="E2371" i="1"/>
  <c r="E2363" i="1"/>
  <c r="E2355" i="1"/>
  <c r="E2346" i="1"/>
  <c r="E2338" i="1"/>
  <c r="E2330" i="1"/>
  <c r="E2322" i="1"/>
  <c r="E2313" i="1"/>
  <c r="E2305" i="1"/>
  <c r="E2297" i="1"/>
  <c r="E2289" i="1"/>
  <c r="E2281" i="1"/>
  <c r="E2273" i="1"/>
  <c r="E2265" i="1"/>
  <c r="E2257" i="1"/>
  <c r="E2249" i="1"/>
  <c r="E2240" i="1"/>
  <c r="E2231" i="1"/>
  <c r="E2223" i="1"/>
  <c r="E2216" i="1"/>
  <c r="E2212" i="1"/>
  <c r="E2198" i="1"/>
  <c r="E2190" i="1"/>
  <c r="E2181" i="1"/>
  <c r="E2175" i="1"/>
  <c r="E2168" i="1"/>
  <c r="E2159" i="1"/>
  <c r="E2150" i="1"/>
  <c r="E2142" i="1"/>
  <c r="E2134" i="1"/>
  <c r="E2126" i="1"/>
  <c r="E2117" i="1"/>
  <c r="E2109" i="1"/>
  <c r="E2101" i="1"/>
  <c r="E2093" i="1"/>
  <c r="E2085" i="1"/>
  <c r="E2075" i="1"/>
  <c r="E2066" i="1"/>
  <c r="E2058" i="1"/>
  <c r="E2049" i="1"/>
  <c r="E2041" i="1"/>
  <c r="E2033" i="1"/>
  <c r="E2025" i="1"/>
  <c r="E2017" i="1"/>
  <c r="E2009" i="1"/>
  <c r="E2002" i="1"/>
  <c r="E1994" i="1"/>
  <c r="E1986" i="1"/>
  <c r="E1977" i="1"/>
  <c r="E1969" i="1"/>
  <c r="E1961" i="1"/>
  <c r="E1953" i="1"/>
  <c r="E1945" i="1"/>
  <c r="E1936" i="1"/>
  <c r="E1928" i="1"/>
  <c r="E1920" i="1"/>
  <c r="E1912" i="1"/>
  <c r="E1904" i="1"/>
  <c r="E1895" i="1"/>
  <c r="E1887" i="1"/>
  <c r="E1879" i="1"/>
  <c r="AE2181" i="1"/>
  <c r="AE2185" i="1"/>
  <c r="AE2159" i="1"/>
  <c r="CV3164" i="1"/>
  <c r="Y3164" i="1"/>
  <c r="AE3164" i="1"/>
  <c r="AE2984" i="1"/>
  <c r="AE2050" i="1"/>
  <c r="AE2999" i="1"/>
  <c r="AE2469" i="1"/>
  <c r="AE3024" i="1"/>
  <c r="AE2519" i="1"/>
  <c r="AE2963" i="1"/>
  <c r="AE2676" i="1"/>
  <c r="AE1655" i="1"/>
  <c r="AE2995" i="1"/>
  <c r="AE3200" i="1"/>
  <c r="AE3169" i="1"/>
  <c r="AE2495" i="1"/>
  <c r="AE2965" i="1"/>
  <c r="AE2184" i="1"/>
  <c r="AE2774" i="1"/>
  <c r="AE3142" i="1"/>
  <c r="AE1680" i="1"/>
  <c r="AE1712" i="1"/>
  <c r="AE1744" i="1"/>
  <c r="AE1772" i="1"/>
  <c r="AE1413" i="1"/>
  <c r="AE749" i="1"/>
  <c r="AE1447" i="1"/>
  <c r="AE1420" i="1"/>
  <c r="AE859" i="1"/>
  <c r="AE1540" i="1"/>
  <c r="AE1578" i="1"/>
  <c r="AE1551" i="1"/>
  <c r="AE1835" i="1"/>
  <c r="AE1623" i="1"/>
  <c r="AE1698" i="1"/>
  <c r="AE1738" i="1"/>
  <c r="AE1854" i="1"/>
  <c r="AE1968" i="1"/>
  <c r="AE1972" i="1"/>
  <c r="AE2579" i="1"/>
  <c r="AE2016" i="1"/>
  <c r="AE2108" i="1"/>
  <c r="AE1346" i="1"/>
  <c r="AE2199" i="1"/>
  <c r="AE2205" i="1"/>
  <c r="AE1592" i="1"/>
  <c r="AE1601" i="1"/>
  <c r="AE2230" i="1"/>
  <c r="AE2233" i="1"/>
  <c r="AE2253" i="1"/>
  <c r="AE2257" i="1"/>
  <c r="AE2280" i="1"/>
  <c r="AE2307" i="1"/>
  <c r="AE2269" i="1"/>
  <c r="AE2403" i="1"/>
  <c r="AE1831" i="1"/>
  <c r="AE2096" i="1"/>
  <c r="AE2510" i="1"/>
  <c r="AE2520" i="1"/>
  <c r="AE2568" i="1"/>
  <c r="AE2553" i="1"/>
  <c r="AE2574" i="1"/>
  <c r="AE2622" i="1"/>
  <c r="AE2536" i="1"/>
  <c r="AE2613" i="1"/>
  <c r="AE2677" i="1"/>
  <c r="AE2669" i="1"/>
  <c r="AE2683" i="1"/>
  <c r="AE2679" i="1"/>
  <c r="AE2717" i="1"/>
  <c r="AE2840" i="1"/>
  <c r="AE2802" i="1"/>
  <c r="AE3170" i="1"/>
  <c r="AE2956" i="1"/>
  <c r="AE2990" i="1"/>
  <c r="AE3012" i="1"/>
  <c r="AE3045" i="1"/>
  <c r="AE3085" i="1"/>
  <c r="AE3064" i="1"/>
  <c r="AE3144" i="1"/>
  <c r="AE3157" i="1"/>
  <c r="AE3152" i="1"/>
  <c r="AE2610" i="1"/>
  <c r="AE3183" i="1"/>
  <c r="AE1423" i="1"/>
  <c r="AE940" i="1"/>
  <c r="AE777" i="1"/>
  <c r="AE2242" i="1"/>
  <c r="AE2452" i="1"/>
  <c r="AE2319" i="1"/>
  <c r="AE2577" i="1"/>
  <c r="AE2621" i="1"/>
  <c r="AE2479" i="1"/>
  <c r="AE2754" i="1"/>
  <c r="AE2661" i="1"/>
  <c r="AE2819" i="1"/>
  <c r="AE2831" i="1"/>
  <c r="AE2914" i="1"/>
  <c r="AE2936" i="1"/>
  <c r="AE2973" i="1"/>
  <c r="AE2979" i="1"/>
  <c r="AE2722" i="1"/>
  <c r="AE3035" i="1"/>
  <c r="AE3104" i="1"/>
  <c r="AE3131" i="1"/>
  <c r="AE3078" i="1"/>
  <c r="AE2263" i="1"/>
  <c r="AE2173" i="1"/>
  <c r="AE3202" i="1"/>
  <c r="AE769" i="1"/>
  <c r="AE808" i="1"/>
  <c r="AE845" i="1"/>
  <c r="AE1363" i="1"/>
  <c r="AE1433" i="1"/>
  <c r="AE1385" i="1"/>
  <c r="AE1465" i="1"/>
  <c r="AE1490" i="1"/>
  <c r="AE1526" i="1"/>
  <c r="AE1504" i="1"/>
  <c r="AE1576" i="1"/>
  <c r="AE1642" i="1"/>
  <c r="AE1710" i="1"/>
  <c r="AE1790" i="1"/>
  <c r="AE1813" i="1"/>
  <c r="AE1851" i="1"/>
  <c r="AE1969" i="1"/>
  <c r="AE2068" i="1"/>
  <c r="AE2132" i="1"/>
  <c r="AE2134" i="1"/>
  <c r="AE2137" i="1"/>
  <c r="AE2219" i="1"/>
  <c r="AE2165" i="1"/>
  <c r="AE2175" i="1"/>
  <c r="AE2170" i="1"/>
  <c r="AE2188" i="1"/>
  <c r="AE2335" i="1"/>
  <c r="AE2344" i="1"/>
  <c r="AE2309" i="1"/>
  <c r="AE2254" i="1"/>
  <c r="AE2448" i="1"/>
  <c r="AE1767" i="1"/>
  <c r="AE1761" i="1"/>
  <c r="AE1754" i="1"/>
  <c r="AE1748" i="1"/>
  <c r="AE1739" i="1"/>
  <c r="AE1732" i="1"/>
  <c r="AE1728" i="1"/>
  <c r="AE1721" i="1"/>
  <c r="AE1711" i="1"/>
  <c r="AE1704" i="1"/>
  <c r="AE1691" i="1"/>
  <c r="AE1678" i="1"/>
  <c r="AE1666" i="1"/>
  <c r="AE1660" i="1"/>
  <c r="AE1654" i="1"/>
  <c r="AE1646" i="1"/>
  <c r="AE1636" i="1"/>
  <c r="AE1619" i="1"/>
  <c r="AE1610" i="1"/>
  <c r="AE2148" i="1"/>
  <c r="AE2351" i="1"/>
  <c r="AE2116" i="1"/>
  <c r="AE2141" i="1"/>
  <c r="AE2366" i="1"/>
  <c r="AE2356" i="1"/>
  <c r="AE2381" i="1"/>
  <c r="AE2385" i="1"/>
  <c r="AE2278" i="1"/>
  <c r="AE2379" i="1"/>
  <c r="AE2241" i="1"/>
  <c r="AE2343" i="1"/>
  <c r="AE2430" i="1"/>
  <c r="AE2216" i="1"/>
  <c r="AE2461" i="1"/>
  <c r="AE2466" i="1"/>
  <c r="AE2468" i="1"/>
  <c r="AE2604" i="1"/>
  <c r="AE2572" i="1"/>
  <c r="AE2584" i="1"/>
  <c r="AE2597" i="1"/>
  <c r="AE2690" i="1"/>
  <c r="AE2703" i="1"/>
  <c r="AE2739" i="1"/>
  <c r="AE2798" i="1"/>
  <c r="AE2820" i="1"/>
  <c r="AE2822" i="1"/>
  <c r="AE2302" i="1"/>
  <c r="AE2852" i="1"/>
  <c r="AE2772" i="1"/>
  <c r="AE2878" i="1"/>
  <c r="AE2586" i="1"/>
  <c r="AE2935" i="1"/>
  <c r="AE2484" i="1"/>
  <c r="AE2966" i="1"/>
  <c r="AE2983" i="1"/>
  <c r="AE2988" i="1"/>
  <c r="AE2723" i="1"/>
  <c r="AE3030" i="1"/>
  <c r="AE3037" i="1"/>
  <c r="AE3103" i="1"/>
  <c r="AE3120" i="1"/>
  <c r="AE3135" i="1"/>
  <c r="AE2232" i="1"/>
  <c r="AE2183" i="1"/>
  <c r="AE2892" i="1"/>
  <c r="AE3182" i="1"/>
  <c r="AE2903" i="1"/>
  <c r="AE3087" i="1"/>
  <c r="AE2978" i="1"/>
  <c r="AE3116" i="1"/>
  <c r="AE3110" i="1"/>
  <c r="AE3093" i="1"/>
  <c r="AE3193" i="1"/>
  <c r="AE3150" i="1"/>
  <c r="AE1875" i="1"/>
  <c r="AE1890" i="1"/>
  <c r="AE1914" i="1"/>
  <c r="AE1919" i="1"/>
  <c r="AE1923" i="1"/>
  <c r="AE1932" i="1"/>
  <c r="AE1935" i="1"/>
  <c r="AE1953" i="1"/>
  <c r="AE2934" i="1"/>
  <c r="AE2937" i="1"/>
  <c r="AE3055" i="1"/>
  <c r="AE3071" i="1"/>
  <c r="AE3127" i="1"/>
  <c r="AE1884" i="1"/>
  <c r="AE1886" i="1"/>
  <c r="AE1897" i="1"/>
  <c r="AE1905" i="1"/>
  <c r="AE1910" i="1"/>
  <c r="AE1913" i="1"/>
  <c r="AE1918" i="1"/>
  <c r="AE1920" i="1"/>
  <c r="AE1927" i="1"/>
  <c r="AE1930" i="1"/>
  <c r="AE1936" i="1"/>
  <c r="AE1942" i="1"/>
  <c r="AE3016" i="1"/>
  <c r="AE3066" i="1"/>
  <c r="AE3132" i="1"/>
  <c r="AE3165" i="1"/>
  <c r="AE733" i="1"/>
  <c r="AE763" i="1"/>
  <c r="AE776" i="1"/>
  <c r="AE791" i="1"/>
  <c r="AE810" i="1"/>
  <c r="AE827" i="1"/>
  <c r="AE2751" i="1"/>
  <c r="AE315" i="1"/>
  <c r="AE736" i="1"/>
  <c r="AE731" i="1"/>
  <c r="AE757" i="1"/>
  <c r="AE775" i="1"/>
  <c r="AE790" i="1"/>
  <c r="AE802" i="1"/>
  <c r="AE2055" i="1"/>
  <c r="AE2115" i="1"/>
  <c r="AE2087" i="1"/>
  <c r="AE2476" i="1"/>
  <c r="AE1300" i="1"/>
  <c r="AE1998" i="1"/>
  <c r="AE2035" i="1"/>
  <c r="AE2048" i="1"/>
  <c r="AE2122" i="1"/>
  <c r="AE1986" i="1"/>
  <c r="AE2566" i="1"/>
  <c r="AE2943" i="1"/>
  <c r="AE3153" i="1"/>
  <c r="AE2093" i="1"/>
  <c r="AE2156" i="1"/>
  <c r="AE2088" i="1"/>
  <c r="AE2499" i="1"/>
  <c r="AE1849" i="1"/>
  <c r="AE2609" i="1"/>
  <c r="AE1388" i="1"/>
  <c r="AE948" i="1"/>
  <c r="AE2104" i="1"/>
  <c r="AE2405" i="1"/>
  <c r="AE2464" i="1"/>
  <c r="AE2843" i="1"/>
  <c r="AE3072" i="1"/>
  <c r="AE2867" i="1"/>
  <c r="AE3187" i="1"/>
  <c r="AE2907" i="1"/>
  <c r="AE947" i="1"/>
  <c r="AE2128" i="1"/>
  <c r="AE2313" i="1"/>
  <c r="AE2547" i="1"/>
  <c r="AE2635" i="1"/>
  <c r="AE2737" i="1"/>
  <c r="AE3098" i="1"/>
  <c r="AE3147" i="1"/>
  <c r="AE3195" i="1"/>
  <c r="AE1818" i="1"/>
  <c r="AE1974" i="1"/>
  <c r="AE2072" i="1"/>
  <c r="AE2182" i="1"/>
  <c r="AE2693" i="1"/>
  <c r="AE2394" i="1"/>
  <c r="AE2864" i="1"/>
  <c r="AE2949" i="1"/>
  <c r="AE3031" i="1"/>
  <c r="AE3075" i="1"/>
  <c r="AE2246" i="1"/>
  <c r="AE2100" i="1"/>
  <c r="AE2110" i="1"/>
  <c r="AE2157" i="1"/>
  <c r="AE2217" i="1"/>
  <c r="AE2352" i="1"/>
  <c r="AE2512" i="1"/>
  <c r="AE2791" i="1"/>
  <c r="AE2818" i="1"/>
  <c r="AE2828" i="1"/>
  <c r="AE2872" i="1"/>
  <c r="AE2912" i="1"/>
  <c r="AE2926" i="1"/>
  <c r="AE2945" i="1"/>
  <c r="AE3041" i="1"/>
  <c r="AE2158" i="1"/>
  <c r="AE2202" i="1"/>
  <c r="AE861" i="1"/>
  <c r="AE878" i="1"/>
  <c r="AE899" i="1"/>
  <c r="AE2353" i="1"/>
  <c r="AE2522" i="1"/>
  <c r="AE2691" i="1"/>
  <c r="AE2951" i="1"/>
  <c r="AE2968" i="1"/>
  <c r="AE2888" i="1"/>
  <c r="AE3054" i="1"/>
  <c r="AE3178" i="1"/>
  <c r="AE2895" i="1"/>
  <c r="AE2197" i="1"/>
  <c r="AE2312" i="1"/>
  <c r="AE2445" i="1"/>
  <c r="AE2467" i="1"/>
  <c r="AE2755" i="1"/>
  <c r="AE2868" i="1"/>
  <c r="AE3186" i="1"/>
  <c r="AE2904" i="1"/>
  <c r="AE2563" i="1"/>
  <c r="AE2714" i="1"/>
  <c r="AE2225" i="1"/>
  <c r="AE2734" i="1"/>
  <c r="AE1978" i="1"/>
  <c r="AE1379" i="1"/>
  <c r="AE952" i="1"/>
  <c r="AE898" i="1"/>
  <c r="AE896" i="1"/>
  <c r="AE881" i="1"/>
  <c r="AE876" i="1"/>
  <c r="AE807" i="1"/>
  <c r="AE801" i="1"/>
  <c r="AE793" i="1"/>
  <c r="AE785" i="1"/>
  <c r="AE784" i="1"/>
  <c r="AE745" i="1"/>
  <c r="AE741" i="1"/>
  <c r="AE321" i="1"/>
  <c r="AE1823" i="1"/>
  <c r="AE1804" i="1"/>
  <c r="AE2017" i="1"/>
  <c r="AE2089" i="1"/>
  <c r="AE2052" i="1"/>
  <c r="AE2059" i="1"/>
  <c r="AE2082" i="1"/>
  <c r="AE2127" i="1"/>
  <c r="AE2113" i="1"/>
  <c r="AE2105" i="1"/>
  <c r="AE2133" i="1"/>
  <c r="AE2067" i="1"/>
  <c r="AE2161" i="1"/>
  <c r="AE2192" i="1"/>
  <c r="AE2196" i="1"/>
  <c r="AE2198" i="1"/>
  <c r="AE1585" i="1"/>
  <c r="AE1594" i="1"/>
  <c r="AE1595" i="1"/>
  <c r="AE2218" i="1"/>
  <c r="AE2226" i="1"/>
  <c r="AE2231" i="1"/>
  <c r="AE2271" i="1"/>
  <c r="AE2193" i="1"/>
  <c r="AE2258" i="1"/>
  <c r="AE1759" i="1"/>
  <c r="AE1726" i="1"/>
  <c r="AE1693" i="1"/>
  <c r="AE1661" i="1"/>
  <c r="AE1659" i="1"/>
  <c r="AE1605" i="1"/>
  <c r="AE2178" i="1"/>
  <c r="AE2436" i="1"/>
  <c r="AE2160" i="1"/>
  <c r="AE2442" i="1"/>
  <c r="AE2076" i="1"/>
  <c r="AE2357" i="1"/>
  <c r="AE2548" i="1"/>
  <c r="AE2186" i="1"/>
  <c r="AE2489" i="1"/>
  <c r="AE2491" i="1"/>
  <c r="AE2537" i="1"/>
  <c r="AE2531" i="1"/>
  <c r="AE2533" i="1"/>
  <c r="AE2378" i="1"/>
  <c r="AE2590" i="1"/>
  <c r="AE2629" i="1"/>
  <c r="AE2644" i="1"/>
  <c r="AE2636" i="1"/>
  <c r="AE2647" i="1"/>
  <c r="AE2655" i="1"/>
  <c r="AE2659" i="1"/>
  <c r="AE2643" i="1"/>
  <c r="AE2671" i="1"/>
  <c r="AE2506" i="1"/>
  <c r="AE2764" i="1"/>
  <c r="AE2796" i="1"/>
  <c r="AE2778" i="1"/>
  <c r="AE2799" i="1"/>
  <c r="AE2814" i="1"/>
  <c r="AE2815" i="1"/>
  <c r="AE2800" i="1"/>
  <c r="AE2823" i="1"/>
  <c r="AE2832" i="1"/>
  <c r="AE2834" i="1"/>
  <c r="AE2856" i="1"/>
  <c r="AE2842" i="1"/>
  <c r="AE2922" i="1"/>
  <c r="AE2662" i="1"/>
  <c r="AE2875" i="1"/>
  <c r="AE2841" i="1"/>
  <c r="AE2861" i="1"/>
  <c r="AE2920" i="1"/>
  <c r="AE2053" i="1"/>
  <c r="AE2927" i="1"/>
  <c r="AE2933" i="1"/>
  <c r="AE2917" i="1"/>
  <c r="AE2517" i="1"/>
  <c r="AE2929" i="1"/>
  <c r="AE2930" i="1"/>
  <c r="AE2938" i="1"/>
  <c r="AE2865" i="1"/>
  <c r="AE2972" i="1"/>
  <c r="AE2961" i="1"/>
  <c r="AE2974" i="1"/>
  <c r="AE2964" i="1"/>
  <c r="AE2976" i="1"/>
  <c r="AE2967" i="1"/>
  <c r="AE2845" i="1"/>
  <c r="AE2985" i="1"/>
  <c r="AE3005" i="1"/>
  <c r="AE3006" i="1"/>
  <c r="AE3017" i="1"/>
  <c r="AE3018" i="1"/>
  <c r="AE3019" i="1"/>
  <c r="AE2725" i="1"/>
  <c r="AE2651" i="1"/>
  <c r="AE2529" i="1"/>
  <c r="AE3027" i="1"/>
  <c r="AE2969" i="1"/>
  <c r="AE3047" i="1"/>
  <c r="AE3050" i="1"/>
  <c r="AE3096" i="1"/>
  <c r="AE3097" i="1"/>
  <c r="AE3101" i="1"/>
  <c r="AE3112" i="1"/>
  <c r="AE3114" i="1"/>
  <c r="AE2664" i="1"/>
  <c r="AE3118" i="1"/>
  <c r="AE3133" i="1"/>
  <c r="AE2504" i="1"/>
  <c r="AE2580" i="1"/>
  <c r="AE2637" i="1"/>
  <c r="AE2919" i="1"/>
  <c r="AE3106" i="1"/>
  <c r="AE3159" i="1"/>
  <c r="AE3160" i="1"/>
  <c r="AE3076" i="1"/>
  <c r="AE1898" i="1"/>
  <c r="AE3163" i="1"/>
  <c r="AE2773" i="1"/>
  <c r="AE3109" i="1"/>
  <c r="AE3184" i="1"/>
  <c r="AE3185" i="1"/>
  <c r="AE2576" i="1"/>
  <c r="AE3189" i="1"/>
  <c r="AE3180" i="1"/>
  <c r="AE3077" i="1"/>
  <c r="AE3146" i="1"/>
  <c r="AE2940" i="1"/>
  <c r="AE3111" i="1"/>
  <c r="AE3070" i="1"/>
  <c r="AE2908" i="1"/>
  <c r="AE2544" i="1"/>
  <c r="AE2781" i="1"/>
  <c r="AE2971" i="1"/>
  <c r="AE302" i="1"/>
  <c r="AE1858" i="1"/>
  <c r="AE1889" i="1"/>
  <c r="AE1878" i="1"/>
  <c r="AE1902" i="1"/>
  <c r="AE1929" i="1"/>
  <c r="AE1937" i="1"/>
  <c r="AE1959" i="1"/>
  <c r="AE1626" i="1"/>
  <c r="AE389" i="1"/>
  <c r="AE400" i="1"/>
  <c r="AE401" i="1"/>
  <c r="AE727" i="1"/>
  <c r="AE729" i="1"/>
  <c r="AE743" i="1"/>
  <c r="AE756" i="1"/>
  <c r="AE730" i="1"/>
  <c r="AE734" i="1"/>
  <c r="AE748" i="1"/>
  <c r="AE751" i="1"/>
  <c r="AE755" i="1"/>
  <c r="AE761" i="1"/>
  <c r="AE735" i="1"/>
  <c r="AE768" i="1"/>
  <c r="AE774" i="1"/>
  <c r="AE2078" i="1"/>
  <c r="AE779" i="1"/>
  <c r="AE783" i="1"/>
  <c r="AE789" i="1"/>
  <c r="AE770" i="1"/>
  <c r="AE772" i="1"/>
  <c r="AE803" i="1"/>
  <c r="AE798" i="1"/>
  <c r="AE804" i="1"/>
  <c r="AE816" i="1"/>
  <c r="AE830" i="1"/>
  <c r="AE820" i="1"/>
  <c r="AE824" i="1"/>
  <c r="AE829" i="1"/>
  <c r="AE841" i="1"/>
  <c r="AE843" i="1"/>
  <c r="AE847" i="1"/>
  <c r="AE836" i="1"/>
  <c r="AE838" i="1"/>
  <c r="AE857" i="1"/>
  <c r="AE860" i="1"/>
  <c r="AE870" i="1"/>
  <c r="AE872" i="1"/>
  <c r="AE882" i="1"/>
  <c r="AE884" i="1"/>
  <c r="AE888" i="1"/>
  <c r="AE879" i="1"/>
  <c r="AE894" i="1"/>
  <c r="AE900" i="1"/>
  <c r="AE941" i="1"/>
  <c r="AE946" i="1"/>
  <c r="AE951" i="1"/>
  <c r="AE1309" i="1"/>
  <c r="AE1314" i="1"/>
  <c r="AE1326" i="1"/>
  <c r="AE1355" i="1"/>
  <c r="AE1365" i="1"/>
  <c r="AE1395" i="1"/>
  <c r="AE1440" i="1"/>
  <c r="AE1464" i="1"/>
  <c r="AE1473" i="1"/>
  <c r="AE1484" i="1"/>
  <c r="AE1498" i="1"/>
  <c r="AE1519" i="1"/>
  <c r="AE1534" i="1"/>
  <c r="AE1546" i="1"/>
  <c r="AE1556" i="1"/>
  <c r="AE1558" i="1"/>
  <c r="AE1561" i="1"/>
  <c r="AE1777" i="1"/>
  <c r="AE1630" i="1"/>
  <c r="AE1662" i="1"/>
  <c r="AE1694" i="1"/>
  <c r="AE1720" i="1"/>
  <c r="AE1725" i="1"/>
  <c r="AE1742" i="1"/>
  <c r="AE1811" i="1"/>
  <c r="AE1822" i="1"/>
  <c r="AE1856" i="1"/>
  <c r="AE1888" i="1"/>
  <c r="AE1904" i="1"/>
  <c r="AE1908" i="1"/>
  <c r="AE1912" i="1"/>
  <c r="AE1916" i="1"/>
  <c r="AE1922" i="1"/>
  <c r="AE1925" i="1"/>
  <c r="AE1931" i="1"/>
  <c r="AE1933" i="1"/>
  <c r="AE1939" i="1"/>
  <c r="AE1967" i="1"/>
  <c r="AE1970" i="1"/>
  <c r="AE1987" i="1"/>
  <c r="AE2060" i="1"/>
  <c r="AE1990" i="1"/>
  <c r="AE1575" i="1"/>
  <c r="AE1455" i="1"/>
  <c r="AE1384" i="1"/>
  <c r="AE1331" i="1"/>
  <c r="AE1281" i="1"/>
  <c r="AE935" i="1"/>
  <c r="AE933" i="1"/>
  <c r="AE937" i="1"/>
  <c r="AE929" i="1"/>
  <c r="AE927" i="1"/>
  <c r="AE875" i="1"/>
  <c r="AE818" i="1"/>
  <c r="AE815" i="1"/>
  <c r="AE795" i="1"/>
  <c r="AE782" i="1"/>
  <c r="AE780" i="1"/>
  <c r="AE778" i="1"/>
  <c r="AE767" i="1"/>
  <c r="AE762" i="1"/>
  <c r="AE758" i="1"/>
  <c r="AE747" i="1"/>
  <c r="AE738" i="1"/>
  <c r="AE930" i="1"/>
  <c r="AE936" i="1"/>
  <c r="AE943" i="1"/>
  <c r="AE1218" i="1"/>
  <c r="AE1260" i="1"/>
  <c r="AE1291" i="1"/>
  <c r="AE1342" i="1"/>
  <c r="AE1345" i="1"/>
  <c r="AE1349" i="1"/>
  <c r="AE1344" i="1"/>
  <c r="AE1367" i="1"/>
  <c r="AE1383" i="1"/>
  <c r="AE1418" i="1"/>
  <c r="AE1435" i="1"/>
  <c r="AE1439" i="1"/>
  <c r="AE1442" i="1"/>
  <c r="AE1446" i="1"/>
  <c r="AE1454" i="1"/>
  <c r="AE1456" i="1"/>
  <c r="AE1459" i="1"/>
  <c r="AE1467" i="1"/>
  <c r="AE1472" i="1"/>
  <c r="AE1475" i="1"/>
  <c r="AE1486" i="1"/>
  <c r="AE1480" i="1"/>
  <c r="AE1491" i="1"/>
  <c r="AE1489" i="1"/>
  <c r="AE1494" i="1"/>
  <c r="AE1500" i="1"/>
  <c r="AE1502" i="1"/>
  <c r="AE1507" i="1"/>
  <c r="AE1517" i="1"/>
  <c r="AE1524" i="1"/>
  <c r="AE1528" i="1"/>
  <c r="AE1530" i="1"/>
  <c r="AE1532" i="1"/>
  <c r="AE1536" i="1"/>
  <c r="AE1538" i="1"/>
  <c r="AE1542" i="1"/>
  <c r="AE1512" i="1"/>
  <c r="AE1511" i="1"/>
  <c r="AE1549" i="1"/>
  <c r="AE1553" i="1"/>
  <c r="AE1559" i="1"/>
  <c r="AE1566" i="1"/>
  <c r="AE1564" i="1"/>
  <c r="AE1573" i="1"/>
  <c r="AE1574" i="1"/>
  <c r="AE1572" i="1"/>
  <c r="AE1580" i="1"/>
  <c r="AE1775" i="1"/>
  <c r="AE1579" i="1"/>
  <c r="AE1611" i="1"/>
  <c r="AE1617" i="1"/>
  <c r="AE1637" i="1"/>
  <c r="AE1649" i="1"/>
  <c r="AE1667" i="1"/>
  <c r="AE1671" i="1"/>
  <c r="AE1679" i="1"/>
  <c r="AE1688" i="1"/>
  <c r="AE1706" i="1"/>
  <c r="AE1715" i="1"/>
  <c r="AE1733" i="1"/>
  <c r="AE1760" i="1"/>
  <c r="AE1783" i="1"/>
  <c r="AE1808" i="1"/>
  <c r="AE1814" i="1"/>
  <c r="AE1821" i="1"/>
  <c r="AE1825" i="1"/>
  <c r="AE1828" i="1"/>
  <c r="AE1832" i="1"/>
  <c r="AE1830" i="1"/>
  <c r="AE1848" i="1"/>
  <c r="AE1862" i="1"/>
  <c r="AE1963" i="1"/>
  <c r="AE1966" i="1"/>
  <c r="AE1971" i="1"/>
  <c r="AE1975" i="1"/>
  <c r="AE1577" i="1"/>
  <c r="AE1926" i="1"/>
  <c r="AE2028" i="1"/>
  <c r="AE2029" i="1"/>
  <c r="AE2049" i="1"/>
  <c r="AE2051" i="1"/>
  <c r="AE2043" i="1"/>
  <c r="AE2106" i="1"/>
  <c r="AE2129" i="1"/>
  <c r="AE2135" i="1"/>
  <c r="AE2131" i="1"/>
  <c r="AE2142" i="1"/>
  <c r="AE1784" i="1"/>
  <c r="AE2201" i="1"/>
  <c r="AE2195" i="1"/>
  <c r="AE2200" i="1"/>
  <c r="AE2206" i="1"/>
  <c r="AE1583" i="1"/>
  <c r="AE1587" i="1"/>
  <c r="AE1593" i="1"/>
  <c r="AE1596" i="1"/>
  <c r="AE1599" i="1"/>
  <c r="AE1600" i="1"/>
  <c r="AE1602" i="1"/>
  <c r="AE2210" i="1"/>
  <c r="AE2220" i="1"/>
  <c r="AE2240" i="1"/>
  <c r="AE2238" i="1"/>
  <c r="AE2272" i="1"/>
  <c r="AE2264" i="1"/>
  <c r="AE2256" i="1"/>
  <c r="AE2275" i="1"/>
  <c r="AE2314" i="1"/>
  <c r="AE2451" i="1"/>
  <c r="AE1769" i="1"/>
  <c r="AE1765" i="1"/>
  <c r="AE1762" i="1"/>
  <c r="AE1753" i="1"/>
  <c r="AE1749" i="1"/>
  <c r="AE1747" i="1"/>
  <c r="AE1740" i="1"/>
  <c r="AE1737" i="1"/>
  <c r="AE1731" i="1"/>
  <c r="AE1729" i="1"/>
  <c r="AE1723" i="1"/>
  <c r="AE1719" i="1"/>
  <c r="AE1716" i="1"/>
  <c r="AE1709" i="1"/>
  <c r="AE1703" i="1"/>
  <c r="AE1701" i="1"/>
  <c r="AE1690" i="1"/>
  <c r="AE1687" i="1"/>
  <c r="AE1684" i="1"/>
  <c r="AE1676" i="1"/>
  <c r="AE1672" i="1"/>
  <c r="AE1668" i="1"/>
  <c r="AE1664" i="1"/>
  <c r="AE1638" i="1"/>
  <c r="AE1634" i="1"/>
  <c r="AE1627" i="1"/>
  <c r="AE1624" i="1"/>
  <c r="AE1615" i="1"/>
  <c r="AE1612" i="1"/>
  <c r="AE1608" i="1"/>
  <c r="AE1012" i="1"/>
  <c r="AE1267" i="1"/>
  <c r="AE2361" i="1"/>
  <c r="AE2268" i="1"/>
  <c r="AE2234" i="1"/>
  <c r="AE2320" i="1"/>
  <c r="AE2409" i="1"/>
  <c r="AE2002" i="1"/>
  <c r="AE2140" i="1"/>
  <c r="AE2437" i="1"/>
  <c r="AE2011" i="1"/>
  <c r="AE2434" i="1"/>
  <c r="AE2446" i="1"/>
  <c r="AE2382" i="1"/>
  <c r="AE2212" i="1"/>
  <c r="AE1994" i="1"/>
  <c r="AE1991" i="1"/>
  <c r="AE2301" i="1"/>
  <c r="AE2511" i="1"/>
  <c r="AE2524" i="1"/>
  <c r="AE2389" i="1"/>
  <c r="AE2390" i="1"/>
  <c r="AE2261" i="1"/>
  <c r="AE2501" i="1"/>
  <c r="AE2477" i="1"/>
  <c r="AE2526" i="1"/>
  <c r="AE2569" i="1"/>
  <c r="AE2552" i="1"/>
  <c r="AE2402" i="1"/>
  <c r="AE2600" i="1"/>
  <c r="AE2578" i="1"/>
  <c r="AE2591" i="1"/>
  <c r="AE2530" i="1"/>
  <c r="AE2632" i="1"/>
  <c r="AE2630" i="1"/>
  <c r="AE2633" i="1"/>
  <c r="AE2654" i="1"/>
  <c r="AE2684" i="1"/>
  <c r="AE2685" i="1"/>
  <c r="AE2851" i="1"/>
  <c r="AE2767" i="1"/>
  <c r="AE2785" i="1"/>
  <c r="AE2786" i="1"/>
  <c r="AE2790" i="1"/>
  <c r="AE2776" i="1"/>
  <c r="AE2805" i="1"/>
  <c r="AE2807" i="1"/>
  <c r="AE2748" i="1"/>
  <c r="AE2827" i="1"/>
  <c r="AE2829" i="1"/>
  <c r="AE2833" i="1"/>
  <c r="AE2835" i="1"/>
  <c r="AE2853" i="1"/>
  <c r="AE2854" i="1"/>
  <c r="AE2855" i="1"/>
  <c r="AE2857" i="1"/>
  <c r="AE2871" i="1"/>
  <c r="AE2873" i="1"/>
  <c r="AE2874" i="1"/>
  <c r="AE2876" i="1"/>
  <c r="AE2915" i="1"/>
  <c r="AE2317" i="1"/>
  <c r="AE2928" i="1"/>
  <c r="AE2886" i="1"/>
  <c r="AE2932" i="1"/>
  <c r="AE3004" i="1"/>
  <c r="AE2721" i="1"/>
  <c r="AE3000" i="1"/>
  <c r="AE3046" i="1"/>
  <c r="AE3034" i="1"/>
  <c r="AE3039" i="1"/>
  <c r="AE3049" i="1"/>
  <c r="AE3052" i="1"/>
  <c r="AE3100" i="1"/>
  <c r="AE3113" i="1"/>
  <c r="AE2847" i="1"/>
  <c r="AE3117" i="1"/>
  <c r="AE3119" i="1"/>
  <c r="AE3121" i="1"/>
  <c r="AE3130" i="1"/>
  <c r="AE3134" i="1"/>
  <c r="AE2719" i="1"/>
  <c r="AE3145" i="1"/>
  <c r="AE3105" i="1"/>
  <c r="AE3158" i="1"/>
  <c r="AE3151" i="1"/>
  <c r="AE3161" i="1"/>
  <c r="AE3166" i="1"/>
  <c r="AE3162" i="1"/>
  <c r="AE3194" i="1"/>
  <c r="AE3023" i="1"/>
  <c r="AE2850" i="1"/>
  <c r="AE3015" i="1"/>
  <c r="AE2893" i="1"/>
  <c r="AE3190" i="1"/>
  <c r="AE3192" i="1"/>
  <c r="AE2795" i="1"/>
  <c r="AE2750" i="1"/>
  <c r="AE2215" i="1"/>
  <c r="AE2507" i="1"/>
  <c r="AE2753" i="1"/>
  <c r="AE2811" i="1"/>
  <c r="AE3206" i="1"/>
  <c r="AE1941" i="1"/>
  <c r="AE1946" i="1"/>
  <c r="AE1979" i="1"/>
  <c r="AE2121" i="1"/>
  <c r="AE1590" i="1"/>
  <c r="AE1943" i="1"/>
  <c r="AE1945" i="1"/>
  <c r="AE1947" i="1"/>
  <c r="AE1948" i="1"/>
  <c r="AE1958" i="1"/>
  <c r="AE1983" i="1"/>
  <c r="AE2090" i="1"/>
  <c r="AE2139" i="1"/>
  <c r="AE2704" i="1"/>
  <c r="AE2224" i="1"/>
  <c r="AE2877" i="1"/>
  <c r="AE2916" i="1"/>
  <c r="AE2006" i="1"/>
  <c r="AE1643" i="1"/>
  <c r="AE1648" i="1"/>
  <c r="AE1717" i="1"/>
  <c r="AE2209" i="1"/>
  <c r="AE2285" i="1"/>
  <c r="AE2413" i="1"/>
  <c r="AE2439" i="1"/>
  <c r="AE2516" i="1"/>
  <c r="AE2502" i="1"/>
  <c r="AE2478" i="1"/>
  <c r="AE2640" i="1"/>
  <c r="AE2627" i="1"/>
  <c r="AE2641" i="1"/>
  <c r="AE2653" i="1"/>
  <c r="AE2674" i="1"/>
  <c r="AE2687" i="1"/>
  <c r="AE2673" i="1"/>
  <c r="AE2826" i="1"/>
  <c r="AE2830" i="1"/>
  <c r="AE939" i="1"/>
  <c r="AE1322" i="1"/>
  <c r="AE1782" i="1"/>
  <c r="AE1478" i="1"/>
  <c r="AE1516" i="1"/>
  <c r="AE1544" i="1"/>
  <c r="AE1773" i="1"/>
  <c r="AE2265" i="1"/>
  <c r="AE2770" i="1"/>
  <c r="AE1794" i="1"/>
  <c r="AE868" i="1"/>
  <c r="AE765" i="1"/>
  <c r="AE1557" i="1"/>
  <c r="AE1471" i="1"/>
  <c r="AE1735" i="1"/>
  <c r="AE1745" i="1"/>
  <c r="AE2153" i="1"/>
  <c r="AE2190" i="1"/>
  <c r="AE2191" i="1"/>
  <c r="AE1756" i="1"/>
  <c r="AE1734" i="1"/>
  <c r="AE1705" i="1"/>
  <c r="AE1682" i="1"/>
  <c r="AE2227" i="1"/>
  <c r="AE2334" i="1"/>
  <c r="AE2375" i="1"/>
  <c r="AE2369" i="1"/>
  <c r="AE2406" i="1"/>
  <c r="AE2420" i="1"/>
  <c r="AE2416" i="1"/>
  <c r="AE2441" i="1"/>
  <c r="AE2535" i="1"/>
  <c r="AE2551" i="1"/>
  <c r="AE2545" i="1"/>
  <c r="AE2741" i="1"/>
  <c r="AE2742" i="1"/>
  <c r="AE2783" i="1"/>
  <c r="AE2789" i="1"/>
  <c r="AE2792" i="1"/>
  <c r="AE2924" i="1"/>
  <c r="AE2962" i="1"/>
  <c r="AE3102" i="1"/>
  <c r="AE1981" i="1"/>
  <c r="AE2030" i="1"/>
  <c r="AE1584" i="1"/>
  <c r="AE1588" i="1"/>
  <c r="AE1589" i="1"/>
  <c r="AE2273" i="1"/>
  <c r="AE2428" i="1"/>
  <c r="AE2482" i="1"/>
  <c r="AE2487" i="1"/>
  <c r="AE2513" i="1"/>
  <c r="AE2612" i="1"/>
  <c r="AE2702" i="1"/>
  <c r="AE2808" i="1"/>
  <c r="AE2745" i="1"/>
  <c r="AE2824" i="1"/>
  <c r="AE2944" i="1"/>
  <c r="AE2794" i="1"/>
  <c r="AE2803" i="1"/>
  <c r="AE3028" i="1"/>
  <c r="AE3053" i="1"/>
  <c r="AE3115" i="1"/>
  <c r="AE3074" i="1"/>
  <c r="AE2894" i="1"/>
  <c r="AE358" i="1"/>
  <c r="AE2172" i="1"/>
  <c r="AE2207" i="1"/>
  <c r="AE2339" i="1"/>
  <c r="AE2331" i="1"/>
  <c r="AE2523" i="1"/>
  <c r="AE2733" i="1"/>
  <c r="AE2768" i="1"/>
  <c r="AE2769" i="1"/>
  <c r="AE2797" i="1"/>
  <c r="AE2749" i="1"/>
  <c r="AE2952" i="1"/>
  <c r="AE3090" i="1"/>
  <c r="AE2556" i="1"/>
  <c r="AE1879" i="1"/>
  <c r="AE2222" i="1"/>
  <c r="AE2804" i="1"/>
  <c r="AE2056" i="1"/>
  <c r="AE1977" i="1"/>
  <c r="AE2066" i="1"/>
  <c r="AE1867" i="1"/>
  <c r="AE2589" i="1"/>
  <c r="AE3082" i="1"/>
  <c r="AE263" i="1"/>
  <c r="AE278" i="1"/>
  <c r="AE287" i="1"/>
  <c r="AE2046" i="1"/>
  <c r="AE2054" i="1"/>
  <c r="AE2900" i="1"/>
  <c r="AE917" i="1"/>
  <c r="AE949" i="1"/>
  <c r="AE902" i="1"/>
  <c r="AE914" i="1"/>
  <c r="AE924" i="1"/>
  <c r="AE903" i="1"/>
  <c r="AE910" i="1"/>
  <c r="AE916" i="1"/>
  <c r="AE921" i="1"/>
  <c r="AE1205" i="1"/>
  <c r="AE1210" i="1"/>
  <c r="AE1212" i="1"/>
  <c r="AE1216" i="1"/>
  <c r="AE1219" i="1"/>
  <c r="AE1221" i="1"/>
  <c r="AE1224" i="1"/>
  <c r="AE1226" i="1"/>
  <c r="AE1204" i="1"/>
  <c r="AE1234" i="1"/>
  <c r="AE1249" i="1"/>
  <c r="AE1242" i="1"/>
  <c r="AE1245" i="1"/>
  <c r="AE1248" i="1"/>
  <c r="AE1253" i="1"/>
  <c r="AE1255" i="1"/>
  <c r="AE1257" i="1"/>
  <c r="AE1261" i="1"/>
  <c r="AE1264" i="1"/>
  <c r="AE1265" i="1"/>
  <c r="AE1271" i="1"/>
  <c r="AE1274" i="1"/>
  <c r="AE1278" i="1"/>
  <c r="AE1283" i="1"/>
  <c r="AE1287" i="1"/>
  <c r="AE1289" i="1"/>
  <c r="AE1292" i="1"/>
  <c r="AE1297" i="1"/>
  <c r="AE1299" i="1"/>
  <c r="AE1301" i="1"/>
  <c r="AE1304" i="1"/>
  <c r="AE1311" i="1"/>
  <c r="AE1318" i="1"/>
  <c r="AE1315" i="1"/>
  <c r="AE1321" i="1"/>
  <c r="AE1325" i="1"/>
  <c r="AE1327" i="1"/>
  <c r="AE1329" i="1"/>
  <c r="AE1333" i="1"/>
  <c r="AE1338" i="1"/>
  <c r="AE1340" i="1"/>
  <c r="AE1335" i="1"/>
  <c r="AE1348" i="1"/>
  <c r="AE1350" i="1"/>
  <c r="AE2063" i="1"/>
  <c r="AE2064" i="1"/>
  <c r="AE2042" i="1"/>
  <c r="AE901" i="1"/>
  <c r="AE904" i="1"/>
  <c r="AE906" i="1"/>
  <c r="AE913" i="1"/>
  <c r="AE938" i="1"/>
  <c r="AE944" i="1"/>
  <c r="AE923" i="1"/>
  <c r="AE1047" i="1"/>
  <c r="AE1072" i="1"/>
  <c r="AE1068" i="1"/>
  <c r="AE1103" i="1"/>
  <c r="AE1131" i="1"/>
  <c r="AE1158" i="1"/>
  <c r="AE1163" i="1"/>
  <c r="AE1180" i="1"/>
  <c r="AE1206" i="1"/>
  <c r="AE1215" i="1"/>
  <c r="AE1203" i="1"/>
  <c r="AE1240" i="1"/>
  <c r="AE1244" i="1"/>
  <c r="AE1258" i="1"/>
  <c r="AE1262" i="1"/>
  <c r="AE1268" i="1"/>
  <c r="AE1277" i="1"/>
  <c r="AE1284" i="1"/>
  <c r="AE1293" i="1"/>
  <c r="AE1303" i="1"/>
  <c r="AE1305" i="1"/>
  <c r="AE1312" i="1"/>
  <c r="AE1316" i="1"/>
  <c r="AE1324" i="1"/>
  <c r="AE1328" i="1"/>
  <c r="AE1330" i="1"/>
  <c r="AE1332" i="1"/>
  <c r="AE1339" i="1"/>
  <c r="AE1341" i="1"/>
  <c r="AE1352" i="1"/>
  <c r="AE1354" i="1"/>
  <c r="AE2083" i="1"/>
  <c r="AE2077" i="1"/>
  <c r="AE2282" i="1"/>
  <c r="AE2136" i="1"/>
  <c r="AE2359" i="1"/>
  <c r="AE2618" i="1"/>
  <c r="AE2634" i="1"/>
  <c r="AE408" i="1"/>
  <c r="AE2154" i="1"/>
  <c r="AE1586" i="1"/>
  <c r="AE2237" i="1"/>
  <c r="AE2277" i="1"/>
  <c r="AE2248" i="1"/>
  <c r="AE2463" i="1"/>
  <c r="AE2564" i="1"/>
  <c r="AE2980" i="1"/>
  <c r="AE3010" i="1"/>
  <c r="AE2542" i="1"/>
  <c r="AE2905" i="1"/>
  <c r="AE1952" i="1"/>
  <c r="AE2114" i="1"/>
  <c r="AE2118" i="1"/>
  <c r="AE2163" i="1"/>
  <c r="AE2057" i="1"/>
  <c r="AE2155" i="1"/>
  <c r="AE1622" i="1"/>
  <c r="AE2294" i="1"/>
  <c r="AE2279" i="1"/>
  <c r="AE2342" i="1"/>
  <c r="AE2358" i="1"/>
  <c r="AE2391" i="1"/>
  <c r="AE2729" i="1"/>
  <c r="AE2705" i="1"/>
  <c r="AE2706" i="1"/>
  <c r="AE3007" i="1"/>
  <c r="AE3056" i="1"/>
  <c r="AE3040" i="1"/>
  <c r="AE3155" i="1"/>
  <c r="AE3156" i="1"/>
  <c r="AE895" i="1"/>
  <c r="AE858" i="1"/>
  <c r="AE850" i="1"/>
  <c r="AE766" i="1"/>
  <c r="AE883" i="1"/>
  <c r="AE1973" i="1"/>
  <c r="AE2603" i="1"/>
  <c r="AE2697" i="1"/>
  <c r="AE2099" i="1"/>
  <c r="AE2098" i="1"/>
  <c r="AE2424" i="1"/>
  <c r="AE2444" i="1"/>
  <c r="AE2449" i="1"/>
  <c r="AE3011" i="1"/>
  <c r="AE3029" i="1"/>
  <c r="AE3086" i="1"/>
  <c r="AE2611" i="1"/>
  <c r="AE3175" i="1"/>
  <c r="AE3176" i="1"/>
  <c r="AE3177" i="1"/>
  <c r="AE3148" i="1"/>
  <c r="AE885" i="1"/>
  <c r="AE819" i="1"/>
  <c r="AE800" i="1"/>
  <c r="AE728" i="1"/>
  <c r="AE329" i="1"/>
  <c r="AE737" i="1"/>
  <c r="AE1214" i="1"/>
  <c r="AE1310" i="1"/>
  <c r="AE1372" i="1"/>
  <c r="AE1458" i="1"/>
  <c r="AE1493" i="1"/>
  <c r="AE1543" i="1"/>
  <c r="AE1562" i="1"/>
  <c r="AE1604" i="1"/>
  <c r="AE1692" i="1"/>
  <c r="AE1865" i="1"/>
  <c r="AE2009" i="1"/>
  <c r="AE1613" i="1"/>
  <c r="AE1616" i="1"/>
  <c r="AE1757" i="1"/>
  <c r="AE1770" i="1"/>
  <c r="AE2111" i="1"/>
  <c r="AE2176" i="1"/>
  <c r="AE2174" i="1"/>
  <c r="AE2338" i="1"/>
  <c r="AE2480" i="1"/>
  <c r="AE1995" i="1"/>
  <c r="AE2571" i="1"/>
  <c r="AE2557" i="1"/>
  <c r="AE2628" i="1"/>
  <c r="AE2638" i="1"/>
  <c r="AE2645" i="1"/>
  <c r="AE2588" i="1"/>
  <c r="AE2860" i="1"/>
  <c r="AE3092" i="1"/>
  <c r="AE3154" i="1"/>
  <c r="AE2665" i="1"/>
  <c r="AE889" i="1"/>
  <c r="AE887" i="1"/>
  <c r="AE867" i="1"/>
  <c r="AE831" i="1"/>
  <c r="AE742" i="1"/>
  <c r="AE354" i="1"/>
  <c r="AE2001" i="1"/>
  <c r="AE1628" i="1"/>
  <c r="AE1640" i="1"/>
  <c r="AE1651" i="1"/>
  <c r="AE1663" i="1"/>
  <c r="AE1736" i="1"/>
  <c r="AE1746" i="1"/>
  <c r="AE1751" i="1"/>
  <c r="AE1763" i="1"/>
  <c r="AE2657" i="1"/>
  <c r="AE2667" i="1"/>
  <c r="AE2497" i="1"/>
  <c r="AE2931" i="1"/>
  <c r="AE3126" i="1"/>
  <c r="AE342" i="1"/>
  <c r="AE2012" i="1"/>
  <c r="AE2168" i="1"/>
  <c r="AE2169" i="1"/>
  <c r="AE2167" i="1"/>
  <c r="AE2503" i="1"/>
  <c r="AE2539" i="1"/>
  <c r="AE2558" i="1"/>
  <c r="AE2559" i="1"/>
  <c r="AE2716" i="1"/>
  <c r="AE2698" i="1"/>
  <c r="AE2756" i="1"/>
  <c r="AE2735" i="1"/>
  <c r="AE2726" i="1"/>
  <c r="AE2849" i="1"/>
  <c r="AE2970" i="1"/>
  <c r="AE3014" i="1"/>
  <c r="AE3199" i="1"/>
  <c r="AE874" i="1"/>
  <c r="AE853" i="1"/>
  <c r="AE794" i="1"/>
  <c r="AE754" i="1"/>
  <c r="AE714" i="1"/>
  <c r="AE942" i="1"/>
  <c r="AE1965" i="1"/>
  <c r="AE880" i="1"/>
  <c r="AE932" i="1"/>
  <c r="AE1005" i="1"/>
  <c r="AE1106" i="1"/>
  <c r="AE1146" i="1"/>
  <c r="AE1169" i="1"/>
  <c r="AE1236" i="1"/>
  <c r="AE1237" i="1"/>
  <c r="AE1252" i="1"/>
  <c r="AE1269" i="1"/>
  <c r="AE1285" i="1"/>
  <c r="AE1295" i="1"/>
  <c r="AE1337" i="1"/>
  <c r="AE1353" i="1"/>
  <c r="AE1351" i="1"/>
  <c r="AE1360" i="1"/>
  <c r="AE1362" i="1"/>
  <c r="AE1366" i="1"/>
  <c r="AE1368" i="1"/>
  <c r="AE1370" i="1"/>
  <c r="AE1376" i="1"/>
  <c r="AE1380" i="1"/>
  <c r="AE1382" i="1"/>
  <c r="AE1387" i="1"/>
  <c r="AE1394" i="1"/>
  <c r="AE1399" i="1"/>
  <c r="AE1415" i="1"/>
  <c r="AE1428" i="1"/>
  <c r="AE1432" i="1"/>
  <c r="AE1444" i="1"/>
  <c r="AE1450" i="1"/>
  <c r="AE1452" i="1"/>
  <c r="AE1483" i="1"/>
  <c r="AE1482" i="1"/>
  <c r="AE1501" i="1"/>
  <c r="AE1508" i="1"/>
  <c r="AE1518" i="1"/>
  <c r="AE1520" i="1"/>
  <c r="AE1522" i="1"/>
  <c r="AE1527" i="1"/>
  <c r="AE1531" i="1"/>
  <c r="AE1529" i="1"/>
  <c r="AE1535" i="1"/>
  <c r="AE1537" i="1"/>
  <c r="AE1539" i="1"/>
  <c r="AE1545" i="1"/>
  <c r="AE1548" i="1"/>
  <c r="AE1550" i="1"/>
  <c r="AE1563" i="1"/>
  <c r="AE1568" i="1"/>
  <c r="AE1565" i="1"/>
  <c r="AE1570" i="1"/>
  <c r="AE1582" i="1"/>
  <c r="AE1778" i="1"/>
  <c r="AE1774" i="1"/>
  <c r="AE1776" i="1"/>
  <c r="AE1607" i="1"/>
  <c r="AE1609" i="1"/>
  <c r="AE1620" i="1"/>
  <c r="AE1635" i="1"/>
  <c r="AE1639" i="1"/>
  <c r="AE1658" i="1"/>
  <c r="AE1665" i="1"/>
  <c r="AE1673" i="1"/>
  <c r="AE1677" i="1"/>
  <c r="AE1696" i="1"/>
  <c r="AE1700" i="1"/>
  <c r="AE1713" i="1"/>
  <c r="AE1718" i="1"/>
  <c r="AE1722" i="1"/>
  <c r="AE1752" i="1"/>
  <c r="AE1764" i="1"/>
  <c r="AE1768" i="1"/>
  <c r="AE1792" i="1"/>
  <c r="AE1791" i="1"/>
  <c r="AE1789" i="1"/>
  <c r="AE1801" i="1"/>
  <c r="AE1799" i="1"/>
  <c r="AE1802" i="1"/>
  <c r="AE1817" i="1"/>
  <c r="AE1820" i="1"/>
  <c r="AE1824" i="1"/>
  <c r="AE1834" i="1"/>
  <c r="AE1833" i="1"/>
  <c r="AE1841" i="1"/>
  <c r="AE1843" i="1"/>
  <c r="AE1850" i="1"/>
  <c r="AE1857" i="1"/>
  <c r="AE1873" i="1"/>
  <c r="AE1894" i="1"/>
  <c r="AE1915" i="1"/>
  <c r="AE1921" i="1"/>
  <c r="AE2005" i="1"/>
  <c r="AE2007" i="1"/>
  <c r="AE2027" i="1"/>
  <c r="AE2138" i="1"/>
  <c r="AE2152" i="1"/>
  <c r="AE2180" i="1"/>
  <c r="AE2010" i="1"/>
  <c r="AE2171" i="1"/>
  <c r="AE2345" i="1"/>
  <c r="AE2388" i="1"/>
  <c r="AE2429" i="1"/>
  <c r="AE1870" i="1"/>
  <c r="AE2349" i="1"/>
  <c r="AE2350" i="1"/>
  <c r="AE2432" i="1"/>
  <c r="AE2456" i="1"/>
  <c r="AE1997" i="1"/>
  <c r="AE1320" i="1"/>
  <c r="AE2470" i="1"/>
  <c r="AE2472" i="1"/>
  <c r="AE2473" i="1"/>
  <c r="AE891" i="1"/>
  <c r="AE869" i="1"/>
  <c r="AE2008" i="1"/>
  <c r="AE1606" i="1"/>
  <c r="AE1633" i="1"/>
  <c r="AE1689" i="1"/>
  <c r="AE1743" i="1"/>
  <c r="AE2164" i="1"/>
  <c r="AE2223" i="1"/>
  <c r="AE2337" i="1"/>
  <c r="AE2333" i="1"/>
  <c r="AE2125" i="1"/>
  <c r="AE2124" i="1"/>
  <c r="AE2330" i="1"/>
  <c r="AE2243" i="1"/>
  <c r="AE2426" i="1"/>
  <c r="AE2454" i="1"/>
  <c r="AE2453" i="1"/>
  <c r="AE2423" i="1"/>
  <c r="AE2486" i="1"/>
  <c r="AE2508" i="1"/>
  <c r="AE2582" i="1"/>
  <c r="AE2585" i="1"/>
  <c r="AE2602" i="1"/>
  <c r="AE2550" i="1"/>
  <c r="AE2710" i="1"/>
  <c r="AE2738" i="1"/>
  <c r="AE2730" i="1"/>
  <c r="AE2766" i="1"/>
  <c r="AE2784" i="1"/>
  <c r="AE2771" i="1"/>
  <c r="AE2870" i="1"/>
  <c r="AE2839" i="1"/>
  <c r="AE2859" i="1"/>
  <c r="AE2954" i="1"/>
  <c r="AE2955" i="1"/>
  <c r="AE3038" i="1"/>
  <c r="AE3067" i="1"/>
  <c r="AE3089" i="1"/>
  <c r="AE3068" i="1"/>
  <c r="AE3021" i="1"/>
  <c r="AE3141" i="1"/>
  <c r="AE2848" i="1"/>
  <c r="AE2678" i="1"/>
  <c r="AE3043" i="1"/>
  <c r="AE3108" i="1"/>
  <c r="AE3196" i="1"/>
  <c r="AE2896" i="1"/>
  <c r="AE3197" i="1"/>
  <c r="AE3198" i="1"/>
  <c r="AE2901" i="1"/>
  <c r="AE2902" i="1"/>
  <c r="AE2546" i="1"/>
  <c r="AE2682" i="1"/>
  <c r="AE2688" i="1"/>
  <c r="AE2686" i="1"/>
  <c r="AE2948" i="1"/>
  <c r="AE2987" i="1"/>
  <c r="AE2996" i="1"/>
  <c r="AE2997" i="1"/>
  <c r="AE2998" i="1"/>
  <c r="AE3036" i="1"/>
  <c r="AE3083" i="1"/>
  <c r="AE3084" i="1"/>
  <c r="AE3065" i="1"/>
  <c r="AE3094" i="1"/>
  <c r="AE3136" i="1"/>
  <c r="AE3122" i="1"/>
  <c r="AE3123" i="1"/>
  <c r="AE3124" i="1"/>
  <c r="AE3125" i="1"/>
  <c r="AE3137" i="1"/>
  <c r="AE3138" i="1"/>
  <c r="AE3139" i="1"/>
  <c r="AE3179" i="1"/>
  <c r="AE814" i="1"/>
  <c r="AE1254" i="1"/>
  <c r="AE1272" i="1"/>
  <c r="AE1323" i="1"/>
  <c r="AE1334" i="1"/>
  <c r="AE1357" i="1"/>
  <c r="AE1358" i="1"/>
  <c r="AE1364" i="1"/>
  <c r="AE1396" i="1"/>
  <c r="AE1412" i="1"/>
  <c r="AE1422" i="1"/>
  <c r="AE1437" i="1"/>
  <c r="AE1449" i="1"/>
  <c r="AE1466" i="1"/>
  <c r="AE1470" i="1"/>
  <c r="AE1474" i="1"/>
  <c r="AE1476" i="1"/>
  <c r="AE1481" i="1"/>
  <c r="AE1487" i="1"/>
  <c r="AE1488" i="1"/>
  <c r="AE1503" i="1"/>
  <c r="AE1509" i="1"/>
  <c r="AE1514" i="1"/>
  <c r="AE1525" i="1"/>
  <c r="AE1533" i="1"/>
  <c r="AE1541" i="1"/>
  <c r="AE1510" i="1"/>
  <c r="AE1513" i="1"/>
  <c r="AE1552" i="1"/>
  <c r="AE1554" i="1"/>
  <c r="AE1560" i="1"/>
  <c r="AE1569" i="1"/>
  <c r="AE1571" i="1"/>
  <c r="AE1614" i="1"/>
  <c r="AE1644" i="1"/>
  <c r="AE1669" i="1"/>
  <c r="AE1675" i="1"/>
  <c r="AE1685" i="1"/>
  <c r="AE1708" i="1"/>
  <c r="AE1727" i="1"/>
  <c r="AE1758" i="1"/>
  <c r="AE1781" i="1"/>
  <c r="AE1787" i="1"/>
  <c r="AE1786" i="1"/>
  <c r="AE1807" i="1"/>
  <c r="AE1809" i="1"/>
  <c r="AE1812" i="1"/>
  <c r="AE1819" i="1"/>
  <c r="AE1826" i="1"/>
  <c r="AE1838" i="1"/>
  <c r="AE1852" i="1"/>
  <c r="AE1871" i="1"/>
  <c r="AE1893" i="1"/>
  <c r="AE1903" i="1"/>
  <c r="AE1911" i="1"/>
  <c r="AE1924" i="1"/>
  <c r="AE1934" i="1"/>
  <c r="AE1957" i="1"/>
  <c r="AE2061" i="1"/>
  <c r="AE1463" i="1"/>
  <c r="AE3080" i="1"/>
  <c r="AE327" i="1"/>
  <c r="AE340" i="1"/>
  <c r="AE394" i="1"/>
  <c r="AE708" i="1"/>
  <c r="AE722" i="1"/>
  <c r="AE732" i="1"/>
  <c r="AE744" i="1"/>
  <c r="AE752" i="1"/>
  <c r="AE764" i="1"/>
  <c r="AE792" i="1"/>
  <c r="AE773" i="1"/>
  <c r="AE786" i="1"/>
  <c r="AE796" i="1"/>
  <c r="AE806" i="1"/>
  <c r="AE826" i="1"/>
  <c r="AE844" i="1"/>
  <c r="AE834" i="1"/>
  <c r="AE1961" i="1"/>
  <c r="AE1964" i="1"/>
  <c r="AE1976" i="1"/>
  <c r="AE2004" i="1"/>
  <c r="AE2085" i="1"/>
  <c r="AE2146" i="1"/>
  <c r="AE2304" i="1"/>
  <c r="AE2147" i="1"/>
  <c r="AE919" i="1"/>
  <c r="AE2310" i="1"/>
  <c r="AE2305" i="1"/>
  <c r="AE2298" i="1"/>
  <c r="AE2266" i="1"/>
  <c r="AE2267" i="1"/>
  <c r="AE2284" i="1"/>
  <c r="AE2326" i="1"/>
  <c r="AE2346" i="1"/>
  <c r="AE2376" i="1"/>
  <c r="AE2340" i="1"/>
  <c r="AE2290" i="1"/>
  <c r="AE2311" i="1"/>
  <c r="AE2341" i="1"/>
  <c r="AE2427" i="1"/>
  <c r="AE2431" i="1"/>
  <c r="AE2417" i="1"/>
  <c r="AE2425" i="1"/>
  <c r="AE2485" i="1"/>
  <c r="AE2488" i="1"/>
  <c r="AE2561" i="1"/>
  <c r="AE2465" i="1"/>
  <c r="AE2598" i="1"/>
  <c r="AE2619" i="1"/>
  <c r="AE2648" i="1"/>
  <c r="AE2642" i="1"/>
  <c r="AE2615" i="1"/>
  <c r="AE2775" i="1"/>
  <c r="AE2793" i="1"/>
  <c r="AE2881" i="1"/>
  <c r="AE2882" i="1"/>
  <c r="AE2883" i="1"/>
  <c r="AE2910" i="1"/>
  <c r="AE2911" i="1"/>
  <c r="AE2918" i="1"/>
  <c r="AE3171" i="1"/>
  <c r="AE2957" i="1"/>
  <c r="AE2959" i="1"/>
  <c r="AE2887" i="1"/>
  <c r="AE3013" i="1"/>
  <c r="AE2982" i="1"/>
  <c r="AE2992" i="1"/>
  <c r="AE2993" i="1"/>
  <c r="AE3061" i="1"/>
  <c r="AE3062" i="1"/>
  <c r="AE3088" i="1"/>
  <c r="AE3063" i="1"/>
  <c r="AE3143" i="1"/>
  <c r="AE2123" i="1"/>
  <c r="AE3057" i="1"/>
  <c r="AE2752" i="1"/>
  <c r="AE1940" i="1"/>
  <c r="AE3172" i="1"/>
  <c r="AE3173" i="1"/>
  <c r="AE3174" i="1"/>
  <c r="AE3079" i="1"/>
  <c r="AE2906" i="1"/>
  <c r="AE2306" i="1"/>
  <c r="AE2324" i="1"/>
  <c r="AE2323" i="1"/>
  <c r="AE2377" i="1"/>
  <c r="AE1989" i="1"/>
  <c r="AE2179" i="1"/>
  <c r="AE1999" i="1"/>
  <c r="AE2720" i="1"/>
  <c r="AE2003" i="1"/>
  <c r="AE1928" i="1"/>
  <c r="AE1697" i="1"/>
  <c r="AE2374" i="1"/>
  <c r="AE2250" i="1"/>
  <c r="AE2300" i="1"/>
  <c r="AE3025" i="1"/>
  <c r="AE2694" i="1"/>
  <c r="AE2534" i="1"/>
  <c r="AE2696" i="1"/>
  <c r="AE1597" i="1"/>
  <c r="AE2731" i="1"/>
  <c r="AE2946" i="1"/>
  <c r="AE2977" i="1"/>
  <c r="AE2724" i="1"/>
  <c r="AE2058" i="1"/>
  <c r="AE1992" i="1"/>
  <c r="AE2143" i="1"/>
  <c r="AE2364" i="1"/>
  <c r="AE2947" i="1"/>
  <c r="AE2994" i="1"/>
  <c r="AE2620" i="1"/>
  <c r="AE3128" i="1"/>
  <c r="AE2019" i="1"/>
  <c r="AE2023" i="1"/>
  <c r="AE2020" i="1"/>
  <c r="AE1984" i="1"/>
  <c r="AE2034" i="1"/>
  <c r="AE2025" i="1"/>
  <c r="AE2757" i="1"/>
  <c r="AE3207" i="1"/>
  <c r="AE1657" i="1"/>
  <c r="AE1674" i="1"/>
  <c r="AE1681" i="1"/>
  <c r="AE2616" i="1"/>
  <c r="AE2614" i="1"/>
  <c r="AE2329" i="1"/>
  <c r="AE2414" i="1"/>
  <c r="AE2498" i="1"/>
  <c r="AE2709" i="1"/>
  <c r="AE3060" i="1"/>
  <c r="AE871" i="1"/>
  <c r="AE2013" i="1"/>
  <c r="AE1468" i="1"/>
  <c r="AE2021" i="1"/>
  <c r="AE1996" i="1"/>
  <c r="AE2235" i="1"/>
  <c r="AE2293" i="1"/>
  <c r="AE1319" i="1"/>
  <c r="AE2538" i="1"/>
  <c r="AE3188" i="1"/>
  <c r="AE893" i="1"/>
  <c r="AE2037" i="1"/>
  <c r="AE2109" i="1"/>
  <c r="AE2071" i="1"/>
  <c r="AE2292" i="1"/>
  <c r="AE2481" i="1"/>
  <c r="AE2496" i="1"/>
  <c r="AE2562" i="1"/>
  <c r="AE2652" i="1"/>
  <c r="AE2681" i="1"/>
  <c r="AE2736" i="1"/>
  <c r="AE2747" i="1"/>
  <c r="AE2942" i="1"/>
  <c r="AE2939" i="1"/>
  <c r="AE3009" i="1"/>
  <c r="AE3048" i="1"/>
  <c r="AE2024" i="1"/>
  <c r="AE2022" i="1"/>
  <c r="AE2045" i="1"/>
  <c r="AE2765" i="1"/>
  <c r="AE1840" i="1"/>
  <c r="AE1938" i="1"/>
  <c r="AE2245" i="1"/>
  <c r="AE2387" i="1"/>
  <c r="AE2102" i="1"/>
  <c r="AE2515" i="1"/>
  <c r="AE2639" i="1"/>
  <c r="AE2668" i="1"/>
  <c r="AE2763" i="1"/>
  <c r="AE2838" i="1"/>
  <c r="AE2866" i="1"/>
  <c r="AE2650" i="1"/>
  <c r="AE2890" i="1"/>
  <c r="AE931" i="1"/>
  <c r="AE2898" i="1"/>
  <c r="AE1567" i="1"/>
  <c r="AE2026" i="1"/>
  <c r="AE2595" i="1"/>
  <c r="AE2631" i="1"/>
  <c r="AE2675" i="1"/>
  <c r="AE2758" i="1"/>
  <c r="AE2762" i="1"/>
  <c r="AE245" i="1"/>
  <c r="AE257" i="1"/>
  <c r="AE403" i="1"/>
  <c r="AE407" i="1"/>
  <c r="AE413" i="1"/>
  <c r="AE418" i="1"/>
  <c r="AE421" i="1"/>
  <c r="AE431" i="1"/>
  <c r="AE425" i="1"/>
  <c r="AE430" i="1"/>
  <c r="AE436" i="1"/>
  <c r="AE450" i="1"/>
  <c r="AE442" i="1"/>
  <c r="AE447" i="1"/>
  <c r="AE438" i="1"/>
  <c r="AE470" i="1"/>
  <c r="AE472" i="1"/>
  <c r="AE466" i="1"/>
  <c r="AE481" i="1"/>
  <c r="AE475" i="1"/>
  <c r="AE483" i="1"/>
  <c r="AE487" i="1"/>
  <c r="AE494" i="1"/>
  <c r="AE490" i="1"/>
  <c r="AE514" i="1"/>
  <c r="AE519" i="1"/>
  <c r="AE502" i="1"/>
  <c r="AE2419" i="1"/>
  <c r="AE835" i="1"/>
  <c r="AE788" i="1"/>
  <c r="AE1652" i="1"/>
  <c r="AE1724" i="1"/>
  <c r="AE2941" i="1"/>
  <c r="AE2779" i="1"/>
  <c r="AE124" i="1"/>
  <c r="AE151" i="1"/>
  <c r="AE156" i="1"/>
  <c r="AE159" i="1"/>
  <c r="AE240" i="1"/>
  <c r="AE244" i="1"/>
  <c r="AE248" i="1"/>
  <c r="AE253" i="1"/>
  <c r="AE256" i="1"/>
  <c r="AE411" i="1"/>
  <c r="AE420" i="1"/>
  <c r="AE424" i="1"/>
  <c r="AE441" i="1"/>
  <c r="AE453" i="1"/>
  <c r="AE465" i="1"/>
  <c r="AE474" i="1"/>
  <c r="AE489" i="1"/>
  <c r="AE497" i="1"/>
  <c r="AE2447" i="1"/>
  <c r="AE2095" i="1"/>
  <c r="AE1695" i="1"/>
  <c r="AE1702" i="1"/>
  <c r="AE1707" i="1"/>
  <c r="AE1714" i="1"/>
  <c r="AE1730" i="1"/>
  <c r="AE2239" i="1"/>
  <c r="AE2354" i="1"/>
  <c r="AE2362" i="1"/>
  <c r="AE2408" i="1"/>
  <c r="AE2727" i="1"/>
  <c r="AE2923" i="1"/>
  <c r="AE261" i="1"/>
  <c r="AE267" i="1"/>
  <c r="AE272" i="1"/>
  <c r="AE276" i="1"/>
  <c r="AE280" i="1"/>
  <c r="AE282" i="1"/>
  <c r="AE288" i="1"/>
  <c r="AE294" i="1"/>
  <c r="AE300" i="1"/>
  <c r="AE308" i="1"/>
  <c r="AE311" i="1"/>
  <c r="AE317" i="1"/>
  <c r="AE319" i="1"/>
  <c r="AE323" i="1"/>
  <c r="AE336" i="1"/>
  <c r="AE347" i="1"/>
  <c r="AE353" i="1"/>
  <c r="AE373" i="1"/>
  <c r="AE384" i="1"/>
  <c r="AE1993" i="1"/>
  <c r="AE387" i="1"/>
  <c r="AE391" i="1"/>
  <c r="AE395" i="1"/>
  <c r="AE398" i="1"/>
  <c r="AE746" i="1"/>
  <c r="AE771" i="1"/>
  <c r="AE823" i="1"/>
  <c r="AE1308" i="1"/>
  <c r="AE1434" i="1"/>
  <c r="AE959" i="1"/>
  <c r="AE961" i="1"/>
  <c r="AE965" i="1"/>
  <c r="AE984" i="1"/>
  <c r="AE973" i="1"/>
  <c r="AE998" i="1"/>
  <c r="AE1008" i="1"/>
  <c r="AE1003" i="1"/>
  <c r="AE1028" i="1"/>
  <c r="AE1037" i="1"/>
  <c r="AE1039" i="1"/>
  <c r="AE1048" i="1"/>
  <c r="AE1057" i="1"/>
  <c r="AE1063" i="1"/>
  <c r="AE1054" i="1"/>
  <c r="AE1079" i="1"/>
  <c r="AE1093" i="1"/>
  <c r="AE1090" i="1"/>
  <c r="AE1108" i="1"/>
  <c r="AE1119" i="1"/>
  <c r="AE1125" i="1"/>
  <c r="AE1129" i="1"/>
  <c r="AE1135" i="1"/>
  <c r="AE1149" i="1"/>
  <c r="AE1145" i="1"/>
  <c r="AE1155" i="1"/>
  <c r="AE1167" i="1"/>
  <c r="AE1174" i="1"/>
  <c r="AE1182" i="1"/>
  <c r="AE1186" i="1"/>
  <c r="AE1207" i="1"/>
  <c r="AE1209" i="1"/>
  <c r="AE1211" i="1"/>
  <c r="AE1213" i="1"/>
  <c r="AE1220" i="1"/>
  <c r="AE1225" i="1"/>
  <c r="AE1228" i="1"/>
  <c r="AE1230" i="1"/>
  <c r="AE1235" i="1"/>
  <c r="AE1238" i="1"/>
  <c r="AE1241" i="1"/>
  <c r="AE1246" i="1"/>
  <c r="AE1251" i="1"/>
  <c r="AE1256" i="1"/>
  <c r="AE1266" i="1"/>
  <c r="AE1270" i="1"/>
  <c r="AE1273" i="1"/>
  <c r="AE1275" i="1"/>
  <c r="AE1280" i="1"/>
  <c r="AE1282" i="1"/>
  <c r="AE1286" i="1"/>
  <c r="AE1288" i="1"/>
  <c r="AE1296" i="1"/>
  <c r="AE1298" i="1"/>
  <c r="AE1359" i="1"/>
  <c r="AE1361" i="1"/>
  <c r="AE1369" i="1"/>
  <c r="AE1373" i="1"/>
  <c r="AE1375" i="1"/>
  <c r="AE1377" i="1"/>
  <c r="AE1381" i="1"/>
  <c r="AE1386" i="1"/>
  <c r="AE1390" i="1"/>
  <c r="AE1391" i="1"/>
  <c r="AE1393" i="1"/>
  <c r="AE1397" i="1"/>
  <c r="AE1401" i="1"/>
  <c r="AE1403" i="1"/>
  <c r="AE1410" i="1"/>
  <c r="AE1414" i="1"/>
  <c r="AE1416" i="1"/>
  <c r="AE1419" i="1"/>
  <c r="AE1424" i="1"/>
  <c r="AE1425" i="1"/>
  <c r="AE1427" i="1"/>
  <c r="AE1438" i="1"/>
  <c r="AE1431" i="1"/>
  <c r="AE969" i="1"/>
  <c r="AE964" i="1"/>
  <c r="AE989" i="1"/>
  <c r="AE994" i="1"/>
  <c r="AE1001" i="1"/>
  <c r="AE1007" i="1"/>
  <c r="AE1031" i="1"/>
  <c r="AE1043" i="1"/>
  <c r="AE1058" i="1"/>
  <c r="AE1062" i="1"/>
  <c r="AE1069" i="1"/>
  <c r="AE1073" i="1"/>
  <c r="AE1085" i="1"/>
  <c r="AE1105" i="1"/>
  <c r="AE1104" i="1"/>
  <c r="AE1120" i="1"/>
  <c r="AE1128" i="1"/>
  <c r="AE1140" i="1"/>
  <c r="AE1138" i="1"/>
  <c r="AE1159" i="1"/>
  <c r="AE1153" i="1"/>
  <c r="AE1172" i="1"/>
  <c r="AE1181" i="1"/>
  <c r="AE1194" i="1"/>
  <c r="AE1208" i="1"/>
  <c r="AE1231" i="1"/>
  <c r="AE1259" i="1"/>
  <c r="AE1356" i="1"/>
  <c r="AE1374" i="1"/>
  <c r="AE1378" i="1"/>
  <c r="AE1392" i="1"/>
  <c r="AE1409" i="1"/>
  <c r="AE1417" i="1"/>
  <c r="AE1426" i="1"/>
  <c r="AE1492" i="1"/>
  <c r="AE1523" i="1"/>
  <c r="AE1805" i="1"/>
  <c r="AE1741" i="1"/>
  <c r="AE2079" i="1"/>
  <c r="AE1581" i="1"/>
  <c r="AE1837" i="1"/>
  <c r="AE1861" i="1"/>
  <c r="AE1863" i="1"/>
  <c r="AE1876" i="1"/>
  <c r="AE1880" i="1"/>
  <c r="AE1882" i="1"/>
  <c r="AE1895" i="1"/>
  <c r="AE1901" i="1"/>
  <c r="AE2101" i="1"/>
  <c r="AE2000" i="1"/>
  <c r="AE1750" i="1"/>
  <c r="AE1755" i="1"/>
  <c r="AE1766" i="1"/>
  <c r="AE1771" i="1"/>
  <c r="AE1779" i="1"/>
  <c r="AE1780" i="1"/>
  <c r="AE1785" i="1"/>
  <c r="AE1788" i="1"/>
  <c r="AE1798" i="1"/>
  <c r="AE1800" i="1"/>
  <c r="AE1803" i="1"/>
  <c r="AE1839" i="1"/>
  <c r="AE1842" i="1"/>
  <c r="AE1844" i="1"/>
  <c r="AE1853" i="1"/>
  <c r="AE1855" i="1"/>
  <c r="AE1860" i="1"/>
  <c r="AE1864" i="1"/>
  <c r="AE1866" i="1"/>
  <c r="AE1868" i="1"/>
  <c r="AE1869" i="1"/>
  <c r="AE1877" i="1"/>
  <c r="AE1881" i="1"/>
  <c r="AE1883" i="1"/>
  <c r="AE1887" i="1"/>
  <c r="AE1885" i="1"/>
  <c r="AE1896" i="1"/>
  <c r="AE1892" i="1"/>
  <c r="AE1899" i="1"/>
  <c r="AE1900" i="1"/>
  <c r="AE1906" i="1"/>
  <c r="AE2692" i="1"/>
  <c r="AE2065" i="1"/>
  <c r="AE2204" i="1"/>
  <c r="AE2229" i="1"/>
  <c r="AE2274" i="1"/>
  <c r="AE2286" i="1"/>
  <c r="AE2287" i="1"/>
  <c r="AE2380" i="1"/>
  <c r="AE2565" i="1"/>
  <c r="AE2713" i="1"/>
  <c r="AE2299" i="1"/>
  <c r="AE3001" i="1"/>
  <c r="AE3002" i="1"/>
  <c r="AE3032" i="1"/>
  <c r="AE3033" i="1"/>
  <c r="AE3149" i="1"/>
  <c r="AE2433" i="1"/>
  <c r="AE3168" i="1"/>
  <c r="AE3191" i="1"/>
  <c r="AE2897" i="1"/>
  <c r="AE2518" i="1"/>
  <c r="AE2316" i="1"/>
  <c r="AE2370" i="1"/>
  <c r="AE2367" i="1"/>
  <c r="AE2383" i="1"/>
  <c r="AE2471" i="1"/>
  <c r="AE2483" i="1"/>
  <c r="AE2573" i="1"/>
  <c r="AE2596" i="1"/>
  <c r="AE2813" i="1"/>
  <c r="AE2649" i="1"/>
  <c r="AE2844" i="1"/>
  <c r="AE3051" i="1"/>
  <c r="AE2575" i="1"/>
  <c r="AE2041" i="1"/>
  <c r="AE2073" i="1"/>
  <c r="AE2074" i="1"/>
  <c r="AE1598" i="1"/>
  <c r="AE2283" i="1"/>
  <c r="AE2281" i="1"/>
  <c r="AE2386" i="1"/>
  <c r="AE2363" i="1"/>
  <c r="AE2368" i="1"/>
  <c r="AE2384" i="1"/>
  <c r="AE2373" i="1"/>
  <c r="AE2404" i="1"/>
  <c r="AE2412" i="1"/>
  <c r="AE2509" i="1"/>
  <c r="AE2617" i="1"/>
  <c r="AE2656" i="1"/>
  <c r="AE2672" i="1"/>
  <c r="AE2700" i="1"/>
  <c r="AE2801" i="1"/>
  <c r="AE2695" i="1"/>
  <c r="AE2975" i="1"/>
  <c r="AE2460" i="1"/>
  <c r="AE3129" i="1"/>
  <c r="AE3201" i="1"/>
  <c r="AE2070" i="1"/>
  <c r="AE2348" i="1"/>
  <c r="AE2166" i="1"/>
  <c r="AE3203" i="1"/>
  <c r="AE3204" i="1"/>
  <c r="AE3081" i="1"/>
  <c r="AE2759" i="1"/>
  <c r="AE2440" i="1"/>
  <c r="AE2680" i="1"/>
  <c r="AE2084" i="1"/>
  <c r="AE2699" i="1"/>
  <c r="AE2117" i="1"/>
  <c r="AE2297" i="1"/>
  <c r="AE2570" i="1"/>
  <c r="AE2086" i="1"/>
  <c r="AE2149" i="1"/>
  <c r="AE2410" i="1"/>
  <c r="AE2475" i="1"/>
  <c r="AE2728" i="1"/>
  <c r="AE2062" i="1"/>
  <c r="AE2081" i="1"/>
  <c r="AE2112" i="1"/>
  <c r="AE2332" i="1"/>
  <c r="AE2393" i="1"/>
  <c r="AE2457" i="1"/>
  <c r="AE2494" i="1"/>
  <c r="AE2532" i="1"/>
  <c r="AE2711" i="1"/>
  <c r="AE2953" i="1"/>
  <c r="AE3099" i="1"/>
  <c r="AE2666" i="1"/>
  <c r="AE2047" i="1"/>
  <c r="AE2120" i="1"/>
  <c r="AE2259" i="1"/>
  <c r="AE2355" i="1"/>
  <c r="AE2527" i="1"/>
  <c r="AE2809" i="1"/>
  <c r="AE3091" i="1"/>
  <c r="AE3167" i="1"/>
  <c r="AE149" i="1"/>
  <c r="AE153" i="1"/>
  <c r="AE155" i="1"/>
  <c r="AE161" i="1"/>
  <c r="AE238" i="1"/>
  <c r="AE242" i="1"/>
  <c r="AE246" i="1"/>
  <c r="AE250" i="1"/>
  <c r="AE254" i="1"/>
  <c r="AE258" i="1"/>
  <c r="AE409" i="1"/>
  <c r="AE417" i="1"/>
  <c r="AE432" i="1"/>
  <c r="AE437" i="1"/>
  <c r="AE451" i="1"/>
  <c r="AE443" i="1"/>
  <c r="AE448" i="1"/>
  <c r="AE459" i="1"/>
  <c r="AE463" i="1"/>
  <c r="AE467" i="1"/>
  <c r="AE482" i="1"/>
  <c r="AE484" i="1"/>
  <c r="AE492" i="1"/>
  <c r="AE498" i="1"/>
  <c r="AE499" i="1"/>
  <c r="AE503" i="1"/>
  <c r="AE507" i="1"/>
  <c r="AE513" i="1"/>
  <c r="AE515" i="1"/>
  <c r="AE526" i="1"/>
  <c r="AE537" i="1"/>
  <c r="AE532" i="1"/>
  <c r="AE534" i="1"/>
  <c r="AE531" i="1"/>
  <c r="AE540" i="1"/>
  <c r="AE542" i="1"/>
  <c r="AE550" i="1"/>
  <c r="AE561" i="1"/>
  <c r="AE544" i="1"/>
  <c r="AE546" i="1"/>
  <c r="AE565" i="1"/>
  <c r="AE552" i="1"/>
  <c r="AE554" i="1"/>
  <c r="AE563" i="1"/>
  <c r="AE570" i="1"/>
  <c r="AE574" i="1"/>
  <c r="AE567" i="1"/>
  <c r="AE579" i="1"/>
  <c r="AE583" i="1"/>
  <c r="AE585" i="1"/>
  <c r="AE600" i="1"/>
  <c r="AE603" i="1"/>
  <c r="AE586" i="1"/>
  <c r="AE588" i="1"/>
  <c r="AE592" i="1"/>
  <c r="AE594" i="1"/>
  <c r="AE613" i="1"/>
  <c r="AE610" i="1"/>
  <c r="AE625" i="1"/>
  <c r="AE619" i="1"/>
  <c r="AE626" i="1"/>
  <c r="AE628" i="1"/>
  <c r="AE630" i="1"/>
  <c r="AE617" i="1"/>
  <c r="AE645" i="1"/>
  <c r="AE664" i="1"/>
  <c r="AE644" i="1"/>
  <c r="AE650" i="1"/>
  <c r="AE652" i="1"/>
  <c r="AE658" i="1"/>
  <c r="AE662" i="1"/>
  <c r="AE667" i="1"/>
  <c r="AE642" i="1"/>
  <c r="AE670" i="1"/>
  <c r="AE679" i="1"/>
  <c r="AE671" i="1"/>
  <c r="AE677" i="1"/>
  <c r="AE682" i="1"/>
  <c r="AE687" i="1"/>
  <c r="AE689" i="1"/>
  <c r="AE691" i="1"/>
  <c r="AE693" i="1"/>
  <c r="AE676" i="1"/>
  <c r="AE720" i="1"/>
  <c r="AE724" i="1"/>
  <c r="AE700" i="1"/>
  <c r="AE703" i="1"/>
  <c r="AE705" i="1"/>
  <c r="AE707" i="1"/>
  <c r="AE709" i="1"/>
  <c r="AE711" i="1"/>
  <c r="AE713" i="1"/>
  <c r="AE715" i="1"/>
  <c r="AE719" i="1"/>
  <c r="AE723" i="1"/>
  <c r="AE954" i="1"/>
  <c r="AE958" i="1"/>
  <c r="AE967" i="1"/>
  <c r="AE960" i="1"/>
  <c r="AE962" i="1"/>
  <c r="AE983" i="1"/>
  <c r="AE985" i="1"/>
  <c r="AE988" i="1"/>
  <c r="AE972" i="1"/>
  <c r="AE993" i="1"/>
  <c r="AE1000" i="1"/>
  <c r="AE1019" i="1"/>
  <c r="AE1009" i="1"/>
  <c r="AE1015" i="1"/>
  <c r="AE1018" i="1"/>
  <c r="AE1023" i="1"/>
  <c r="AE1025" i="1"/>
  <c r="AE1029" i="1"/>
  <c r="AE1036" i="1"/>
  <c r="AE1038" i="1"/>
  <c r="AE1033" i="1"/>
  <c r="AE1041" i="1"/>
  <c r="AE1046" i="1"/>
  <c r="AE1049" i="1"/>
  <c r="AE1056" i="1"/>
  <c r="AE1060" i="1"/>
  <c r="AE1051" i="1"/>
  <c r="AE1064" i="1"/>
  <c r="AE1075" i="1"/>
  <c r="AE1083" i="1"/>
  <c r="AE1088" i="1"/>
  <c r="AE1065" i="1"/>
  <c r="AE1080" i="1"/>
  <c r="AE1082" i="1"/>
  <c r="AE1092" i="1"/>
  <c r="AE1096" i="1"/>
  <c r="AE1099" i="1"/>
  <c r="AE1114" i="1"/>
  <c r="AE1094" i="1"/>
  <c r="AE1102" i="1"/>
  <c r="AE1107" i="1"/>
  <c r="AE1111" i="1"/>
  <c r="AE1118" i="1"/>
  <c r="AE1124" i="1"/>
  <c r="AE1126" i="1"/>
  <c r="AE1130" i="1"/>
  <c r="AE1132" i="1"/>
  <c r="AE1134" i="1"/>
  <c r="AE1142" i="1"/>
  <c r="AE1152" i="1"/>
  <c r="AE1157" i="1"/>
  <c r="AE1144" i="1"/>
  <c r="AE1147" i="1"/>
  <c r="AE1150" i="1"/>
  <c r="AE1156" i="1"/>
  <c r="AE1164" i="1"/>
  <c r="AE1168" i="1"/>
  <c r="AE1177" i="1"/>
  <c r="AE1175" i="1"/>
  <c r="AE1178" i="1"/>
  <c r="AE1183" i="1"/>
  <c r="AE1185" i="1"/>
  <c r="AE1187" i="1"/>
  <c r="AE1196" i="1"/>
  <c r="AE1190" i="1"/>
  <c r="AE251" i="1"/>
  <c r="AE405" i="1"/>
  <c r="AE412" i="1"/>
  <c r="AE415" i="1"/>
  <c r="AE419" i="1"/>
  <c r="AE416" i="1"/>
  <c r="AE423" i="1"/>
  <c r="AE428" i="1"/>
  <c r="AE434" i="1"/>
  <c r="AE439" i="1"/>
  <c r="AE440" i="1"/>
  <c r="AE444" i="1"/>
  <c r="AE449" i="1"/>
  <c r="AE461" i="1"/>
  <c r="AE455" i="1"/>
  <c r="AE460" i="1"/>
  <c r="AE479" i="1"/>
  <c r="AE468" i="1"/>
  <c r="AE473" i="1"/>
  <c r="AE477" i="1"/>
  <c r="AE456" i="1"/>
  <c r="AE493" i="1"/>
  <c r="AE488" i="1"/>
  <c r="AE500" i="1"/>
  <c r="AE496" i="1"/>
  <c r="AE520" i="1"/>
  <c r="AE504" i="1"/>
  <c r="AE506" i="1"/>
  <c r="AE508" i="1"/>
  <c r="AE510" i="1"/>
  <c r="AE512" i="1"/>
  <c r="AE522" i="1"/>
  <c r="AE516" i="1"/>
  <c r="AE523" i="1"/>
  <c r="AE525" i="1"/>
  <c r="AE527" i="1"/>
  <c r="AE530" i="1"/>
  <c r="AE533" i="1"/>
  <c r="AE535" i="1"/>
  <c r="AE536" i="1"/>
  <c r="AE539" i="1"/>
  <c r="AE541" i="1"/>
  <c r="AE543" i="1"/>
  <c r="AE558" i="1"/>
  <c r="AE560" i="1"/>
  <c r="AE562" i="1"/>
  <c r="AE545" i="1"/>
  <c r="AE547" i="1"/>
  <c r="AE549" i="1"/>
  <c r="AE551" i="1"/>
  <c r="AE553" i="1"/>
  <c r="AE555" i="1"/>
  <c r="AE557" i="1"/>
  <c r="AE564" i="1"/>
  <c r="AE571" i="1"/>
  <c r="AE575" i="1"/>
  <c r="AE566" i="1"/>
  <c r="AE568" i="1"/>
  <c r="AE578" i="1"/>
  <c r="AE572" i="1"/>
  <c r="AE580" i="1"/>
  <c r="AE584" i="1"/>
  <c r="AE599" i="1"/>
  <c r="AE601" i="1"/>
  <c r="AE582" i="1"/>
  <c r="AE604" i="1"/>
  <c r="AE587" i="1"/>
  <c r="AE589" i="1"/>
  <c r="AE591" i="1"/>
  <c r="AE593" i="1"/>
  <c r="AE595" i="1"/>
  <c r="AE597" i="1"/>
  <c r="AE609" i="1"/>
  <c r="AE614" i="1"/>
  <c r="AE618" i="1"/>
  <c r="AE620" i="1"/>
  <c r="AE635" i="1"/>
  <c r="AE621" i="1"/>
  <c r="AE623" i="1"/>
  <c r="AE627" i="1"/>
  <c r="AE629" i="1"/>
  <c r="AE633" i="1"/>
  <c r="AE612" i="1"/>
  <c r="AE643" i="1"/>
  <c r="AE660" i="1"/>
  <c r="AE663" i="1"/>
  <c r="AE636" i="1"/>
  <c r="AE665" i="1"/>
  <c r="AE647" i="1"/>
  <c r="AE649" i="1"/>
  <c r="AE651" i="1"/>
  <c r="AE653" i="1"/>
  <c r="AE655" i="1"/>
  <c r="AE657" i="1"/>
  <c r="AE659" i="1"/>
  <c r="AE666" i="1"/>
  <c r="AE668" i="1"/>
  <c r="AE641" i="1"/>
  <c r="AE639" i="1"/>
  <c r="AE674" i="1"/>
  <c r="AE694" i="1"/>
  <c r="AE669" i="1"/>
  <c r="AE672" i="1"/>
  <c r="AE680" i="1"/>
  <c r="AE683" i="1"/>
  <c r="AE686" i="1"/>
  <c r="AE688" i="1"/>
  <c r="AE690" i="1"/>
  <c r="AE692" i="1"/>
  <c r="AE698" i="1"/>
  <c r="AE675" i="1"/>
  <c r="AE718" i="1"/>
  <c r="AE721" i="1"/>
  <c r="AE726" i="1"/>
  <c r="AE702" i="1"/>
  <c r="AE704" i="1"/>
  <c r="AE706" i="1"/>
  <c r="AE710" i="1"/>
  <c r="AE712" i="1"/>
  <c r="AE717" i="1"/>
  <c r="AE725" i="1"/>
  <c r="AE953" i="1"/>
  <c r="AE956" i="1"/>
  <c r="AE957" i="1"/>
  <c r="AE963" i="1"/>
  <c r="AE955" i="1"/>
  <c r="AE977" i="1"/>
  <c r="AE982" i="1"/>
  <c r="AE986" i="1"/>
  <c r="AE981" i="1"/>
  <c r="AE991" i="1"/>
  <c r="AE997" i="1"/>
  <c r="AE992" i="1"/>
  <c r="AE995" i="1"/>
  <c r="AE1017" i="1"/>
  <c r="AE1002" i="1"/>
  <c r="AE1011" i="1"/>
  <c r="AE1014" i="1"/>
  <c r="AE1016" i="1"/>
  <c r="AE1020" i="1"/>
  <c r="AE1022" i="1"/>
  <c r="AE1024" i="1"/>
  <c r="AE1030" i="1"/>
  <c r="AE1035" i="1"/>
  <c r="AE1040" i="1"/>
  <c r="AE1032" i="1"/>
  <c r="AE1044" i="1"/>
  <c r="AE1050" i="1"/>
  <c r="AE1059" i="1"/>
  <c r="AE1052" i="1"/>
  <c r="AE1067" i="1"/>
  <c r="AE1076" i="1"/>
  <c r="AE1087" i="1"/>
  <c r="AE1066" i="1"/>
  <c r="AE1074" i="1"/>
  <c r="AE1081" i="1"/>
  <c r="AE1084" i="1"/>
  <c r="AE1097" i="1"/>
  <c r="AE1100" i="1"/>
  <c r="AE1113" i="1"/>
  <c r="AE1098" i="1"/>
  <c r="AE1112" i="1"/>
  <c r="AE1121" i="1"/>
  <c r="AE1123" i="1"/>
  <c r="AE1127" i="1"/>
  <c r="AE1141" i="1"/>
  <c r="AE1137" i="1"/>
  <c r="AE1139" i="1"/>
  <c r="AE1154" i="1"/>
  <c r="AE1143" i="1"/>
  <c r="AE1148" i="1"/>
  <c r="AE1151" i="1"/>
  <c r="AE1162" i="1"/>
  <c r="AE1165" i="1"/>
  <c r="AE1171" i="1"/>
  <c r="AE1173" i="1"/>
  <c r="AE1176" i="1"/>
  <c r="AE1184" i="1"/>
  <c r="AE1191" i="1"/>
  <c r="AE1195" i="1"/>
  <c r="AE1198" i="1"/>
  <c r="AE1201" i="1"/>
  <c r="AE1263" i="1"/>
  <c r="AE351" i="1"/>
  <c r="AE396" i="1"/>
  <c r="AE433" i="1"/>
  <c r="AE469" i="1"/>
  <c r="AE521" i="1"/>
  <c r="AE360" i="1"/>
  <c r="AE365" i="1"/>
  <c r="AE457" i="1"/>
  <c r="AE495" i="1"/>
  <c r="AE505" i="1"/>
  <c r="AE524" i="1"/>
  <c r="AE379" i="1"/>
  <c r="AE486" i="1"/>
  <c r="AE518" i="1"/>
  <c r="AE362" i="1"/>
  <c r="AE386" i="1"/>
  <c r="AE476" i="1"/>
  <c r="AE464" i="1"/>
  <c r="AE1497" i="1"/>
  <c r="AE6" i="1"/>
  <c r="AE14" i="1"/>
  <c r="AE10" i="1"/>
  <c r="AE1909" i="1"/>
  <c r="AE426" i="1"/>
  <c r="AE462" i="1"/>
  <c r="AE485" i="1"/>
  <c r="AE517" i="1"/>
  <c r="AE548" i="1"/>
  <c r="AE581" i="1"/>
  <c r="AE622" i="1"/>
  <c r="AE656" i="1"/>
  <c r="AE410" i="1"/>
  <c r="AE445" i="1"/>
  <c r="AE478" i="1"/>
  <c r="AE509" i="1"/>
  <c r="AE559" i="1"/>
  <c r="AE573" i="1"/>
  <c r="AE616" i="1"/>
  <c r="AE648" i="1"/>
  <c r="AE406" i="1"/>
  <c r="AE446" i="1"/>
  <c r="AE480" i="1"/>
  <c r="AE501" i="1"/>
  <c r="AE538" i="1"/>
  <c r="AE576" i="1"/>
  <c r="AE661" i="1"/>
  <c r="AE697" i="1"/>
  <c r="AE429" i="1"/>
  <c r="AE471" i="1"/>
  <c r="AE511" i="1"/>
  <c r="AE529" i="1"/>
  <c r="AE556" i="1"/>
  <c r="AE590" i="1"/>
  <c r="AE632" i="1"/>
  <c r="AE640" i="1"/>
  <c r="Y371" i="1"/>
  <c r="AE371" i="1"/>
  <c r="AE346" i="1"/>
  <c r="Z3208" i="1"/>
  <c r="AB3208" i="1"/>
  <c r="E2246" i="1"/>
  <c r="E2781" i="1"/>
  <c r="E2544" i="1"/>
  <c r="E2173" i="1"/>
  <c r="E2907" i="1"/>
  <c r="E3202" i="1"/>
  <c r="E3194" i="1"/>
  <c r="E2753" i="1"/>
  <c r="E2507" i="1"/>
  <c r="E408" i="1"/>
  <c r="E3187" i="1"/>
  <c r="E2971" i="1"/>
  <c r="E2666" i="1"/>
  <c r="E2518" i="1"/>
  <c r="E3060" i="1"/>
  <c r="E2811" i="1"/>
  <c r="E2626" i="1"/>
  <c r="E2215" i="1"/>
  <c r="E2908" i="1"/>
  <c r="AE797" i="1"/>
  <c r="AE133" i="1"/>
  <c r="AE2715" i="1"/>
  <c r="AE2581" i="1"/>
  <c r="AE2986" i="1"/>
  <c r="AE2318" i="1"/>
  <c r="AE2213" i="1"/>
  <c r="AE1192" i="1"/>
  <c r="AE138" i="1"/>
  <c r="AE141" i="1"/>
  <c r="AE145" i="1"/>
  <c r="AE864" i="1"/>
  <c r="AE22" i="1"/>
  <c r="AE966" i="1"/>
  <c r="AE135" i="1"/>
  <c r="AE136" i="1"/>
  <c r="AE143" i="1"/>
  <c r="AE147" i="1"/>
  <c r="AE716" i="1"/>
  <c r="AE20" i="1"/>
  <c r="AE60" i="1"/>
  <c r="AE1699" i="1"/>
  <c r="AE2262" i="1"/>
  <c r="AE2308" i="1"/>
  <c r="AE2336" i="1"/>
  <c r="AE2371" i="1"/>
  <c r="AE2605" i="1"/>
  <c r="AE2646" i="1"/>
  <c r="AE3008" i="1"/>
  <c r="AE2592" i="1"/>
  <c r="AE3181" i="1"/>
  <c r="AE3205" i="1"/>
  <c r="AE2889" i="1"/>
  <c r="AE685" i="1"/>
  <c r="AE454" i="1"/>
  <c r="AE865" i="1"/>
  <c r="AE1389" i="1"/>
  <c r="AE1448" i="1"/>
  <c r="AE1816" i="1"/>
  <c r="AE2296" i="1"/>
  <c r="AE1670" i="1"/>
  <c r="AE1683" i="1"/>
  <c r="AE2601" i="1"/>
  <c r="AE2701" i="1"/>
  <c r="AE2836" i="1"/>
  <c r="AE2921" i="1"/>
  <c r="AE2925" i="1"/>
  <c r="AE2950" i="1"/>
  <c r="AE1010" i="1"/>
  <c r="AE131" i="1"/>
  <c r="AE30" i="1"/>
  <c r="AE1276" i="1"/>
  <c r="AE109" i="1"/>
  <c r="AE1956" i="1"/>
  <c r="AE1443" i="1"/>
  <c r="AE1505" i="1"/>
  <c r="AE2130" i="1"/>
  <c r="AE2091" i="1"/>
  <c r="AE1496" i="1"/>
  <c r="AE18" i="1"/>
  <c r="AE63" i="1"/>
  <c r="AE152" i="1"/>
  <c r="AE1053" i="1"/>
  <c r="AE2525" i="1"/>
  <c r="AE127" i="1"/>
  <c r="AE1402" i="1"/>
  <c r="AE1618" i="1"/>
  <c r="AE1629" i="1"/>
  <c r="AE1641" i="1"/>
  <c r="AE1461" i="1"/>
  <c r="AE115" i="1"/>
  <c r="AE1161" i="1"/>
  <c r="AE54" i="1"/>
  <c r="AE897" i="1"/>
  <c r="AE2606" i="1"/>
  <c r="AE832" i="1"/>
  <c r="AE2303" i="1"/>
  <c r="AE2492" i="1"/>
  <c r="AE2528" i="1"/>
  <c r="AE38" i="1"/>
  <c r="AE46" i="1"/>
  <c r="AE877" i="1"/>
  <c r="AE1122" i="1"/>
  <c r="AE1950" i="1"/>
  <c r="AE1632" i="1"/>
  <c r="AE1686" i="1"/>
  <c r="AE2247" i="1"/>
  <c r="AE2276" i="1"/>
  <c r="AE2583" i="1"/>
  <c r="AE2708" i="1"/>
  <c r="AE2761" i="1"/>
  <c r="AE119" i="1"/>
  <c r="AE848" i="1"/>
  <c r="AE922" i="1"/>
  <c r="AE968" i="1"/>
  <c r="AE1170" i="1"/>
  <c r="AE1479" i="1"/>
  <c r="AE2177" i="1"/>
  <c r="AE103" i="1"/>
  <c r="AE950" i="1"/>
  <c r="AE978" i="1"/>
  <c r="AE1343" i="1"/>
  <c r="AE1405" i="1"/>
  <c r="AE2033" i="1"/>
  <c r="AE1591" i="1"/>
  <c r="AE2208" i="1"/>
  <c r="AE2244" i="1"/>
  <c r="AE2407" i="1"/>
  <c r="AE2554" i="1"/>
  <c r="AE2816" i="1"/>
  <c r="AE2909" i="1"/>
  <c r="AE1109" i="1"/>
  <c r="AE160" i="1"/>
  <c r="AE404" i="1"/>
  <c r="AE422" i="1"/>
  <c r="AE596" i="1"/>
  <c r="AE1021" i="1"/>
  <c r="AE1988" i="1"/>
  <c r="AE2162" i="1"/>
  <c r="AE2450" i="1"/>
  <c r="AE2712" i="1"/>
  <c r="AE2707" i="1"/>
  <c r="AE2788" i="1"/>
  <c r="AE16" i="1"/>
  <c r="AE52" i="1"/>
  <c r="AE111" i="1"/>
  <c r="AE126" i="1"/>
  <c r="AE606" i="1"/>
  <c r="AE846" i="1"/>
  <c r="AE912" i="1"/>
  <c r="AE1077" i="1"/>
  <c r="AE1307" i="1"/>
  <c r="AE1400" i="1"/>
  <c r="AE1485" i="1"/>
  <c r="AE1515" i="1"/>
  <c r="AE2075" i="1"/>
  <c r="AE2119" i="1"/>
  <c r="AE2288" i="1"/>
  <c r="AE2500" i="1"/>
  <c r="AE2587" i="1"/>
  <c r="AE2505" i="1"/>
  <c r="AE2740" i="1"/>
  <c r="AE2825" i="1"/>
  <c r="AE2663" i="1"/>
  <c r="AE2885" i="1"/>
  <c r="AE28" i="1"/>
  <c r="AE106" i="1"/>
  <c r="AE129" i="1"/>
  <c r="AE146" i="1"/>
  <c r="AE607" i="1"/>
  <c r="AE934" i="1"/>
  <c r="AE980" i="1"/>
  <c r="AE1136" i="1"/>
  <c r="AE1411" i="1"/>
  <c r="AE1495" i="1"/>
  <c r="AE2869" i="1"/>
  <c r="AE1110" i="1"/>
  <c r="AE987" i="1"/>
  <c r="AE36" i="1"/>
  <c r="AE117" i="1"/>
  <c r="AE154" i="1"/>
  <c r="AE414" i="1"/>
  <c r="AE598" i="1"/>
  <c r="AE1013" i="1"/>
  <c r="AE1166" i="1"/>
  <c r="AE1441" i="1"/>
  <c r="AE1949" i="1"/>
  <c r="AE1874" i="1"/>
  <c r="AE2236" i="1"/>
  <c r="AE2395" i="1"/>
  <c r="AE2411" i="1"/>
  <c r="AE2549" i="1"/>
  <c r="AE2760" i="1"/>
  <c r="AE2780" i="1"/>
  <c r="AE1006" i="1"/>
  <c r="AE44" i="1"/>
  <c r="AE107" i="1"/>
  <c r="AE121" i="1"/>
  <c r="AE427" i="1"/>
  <c r="AE605" i="1"/>
  <c r="AE837" i="1"/>
  <c r="AE886" i="1"/>
  <c r="AE1045" i="1"/>
  <c r="AE1202" i="1"/>
  <c r="AE1398" i="1"/>
  <c r="AE1453" i="1"/>
  <c r="AE1944" i="1"/>
  <c r="AE1954" i="1"/>
  <c r="AE2097" i="1"/>
  <c r="AE2228" i="1"/>
  <c r="AE2255" i="1"/>
  <c r="AE2418" i="1"/>
  <c r="AE2151" i="1"/>
  <c r="AE2594" i="1"/>
  <c r="AE2744" i="1"/>
  <c r="AE2817" i="1"/>
  <c r="AE2837" i="1"/>
  <c r="AE2879" i="1"/>
  <c r="AE2862" i="1"/>
  <c r="AE24" i="1"/>
  <c r="AE40" i="1"/>
  <c r="AE50" i="1"/>
  <c r="AE56" i="1"/>
  <c r="AE116" i="1"/>
  <c r="AE8" i="1"/>
  <c r="AE26" i="1"/>
  <c r="AE33" i="1"/>
  <c r="AE42" i="1"/>
  <c r="AE48" i="1"/>
  <c r="AE65" i="1"/>
  <c r="AE105" i="1"/>
  <c r="AE122" i="1"/>
  <c r="CV3208" i="1"/>
  <c r="AE120" i="1"/>
  <c r="AE128" i="1"/>
  <c r="AE140" i="1"/>
  <c r="AE2327" i="1"/>
  <c r="AE1199" i="1"/>
  <c r="AE833" i="1"/>
  <c r="AE2252" i="1"/>
  <c r="AE2032" i="1"/>
  <c r="AE695" i="1"/>
  <c r="AE79" i="1"/>
  <c r="AE87" i="1"/>
  <c r="AE95" i="1"/>
  <c r="AE163" i="1"/>
  <c r="AE167" i="1"/>
  <c r="AE171" i="1"/>
  <c r="AE175" i="1"/>
  <c r="AE179" i="1"/>
  <c r="AE183" i="1"/>
  <c r="AE189" i="1"/>
  <c r="AE192" i="1"/>
  <c r="AE196" i="1"/>
  <c r="AE200" i="1"/>
  <c r="AE205" i="1"/>
  <c r="AE209" i="1"/>
  <c r="AE212" i="1"/>
  <c r="AE216" i="1"/>
  <c r="AE222" i="1"/>
  <c r="AE226" i="1"/>
  <c r="AE230" i="1"/>
  <c r="AE232" i="1"/>
  <c r="AE236" i="1"/>
  <c r="AE634" i="1"/>
  <c r="AE172" i="1"/>
  <c r="AE180" i="1"/>
  <c r="AE193" i="1"/>
  <c r="AE206" i="1"/>
  <c r="AE213" i="1"/>
  <c r="AE217" i="1"/>
  <c r="AE863" i="1"/>
  <c r="AE813" i="1"/>
  <c r="AE1872" i="1"/>
  <c r="AE77" i="1"/>
  <c r="AE85" i="1"/>
  <c r="AE93" i="1"/>
  <c r="AE165" i="1"/>
  <c r="AE169" i="1"/>
  <c r="AE173" i="1"/>
  <c r="AE177" i="1"/>
  <c r="AE181" i="1"/>
  <c r="AE185" i="1"/>
  <c r="AE190" i="1"/>
  <c r="AE194" i="1"/>
  <c r="AE198" i="1"/>
  <c r="AE202" i="1"/>
  <c r="AE207" i="1"/>
  <c r="AE210" i="1"/>
  <c r="AE214" i="1"/>
  <c r="AE220" i="1"/>
  <c r="AE224" i="1"/>
  <c r="AE228" i="1"/>
  <c r="AE218" i="1"/>
  <c r="AE234" i="1"/>
  <c r="AE178" i="1"/>
  <c r="AE187" i="1"/>
  <c r="AE211" i="1"/>
  <c r="AE435" i="1"/>
  <c r="AE2187" i="1"/>
  <c r="AE2365" i="1"/>
  <c r="AE577" i="1"/>
  <c r="AE608" i="1"/>
  <c r="AE637" i="1"/>
  <c r="AE654" i="1"/>
  <c r="AE821" i="1"/>
  <c r="AE849" i="1"/>
  <c r="AE945" i="1"/>
  <c r="AE1371" i="1"/>
  <c r="AE828" i="1"/>
  <c r="AE812" i="1"/>
  <c r="AE811" i="1"/>
  <c r="AE839" i="1"/>
  <c r="AE851" i="1"/>
  <c r="AE402" i="1"/>
  <c r="AE631" i="1"/>
  <c r="AE855" i="1"/>
  <c r="AE976" i="1"/>
  <c r="AE1407" i="1"/>
  <c r="AE1429" i="1"/>
  <c r="AE975" i="1"/>
  <c r="AE2080" i="1"/>
  <c r="AE1302" i="1"/>
  <c r="AE1451" i="1"/>
  <c r="AE1217" i="1"/>
  <c r="AE1469" i="1"/>
  <c r="AE1294" i="1"/>
  <c r="AE265" i="1"/>
  <c r="AE274" i="1"/>
  <c r="AE349" i="1"/>
  <c r="AE2777" i="1"/>
  <c r="AE892" i="1"/>
  <c r="AE113" i="1"/>
  <c r="AE905" i="1"/>
  <c r="AE4" i="1"/>
  <c r="AE306" i="1"/>
  <c r="AE2145" i="1"/>
  <c r="AE2325" i="1"/>
  <c r="AE2732" i="1"/>
  <c r="AE1116" i="1"/>
  <c r="AE1460" i="1"/>
  <c r="AE1836" i="1"/>
  <c r="AE458" i="1"/>
  <c r="AE1101" i="1"/>
  <c r="AE611" i="1"/>
  <c r="AE1078" i="1"/>
  <c r="AE805" i="1"/>
  <c r="AE920" i="1"/>
  <c r="AE842" i="1"/>
  <c r="AE5" i="1"/>
  <c r="AE13" i="1"/>
  <c r="AE21" i="1"/>
  <c r="AE29" i="1"/>
  <c r="AE37" i="1"/>
  <c r="AE45" i="1"/>
  <c r="AE53" i="1"/>
  <c r="AE61" i="1"/>
  <c r="AE75" i="1"/>
  <c r="AE81" i="1"/>
  <c r="AE91" i="1"/>
  <c r="AE97" i="1"/>
  <c r="AE104" i="1"/>
  <c r="AE114" i="1"/>
  <c r="AE125" i="1"/>
  <c r="AE176" i="1"/>
  <c r="AE186" i="1"/>
  <c r="AE241" i="1"/>
  <c r="AE252" i="1"/>
  <c r="AE264" i="1"/>
  <c r="AE271" i="1"/>
  <c r="AE279" i="1"/>
  <c r="AE293" i="1"/>
  <c r="AE305" i="1"/>
  <c r="AE312" i="1"/>
  <c r="AE326" i="1"/>
  <c r="AE339" i="1"/>
  <c r="AE352" i="1"/>
  <c r="AE361" i="1"/>
  <c r="AE1189" i="1"/>
  <c r="AE1457" i="1"/>
  <c r="AE1499" i="1"/>
  <c r="AE1421" i="1"/>
  <c r="AE344" i="1"/>
  <c r="AE681" i="1"/>
  <c r="AE760" i="1"/>
  <c r="AE1347" i="1"/>
  <c r="AE926" i="1"/>
  <c r="AE1222" i="1"/>
  <c r="AE1917" i="1"/>
  <c r="AE368" i="1"/>
  <c r="AE1955" i="1"/>
  <c r="AE1810" i="1"/>
  <c r="AE9" i="1"/>
  <c r="AE19" i="1"/>
  <c r="AE27" i="1"/>
  <c r="AE35" i="1"/>
  <c r="AE43" i="1"/>
  <c r="AE51" i="1"/>
  <c r="AE59" i="1"/>
  <c r="AE102" i="1"/>
  <c r="AE112" i="1"/>
  <c r="AE132" i="1"/>
  <c r="AE137" i="1"/>
  <c r="AE162" i="1"/>
  <c r="AE170" i="1"/>
  <c r="AE197" i="1"/>
  <c r="AE201" i="1"/>
  <c r="AE229" i="1"/>
  <c r="AE235" i="1"/>
  <c r="AE260" i="1"/>
  <c r="AE269" i="1"/>
  <c r="AE277" i="1"/>
  <c r="AE286" i="1"/>
  <c r="AE297" i="1"/>
  <c r="AE303" i="1"/>
  <c r="AE318" i="1"/>
  <c r="AE331" i="1"/>
  <c r="AE337" i="1"/>
  <c r="AE356" i="1"/>
  <c r="AE363" i="1"/>
  <c r="AE1317" i="1"/>
  <c r="AE1071" i="1"/>
  <c r="AE799" i="1"/>
  <c r="AE1034" i="1"/>
  <c r="AE375" i="1"/>
  <c r="AE2031" i="1"/>
  <c r="AE1477" i="1"/>
  <c r="AE1188" i="1"/>
  <c r="AE1793" i="1"/>
  <c r="AE1250" i="1"/>
  <c r="AE1962" i="1"/>
  <c r="AE11" i="1"/>
  <c r="AE17" i="1"/>
  <c r="AE25" i="1"/>
  <c r="AE34" i="1"/>
  <c r="AE41" i="1"/>
  <c r="AE49" i="1"/>
  <c r="AE57" i="1"/>
  <c r="AE66" i="1"/>
  <c r="AE73" i="1"/>
  <c r="AE83" i="1"/>
  <c r="AE89" i="1"/>
  <c r="AE99" i="1"/>
  <c r="AE110" i="1"/>
  <c r="AE144" i="1"/>
  <c r="AE157" i="1"/>
  <c r="AE203" i="1"/>
  <c r="AE223" i="1"/>
  <c r="AE239" i="1"/>
  <c r="AE268" i="1"/>
  <c r="AE275" i="1"/>
  <c r="AE289" i="1"/>
  <c r="AE295" i="1"/>
  <c r="AE310" i="1"/>
  <c r="AE322" i="1"/>
  <c r="AE328" i="1"/>
  <c r="AE343" i="1"/>
  <c r="AE345" i="1"/>
  <c r="AE364" i="1"/>
  <c r="AE974" i="1"/>
  <c r="AE377" i="1"/>
  <c r="AE1547" i="1"/>
  <c r="AE1055" i="1"/>
  <c r="AE330" i="1"/>
  <c r="AE369" i="1"/>
  <c r="AE699" i="1"/>
  <c r="AE1042" i="1"/>
  <c r="AE1115" i="1"/>
  <c r="AE646" i="1"/>
  <c r="AE1193" i="1"/>
  <c r="AE1462" i="1"/>
  <c r="AE1445" i="1"/>
  <c r="AE866" i="1"/>
  <c r="AE638" i="1"/>
  <c r="AE1243" i="1"/>
  <c r="AE1847" i="1"/>
  <c r="AE7" i="1"/>
  <c r="AE15" i="1"/>
  <c r="AE23" i="1"/>
  <c r="AE31" i="1"/>
  <c r="AE39" i="1"/>
  <c r="AE47" i="1"/>
  <c r="AE55" i="1"/>
  <c r="AE64" i="1"/>
  <c r="AE100" i="1"/>
  <c r="AE108" i="1"/>
  <c r="AE130" i="1"/>
  <c r="AE139" i="1"/>
  <c r="AE164" i="1"/>
  <c r="AE168" i="1"/>
  <c r="AE195" i="1"/>
  <c r="AE204" i="1"/>
  <c r="AE231" i="1"/>
  <c r="AE233" i="1"/>
  <c r="AE259" i="1"/>
  <c r="AE262" i="1"/>
  <c r="AE273" i="1"/>
  <c r="AE281" i="1"/>
  <c r="AE285" i="1"/>
  <c r="AE301" i="1"/>
  <c r="AE314" i="1"/>
  <c r="AE320" i="1"/>
  <c r="AE335" i="1"/>
  <c r="AE348" i="1"/>
  <c r="AE355" i="1"/>
  <c r="AE283" i="1"/>
  <c r="AE291" i="1"/>
  <c r="AE299" i="1"/>
  <c r="AE309" i="1"/>
  <c r="AE316" i="1"/>
  <c r="AE324" i="1"/>
  <c r="AE333" i="1"/>
  <c r="AE341" i="1"/>
  <c r="AE350" i="1"/>
  <c r="AE359" i="1"/>
  <c r="AE367" i="1"/>
  <c r="AE392" i="1"/>
  <c r="AE383" i="1"/>
  <c r="AE390" i="1"/>
  <c r="AE397" i="1"/>
  <c r="AE380" i="1"/>
  <c r="AE381" i="1"/>
  <c r="AE393" i="1"/>
  <c r="AE388" i="1"/>
  <c r="AE399" i="1"/>
  <c r="AE1846" i="1"/>
  <c r="AE68" i="1"/>
  <c r="AE72" i="1"/>
  <c r="AE80" i="1"/>
  <c r="AE88" i="1"/>
  <c r="AE96" i="1"/>
  <c r="AE123" i="1"/>
  <c r="AE158" i="1"/>
  <c r="AE191" i="1"/>
  <c r="AE225" i="1"/>
  <c r="AE255" i="1"/>
  <c r="AE1233" i="1"/>
  <c r="AE909" i="1"/>
  <c r="AE1239" i="1"/>
  <c r="AE1232" i="1"/>
  <c r="AE1795" i="1"/>
  <c r="AE1336" i="1"/>
  <c r="AE1408" i="1"/>
  <c r="AE69" i="1"/>
  <c r="AE78" i="1"/>
  <c r="AE86" i="1"/>
  <c r="AE94" i="1"/>
  <c r="AE118" i="1"/>
  <c r="AE150" i="1"/>
  <c r="AE182" i="1"/>
  <c r="AE215" i="1"/>
  <c r="AE247" i="1"/>
  <c r="AE862" i="1"/>
  <c r="AE990" i="1"/>
  <c r="AE817" i="1"/>
  <c r="AE971" i="1"/>
  <c r="AE1229" i="1"/>
  <c r="AE1247" i="1"/>
  <c r="AE615" i="1"/>
  <c r="AE1406" i="1"/>
  <c r="AE1200" i="1"/>
  <c r="AE873" i="1"/>
  <c r="AE673" i="1"/>
  <c r="AE996" i="1"/>
  <c r="AE1951" i="1"/>
  <c r="AE70" i="1"/>
  <c r="AE76" i="1"/>
  <c r="AE84" i="1"/>
  <c r="AE92" i="1"/>
  <c r="AE142" i="1"/>
  <c r="AE174" i="1"/>
  <c r="AE208" i="1"/>
  <c r="AA3208" i="1"/>
  <c r="AE684" i="1"/>
  <c r="AE1117" i="1"/>
  <c r="AE1197" i="1"/>
  <c r="AE2211" i="1"/>
  <c r="AE2203" i="1"/>
  <c r="AE911" i="1"/>
  <c r="AE678" i="1"/>
  <c r="AE1179" i="1"/>
  <c r="AE1827" i="1"/>
  <c r="AE67" i="1"/>
  <c r="AE71" i="1"/>
  <c r="AE74" i="1"/>
  <c r="AE82" i="1"/>
  <c r="AE90" i="1"/>
  <c r="AE98" i="1"/>
  <c r="AE134" i="1"/>
  <c r="AE166" i="1"/>
  <c r="AE199" i="1"/>
  <c r="AE219" i="1"/>
  <c r="AE1656" i="1"/>
  <c r="Y3208" i="1"/>
  <c r="AE3" i="1"/>
  <c r="AE2623" i="1"/>
  <c r="AE3208" i="1"/>
</calcChain>
</file>

<file path=xl/sharedStrings.xml><?xml version="1.0" encoding="utf-8"?>
<sst xmlns="http://schemas.openxmlformats.org/spreadsheetml/2006/main" count="25916" uniqueCount="5635">
  <si>
    <t>AFECTADO PUENTE VEHICULAR RIO SAN ANTONIO VIA EL HATILLO - JESUS MARIA. VIA SABANETA - PUEBLO VIEJOVIA MATA DE PLATANO - LA MESA- EL DAIMANTE- GUAYABAL. CREPAD DE SANTANDER  DR. JORGE GERARDO CONCHA, CORREO ELECTRONICO. APOYO DEL FNC MEDIANTE GIRO DIRECTO AL CLOPAD PARA ALQUILER DE MAQUINARIA Y COMPRA DE COMBUSTIBLE.. EL VALOR DE OTROS CORRESPONDE A TUBERIA DE 1/2, de 3/4 y de 1 " RDE</t>
  </si>
  <si>
    <t>DESBORDAMIENTO DE LO RIOS: BLANCO, MINERO- SEGUNDA TEMPORADA FENOMENO DE LA NIÑA 2010-2011, ESTA INFORMACION FUE ENVIADA VIA CORREO ELECTRONICO POR EL CREPAD DE SANTANDER, DR. JORGE CONCHA SANCHEZ APOYO DEL FNC MEDIANTE GIRO DIRECTO AL CLOPAD PARA COMPRA DE COMBUSTIBLE. EL VALOR DE OTROS CORRESPONDE A 120 TUBOS DE 36"</t>
  </si>
  <si>
    <t>VEREDA: LA SAMARIA. REPORTE DE LA DEFENSA CIVIL. 2000 CUARTONES DE 4 METROS, 3500 LISTONES DE 4 METROS, 400 KILOS DE ALAMBRE NEGRO.</t>
  </si>
  <si>
    <t>CASCO URBANO CORREGIMIENTO EL CONTENTO , PUERTO CAPULCO, Y PUERTO VIEJO. DESBORDAMIENTO RIO MAGDALENA. REPORTE DEL CREPAD. GIRO DIRECTO AL CLOPAD PARA AQUISICION ED COMBUSTIBLE, JORNALES PARA LA CONSTRUCCION DE MUROS DE CONTENCION, RELLENO SELECCIONADO, ALQUILER DE MAQUINARIA , LIMPIEZA DE MATERIAL VEGETAL, ALIMENTACION PARA OBREROY PLASTICO NEGRO.</t>
  </si>
  <si>
    <t>APOYO DEL FNC MEDIANTE GIRO DIRECTO AL CREPAD PARA ALQUILER DE MAQUINARIA.</t>
  </si>
  <si>
    <t>AFECTADOS 130 KILOMETROS DE VIAS QUE TIENEN INCOMUNICADOS 18 CORREGIMIENTOS  APOYO DEL FNC MEDIANTE GIRO DIRECTO AL CLOPAD PARA COMPRA DE COMBUSTIBLE PAR LA REHABILITACION VIAL.</t>
  </si>
  <si>
    <t>VEREDAS LOS CRISTALES, SAN PEDRO, ALEMANIA, LAS NIEVES, LA TIGRERA, BARRIO FUNDADORES, BELALCAZAR, OLIMPICO, SIMON BOLIVAR. VALOR DE OTROS  30 ROLLOS DE MANGUERA DE 1/2"</t>
  </si>
  <si>
    <t>126 TUBOS DE 36",  UNA ARROBA PUNTILLA DE 2 Y 3" UNA ARROBA DE ALAMBRE NEGRO. 736 VARILLAS DE 1/2. 210 VARILLAS E 3/8, 504 VARILLA PARA FLEJE,   1052 KILOS DE ALAMBRE GALVANIZADO CALIBRE 12, 50 PERROS, 250 BULTOS DE CEMENTO, 152 VARILLAS PARA CANASTILLAS,  50 BATERIAS SANITARIAS</t>
  </si>
  <si>
    <t>APOYO DEL FNC MEDIANTE GIRO DIRECTO AL CLOPAD PARA LIMPIEZA DE RIOS Y QUEBRADAS CON MAQUINARIA PESADA. EL VALOR DE OTROS CORREPONDE A 40 OLLAS TIPO FONDO</t>
  </si>
  <si>
    <t>DATO ACTUALIZADO POR EL CLOPAD MEDIANTE CORREO ELECTRONICO DEL 26 DE JULIO DE 2011</t>
  </si>
  <si>
    <t>APOYO DEL FNC MEDIANTE GIRO DIRECTO AL CLOPAD PARA ALQUILER DE MAQUINARIA PARA LA CANALIZACION DEL RIO ARIARI.</t>
  </si>
  <si>
    <t>GIRO DIRECTO PARA ALQUILER DE MAQUINARIA PARA REMOCION DE DERRUMBES</t>
  </si>
  <si>
    <t>REPRESAMIENTO QUEBRADA SANTA RITA</t>
  </si>
  <si>
    <t>PASTOS Y CULTIVOS DE PANCOGER</t>
  </si>
  <si>
    <t>VEREDAS LAS ANIMAS, EL CAFÉ, EL VENADO, PUERTO CAMELIAS, CABECERA MUNICIPAL, CRISTALES, RMLINOS DEL CAGUAN, VEREDA MONSERRATE, VEREDA SANTO DOMINGO. REPORTE DEL CLOPAD.</t>
  </si>
  <si>
    <t>CORREGIMIWENTO SAN JUAN. REPORTE ACTUALIZADO DEL CLOPAD.</t>
  </si>
  <si>
    <r>
      <t xml:space="preserve">VEREDAS: SAN JOSE, CARBONERA, PALMAR Y ESCRITORIO. DESLIZAMIENTO DE GRAN PROPORCION, QUE DAÑO UN TRAMO DEL OLEODUCTO A MANILLA, DERRAMANDO COMBUSTIBLE EN LA ZONA, AFECTANDO LA VIAS QUE COMUNICAN A LAS VEREDAS MENCIONADAS. </t>
    </r>
    <r>
      <rPr>
        <b/>
        <sz val="9"/>
        <rFont val="Arial"/>
        <family val="2"/>
      </rPr>
      <t xml:space="preserve">RESULTARON 400 FAMILIAS INCOMUNICADAS AFECTADAS INDIRECTAMENTE. </t>
    </r>
    <r>
      <rPr>
        <sz val="9"/>
        <rFont val="Arial"/>
        <family val="2"/>
      </rPr>
      <t>REPORTE DEL CREPAD.</t>
    </r>
  </si>
  <si>
    <t>AFECTADAS VIAS SUSA - CARUPA, SUSA - FUQUENE, SUSA - VEREDA NUTRIAS, VIA SUSA - VEREDA LA ESTACION. AFECTADA ZONA RURAL. REPORTE ACTUALIZADO POR EL CLOPAD EL 28 DE JUNIO DE 2011. AFECTADAS INDIRECTAMENTE 420 FAMILIAS.</t>
  </si>
  <si>
    <t>ACTUALIZACION CREPAD</t>
  </si>
  <si>
    <t>SE PRESENTO DESBORDAMIENTO DEL RIO CAQUETA  EN EL SECTOR  EL MUELLE RESULTANDO DESTRUIDAS  3 VIVIENDAS. REPORTE  DEL CREPAD CAUCA DRA. EDITH JANETH PAZ CEL 3104495565</t>
  </si>
  <si>
    <t>DESBORDAMIENTO DE LA  QUEBRADA  PAJANOLA EN LA  VEREDA  JA UNO REPORTE  DE DEFENSA  CIVIL SR. WILLIAM SARMIENTO TEL 3199000.</t>
  </si>
  <si>
    <t>DEBIDO A  FUERTES  LLUVIAS  EN EL SECTOR  SE  HA PRESENTADO INUNDACION EN EL CORREGIMIENTO EL ENCANO  VEREDA  EL PUERTO. ORGANISMOS DE  SOCORRO REALIZAN CENSOS PENDIENTE INFORMACION REPORTE  CREPAD NARIÑO DR. JORGE  TOVAR  AVANTEL. SOCORRO NACIONAL SR. RE</t>
  </si>
  <si>
    <t>SE PRESENTO GRANIZADA, EN LAS VEREDAS: OLLA DE LAS MONAS, BOQUERON, CAÑAVERAL, AFECTACIÒN EN CULTIVOS, NO HUBO AFECTACIÒN EN VIVIENDAS, INFORMO D.C.C, SR: OSCAR RODRIGUEZ 3199000</t>
  </si>
  <si>
    <r>
      <t xml:space="preserve">VEREDA BUENAVISTA. VIA PAZ DE ARIPORO - Y MUNICIPIOS DEL NORTE DEL DEPARTAMENTO DEL CASANARE Y EL DEPARTAMENTO DE ARAUCA.. REPORTE DEL CLOPAD. </t>
    </r>
    <r>
      <rPr>
        <b/>
        <sz val="9"/>
        <rFont val="Arial"/>
        <family val="2"/>
      </rPr>
      <t>APOYO MEDIANTE GIRO DIRECTO PARA ARRIENDO TEMPORAL ($70.000.000) Y COMBUSTIBLE ($80.000.000)..EL VALOR DE OTROS CORRESPONDE A  30 TANQUES DE 5000 LITROS. TRES ROLLOS MAGUERA 3</t>
    </r>
  </si>
  <si>
    <t>APOYO DEL FNC MEDIANTE SUBSIDIO DE ARRIENDO PARA 209 FAMILIAS AFECTADAS EN LA COMUNA 4 BARRIO VILLA ESPERANZA , EL BARRENO, EL ARROYO Y VILLA SANDRA (PERIO DEL 1 DE JULIO AL 31 DE DICIEMBRE DE 2010 POR VALOR DE $313,500,000) Y 199 FAMILIAS PARA EL PERIODO COMPRENDIDO ENTRE EL 1 DE ENERO DE 2011 AL 30 JUNIO DE 2011 POR $298,500,000) AFECTADAS POR DESLIZAMIENTOS , VALOR TOPTAL $612,000,000</t>
  </si>
  <si>
    <t>VEREDAS LA FLORIDA, LADERAS, MORRO, PLACETILLAS, LOS AZULES, LA RAMADA, EL HATILLO, LA YUNGA, GUINEAL, BAJO, EL CARMEN, BAJO LLANO, LA PLAYA, PEPINAL, ALTO, SAN MIGUEL ALTO, CHALGUAYACO, FLORIDA ALTA, SAN ANTONIO, PUEBLO VIEJO, CHUPADERO, LA MONJA, REPORTE DE CLOPAD Y CREPAD PARA ACTUALIZAR INFORMACION.</t>
  </si>
  <si>
    <t>PERDIDA DE CULTIVOS DE CAFÉ, CAÑA, PLATANO, YUCA Y MAIZ.</t>
  </si>
  <si>
    <t>DESLIZAMIENTO EN UNA CANTERA DEL BARRIO: SANTA RITA SEPULTO 3 PERSONAS, FUERON RESCATADAS DOS CON VIDA Y UNA FALLECIO, INFORMO D.C.C, SR. WILLIAM SARMIENTO, 3199000, CREPAD DE ANTIOQUIA DR. GILBERTO MAZO, CEL: 3146327933</t>
  </si>
  <si>
    <t>COLAPSO DE TECHO, INFORMO CLOPAD DE PEREIRA, VIA CORREO ELÈCTRONICO</t>
  </si>
  <si>
    <t>INCENDIO ESTRUCTURAL  EN EL BARRIO EL AGUACATE-INFORMA D.C.C. DIRECCION NACIONAL SR: LUIS ALBERTO BOTIA</t>
  </si>
  <si>
    <t>DESLIZAMIENTO, COLAPSO DE UNA IGLESIA, REALIZAN EDAN, INFORMO CREPAD DEL CHOCO DR. RAFAEL ANDRES BOLAÑOS, CEL: 3136133669</t>
  </si>
  <si>
    <t xml:space="preserve">DESBORDAMIENTO DEL RIO ARQUIA, ACOMPAÑADO DE FUERTES VIENTOS, COMUNIDADES AFRODESCENDIENTES: LUISA, VIDRI, VEGADE, 1 IGLESIA AFECTADA, INFORMO: CRUZ ROJA DEL CHOCO SR. VITALINO PANESSO CEL: 3102489331, CREPAD DEL CHOCO DR. RAFAEL ANDRES BOLAÑOS, CEL: 3136133669, QUIENES ATENDIERON EMERGENCIA POR CERCANIA, SE INFORMO AL CREPAD DE ANTIOQUIA, PARA SU RESPECTIVA VERIFICACIÒN. </t>
  </si>
  <si>
    <t>EMERGENCIA REPORTADA POR EL SIRE- FOPAE</t>
  </si>
  <si>
    <t>INCENDIO ESTRUCTURAL EN LA CARRERA 23 CON CALLE 54, INFORMO D.C.C, SR. ALIRIO CARRILLO 3199000</t>
  </si>
  <si>
    <t>COLAPSO EN OBRA, INFORMO D.C.C, SR. ALIRIO CARRILLO 3199000</t>
  </si>
  <si>
    <t>MAREJADA</t>
  </si>
  <si>
    <t>VENDAVAL QUE AFECTO LA ZONA URBANA DEL MUNICIPIO-INFORMA D.C.C. DIRECCION NACIONAL</t>
  </si>
  <si>
    <t>INFORMA D.C.C. DIRECCION NACIONAL SR: OSCAR RODRIGUEZ.</t>
  </si>
  <si>
    <t>VENDAVAL, CAIDA DE POSTES DE LUZ, REALIZAN EDAN, INFORMO CREPAD DE BOLIVAR D. CARLOS DAMIAN OSPINO, CEL: 3015311871</t>
  </si>
  <si>
    <t>ZONA RURAL, INFORMO D.C.C., SR. WILLIAN SARMIENTO 3199000</t>
  </si>
  <si>
    <t>INCENDIO ESTRUCTURAL POR FUGA DE GAS, EN EL BARRIO: PRADO VERANIEGO,  INFORMO D.C.C., SR. WILLIAN SARMIENTO 3199000</t>
  </si>
  <si>
    <t>VENDAVAL, 4 CENTROS EDUCATIVOS AFECTADOS, 1 HOSPITAL AFECTADO, DAÑOS EN CULTIVOS, INFORMO CREPAD DEL CHOCO DR. RAFAEL ANDRES BOLAÑOS, CEL: 3136133669</t>
  </si>
  <si>
    <t>COMUNIDADES AFECTADAS: PIZARRO, SIVIRÙ, PAMPÒN, TERRÒN, PUNTA HIJUÀ, GUINEAL, INFORMO CREPAD DEL CHOCO DR. RAFAEL ANDRES BOLAÑOS, CEL: 3136133669</t>
  </si>
  <si>
    <t>SE PRESENTO VENDAVAL A LAS  17:00 HORAS  DEL DIA  26/08/2011 EN EL CORREGIMIENTO MOLINEROS E ISABEL LOPEZ REPORTE DEL CREPAD.</t>
  </si>
  <si>
    <t xml:space="preserve">VIA LABRANZAGRANDE - PISBA, LABRANZAGRANDE - VADOHONDO, LABRANZAGRANDE - YOPAL. ACTUALIZADO POR EL CREPAD, MEDIANTE OFICIO DEL 31 DE AGOSTO DE 2011. </t>
  </si>
  <si>
    <t>APOYO DEL FNC MEDAINTE GIRO DIRECTO AL CLOPAD PARA ADQUISICION DE COMBUSTIBLE PARA REHABILITACION DE LA MALLA VIAL.</t>
  </si>
  <si>
    <t>REPORTE DEL CREPAD. APOYO DEL FNC MEDIANTE GIRO DIRECTO AL CLOPAD PARA ALQUILER DE MAQUINARIA ($200.000.000) Y MALLA PARA GAVION Y ALAMBRE (90.000.000)</t>
  </si>
  <si>
    <t>SOLICITUD DE 60000 AMARRES, 20000 GANCHOS  PARA ASEGURAMIENTO DE TECHOS</t>
  </si>
  <si>
    <t>BARRIO EL CAMELLON. REPORTE DEL CREPAD. EL VALOR DE OTROS CORRESPONDE A : PARA REPARACIONDE L CENTRO SAN VICENTE DE PAUL.
43 unidades Vigas de 8x18x4
30 vigas de 8x18x8
9 vigas cumbrera de 8x18x4
4 vigas limahoya de 8x18x4
30 vigas pendolones de 4x18x2
94 maderas rollizas para pared
10000 Unidades de Suministro de caña puesta en obra,
60 kgs de alambre y fique, 
270 M2 de impermeabilizacion en manto asfaltico, 
10000 unidades teja colonial en barro puesta en obra</t>
  </si>
  <si>
    <t>VENDAVAL PRESENTADO EN EL CORREGIMIENTO CIENAGA DE LAS  MARIAS.  20 VIVIENDAS  FUERON AFECTADAS  EN SUS TECHOS INFORMACION DE CREPAD CORDOBA DRA. MONICA KERGUELEN  JIMENEZ CEL 3145340507, REPORTE  MINISTERIO DE LA PROTECCION SOCIAL. TEL 3305071</t>
  </si>
  <si>
    <t xml:space="preserve">APOYO PARA LOS MUNICIPIOS AFECTADOS </t>
  </si>
  <si>
    <t>SALENTO, MONTENEGRO, CIRCASIA, CORDOBA, BUENAVISTA, LA TEBAIDA Y PIJAO</t>
  </si>
  <si>
    <t>SE AUMENTA EL CAUDAL DEL CAÑO DE LA PAVA, LO QUE GENERA LA PERDIDA TOTAL DEL VIEJO PUENTE DE LA PAVA SOBRE EL MISMO RIO, Y AFECTANDO LA CARRETERA CERCANA, ESTE PUENTE COMUNICA AL DEPARTAMENTO DE ARAUCA CON LOS SANTANDERES POR LA VIA SARAVENA - PAMPLONA. REPORTE DE SOCORRO NACIONAL</t>
  </si>
  <si>
    <t>SECTORBARRIOS PRADERA, MONTE VERDE, NAVARRO WOLF Y LA ESPERANZA. DESBORDAMIENTO DEL RIO TACHIRA AFECTADO EL PUENTE INTERNACIONAL. REPORTE DEL CREPAD.</t>
  </si>
  <si>
    <t>VEREDA: LA FLORIDA. CORREGIMIENTO CORNEJO. CRECIENTE DEL RIO ZULIA, DESTRUYO UN PUENTE HAMACA. REPORTE DEL CREPAD. REPORTAN CONSOLIDADO SEGÚN ACTA NO.  004.  COLAPSO EL PUENTE LA HAMACA INUNDANDO TODO EL SECTOR. COLAPSO EL ACUEDUCTO DEL CORREGIMIENTO DE CORNEJO. PROBLEMAS DE DERRUMBES EN LA VÍA LA HAMACA.</t>
  </si>
  <si>
    <t>CULTIVOS DE PALTANO, YUCA, MAIZ, CACAO, CAÑA Y AHUYAMA, TAMBIEN PERDIDAS DE  AVES  DE  CORRAL Y ANIMALES DOMESTICOS.</t>
  </si>
  <si>
    <t>VEREDAS: CAÑOS NEGROS, CAÑO RAYA, CHISPAS, EL COLORADO, GUACAMAYAS, LINDOZA, EL DARIEN, LA UNION, CHARCO DANTO, SAN VICENTE, SAN RAFAEL. REPROTE EL CREPAD</t>
  </si>
  <si>
    <t>CASCO URBANO Y SECTOR  RURAL. REPORTE DEL CREPAD</t>
  </si>
  <si>
    <t>BARRIO AGUACATAL. FUERTES  LLUVIAS Y DESBORDAMIENTO DEL RIO CALI. PERSONA FALLECIDA  NOMBRE  JEFERSON ZUÑIGA  DE 19 AÑOS. PERSONA DESAPARECIDA FRANCISCO CHAUCANO DE  71 AÑOS. REPROTE DEL CREPAD.</t>
  </si>
  <si>
    <t>EXPLOSION POR ACUMULACION DE GASES MINA ARCO IRIS. REPROTE DE SOCORRO NACIONAL</t>
  </si>
  <si>
    <t>BARRIO LIMONAR, CALLE 1 CON 69. REPORTE DE SOCORRO NACIONAL</t>
  </si>
  <si>
    <t>ALPUJARRA</t>
  </si>
  <si>
    <t>DOLORES</t>
  </si>
  <si>
    <t>PALERMO</t>
  </si>
  <si>
    <t>AGRADO</t>
  </si>
  <si>
    <t>ALTAMIRA</t>
  </si>
  <si>
    <t>OPORAPA</t>
  </si>
  <si>
    <t>CACOTA</t>
  </si>
  <si>
    <t>LA ESPERANZA</t>
  </si>
  <si>
    <t>CONSACA</t>
  </si>
  <si>
    <t>BOAVITA</t>
  </si>
  <si>
    <t>COPER</t>
  </si>
  <si>
    <t>Puente y saltadero urbano, muelle y saltadero urbano, 2 parques municipales, casa del adulto mayor, templo de la iglesia evangelica, puente saltadero vereda limoes, muelle saltadero vereda san jose calabazal y saltadero zapotal, escuela 14 de enero, escuela vereda boca de brazo, tuberia acueducto y alcantarillado urbano</t>
  </si>
  <si>
    <t>afectados los CE san jose, feliciana, san bernardo, san gabriel, chupadero, san antonio, y la IE sagrado corazon de jesus del corregimiento del ingenio.</t>
  </si>
  <si>
    <t>vias afectadas: linares - pasto; linares - ancuya - sandona; linares - puente guaitara; linres - tabiles; linares - laguna del pueblo; afectados CE de las veredas tambillo de acostas, parapetos, higueronal, la arboleda, la laguna del pueblo y guaitara; afectos los colegios diego luis cordoba y san francisco de asis, Afectados los equipos y lementos del centro hospital ESE Juan Pablo II.</t>
  </si>
  <si>
    <t>afectada la via que conduce a la vereda tellez alto, IE municipio de funes sede buena esperanza; CE de sucumbios, afectado el tanque de abastecimiento y tuberias de conduccion de la veredas sucumbios; lineas de conduccion del acueducto de la vereda soledad</t>
  </si>
  <si>
    <t>61 AGRICULTORES, vias afectadas la florida - rodeo - el maco; tunja - matituy; la florida - robles - yunguilla - pucara, afectado el CE de yunguilla</t>
  </si>
  <si>
    <t>405 AGRICULTORES</t>
  </si>
  <si>
    <t>via el tblon - rio janacatu - municipio de san jose de alban, CE san isidro vereda campo alegre</t>
  </si>
  <si>
    <t>vias: macas centro; carlosama - cuatro esquinas; carlosama - santa rosa - el eden; chavisnan - cumbal; carlosama - puente tierra; CE el carchi, chavisnan, chautala, arellanos y san francisco del socorro; acueducto urbano y san francisnco; bocatoma acueducto casco urbano</t>
  </si>
  <si>
    <t>via san antonio - la cocha, CE de la vereda la cocha</t>
  </si>
  <si>
    <t xml:space="preserve">escuela de la vereda papi boca; afectados los saltaderos de chilvi, palsapi, y el muelle de la vereda pumbi </t>
  </si>
  <si>
    <t>DE LAS 227 FAMILIAS, 121 CORRESPONDE A AGRICULTORES, AFECTADO EL ACUEDUCTO DEL CORREGIMIENTO DE PASISARA</t>
  </si>
  <si>
    <t>PERDIDA DEL FERRI QUE COMUNICA BARBACOAS CON MAGUI PAYAN</t>
  </si>
  <si>
    <t>VIA BELEN - PLAZUELAS</t>
  </si>
  <si>
    <t>DE LAS 2667 FAMILIAS, 110 CORRESPONDE A AGRICULTORES.</t>
  </si>
  <si>
    <t>vias de acceso  a las veredas capuli, mexico, placer, san jose del cidral, la sultana - plan verde - chuza - san pedro - cafelina, pueblo viejo, el tambo - motilon, CE san antonio de chuza, CE san jose del cidral</t>
  </si>
  <si>
    <t>alcantarillado del casco urbano</t>
  </si>
  <si>
    <t>705 AGRICULTORES</t>
  </si>
  <si>
    <t>PERDIDA DEL FERRI QUE COMUNICA BARBACOAS CON MAGUI PAYAN.</t>
  </si>
  <si>
    <t>gualmatan - puente boyaca, gualmatan - iles, gualmatan - ipiales.</t>
  </si>
  <si>
    <t>via que conduce del municipio de potosi a ipiales, colapso del sistema de alcantarillado del casco urbano</t>
  </si>
  <si>
    <t xml:space="preserve">via la union - el mayo; via del bario cuatro de junio; via del barrio sucre, escuela del guabo, villamaria, la castilla, escuela el contadero, el sauce, acueducto regional de la cañada, acueducto regional de reyes segunda etapa, acueducto municipal urbano, acueducto regional de buenos aires, acueducto sector la caldera - la betulia - y mayo parte baja, </t>
  </si>
  <si>
    <t>via la floresta, la palma, el maco, CE santa rosa, el palmar, la florida, bocatomas de las veredas la palma y el murcielago, CS de la vereda el palmar</t>
  </si>
  <si>
    <t xml:space="preserve">77 AGRICULTORES, </t>
  </si>
  <si>
    <t>46 AGRICULTORES, via afectada: panoya - el paramo</t>
  </si>
  <si>
    <t>C.E. SAN FELIPE, I.E. SANTA ROSA DE LIMA, I.E. GUABANGUANA, I.E. RAFAEL URIBE URIBE SEDE PIO 12, ACUEDUCTO MENESES HURTADO.</t>
  </si>
  <si>
    <t>VIAS QUE CONDUCEN DE SAN LUIS A LA LAGUNA, VIA LA LAGUNA - CHITARRA, VIA CHORRILLO - CHAQUILULO. I.E. NUESTRA SEÑORA DEL PILAR</t>
  </si>
  <si>
    <t>697 AGRICULTORES, afectada la via terciaria que conduce desde sotomayor a las veredas de: san francisco, la planada, guayabal, curiaco, aminda, carrizal, villanueva, arenal, quebradahonda, campobello, ya la via guabos - pangus; afectados los CS de las veredas guayabal y pangus</t>
  </si>
  <si>
    <t>IE anexa san luis gonzara; CE guasi; CE rosario pamba; CE polachayan, alcantarillado del casco urbano</t>
  </si>
  <si>
    <t>C.E. DIVINO NIÑO DE GUAITARILLA</t>
  </si>
  <si>
    <t>APOYADO EL MUNICIPIO EN FECHA POSTERIOR</t>
  </si>
  <si>
    <t>no</t>
  </si>
  <si>
    <t>APOYO DEL FNC MEDIANTE GIRO DIRECTO AL CLOPAD PARA ALQUILER DE MAQUINARIA Y COMBUSTIBLE.</t>
  </si>
  <si>
    <t>EL VALOR DE OTROS CORRESPONDE A 454 VARILLAS DE 1/2</t>
  </si>
  <si>
    <t>APOYADO JUNTO CON LA EMERGENICA DEL 6 DE JULIO</t>
  </si>
  <si>
    <t>BARRIO: SAN VICENTE, INFORMO MINISTERIO DE LA PROTECCION SOCIAL SR. JOHN VELASQUEZ 3305071, SOCORRO NACIONAL SR. RENE 4376369, CREPAD DEL CHOCO DR. RAFAEL BOLAÑO CEL: 3136133669 PENDIENTE MAS INFORMACION</t>
  </si>
  <si>
    <t>BARRIOS: CAÑON ALTO, APOSENTOS ERMITAÑO, PEDREGAL, SANTO ECCEHOMO , VEREDA  EL RESGUARDO Y VEREDA  ROA. AFECTACION EN CULTIVOS DE  ARVEJA, DURAZNO, CURUBO, MORA, CEBOLLA LARGA. INFORMACION CREPAD BOYACA</t>
  </si>
  <si>
    <t>BARRIOS CENTRO, UOA, SALADO, MERCEDES  SECTOR  TAPIAS, LLANO DE  TABACO Y DUARTES. AFECTACION EN CULTIVOS DE  CEBOLLA, MAIZ FRIJOL Y PASTOS. INFORMACION CREPAD BOYACA</t>
  </si>
  <si>
    <t>SECTORES  TEJAR  ARRIBA, CARBONERA, APOSENTOS, FIOTA. FRUTALES AFECTADOS. INFORMACION CREPAD BOYACA</t>
  </si>
  <si>
    <t>BARRIOS  SAN BERNARDO, CUSSAGUI, CAÑITAS, SAN ANTONIO, VARGAS, EL CARMEN, ATICO, CENTRO. INFORMACION CREPAD BOYACA</t>
  </si>
  <si>
    <t>SECTORES EL RECUERDO, SANTA  BARBARA, ALCAPARRAL,  LAS ACACIAS, VANEGAS, LA MANGA, TAMARINDO, MAROMA. INFORMACION CREPAD BOYACA</t>
  </si>
  <si>
    <t>SECTORES  RICAYA  SUR, SIATOCA, CENTRO, MORAL SUR, MORAL NORTE. INFORMACION CREPAD BOYACA</t>
  </si>
  <si>
    <t>SECTORES  GUINTIVA, PORAVITA, FORAVITA, CENTRO. INFORMACION CREPAD BOYACA</t>
  </si>
  <si>
    <t>VEREDAS ALTO DEL SOTE, LA  CASETA, SALVIAL, CRUCERO, LA  CARBONERA.INFORMACION DEL CREPAD BOYACA.</t>
  </si>
  <si>
    <t>VARIOS SECTORES.</t>
  </si>
  <si>
    <t>VEREDA MORTIÑAL  AFECTACION EN CULTIVOS DE  MORA  Y PASTOS. INFORMACION DE CREPAD BOYACA.</t>
  </si>
  <si>
    <t>SECTORES LAJA, MORTIÑO, POZO  BAJO, CURITAL, LA CHAPA, SOCHUELO, BOCHE. AFECTACION EN CULTIVOS  DE PAPA, DURAZNO, MAIZ, HORTALIZAS, HABA, PASTOS. INFORMACION CREPAD BOYACA.</t>
  </si>
  <si>
    <t>SECTORES PEREZ, VARGAS, SUSE, DAITO, TOBAL, HATOLAGUNA, QUEBRADAS. INFORMACION DE  CREPAD BOYACA.</t>
  </si>
  <si>
    <t>ACTUALIZACION VISOR POR PARTE DEL CREPAD.</t>
  </si>
  <si>
    <t>DESBORDAMIENTO DEL ARROYO GRANDE, BARRIO: SAN CARLOS, REALIZAN EDAN, INFORMO D.C.C, SR. ALBERTO BOTTIA 3199000, CREPAD DE SUCRE SRA: JEANETH JULIO TEL: 2740393</t>
  </si>
  <si>
    <t>DESBORDAMIENTO DEL RIO GUAYURIBA, VEREDA: LAS MERCEDES, SECTOR: RIO NEGRITO, AFECTADOS: 2 PUENTES COLGANTES, 1 ESCUELA, 1 IGLESIA, REALIZAN EDAN, INFORMO: SOCORRO NACIONAL SRA: SANDY MARROQUIN 4376369, CLOPAD DE VILLAVICENCIO, VIA AVANTEL</t>
  </si>
  <si>
    <t>DESBORDAMIENTO DEL RIO CRAVO SUR, VEREDAS: LA MANGA, RINCON DE LA MANGA, LA CALCETA, REALIZAN EDAN, INFORMA D.C.C, SR. ALBERTO BOTIA 3199000</t>
  </si>
  <si>
    <t>PUERTO LEGUIZAMO</t>
  </si>
  <si>
    <t>AFECTADO EL CORREGIMIENTO: SANTA ROSA, Y UN POLIDEPORTIVO, INFORMO CREPAD BOLIVAR DR:CARLOS DAMIAN OSPINO.</t>
  </si>
  <si>
    <t>AFECTADOS LOS BARRIOS: RANCHO LINDO, HUMEDAL, Y RIVERAS DEL RIO POR DESBORDAMIENTO DEL RIO PUTUMAYO- INFORMO D.C.C. SR: WILLIAN SARMIENTO</t>
  </si>
  <si>
    <t>INUNDACIONES Y DESLIZAMIENTOS POR FUERTES LLUVIAS, BARRIOS: VILLA ROSITA, NUEVA PROVIDENCIA, PALMAR, FREDONIA, OLAYA, SECTOR: MAGDALENA, SAN FRANCISCO, REALIZAN EDAN, CREPAD DE BOLIVAR DR. CARLOS DAMIAN OSPINO, VIA AVANTEL, D.C.C SR. ALIRIO CARRILLO 3199000</t>
  </si>
  <si>
    <t>DESLIZAMIENTO DE TIERRA EN ZONA URBANA, BARRIO: CAMACOL, VEREDA: LAS DELICIAS, INFORMO SOCORRO NACIONAL SR. RENE VELASQUEZ 3305071, CREPAD DE ANTIOQUIA DR. GILBERTO MAZO, CEL: 3146327933, PENDIENTE MAS INFORMACION</t>
  </si>
  <si>
    <t>INCENDIO PRESENTADO EN UNA FABRICA  DE  HILAZAS CALLE  41 SUR  CON CRA 52C  BARRIO LA  ALQUERIA. CONTROLADO Y EXTINGUIDO POR  BOMBEROS. REPORTE  DE  SOCORRO NACIONAL SANDY MARROQUIN TEL. 4376369</t>
  </si>
  <si>
    <t>DESTRUCCION DE  2 VIVIENDAS. PERDIDAS DE ENSERES REPORTE DEFENSA  CIVIL. SR. ALIRIO CARRILLO TEL. 3199000</t>
  </si>
  <si>
    <t>EVENTO SE PRESENTO EN UNA POLVORERIA UBICADA  EN EL BARRIO ONCE  DE  NOVIEMBRE  SOLO DAÑOS MATERIALES. REPORTE   CREPAD NORTE  DE  SANTANDER  DR. ALDEMAR  GARCIA AVANTEL</t>
  </si>
  <si>
    <t>RAYO CAYO SOBRE  CANCHA DE  FÚTBOL DONDE  UNOS NIÑOS HACÍAN PRACTICAS. HERIDOS TRASLADADOS  A LA  CLÍNICA  VALLE  DEL LILI DEFENSA  CIVIL SR. ALIRIO CARRILLO  TEL 3199000.</t>
  </si>
  <si>
    <t>DESBORDAMIENTO DE LOS RIOS: INIRIDA Y GUAVIARE, AFECTANDO, AL MPIO DE INIRIDA, CORREGIMIENTOS E INSPECCIONES: MAPIRIPINA, BARRANCO MINAS, CAÑO CANIVEL, CAÑO BOCON, MANABÌ,CAÑO COLORADO, SE ESTÀ REALIZANDO JORNADA HUMANITARIA EN LAS INSTALACIONES DE LA DEFENSA CIVIL COLOMBIANA,  CON EL PROPOSITO DE RECOGER AYUDAS PARA LAS PERSONAS AFECTADAS, ESTÀ LABOR ESTÀ LIDERADA POR LA GOBERNACIÒN Y LA ALCALDIA</t>
  </si>
  <si>
    <t xml:space="preserve">INCENDIO PRESENTADO EN EL SECTOR   TRES  DE  JUNIO DE  LA  CIUDAD DE  CARTAGENA. VIVIENDAS HECHAS EN MADERA,    EVENTO FUE  CONTROLADO Y EXTINGUIDO POR  BOMBEROS  DE  CARTAGENA . REPORTE CREPAD BOLIVAR  DR. DAMIAN OSPINO AVANTEL. </t>
  </si>
  <si>
    <t xml:space="preserve">CONTINUA LA EMERGENICA EN LOS COREGIMIENTOS DE LA BALSA, LA ESPERANZA, EL PAISAJE, RABO LARGO, VILLA LIBIA, LA CONCEPCION, LAS PALMITAS, </t>
  </si>
  <si>
    <t>VEREDA LA  CEIBA Y SAJANDI REPORTE DEL CREPAD</t>
  </si>
  <si>
    <r>
      <t xml:space="preserve">CREPAD DE SANTANDER  DR. JORGE GERARDO CONCHA, CORREO ELECTRONICO. </t>
    </r>
    <r>
      <rPr>
        <b/>
        <sz val="9"/>
        <rFont val="Arial"/>
        <family val="2"/>
      </rPr>
      <t>APOYO DEL FNC MEDIANTE GIRO DIRECTO AL CLOPAD PARA COMPRA DE COMBUSTIBLE Y ALQUILER DE MAQUINARIA</t>
    </r>
  </si>
  <si>
    <t>AFECTACION EN VIAS. APOYO DEL FNC MEDIANTE GIRO DIRECTO AL CLOPAD PARA COMBUSTIBLE, LUBRCANTES Y ALQUILER DE MAQUINARIA.</t>
  </si>
  <si>
    <t xml:space="preserve">SE PRESENTO DESLIZAMIENTO EN OBRA  DENTRO  DEL TUNEL DE LOS ALPES UNO EN EL KM 39 EN LA  VIA  CAJAMARCA-CALARCA. LOS HERIDOS FUERON ATENDIDOS EN HOSPITAL DE  CAJAMARCA. REPORTE  SOCORRO NACIONAL SR. OSCAR  COLLAZOS RED  ADMINISTRATIVA,  CREPAD TOLIMA  SR. JAIRO  VELASQUEZ CEL 3158950087, DGR, CT. DANIEL CASTAÑO AVANTEL. </t>
  </si>
  <si>
    <t>SECTORES  AFECTADOS BARRIO LA  CULTURA, BARRIO RINCON SANTO, CALLE 4 CON CRA 9, SE  ESTA  PENDIENTE  DE  AFECTACION INFORMACION DE CREPAD QUINDIO DR. ENRIQUE  GRAJALES AVANTEL, SOCORRO NACIONAL SR. RENE VELASQUEZ TEL 4376369 MINISTERIO DE PROTECCION SOCIAL . SR. JOSE  MIGUEL VELASQUEZ TEL 3305071</t>
  </si>
  <si>
    <t>REPORTE DEL CLOPAD AFECTADA MARGEN IZQUIERDA RIO GUAMAL, , PUENTE VEHICULAR VEREDA GIRAMENA, PUENTE VEHICULAR SOBRE RIO GUAYURIBA, PUENTE PEATONAL SOBRE RIO ACACIAS Y VIVIENDAS EN LA INSPECCION SURIMENA.</t>
  </si>
  <si>
    <t xml:space="preserve">APOYO DEL FNC MEDAINTE GIRO DIRECTO AL CLOPAD PARA ALQUILER DE MAQUINARIA PESADA PARA ADELANTAR TRABAJOS DE DRAGADO Y CANALIZACION DEL CAUCE DEL RIO CULEBRERO, REHABILITACION EN EL SECTOR CRAVO COROZO DEL MUNICIPIO DE TAME. </t>
  </si>
  <si>
    <t>SOLICITAN APOYO EN TEJAS PARA REPARACION DE VIVIENDAS AFECTADAS DURANTE LA TEMPORADA 2010 - 2011.</t>
  </si>
  <si>
    <t xml:space="preserve">PERDIDA DE CULTIVOS DE CAFÉ, PLATANO, YUCA, FRIJOL Y TOMATE. </t>
  </si>
  <si>
    <t xml:space="preserve"> EL VALOR DE OTROS CORREPONDE A 120 TUBOS DE 36"</t>
  </si>
  <si>
    <t>AFECTADAS VIAS TAPIAS LA ESPERANZA EL CARMEN, ONZAGA - RAMAL, ONZAGA - CHAGUACA, ONZAGA - SIACHIA, PUENTE NUEVO - CORTADERAS, ONZAGA - TIERRA AZUL, ONZAGA - TINAVITA - TOMBITA - SIANOGA - SUSA - EL UVAL, ONZAGA - BOQUERON - PADUA - LA MESA - EL PEÑON, BOQUERON - SABANETA - ALTAMIRA - GAVIOTAS - EL CARMEN, VEGAS DE PADUA - PORTACHUELO.  APOYO DEL FNC MEDIANTE GIRO DIRECTO AL CLOPAD PARA ADQUISICION DE COMBUSTIBLE.</t>
  </si>
  <si>
    <t>DESLIZAMIENTO QUE DESTRUYO UNA VIVIENDA, UNA MEÑOR FALLECIDA EN LA VEREDA  EL AGUILA- INFORMA: CREPAD ANTIOQUIA DR: GILBERTO MAZO</t>
  </si>
  <si>
    <t xml:space="preserve">DESBORDAMIENTO DE LA QUEBRADA  MIRACIELO EN EL CORREGIMIENTO BABEGA DEJANDO 4 VEHICULOS DESTRUIDOS.  INFORMACION DEL CREPAD NORTE  DE  SANTANDER  DR. CARLOS ALDEMAR  GARCIA  VIA  AVANTEL. SOCORRO NACIONAL SR. RENE VELASQUEZ TEL 4376369 </t>
  </si>
  <si>
    <t>INFORMA D.C.C.  SEÑOR: WILLIAN SARMIENTO</t>
  </si>
  <si>
    <t>CAIDA DE ARBOLES SOBRE LAS VÌAS EN EL CORREGIMIENTO DE POTRERITO, INFORMO SOCORRO NACIONAL,SRA. SANDY MARROQUIN, 4376369</t>
  </si>
  <si>
    <t>EN LA MADRUGADA  DEL 23/08/2011 SE PRESENTO FUERTES VIENTOS EN LAS COMUNIDADES DE: SIVIRU, TERRON, PIZARRO, GUINEAL, PUNTA  IGUA, DOCAMPADO, PAMPON. REPORTE  DEL CREPAD CHOCO. DR. RAFAEL BOLAÑOS  CORREO ELECTRONICO Y SOCORRO NACIONAL CHOCO DR. VITALINO PANESSO.</t>
  </si>
  <si>
    <t>UNA FAMILIA AFECTADA  CON PERDIDA DE  ENSERES  Y LAMINAS DE  ZINC. REPORTE  DEL CREPAD QUINDIO CORREO ELCTRONICO.</t>
  </si>
  <si>
    <t>VENDAVAL AFECTANDO ZONA RURAL Y URBANA, UN CENTRO EDUCATIVO AFECTADO DE NOMBRE: INSTITUTO DE EDUCACIÒN SUPERIOR FRANCISCO LONDOÑO, CAIDA DE ÀRBOLES AFECTADO VÌAS SECUNDARIAS, INFORMO CREPAD DEL QUINDIO, VÌA CORREO ELÈCTRONICO</t>
  </si>
  <si>
    <t xml:space="preserve"> DEBIDO A  FUERTES VIENTOS RESULTO DESTRUIDA  LA VIVIENDA  EN EL BARRIO ALFONSO LOPEZ. REPORTE  CLOPAD CUCUTA VIA  AVANTEL.</t>
  </si>
  <si>
    <t>EL EVENTO SE PRESENTO EN LA ZONA URBANA  DEL MUNICIPIO  REPORTA  DEFENSA  CIVIL SR. ALIRIO CARRILLO TEL 3199000.</t>
  </si>
  <si>
    <t xml:space="preserve">REPORTA SOCORRO NACIONAL DE  AFECTACION DE APROXIMADA MENTE DE 25 VIVIENDAS A CAUSA DE LAS  LLUVIAS DE LA  MADRUGADA, EL PERSONAL DE SOCORRO DE  DEFENSA CIVIL, CRUZ ROJA,BOMBEROS Y POLICA ASI COMO EL COMITÉ  LOCAL DE  EMERGENCIAS INFORMA  QUE EL CREPAD YA  LE  HA   HECHO  ENTREGA DE  ELEMENTOS  PARA SER  ENTREGADOS  IGUALMENTE A LA  COMUNIDAD, A LA  HORA  EL  PERSONAL DE  SOCORRO SE   RETIRA DEL  LUGAR YA  QUE  SE  ESTA  PRESENTANDO  LLUVIAS, Y  EL DIA  DE  MAÑANA  SE  REINICIAN   LAS  LABORES.  </t>
  </si>
  <si>
    <t>EL SEÑOR WILFREDO OSPINA DEL FOPAE INFORMA DE UN VENDAVAL EN LA  LOCALIDAD DE SUBA  BARRIO LAS  VILLAS  CALLE 134 CON  CARRERA 59A, AFECTADONSE 20 VIVIENDAS, VALLAS  PUBLICITARIAS Y ARBOLES,LINEAS DE  CORRIENTE DE  MEDIA  TENCION,EN EL SITIO SE  ENCUENTRA  PERSONAL DE CODENSA,BOMBEROS,POLICIA,DEFENSA CIVIL,FOPAE,GAS  NATURAL,</t>
  </si>
  <si>
    <t>DEBIDO A  LLUVIAS SE PRESENTO INUNDACION EN EL CORREGIMIENTO VALENCIA  DE  JESUS . SIN HERIDOS NI VICTIMAS. REPORTE  DE CLOPAD VALLEDUPAR  DR. JUAN LARA   VIA  AVANTEL.</t>
  </si>
  <si>
    <t>EVENTO SE PRESENTO EN EL CORREGIMIENTO BARRO BLANCO REPORTE.  DEFENSA  CIVIL. SR. WILLIAM SARMIENTO TEL 3199000.</t>
  </si>
  <si>
    <t>VENDAVAL PRESENTADO EN EL CASCO URBANO SIN HERIDOS. REPORTE DE DEFENSA  CIVIL. SR. WILLIAM SARMIENTO TEL 3199000.</t>
  </si>
  <si>
    <t>CAIDA DE RAYO SOBRE JOVEN DE 17 AÑOS DE EDAD: DE NOMBRE: YOSIMAR DE ALBA MARQUEZ, SITIO NUEVO, APOYAN EN EL TRASLADO DEL CADAVER VOLUNTARIOS DE LA D.C.C.</t>
  </si>
  <si>
    <t>VENDAVAL EN LA VEREDA LA UNIÒN, INFORMO EL CREPAD DEL TOLIMA, VÌA AVANTEL.</t>
  </si>
  <si>
    <t>CREPAD DE SANTANDER  DR. JORGE GERARDO CONCHA, CORREO ELECTRONICO. EL VALOR DE OTROS CORRESPONDE A 120 TUBOS DE 36" APOYO DEL FNC MEDAITNE GIRO DIRECTO AL CLOPAD PARA PARA ADQUISICION DE COMBUSTIBLE PARA RECUPERACION DE LA MALLA VIAL.</t>
  </si>
  <si>
    <t>INCENDIO ESTRUCTURAL EN EL BARRIO: TORRES DE LA PLAZUELA, TORRE 3- PISO 14, INFORMO CREPAD DE BOLIVAR. VÌA AVANTEL</t>
  </si>
  <si>
    <t>CRECIENTE SUBITA DE UN ARROYO EN EL BARRIO: BUENOS AIRES, EN LA CALLE 48 G- 4-61  ARRASTRO SR. DE 33 AÑOS DE EDAD DE NOMBRE: EVERT ENRIQUE MUÑOZ, INFORMO D.C.C, SR. ALIRIO CARRILLO 3199000</t>
  </si>
  <si>
    <t>CRECIENTE SUBITA DEL ARROYO DON JUAN, EN EL BARRIO: LOS COSOLES, INFORMO D.C.C, SR. ALIRIO CARRILLO 3199000</t>
  </si>
  <si>
    <t>DESLIZAMIENTO DE TIERRA EN EL KILOMETRO 65  MAS  500 METROS,SECTOR LA FORTUNA. EN LA VIA  BUCARAMANGA A  PALO NEGRO, AFECTADO  LA  VIA  HACIA EL  AEROPUERTO DE  PALO NEGRO.</t>
  </si>
  <si>
    <t>DESBORDAMIENTO DEL RIO SAN JORGE  EN LAS VEREDAS EL ONCE Y BOCAS DE  MANUELITA. REPORTE  DE   DEFENSA  CIVIL COLOMBIANA SR. WILLIAM SARMIENTO TEL 3199000 EXT. 153</t>
  </si>
  <si>
    <t>CRECIENTE DE LA QUEBRADA EL MUERTO, ARRASTRO UNA PERSONA, SE ENCUENTRAN EN LABORES DE BUSQUEDA.</t>
  </si>
  <si>
    <t>A RAIZ DE FUERTES LLUVIAS SE ENCUENTRA AFECTADO PUENTE VEHICULAR, SOBRE EL RÌO EL DILUVIO, EN EL CORREGIMIENTO DE MARIA ANGOLA, DEJANDO LA COMUNIDAD INCOMUNICADA, POR VÌA TERRESTRE.</t>
  </si>
  <si>
    <t xml:space="preserve">DESBORDAMIENTO DEL RÌO ARQUIA, AFECTANDO 7 COMUNIDADES INDIGENAS DE NOMBRES: ISLETA, BELEN, VEGADES, B/ LUISA, BIDRÌ, P/ PALACIOS, P/ MEDELLÌN/ PLAYITA, AFECTACIÒN EN CULTIVOS, ANIMALES DE CRÌA Y PECES, INFORMO SOCORRO NACIONAL. SR. RENE VELASQUEZ 4376369 </t>
  </si>
  <si>
    <t xml:space="preserve">DESBORDAMIENTO DEL RÌO ARQUIA, AFECTANDO 2 COMUNIDADES INDIGENAS DE NOMBRES: ARENALES, PUNTA DE OCAIDO, AFECTADA LA ESCUELA ARENALES, AFECTACIÒN EN CULTIVOS, ANIMALES DE CRÌA Y PECES, INFORMO SOCORRO NACIONAL. SR. RENE VELASQUEZ 4376369 </t>
  </si>
  <si>
    <t>A RAIZ DE FUERTES LLUVIAS, RESULTO AFECTADO EL HOSPITAL DE CONSACA, SE EVACUARON 3 PACIENTES A OTRAS AREAS, AFECTACIÒN EN VIVIENDAS, REALIZAN EDAN INFORMO CREPAD DE NARIÑO, VÌA AVANTEL, MINISTERIO DE LA PROTECCIÒN SOCIAL, SR. JOSE MIGUEL VELASQUEZ, 3305071</t>
  </si>
  <si>
    <t>VENDAVAL, EN EL BARRIO: LA ISABELA, INFORMO CREPAD DEL QUINDIO, VÌA AVANTEL</t>
  </si>
  <si>
    <t>VIAS QUIPAMA-CORMAL-OTANCHE Y QUIPAMA-RIO MINERO</t>
  </si>
  <si>
    <t>APOYO DEL FNC MEDIANTE GIRO DIRECTO AL CLOPAD PARA ADQUISICION DE COMBUSTIBLE PARA APOYAR LA REHABILITACION DE LAS VIAS RURALES.</t>
  </si>
  <si>
    <t>perdida de cultivos de yuca, café, platano y tomate</t>
  </si>
  <si>
    <t>DEBIDO A FUERTES LLUVIAS SE  DESBORDO EL ARROYO GRANDE  PROVOCANDO AFECTACION EN EL CASCO URBANO DEL MUNICIPIO. REPORTE  DE  DEFENSA  CIVIL SR. WILLIAM SARMIENTO TEL 3199000</t>
  </si>
  <si>
    <t>INCENDIO ESTRUCTURAL EN EL BARRIO: LA FAVORITA, CENTRO DE LA CIUDAD, EN UN INQUILINATO, DOS MENORES MUERTOS POR INHALACIÒN DE HUMO Y QUEMADURAS, DE NOMBRES: JOHAN FERRIN DE 1 AÑO DE EDAD, DAVID FERRIN DE 6 AÑOS DE EDAD, INFORMO MINISTERIO DE LA PROTECCIÒN SOCIAL, SR. OMAR GONZALEZ 3305071</t>
  </si>
  <si>
    <t>VENDAVAL ACOMPAÑADO DE FUERTES LLUVIAS, INFORMO CREPAD DEL QUINDIO, VÌA CORREO ELÈCTRONICO</t>
  </si>
  <si>
    <t xml:space="preserve">DEBIDO A FUERTES LLUVIAS PRESENTADAS SE PRODUJO DAÑOS EN LA TUBERIA DEL  ACUEDUCTO DEL MUNICIPIO QUE DEJO INUNDACIONES EN EL BARRIO LA  CANDELARIA. REPORTE  DE  DEFENSA  CIVIL SR. ALIRIO CARRILLO TEL 3199000.  </t>
  </si>
  <si>
    <t>CABECERA MUNICIPAL DE YUTO, CORREGIMIENTO DE: RANCHERIA, ALUD DE TIERRA EN UNA MINA DE ORO, NOMBRES DE LAS PERSONAS FALLECIDAS: RUBIELA PALACIOS ROA,
MARIA ENEMESIA PALACIOS,
WALNER MIGUEL TORRES QUEJADA,
ALICIA MARIA HINESTROZA PALACIOS,
CARLOS A. MORENO MARIN,
LUZ AMPARO PALACIOS PALACIOS,
ARACELIS SANCHEZ MOSQUERA, NOMBRE DE LA PERSONA LESIONADA
YUDY J. CORDOBA COPETE, LA CUAL FUE TRASLADADA AL HOSPITAL DE SAN FRANCISCO DE ASÌS EN QUIBDO.
 INFORMO MINISTERIO DE LA PROTECCIÒN SOCIAL, SR. OMAR GONZALEZ 3305071,  CREPAD DEL CHOCO, DR. RAFAEL ANDRÈS BOLAÑOS, CEL: 3136133669, SOCORRO NACIONAL, SRA: SANDY MARROQUIN 4376369, D.C.C, SR. ALBERTO BOTTIA 3199000</t>
  </si>
  <si>
    <t>VENDAVAL EN LA VEREDA: CASACOTE, REALIZAN EDAN INFORMO D.C.C, SR. ALBERTO BOTTIA 3199000</t>
  </si>
  <si>
    <t>VENDAVAL ACOMPAÑADO CON GRANIZO, EN EL CORREGIMIENTO DE: LOMITAS, INFORMO CREPAD DEL CAUCA, DRA. EDITH JANETH PAEZ, CEL: 3155415355</t>
  </si>
  <si>
    <t>INFORMA EL SEÑOR  MAURICIO ALFONSO DIRECTOR DEL CLOPAD (311 8472270)QUE  EN EL MUNICIPIO HUBO CRECIENTE DE TRES RIOS. EL RIO CUSIANA  EL CUAL AFECTO  10 VEREDAS Y EL CASCO URBANO CON UN TOTAL DE  288 FAMILIAS,EL RIO CHARTER AFECTO CINCO VEREDAS Y 151 FAMILIAS Y EL RIO UNE TRES VEREDAS Y 78 FAMILIAS. PARA UN TOTAL DE 517 FAMILIAS, IGULMENTE SE  AFECTARON LAS VIAS DEL CASCO URBANO COMO LAS DE LAS  VEREDAS.</t>
  </si>
  <si>
    <t>CRECIENTE SUBITA QUE AFECTO LAS VEREDAS: IQUIA, VILLA ROSA, CUERNA VACA, AFECTACION A CULTIVOS- INFORMA: CREPAD CASANARE DR: BEYER EDUARDO LOPEZ.</t>
  </si>
  <si>
    <t>1934 Y 1935</t>
  </si>
  <si>
    <t>AFECTADO EL PERIMETRO URBANO DEL MUNICIPIO,  Y EL CORREGIMIENTO PUEBLO TAPAO-INFORMA CREPAD QUINDIO DR: ARIEL OSPINA</t>
  </si>
  <si>
    <t>AFECTADO EL PERIMETRO URBANO DEL MUNICIPIO-INFORMA CREPAD QUINDIO DR: ARIEL OSPINA.</t>
  </si>
  <si>
    <t>VENDAVAL, EN LAS VEREDAS: GALICIA ALTO, GALICIA BAJO, BARRIOS: LA ESPERANZA, LAS COLONIAS, LA INVASIÒN, INFORMO D.C.C, SR. ALBERTO BOTTIA 3199000, SE LE INFORMO AL CLOPAD DE PEREIRA DR. JAIRO LEANDRO JARAMILLO, CEL. 3113858761, PARA VERIFICAR ESTÀ CIFRA.</t>
  </si>
  <si>
    <t>CRECIENTE SUBITA DEL RÌO PUTUMAYO, EN EL CORREGIMIENTO DE EL SALADO, ARRASTRO JOVEN, SE ENCUENTRAN EN LABORES DE RECUPERACIÒN DEL CUERPO, INFORMO CREPAD DE PUTUMAYO, DR. LUIS ALBERTO MORA, CEL: 3118520270</t>
  </si>
  <si>
    <t>VENDAVAL, AFECTANDO ZONA URBANA Y RURAL, REALIZAN EDAN, INFOMO MINISTERIO DE LA PROTECCIÒN SOCIAL, SR. JOHN VELASQUEZ 3305071, SOCORRO NACIONAL, SR. RENE VELASQUEZ 4376369</t>
  </si>
  <si>
    <t>DESBORDAMIENTO DEL RÌO CUSIANA, EN LAS VEREDAS: LLANO LINDO, GUADUALITO, INFORMO D.C.C. SR. ALBERTO BOTTIA 3199000</t>
  </si>
  <si>
    <t>OTROS CORRESPONDE A 38 ROLLOS DE MANGUERA DE 1,5, 13 ROLLOS DE MANGUERA DE 2,5 Y 38 TANQUES DE 500 LITROS</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</si>
  <si>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</si>
  <si>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</si>
  <si>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</si>
  <si>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</si>
  <si>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</si>
  <si>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</si>
  <si>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</si>
  <si>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</si>
  <si>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</si>
  <si>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</si>
  <si>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</si>
  <si>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</si>
  <si>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</si>
  <si>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</si>
  <si>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</si>
  <si>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</si>
  <si>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</si>
  <si>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</si>
  <si>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</si>
  <si>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</si>
  <si>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</si>
  <si>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</si>
  <si>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</si>
  <si>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</si>
  <si>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</si>
  <si>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</si>
  <si>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</si>
  <si>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</si>
  <si>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</si>
  <si>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</si>
  <si>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REPORTE DEL CLOPAD.</t>
  </si>
  <si>
    <t xml:space="preserve">REPORTE DEL CREPAD. </t>
  </si>
  <si>
    <t>AFECTADOS PASTIZALES.</t>
  </si>
  <si>
    <t>VEREDA SAN ANTONIO DEL CHUZO. REPORTE DEL CREPAD.</t>
  </si>
  <si>
    <t>VEREDA MORTIÑO.  REPORTE DEL CREPAD.</t>
  </si>
  <si>
    <t>VEREDA YARUMALREPORTE DEL CREPAD.</t>
  </si>
  <si>
    <t xml:space="preserve">CULTIVOS DE CAFÉ Y PLATANO. </t>
  </si>
  <si>
    <t xml:space="preserve">REPORTE DE LA DEFENSA CIVIL. </t>
  </si>
  <si>
    <t>23419</t>
  </si>
  <si>
    <t>25019</t>
  </si>
  <si>
    <t>25040</t>
  </si>
  <si>
    <t>25053</t>
  </si>
  <si>
    <t>VEREDA EL NEME. REPORTE DEL CREPAD</t>
  </si>
  <si>
    <t>CALLE 5 BARRIO EL GUADUAL. REPORTE DEL CREPAD</t>
  </si>
  <si>
    <t>CORREGIMIENTO SAN FERNANDO. SE DESBORDÓ EL RIÓ PESCADOR INUNDANDO VARIOS CULTIVOS DE MARACUYA. LA VÍA BOLÍVAR-LA PRIMAVERA QUEDO TOTALMENTE TAPONADA.. REPORTE DEL CREPAD.</t>
  </si>
  <si>
    <t>ZONA URBANA, PUENTE DE LA CABULLA. AFECTACION DE 7 BARRIOS POR INUNDACION EN LA POBLACION DE YOPAL Y LA VIA HACIA ARAUCA SE ENCUENTRA CERRADA POR UN DESLIZAMIENTO DE TIERRA
EN LA ZONA DEL PUENTE DE LA CABULLA SALIDA HACIA ARAUCA. REPORTE DEL CREPAD.</t>
  </si>
  <si>
    <t>VEREDA: BARCELONA. REPROTE DEL CREPAD</t>
  </si>
  <si>
    <t>LOCALIDADES: FONTIBON, BARRIOS UNIDOS, ENGATIVA,  SUBA, USME. A RAIZ DE FUERTES LLUVIAS Y DESBORDAMIENTO DEL RIO BOGOTA, QUE SE VIENE PRESENTANDO DESDE EL DIA 01/05/2011, AFECTANDO 5 LOCALIDADES ASI: FONTIBON: 780 FAMILIAS, ENGATIVA: 35 FAMILIAS, BARRIOS UNIDOS: 50 FAMILIAS, SUBA: 40 FAMILIAS, USME: 90 FAMILIAS AFECTADAS. REPORTE DE LA DEFENSA CIVIL</t>
  </si>
  <si>
    <t>CORREGIMIENTO: AGUAS CALIENTES. REPORTE DEL SOCORRO NACIONAL</t>
  </si>
  <si>
    <t>VEREDA: SAN SIRO. REPORTE DEL CREPAD.</t>
  </si>
  <si>
    <t xml:space="preserve">CORREGIMIENTO ANDINAPOLIS. REPORTE DE LA DCC </t>
  </si>
  <si>
    <t>VEREDA ALTO CRISTALES. REPORTE DE LA DEFENSA CIVIL</t>
  </si>
  <si>
    <t>VEREDA  SAN BENITO, LAS CRUCES. REPORTE DE LA DEFENSA CIVIL</t>
  </si>
  <si>
    <t>CACERIO LAS JUNTAS. AFECTADA LA ESCUELA DE LA VEREDA VILLA NUEVA, Y UN  PUENTE, AFECTADO POR EL RIO TARRA. REPORTE DE LA DEFENSA CIVIL</t>
  </si>
  <si>
    <t>SECTOR LA MARIELA Y EL GUAPE. DESBORDAMIENTO DEL RIO LA CUBILLERA, REALIZAN EDAN. REPROTE DEL CREPAD</t>
  </si>
  <si>
    <t>CASCO URBANO. REPORTE DEL CREPAD</t>
  </si>
  <si>
    <t>VEREDAS: EL VERGEL, EL ROSAL, GUAYABAL. DESBORDAMIENTO DEL RIO URICHARE, Y GUEJAR. REALIZAN EDAN. REPORTE DEL CREPAD</t>
  </si>
  <si>
    <r>
      <t xml:space="preserve">AFECTADA VIA VERSALLES - EL CEDRO SECTOR PLAYA RICA </t>
    </r>
    <r>
      <rPr>
        <b/>
        <sz val="9"/>
        <rFont val="Arial"/>
        <family val="2"/>
      </rPr>
      <t>APOYO DEL FNC MEDIANTE GIRO DIRECTO PARA ALQUILER DE MAQUINARIA, COMBUSTIBLES Y MATERIALES PARA LA REHABILIACION DE LA VIA.</t>
    </r>
  </si>
  <si>
    <r>
      <t>VIA PUEBLO NUEVO - CORINTO. VEREDA PUEBLO NUEVO. REPORTE DEL CREPAD. PARAMO EL GUAYABO Y SANTO DOMINGO. CRECIENTE DEL RIO PAILA.</t>
    </r>
    <r>
      <rPr>
        <b/>
        <sz val="9"/>
        <rFont val="Arial"/>
        <family val="2"/>
      </rPr>
      <t xml:space="preserve"> APOYO DEL FNC MEDIANTE GIRO DIRECTO AL CLOPAD PARA ALQUILER DE MAQUINARIA PARA PARA REALIZAR OBRS DE PROTECCION EN LOS BARRIOS ESMERALDA Y LA PLAYA.</t>
    </r>
  </si>
  <si>
    <t>CASCO URBANO. DESBORDAMIENTO RIO CAUCA. REALIZAN EL EDAN. REPORTE DEL CREPAD. APOYO DEL FNC PARA COMBUSTIBLE Y LUBRICANTES.</t>
  </si>
  <si>
    <t xml:space="preserve">SECTOR LIMONCITO, DOS MENORES QUE SE ENCONTRABAN PASANDO POR UNA TIRALINA, LOS CUALES CAEN AL RIO Y SE ENCUENTRAN DESAPARECIDOS, REPORTO CREPAD Dr CARLOS ALDEMAR GARCIA. EL VALOR DE OTROS CORRESPONDE A 1000 ROLLOS DE MANGUERA DE 1", 1000 DE 11/2", 500 DE 1/2". </t>
  </si>
  <si>
    <t>APOYO DEL FNC MEDIANTE GIRO DIRECTO AL CLOPAD PARA ADQUISICION DE COMBUSTIBLE, LUBRICANTES Y REPARACION DE MQUINARIA</t>
  </si>
  <si>
    <t>SECTOR TORO BAJO REPORTE DEL CLOPAD.</t>
  </si>
  <si>
    <t>AVALANCHA RIO TOMINIO, RESGUARDO TACUEYO, VEREDA LA PLAYA. REPORTE DEL CREPAD, CLOPAD, CRUZ ROJA Y MINPROTECCION</t>
  </si>
  <si>
    <t xml:space="preserve">DESBORDAMIENTO QUEBRADA SAN JOSE. REPORTE DEL CREPAD. CLOPAD SEVILLA. BARRIOS SAN JOSE, PROVIDENCIA, GRANADA, BRASILIA Y LA VEREDA PALOMINO. </t>
  </si>
  <si>
    <t>DESBORDAMIENTO RIO NEGRO BARRIOS BOGOTA, PUEBLO VIEJO, PRADO, VEREDA LIBERIA. REPORTE DEL CREPAD Y DEFENSA CIVIL</t>
  </si>
  <si>
    <t>CRECIENTE SUBITA QUEBRADA LA MEDIADORA, CORREGIMIENTO DE SAN FERNANDO, VEREDAS ALTO CIELO, LAS PALMERAS Y MESOPOTAMIA REPORTE DEL CREPAD</t>
  </si>
  <si>
    <t>CRECIENTE RIO CHARTA. VIA QUE COMUNICA CHARTA CON BUCARAMANGA. REPORTE DEL CREPAD.</t>
  </si>
  <si>
    <t>AFECTADOS 789 PRODUCTORES DE CAFÉ, PLATANO, MAIZ, FRIJOLÑ Y PAPA AFECTADOS</t>
  </si>
  <si>
    <t>REPROTE DEL CREPAD.</t>
  </si>
  <si>
    <t>EDIFIO ANDREGUI. REPORTE DE BOMBEROS.</t>
  </si>
  <si>
    <t>CRECIENTE QUEBRADA MANIZALES, CERRADA LA VIA. REPORTE DEL CREPAD.</t>
  </si>
  <si>
    <t>REPORTE DEL CREPAD. VEREDA SABALETAS.</t>
  </si>
  <si>
    <t>DESBORDAMIENTO RIO NEGRO ZONA URBANA REPORTE DEL CREPAD. SECTOR LA PLAYA Y GUILLERMO GAVIRIA.</t>
  </si>
  <si>
    <t>REPORTE DEL CREPAD.SECTOR ALTOP DE LA CRUZ.</t>
  </si>
  <si>
    <t>DESBORDAMIENTO RIO CAUCA.SECTOR PUENTE IGLESIA, REPORTE DEL CRAPAD.</t>
  </si>
  <si>
    <t>REPORTE DEL CREPAD. SECTOR MIRAFLORES Y EL PRADO.</t>
  </si>
  <si>
    <t>VEREDA SAN JAVIER, REPORTE DEL CREPAD.</t>
  </si>
  <si>
    <t>REPROTE DEL CREPAD. VEREDA LAS PIEDRAS.</t>
  </si>
  <si>
    <t xml:space="preserve">DESBORDAMIENTO QUEBRADA TELPIS. REPORTE DEL CREPAD. VEREDAS SAN FELIPE, EL ROSAL, OJO DE AGUA, CAPULLO, TASNEQUE. </t>
  </si>
  <si>
    <t>CRECIENTE DE LA QUEBRADA LA MULA. AFECTADA VIAMANIZALES - BOGOTA KM 14 - 15 REPORTE DEL CLOPAD. AFECTADO UN BUS DE LA EMPRESA BIOLIVARIANO</t>
  </si>
  <si>
    <t>AFECTADAOS 17 CENTROS COMERCIALES. ENERGIA.</t>
  </si>
  <si>
    <t>DESBORDAMIENTO RIO CARARE. REPORTE DEL CREPAD.</t>
  </si>
  <si>
    <t>BARRIOS SAN JOSE, SECTOR RIO DULCE, REPORTE DEL CREPAD.</t>
  </si>
  <si>
    <t>DESBORDAMEINTO RIO MAGDALENA. SECTOR DEL EMBARCADERO GARBANZAL REPORTE DEL CREPAD,</t>
  </si>
  <si>
    <t>REPORTE DEL CREPAD. BARRIO SANTA CECILIA Y VEREDA LA CABAÑA.</t>
  </si>
  <si>
    <t xml:space="preserve">REPORTE DEL CREPAD. VEREDAS PALO GORDO, EL VOLCANSAN LUIS TAUSADITA, SAN IGNACIO. </t>
  </si>
  <si>
    <t>REPORTE DEL CREPAD. SECTOR CARMEN DE CARUPA.</t>
  </si>
  <si>
    <t xml:space="preserve">REPROTE DEL CREPAD. VEREDAS JAVA, BRASIL, LAGUNAS, SAN NICOLAS, LAS BRISAS. </t>
  </si>
  <si>
    <t>BARRIOS VERANERAS, REPORTE DEL CREPAD.</t>
  </si>
  <si>
    <t xml:space="preserve">DESBORDAMIENTO RIO TIMBA. PENDIENTE AFECTACION, REPORTE DEL CREPAD Y DEFENSA CIVIL. CORREGIMIENTO TIMBA Y LA BALSA. </t>
  </si>
  <si>
    <t>DESLIZAMIENTO SOBRE LA VIA QUE COMUNICA AL MPIO DE PALERMO CON NEIVA,  SE ENCUENTRAN INCOMUNICADAS LAS VERADAS MENCIONADASREPORTE DEL CREPAD</t>
  </si>
  <si>
    <t>REALIZAN EDANREPORTE DEL CLOPAD</t>
  </si>
  <si>
    <t>DESBORDAMIENTO DEL RIO BUGALAGANDE. REPORTE DE LA DEFENSA CIVIL.</t>
  </si>
  <si>
    <t>DESBORDAMIENTO DE LA  QUEBRADA  ROBLEDO. REPORTE DE LA DEFENSA CIVIL</t>
  </si>
  <si>
    <t>DESBORDAMIENTO DEL RIO UBATE, LENGUAZAQUE Y EL CANAL MARIÑO. REPORTE DEL CREPAD.</t>
  </si>
  <si>
    <t>INUNDACION POR  DESBORDAMIENTO RIO BOGOTA  CERRADA  LA  VIA  SUBA  COTA. CAOS VEHICULAR . REPORTE DEL CREPAD</t>
  </si>
  <si>
    <t>DESLIZAMIENTO QUE  AFECTO VIAS TERCIARIAS Y PASTOS. REPORTE DEL CREPAD.</t>
  </si>
  <si>
    <t>COLAPSO DE  UN MURO QUE  AFECTO LA  ESCUELA  ANTONIO NARIÑO. REPORTE DEL CREPAD.</t>
  </si>
  <si>
    <t>DESBORDAMIENTO RIO CUMARAL. REPORTE DE LA DEFENSA CIVIL.</t>
  </si>
  <si>
    <t>REPORTE DE LA CRUZ ROPJA Y CREPAD. COLEGIO DE NUESTRA SEÑORA DEL ROSARIO</t>
  </si>
  <si>
    <t>BARRIO FLORIDA BAJA, REPORTE DEL CLOPAD.</t>
  </si>
  <si>
    <t xml:space="preserve">REPORTE DE INVIAS, VIA PANAMERICANA. AFECTADOS MUNICIPIOS DE YUMBO, VIJES Y BUGA. </t>
  </si>
  <si>
    <t>BARRIOS EL AGUILA Y SAN RAFAEL. REPORTE DE BOMBEROS CUNDINAMARCA.</t>
  </si>
  <si>
    <t>VEREDA EL ARACACHAR, REPROTE DEL CREPAD.</t>
  </si>
  <si>
    <t>ACCIDENTE DE TRANSITO SECTOR LA LOMA DEL AHORCADO. REPORTE DE MINPROTECCION Y DEFENSA CIVIL.</t>
  </si>
  <si>
    <t>FABRICA DE CERA</t>
  </si>
  <si>
    <t>LOCALIDAD FONTIBON CR. 102 CALLE 16. REPROTE DE LA DEFENSA CIVIL Y BOMBEROS Y CRUZ ROJA.</t>
  </si>
  <si>
    <t>BARRIOS CINCO DE JULIO, BARRIO NUEVO, CAPACHO, BARRIO PARADOR, CRECIENTE DE LA QUEBRADA PUENTE COLOMBIA, REPORTE DEL CREPAD.</t>
  </si>
  <si>
    <t>CARRERA 44 CALE 31. REPORTE DEL CLOPAD DE BARRANQUILLA</t>
  </si>
  <si>
    <t>SECTOR FINCA LA CUSPIDE, VEREDA SAN JUAN. REPORTE DE LA DEFENSA CIVIL.</t>
  </si>
  <si>
    <t>AFECTADO UN VEHICULO.</t>
  </si>
  <si>
    <t xml:space="preserve">ALMACENES DE TELAS DOS BODEGAS Y 10 LOCALES COMERCIALES. </t>
  </si>
  <si>
    <t>CASCO URBANO REPORTE DE BOMBEROS</t>
  </si>
  <si>
    <t>CUATRO LOCALES DESTRUIDOS.</t>
  </si>
  <si>
    <t>PUENTE NACIONAL</t>
  </si>
  <si>
    <t>BARRIOS JARDINCITO, CAUCHO, COSTA  RICA. REPORTE DEL CREPAD</t>
  </si>
  <si>
    <t>VEREDAS GENOVA, BARCINAL, SAN JOSE, MIRAFLORES, DOSQUEBRADAS. REPORTE DEL CREPAD</t>
  </si>
  <si>
    <t>VEREDAS  COSTA  RICA Y GENOVA. REPORTE DEL CREPAD</t>
  </si>
  <si>
    <t>VIA APIA-PUEBLO RICO. REPORTE DEL CREPAD</t>
  </si>
  <si>
    <t>VEREDAS LOS MANDARINOS Y LA  CUMBRE. REPORTE DEL CREPAD</t>
  </si>
  <si>
    <t>BARRIOS EL ESPAÑOL Y LA  CAPILLA. REPORTE DEL CREPAD</t>
  </si>
  <si>
    <t>SECTOR  EL ESTRELLADERO. REPORTE DEL CREPAD</t>
  </si>
  <si>
    <t>CASCO URBANO Y VEREDA  EL ESPAÑOL. REPORTE DEL CREPAD</t>
  </si>
  <si>
    <t>BARRIO LA  BAMBA. REPORTE DEL CREPAD</t>
  </si>
  <si>
    <t>BARRIO PEÑAS BLANCAS. REPORTE DEL CREPAD</t>
  </si>
  <si>
    <t>SECTORES PUEBLO VANO, LIMONES, LA MARINA . REPORTE DEL CREPAD</t>
  </si>
  <si>
    <t>BARRIOS SAN GABRIEL, LA BRETAÑA, TOTUI, EL CEDRAL. REPORTE DEL CREPAD</t>
  </si>
  <si>
    <t>BARRIO EL MATADERO. REPORTE DEL CREPAD</t>
  </si>
  <si>
    <t>BARRIOS LA  AURORA, BOMBAY, VALER, SAN RAFAEL. REPORTE DEL CREPAD</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</si>
  <si>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</si>
  <si>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</si>
  <si>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</si>
  <si>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</si>
  <si>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</si>
  <si>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</si>
  <si>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</si>
  <si>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</si>
  <si>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</si>
  <si>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</si>
  <si>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</si>
  <si>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</si>
  <si>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</si>
  <si>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</si>
  <si>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</si>
  <si>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</si>
  <si>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</si>
  <si>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</si>
  <si>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</si>
  <si>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</si>
  <si>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</si>
  <si>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</si>
  <si>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</si>
  <si>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</si>
  <si>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</si>
  <si>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</si>
  <si>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</si>
  <si>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</si>
  <si>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</si>
  <si>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</si>
  <si>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</si>
  <si>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</si>
  <si>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AFECTACION EN CULTIVOS</t>
  </si>
  <si>
    <t>LOCALIDAD RAFAEL URIBE- URIBE,      BARRIO: LA RESURRECCIÒN. REPROTE DE LADEFENSA CIVIL</t>
  </si>
  <si>
    <t>BARRIO: REPOSO 2, SECTOR: LA POSA, CORREGIMIENTO GUAYABAL. FUERTES LLUVIAS EN LA ZONA URBANA, AFECTANDO EL HOSPITAL SAN FRANCISCO DE ASIS, LOCALES COMERCIALES Y VIVIENDAS, EN LA ZONA RURAL DESBORDAMIENTO DEL RIO GUAYABAL, REALIZAN EDAN. REPORTE DEL SOCORRO NACIONAL Y CREPAD</t>
  </si>
  <si>
    <t>PERDIDAS  EN CULTIVOS, ENSERES , CULTIVOS DE PASTOS Y  PERDIDAS 2000 POLLOS</t>
  </si>
  <si>
    <t>PERDIDAS EN CULTIVOS, ENSERES  Y ANIMALES DE  CRIA</t>
  </si>
  <si>
    <t>REPORTE DEL CREPAD. DESBORDAMIETNO RIO SIMIJACA, VEREDA EL PANTANO, EL FICAL, LA ESTACION, JUNCA EL TAMBRE</t>
  </si>
  <si>
    <t>VEREDAS: CAMELLON DEL RIO, PUENTES PORTILLO, POTOSI Y SANTA INES. REPORTE DEL CREPAD.</t>
  </si>
  <si>
    <t>VCASCO URBANO , VEREDAS GUACANA, GUACAMAYAS, LA NOVELA, MESETAS DESBORDAMIENTO QUEBRADA GUACANA. REPORTE DEL CREPAD.</t>
  </si>
  <si>
    <t>SECTOR  URBANO Y SECTOR  RURAL. REPORTE DEL CREPAD.</t>
  </si>
  <si>
    <t>BARRIO SAN RAFAEL. REPORTE DEL CREPAD.</t>
  </si>
  <si>
    <t>COORREGIMIENTO SAN ADOLFO. REPORTE DEL CREPAD.</t>
  </si>
  <si>
    <t>VEREDAS  SAQUIAS, GENOVA, BUENOS AIRES, CITABARA. AFECTACION EN EL ACUEDUCTO DE  CADA  UNA  DE LAS  VEREDAS . REPORTE DEL CREPAD</t>
  </si>
  <si>
    <t>VEREDA  EL SOCORRO. AFECTACION EN LA INSTITUCION  EDUCATIVA EL SOCORRO. REPORTE DEL CREPAD.</t>
  </si>
  <si>
    <t>VEREDAS MONSERRATE, SSANTA  BARBARA, EL ESPAÑOL, GUAMAL, LA GORGONIA, LA GRECIA, SAN JUAN, CEDRALITO,  ALTO SAN JUAN, LAS BRISAS. REPORTE DEL CREPAD.</t>
  </si>
  <si>
    <t>VEREDA MARMOLEJO. REPORTE DEL CREPAD.</t>
  </si>
  <si>
    <t>CORREGIMIENTOS: LAS FLORES, CASA ROJA. DESBORDAMIENTO RIO TAPIAS. VEREDAS LAS MERCEDES, CASA ROJA Y PUENTEBOMBA. REPORTE DE LA DEFENSA CIVL.</t>
  </si>
  <si>
    <t>LAS VEREDAS INUNDADAS SON: 
POR EL RÍO ARIARI: PUERTO CACAO, PLAYA ALTA, PLAYA NUEVA, PUERTO COLOMBIA, EL PROGRESO, CÁMBULOS, CAMBULITOS Y PARTE BAJA DE LA VEREDA EL PALMAR.
POR EL RÍO GUAYABERO: ALTO CAFRE, CAÑO CEIBA, LOS ANDES.
POR EL RÍO ARIARI: PUERTO PORORIO, GUARUPAYAS, EL TESORO, PALOMAS, AGUAS CLARAS, SANTA LUCÍA, EL PORVENIR, CAÑO MARIMBA, BOCAS DEL ARIARI.. REPORTE DEL CREPAD.</t>
  </si>
  <si>
    <t>BARRIO LA PLATANERA. DESBORDAMIENTO QUEBRADA LA ORTEZ. REPORTE DE LA DEFENS CIVIL.</t>
  </si>
  <si>
    <t>Cod_Dp</t>
  </si>
  <si>
    <t>Cod_Mp</t>
  </si>
  <si>
    <t>SIERRA NEVADA. CRECIENTE SUBITA DEL RIO BURITACA, ARRASTRO JOVEN  EXCURSIONISTA DE 20 AÑOS DE EDAD, DE CIUDADANIA FRANCESA, EL CUERPO FUE HALLADO EN LA CUENCA DEL RIO BURITACA Y ENTREGADO A LA SIJIN. REPORTE DE MINPROTECCION SOCIAL</t>
  </si>
  <si>
    <t>DESBORDAMIENTO DE CHORROS. REPROTE DE LA DEFENCA CIVIL</t>
  </si>
  <si>
    <t>VEREDA: BUENA VISTA MINA DE CARBON: MEDIAL. REPROTE DE LA DEFENS ACIVIL</t>
  </si>
  <si>
    <t>CORREGIMIENTO CAROLINA Y BARRIOS LAS COLINAS, CENTENARIO, LA PAZ, LAS AMERICAS, EL PORVENIR. CRECEINTE SUBITA CAÑO CAROLINA. REPORTE DEL CREPAD.</t>
  </si>
  <si>
    <t>VEREDA: TAIJA DESBORDAMIENTO RIO TAIJA, VEREDAS LA TAYA Y TAYITA. REPORTE DEL CREPAD</t>
  </si>
  <si>
    <t>VEREDAS: LA PEÑUELA, SANTA RITA  Y EL PEDREGAL. REPORTE DEL CREPAD.</t>
  </si>
  <si>
    <t>BARRIOS: LA HACIENDA, LA NUEVA TEBAIDA, CANTARITO, LAS PALMERAS, LA ESTACIÒN, EL PORVENIR, ALFONSO LOPEZ, SECTOR: MATADERO, EL MIRADOR, SECTOR: ZONA FRANCA, EL SAMAN, SAUCES, LA ESPERANZA, SECTOR: COLISEO. REPROTE DEL CREPAD.</t>
  </si>
  <si>
    <t>CORREGIMIENTO: PUEBLO TAPADO, BARRIO: LA GRECIA. REPORTE DEL CREPAD.</t>
  </si>
  <si>
    <t>FUERTES LLUVIAS, AFECTACIÒN A COMUNIDADES INDIGENAS, REALIZAN EDAN, PENDIENTE MÀS INFORMACIÒN, REPORTE DE LA DEFENSA CIVIL</t>
  </si>
  <si>
    <t>BARRIOS SIMON BOLIVAR, DIVINO NIÑO  PEÑA BLANCA Y SECTOR PROFUNDO Y DIFERENTES VEREDAS. REPORTE DEL CREPAD.</t>
  </si>
  <si>
    <t>PUENTE EL TABLAZO SOBRE EL RIO SOGAMOSO, REPORTE DEL CREPAD.</t>
  </si>
  <si>
    <t>BARRIO: EL TEJARITO. DESBORDAMIENTO DEL RIO TEJO. REPORTE DEL CREPAD. APOYO DEL FNC MEDIANTE GIRO DIRECTO AL CLOPAD PARA ALQUILER DE MAUINARIA Y COMBUSTIBLE</t>
  </si>
  <si>
    <t>REPORTE DEL CLOPAD. NO CONCRETA SOLICITUD DE APOYO.</t>
  </si>
  <si>
    <t>APOYO DEL FNC MEDIANTE GIRO DIRECTO AL CLOPAD PARA ADQUISICION DE COMBUSTIBLE Y MAQUINARIA.</t>
  </si>
  <si>
    <t>SECTOR PEDRGAL, REPORTE DEL CREPAD. APOYO DEL FNC MEDIANTE GIRO DIRECTO AL CLOPAD PARA ALQUILER DE MAQUINARIA Y ADQUISICION DE COMBUSTIBLE.</t>
  </si>
  <si>
    <t>DESLIZAMIENTO DE TIERRA EN EL BARRIO: MEDRANO, SECTOR: GUADUALES, INFORMO D.C.C, SR. OSCAR RODRIGUEZ 3199000</t>
  </si>
  <si>
    <t>VELDAVAL EN HORAS DE LA MAÑANA, REPORTE DEL CREPAD DE ANTIOQUIA.</t>
  </si>
  <si>
    <t>AFECTADA UNA COMUNIDAD INDIGENA  EN LA VEREDA ALTO GUAYABAL-INFORMA CREPAD CHOCO  DR: RAFAEL BOLAÑOS- SRA  ALCALDESA DE CARMEN DEL DARIEN  SRA: MAGNOLIA RENTERIA CEL: 3116384781. PENDIENTE MAS INFORMACION</t>
  </si>
  <si>
    <t>SE PRESENTO DESBORDAMIENTO DEL RIO NEGRO EN LA  ZONA URBANA  DEL MUNICIPIO  REPORTE  DEFENSA  CIVIL SR. LUIS ALBERTO BOTTIA  TEL 3199000,</t>
  </si>
  <si>
    <t>DESLIZAMIENTO EN LA MADRUGADA DEL 29/07/2011 EN BARRIOS LAS BRISAS, LA ESPERANZA, JERUSALEN Y EL PALMAR, REPORTE  DEFENSA  CIVIL. SR. LUIS A. BOTTIA  TEL 3199000.</t>
  </si>
  <si>
    <t>SE PRESENTO INCENDIO ESTRUCTURAL EN EL BARRIO  SANTA  HELENA  COMO RESULTADO UNA  VIVIENDA DESTRUIDA CON PERDIDA  DE  ENSERES.NO HUBO VICTIMAS NI HERIDOS EVENTO EXTINGUIDO POR  BOMBEROS  VILLAVICENCIO. INFORMA  CLOPAD VILLAVICENCIO VIA AVANTEL.</t>
  </si>
  <si>
    <t xml:space="preserve">DEBIDO FUERTES  LLUVIAS Y REPRESAMIENTO DE LA  QUEBRADA  GUACHUCAL  FUE AFECTANDO EL MERCADO DE POTRERILLO Y VARIAS VIVIENDAS EN LOS BARRIOS VENECIA, CHAPAL, CHAMBU, LA MINGA, ADELANTAN CENSOS. INFORMACION DEL CREPAD NARIÑO  CAROLINA PEREZ AVANTEL.CLOPAD </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</si>
  <si>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</si>
  <si>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</si>
  <si>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</si>
  <si>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</si>
  <si>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</si>
  <si>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</si>
  <si>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</si>
  <si>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</si>
  <si>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</si>
  <si>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</si>
  <si>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</si>
  <si>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</si>
  <si>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</si>
  <si>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</si>
  <si>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</si>
  <si>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</si>
  <si>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</si>
  <si>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</si>
  <si>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</si>
  <si>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</si>
  <si>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</si>
  <si>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</si>
  <si>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</si>
  <si>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</si>
  <si>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</si>
  <si>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</si>
  <si>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</si>
  <si>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</si>
  <si>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</si>
  <si>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</si>
  <si>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</si>
  <si>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</si>
  <si>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</si>
  <si>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</si>
  <si>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</si>
  <si>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</si>
  <si>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</si>
  <si>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</si>
  <si>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</si>
  <si>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</si>
  <si>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</si>
  <si>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</si>
  <si>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</si>
  <si>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</si>
  <si>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</si>
  <si>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</si>
  <si>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</si>
  <si>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</si>
  <si>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</si>
  <si>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</si>
  <si>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</si>
  <si>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</si>
  <si>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</si>
  <si>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</si>
  <si>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</si>
  <si>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</si>
  <si>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</si>
  <si>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</si>
  <si>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</si>
  <si>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</si>
  <si>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</si>
  <si>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</si>
  <si>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</si>
  <si>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</si>
  <si>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</si>
  <si>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</si>
  <si>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</si>
  <si>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</si>
  <si>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</si>
  <si>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</si>
  <si>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</si>
  <si>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</si>
  <si>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</si>
  <si>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</si>
  <si>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</si>
  <si>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</si>
  <si>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</si>
  <si>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</si>
  <si>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</si>
  <si>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</si>
  <si>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</si>
  <si>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</si>
  <si>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</si>
  <si>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</si>
  <si>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</si>
  <si>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</si>
  <si>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</si>
  <si>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</si>
  <si>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</si>
  <si>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</si>
  <si>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</si>
  <si>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</si>
  <si>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</si>
  <si>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</si>
  <si>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</si>
  <si>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</si>
  <si>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</si>
  <si>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</si>
  <si>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</si>
  <si>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</si>
  <si>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</si>
  <si>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</si>
  <si>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</si>
  <si>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</si>
  <si>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</si>
  <si>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</si>
  <si>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</si>
  <si>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</si>
  <si>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</si>
  <si>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</si>
  <si>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</si>
  <si>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</si>
  <si>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</si>
  <si>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</si>
  <si>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</si>
  <si>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</si>
  <si>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</si>
  <si>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</si>
  <si>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</si>
  <si>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</si>
  <si>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</si>
  <si>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</si>
  <si>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</si>
  <si>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</si>
  <si>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</si>
  <si>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</si>
  <si>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</si>
  <si>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</si>
  <si>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</si>
  <si>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</si>
  <si>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</si>
  <si>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</si>
  <si>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</si>
  <si>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</si>
  <si>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</si>
  <si>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</si>
  <si>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</si>
  <si>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</si>
  <si>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</si>
  <si>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</si>
  <si>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</si>
  <si>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</si>
  <si>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</si>
  <si>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</si>
  <si>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</si>
  <si>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</si>
  <si>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</si>
  <si>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</si>
  <si>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</si>
  <si>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</si>
  <si>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</si>
  <si>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</si>
  <si>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</si>
  <si>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</si>
  <si>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</si>
  <si>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</si>
  <si>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</si>
  <si>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</si>
  <si>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</si>
  <si>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</si>
  <si>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</si>
  <si>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</si>
  <si>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</si>
  <si>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</si>
  <si>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</si>
  <si>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</si>
  <si>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</si>
  <si>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</si>
  <si>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</si>
  <si>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</si>
  <si>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</si>
  <si>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</si>
  <si>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</si>
  <si>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</si>
  <si>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</si>
  <si>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</si>
  <si>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</si>
  <si>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</si>
  <si>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</si>
  <si>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</si>
  <si>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</si>
  <si>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</si>
  <si>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</si>
  <si>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</si>
  <si>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</si>
  <si>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</si>
  <si>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</si>
  <si>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</si>
  <si>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</si>
  <si>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</si>
  <si>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</si>
  <si>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</si>
  <si>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</si>
  <si>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</si>
  <si>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</si>
  <si>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</si>
  <si>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</si>
  <si>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</si>
  <si>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</si>
  <si>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</si>
  <si>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</si>
  <si>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</si>
  <si>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</si>
  <si>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</si>
  <si>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</si>
  <si>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</si>
  <si>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</si>
  <si>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</si>
  <si>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</si>
  <si>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</si>
  <si>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</si>
  <si>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</si>
  <si>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</si>
  <si>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</si>
  <si>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</si>
  <si>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</si>
  <si>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</si>
  <si>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</si>
  <si>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</si>
  <si>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</si>
  <si>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</si>
  <si>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</si>
  <si>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</si>
  <si>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</si>
  <si>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</si>
  <si>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</si>
  <si>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</si>
  <si>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</si>
  <si>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</si>
  <si>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</si>
  <si>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</si>
  <si>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</si>
  <si>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</si>
  <si>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</si>
  <si>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</si>
  <si>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</si>
  <si>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</si>
  <si>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</si>
  <si>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</si>
  <si>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</si>
  <si>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</si>
  <si>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</si>
  <si>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</si>
  <si>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</si>
  <si>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</si>
  <si>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</si>
  <si>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</si>
  <si>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</si>
  <si>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</si>
  <si>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</si>
  <si>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</si>
  <si>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</si>
  <si>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</si>
  <si>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</si>
  <si>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</si>
  <si>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</si>
  <si>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</si>
  <si>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</si>
  <si>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</si>
  <si>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</si>
  <si>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</si>
  <si>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</si>
  <si>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</si>
  <si>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</si>
  <si>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</si>
  <si>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</si>
  <si>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</si>
  <si>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</si>
  <si>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</si>
  <si>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</si>
  <si>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</si>
  <si>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</si>
  <si>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</si>
  <si>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</si>
  <si>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</si>
  <si>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</si>
  <si>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</si>
  <si>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</si>
  <si>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</si>
  <si>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</si>
  <si>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</si>
  <si>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</si>
  <si>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</si>
  <si>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 xml:space="preserve">EN HORAS DE LA  TARDE  SE PRESENTO TORMENTA  ELECTRICA CON CAIDA  DE  RAYO QUE  PROVOCO LA  MUERTE  A ALVARO PADILLA DE  28 AÑOS DE PROFESION  SALVAVIDAS  QUIEN SE  ENCONTRABA  EN EL CORREGIMIENTO  TORIPANA ALERTANDO A BAÑISTAS PARA  QUE  ABANDONARAN EL MAR DEBIDO A LAS  LLUVIAS. LAS 3 PERSONAS HERIDAS  FUERON TRASLADADAS  AL CENTROS  ASISTENCIALES DE  PUERTO COLOMBIA . REPORTE  DE  SOCORRO NACIONAL SR. RENE  VELASQUEZ TEL 4376369.  </t>
  </si>
  <si>
    <t>DESBORDAMIENTO DEL RIO UNETE AFECTANDO 1 FAMILIA EN LA VEREDA LA ESMERALDA. REPORTE  DEFENSA  CIVIL. SR. OSCAR  RODRIGUEZ TEL 3199000.</t>
  </si>
  <si>
    <t xml:space="preserve">CAIDA DE ROCA OCASIONO LA MUERTE A LA SEÑORA SANDRA MILENA ROZO DE 25 AÑOS EN LA VEREDA CARACOLITO. </t>
  </si>
  <si>
    <t>VENDAVAL QUE AFECTO EL BARRIO SAN VICENTE Y  EL CEMENTERIO DEL MUNICIPIO INFORMA: D.C.C. DIRECCION NACIONAL</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</si>
  <si>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</si>
  <si>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</si>
  <si>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</si>
  <si>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</si>
  <si>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</si>
  <si>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</si>
  <si>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</si>
  <si>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</si>
  <si>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</si>
  <si>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</si>
  <si>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</si>
  <si>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</si>
  <si>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</si>
  <si>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</si>
  <si>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</si>
  <si>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</si>
  <si>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</si>
  <si>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</si>
  <si>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</si>
  <si>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</si>
  <si>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</si>
  <si>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</si>
  <si>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</si>
  <si>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</si>
  <si>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</si>
  <si>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</si>
  <si>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</si>
  <si>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</si>
  <si>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</si>
  <si>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</si>
  <si>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</si>
  <si>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</si>
  <si>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</si>
  <si>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</si>
  <si>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</si>
  <si>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</si>
  <si>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</si>
  <si>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</si>
  <si>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</si>
  <si>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</si>
  <si>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</si>
  <si>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</si>
  <si>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</si>
  <si>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</si>
  <si>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</si>
  <si>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</si>
  <si>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</si>
  <si>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</si>
  <si>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</si>
  <si>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</si>
  <si>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</si>
  <si>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</si>
  <si>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</si>
  <si>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</si>
  <si>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</si>
  <si>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</si>
  <si>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</si>
  <si>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</si>
  <si>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</si>
  <si>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</si>
  <si>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</si>
  <si>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</si>
  <si>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</si>
  <si>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</si>
  <si>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</si>
  <si>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</si>
  <si>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</si>
  <si>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</si>
  <si>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</si>
  <si>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</si>
  <si>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</si>
  <si>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</si>
  <si>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</si>
  <si>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</si>
  <si>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</si>
  <si>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</si>
  <si>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</si>
  <si>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</si>
  <si>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</si>
  <si>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</si>
  <si>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</si>
  <si>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</si>
  <si>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</si>
  <si>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</si>
  <si>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</si>
  <si>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</si>
  <si>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</si>
  <si>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</si>
  <si>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</si>
  <si>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</si>
  <si>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</si>
  <si>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</si>
  <si>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</si>
  <si>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</si>
  <si>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</si>
  <si>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</si>
  <si>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</si>
  <si>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</si>
  <si>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</si>
  <si>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</si>
  <si>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</si>
  <si>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</si>
  <si>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</si>
  <si>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</si>
  <si>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</si>
  <si>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</si>
  <si>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</si>
  <si>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</si>
  <si>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</si>
  <si>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</si>
  <si>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</si>
  <si>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</si>
  <si>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</si>
  <si>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</si>
  <si>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</si>
  <si>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</si>
  <si>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</si>
  <si>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</si>
  <si>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</si>
  <si>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</si>
  <si>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</si>
  <si>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CORREGIMIENTO SAN PEDRO.REPORTE DEL CREPAD.</t>
  </si>
  <si>
    <t xml:space="preserve">REPORTE DEL CREPAD. ZONA URBANA Y RURAL, VEREDAS CUATRO CAMINOS, EL PLOMO, EL AGUILA, LA CAPILLA. </t>
  </si>
  <si>
    <t>DESBORDAMIENTO RIO LA PAILA, CORREGIMIENTO LA PAILA, ZONA URBANA BARRIOS VILLA SOL, LA CARRILERA, LA FRUTERIA. REPORTE DE LA DEFENSA CIVIL.</t>
  </si>
  <si>
    <t>DESBORDAMIENTO CANAL DEL ACUEDUCTO. REPORTE DE LA DEFENSA CIVIL. CORREGIMIENTO PEÑOL ALTO.</t>
  </si>
  <si>
    <t>INSPECCION RIONEGRO, QUEBRADA EL SANJON. REPORTE DEL CREPAD.</t>
  </si>
  <si>
    <t>BARRIO OBRERO. REPORTE DE DEFENSA CIVIL</t>
  </si>
  <si>
    <t>CRECIENTE SUBITA RIO RISARALDA. REPORTE DEL CREPAD. VEREDA RIO ARRIBA.</t>
  </si>
  <si>
    <t>ZONA URBANA. INUNDACION POR FUERTES LLUVIAS. REPORTE DE LA DEFENSA CIVIL. GIRO DIRECTO AL CLOPAD PARA ALQUILER DE MAQUINARIA Y COMBUSTIBLE PARA LIMPIEZA Y MANTENIMIENTO DE CAUCES</t>
  </si>
  <si>
    <t>REPORTE DEL SOCORRO NACIONAL. DESBORDAMIENTO DE LOS RIOS CUAMO Y SABANDIJA</t>
  </si>
  <si>
    <t>AFECTADO ALBERGUE TEMPORAL, REPORTE DE LA DEFENSA CIVIL.</t>
  </si>
  <si>
    <t>AFECTADO UN HOTEL Y SIETE CABAÑAS</t>
  </si>
  <si>
    <t>CORREGIMIENTO RINCON DEL MAR. REPORTE DEL CREPAD.</t>
  </si>
  <si>
    <t>BARRIO: PUEBLITO MONTAÑERO. REPORTE DEL CREPAD</t>
  </si>
  <si>
    <t>DESBORDAMIENTO DEL CAÑO GUATACA, ESTE MUNICIPÌO SE ENCUENTRA INUNDADO HACE DOS MESES, LA PERSONA SE CAYO DE LA CAMA AL SUELO Y MURIO AHOGADO REPORTE DEL CREPAD</t>
  </si>
  <si>
    <t>EN 700 HC DE CULTIVOS, POTREROS, PASTOS, AFECTACION BOVINA</t>
  </si>
  <si>
    <t>VEREDAS: GUATANCUY, VUELTA GRANDE, NUEVO FUQUENE. REPORTE DEL CREPAD</t>
  </si>
  <si>
    <t>CORREGIMIENTOS: REAL DEL OBISPO, SANTA INES. DESBORDAMIENTO DEL RIO MAGDALENA, REALIZAN EDAN REPORTE DE LA DEFENSA CIVL</t>
  </si>
  <si>
    <t>CORREGIMIENTO: EL BALSAMO. DESBORDAMIENTO DEL RIO MAGDALENA, REALIZAN EDAN. REPORTE DE LA DEFENSA CIVIL</t>
  </si>
  <si>
    <t>BARRIOS: EL MILAGRO, LA CHINITA REPORTE DE LA DEFENSA CVIL. A LA ESPERA DE MAS INFORMACION</t>
  </si>
  <si>
    <t>BARRIO: LAS MARGARITAS. REPORTE DE LA DEFENSA CIVIL</t>
  </si>
  <si>
    <t>SEQUIA LAS MERCEDES, BARRIOS:AMANECER DEL VALLE, FRANCISCO JAVIER, BELLO HORIZONTE II, CUATROCIENTOS AÑOS, GUAVINALES. DESBORDAMIENTO RIO LAS MERCEDES REPORTE DEL CLOPAD</t>
  </si>
  <si>
    <t>DESBORDAMIENTO RIO GUAVIARE. REPORTE DEL CREPAD</t>
  </si>
  <si>
    <t>BARRIOS: VILLA DEL PARAISO Y SANTA MARTA. REPORTE DEL CREPAD</t>
  </si>
  <si>
    <t>RAYO CAE SOBRE JOVENES QUE SE ENCONTRABAN EN LA CARRETERA DESVARANDO EL AUTOMOVIL. REPORTE DEL SOCORRO NACIONAL</t>
  </si>
  <si>
    <t>CORREGIMIENTOS DE COELLO-COCORA VEREDA SAN RAFAEL. FENOMENO DE REMOSION EN MASA EN DIFERENTES PUNTOS DE LA ZONA RURAL, DEJANDO AISLADOS A 16 PERSONAS, LAS CUALES FUERON EVACUADAS VIA HELICOPTERO, AFECTACION EN CULTIVOS, REALIZAN EDAN, DIFICIL ACCESO A LA ZONA, PENDIENTE MAS INFORMACION. REPORTE DEL CLOPAD</t>
  </si>
  <si>
    <t>VEREDA: EL COROZO. REPORTE DE LA DEFENSA CIVIL</t>
  </si>
  <si>
    <t>AFECTADO PUENTE VEHICULÑAR SOBRE LA QUEBRADA NEGRA, DEJANDO INCOMUNICADAS VEREDAS PARAGUAY, PIZARRAS, LAJITAS Y MORELIA. REPORTE DE LA DEFENSA CIVIL.</t>
  </si>
  <si>
    <t>BARRIO SANTO DOMINGO, ALFONSO LOPEZ Y SAN MATEOREPORTE EL CLOPAD.</t>
  </si>
  <si>
    <t>ACCIDENTE EN MINA DE CARBON POR ACUMULACION DE GASES. REPORTO EL CREPAD</t>
  </si>
  <si>
    <t>EXPLOSION DE MINA DE CARBON REPORTE DEL CREPAD.</t>
  </si>
  <si>
    <t>INSPECCION SAN MIGUEL. DESLIZAMIENTO EN LA VIA, INCOMUNICADA LA INSPECCION CON EL MUNICI´PIO. REPORTE DEL CREPAD.</t>
  </si>
  <si>
    <t>VEREDAS SAN MIGUEL, LA PITA, MIRAFLORES, SAN GERARDO. CRECIENTE DE LA QUEBRADA EL OSO AFECTADOS CUATRO ACUEDUCTOS. REPORTE DEL CREPAD.</t>
  </si>
  <si>
    <t>ANOLAIMA</t>
  </si>
  <si>
    <t>CRECIENTE DE LA QUEBRADA PUEBLO VIEJO. REPORTE DEL CREPAD. VEREDAS PEÑA PALACIOS Y LA PLAYA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</si>
  <si>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</si>
  <si>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</si>
  <si>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</si>
  <si>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</si>
  <si>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</si>
  <si>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</si>
  <si>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</si>
  <si>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</si>
  <si>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</si>
  <si>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</si>
  <si>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</si>
  <si>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</si>
  <si>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</si>
  <si>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</si>
  <si>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</si>
  <si>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</si>
  <si>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</si>
  <si>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</si>
  <si>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</si>
  <si>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</si>
  <si>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</si>
  <si>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</si>
  <si>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</si>
  <si>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</si>
  <si>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</si>
  <si>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</si>
  <si>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</si>
  <si>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</si>
  <si>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</si>
  <si>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</si>
  <si>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BARRIO SANTA RITA. REPORTE DE LA DEFENSA CIVIL.</t>
  </si>
  <si>
    <t>VEREDA EL DIAMANTE. REPORTE DEL CREPAD</t>
  </si>
  <si>
    <t>BARRIO EL DORADO REPORTE DEL CLOPAD</t>
  </si>
  <si>
    <t>SECTOR  COMUNEROS CALLE 72B CRA 27 SITIO LA PAZ. REPORTE DEL CREPAD</t>
  </si>
  <si>
    <t>LA GUAJIRA</t>
  </si>
  <si>
    <t>BARRIOS SANTA  RITA Y PIO XII</t>
  </si>
  <si>
    <t>BARRIO EL BOSQUE  Y MIRAVALLE. REPORTE DEL CREPAD</t>
  </si>
  <si>
    <t>SECTORES EL CHUSCAL. LA MANCHA, LA AURORA,  TRES  ESQUINAS,  PUEBLO NUEVO,  LAS BRISA, LLANO GRANDE.. REPORTE DEL CREPAD.</t>
  </si>
  <si>
    <t>PERDIDA EN CULTIVOS</t>
  </si>
  <si>
    <t>BARRIOS SIRGIA  ALTO Y SIRGIA  CHIQUITO. REPORTE DEL CREPAD</t>
  </si>
  <si>
    <t>BARRIOS VILLANUEVA  Y MILAN. REPORTE DEL CREPAD.</t>
  </si>
  <si>
    <t>BARRIO CORINTO BAJO. REPORTEDEL CREPAD</t>
  </si>
  <si>
    <t>VEREDAS  EL TIGRE Y EL JORDAN. REPORTEDEL CREPAD.</t>
  </si>
  <si>
    <t>BARRIO EL POBLADO, VEREDAS LAS LOMAS, EL JARDIN, EL SILENCIO, EL JORDAN. REPORTE DEL CREPAD</t>
  </si>
  <si>
    <t>VEREDA LAS LOMAS Y VEREDA  ALTURAS. REPORTE DEL CREPAD</t>
  </si>
  <si>
    <t>BARRIO EL PUEBLO. REPORTE DEL CREPAD</t>
  </si>
  <si>
    <t>BARRIO MARMOLEJO, REPORTE DEL CREPAD</t>
  </si>
  <si>
    <t>VEREDA  ALTAMIRA. REPORTE DEL CREPAD</t>
  </si>
  <si>
    <t>SECTORES, EL DIAMANTE, LA SECRETA, CHORRITOS, . REPORTE DEL CREPAD</t>
  </si>
  <si>
    <t>VEREDAS ITUARI,-KUNDUMI, PUREMBARA. COSTA  RICA, MORROTO, SANTA  MARGARITA. REPORTE DEL CREPAD</t>
  </si>
  <si>
    <t>PERDIDA EN CULTIVOD</t>
  </si>
  <si>
    <t xml:space="preserve"> VEREDA SANQUIAS VIA BELEN SAN ANTONIO. AFECTACION EN CUATRO VIAS SECUNDARIAS. REPORTE DEL CREPAD.</t>
  </si>
  <si>
    <t>BARRIOS LA  MONA, CELECHE, . REPORTE DEL CREPAD</t>
  </si>
  <si>
    <t>BARRIO VALENCIA. REPORTE DEL CREPAD</t>
  </si>
  <si>
    <t>BARRIOS: CAMALEON, SABANERO, BETANIA, PUEBLONUEVO LAS PALMERAS, EL LLANO. DEBORDAMIENTO DEL RIO SAN JUAN. DEFENSA CIVIL Y CREPAD. GIRO DIRECTO AL CLOPAD PARA LIMPIEZA DE QUEBRADAS.</t>
  </si>
  <si>
    <t>EL VALOR DE OTROS CORRESPONDE A 800 PICOS, 800 PALAS. APOYO GLOBAL AL EPARTAMENTO.</t>
  </si>
  <si>
    <t>600 METROS E MANGUERA DE 4"</t>
  </si>
  <si>
    <t>APOYO DEL FNC MEDIANTE GIRO DIRECTO AL CLOAPD PARA APOYAR LA REHABILITACION DE LA INFRAESTRUCTURA VIAL SECUNDARIA Y TERCIARIA. EL VALOR DE OTROS CORRESPONDE A 1000 MALLAS PARA GAVION.</t>
  </si>
  <si>
    <t>REPORTE DEL CREPAD. EL VALOR DE OTROS CORRESPONDE A 2500 LADRILLOS, GUAYA DE 3/4 1200 METROS, MADERA 100 M2</t>
  </si>
  <si>
    <t>UNICENTRO  AVENIDA LIBERTADORES. INCENDIO ESTRUCTURAL AFECTADO EL EDIFICIO DEL CENTRO COMERCIAL CUCUBAN, PERDIDAS MATERIALES POR ESTABLECER. REPORTE DEL CREPAD</t>
  </si>
  <si>
    <t>CORREGIMIENTO: SANTA CECILIA, SECTOR: SANTA MARIA. CAIDA DE ROCAS, POR FUERTES LLUVIAS EN EL SECTOR, AFECTANDO UN VEHICULO. REPROTE DEL CREPAD.</t>
  </si>
  <si>
    <t>SECTOR: JORDAN SUBE . REPORTE DEL CREPAD</t>
  </si>
  <si>
    <t>VIA BUCARAMANGA- BOGOTA KM: 13 +600. REPORTE DEL CREPAD</t>
  </si>
  <si>
    <t>CALLE 3No. 1B-44. REPORTE DEL CREPAD.</t>
  </si>
  <si>
    <t>VEREDA:  EL ENCANTO ALTO. REPORTE DEL CREPAD.</t>
  </si>
  <si>
    <t>REPORTE DEL CLOPAD PARA ACTUALIZACION REUNIDOS.</t>
  </si>
  <si>
    <t>3 VEREDAS  Y  8 SECTORES. FRACTURA DEL JARILLON EN EL SECTOR DE FÁTIMA POR LA LAGUNA DE FUQUEME.  8 TRAMOS DE  VIAS  AFECTADAS. REPORTE DEL CREPAD. APOYO DEL FNC MEDIANTE GIRO DIRECTO AL CLOPAD PARA ALQUILER DE MAQUINARIA Y COMBUSTIBLE.</t>
  </si>
  <si>
    <t>VEREDA: SEGOVIA. DESBORDAMIENTO DEL RIO CAQUETA, UNA ESCUELA AFECTADA. PENDIENTE AFECTACION A OTROS SECTORES. REPORTE DEL CREPAD</t>
  </si>
  <si>
    <t>REPORTE DEL CREPAD. ACTUALIZACION PARA REUNIDOS.</t>
  </si>
  <si>
    <t>ALTO LAS BRISAS REPORTE DEL CREPAD.. INFORMACION ACTUALIZADA PARA REUNIDOS.</t>
  </si>
  <si>
    <t>REPORTE DEL CREPAD. INFORMACION ACTUALIZADA PARA REUNIDOS.</t>
  </si>
  <si>
    <t>INFORMACION ACTUALIZADA PARA REUNIDOS</t>
  </si>
  <si>
    <t>VEREDA: ASTURIAS. AFECTACION EN TECHOS Y FLUIDO ELECTRICO. REPORTE DEL CREPAD.</t>
  </si>
  <si>
    <t>VEREDA  SANTA  TERESA FINCAS LA CAMELIA , LA ESPERANZA Y LA  SIBERIA. REPROTE DEL CREPAD.</t>
  </si>
  <si>
    <t>CASCO URBANO. DESBORDAMIENTO CAÑO SECO. REPORTE DE LA DEFENSA CIVIL</t>
  </si>
  <si>
    <t>CIUDAD PORFIA. REPORTE EL CLOPAD.</t>
  </si>
  <si>
    <t>BARRIO: LLERAS CALLE MANHATTAN. CRAPAD</t>
  </si>
  <si>
    <r>
      <t>APOYO CON SACOS DE POLIPROILENO.</t>
    </r>
    <r>
      <rPr>
        <b/>
        <sz val="9"/>
        <rFont val="Arial"/>
        <family val="2"/>
      </rPr>
      <t xml:space="preserve"> APOYO EN TRAMITE MEDIANTE GIRO DIRECTO PARA COMBUSTIBLE</t>
    </r>
  </si>
  <si>
    <t>BARRIOS: PASOANCHO, LA RIVERA,  Y LAS PALMAS. DESBORDAMIENTO DE LA QUEBRADA LA UNION . REPORTE DEL CREPAD. GIRO DIRECTO AL CLOPAD PARA LAQUILER DE MAQUINARIA Y COMBUSTIBLE PARA REHABILITACION VIAL</t>
  </si>
  <si>
    <t>REPORTE DEL CREPAD. APOYO DEL FNC MEDIANTE GIRO DIRECTO AL CLOPAD PARA ALQUILER DE MAQUINARIA Y COMBUSTIBLE PARA REHABILITACIN DE LAS VIAS</t>
  </si>
  <si>
    <t>VEREDAS: LA ESMERALDA, LA COLORADA, BARRIOS: LOS PINOS, EL CENTRO. DESBORDAMIENTO DE LOS RIOS: CUSAY, CASANARE.CAÑO LA COLORADA, TOTMAL. REPORTE DE LA DEFENSA CIVIL.</t>
  </si>
  <si>
    <t>BARRIOS AMIREZ, BUENAVISTA, EL RECREO LA LIBERTAD. VEREDAS LA SALVE, LAS COLINAS, LOS JARDINES, SALEM, LA ESPERANZA, BUENOS AIRES, SAN FRANCISCO, CARACOLES, SITIO NUEVO, EL TIGRE LOS ANDE.. REPORTE DEL CREPAD. VEREDA NUEVO HORIZONTE. DESBORDAMEINTO RIO CUSAY. REPORTE DE LA DEFENS ACIVIL.</t>
  </si>
  <si>
    <t>BARRIOS: FLOR DE MI LLANO, 20 DE ENERO, PARAISO, VEREDA SAN IGNACIO. 7 DE AGOSTO, LA VIRGEN, FLOR DE MI LLANO, EL TACHUELO, EL MANGUITO, LA FLORESTA, NUEVO AEROPUESTO, LAS ACACIAS. DESBORAMIENTO RIO CRAVO SUR Y CASANARE. REPORTE DEL CREPAD.</t>
  </si>
  <si>
    <t xml:space="preserve">REPORTE DEL CREPAD. BARIO EL PROGRSO Y EL CENTRO, VEREDAS LOS CABALLOS, VELADERO, SAN JOSE, SAMUCO, COMUNIDAD INDIGENA CANANAMA, </t>
  </si>
  <si>
    <t>APOYO DEL FNC MEDIANTE GIRO DIRECTO AL CREPAD PARA ALQUILER DE MAQUINARIA, Y COMBUSTIBLE</t>
  </si>
  <si>
    <t>ACTUALIZACION DEL CREPAD PARA REUNIDOS. APOYO DEL FNC MEDAINTE GIRO DIRECTO AL CLOPAD PARA LIMPIEZA Y DESCONTAMINACION DE LA QUEBRADASANTA ROSA.</t>
  </si>
  <si>
    <r>
      <t xml:space="preserve">ZONA URBANA Y RURAL. DESBORDAMIENTO DEL RIO BANDIAS YCALIFITAS Y  LAS QUEBRADAS: PABA Y PABITA. REPORTE DE LA DEFENSA CIVIL. </t>
    </r>
    <r>
      <rPr>
        <b/>
        <sz val="9"/>
        <rFont val="Arial"/>
        <family val="2"/>
      </rPr>
      <t>APOYO DEL FNC MEDIANTE GIRO DIRECTO AL CLOPAD PARA ALQUILER DE MAQUINARIA Y COMPRA DE COMBUSTIBÑE PARA DRAGADO Y CANALIZAION RIO CALIFITAS.</t>
    </r>
  </si>
  <si>
    <r>
      <t xml:space="preserve">POBLADO DE GARAVITO RIVERA RIO SUAREZ.. </t>
    </r>
    <r>
      <rPr>
        <b/>
        <sz val="9"/>
        <rFont val="Arial"/>
        <family val="2"/>
      </rPr>
      <t>APOYO DEL FNC MEDIANTE GIRO DIRECTO AL CLOPAD PARA LIMPIEZA DE ALCANTARILLAS, CUNETAS Y REMOCION DE ESCOMBROS.</t>
    </r>
  </si>
  <si>
    <t>SE BRINDO APOYO A TRAVES DEL CREPAD</t>
  </si>
  <si>
    <t>REPORTE DEL CLOPAD PARA ACTUALIZAR VISOR</t>
  </si>
  <si>
    <t>REPORTE DEL CREPAD PARA ACTUALIZAR VISOR</t>
  </si>
  <si>
    <t>SE APOYO A TRAVES DEL CREPAD</t>
  </si>
  <si>
    <r>
      <t>DESBORDAMIENTO RIO VILLANUEVA, INUNDADOS BARRIOS DE ROJAS PINILLA, VILLA DEL RIO, PONPILIO DAZA, JOSE GALO DAZA, OROSUS, BLANCA MARTINEZ, LAS MARIAS,VEREDAS SANJONES, PALMARITO, LA NOVEDAD. REPORTE DEL CREPAD MEDIANTE CORREO ELECTRONICO, INFORMANDO QUE ESTANEVALUANDO SITUACION.. ZONA RURAL  Y URBANA. DESBORDAMIENTO RIOS VILLANUEVA Y NOVALITO, REPROTE DE LA DEFESNA CIVIL</t>
    </r>
    <r>
      <rPr>
        <b/>
        <sz val="8"/>
        <rFont val="Arial"/>
        <family val="2"/>
      </rPr>
      <t>. APOYO DEL FNC MEDIANTE GIRO DIRECTO AL CREPAD PARA CONSTRUCCION MURO DE CONENCION PARA CREAR UN MARGEN DE SEGURIDAD EN SIETE BARRIOS DEL MUNICIPIO E VILLANUEVA</t>
    </r>
  </si>
  <si>
    <t>APOYO DEL FNC MEDIANTE GIRO DIRECTO AL CLOPAD PARA ALQUILER DE MAQUINARIA. Y COMPRA DE COMBUSTIBLE</t>
  </si>
  <si>
    <t>APOYO DEL FNC MEDIANTE GIRO DIRECTO AL CLOPAD PARA ALQUILER DE MAQUINARIA  PARA ARREGLO DE VIAS.</t>
  </si>
  <si>
    <t>APOYO DEL FNC MEDIANTE GIRO DIRECTO AL CLOPAD PARA ALQUILER DE MAQUINARIA Y COMPRA DE COMBUSTIBLE</t>
  </si>
  <si>
    <t>LOPEZ DE MICAY</t>
  </si>
  <si>
    <t>DESBORDAMIENTO DE LOS RIOS: TAME, CRAVO, TIGRE, CASANARE, PURARE, CULEBRERO, TOCORAGUA,  AFECTADO EL PUENTE  SOBRE EL RIO TAME  EN EL SECTOR SAN SALVADOR, CERRADA LA VIA,  PENDIENTE INFORMACION. REPORTE DEL CREPAD</t>
  </si>
  <si>
    <t>VEREDA: EL GUACAL. REPORTE DEL CREPAD.</t>
  </si>
  <si>
    <t>CORREGIMIENTO DE: SAN ANTONIO DE SUAREZ. DERRUMBE EN MINA DE ORO, SE DESCONOCEN LAS CAUSAS. REPROTE DE SOCORRO NACIONAL</t>
  </si>
  <si>
    <t>EXPLOSION DE MINA DE CARBON DE NOMBRE LA ESCONDIDA EN LA VEREDA PEÑAS BLANCAS.EPORTE DEL CREPAD. MINPROTECCION, BOMBEROS Y SALVAMENTO MINERO DE INGEOMINAS.</t>
  </si>
  <si>
    <t>LOCALIDAD DE KENNEDY REPORTE DEL FOPAE CARRERA 80 B CALLE 2.</t>
  </si>
  <si>
    <t>VIA COTA CHIA, FABRICA DE JABONES COLEMUL. REPORTE DEL BOMBEROS.</t>
  </si>
  <si>
    <t>FABRICA DE JABONES.</t>
  </si>
  <si>
    <t>VEREDA RIO FRIO. REPORTE DEL CREPAD.</t>
  </si>
  <si>
    <t>MINA DE ORO CORREGIMIENTO CAMPO ALEGRE. REPORTE DEL CREPAD.</t>
  </si>
  <si>
    <t>CARRERA 8 NO. 11 65 REPORTE DE DEFENSA CIVIL.</t>
  </si>
  <si>
    <t>BARRIO EL DORAL . REPORTE DE LA DEFENSA CIVIL</t>
  </si>
  <si>
    <t>BARRIO 4 DE DICIEMBRE. CRECIENTE QUEBRADA LA PAVA. REPORTE DE LA DEFENSA CIVIL</t>
  </si>
  <si>
    <t>CORREGIMIENTO SANTO DOMINGO Y OJO DE AGUA. CRECIENTE LAGUNA LA ZAPATPSA. REPORTE DE LA DEFENSA CIVIL.</t>
  </si>
  <si>
    <r>
      <t>ISLAPUERTO SERVIEZ,  BARRIOS CHAMBACU ALTO Y BAJO,  CARACOLI ALTO Y BAJO, ISLAS EL MANGO, EL AVISPERO CAÑO PUEBLO NUEVO. DESBORDAMIENTO RIO MAGDALENA , REPRESAMIENTO RIO PUERTO ROMERO Y FUERTES LLUVIAS EN LA  ZONA. REPORTE DEL CREPAD. EL VALOR DE OTROS CORRESPONDE A 3 MOTOBOMBAS 4". 3000 BOTELLAS DE CRIOLINA. 100 PALAS, 50 CARRETILLAS.</t>
    </r>
    <r>
      <rPr>
        <b/>
        <sz val="9"/>
        <rFont val="Arial"/>
        <family val="2"/>
      </rPr>
      <t xml:space="preserve"> APOYO DEL FNC MEDIANE GIRO DIRECTO AL CLOPAD PARA ALQUILER DE MAQUINARIA Y COMBUSTIBLE.</t>
    </r>
  </si>
  <si>
    <r>
      <t>REPORTE DEL CREPAD. CASCO URBANO Y VEREDAS  MONTEJO, CUPAVITA SICHA.</t>
    </r>
    <r>
      <rPr>
        <b/>
        <sz val="9"/>
        <rFont val="Arial"/>
        <family val="2"/>
      </rPr>
      <t xml:space="preserve"> APOYO DEL FNC MEDAITNE GIRO DIRECTO AL CLOPAD PARA COMPRA DE COMBUSTIBLE</t>
    </r>
  </si>
  <si>
    <t xml:space="preserve">APOYO DEL FNC MEDIANT GIRO DIRECTO AL CLOPAD PARA REHABILITACION DE LA RED TERCIARIA VIAL </t>
  </si>
  <si>
    <t>SECTOR CENTRO REPORTE DEL CREPAD.</t>
  </si>
  <si>
    <t>BARRIO LA PLAYITA. REPROTE DEL CREPAD.</t>
  </si>
  <si>
    <t>EXPLOSION DE MIMA DE CARBON LA PRECIOSA VEREDA SAN ROQUE. REPORTE DEL CREPAD. EN LA ZONA SEN ENCUENTRASN CRUZ ROJA, DEFENSA CIVIL, BOMBEROS, INGEOMINAS,POLICIA , APOYO DEL EJERCITO CON HELICOPTERO.</t>
  </si>
  <si>
    <t>GARZON</t>
  </si>
  <si>
    <t>BARRIO LOS COMUNEROS. REPORTE DEL CREPAD.</t>
  </si>
  <si>
    <t>CORREGIMIENTO LA PEDREGOZA, VEREDA LAS PALMAS REPORTE LA DEFENSA CIVIL.</t>
  </si>
  <si>
    <t>FABRICA DE COLCHONES.</t>
  </si>
  <si>
    <t xml:space="preserve">BARRIO SAN SALVADOR, REPORTE DE LA DEFENSA CIVIL. </t>
  </si>
  <si>
    <t>REPORTE DE BOMBEROS VILLAVICENCIO. BARRIO GAITAN CARRERA 28 NO. 25 - 16</t>
  </si>
  <si>
    <t>SANTACRUZ</t>
  </si>
  <si>
    <t>PUERRES</t>
  </si>
  <si>
    <t>AFECTADA VIAS MONOPAMBA, VIA PUERREZ SAN JUAN, REPROTE DEL CREPAD</t>
  </si>
  <si>
    <t>LOS ANDES</t>
  </si>
  <si>
    <t>FRANCISCO PIZARRO</t>
  </si>
  <si>
    <t>CALIFORNIA</t>
  </si>
  <si>
    <t>CHINCHINA</t>
  </si>
  <si>
    <t>NORCASIA</t>
  </si>
  <si>
    <t>SAN MIGUEL</t>
  </si>
  <si>
    <t>PAUNA</t>
  </si>
  <si>
    <t>SUTATAUSA</t>
  </si>
  <si>
    <t>DESBORDAMIENTO QUEBRADA ACAPULCO, REPORTE DE LA DEFENSA CIVIL, BARRIOS METROPILITANO, VILLA MARIA, SANTA FE Y METRO.</t>
  </si>
  <si>
    <t>CORREGIMIENTO VALENCIA DE JESUS. REPORTE DEL CLOPAD.</t>
  </si>
  <si>
    <t>AVENIDA 1 NO. 23B 55. REPORTE DEL CLOPAD.</t>
  </si>
  <si>
    <t>REPORTE DEL CREPAD.CORREGIMIENTO EL PALMAR, VEREDA LAS BRISAS, SECTOR EL CONO.</t>
  </si>
  <si>
    <t>DOS BODEGAS Y 10 VIVIENDAS QUE YA HABIAN SIDO EVACUADAS.</t>
  </si>
  <si>
    <t>CRECIENTE RIO CARANAL, CORREGIMIENTO UNION DE CARDENALES. REPORTE DE CRUZ ROJA</t>
  </si>
  <si>
    <t>SECTOR CENTRO REPROTE DE LA DEFENSA CIVIL.</t>
  </si>
  <si>
    <t>ZONA URBANA REPORTO LA DEFENSA CIVIL</t>
  </si>
  <si>
    <t>VEREDA LA ESPERANZA.REPORTE DE LA DEFENSA CIVIL</t>
  </si>
  <si>
    <t>VEREDA REAL DE PAVA. REPORTE DE LA DEFENSA CIVIL</t>
  </si>
  <si>
    <t>REPORTE DEL CREPAD. BARRIO TOKIO.</t>
  </si>
  <si>
    <t>REPORTE DE LA DEFENSA CIVIL. BARRIO VILLA COLOMBIA.</t>
  </si>
  <si>
    <t>AFECTADO UN TALLER.</t>
  </si>
  <si>
    <t>REPORTE DEL CREPAD. ZONA URBANA 15 BARRIOS AFECTADOS</t>
  </si>
  <si>
    <t>REPORTE DEL MINPROTECCION SOCIAL Y CREPAD. VEREDA LOS ALPES.</t>
  </si>
  <si>
    <t>VEREDA NAVARDO BAJO. KM 5 REPORTE DEL CREPAD. VIAS EN LAS VEREDAS CAMINO NACIONAL, COCORA, NAVARCO, CANAAN, LLANO GRANDE, PALOGRANDE, ARRAYANAL - SALENTO, BOQUI - LLANOGRANDE, LA NUBIA. REPORTE DEL CREPAD. APOYO DEL FNC MEDIANTE GIRO DIRECTO AL CLOPAD PARA REHABILITACION DE VIAS</t>
  </si>
  <si>
    <t>APOYO DEL FNC MEDIANTE GIRO DIRECTO AL CLOPAD PARA ADQUISICION DE COMBUSTIBLE. PARA LOS EQUIPOS EMPLEADOS EN LA REMOCION DE ESCOMBROS</t>
  </si>
  <si>
    <t>LOCALIDAD DE SUBA, BARRIO: GUICANI. INCENDIO ESTRUCTURAL, LOS NOMBRES DE LAS PERSONAS QUE FALLECIERON SON: ANA CECILIA CARO RUBIANO DE 21 AÑOS DE EDAD, JAVIER CASTELLANOS DE 27 AÑOS DE EDAD, ANGEL CASTELLANOS DE 5 AÑOS DE EDAD. REPORTE DE LA DEFENSA CIVIL</t>
  </si>
  <si>
    <t>BARRIOS: EL CEIBAL, EL RECREO, LA MARIA, LA PAZ, EL LIMONAR, JOSE MARIA CORDOBA, SAN RAFAEL DE LA CRUZ. ZONA RURAL Y URBANA.  REPORTE DEL CREPAD.</t>
  </si>
  <si>
    <t>CORREGIMIENTO: TACALOA. CRECIENTE RIO MAGDALENA. REPORTE DEL CREPAD</t>
  </si>
  <si>
    <t>BARRIO: 30 DE AGOSTO. REPORTE DE LA DEFENSA CIVIL</t>
  </si>
  <si>
    <t>LOCALIDAD DE USME. BARRIO LA FISCALIA ALTA, QUEBRADA SECA Y LA QUEBRADITA. REPORTE DEL FOPAE</t>
  </si>
  <si>
    <t>BARRIOS  LA BAMBA. LA POLVORERA, SECTOR ALTO CIELO. REPORTE DEL CREPAD</t>
  </si>
  <si>
    <t>VEREDA  ANISAL. REPORTE DEL CREPAD</t>
  </si>
  <si>
    <t>CORREGIMIENTO VENECIA. REPORTE DEL CREPAD</t>
  </si>
  <si>
    <t>ALTOS DE  SILOE. REPORTE DEL CREPAD.</t>
  </si>
  <si>
    <t>ZONA URBANA</t>
  </si>
  <si>
    <t>VEREDA BATAN EN EL SITIO BARTOLO. REPORTE DEL CREPAD</t>
  </si>
  <si>
    <t>FRENTE DE LA FINCA LA SEVILLA. REPORTE DEL CREPAD.</t>
  </si>
  <si>
    <t>INCENDIO ESTRUCTURAL EN UN LOCAL DE REPARACIÒN DE NEVERAS</t>
  </si>
  <si>
    <t>BARRIO: LOS ROSALES. DESBORDAMIENTO DEL RIO NABOYACO. REPORTE DE LA DEFENSA CIVIL</t>
  </si>
  <si>
    <t>CAIDA DE ÀRBOLES, PENDIENTE MÀS INFORMACIÒN. REPORTE DE SOCORRO NACIONAL</t>
  </si>
  <si>
    <t>PERDIA DE CULTIVOS</t>
  </si>
  <si>
    <r>
      <t xml:space="preserve">BARRIOS: 20 DE JULIO, ANGEL RICARDO ACOSTA.  </t>
    </r>
    <r>
      <rPr>
        <sz val="11"/>
        <rFont val="Arial"/>
        <family val="2"/>
      </rPr>
      <t>Ángel Ricardo Acosta, Isla 20 de Julio, Nueva Colombia sector bajo, Pradera, Raicero, Vista Hermosa, Siete de Agosto, Comuneros, Guamal, Floresta, Juan XXIII bajo, San Judas, Idema, Alameda, Portal, Brisas Altas, Corazones, La Sardina, El Maicero, Triunfo, Andes Altos, Rodrigo Turbay.  Debido al desbordamiento del Rio  Hacha, y las quebradas: La Perdiz, La Sardina y La Yuca. vias de los corregimientos Santo Domingo, San Pedro, Orteguaza, Carano y Venecia</t>
    </r>
    <r>
      <rPr>
        <b/>
        <sz val="10"/>
        <rFont val="Arial"/>
        <family val="2"/>
      </rPr>
      <t xml:space="preserve"> </t>
    </r>
    <r>
      <rPr>
        <sz val="9"/>
        <rFont val="Arial"/>
        <family val="2"/>
      </rPr>
      <t>REPORTE DE LA DEFENSA CIVIL Y CLOPAD</t>
    </r>
  </si>
  <si>
    <t>CORREGIMIENTO MONTEBELLO. REPORTE DEL CREPAD</t>
  </si>
  <si>
    <t>APOYO DEL FNC MEDIANTE GIRO DIRECTO AL CLOPAD PARA REPARACION DE 23 VIVIENDAS URBANA Y CONSTRUCCION DE 12 VIVIENDAS URBANAS Y RURALES.</t>
  </si>
  <si>
    <t>RECONSTRUCCION DE VIVIENDA INTERVENIDAS POR EL PROCESO CONSTRUCTIVO DEL DIQUE DE PROTECCION</t>
  </si>
  <si>
    <t>2
3</t>
  </si>
  <si>
    <r>
      <t xml:space="preserve">VEREDAS: LAURELES, BUENOS AIRES. DESBORDAMIENTO DEL RIO URICHARE, REALIZAN EDAN. </t>
    </r>
    <r>
      <rPr>
        <b/>
        <sz val="9"/>
        <rFont val="Arial"/>
        <family val="2"/>
      </rPr>
      <t>APOYO DEL FNC PARA LA ADECUACION DE CAUCES CAÑO URICHARE, RIO GUAPE.</t>
    </r>
  </si>
  <si>
    <t>REPORTE DE DEFENSA CIVIL BARRIO SAN MARTIN ETAPA 2</t>
  </si>
  <si>
    <t>REPORTE DEL CLOPAD BARRIO LA VIRGINIA</t>
  </si>
  <si>
    <t>REPORTE DE DEFENSA CIVIL, CORREGIMIENTO TIMBA</t>
  </si>
  <si>
    <t>REPORTE DEL CREPAD SECTOR ZONA FRANCA Y RIO GUACHAL</t>
  </si>
  <si>
    <t>CRECIMIENTO DE LA QUEBRADA GUAYABAL. REPORTE DEL CREPAD. VIA PRINCIPAL</t>
  </si>
  <si>
    <t xml:space="preserve">CRECIMIENTO RIO IBACAPI, COLAPSANDO UN PUENTE PEATONAL Y UNO VEHICULAR. REPORTE DEL CREPAD. Y EN LA VEREDA MINIPI. </t>
  </si>
  <si>
    <t>VIA PRINCIPAL A CASCO URBANO. VEREDE VIJAGUAL Y LA VEREDA ANCAMAY. REPORTE DEKL CREPAD EN REUNION DEL 18 DE ABRIL DE 2011</t>
  </si>
  <si>
    <t>CRECIENTE RIO LINDO LINDO REPORTE DEL CREPAD. BARRIO SANTA LILIANA</t>
  </si>
  <si>
    <t>REPORTE DEL CREPAD COMUNA OCCIDENTAL</t>
  </si>
  <si>
    <t>REPORTE DEL CREPAD BARRIOS LA RIVERA NUEVO HORIZONTE Y CRISTALES</t>
  </si>
  <si>
    <t>BARRIO SALAZAR BAJO REPORTE DEL CLOPAD</t>
  </si>
  <si>
    <t>DESBORDAMIENTO QUEBRADA LOS SANTOS REPORTE DEL CREPAD, SECTOR LA NUBIA.</t>
  </si>
  <si>
    <t>REPROTE DE LA DEFENSA CIVIL. VEREDA GABRIEL LOPEZ SITIO EL SALADO</t>
  </si>
  <si>
    <t>REPORTE DEL CREPAD. VEREDA JUNTAS</t>
  </si>
  <si>
    <t>REPORTE DEL CREPAD. CASCO URBANO</t>
  </si>
  <si>
    <t>CUCUNUBA</t>
  </si>
  <si>
    <t>REPORTE DEL CREPAD VEREDAS LA TRINIDAD.</t>
  </si>
  <si>
    <t>DESBORDAMIENTO QUEBRADA LA TOMA. REPORTE DEL CREPAD. BARRIO 7 DE AGOSTO.</t>
  </si>
  <si>
    <t>REPORTE DEL CLOPAD. BARRIO LAS BRISAS</t>
  </si>
  <si>
    <t>REPORTE DEL CREPAD SECTOR LA ESTACION</t>
  </si>
  <si>
    <t>REPORTE DEL CLOPAD BARRIO GAITAN BAJO</t>
  </si>
  <si>
    <t>REORTE DEL CREPAD BARRIO LA PIRAGUA</t>
  </si>
  <si>
    <t xml:space="preserve">SECTOR AGUABLANCA REPORTE DEL CLOPAD. </t>
  </si>
  <si>
    <t>UNA BODEGA DE RECICLAJE, PERDIDAS APROXIMADAS POR $100.000.000.</t>
  </si>
  <si>
    <t>AFECTADO CENTRO EDUCATIVO GENERAL SANTANDER IED NUESTRA SEÑORA DE LA GRACIA.  REPORTE DEL CREPAD</t>
  </si>
  <si>
    <t>afectados 260 locales comerciales</t>
  </si>
  <si>
    <t>DESBORDAMIENTO QUEBRADA LA MELGARA. BARRIOS CICOMORO, GALAN, ACAPULCO, CAFAM, YAHAIRA COLINAS, EL EDEN LA VEGA. REPORTE DEL CREPAD.</t>
  </si>
  <si>
    <t>BARRIO NUEVA CASTILLA, REPORTE DEL CREPAD.</t>
  </si>
  <si>
    <t>CRECIENTE QUEBRADA MIJITAYO, BARRIOS COLPATRIA, BRICEÑO, MAPACHICO ALTO, MORASURCO. REPORTE DE LA DEFENSA CIVIL</t>
  </si>
  <si>
    <t>KM 16 VIA A MELGAR. REPORTE DE LA DEFENSA CIVIL.</t>
  </si>
  <si>
    <t>CLINICA DE LA MILAGROSA</t>
  </si>
  <si>
    <t>REPORTE DE MINPROTECCION SOCIAL. SALA DE NEONATOS.</t>
  </si>
  <si>
    <t>AFECTADAS VIAS DE LOS CORREGIMIENTOS LA LAGUNA, CHILLURCO, CRIOLLO, BRUSELAS.REPORTE DEL CREPAD.</t>
  </si>
  <si>
    <t>CREPAD CAUCA  DRA EDITH J. PAZ CEL. 3104495565 DEFENSA  CIVIL SR. OSCAR  RODRIGUEZ TEL 3199000. FUERTES  LLUVIAS Y DESBORDAMIENTO QUEBRADA  CALAMBA</t>
  </si>
  <si>
    <t>CREPAD ANTIOQUIA DR. GILBERTO MAZO CEL, 3146327933. VIVIENDAS HABIAN SIDO EVACUADAS POR  PREVENCION DESDE DIA 28/04/2011. NO HUBO HERIDOS</t>
  </si>
  <si>
    <t>SACOS ENTREGADOS EN CORMAGDALENA BARRANQUILLA</t>
  </si>
  <si>
    <t>APOYO DEL FNC MEDIANTE GIRO DIRECTO AL CREPAD PARA COMBUSTIBLE, ALQUILER DE MAQUINARI Y APOYO A ORGANISMOS DE SOCORRO</t>
  </si>
  <si>
    <t>SE BRINDO APOYO A TRAVES DEL DEPARTAMENTO</t>
  </si>
  <si>
    <t>SE APOYARON LOS EENTOS DEL 31 DE MARZO Y 1 DE ABRIL</t>
  </si>
  <si>
    <t>SECTORES: LAS FLORES, LOS LIMONES. DEBORDAMIENTO RIO MAGDALENA, APOYO DEL FNC COMBUSTIBLE, COSTALES Y HERRAMIENTA MENOR.</t>
  </si>
  <si>
    <t>SECTOR LA MARIA. CRECIENTE DEL RIÓ QUINDÍO EL CUAL AISLÓ A UNAS PERSONAS QUE SE ENCONTRABAN EN "PASE DE OLLA" EN LAS ORILLAS DEL RIÓ LOS CUALES TODOS FUERON RESCATADOS CON VIDA POR LA FUERZA AÉREA. REPORTE DEL CREPAD</t>
  </si>
  <si>
    <t>VEREDA EL GUABAL. PASO RESTRINGIDO POR LA VÍA PANAMERICANA A CAUSA DE LA CAÍDA DE VARIOS ÁRBOLES. REPORTE DE SOCORRO NACIONAL</t>
  </si>
  <si>
    <t>CORREGIMIENTO VENECIA Y ANDINAPOLIS. DESBORDAMIETNO RIO SAN JOSE REPORTE DEL SOCORRO NACIONAL</t>
  </si>
  <si>
    <t>SECTOR SERRERIA. CRECIENTE DEL RIO BATAN QUE COMUNICA CON EL RIO NEGRO, AFECTANDO UN PUENTE QUE COMUNICA CON LA VEREDA SERRERIA . REPORTE DEL BOMBEROS CUNDINAMARCA</t>
  </si>
  <si>
    <t>BARRIOS: VILLA HEMOSA, QUEBRADA LA MONEDA, CARACOLI, LA VEGA, NUEVA GRANADA, PORVENIR, EL PEÑON. DESBORDAMIENTO DEL RIO ORTEGA Y LA QUEBRADA DE LA MONEDA, 3 INSTITUCIONES EDUCATIVAS AFECTADAS, 6 ACUEDUCTOS AFECTADOS, SE ENCUENTRAN SIN SUMINISTRO DE AGUA POTABLE REALIZAN EDAN. REPORTE DEL CREPAD</t>
  </si>
  <si>
    <t>BARRIO: URIBE- URIBE. REPORTE DEL CLOPAD</t>
  </si>
  <si>
    <t>CORREGIMIENTO: LA PLANTA. REPORTE DEL CREPAD.</t>
  </si>
  <si>
    <t>VEREDA: CHUNTAME, BARRIO: CAPELLANIA. REPORTE DEL CREPAD.</t>
  </si>
  <si>
    <t>VEREDA: EL UVAL Y CASCO URBANO. REPORTE DEL CREPAD.</t>
  </si>
  <si>
    <t>VEREDAS: SALITRE BLANCO. LA PLAYITA, MANI, MANI BAJO, NARANJAL, CHURILLO . REPROTE DEL CREPAD</t>
  </si>
  <si>
    <t>VEREDA: CENTRO. REPROTE DEL CREPAD.</t>
  </si>
  <si>
    <t>ZONA URBANA. 10 BARRIOS AFECTADOS. REPORTE DE LA DEFENSA CIVIL</t>
  </si>
  <si>
    <t>BARRIO: GALAN. REPROTE DE LA DEFENSA CIVIL</t>
  </si>
  <si>
    <t>VEREDA SALITRE BAJO,
 SECTOR PEÑAS ZANAHORIA REPORTE DEL CREPAD</t>
  </si>
  <si>
    <t>CORREGIMIENTO 
PUERTO VALDIBIA DESBORDAMIENTO RIO CAUCA. REPORTE EL CEPAD.</t>
  </si>
  <si>
    <t>VEREDA EL EL AJIZAL. REPORTE DEL CREPAD.</t>
  </si>
  <si>
    <t>428 AGRICULTORES, el rosario - el vapor; el rosario - guayacanal; el rosario - canetilla; el rosario - la recogida; el rosario - la montaña</t>
  </si>
  <si>
    <t>ACTUALIZACION DEL CREPAD EL 30 DE JUNIO DE 2011</t>
  </si>
  <si>
    <t>VIA VEREDA PLATANAL A VEREDA RINCON. VIA SANTA ROSA . REPORTE DEL CLOPAD</t>
  </si>
  <si>
    <t>REPORTE DEL CLOPAD. VIA VERSALLES PLANES, VIA LA URIBE EL PARAISO.</t>
  </si>
  <si>
    <t>VIA SANTA BARBARA CUROS MALAGA.VIA CHINGARA - CEBA, VIA TAHONA - APURE REPORTE DEL CREPAD.</t>
  </si>
  <si>
    <t>SEGUNDA TEMPORADA FENOMENO DE LA NIÑA 2010-2011</t>
  </si>
  <si>
    <t>D.C.C SR. OSCAR RODRIGUEZ</t>
  </si>
  <si>
    <t>VEREDAS: LA CAMACHA, CAMPOALEGRE EL JORDAN</t>
  </si>
  <si>
    <t>BARRIOS NARIÑO, SAN ISIDRO, SUCRE, JUNIN, CENTRO URBANO, GRANADA, RICAURTE Y OCCIDENTE</t>
  </si>
  <si>
    <t>BARRIOS CARRIZALITO, CENTRO, ISLETA, LLANO GRANDE, AGUABLANCA, PRIMAVERA,  CAÑAVWERAL, UPAL</t>
  </si>
  <si>
    <t xml:space="preserve">VARIOS SECTORES </t>
  </si>
  <si>
    <t>SECTORES HERVIDEROS, POTREROS, PEÑAS, SANTUARIO, PABELLON, RESGUARDO BAJO, PANTANO LARGO.</t>
  </si>
  <si>
    <t>VEREDAS RANCHERIA, GUAQUIRA, LA PUERTA</t>
  </si>
  <si>
    <t>BARRIOS CARBONERA, TEJAR  BAJO, CENTRO RURAL, PAVAQUIRA, UVO, POTREROS, ALFARAS, APOSENTOS</t>
  </si>
  <si>
    <t>BARRIO LA LAGUNA, SANTA ANA, LLANO LARGO</t>
  </si>
  <si>
    <t>VEREDAS SAN ANTONIO LA CAPILLA, CHITAL, SATOBA</t>
  </si>
  <si>
    <t>LOMA DE LOS ZULETA. REPORTE DE LA DEFENSA CIVIL</t>
  </si>
  <si>
    <t>DEBIDO FUERTE VENDAVAL ACOMPAÑADO DE  LLUVIS SE  PRESENTO CAIDA DE  ARBOLES E INUNDACION EN VARIAS  VIVIENDAS, REALIZAN CENSOS. AFECTADOS VARIOS SECTORES. REPORTE DEL CREPAD</t>
  </si>
  <si>
    <t>CORREGIMIENTOS: WUASO, PARCEGUITA, EL RETIRO. REPORTE DE LA DEFENSA CIVIL</t>
  </si>
  <si>
    <t>BARRIO EL JORDAN. INCENDIO ESTRUCTURAL QUE AFECTO 2 VIVIENDAS DEJANDO SOLO DAÑOS MATERIALES, EL EVENTO FUE  CONTROLADO Y EXTINGUIDO CON APOYO DE  BOMBEROS   Y CRUZ ROJA. REPORTE DEL CREPAD</t>
  </si>
  <si>
    <t>SECTORES LA CATORCE, PARAISO, MATA  DE  FIQUE, EL MANGO HUMBO. REPORTE DEL CREPAD</t>
  </si>
  <si>
    <t>BARRIOS CHULAVITA, CENTRO, LAGUNILLAS, PUENTE PINZON, SAN ISIDRO, CABUYAL, SAUZAL. REPORTE DEL CREPAD</t>
  </si>
  <si>
    <t>VEREDAS VANEGA  NORTE, RIQUE, PACHAQUIRA, HUERTA  CHICA. REPORTE DEL CREPAD</t>
  </si>
  <si>
    <t>SECTORES: BOJIRQUE, PUENTE  BOYACA, BOQUERON, MONTOYA, FRUTILLO, CAPELLANIA, SUPATA, NERITA, SOTA, EL CARMEN. REPORTE DEL CREPAD</t>
  </si>
  <si>
    <t>SECTORES PALMA ABAJO. ZINC, EL HATO, CAMAGOA, BLANCO ARRIBA, BARRO BLANCO. REPORTE DEL CREPAD</t>
  </si>
  <si>
    <t>SECTOR  SUPANECA ABAJO. LAJA, PIE DE PEÑA, SIRAMA, SUTA  ABAJO, PIEDRAS , SAN JOSE, BAYETA, LAVADEROS, MOMBITA, SASTOQUE, PIEDRAS DE  CANDELA. REPORTE DEL CRPAD</t>
  </si>
  <si>
    <t>BARRIOS: SIGUINEQUE, GUANZOQUE, VOLCAN BLANCO. TEGUANEQUE Y CENTRO. REPORTE DEL CREPAD PARA ACTUALIZACION</t>
  </si>
  <si>
    <t>SECTORES  CHIRAJA, RINCHOQUE, PASCATA, TEGUANEQUE, ROSALES, CHINQUIRA, JOYAGUA, VOLCAN BLANCO. REPORTE DEL CREPAD - ACTUALIZACION VISOR</t>
  </si>
  <si>
    <t xml:space="preserve">VEREDAS ALBAÑIL, PIEDRA LARGA, TAPIAS, CALABAZAL. ACTUALIZACION FENOMENO DE LA  NIÑA 2010-2011, AFECTACION DE  9 HECTAREAS  EN CULTIVOS DE  ARVEJA, PEPINO. LULO, MAIZ Y PASTO. </t>
  </si>
  <si>
    <t>SECTORES CALABAZAL, PIEDRALARGA, GUATARETA, MANZANOS, REAVITA, SAN VICENTE,  TAPIAS, . ACTUALIZACION FENOMENO DE LA  NIÑA 2010-2011, AFECTACION EN 14 HECTAREAS  DE  CULTIVOS DE  UCHUVA, TOMATE  DE  ARBOL, PAPA PASTOS Y ARRACACHA.</t>
  </si>
  <si>
    <t>SECTORES CEBADAL, PIEDRALARGA, ALBAÑIL. CENTRO, GUATARETA. ACTUALIZACION FENOMENO DE LA  NIÑA 2010-2011. AFECTACION DE 17 HECTAREAS  DE   CULTIVOS DE PAPA, ARVEJA, UCHUVA, PASTOS.</t>
  </si>
  <si>
    <t>SECTORES VILLA ROSITA, QUEBRADA  ARRIBA, ESPINAL, ARRAYAN ALTO, LLANITOS , TEJAR. ACTUALIZACION FENOMENO DE LA  NIÑA 2010-2011, AFECTACION EN 8 HECTAREAS  DE  CULTIVOS  DE FLORES, MAIZ,  CURUBA ARVEJA .</t>
  </si>
  <si>
    <t>SECTOR  ALTAMIZAL, BOQUERON, CHUSCAL, LA UNION, LOMA GORDA, MOLINO, PAVAS, LOS PUENTES, EL ROSAL, UVERO, TAMBOR  GRANDE.. ACTUALIZACION FENOMENO DE LA  NIÑA 2010-2011, AFECTACION EN CULTIVOS DE  PAPA, ARVEJA, FRIJOL. CIRUELA, TOMATE  DE  ARBOL, MORA  Y PASTOS.  .</t>
  </si>
  <si>
    <t>BARRIOS BOMBITA, BATATAL, MEDIOS, SAN FERNANDO ACTUALIZACION DEL CREPAD.</t>
  </si>
  <si>
    <t>BARRIO  DIVACHOA Y VEREDA  EL CENTRO. REPORTE DEL CREPAD.</t>
  </si>
  <si>
    <t>BARRIOS DOMINGUITO, PATIÑO, SANTA  ROSA, SAN RAFAEL, SAMARIA, EL TORO, LA  HERRADURA, CORRALES. APOYO DEL FNC MEDIANTE GIRO DIRECTO AL CLOPAD PARA ADQUISICION DE COMBUSTIBLE PARA LA MAQUINARIA QUE TRABAJARA EN LA REHABILITACIOND ELA VIAS.</t>
  </si>
  <si>
    <r>
      <t xml:space="preserve">BARRIOS EL PALMAR, LA  PLAYA, EL CUBO, CHINGUATA, CENTRO . AFECTADAS VIAS CALDAS - ALTO DEL AIRE, NARIÑO - PALMAR - QUIPE Y PUERTO CALDAS - BOCA DE MONTE. REPORTE DEL CLOPAD. </t>
    </r>
    <r>
      <rPr>
        <b/>
        <sz val="9"/>
        <rFont val="Arial"/>
        <family val="2"/>
      </rPr>
      <t>APOYO DEL FNC MEDIANTE GIRO DIRECTO AL CLOPAD PARA REHABILITACION DE VIAS</t>
    </r>
  </si>
  <si>
    <t>BARRIOS SUCRE OCCIDENTAL, CORDOBA, LA MESSA, HATO DE SUSA, TIERRA  DE  PAEZ, RESGUARDO BARRIOS: PRIMERO DE SEPTIEMBRE, VILLA DEL ROSARIO, GALAN Y MAGDALENA. REPORTE DE LA DEFENSA CIVIL</t>
  </si>
  <si>
    <t>SECTORES DESAGUADERO, MONTE, LAGUNETA, RONDON, SAN ANTONIO, PIEDRA GORDA.. APOYO DEL FNC MEDIANTE GIRO DIRECTO AL CLOPAD PARA COMPRA DE COMBUSTIBLE, LIMPIEZA Y MANTENIMIENTO DE ALCANTARILLAS Y REMOCION DE ESCOMBROS</t>
  </si>
  <si>
    <t>BARRIOS SAN RAFAEL, EL JARDIN, . REPORTE DEL CREPAD</t>
  </si>
  <si>
    <t>ZONA RURAL. TAPONAMIENTO QUEBRADA PACORA. REPORTE DEL CREPAD. APOYO DEL FNC MEDIANTE GIRO DIRECTO AL CLOPAD PARA COMBUSTIBLE, LUBRICANTES, LLANTAS PARA MAQUINARIA DEL MUNICIPIO.</t>
  </si>
  <si>
    <t>CORRESPONDE A 3000 RACIONES DE CAMPAÑA PARA LAS ENTIDADES OPERATIVAS.</t>
  </si>
  <si>
    <t>VARIOS</t>
  </si>
  <si>
    <t>INCENDIO ESTRUCTURAL EN EL BARRIO RAICERO, INFORMO CREPAD DE CAQUETA DR. GUSTAVO ORTEGA CEL: 3153192478</t>
  </si>
  <si>
    <t>APOYO PARA INSTRUCCIÓN DE LA DEFENSA CIVIL.</t>
  </si>
  <si>
    <t>KILOMETRO 80+500 MTS CIERRE TOTAL DE LA VIA REPORTE DEL CREPAD. EL VALOR DE OTROS CORRESPONDE A 30000 BLOWUES, 3000 VARILLAS DE 1/2, 2500 VARILLAS DE 3/8 Y 600 CERCHAS DE 2X1" PARA EL MEJORAMIENTO DE 250 VIVIENDAS AFECTADAS POR LA TEMPORADA INVERNAL.</t>
  </si>
  <si>
    <t>APOYO DEL FNC MEDIANTE GIRO DIRECTO AL CLOPAD PARA ATENCION DE LA EMERGENCIAPOR EL FENOMENO DE LA NIÑA SOBRE LA INFRAESTRUCTURA VIAL, INUNDACIONES EN LAS ZONAS DE LADERA DEL RIO VAUPES Y CAÑO CARURU</t>
  </si>
  <si>
    <t>REPORTE DEL CLOPAD</t>
  </si>
  <si>
    <t>BOGOTA, D.C.</t>
  </si>
  <si>
    <t>SE PRESENTO COLAPSO EN LA MINA DE CARBON DE NOMBRE LA POLACA, EN LA VEREDA COSCATIVA TABOR. REPORTO DEL CREPAD. SOCORRO NACIONAL Y DEFENSA CIVIL.</t>
  </si>
  <si>
    <t>EL VALOR DE OTROS CORRESPONDE A  200 MACHETES, 200 PALAS, 200 HACHAS, 10 MOTOSIERRAS APOYO DEL FNC MEDIANTE GIRO DIRECTO AL CLOPAD (22-07-2011) PARA COMPRA DE COMBUSTIBLE.</t>
  </si>
  <si>
    <t>CREPAD DE SANTANDER  DR. JORGE GERARDO CONCHA, CORREO ELECTRONICO. APOYO DEL FNC MEDIANTE GIRO DIRECTO AL CLOPAD PARA COMPRA DE COMBUSTIBLE</t>
  </si>
  <si>
    <t>BARRIO: LAS PALMAS, CORREGIMIENTO DE: ZARAGOZA. AFECTADO ANCIANATO DE NOMBRE: LA EMILIA REPORTE DE LA DEFENSA CIVIL. APOYO MEDIANTE GIRO DIRECTO AL CLOPAD PARA LA ADQUISICION DE COMBUSTIBLE.</t>
  </si>
  <si>
    <t>BARRIOS EL DANUBIO, EL CARMEN, EL PORVENIR, CENTRO. APOYO DEL FNC MEDIANTE GIRO DIRECTO AL CLOPAD PARA LIMPIEZA DE ALCANTARILLAS, CUNETAS Y REMOCION DE LODO</t>
  </si>
  <si>
    <t>BARRIOS MIRAVAL, LLANO GRANDE, DELICIAS, SATIVALOS, VILLA PANORAMA, QUEBRADA  HONDA, EL ROSAL, PASTOREOS,  BONZA, SALITRE, CHITAL, LA PLAYA, TUNAL, ROMITA, PANTANO DE  VARGAS, VARGUITAS.. SECTOR TURISTICO. DESBORDAMIENTO QUEBRADA EL SALITRE. REPORTE DEL CREPAD. APOYO DEL FNC MEDIANTE GIRO DIRECTO AL CLOPAD PARA ALQUILER DE MAQUINARIA PARA LA CONSTRUCCION DE JARILLON EN EL RIO CHICAMOCHA.</t>
  </si>
  <si>
    <t>VEREDAS CARBONERA, CHAVIGA, LA CATEDRAL, EL CARMEN, SANTA  SOFIA, LA  PRADERA. ACTUALIZACION FENOMENO DE LA  NIÑA 2010-2011. AFECTACION EN 292 HECTAREAS  DE  CULTIVOS  DE PASTOS HABA, ARVEJA. REPORTE DEL CREPAD.</t>
  </si>
  <si>
    <t>VEREDA TAPIAS. REPORTE DEL CREPAD.</t>
  </si>
  <si>
    <t>SECTORES RESGUARDO, TAPIAS , SAN CAYETANO, QUICAGOTA, PUEBLO VIEJO, PEÑA ABAJO, . REPORTE DEL CREPAD</t>
  </si>
  <si>
    <t>SECTOR EL ABEJON. REPORTE DEL CLOPAD. VEREDAS GUANTOQUE, QUITE, RUCHICAL, CHORRERA, TIBAQUIRA, CHURUVITA PATAGUY. ACTUALIZACION FENOMENO DE LA  NIÑA 2010-2011. AFECTACION DE 800 HECTAREAS  DE   CULTIVOS DE REMOLACHA, ZANAHORIA, MAIZ, TRIGO, PASTOS.</t>
  </si>
  <si>
    <t>VEREDAS. CHURUVITA, RUCHICAL, EL VALLE, TIBAQUIRA, PARAMO, PATAGUY, ACTUALIZACION FENOMENO DE LA  NIÑA 2010-2011, AFECTACION EN 998,6 HECTAREAS  DE  CULTIVOS  DE FRIJOL, ARVERJA, PAPA, PASTOS, FRESA, MAIZ, LECHUGA, TOMATE. REPORTE DEL CREPAD</t>
  </si>
  <si>
    <t>17:20 EL SEÑOR FREDY RAGUA INFORMA QUE  EL DIA DE HOY  A LAS  01:00 AM  SE  PRESENTARON  FURTES  LLUVIAS AFECTADO  LA  PARTE  NORTE DE  LA CIUDAD EN  ESPECIAL  LOS  BARRIOS COLORADOS,CAMPESTRE NORTE Y EL ROSA  Y LA VEREDA EL NOGAL, ES  LA  ZONA  SE  AFECTARON  SUS  VIAS PRINCIPALES Y EL  ALCANTARILLADOY 100 VIVIENDAS  EN  ESPECIAL  LO  QUE  SE  REFIERE A TECHOS. YA  EL CREPAD DEL  DEPARTAMENTO  ESTA APOYANDOLOS EN LA  EMERGENCIA ENVIANDOLES TEJAS DE ZIN Y FRAZADAS, QUEDANDO PENDIENTE  TEJAS DE ETERNIT.</t>
  </si>
  <si>
    <t xml:space="preserve">EN HORAS DE LA  MADRUGADA  SE PRESENTO DESBORDAMIENTO DE LAS QUEBRADAS LA  VIBORA Y DOSQUEBRADAS AFECTANDO ZONA  URBANA  DEL MUNICIPIO. REPORTE DE  SOCORRO NACIONALSANDY MARROQUIN TEL 4376369 Y DEFENSA  CIVIL. SR. ALIRIO  CARRILLO TEL 3199000.  </t>
  </si>
  <si>
    <t xml:space="preserve">A LAS  03:15 HORAS  SE PRESENTO FUERTES LLUVIAS   QUE  PROVOCARON REBOSAMIENTO DE  ALCANTARILLAS EN EL BARRIO  LA ISLA  DE PEREIRA. REPORTA  DEFENSA  CIVIL SR. OSCAR  RODRIGUEZ TEL 3199000. </t>
  </si>
  <si>
    <t>POR TAL MOTIVO HUBO UNA CRECIENTE DEL RIO JARASCAL AFECTANDO A POR LO MENOS 50 FAMILIAS DE LOS BARRIOS LA UNION Y MONTEBIDEO, EN EL SITIO SE  ENCUENTRA PERSONAL DEL CLOPAC DEL MUNICIPIO Y CRUPOS DE SOCORRO APOYANDA A LAS  FAMILIAS  AFECTADAS. ALA  HORA LOS  NIVELES DEL RIO BAJARON Y LAS  VIVIENDA ESTA SIENDO ASEADAS POR SUS PROPIETARIOS CON LOS  KIT DE ASEO ENTREGADOS POR EL CLOPAC</t>
  </si>
  <si>
    <t>ADEMAS DE LA AFECTACION DE LOS MUNICIPIOS EL CREPAD INFORMA DE SIETE VIAS AFECTADAS: LA SAYA - EL ROSARIO, RECTA - CHAPARRITO, ARRECIFES - CABUYARE, LA SAYA - FELICIANO, COROCITO - TODOS LOS SANTOS, RECTA - CHAPARRITO, ARAUCA - CLARINETERO. APOYO DEL FNC MEDIATNE GIRO DIRECTO AL CREPAD PARA EJECUCION DE OBRAS PARA MEJORAMIENTO DE VIAS.</t>
  </si>
  <si>
    <t>AFECADAS LAS VEREDAS HELECHAL,. CHORRERA, SOLFERINO, SAN ANTONIO, EL PLACER.  AFECTADA LA REPRESA LOS GAVILANES, LO CUAL PONE EN PELIGRO A LA COMUNIDAD. PERDIDA DE CULTIVOS VEREDA LA CHORRERA Y SOLFERINO. REPORTE DEL CLOPAD</t>
  </si>
  <si>
    <t>DETERIORO DE LA REPRESA LOS GAVILANES. PERIDA DE CULTIVOS DE CAFÉ, CAÑA, YUCA Y PRODUCCION GANADERA.</t>
  </si>
  <si>
    <t xml:space="preserve">DESBORDAMIENTO DE LAS QUEBRADAS: TOCINO, SANTA ISABEL, LUCA, Y LOS RIOS: SAN JORGE Y SAN PEDRO-AFECTADAS LAS VEREDAS: ANGOSTURA, LA LUNA, PIEDRA INDIA, RIO SUCIO, LA LLAVE, LA ESTRELLA, EL CAMPANO, GUACAMAYA, SARDI, YIERA-CORREGIMIENTOS: SANTA ISABEL, PUEBLO REGAO, BETULIA, SANTA FE, PUERTO CAREPA, PLAYA RICA, UCRANIA, PUERTO LOPEZ, SAN JOSE, TORNO ROJO, PICA-PICA-INFORMA D.C.C. DIRECCION NACIONAL SR: WILIAN SARMIENTO.                                         </t>
  </si>
  <si>
    <t xml:space="preserve">SEGUNDA TEMPORADA FENOMENO DE LA NIÑA 2010-2011, AFECTACION EN CULTIVOS. SECTORES: SUSE, CAJON, VARGAS, HATO VIEJO. </t>
  </si>
  <si>
    <t xml:space="preserve">SEGUNDA TEMPORADA FENOMENO DE LA NIÑA 2010-2011, AFECTACION EN CULTIVOS. SECTORES: SECTORES: PARAMO, IRZON, BOQUERON, OVEJERAS, MARANTOS, SIGUIQUE. </t>
  </si>
  <si>
    <t>SEGUNDA TEMPORADA FENOMENO DE LA NIÑA 2010-2011, AFECTACION EN CULTIVOS. SECTORES: CUCHE, VILLA NUEVA, QUEBRADA GRANDE, QUEBRADA ARRIBA, PORTACHUELO, EL RODEO, LOMITAS, CUCUBO, OLIVO, EGIPTO.. APOYO DEL FNC MEDIANTE GIRO DIRECTO AL CLOPAD PARA COMBUSTIBLE</t>
  </si>
  <si>
    <t>VEREDAS: CAICEDOS, ESCOBAL, FERNANDEZ, FRAGUA. GACHAVITA, GUACAMAYAS, SANTA  ANA. POTREROS, PEÑAS, . SANTUARIO , PANTANO GRANDE.. ACTUALIZACION FENOMENO DE LA  NIÑA 2010-2011, SEGUNDA TEMPORADA FENOMENO DE LA NIÑA 2010-2011, AFECTACION EN CULTIVOS. SECTORES: MAGUATA, FRALA, FERNANDEZ, ROSAL.AFECTACION EN 17,3 HECTAREAS  DE  CULTIVOS  DE FRIJOL, ARVERJA, PAPA, PASTOS, PEPINO, MAIZ, LULO, UCHUVA.</t>
  </si>
  <si>
    <t>UN MENOR DE 6 AÑOS( (MARION MOISES MONTERO MARTINEZ) FALLECIO AL SER ALCANZADO POR UNA DESCARGA ELECTRICA-EN EL BARRIO FREDONIA  FINCA DENOMINADA ISLA DE LOS NISPEROS -INFORME DEL CREPAD BOLIVAR.</t>
  </si>
  <si>
    <t>AFECTADO EL AEROPUERTO DEL MUNICIPIO</t>
  </si>
  <si>
    <t>AFECTADOS LOS SECTORES DE LA PAULINA, EL CEDRO Y EL PAMPON. EN LA ZONA URBANA RESULTO AFECTADO EL BARRIO SAN CRISTOBAL Y DESPLOMES EN CALLES EN EL BARRIO YACU, LA PLAYA, MATAPALO, BARRIO ANON SOLEDAD Y BARRIO SAN ANTONIO. REPORTE DEL CLOPAD Y CREPAD.</t>
  </si>
  <si>
    <r>
      <t xml:space="preserve">AVALANCHA POR EFECTO DE LA QUEBRADA LA NEGRA, EL RIO NEGRO, EL 95 % DEL PUEBLO ESTA INUNDADO, DAÑO EN LAS LINEAS TELEFONICAS, VIA LA MAGDALENA- UTICA SE ENCUENTRA TAPONADA POR TRES DESLIZAMIENTOS DEJANDO INCOMUNICADO EL MUNICIPIO. PENDIENTE MAS INFORMACIO.  REPORTE DEL CREPAD. </t>
    </r>
    <r>
      <rPr>
        <b/>
        <sz val="9"/>
        <rFont val="Arial"/>
        <family val="2"/>
      </rPr>
      <t>EL VALOR DE OTROS CORRESPONDE  A  100 LINTERNAS, 2 PLANTAS ELECTRICAS, 2400 METROS DE MANILA, 80 GARLANCHAS, 2000 LONAS, 20 CHALECOS SALVAVIDAS, 20 RADIOS, 50 PICAS, 50 GUANTES,  20 IMPERMEABLES, UNA MOTOBOMBA DE 2"   GIRO DIRECTO PARA ALQUILER DE MAQUINARIA Y JORNLES PARA REHABILITACION DE VIAS y 25.000.000 PARA ALQUILER DE BAÑOS PORTATILES</t>
    </r>
  </si>
  <si>
    <t>CORREGIMIENTO LA GABARRA, EN FASE DE EVACUACION POR CRECIENTE DEL RIO CATATUMBO, CORREGIMIENTO DE CAMPO DOS INUNDADO POR EL RIO SARDINATA, REPORTO CREPAD Dr CARLOS ALDEMAR GARCIA. APOYO DEL FNC MEDIANTE GIRO DIRECTO AL CLOPAD PARA COMPRA DE COMBUSTIBLE.</t>
  </si>
  <si>
    <t>AFECTACION EN DIFERENTES CULTIVOS</t>
  </si>
  <si>
    <t>AFECTADA LA VIA JUNIN-BARBACOAS TRAMO CULUMPIA ENTRE BUENAVISTA-PEJE.</t>
  </si>
  <si>
    <t>DIFERENTES  CULTIVOS AFECTADOS.  AFECTADO EL CENTRO EDUCATIVO EL CHARCHI.</t>
  </si>
  <si>
    <t>DAÑO DEL DISTRITO DE  RIEGO SAN FRANCISCO</t>
  </si>
  <si>
    <t>AFECTADO EL PUENTE EN LA  VIA TABLON-LAS MESAS-PLAZUELAS. AFECTADAS LAS INSTITUCIONES EDUC. SAN ISIDRO  Y LAS YUNGAS Y ACUEDUCTO LOMALARGA.</t>
  </si>
  <si>
    <t xml:space="preserve">DIFERENTES  CULTIVOS AFECTADOS. </t>
  </si>
  <si>
    <t xml:space="preserve">AFECTADA LA  VIA  LOMA DE  ZURAS-CAMELLONES, AFECTADO EL ACUEDUCTO MUNICIPAL DAÑO EN EL DISTRITO DE  RIEGO SAN JUAN. </t>
  </si>
  <si>
    <t>AFECTADOS LOS CENTROS EDUCATIVOS LA FLORIDA, CAMPOALEGRE, POLICARPA, LAS CANOAS, PANECILLO, NACEDEROS, SAN PABLO, SION, EL CAIRO, LA LAGUNA, EL COCAL, LAS PALMERAS, LA  CABAÑA, ALTAMIRA, EL EJIDO.</t>
  </si>
  <si>
    <t>AFECTADOS LOS CENTROS  EDUCATIVOS: MOMOPAMBA, EL ESCRITORIO, LA PLAYA, MAICIRA,  EL LLANO. AFECTADA LA  ALCALDIA  DE PUERRES, ESE PUERRES.</t>
  </si>
  <si>
    <t>DIFERENTES  CULTIVOS AFECTADOS. AFECTADA LA  VIA LA LAGUNA-SALINAS-VEGAS.</t>
  </si>
  <si>
    <t>AFECTADAS LAS VIAS  ANCUYA KILOMETRO 4+700 MTS-SECTORES: ROMA, CHAVEZ, LA COCHA,DORADA, GUAITARA,SAN BERNARDO Y ALTO JIMENEZ, COLAPSO DE LA RED DE ALCANTARILLADO DEL CASCO URBANO DEL MUNICIPIO-INFORMA CREPAD NARINO POR CORREO.</t>
  </si>
  <si>
    <t>AFECTADAS LAS  VIAS SAPUYES-LA CAMPANA Y SAPUYES- LA VERBENA.</t>
  </si>
  <si>
    <t xml:space="preserve">AFECTADO EL TANQUE  DE  ABASTECIMIENTO , BOCATOMA, DESARENADOR Y TUBERIA DE  CONDUCCION  DEL ACUEDUCTO DE LA  VEREDA  GUAYABA. </t>
  </si>
  <si>
    <t>BARRIO SAN MARTIN, BRISAS DEL MAR Y JESUS MORA.</t>
  </si>
  <si>
    <r>
      <t xml:space="preserve">REPORTE DEL CREPAD. ACTUALIZACION FENOMENO DE LA  NIÑA 2010-2011. AFECTACION DE  195 HECTAREAS  DE   CULTIVOS DE  CACAO, PLATANO, YUCA Y PASTOS. SECTOR URBANO Y RURAL </t>
    </r>
    <r>
      <rPr>
        <b/>
        <sz val="9"/>
        <rFont val="Arial"/>
        <family val="2"/>
      </rPr>
      <t>APOYO DEL FNC MEDAINTE GIRO DIRECTO AL CLOPAD PARA LA CONSTRUCCION DEL MURO DE CONTENCION EN EL COLEGIO TECNICO NUESTRA SEÑORA DE LA PAZ</t>
    </r>
  </si>
  <si>
    <t>AFECTADAS LAS INSTALACIONES DE LA BRIGADA 17. REPORTE DEL CLOPAD</t>
  </si>
  <si>
    <t>REPORT DEL CLOPAD.</t>
  </si>
  <si>
    <t>AVALACHA DEL RÌO GUADALAJARA, REPORTE DEL SOCORRO NACIONAL. APOYO DEL FNC MEDIANTE GIRO DIRECTO AL CLOPAD PARA LA RECONSTRUCCION DE CINCO PUENTES PEATONALES AFECTADOS EN LOS SECTORES DE CERRO RICO, QUEBRADA DE CHANBIMBAL, SOBRE EL RIO GUADALAJARA EN EL SECTOR GUADUALEJO, VEREDA LA HABANA Y EN EL SECTOR DE ALASKA, SOBRE LA QUEBRADA DE ALASCA</t>
  </si>
  <si>
    <t>CORREGIMIENTO DE BUCHADO. REPORTE DEL CLOPAD. APOYO DEL FNC MEDIANTE GIRO DIRECTO AL CLOPAD PARA COMBUSTIBLE Y EL VALOR DE OTROS CORRESPONDE A LA COMPRA DE UNA PLANTA ELECTRICA. Y 13 TANQUES DE 1000 LTS Y 20 METROS DE TUBERIA DE PVC</t>
  </si>
  <si>
    <t>SECTORES: URBANO Y RURAL. DESBORDAMIENTO DEL RIO FRAGUACHORROSO- PERDIDA DE CULTIVOS DE PAN COGER -PENDIENTE INFORME DE AFECTACION DEL CASERIO SABALETA. Reporte del crepad. EL VALOR DE OTROS CORREPONDE A 30 ROLLOS DE MANGUERA DE 1/2.CABLE ACERO 1 1/2" 200 METROS, LAMINA CORRUGADA GALVANIZADA PISO 60</t>
  </si>
  <si>
    <r>
      <t>ACTUALIZACION CREPAD.</t>
    </r>
    <r>
      <rPr>
        <b/>
        <sz val="9"/>
        <rFont val="Arial"/>
        <family val="2"/>
      </rPr>
      <t xml:space="preserve"> APOYO DEL FNC MEDIANTE GIRO DIRECTO AL CLOPAD PARA ALQUILER DE MAQUINARIA PARA LA REHABILITACION DE LA RED VIAL. EL VALOR DE OTROS CORRESPONDE A 1000 METROS TUBERIA PVC 2" RDE 21, 1650 METROS TUBERIA PVC 1-1\2" RDE 21, 310 KG ACERO DE REFUERZO.</t>
    </r>
  </si>
  <si>
    <t xml:space="preserve">950 MALLAS PARA GAVIONES, 190 KG DE ALAMBRE GALVANIZADO, 5000 BLOQUE No 5, 1000 AMARRES, 56 CERCHAS METALICAS X 6 METROS DE CALIBRE 18 3 X 1 1/2, 48 M3 DE TRITURADO, 1926 M3 DE PIEDRA, 950 UN MALLA PARA GAVIONES 2x2x1 calibre 12 (10x10), </t>
  </si>
  <si>
    <t xml:space="preserve">17047 BLOQUES H10, 790 ACERO ( VARILLAS 6 MTS D = 1\2"), 1471 ACERO (VARILLAS 6 MTS D = 3\8" ) </t>
  </si>
  <si>
    <t>FUERTE  AGUACERO AFECTANDO EL CORREGIMIENTO MARIA  ANGOLA. INFORMACION DEL CLOPAD VALLEDUPAR  DR. JUAN LARA ROJAS VIA  AVANTEL.</t>
  </si>
  <si>
    <t>INUNDACION POR  DESBORDAMIENTO RIO GARUPAL EN EL CORREGIMIENTO LOS VENADOS VEREDA LA SABANITA. REPORTE  DE CLOPAD VALLEDUPAR  DR. JUAN LARA  ROJAS VIA  AVANTEL.</t>
  </si>
  <si>
    <t>EN HORAS DE LA  MADRUGADA SE PRESENTO VENDAVAL. SIN LESIONADOS. REPORTE  DEFENSA  CIVIL SR. WILLIAM SARMIENTO TEL 3199000.</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</si>
  <si>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</si>
  <si>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</si>
  <si>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</si>
  <si>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</si>
  <si>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</si>
  <si>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</si>
  <si>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</si>
  <si>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</si>
  <si>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</si>
  <si>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</si>
  <si>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</si>
  <si>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</si>
  <si>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</si>
  <si>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</si>
  <si>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</si>
  <si>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</si>
  <si>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</si>
  <si>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</si>
  <si>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</si>
  <si>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</si>
  <si>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</si>
  <si>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</si>
  <si>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</si>
  <si>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</si>
  <si>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</si>
  <si>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</si>
  <si>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</si>
  <si>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</si>
  <si>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</si>
  <si>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</si>
  <si>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</si>
  <si>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</si>
  <si>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</si>
  <si>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</si>
  <si>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</si>
  <si>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</si>
  <si>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</si>
  <si>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</si>
  <si>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</si>
  <si>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</si>
  <si>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</si>
  <si>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</si>
  <si>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</si>
  <si>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</si>
  <si>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</si>
  <si>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</si>
  <si>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</si>
  <si>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</si>
  <si>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</si>
  <si>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</si>
  <si>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</si>
  <si>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</si>
  <si>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</si>
  <si>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</si>
  <si>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</si>
  <si>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</si>
  <si>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</si>
  <si>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</si>
  <si>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</si>
  <si>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</si>
  <si>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</si>
  <si>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</si>
  <si>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</si>
  <si>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</si>
  <si>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</si>
  <si>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</si>
  <si>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</si>
  <si>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</si>
  <si>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</si>
  <si>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</si>
  <si>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</si>
  <si>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</si>
  <si>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</si>
  <si>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</si>
  <si>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</si>
  <si>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</si>
  <si>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</si>
  <si>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</si>
  <si>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</si>
  <si>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</si>
  <si>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</si>
  <si>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</si>
  <si>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</si>
  <si>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</si>
  <si>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</si>
  <si>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</si>
  <si>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</si>
  <si>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</si>
  <si>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</si>
  <si>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</si>
  <si>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</si>
  <si>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</si>
  <si>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</si>
  <si>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</si>
  <si>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</si>
  <si>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</si>
  <si>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</si>
  <si>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</si>
  <si>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</si>
  <si>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</si>
  <si>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</si>
  <si>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</si>
  <si>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</si>
  <si>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</si>
  <si>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</si>
  <si>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</si>
  <si>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</si>
  <si>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</si>
  <si>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</si>
  <si>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</si>
  <si>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</si>
  <si>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</si>
  <si>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</si>
  <si>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</si>
  <si>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</si>
  <si>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</si>
  <si>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</si>
  <si>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</si>
  <si>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</si>
  <si>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</si>
  <si>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</si>
  <si>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</si>
  <si>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</si>
  <si>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</si>
  <si>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</si>
  <si>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</si>
  <si>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</si>
  <si>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</si>
  <si>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</si>
  <si>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</si>
  <si>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</si>
  <si>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</si>
  <si>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</si>
  <si>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</si>
  <si>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</si>
  <si>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</si>
  <si>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</si>
  <si>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</si>
  <si>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</si>
  <si>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</si>
  <si>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</si>
  <si>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</si>
  <si>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</si>
  <si>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</si>
  <si>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</si>
  <si>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</si>
  <si>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</si>
  <si>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</si>
  <si>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</si>
  <si>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</si>
  <si>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</si>
  <si>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</si>
  <si>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</si>
  <si>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</si>
  <si>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</si>
  <si>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</si>
  <si>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</si>
  <si>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</si>
  <si>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</si>
  <si>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</si>
  <si>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</si>
  <si>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</si>
  <si>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</si>
  <si>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</si>
  <si>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</si>
  <si>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</si>
  <si>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</si>
  <si>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</si>
  <si>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</si>
  <si>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</si>
  <si>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</si>
  <si>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</si>
  <si>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</si>
  <si>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</si>
  <si>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</si>
  <si>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</si>
  <si>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</si>
  <si>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</si>
  <si>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</si>
  <si>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</si>
  <si>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</si>
  <si>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</si>
  <si>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</si>
  <si>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</si>
  <si>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</si>
  <si>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</si>
  <si>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</si>
  <si>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</si>
  <si>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</si>
  <si>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</si>
  <si>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</si>
  <si>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</si>
  <si>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</si>
  <si>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</si>
  <si>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</si>
  <si>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</si>
  <si>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</si>
  <si>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</si>
  <si>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</si>
  <si>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</si>
  <si>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</si>
  <si>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</si>
  <si>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</si>
  <si>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</si>
  <si>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</si>
  <si>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</si>
  <si>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</si>
  <si>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</si>
  <si>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</si>
  <si>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</si>
  <si>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</si>
  <si>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</si>
  <si>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</si>
  <si>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</si>
  <si>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</si>
  <si>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</si>
  <si>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</si>
  <si>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</si>
  <si>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</si>
  <si>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</si>
  <si>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</si>
  <si>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</si>
  <si>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</si>
  <si>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</si>
  <si>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</si>
  <si>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</si>
  <si>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</si>
  <si>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</si>
  <si>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</si>
  <si>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</si>
  <si>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</si>
  <si>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</si>
  <si>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</si>
  <si>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</si>
  <si>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</si>
  <si>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</si>
  <si>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</si>
  <si>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</si>
  <si>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</si>
  <si>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</si>
  <si>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</si>
  <si>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</si>
  <si>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</si>
  <si>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</si>
  <si>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</si>
  <si>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</si>
  <si>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</si>
  <si>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</si>
  <si>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</si>
  <si>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</si>
  <si>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</si>
  <si>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</si>
  <si>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</si>
  <si>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</si>
  <si>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</si>
  <si>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</si>
  <si>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</si>
  <si>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</si>
  <si>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</si>
  <si>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</si>
  <si>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</si>
  <si>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</si>
  <si>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</si>
  <si>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</si>
  <si>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</si>
  <si>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</si>
  <si>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</si>
  <si>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</si>
  <si>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</si>
  <si>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</si>
  <si>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</si>
  <si>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</si>
  <si>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</si>
  <si>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</si>
  <si>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</si>
  <si>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</si>
  <si>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</si>
  <si>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</si>
  <si>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</si>
  <si>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</si>
  <si>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</si>
  <si>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</si>
  <si>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</si>
  <si>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</si>
  <si>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</si>
  <si>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</si>
  <si>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</si>
  <si>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</si>
  <si>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</si>
  <si>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</si>
  <si>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</si>
  <si>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</si>
  <si>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</si>
  <si>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</si>
  <si>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</si>
  <si>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</si>
  <si>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</si>
  <si>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</si>
  <si>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</si>
  <si>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</si>
  <si>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</si>
  <si>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</si>
  <si>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</si>
  <si>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</si>
  <si>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</si>
  <si>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</si>
  <si>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</si>
  <si>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</si>
  <si>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</si>
  <si>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</si>
  <si>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</si>
  <si>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</si>
  <si>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</si>
  <si>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</si>
  <si>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</si>
  <si>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</si>
  <si>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</si>
  <si>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</si>
  <si>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</si>
  <si>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</si>
  <si>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</si>
  <si>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</si>
  <si>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</si>
  <si>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</si>
  <si>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</si>
  <si>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</si>
  <si>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</si>
  <si>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</si>
  <si>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</si>
  <si>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</si>
  <si>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</si>
  <si>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</si>
  <si>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</si>
  <si>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</si>
  <si>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</si>
  <si>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</si>
  <si>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</si>
  <si>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</si>
  <si>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</si>
  <si>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</si>
  <si>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</si>
  <si>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</si>
  <si>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</si>
  <si>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</si>
  <si>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</si>
  <si>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</si>
  <si>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</si>
  <si>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</si>
  <si>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</si>
  <si>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</si>
  <si>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</si>
  <si>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</si>
  <si>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</si>
  <si>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</si>
  <si>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</si>
  <si>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</si>
  <si>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</si>
  <si>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</si>
  <si>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</si>
  <si>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</si>
  <si>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</si>
  <si>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</si>
  <si>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</si>
  <si>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</si>
  <si>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</si>
  <si>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</si>
  <si>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</si>
  <si>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</si>
  <si>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</si>
  <si>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</si>
  <si>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</si>
  <si>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</si>
  <si>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</si>
  <si>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</si>
  <si>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</si>
  <si>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</si>
  <si>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</si>
  <si>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</si>
  <si>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</si>
  <si>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</si>
  <si>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</si>
  <si>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</si>
  <si>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</si>
  <si>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</si>
  <si>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</si>
  <si>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</si>
  <si>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</si>
  <si>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</si>
  <si>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</si>
  <si>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</si>
  <si>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</si>
  <si>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</si>
  <si>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</si>
  <si>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</si>
  <si>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</si>
  <si>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</si>
  <si>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</si>
  <si>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</si>
  <si>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</si>
  <si>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</si>
  <si>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</si>
  <si>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</si>
  <si>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</si>
  <si>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</si>
  <si>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</si>
  <si>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</si>
  <si>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</si>
  <si>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</si>
  <si>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</si>
  <si>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</si>
  <si>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</si>
  <si>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</si>
  <si>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</si>
  <si>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</si>
  <si>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</si>
  <si>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</si>
  <si>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</si>
  <si>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</si>
  <si>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</si>
  <si>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</si>
  <si>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</si>
  <si>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</si>
  <si>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</si>
  <si>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</si>
  <si>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</si>
  <si>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</si>
  <si>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</si>
  <si>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</si>
  <si>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</si>
  <si>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</si>
  <si>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</si>
  <si>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</si>
  <si>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</si>
  <si>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</si>
  <si>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</si>
  <si>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</si>
  <si>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</si>
  <si>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</si>
  <si>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</si>
  <si>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</si>
  <si>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</si>
  <si>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</si>
  <si>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</si>
  <si>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</si>
  <si>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</si>
  <si>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</si>
  <si>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</si>
  <si>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</si>
  <si>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</si>
  <si>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</si>
  <si>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</si>
  <si>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</si>
  <si>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</si>
  <si>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</si>
  <si>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</si>
  <si>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</si>
  <si>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</si>
  <si>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</si>
  <si>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</si>
  <si>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</si>
  <si>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</si>
  <si>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</si>
  <si>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</si>
  <si>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</si>
  <si>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</si>
  <si>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</si>
  <si>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</si>
  <si>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</si>
  <si>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</si>
  <si>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</si>
  <si>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</si>
  <si>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</si>
  <si>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</si>
  <si>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</si>
  <si>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</si>
  <si>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</si>
  <si>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</si>
  <si>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</si>
  <si>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</si>
  <si>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</si>
  <si>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</si>
  <si>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</si>
  <si>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</si>
  <si>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</si>
  <si>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</si>
  <si>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</si>
  <si>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</si>
  <si>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</si>
  <si>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</si>
  <si>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</si>
  <si>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</si>
  <si>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</si>
  <si>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</si>
  <si>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</si>
  <si>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</si>
  <si>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</si>
  <si>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</si>
  <si>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</si>
  <si>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</si>
  <si>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</si>
  <si>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</si>
  <si>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</si>
  <si>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</si>
  <si>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</si>
  <si>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</si>
  <si>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</si>
  <si>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</si>
  <si>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</si>
  <si>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</si>
  <si>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</si>
  <si>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</si>
  <si>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</si>
  <si>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</si>
  <si>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</si>
  <si>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</si>
  <si>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</si>
  <si>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</si>
  <si>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</si>
  <si>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</si>
  <si>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</si>
  <si>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</si>
  <si>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</si>
  <si>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</si>
  <si>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</si>
  <si>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</si>
  <si>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</si>
  <si>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</si>
  <si>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</si>
  <si>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</si>
  <si>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</si>
  <si>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</si>
  <si>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</si>
  <si>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</si>
  <si>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</si>
  <si>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</si>
  <si>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</si>
  <si>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</si>
  <si>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</si>
  <si>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</si>
  <si>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</si>
  <si>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</si>
  <si>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</si>
  <si>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</si>
  <si>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</si>
  <si>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</si>
  <si>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</si>
  <si>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</si>
  <si>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</si>
  <si>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</si>
  <si>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</si>
  <si>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</si>
  <si>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</si>
  <si>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</si>
  <si>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</si>
  <si>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</si>
  <si>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</si>
  <si>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</si>
  <si>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</si>
  <si>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</si>
  <si>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</si>
  <si>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</si>
  <si>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</si>
  <si>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</si>
  <si>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</si>
  <si>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</si>
  <si>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</si>
  <si>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</si>
  <si>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</si>
  <si>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</si>
  <si>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</si>
  <si>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</si>
  <si>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</si>
  <si>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</si>
  <si>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</si>
  <si>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</si>
  <si>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</si>
  <si>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</si>
  <si>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</si>
  <si>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</si>
  <si>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</si>
  <si>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</si>
  <si>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</si>
  <si>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</si>
  <si>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</si>
  <si>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</si>
  <si>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</si>
  <si>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</si>
  <si>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</si>
  <si>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</si>
  <si>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</si>
  <si>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</si>
  <si>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</si>
  <si>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</si>
  <si>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</si>
  <si>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</si>
  <si>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</si>
  <si>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</si>
  <si>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</si>
  <si>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</si>
  <si>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</si>
  <si>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</si>
  <si>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</si>
  <si>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</si>
  <si>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</si>
  <si>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</si>
  <si>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</si>
  <si>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</si>
  <si>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</si>
  <si>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</si>
  <si>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</si>
  <si>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</si>
  <si>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</si>
  <si>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</si>
  <si>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</si>
  <si>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</si>
  <si>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</si>
  <si>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</si>
  <si>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</si>
  <si>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</si>
  <si>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</si>
  <si>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</si>
  <si>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</si>
  <si>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</si>
  <si>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</si>
  <si>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</si>
  <si>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</si>
  <si>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</si>
  <si>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</si>
  <si>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</si>
  <si>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</si>
  <si>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</si>
  <si>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</si>
  <si>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</si>
  <si>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</si>
  <si>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</si>
  <si>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</si>
  <si>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</si>
  <si>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</si>
  <si>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</si>
  <si>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</si>
  <si>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</si>
  <si>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</si>
  <si>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</si>
  <si>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</si>
  <si>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</si>
  <si>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</si>
  <si>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</si>
  <si>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</si>
  <si>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</si>
  <si>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</si>
  <si>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</si>
  <si>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</si>
  <si>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</si>
  <si>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</si>
  <si>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</si>
  <si>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</si>
  <si>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</si>
  <si>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</si>
  <si>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</si>
  <si>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</si>
  <si>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</si>
  <si>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</si>
  <si>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</si>
  <si>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</si>
  <si>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</si>
  <si>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</si>
  <si>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</si>
  <si>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</si>
  <si>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</si>
  <si>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</si>
  <si>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</si>
  <si>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</si>
  <si>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</si>
  <si>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</si>
  <si>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</si>
  <si>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</si>
  <si>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</si>
  <si>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</si>
  <si>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</si>
  <si>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</si>
  <si>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</si>
  <si>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</si>
  <si>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</si>
  <si>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</si>
  <si>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</si>
  <si>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</si>
  <si>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</si>
  <si>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</si>
  <si>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</si>
  <si>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</si>
  <si>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</si>
  <si>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</si>
  <si>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</si>
  <si>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</si>
  <si>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</si>
  <si>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</si>
  <si>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</si>
  <si>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</si>
  <si>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</si>
  <si>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</si>
  <si>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</si>
  <si>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</si>
  <si>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</si>
  <si>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</si>
  <si>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</si>
  <si>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</si>
  <si>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</si>
  <si>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</si>
  <si>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</si>
  <si>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</si>
  <si>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</si>
  <si>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</si>
  <si>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</si>
  <si>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</si>
  <si>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</si>
  <si>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</si>
  <si>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</si>
  <si>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</si>
  <si>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</si>
  <si>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</si>
  <si>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</si>
  <si>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</si>
  <si>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</si>
  <si>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</si>
  <si>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</si>
  <si>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</si>
  <si>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BARRIOS EL CARMEN, CENTRO, SSAN IGNACIO, VARGAS, CAÑITAS, EL ATICO, SAN BERNARDO,. ACTUALIZACION DEL CREPAD</t>
  </si>
  <si>
    <t>SECTORES  LLANO GRANDE, CARRIZALITO, LAURELES, . ACTUALIZACION DEL CREPAD</t>
  </si>
  <si>
    <t>BARRIOS SAN ANTONIO, EL COGOLLO, EL OCOBO, SAN NICOLAS, MATADERO, SANTA  BARBARA, PROGRESO, LA  PRIMAVERA, LAS BRISAS,  VEREDAS AYATA, LADERAS,  GUAMAL, MIRAFLORES, TUNJITA, BUENOS AIRES . ACTUALIZACION DEL CREPAD</t>
  </si>
  <si>
    <t>BARRIOS ALEJANDRIA, SAN PABLO,  VILLANUEVA,  LA  LIBERTAD. ACTUALIZACION DEL CREPAD</t>
  </si>
  <si>
    <t>SECTORES  VICHACUCA, CHIPAL, CENTRO , MORAL, MORTIÑA. CANOAS. QUICHOVA, TOBAL, LA  CAL, QUINDEVIA . ACTUALIZACION DEL CREPAD</t>
  </si>
  <si>
    <t>VARIOS SECTORES . ACTUALIZACION DEL CREPAD</t>
  </si>
  <si>
    <t>LLA CULEBRERA, EL SILENCIO, CHACARO, TRES  ESQUINAS,  PLAN DE  LA ESCUELA, LA PEÑA, MATECAÑA, SAN PEDRO, . ACTUALIZACION DEL CREPAD</t>
  </si>
  <si>
    <t>ALTO SANO, CHAPULINES. ACTUALIZACION DEL CREPAD</t>
  </si>
  <si>
    <t>BARRIOS GUAYABAL, PORTON BLANCO, PATIOS, PEÑUELA, RAMADA, LA  PALMA, CHAPETON, NARANJAL.. ACTUALIZACION DEL CREPAD</t>
  </si>
  <si>
    <t>CREPAD DE SANTANDER  DR. JORGE GERARDO CONCHA, CORREO ELECTRONICO. AFECTADAS VIAS CAPITANEJO -TIENDA NUEVA, MACARAVITA - BUENAVISTA, LOMA DE GOMEZ - PUENTE TOTUMO, LLARGUTA - JAGUI - CRUZ DEL POZO, PALMAR - BOQUERON - PICACHO, LLARGUTA - TIENDA NUEVA.. APOYO DEL FNC MEDIANTE GIRO DIRECTO AL CLOPAD PARA ALQUILER DE MAQUINARIA.</t>
  </si>
  <si>
    <r>
      <t xml:space="preserve">CORREGIMIENTO SAN FELIX. FALLAS EN LA LINEA DE CONDUCCION DEL ACUEDUCTO-VIAS AFECTADAS PACORA-SALAMINA-SALAMINA -LA UNION. </t>
    </r>
    <r>
      <rPr>
        <b/>
        <sz val="9"/>
        <rFont val="Arial"/>
        <family val="2"/>
      </rPr>
      <t>REPORTE DEL CREPAD. APOYO DEL FNC MEDAITNE GIRO DIRECTO AL CLOPAD PARA COMPRA DE COMBUSTIBLE Y ALQUILER DE MAQUINARIA</t>
    </r>
  </si>
  <si>
    <t>CREPAD DE SANTANDER  DR. JORGE GERARDO CONCHA, CORREO ELECTRONICO. APOYO DEL FNC MEDIANTE GIRO DIRECTO AL CLOPAD PARA ADQUISICION DE COMBUSTIBLE.</t>
  </si>
  <si>
    <t>REPORTE DEL CREPAD PARA ACTUALIZAR. APOYO DEL FNC MEDIANTE GIRO DIRECTO AL CLOPAD PARA COMPRA DE COMBUSTIBLE PARA RECUPERACION DE LAS VIAS EL PLACER, LAS PIEDRAS, LA HONDA, EL DESCANSO, SACHACOCO. LOS ROBLES, LA CABAÑA, SILOE, GUAYABAL</t>
  </si>
  <si>
    <r>
      <t xml:space="preserve">EL VALOR DE OTROS CORREPONDE A 500 CARPAS. </t>
    </r>
    <r>
      <rPr>
        <b/>
        <sz val="9"/>
        <rFont val="Arial"/>
        <family val="2"/>
      </rPr>
      <t>APOYO DEL FNC MEDAINTE GIRO DIRECTO AL CLOPAD PARA ALQUILER DE MAQUINARIA Y COMPRA DE COMBUSTIBLE.</t>
    </r>
  </si>
  <si>
    <t>ZONA RURAL. CRECIENTE RIO PUTUMAYO. REPORTE DE LA DEFENSA CIVIL</t>
  </si>
  <si>
    <t>BARRIOS: LAS BRISAS DE  HONK KONG. DESBORDAMIENTO RIO PUTUMAYO. REPORTE DE LA DEFENSA CIVIL</t>
  </si>
  <si>
    <t>VEREDA  JAUNO. DESBORDAMIENTO RIO CAQUETA. REPORTE DE LA DEFENSA CIVIL</t>
  </si>
  <si>
    <t>VEREDA LA  PUNTA . INCENDIO ESTRUCTURAL EN FABRICA  DE  QUIMICOS RESULTANDO UNA PERSONA HERIDA, EL EVENTO FUE  EXTINGUIDO POR  BOMBEROS  DE  FUNZA Y TENJO. REPORTE DEL CREPAD.</t>
  </si>
  <si>
    <t>CORREGIMIENTO SANTA  CECILIA SECTOR  EL RUSO. CAIDA  DE  ROCA  SOBRE BUS QUE  SE  DIRIGIA HACIA  TADO (CHOCO) PROVOCA  LA  MUERTE  A LA  SEÑORA MARIA  CLORALBA  MOSQUERA . REPORTE DEL CREPAD.</t>
  </si>
  <si>
    <t>BARRIOS FLORALIA, CALIMIO NORTE, GUADUALES, CHIMINANGOS,, ALCAZARES, COMFENALCO, . DEBIDO FUERTES LLUVIAS  Y VIENTOS FUERTES SE  PRESENTO, CAIDA  DE  ARBOLES, CORTE DE  ENERGIA Y  TAPONAMIENTO EN ALCANTARILLAS PROVOCANDO CONGESTION  VEHICULAR. NO HUBO VICTIMAS NI HERIDOS. REPORTE DE LA CRUZ ROJA</t>
  </si>
  <si>
    <t>DESBORDAMIENTO DE LA MARGEN IZQUIERDA DEL RIO GUATIQUIA, REALIZAN EDAN, REPORTE DEL CLOPAD DE VILLAVICENCIO, VIA AVANTEL</t>
  </si>
  <si>
    <t>FUERTE AGUACERO, ACOMPAÑADO DE VIENTOS Y GRANIZO, OCASIONO CAIDA DE ARBOLES Y POSTES DE ENERGIA,SECTORES: URBANO- VEREDAS: EL PALMAR, GUAYABAL, URBANIZACION RIO PAILA, TIERRA BLANCA REALIZAN EDAN, INFORMACION SUMINISTRADA POR EL CREPAD DEL VALLE VIA CORREO ELECTRONICO.</t>
  </si>
  <si>
    <t>FUERTE AGUACERO,  SECTOR RURAL: SAN ANTONIO, COLORADAS, LA FLORESTA, REALIZAN EDAN, INFORMACION SUMINISTRADA POR EL CREPAD DEL VALLE VIA CORREO ELECTRONICO</t>
  </si>
  <si>
    <t>INCENDIO ESTRUCTURAL, INFORMACION SUMINISTRADA POR EL CLOPAD DE PEREIRA, VIA CORREO ELECTRONICO.</t>
  </si>
  <si>
    <t>COLAPSO EN CUBIERTA DE VIVIENDAS, INFORMACION SUMINISTRADA POR EL CLOPAD DE PEREIRA, VIA CORREO ELECTRONICO.</t>
  </si>
  <si>
    <t>DESLIZAMIENTO DE TALUD, INFORMACION SUMINISTRADA POR EL CLOPAD DE PEREIRA, VIA CORREO ELECTRONICO.</t>
  </si>
  <si>
    <t>COLAPSO EN CUBIERTA DE VIVIENDA, INFORMACION SUMINISTRADA POR EL CLOPAD DE PEREIRA, VIA CORREO ELECTRONICO.</t>
  </si>
  <si>
    <t>INCENDIO ESTRUCTURAL, EN UN INQUILINATO INFORMACION SUMINISTRADA POR EL CLOPAD DE PEREIRA, VIA CORREO ELECTRONICO.</t>
  </si>
  <si>
    <t>REPORTE DE LA D.C.C, SR. WILLIAM SARMIENTO 3199000</t>
  </si>
  <si>
    <t>VEREDA LOS MORROS, REPORTE DEL CREPAD.</t>
  </si>
  <si>
    <t>CRECIENTE RIO LLAMAN, VEREDA BRISAS DEL LLAMAN, REPORTE DEL CREPAD.</t>
  </si>
  <si>
    <t>DESBORDAMIENTO RIOS PAILA Y GUANGUEHATO. BARRIOS EL BARRANCO, LA COCECHA, LA PAILA, BETANIA, CHAMIZO, TRESESQUINA. REPORTE DE LA DEFENSA CIVIL.</t>
  </si>
  <si>
    <t>DESBORDAMIENT RIOS GUANGUE Y DESBARATADO. REPORTE DE SOCORRO NACIONAL VERREDAS LA MANDA, TIERRA SANTA SANTAANA Y SAN ANDRES.</t>
  </si>
  <si>
    <t>CRECIENTE RIO PALO. VEREDA CAMPO LLANITO REPORTE DE SOCORRO NACIONAL</t>
  </si>
  <si>
    <t>BARRIO PALMAR DE PINARES. REPORTEDEL CLOPAD.</t>
  </si>
  <si>
    <t>DESBORDAMIENTO QUEBRADA EL LIMBO, BARRIO OLAYA. REPORTE DEL CREPAD. INCOMUNICADAS VEREDAS MANI, DEL CEDRAL Y EL RAIZAL.</t>
  </si>
  <si>
    <t>DESBORDAMIENTO  DE CAÑO CARACOLCENTRO POBLADO CANAGURO. REPORTE DEL CREPAD.</t>
  </si>
  <si>
    <t>DESBORDAMIENTO RIO MICAY. REPORTE DEL CLOPAD. SECTORES SAN ANTONIO DE CHARE, ISLA DE GALLO, NOANAMITO Y BOCA GRANDE.</t>
  </si>
  <si>
    <t>COMO RESULTADO UN MOTOCICLISTA MUERTO. REPORTE DEL CLOPAD CORREGIMIENTO EL MORRO.</t>
  </si>
  <si>
    <t>VEREDA CARRIZAL. REPORTE DEL CREPAD.</t>
  </si>
  <si>
    <t>VEREDA SINAI. REPORTE DEL CREPAD.</t>
  </si>
  <si>
    <t>CRECIENTE RIO SERVITA. ZONA DE GARCIA ROVIRA. REPORTE DEL CREPAD.</t>
  </si>
  <si>
    <t>BARRIOS LA VICTORIA, DIEZ DE MAYO, SAN MIGUEL, PUERTO CABRERA, SANTA HELENA, LA CUERERA.PUERTO MONTERO, EL PESEBRE, 20 DE JULIO, SANTA ELENA. VEREDA LA CHONORIA, EL BUCHE, SAN LORENZO POTRERILLO. DESBORDAMIENTO RIO MAGDALENA Y BOGOTA. REPORTE DEL SOCORRO NACIONAL Y EL CREPAD.</t>
  </si>
  <si>
    <t>CRECIENTE SUBITA DE LA QUEBRADA NEGRA BARRIOS ESPERANZA, SAN ISIDRO, CONCEPCION, EL PATO, LA CALETA, PILONES, LA UNION, NACEDEROS, PLATANERA, SANTA BARBBARA Y VEREDA LA FLORIDA. REPORTE DEL CREPAD.</t>
  </si>
  <si>
    <t>CRECIENTE QUEBRADA EL CUTE, SECTOR EL PIÑAL, VEREDAS LA HORQUETA, EL COPO, VÁSQUEZ Y SANTA ROSA. REPORTE DEL CREPAD. VIA TOCAIMA - VIOTA, INCOMUNICADAS VEREDAS.</t>
  </si>
  <si>
    <t>REPORTE DEL CREPAD. 50 GUANTES DE CARNAZA, 50 CASCOS DE PROTECCION, 50 LINTERNA PARA CASCO, 50 MACHETES, 50 CHARAPOS, 50 HACHAS, 50 IMPERMEABLES, 40 PALAS, 40 PICAS, 50 LINTERNAS MANUALES, 50 MONOGAFAS, 2 MEGAFONOS.</t>
  </si>
  <si>
    <t>AFECTADA VIA ARGELIA - LA BELLA - LA PALMA - LA SOLEDAD - - MARACAIBO, MARACAIBO - LA CRISTALINA, MARACAIBO - EL RIO, ARGELIA - EL RAIZAL - LA AURORA, LA AURORA - LA PAZ - TARRITO - EL RIO CORREGIMIENTO EL RAIZAL. REPORTE DEL CREPAD.. APOYO DEL FNC MEDIANTE GIRO DIRECTO AL CLOPAD PARA ADQUISICION DE COMBUSTIBLE.</t>
  </si>
  <si>
    <t>REPORTE DEL CREPAD EN REUNION DEL 18 DE ABRIL DE 2011. APOYO AL CLOPAD MEDIANTE GIREO DIRECTO PARA COMBUSTIBLE.</t>
  </si>
  <si>
    <t xml:space="preserve">BARRIO OROCUE. DESBORDAMIENTO DE LA QUEBRADA LAS CRUCES LA CUAL AFECTO EL 50% DEL BARRIO AL PARECER HAY 9 PERSONAS DESAPARECIDAS, INFORMACION POR CONFIRMAR. REPORTE DEL CREPAD. </t>
  </si>
  <si>
    <t>DESBORDAMIENTO DE LA QUEBRADA BLANCO. REPORTE DEL MINISTERIO DE LA PROTECCION SOCIAL. CORREGIMIENTO: BOCA DE URE, ZONA URBANA</t>
  </si>
  <si>
    <t>VEREDAS: PUERTO MANZANARES, PUERTO CORDOBAS, SANTA CLARA. DESBORDAMIENTO DEL RIO SAN JORGE, CAÑO LOS SAMBOS. REPORTE DEL CREPAD.</t>
  </si>
  <si>
    <t>VEREDA SANTA RITA. REPORTE DEL CREPAD. DESBORDAMIENTO DE LOS RIOS: EL CASTILLO, CAUQUITA, ALMORZADERO, EL GUACAL, QUEBRADAS: LA CABAÑA, LA SECA, SANTA RITA. REPORTE DEL CREPAD. BARRIOS: LA MERCED, MUNICIPAL, VILLA EDNA, LOS FUNDADORES, CALLE 5, CENTRO, VEREDA: SANTA RITA</t>
  </si>
  <si>
    <t>ZONA RURAL. REPORTE DEL CREPAD,</t>
  </si>
  <si>
    <t>BARRIO: LA AURORA, LA ALGUNA SECTOR: LAS VIRGENES, LOS TANQUES, VEREDA: EL GUAYABO. REPORTE DE LA DEFENSA CIVIL</t>
  </si>
  <si>
    <t>VEREDAS: SANTA HELENA. REPORTE DEL CREPAD. SECTORES:  SANTA SOFIA SAN JUAN  SANTA HELENA,  LA ARGENTINA, SAN JOSE. REPORTE DEL CREPAD</t>
  </si>
  <si>
    <t>LA  PRIMAVERA - 
CHORRITOS. REPORTE EL CREPAD. LA CAPILLA,  CHORRITOS.. REPORTE DEL CREPAD.</t>
  </si>
  <si>
    <t>VEREDA CAIMAL. REPORTE DEL CREPAD LA CAPILLA,  CHORRITOS.. REPORTE DEL CREPAD.</t>
  </si>
  <si>
    <t>ZONA URBANA. DESLIZAMIENTO AFECTO LA ESCUELA  VALENTIN GARCES DEL BARRIO AGUALINDA Y PROVOCO DAÑOS AL ACUEDUCTO. Vereda baja campana. REPORTE DEL CREPAD</t>
  </si>
  <si>
    <t>VEREDA  SANTA EMILIA. LA SELVA.  REPORTE DE CREPAD.</t>
  </si>
  <si>
    <t>TAMBORES. REPORTE DEL CREPAD. VEREDAS: LA ALEJANDRIA,  CARMINALES. REPORTE DEL CREPAD.</t>
  </si>
  <si>
    <t>PUEBLO RICO</t>
  </si>
  <si>
    <t>VEREDA CAMPOLIRIO Y HONDA NORTE, REPORTE DEL CREPAD</t>
  </si>
  <si>
    <t>PIEDRAS</t>
  </si>
  <si>
    <t>VILLAHERMOSA</t>
  </si>
  <si>
    <t>CENTRO COMERCIAL SAN ANDRESITO SECTOR LA JYA</t>
  </si>
  <si>
    <t>REPORTO LA DEFENSA CIVIL, AFECTADOS VARIOS LOCALES COMERCIALES.</t>
  </si>
  <si>
    <t>PROCESO DE REMOCIN EN MASA EN EL CASCO URBANO. REPORTE DEL CREPAD Y DEFENSA CIVIL.</t>
  </si>
  <si>
    <t>85230</t>
  </si>
  <si>
    <t>85250</t>
  </si>
  <si>
    <t>263</t>
  </si>
  <si>
    <t>85263</t>
  </si>
  <si>
    <t>85279</t>
  </si>
  <si>
    <t>RECETOR</t>
  </si>
  <si>
    <t>85300</t>
  </si>
  <si>
    <t>85315</t>
  </si>
  <si>
    <t>SACAMA</t>
  </si>
  <si>
    <t>85325</t>
  </si>
  <si>
    <t>85400</t>
  </si>
  <si>
    <t>85410</t>
  </si>
  <si>
    <t>TAURAMENA</t>
  </si>
  <si>
    <t>85430</t>
  </si>
  <si>
    <t>85440</t>
  </si>
  <si>
    <t>86</t>
  </si>
  <si>
    <t>86001</t>
  </si>
  <si>
    <t>Putumayo</t>
  </si>
  <si>
    <t>219</t>
  </si>
  <si>
    <t>AFECTADOS CINCO CORREGIMENTOS, 17 VEREDAS, REPORTE ACTUALIZADO DEL CLOPAD</t>
  </si>
  <si>
    <t>CREPAD DE SANTANDER  DR. JORGE GERARDO CONCHA, CORREO ELECTRONICO</t>
  </si>
  <si>
    <t>CANTON DE SAN PABLO</t>
  </si>
  <si>
    <t>BALNEARIO: HURTADO. CRECIENTE SUBITA DEL RIO GUATAPURI ARRASTRO JOVEN EXCURSIONISTA DE 17 AÑOS DE EDAD  EL CUERPO FUE ENCONTRADO A 30 KILOMETROS DEL LUGAR. REPORTE DEL CLOPAD</t>
  </si>
  <si>
    <t>ZONA URBANA. REPORTE DEL CREPAD.. LAS OLAS DESTRUYERON 1 VIVIENDA Y 2 LOCALES COMERCIALES</t>
  </si>
  <si>
    <t>ZONA URBANA. DESBORDAMIENTO DEL RIO SAN PABLO. REPORTE DEL CREPAD,</t>
  </si>
  <si>
    <t>ZONA RURAL. DESBORDAMIENTO DEL RIO ANDAGUEDA. REPORTE DEL CREPAD.</t>
  </si>
  <si>
    <t>INSPECCION: GALLARDO, VEREDA: BRUSELITOS. REPORTE DEL CREPAD</t>
  </si>
  <si>
    <t>VEREDA: PATIO BONITO. REPORTE DEL CREPAD</t>
  </si>
  <si>
    <t xml:space="preserve">BARRIO EL COMERCIO. INCENDIO ESTRUCTURAL QUE  DESTRUYO 4 CASAS DONDE  FUNCIONABAN 8 LOCALES COMERCIALES Y 2 APARTAMENTOS . REPROTE DEL CREPAD </t>
  </si>
  <si>
    <t>CENTRO COMERCIAL ALEJANDRIA. INCENDIO ESTRUCTURAL, AFECTANDO 1 LOCAL DESTRUIDO, 9 LOCALES AFECTADOS. REPORTE DEL CREPAD.</t>
  </si>
  <si>
    <t>SECTOR: EL MIRADOR. DESLIZAMIENTO DE TIERRA, OCASIONA, CIERRE TOTAL DE LA VIA QUE COMUNICA A MOCOA CON PASTO. REPORTE DE LA DEFENSA CIVIL</t>
  </si>
  <si>
    <t>BARRIO JUDAS. REPORTE DE LA DEFENS AIVIL</t>
  </si>
  <si>
    <t>BARRIOS LA AURORA Y SAN FERNANDO. REPORTE DEL CREPAD.</t>
  </si>
  <si>
    <t>VEREDA  SABANITAS Y BARRIOS LA SOLEDAD Y PUEBLO SOL. REPORTE DEL CREPAD</t>
  </si>
  <si>
    <t>BARRIOS SANTIAGO LONDOÑO, NUEVA  GRANADA, COMUNEROS ALTO, MIRAFLORES, LADERA NORTE. REPORTE DEL CREPAD.</t>
  </si>
  <si>
    <t>VEREDA JORDANIA. REPORTE DEL CREPAD.</t>
  </si>
  <si>
    <t>VEREDAS  LA ALEJANDRIA, CARMINALES, SAN ANTONIO, LAS BRISAS, LLANO GRANDE, TRES  ESQUINAS, EL MANZANO, LA  BODEGA, LA  MANCHA. REPORTE DEL CREPAD</t>
  </si>
  <si>
    <t>BARRIO OBREROS. REPORTE DEL CREPAD</t>
  </si>
  <si>
    <t>VEREDAS LOS ANGELES, PIÑALES. REPORTE DEL CREPAD</t>
  </si>
  <si>
    <t>VEREDA JORDAN. REPORTE DEL CREPAD</t>
  </si>
  <si>
    <t>VEREDA  ALTURAS. REPORTE DEL CREPAD</t>
  </si>
  <si>
    <t>ZONA URBANA Y VEREDAS SAN CLEMENTE Y SANTA  ANA. REPORTE DEL CREPAD</t>
  </si>
  <si>
    <t xml:space="preserve"> VEREDA  LA UNION. REPORTE DEL CREPAD</t>
  </si>
  <si>
    <t>VEREDA  CICUEPA. REPORTE DELCREPAD</t>
  </si>
  <si>
    <t>VEREDAS:LA ESMERALDA, SERNA, SAQUIAS, CHORRO SECO. REPORTE DEL CREPAD</t>
  </si>
  <si>
    <t>BARRIO CAMPOALEGRE. REPORTE DEL CREPAD</t>
  </si>
  <si>
    <t>CRA: 6 BIS No. 7-68-766. REPORTE DE LA DEFENSA CIVIL</t>
  </si>
  <si>
    <t>VEREDAS  VILLA  CLARET, LA  CUMBRE  , SAN LUIS. REPORTE DEL CREPAD</t>
  </si>
  <si>
    <t>VEREDA  EL RECREO. REPORTE DEL CREPAD</t>
  </si>
  <si>
    <t>COMUNIDAD INDIGENA  DE BAJO BORDO. REPORTE DEL CREPAD.</t>
  </si>
  <si>
    <t>COMUNIDAD INDIGENA BICHUBARA. REPORTE DEL CREPAD</t>
  </si>
  <si>
    <t>VEREDA PUEBLO BAJO LIMONES Y LA MARINA. REPORTE DEL CREPAD</t>
  </si>
  <si>
    <t>VEREDA LA  BAMBA. REPORTE DEL CREPAD</t>
  </si>
  <si>
    <t>CORREGIMIENTO LA FORTALEZA BALNEARIO LA VORAGINE. COLAPSO DE PUENTE PEATONAL SOBRE EL RIO PANCE DEJANDO  1O MENORES LESIONADOS  QUE  FUERON TRASLADADOS A LA  CLINICA  VALLE DEL LILI DE  CALI. REPORTE DE MINPROTECCION SOCIAL.</t>
  </si>
  <si>
    <t>APOYO DEL FNC MEDIANTE GIRO DIRECTO AL CLOPAD PARA COMPRA DE COMBUSTIBLE Y OBRAS DE EMERGENCIA.</t>
  </si>
  <si>
    <r>
      <t xml:space="preserve">DESLIZAMIENTO QUE GENERA UN REPRESAMIENTO EN EL RIO FONCE, SE MANTIENE MONITOREO CONSTANTE. REPORTE DEL CREPAD. </t>
    </r>
    <r>
      <rPr>
        <sz val="10"/>
        <rFont val="Arial"/>
        <family val="2"/>
      </rPr>
      <t>El valor de otros corresponde a 50 tanques de 500 ltda, 250 TUBOS DE 1/2" Y 250 TUBOS DE 1". APOYO DEL FNC MEDIANTE GIRO DIRECTO AL CLOPAD PARA ALQUILER DE MAQUINARIA Y COMBUSTIBLE</t>
    </r>
  </si>
  <si>
    <t>VEREDA SANTA CLARA. VEREDA SANTA ANA. CORREGIMIENTO RICAURTE. VEREDA LA AURORA. REPORTE DEL CLOPAD</t>
  </si>
  <si>
    <t>VEREDAS: LA PLAYA, CANADA, LA VEGA, SECTOR: EL ALTO. DESBORDAMIENTO DEL RIO MAYO, DESTRUIDO UN PUENTE VEHICULAR QUE COMUNICA AL MPIO DE SAN PABLO CON EL MPIO DE COLON, CONTINUAN EN LABORES DE VERIFICACION. REPORTE DEL CREPAD. APOYO DEL FNC MEDIANTE GIRO DIRECTO AL CLOPAD PARA ALQUILER DE MAQUINARIA PESADA.</t>
  </si>
  <si>
    <t>BARRIO PORVENIR. REPORTE DEL CREPAD. APOYO DEL FNC MEDIANTE GIRO DIRECTO AL CLOPAD PARA ALQUILER DE MAQUINARIA PESADA</t>
  </si>
  <si>
    <t>APOYO DEL FNC MEDIANE GIRO DIRECTO AL CREPAD PARA ALUILER DE MAUINARIA .</t>
  </si>
  <si>
    <t>APOYADO CON DONACIONES CON 150 MERCADOS, ASEO Y COCINA</t>
  </si>
  <si>
    <t>APOYADO CON DONACIONES CON 120 MERCADOS, ASEO Y COCINA</t>
  </si>
  <si>
    <t>APOYADO CON DONACIONES CON 180 MERCADOS, ASEO Y COCINA</t>
  </si>
  <si>
    <t>AFECTADAS VIA LA INSOPECCION DE POLICIA DE CASUARITO, VIA A LA ESMERALDA, RESGUARDO INDIGENA DE GUARITA. REPORTE DEL CLOPAD PARA ACTUALIZACION.</t>
  </si>
  <si>
    <r>
      <t xml:space="preserve">ZONA RURAL Y URBANA. DESBORDDAMIENTO RIO MAGDALENA. REPORTE DEL CREPAD. DESBORDAMIENTO RIO MAGDALENA. BARRIO PACHOMARIO, PANCHICUA, CARACOLI, VEREDAS ISLA CORES, MESUNO Y PERICO REPROTE DEL CREPAD Y SOCORRO NACIONAL. </t>
    </r>
    <r>
      <rPr>
        <b/>
        <sz val="9"/>
        <rFont val="Arial"/>
        <family val="2"/>
      </rPr>
      <t>EL VALOR DE OTROS CORRESPONDE A  200 PAQUETES PAÑALES, 50 CARPAS, 250 TARROS DE LECHE MATERNIZADA,  5 PLANTAS ELECTRICAS, 5 MOTOSIERRAS, 50 REFLECTORES, 50 CHALECOS SALVAVIDAS, 4 BOTES INFLABLES. GIRO DIRECTO AL CLOPAD PARA SUBSIDIO DE ARRIENDO ($283,500,000 LINEA 3), COMBUSTIBLE, MEDICINAS Y ALQUILER DE BAÑOS (  $37,682,290 , LINEA 2)</t>
    </r>
  </si>
  <si>
    <t xml:space="preserve"> DESBORDAMIENTO RIO CAUCA. REALIZAN EL EDAN. REPORTE DEL CREPAD.BARRIO LAS AGUITAS,, JORGE HERRAN, VEREDA GUAYABAL.. APOYO DEL CLOPAD PARA ALQUILER DE MAUINARIA Y COMPRA DE COMBUSTIBLE.</t>
  </si>
  <si>
    <t>APOYO DEL FNC MEDIANTE GIRO DIRECTO AL CLOPAD PARA ALQUILER DE MAUINARIA Y COMBUSTIBLE.</t>
  </si>
  <si>
    <t xml:space="preserve">VEREDA: MADRE VIEJA. DESBORDAMIENTO QUEBRADA MADRE VIEJA. REPORTE DEL CREPAD. APOYO DEL FNC MEDIANTE GIRO DIRECTO AL CLOPAD PARA ALQUILER DE MAQUINARIA Y COMPRA DE COMBUSTIBLE. </t>
  </si>
  <si>
    <t>APOYO DEL FNC MEDIANTE GIRO DIRECTO AL CLOPAD PARA ADQUISICION DE COMBUSTIBLE</t>
  </si>
  <si>
    <t>REPORTO CREPAD TOLIMA Dr CESAR AUGUSTO GUTIERREZ REPORTE ACTUALIDADO PARA REUNIDOS. APOYO DEL FNC MEDIANTE GIRO DIRECTO AL CLOPAD PARA COMPRA DE COMBUSTIBLE</t>
  </si>
  <si>
    <t>APOYO DEL FNC MEDIANTE GIRO DIRECTO AL CLOPAD PARA COMPRA DE COMBUSTIBLE.</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</si>
  <si>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</si>
  <si>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</si>
  <si>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</si>
  <si>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</si>
  <si>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</si>
  <si>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</si>
  <si>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</si>
  <si>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</si>
  <si>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</si>
  <si>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</si>
  <si>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</si>
  <si>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</si>
  <si>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</si>
  <si>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</si>
  <si>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</si>
  <si>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</si>
  <si>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</si>
  <si>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</si>
  <si>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</si>
  <si>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</si>
  <si>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</si>
  <si>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</si>
  <si>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</si>
  <si>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</si>
  <si>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</si>
  <si>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</si>
  <si>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</si>
  <si>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Vial aldea de maria - contaderito, el capuli - el culantro, contadero - loma de yaez, escuazan el culantro, el juncal quisnamuez, via santodomingo - simon bolivar alto; semidestruida bocatoma chorrera negra sector 1, sector 2, bocatoma el contaderito, red de conduccion acueducto principal, bocatoma de san jose de quisnamuez</t>
  </si>
  <si>
    <t>2589 AGRICULTORES, Genova - la cuchilla, genova - santa rosa, bordo alto - bordo bajo, la victoria, genova el bohio, san carlos - escuela los molinos, loma del ganado, villa nueva - el hueco hondo, la lupa - villa nueva, santa rosa - san carlos - puente cusillo, el macal, cujacal, el hechal - el alto - villa nueva, los palacios - la florida</t>
  </si>
  <si>
    <t>443 AGRICULTORES, Guacas - ensilladas, santander - cruce san juan chico, cruce san juan chico - san juan grande, san juan chico - chair, cruce via principal delicia - los arrallanes, arrallanes - muesmueran alto, muesmeran alto - cordoba, via al brazil, delicias - chiguacos.</t>
  </si>
  <si>
    <t>SECTOR EL BATICANO. REPORTE DEL CREPAD. PENDIENTE INFORMACIÓN.</t>
  </si>
  <si>
    <t>VIA CUCUTA PAMPLONA KM 80+500 REPORTE DEL CREPAD.</t>
  </si>
  <si>
    <t>DESBORDAMIENTO RIO TACHIRA CORREGIMIENTO LA PARADA. REPORTE DEL CREPAD.</t>
  </si>
  <si>
    <t>VEREDAS PAN DE AZUCAR , BATACIA Y BOLION. REPORTE DEL CREPAD.</t>
  </si>
  <si>
    <t>VEREDAS PALACIO Y GIRONES. REPORTE DEL CREPAD.</t>
  </si>
  <si>
    <t>PASTOS</t>
  </si>
  <si>
    <t>CRECIENTE QUEBRADA YUCATAN VEREDA GUAMAL. REPORTE DEL CREPAD.</t>
  </si>
  <si>
    <t>VEREDA HIGUERON REPORTE DEL CREPAD. ESCUELA FIGUERONA.</t>
  </si>
  <si>
    <t>FUERTES LLUVIAS, BARRIO EL MILAGRO, CAIDA DE ARBOL REPORTE DEL CLOPAD.</t>
  </si>
  <si>
    <t>FUERTES LLUVIAS, BARRIO EL DORADO REPORTE DEL CLOPAD.</t>
  </si>
  <si>
    <t>DESBORDAMIENTO RIO TACHIRA, CORREGIMIENTO LA PARADA. REPORTE DEL CREPAD.</t>
  </si>
  <si>
    <t>VEREDA LAGUNILLA REPORTE DEL CREPAD.</t>
  </si>
  <si>
    <t>AFECTADO COLEGIO EDUARDO SANTOS, EVACUADOS 194 NIÑOS, REPORTE DEL CREPAD.</t>
  </si>
  <si>
    <t>497 AGRICULTORES, vias afectadas: La cruz - la loma; la cruz - pasto, afectados los CE  el salado, buena vista, taponamiento del alcantarillado de los barrios santander bajo y belen; afectado el acueducto del corregimiento de escandoy y el casco urbano</t>
  </si>
  <si>
    <t>vias que conducen a las veredas: oso - san agustin; la laguna - la repetidora - el salado - catalina - el chilcal; via que conduce al cancino, via que conduce de samaniego al corregimiento de tabiles; casco urbano - veredas mosqueral y alto cartagena; el llano - chuguldi; centro educativo alto canada</t>
  </si>
  <si>
    <t>SEGÚN EL REPORTE DE LA DEFENSA CIVIL SECCIONAL META, 10 BARRIOS DEL NORTE, SUR Y NORORIENTE DE LA CIUDAD FUERON LOS MÁS AFECTADOS POR EL AGUACERO, QUE SE PROLONGÓ DURANTE MÁS DE CUATRO HORAS. LAS EMERGENCIAS MÁS GRAVES OCURRIERON EN LOS BARRIOS MARCO ANTONIO PINILLA Y MARACOS BAJO, PUES ALLÍ LAS AGUAS ALCANZARON MÁS DE UN METRO DE ALTURA Y AVERIARON ELECTRODOMÉSTICOS Y ENSERES DE LAS PERSONAS, EN SU MAYORÍA DE ESCASOS RECURSOS. ASI MISMO, EN EL CONJUNTO RESIDENCIAL NUEVA ESPERANZA 1, LA FUERZA DE LOS ARROYOS DESTRUYÓ UN MURO DE CERRAMIENTO, DEJANDO. DESPROTEGIDAS A 200 FAMILIAS, AFECTANDO UNA  INSTITUCION EDUCATIVA CON REBOSAMIENTO DE AGUAS, VIAS PRINCIPALES AFECTADAS POR ENCHARCAMIENTO,SATURACION DEL ACANTARILLADO.</t>
  </si>
  <si>
    <t>GIROS DIRECTOS</t>
  </si>
  <si>
    <t>SECTORES DE VILLA CIELO, CANTACLARO CORREGIMIENTO DE SABANAL.</t>
  </si>
  <si>
    <t>CORREGIMIENTO BERASTEGUI Y MIMBRES.</t>
  </si>
  <si>
    <t>BARRIO NUEVO ORIENTE , LAS PALMAS, MIRAFLORES, LAS ACACIAS, LAS MARECITAS, VENUS, PLAYA RICA</t>
  </si>
  <si>
    <t>VEREDAS CAÑO MACU, CERRO AZUL REPORTE DEL CLOPAD.</t>
  </si>
  <si>
    <t>MAREJADA QUE AFECTO EL CORREGIMIENTO DE PUNTA HUINA Y NABUGA -PERDIDA DE ENSERES-INFORMA D.C.C. DIRECCION NACIONAL Y CREPAD. A LA ESPERA DE SOLICITUD DE APOYO. VENDAVAL SECTORES: PLAYA DE ORO, BOCA DE TALANDO, AFECTACIÒN DE UNA ESCUELA, 1 COMEDOR ESCOLAR, LA CASA CULTURAL, REALIZAN EDAN, INFORMO CREPAD DEL CHOCO DR. RAFAEL ANDRES BOLAÑOS, CEL: 3136133669, CRUZ ROJA DEL CHOCO SR. VITALINO PANESSO CEL: 3102489331. VENDAVAL ACOMPAÑDO DE FUERTES LLUVIAS, Y MAREA ALTA: CORREGIMIENTOS DE: HUINA, NABUGÀ, UNA IGLESIA COLAPSO, EN EL CORREGIMIENTO DE: NABUGÀ, SE ENCUENTRAN 23 FAMILIAS, 103 PERSONAS EN RIESGO, SE ANALIZA POR PARTE DEL CLOPAD LA EVACUACIÒN DEFINITIVA,  INFORMO CREPAD DEL CHOCO DR. RAFAEL ANDRES BOLAÑOS, CEL: 3136133669</t>
  </si>
  <si>
    <t>VENDAVAL PRESENTADO EN LAS VEREDAS ROSARIO, SOMBRERILLOS, PAN DE  AZUCAR  Y SAN ISIDRO. REPORTE  DE  DEFENSA CIVIL. SR. OSCAR  RODRIGUEZ TEL 3199000. ADICIONALMENTE AFECTACION EN LAS VISAS DE LOS SECTORES SAN ISIDRO, SANTA BARBARA, SANTA ROSA, EL ARENAL, CAÑAVERAL, LA FLORESTA, MATAREDONDA, CAIMITO, AGUA BONITA,  APOYO DEL FNC MEDIANTE GIRO DIRECTO AL CLOPAD PARA ADQUISICION DE COMBUSTIBLE PARA LA REHABILITACION DE LA MALLA VIAL.</t>
  </si>
  <si>
    <t>EL CREPAD SOLICITA APOYO PARA LOS MUNICIPIOS DE MALAMBO (247), PONEDERA (1030), USIACURI (27 Y SABANAGRANDE 897) QUE NO RECIBIERON AYUDA POR C.H.</t>
  </si>
  <si>
    <t>APOYO PARA LOS MUNICIPIOS DE SORA, SAN EDUARDO, SACHICA, EL COCUY Y JERICO.</t>
  </si>
  <si>
    <t>APOYADO A TRAVES DEL CREPAD EL 31 DE AGOSTO</t>
  </si>
  <si>
    <t>BARRIO: OBRERO. DESBORDAMIENTO RIO SUPIA. REPORTE DEL CREPAD. APOYO DEL FNC PARA ALQUILER DE MAQUINARIA Y COMPRA DE COMBUSTIBLE ADICIO</t>
  </si>
  <si>
    <t>ZONA URBANA. REPORTE DEL CREPAD. ADICIONALMENTE SE ENVIAN 60 CARPAR DE LAS QUE SE ENCUENTRN EN BODEGA.</t>
  </si>
  <si>
    <t>ADQUISICION DE 353 CARPAS ENTREGDAS INICIALMENTE AL DEPARTAMENTO DE MAGDALENA, PERO LUEGO DEVUELTAS POR NO SE UTILIZADAS. DISTRIBUIDAS ASI: CHINCHINA 60,</t>
  </si>
  <si>
    <t>VALOR DE OTROA CORRESPONDE A 12 TANQUES DE 5000 LITROS.</t>
  </si>
  <si>
    <t>CORREGIMIENTO DE ARROYO DE PEIDRA. REPORTE DEL CREPAD.</t>
  </si>
  <si>
    <t>REPORTE DE DEFENSA CIVIL</t>
  </si>
  <si>
    <t>VEREDAS PELAYITO, CARRILLO, COQUERA, SAN ANTERO. REPORTE DE LA DEFENSA CIVIL.</t>
  </si>
  <si>
    <t>APOYO DEL FNC MEDIANTE GIRO DIRECTO AL CLOPAD PARA ADQUICISION DE COMBUSTIBLE, MANTENIMIENTO DE ALCANTARILLAS Y REMOCION DE ESCOMBREOS.</t>
  </si>
  <si>
    <t>REPORTE DEL CREPAD. APOYO DEL FNC M,EDIANTE GIRO DIRECTO AL CLOPAD PARA EL ALQUILER DE MAQUINARIA POR 2000 HORAS, 1000 MALLAS PARA GAVION Y 2000 KILOS DE ALABREA CALIBRE 13-</t>
  </si>
  <si>
    <t>ACTUALIZACION DEL CREPAD PARA REUNIDOS.</t>
  </si>
  <si>
    <t>APOYO DEL FNC MEDIANTE GIRO DIRECTO AL CLOPAD PARA COMBUSTIBLE PARA REHABILITCION DE LAS VIAS TERCIARIAS.</t>
  </si>
  <si>
    <t>ZONA RURAL. REPROTE DEL CREPAD</t>
  </si>
  <si>
    <t>BARRIOS MORAVIA Y EL BOSQUE DESBORDAMIENTO QUEBRADA LA BERBEJALA. REPORTE DE LA DEFENSA CIVIL.</t>
  </si>
  <si>
    <t>BARRIOS LA UNION Y EL AGUILA. DESBORDDAMIENTO RIO AMAZONAS. EN PUERTO NARIÑO ESTA  PENDIENTE  REALIZACION CENSOS. REPORTE DEL CREPAD EN TAMITE GIRO DIRECTO PARA ASISTENCIA HUMANITARIA Y COMBUSTIBLE</t>
  </si>
  <si>
    <t>APOYO PARA LOS MUNICIPIOS DE BECERIL. BOSCONIA, CODAZZI, CHIMICHAGUA, LA JAGUA DE IBIRICO, LA PAZ, MANAURE, PUEBLO BELLO, SAN DIEGO, VALLEDUPAR.</t>
  </si>
  <si>
    <t>GIRO DIRECTO PARA COMBUSTIBLE PARA REHABILITACION DE LA RED VIAL</t>
  </si>
  <si>
    <t>REPROTE ACTUALIZADO DEL CRPAD PARA EFECTOS DEL VISOR. EL VALOR DE OROS CORRESPONDE A 100 PALAS, 100 PICAS Y 200 IMPRMEABLES.</t>
  </si>
  <si>
    <r>
      <t xml:space="preserve">AFECTACION EN VIAS TERCIARIAS, SE ENCUENTRAN SIN FLUIDO ELECTRICO POR DAÑOS EN LAS REDES. REPORTE DEL CREPAD. POR LOS DESLIZAMIENTOS EN LA VIA CHINACOTA-RAGONVALIA. PERDIDA DE LA BANCA EN LA VEREDA SANTA BÁRBARA. CERRADA LA VIDA A PASO ANTIGUO Y LA COLINA, POR DERRUMBES Y PERDIDA DE LA BANCA. PERDIDA PARCIAL DE LA BANCA EN EL SECTOR MARIA AUXILIADORA. PERPETUO SOCORRO, PABLO VI, EL TABOR
</t>
    </r>
    <r>
      <rPr>
        <b/>
        <sz val="9"/>
        <rFont val="Arial"/>
        <family val="2"/>
      </rPr>
      <t>APOYO DEL FNC MEDIANTE GIRO DIRECTO AL CLOPAD PARA LA ADQUISICION DE MATERIALES DE CONSTRUCCION PARA REPARACION DE CUBIERTAS Y MUROS. EL VALOR DE OTROS CORRESPONDE A 900 CERCHAS 3 X 1/2" .</t>
    </r>
  </si>
  <si>
    <r>
      <t xml:space="preserve">VEREDA EL VERGEL. REPORTE DEL CREPAD. </t>
    </r>
    <r>
      <rPr>
        <b/>
        <sz val="9"/>
        <rFont val="Arial"/>
        <family val="2"/>
      </rPr>
      <t>APOYO DEL FNC MEDIANTE GIRO DIRECTO AL CLOPAD PARA COMBUSTIBLE PARA REHABILITACION DE VIAS TERCIARIAS</t>
    </r>
  </si>
  <si>
    <t>APOYO DEL FNC MEDIANTE GIRO DIRECTO AL CLOPAD PARA COMBUSTIBLE</t>
  </si>
  <si>
    <t>ZONA RURAL Y URBANA. DESBORDAMIENTO RIO MAGDALENA. REPORTE DEL CREPAD. APOYO DEL FNC MEDAINTE GIRO DIRECTO AL CLOPAD PARA REHABILITACION DE CUATRO ACUEDUCTOS</t>
  </si>
  <si>
    <t>GIRO DIRECTO AL CREPAD PARA ALQUILER DE 100 BAÑOS PORTATILES.</t>
  </si>
  <si>
    <t>ZONA URBANA REPORTE DEL CREPAD. APOYO DEL FNC PARA ADQUISICION DE COMBUSTIBLE</t>
  </si>
  <si>
    <t>VEREDAS: PAPAYAS, PLAYITAS</t>
  </si>
  <si>
    <t>BARRIO SINAI. DESBORDAMIENTO RIO MEDELLIN, REPORTE DE MINPROTECCION SOCIAL</t>
  </si>
  <si>
    <t>CASCO URBANO. REPORTE DE MINPROTECCION SOCIAL.</t>
  </si>
  <si>
    <t>CORREGIMIENTO: CEDEÑO . CRECIENTE SUBITA DE UNA QUEBRADA, ARRASTRO MENOR DE EDAD. REPORTE DEL CREPAD</t>
  </si>
  <si>
    <t>BARRIO: VILLA LIDA.. DESBORDAMIENTO QUEBRADA LA MARIA. REPORTE DE LA DEFENSA CIVIL</t>
  </si>
  <si>
    <t>SECTOR. LA DANTA. REPORTE DEL CREPAD</t>
  </si>
  <si>
    <t>SECTOR URBANO. REPORTE DEL CREPAD.</t>
  </si>
  <si>
    <t>ZONA URBANA Y RURAL. REPORTE DEL CREPAD</t>
  </si>
  <si>
    <t>BARRIOS: LA CHINITA,  LA LUZ, REBOLO, DON BOSCO. LLUVIAS CON TORMENTA ELECTRICA, 3 VEHICULOS ARRASTRADOS POR LOS ARERROYOS. REPORTE DEL CLOPAD</t>
  </si>
  <si>
    <t>CALLE 170 . AUTOPISTA NORTE Y LOCALIDAD SUBA. INUNDACION POR  FUERTES  LLUVIAS Y GRANIZADA, REALIZAN CENSOS. REPROTE DE SOCORRO NACIONAL</t>
  </si>
  <si>
    <t>CORREGIMIENTO  SAN LUCAS. REPORTE DEL CREPAD.</t>
  </si>
  <si>
    <t>VEREDA: NARANJOS. REPORTE DEL CREPAD</t>
  </si>
  <si>
    <t>VEREDA: CAICEDO. REPORTE DEL CREPAD</t>
  </si>
  <si>
    <t>ZONA URBANA. REPORTE DEL CREPAD</t>
  </si>
  <si>
    <t>CRECIENTE DEL RIO MOLINO, PENDIENTE MAS INFORMACION. REPORTE DEL CREPAD</t>
  </si>
  <si>
    <t>DESBORDAMIENTO DEL RIO RANCHERIA, PENDIENTE MAS INFORMACION. REPORTE DE LA CRUZ ROJA</t>
  </si>
  <si>
    <t>VEREDAS: CHIVARA, SAN JOSE, EL CARMEN, YARUMALES ALTO Y BAJO, LA CATALINA, PEÑAS ROJAS, MIRAFLORES, EL SILENCIO. DESBORDAMIENTO RIO GUAYABERO, REPORTE DE LA DEFENSA CIVIL</t>
  </si>
  <si>
    <t>FINCA: LOS NARANJOS, VEREDA: SAN ISIDRO. CAIDA DE RAYO, 1 PERSONA MUERTA DE NOMBRE: SIRO RAMON PABON PADILLA DE 35 AÑOS DE EDAD. REPORTE DEL CREPAD</t>
  </si>
  <si>
    <t>VEREDA: SANTA BARBARA, CORREGIMIENTO: VILLA SUCRE. CRECIENTE SUBITA DEL CAÑO PICHO, ARRASTRO, 1 JOVEN DE 15 AÑOS  DE NOMBRE: JUAN SEBASTIAN ROZO BELTRAN. REPORTE DEL CREPADS</t>
  </si>
  <si>
    <t>VEREDA: LA VEGA. CRECIENTE DE LA QUEBRADA RAMIREZ, SE ESTA EVACUANDO, PENDIENTE MAS INFORMACION. REPORTE DEL CREPAD.</t>
  </si>
  <si>
    <t>BARRIO: CARAMBOLAS, SECTOR MANRIQUE. REPORTE DE LA DEFENSA CIVIL</t>
  </si>
  <si>
    <t>VEREDA FLORENCIA SECTOR LA ESPERANZA. 3 PERSONAS ATRAPADAS MINA LA ESPERANZA POR SATURACIÓN DE SUELOS REPORTE DEL CLOPAD</t>
  </si>
  <si>
    <t>73449</t>
  </si>
  <si>
    <t>76001</t>
  </si>
  <si>
    <t>76130</t>
  </si>
  <si>
    <t>76233</t>
  </si>
  <si>
    <t>76248</t>
  </si>
  <si>
    <t>76306</t>
  </si>
  <si>
    <t>76403</t>
  </si>
  <si>
    <t>76520</t>
  </si>
  <si>
    <t>76890</t>
  </si>
  <si>
    <t>76892</t>
  </si>
  <si>
    <t>81736</t>
  </si>
  <si>
    <t>85010</t>
  </si>
  <si>
    <t>85139</t>
  </si>
  <si>
    <t>86573</t>
  </si>
  <si>
    <t>91001</t>
  </si>
  <si>
    <t>95001</t>
  </si>
  <si>
    <t xml:space="preserve">ACTUALIZACION DEL CREPAD </t>
  </si>
  <si>
    <t>Codificación según DIVIPOLA</t>
  </si>
  <si>
    <t>SAN ANTONIO DEL TEQUENDAMA</t>
  </si>
  <si>
    <t>GUAYABAL DE SIQUIMA</t>
  </si>
  <si>
    <t>DESLIZAMIENTO EN LA VEREDA PEÑA BLANCA. 2 KM ADELANTA DEL PUENTE MALUSA. VIA SOCOTA - JERICO. REPORTE DEL CREPAD.</t>
  </si>
  <si>
    <t>CASCO URBANO. VIA MANIZALEZ - MANZANARES Y CUATRO VIAS VEREDALES. REPORTE DE LA CRUZ ROJA.</t>
  </si>
  <si>
    <t>BARRIO GAITAN BAJO. REPORTE DEL CLOPAD</t>
  </si>
  <si>
    <t>CENTRO POBLADO PUEBLO NUEVO. REPROTE DEL CREPAD.</t>
  </si>
  <si>
    <t>BARRIO SANTA FE, . REPORTE DEL CLOPAD</t>
  </si>
  <si>
    <t>VEREDA SAN CRISTOBAL. REPORTE DEL CREPAD.</t>
  </si>
  <si>
    <t>VEREDA EL SANTUARIO Y LA UNION. REPROTE DEL CREPAD.</t>
  </si>
  <si>
    <t>VEREDA PAYANDE, CRECIENTE DE QUEBRADA SANTIBAÑEZ. REPORTE DEL CREPAD.</t>
  </si>
  <si>
    <t>VEREDAS BELLAVISTA Y SAN ANTONIO. REPORTE DE SOCORRO NACIONAL Y MINPROTECCION SOCIAL.</t>
  </si>
  <si>
    <t>REPROTE DE DEFENSA CIVIL Y EL CREPAD.</t>
  </si>
  <si>
    <t>VEREDA SAN PEDRO. REPORTE DEL CREPAD</t>
  </si>
  <si>
    <t>VEREDA EL MIRADOR. REPORTE DEL CREPAD.</t>
  </si>
  <si>
    <t>BARRIOS BELLA VISTA Y BELLO HORIZONTE BARRIO ALPICO Y DIEGO OSPINA.. REPORTE DEL CREPAD Y DEFENSA CIVIL</t>
  </si>
  <si>
    <t>VIA SUAZA - FLORENCIA, VEREDA EL AVISPERO. KM 22 REPORTE DEL CREPAD.</t>
  </si>
  <si>
    <t>VEREDA ESTORACAL. . TRES VINCAS Y AFECTADA VIA CASCO URVANO VEREDA ESTORACAL. REPORTE DEL CREPAD.</t>
  </si>
  <si>
    <t>BARRIOS LA ESPERANZA Y SAN JUAN. REPORTE DEL CREPAD.</t>
  </si>
  <si>
    <t>COLAPSO DE ROCA EN MINA DE CARBON VEREDA LA SELVA CORREGIMIENTO LA DON JUANA. REPORTE DE CREPAD.</t>
  </si>
  <si>
    <t>BARRIO VILLAVICENCIO. REPORTE DE LA DEFENS ACIVIL.</t>
  </si>
  <si>
    <t>VEREDA LA CABAÑA. REPORTE DEL CREPAD.</t>
  </si>
  <si>
    <t xml:space="preserve">SECTOR MONDOMO. REPROTE DEL CREPAD VIA POPAYAN - SANTANDER DE QUILICHAO </t>
  </si>
  <si>
    <t>BARRIO GIBRALTAR II. REPORTE DE LA DPAE</t>
  </si>
  <si>
    <t>BARRIO CANTERAS MEDIA LOMA. REPORTE DE LA DPAE</t>
  </si>
  <si>
    <t>BARRIO SAN PEDRO. REPORTE DE LA DPAE</t>
  </si>
  <si>
    <t>BARRIO SANTA RITA SUR ORIENTAL II ETAPA. REPORTE DE LA DPAE</t>
  </si>
  <si>
    <t>REPORTE DEL CREPAD Y MINPROTECCION.</t>
  </si>
  <si>
    <t>VEREDA SAN PABLO, REPORTE DEL CLOPAD Y MINPROTECCION. AFECTADA VIA ARGELIA - SONSON.</t>
  </si>
  <si>
    <t>BARRIO COMUNERO SECTOR PALAYA BAJA, REPORTE DE SOCORRO NACIONAL, DEFENSA CIVIL, MINOPROTECCION.</t>
  </si>
  <si>
    <t>AFECTADA VIA PANAMERICANA, REPORTE DEL CREPAD.</t>
  </si>
  <si>
    <t>VEREDA LA LAGUNA, REPORTE DEL CREPAD.</t>
  </si>
  <si>
    <t>AFECTANDO LA CARRETERA CERCANA, ESTE PUENTE COMUNICA AL DEPARTAMENTO DE ARAUCA CON LOS SANTANDERES POR LA VIA SARAVENA - PAMPLONA. INUNDACION DE LA ESCUELA RURAL SIMON BOLIVAR DE LA
VEREDA TAMACAY, AFECTANDO A MAS DE 80 NIÑOS  HOY SE
AFECTARON LOS CAMINOS DE ACCESO Y LA ESCUELA, POR LA CRECIENTE DEL RIO
TAMACAY. REPORTE DEL SOCORRO NACIONAL</t>
  </si>
  <si>
    <t>VEREDA CAMENZO. REPORTE DEL CREPAD</t>
  </si>
  <si>
    <t>EXPLOSION DE MINA DE CARBON LOS COCHINILLOS. VEREDA RUCHICAL BAJO, CORREGIMIENTO COCHINILLOS REPORTE DEL CREPAD.</t>
  </si>
  <si>
    <t>REPROTE DEL CREPAD. VEREDA AGUA FRIA.</t>
  </si>
  <si>
    <t>BARRIO JOSE EUSTAQUI RIVERA Y CRECIENTE DEL RIO LA CEIBA. REPORTE EL CREPAD.</t>
  </si>
  <si>
    <t>AFECTADOS 10 LOCALES DE MERCADO PUBLICA</t>
  </si>
  <si>
    <t xml:space="preserve">APOYO DEL FNC MEDIANTE GIRO DIRECTO AL CLOPAD PARA APOYAR LA RECONSTRUCCION DE LOS LOCLAES AFECTADOS </t>
  </si>
  <si>
    <t>BARRIO VILLA EUROPA. REPORTE DEL CREPAD.</t>
  </si>
  <si>
    <t>DESBORDAMIENTO QUEBRADA PRESIDENTE. REPORTE DEL CREPAD.</t>
  </si>
  <si>
    <t>CRECIENTE QUEBRADA MANZANO VEREDA SEVILLA REPORTE DE LA CRUZ ROJA,</t>
  </si>
  <si>
    <t>DESBORDAMEINTO DE UNA CASCADA O CHORRERA. REPORTE DE MINPROTECCION</t>
  </si>
  <si>
    <t>COMUNIDADES AFECTADAS PIE DE PATO, PUERTO ECEVERRY, PUERTO LUIS, PUERTO MISAEL, PUERTO VALENCIA, PUERTO MARTINEZ, PUERTO PALACIOS, PUERTO ARACELIS, PUERTO LIBIA, BOCA DE LEON, NAUCA, LAS DELICIAS, BELLA VISTA, AMPARDO, DESBORDAMIENTO RIO BAUDO, REPORTE DE SOCORRO NACIONAL.</t>
  </si>
  <si>
    <t>PERDIDA DE CULTIVOS. Y ANIMALES DOMESTICOS.</t>
  </si>
  <si>
    <t>VEREDA LA SALADA. REPORTE DEL CREPAD.</t>
  </si>
  <si>
    <t>EL VALOR DE OTROS CORREPONDE A  24 BOTIQUINES ESPECIALES, 400 FRASCOS DE PASTILLAS POTABILIZADORAS</t>
  </si>
  <si>
    <t xml:space="preserve"> CARPAS PARA LA ZONA INFLUENCIA DEL PROYECTO HIDROELECTRICO DE SOGAMOSO.</t>
  </si>
  <si>
    <t>EL VALOR DE OTROS CORRESPONDE A UNA TRACTOBOMBA DE 10"</t>
  </si>
  <si>
    <t>EL VALOR DE OTROS CORRESPONDE  500 PICAS Y 500 PALAS.</t>
  </si>
  <si>
    <t>BUENAVISTA</t>
  </si>
  <si>
    <t>SUCRE</t>
  </si>
  <si>
    <t>QUIBDO</t>
  </si>
  <si>
    <t>ANAPOIMA</t>
  </si>
  <si>
    <t>BITUIMA</t>
  </si>
  <si>
    <t>COGUA</t>
  </si>
  <si>
    <t>COTA</t>
  </si>
  <si>
    <t>FUQUENE</t>
  </si>
  <si>
    <t>GRANADA</t>
  </si>
  <si>
    <t>GUACHETA</t>
  </si>
  <si>
    <t>GUASCA</t>
  </si>
  <si>
    <t>LA PALMA</t>
  </si>
  <si>
    <t>LENGUAZAQUE</t>
  </si>
  <si>
    <t>ORTEGA</t>
  </si>
  <si>
    <t>SAN ONOFRE</t>
  </si>
  <si>
    <t>ANTIOQUIA</t>
  </si>
  <si>
    <t>MANZANARES</t>
  </si>
  <si>
    <t>MILAN</t>
  </si>
  <si>
    <t>PORE</t>
  </si>
  <si>
    <t>MANI</t>
  </si>
  <si>
    <t>YOPAL</t>
  </si>
  <si>
    <t>PROVIDENCIA</t>
  </si>
  <si>
    <t>CHOCO</t>
  </si>
  <si>
    <t>SANTANDER</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</si>
  <si>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</si>
  <si>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</si>
  <si>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</si>
  <si>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</si>
  <si>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</si>
  <si>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</si>
  <si>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</si>
  <si>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</si>
  <si>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</si>
  <si>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</si>
  <si>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</si>
  <si>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</si>
  <si>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</si>
  <si>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</si>
  <si>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</si>
  <si>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</si>
  <si>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</si>
  <si>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</si>
  <si>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</si>
  <si>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</si>
  <si>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</si>
  <si>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</si>
  <si>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</si>
  <si>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</si>
  <si>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</si>
  <si>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</si>
  <si>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</si>
  <si>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</si>
  <si>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</si>
  <si>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</si>
  <si>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</si>
  <si>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</si>
  <si>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</si>
  <si>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</si>
  <si>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</si>
  <si>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</si>
  <si>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</si>
  <si>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BARRIO EL CARMEN  VEREDA SAN RAFAEL. REPORTE DEL CREPAD</t>
  </si>
  <si>
    <t>CENTRO POBLADO  PUERTO ACAPULCO  BARRIO EL CABLE.DESBORDAMIENTO DEL RIO MAGDALENA  INCOMUNICADOS POR VIA TERRESTRE EL CASERIO   CASCAJAL Y EL CORREGIMIENTO DE CONTENTO REPORTE DEL CREPAD</t>
  </si>
  <si>
    <t>BARRIOS:    LA INDEPENDENCIA,  LA FLORIDA. REPORTE DE LA DEFENSA CIVIL</t>
  </si>
  <si>
    <t>LOCALIDADES DE: SUBA, ENGATIVA, BOSA, FONTIBON, KENNEDY. ALERTA ROJA POR DESBORDAMIENTO DEL RIO BOGOTA, EN 5 LOCALIDADES DE LA CAPITAL, EN ALERTA NARANJA LAS LOCALIDADES DE: CHAPINERO, USAQUEN, SAN CRISTOBAL, INFORMA EL ALCALDE  MAYOR POR MEDIOS DE COMUNICACION. REPORTE DE LA FOPAE</t>
  </si>
  <si>
    <t>VIA ARBOLEDAS - SALAZAR . TAPONAMIENTO DE LA VIA, AFECTADO UN PUENTE EN LA VIA ARBOLEDAS- CASTRO, SOBRE LA QUEBRADA AGUA BLANCA. REPORTE DEL CREPAD.</t>
  </si>
  <si>
    <t>VEREDAS: PATERA, SAN LUIS, NOVILLEROS, PALO GORDO, SUCUNCHOQUE, DIVINO NIÑO, BARRIOS: SAN JUANITO, PUERTO LETICIA. DESBORDAMIENTO DEL RIO UBATE Y RUPTURA DEL JARILLON EN EL RIO ZUTA. REPORTE DEL CREPAD.</t>
  </si>
  <si>
    <t>VEREDA: SAN ISIDRO. CRECIENTE SUBITA DEL RIO CUNE, DEJANDO ANEGADO EL CLUB SOCIAL Y 50 VIVIENDAS, PENDIENTE MAS INFORMACION</t>
  </si>
  <si>
    <t>VIA LA VEGA- TOBIA. VIA TAPONADA EN SU TOTALIDAD, QUEDANDO VEHICULOS INMOVILIZADOS. REPORTE DEL CREPAD.</t>
  </si>
  <si>
    <t>CRECIENTE DE LA QUEBRADA GALINDO, SE ESTA REALIZANDO LA EVACUACION PREVENTIVA DE UN BARRIO CON APROXIMADAMENTE 30 FAMILIAS, REPORTO CREPAD Sr FERNANDO CHACON, SECRETARIA DE GOBIERNO DE UTICA Dra. DIANA ROCIO GUERRERO</t>
  </si>
  <si>
    <t>CASERIO  MONTERRALO, REPORTO CREPAD CASANARE Dr. BEYER LOPEZ</t>
  </si>
  <si>
    <t>VEREDA SABANETA TRONCOS Y LA ESPERANZA, RIO ARIPORO,  REPORTO CREPAD CASANARE Dr BEYER LOPEZ</t>
  </si>
  <si>
    <t>NATAGAIMA</t>
  </si>
  <si>
    <t>SAN LUIS</t>
  </si>
  <si>
    <t>SAN FRANCISCO</t>
  </si>
  <si>
    <t>GIGANTE</t>
  </si>
  <si>
    <t>BOGOTA D.C.</t>
  </si>
  <si>
    <t>CUNDAY</t>
  </si>
  <si>
    <t>GUAYABETAL</t>
  </si>
  <si>
    <t>GUADALAJARA DE BUGA</t>
  </si>
  <si>
    <t>FALAN</t>
  </si>
  <si>
    <t>PALOCABILDO</t>
  </si>
  <si>
    <t>CHAPARRAL</t>
  </si>
  <si>
    <t>GACHETA</t>
  </si>
  <si>
    <t>ACCIDENTE</t>
  </si>
  <si>
    <t>REPORTE DEL CLOPAD. CORREGIMIENTO CAIMAN.</t>
  </si>
  <si>
    <t>REPORTE DEL CLOPAD. COMUNA SIETE BARRIO ESCALABRINI.</t>
  </si>
  <si>
    <t>REPORTE DEL CREPAD. AFETADO CASCO URBANO</t>
  </si>
  <si>
    <t>REPORTE DE LA DEFENSA CIVIL. SECTOR VIA ORIENTAL.</t>
  </si>
  <si>
    <t>BARRIOS LA GLORIA  Y SAN ISIDRO. REPORTE DEL CREPAD. Valor de otros corresponde a 120 tubos de 36"</t>
  </si>
  <si>
    <t>BARRIOS LAS MERCEDES Y SAN MARTIN .EL VALOR DE OTROS CORREPONDE A 120 TUBOS DE 36"</t>
  </si>
  <si>
    <t>REPORTE DEL CREPAD EL VALOR DE OTROS CORRESPONDE A:
25 Rollos Manguera de 1", 
25 Rollos mangueras de 1 1/2, 
150 Unidades Varillas de 1/2", 
400 Unidades Varillas de 3/8", 
1000 Unidades Laminas de zinc de 3 metros</t>
  </si>
  <si>
    <t>CREPAD DE SANTANDER  DR. JORGE GERARDO CONCHA, CORREO ELECTRONICO. APOYO DEL FNC MEDIANTE GIRO DIRECTO AL CLOPAD PARA ADQUISICION DE COMBUSTIBLE.
EL VALOR DE OTROS CORRESPONDE A:
100 Unidades Tuberia presion PVC 1/2 RDE 9*6 mt, 
250 Unidades Tuberia Presion PVC 1/2 13,5*6 mt,
25 Unidades Tuberia Presion PVC 1" rde21*6 mt,
15 Unidades Tuberia Sanitaria 4"*6 mt,
10 Unidades Tuberia Sanitaria 3" *6 mt,
40 Tanques Aereos 500 Lt plastico</t>
  </si>
  <si>
    <t>ACTUALIZACION DEL CLOPAD. VEREDAS PANTANO GRANDE, EL CANEY, TOMA DE AGUA PURNIO Y EL HOBO. EL VALOR DE OTROS CORRESPONDE A 120 TUBOS DE 36"</t>
  </si>
  <si>
    <t>CREPAD DE SANTANDER  DR. JORGE GERARDO CONCHA, CORREO ELECTRONICO. APOYO DEL FNC MEDIANTE GIRO DIRECTO AL CLOPAD PARA ADQUISICION DE COMBUSTIBLE  PARA REHABILITACION DE LA RED VIAL. EL VALOR DE OTROS CORRESPONDE A 120 TUBOE DE 36"</t>
  </si>
  <si>
    <t>APOYO DEL FNC MEDIANTE GIRO DIRECTO AL CLOPAD PARA ALQUILER DE MAQUINARIA PARA REHABILITACION DE LAS VIAS</t>
  </si>
  <si>
    <t>COLAPSO DE ALCANTARILLADO, AFECTANDO LA COMUNIDAD, INFORMO CREPAD DE CUNDINAMARCA, SR. ALEXANDER PIÑEROS, CORREO ELECTRONICO</t>
  </si>
  <si>
    <t>INSPECCIÒN: PRADERA, AVALANCHA DEL RIO SUBACHOQUE, INFORMO CREPAD DE CUNDINAMARCA, SR. ALEXANDER PIÑEROS, CORREO ELECTRONICO</t>
  </si>
  <si>
    <t>KM 1 + 400, VIA VILLETA, SECTOR LA MAGDALENA, FIRMA CONTRATISTA GALVIZ FRACASSIS DEL ICCU, ADELANTABA EXCAVACIONES PARA LA CONSTRUCCIÒN DE UN MURO DE CONTENCIÒN EL CUAL SE DESLIZO</t>
  </si>
  <si>
    <t>INCENDIO ESTRUCTURAL, EN EL BARRIO: SABOYA, SECTOR DE LA SELVA, INFORMO CREPAD DE CUNDINAMARCA, SR. ALEXANDER PIÑEROS, CORREO ELECTRONICO.</t>
  </si>
  <si>
    <t>DESBORDAMIENTO DEL RIO CESAR, CORREGIMIENTO: SANTA CECILIA, INFORMO CREPAD DEL CESAR DR. AMAURY ARROYO, VIA AVANTEL</t>
  </si>
  <si>
    <t>BARRIO 12 DE OCTUBRE, FUERTES LLUVIAS, AFECTANDO LA COMUNIDAD.</t>
  </si>
  <si>
    <t>DESLIZAMIENTO EN LAS VÌAS QUE COMUNICAN A CUCUTA CON CHINACOTA, CUCUTA- OCAÑA. INFORMA CREPAD DE NORTE DE SANTANDER, DR. CARLOS ALDEMAR GARCIA, VÌA AVANTEL</t>
  </si>
  <si>
    <t>LLUVIAS Y TORMENTA ELECTRICA, AFECTADOS LOS BARRIOS LA CHINITA Y LA LUZ-INFORMA CLOPAD BARRANQUILLA DR: GUILLERMO SISTORY.</t>
  </si>
  <si>
    <t>VENDAVAL QUE OCASIONO CAIDA DE ARBOL DESTRUYENDO UNA VIVIENDA-EN EL SECTOR LLANO DE LA VIRGEN-INFORMA CREPAD HUILA SR: SIGIFREDO CASTRO</t>
  </si>
  <si>
    <t xml:space="preserve">VENDAVAL,  7 VIVIENDAS AFECTADAS  EN CUBIERTAS, INFORMA CREPAD QUINDIO DR: ARIEL OSPINA. </t>
  </si>
  <si>
    <t>CORREGIMIENTO DE: SAN PABLO, SITIO: PIEDRAS DE MOLER, CAE RAYO SOBRE HOMBRES DE LA BRIGADA 30 DEL   EJERCITO, SE EVACUAN VIA AEREA A DIFERENTES CENTROS ASISTENCIALES, INFORMO CREPAD DE NORTE DESANTANDER, DR. CARLOS ALDEMAR GARCIA, VIA AVANTEL, MINISTERIO DE LA PROTECCIÒN SOCIAL, SR. JOHN VELASQUEZ, 3305071</t>
  </si>
  <si>
    <t>VENDAVAL ACOMPAÑADO DE FUERTES LLUVIAS, AFECTANDO LOS BARRIOS: EL ROCIO, AGUALINDA, SECTORES: CIUDADELA EL ENSUEÑO 5 ETAPA,CARPA TARIMA PRINCIPAL, REPORTA EL CREPAD DEL QUINDIO, DR. ARIEL OSPINA, VÌA CORREO ELÈCTRONICO.</t>
  </si>
  <si>
    <t>COLAPSO DE VIVIENDA EN EL BARRIO: BARLOVENTO, INFORMO D.C.C, SR. ALIRIO CARRILLO 3199000</t>
  </si>
  <si>
    <r>
      <t>EL CLOPAD REPORTA GRAVE AFCTACION VIAL DESTRUCCION DE PUENTES VEREDALES, AFECTACION EN CULTIVOS. VIA SAN JOSE DEL PALMAR - GALAPOS, SECTOR EL TABOR, VIA DEL VALLE SECTOR SINAI, EL CHARCO, VIA SAN JOSE DEL PALMAR, CORREGIMIENTOS DE LA ITALIA Y SAN PEDRO Y VEREDA VALENCIA. VIA VEREDA LA SELVACURUNDO.</t>
    </r>
    <r>
      <rPr>
        <b/>
        <sz val="9"/>
        <rFont val="Arial"/>
        <family val="2"/>
      </rPr>
      <t xml:space="preserve"> APOYO DEL FNC MEDIANTE GIRO DIRECTO AL CLOPAD PARA APOYAR LA ATENCION DE LA EMERGENCIA MEDIANTE OBRAS PARA EL MANEJO E AGUAS Y ESTABILIZACION DE LADERAS.</t>
    </r>
  </si>
  <si>
    <t>AFECTADAS VIAS LATO DE LAS YERBAS - RETIRO, LOMA GRANDE - DESPENSA, GUALOTO - CHURO - TABLON, CEFIRO - CERRO BRONCAZO, BARRIO SAN JOSE - PORTACHUELO - LA LAJA, JIGUAL - LA LAGUNA, JIGUAL - EL LIMON, ALTILLO - EL DIVISO, LOS AGUACATES - LOMA GRANDE. APOYO DEL FNC MEDIANTE GIRO DIRECTO AL CLOPAD PARA ADQUISICION DE COMBUSTIBLE</t>
  </si>
  <si>
    <t>APOYO DEL FNC MEDIANT GIRO DIRECTO AL CLOPAD PARA ALQUILER DE MAQUINARIA Y ADQUISICION DE COMBUSTIBLE PARA LA REHABILITACION VIAL DEL MUNICIPIO.</t>
  </si>
  <si>
    <r>
      <t xml:space="preserve">APOYO CONSISTENTE EN 3000 BIG BAGS Y APOYO PARA MAQUINARIA </t>
    </r>
    <r>
      <rPr>
        <sz val="8"/>
        <rFont val="Arial"/>
        <family val="2"/>
      </rPr>
      <t>RPARACION DE MAQUINARIA EJERCITO 10,000,000 Y ELEMENTOS TASCO .}</t>
    </r>
  </si>
  <si>
    <t>APOYO DEL FNC MEDIANTE GIRO DIRECTO AL CREPAD PARA BOMBA CAÑO ARENA CONSTRUCCION DE SUB ESTACION DE 800 KVA INSTALACION DE TRANSFORMADOR TIPO SECO DE 75 KVA ($358.477.247), BOMBA DIQUE VIEJO CONSTRUCCION DE SUB ESTACION DE 800 KVA INSTALACION DE TRANSFORMADOR TIPO SECO DE 75 KVA ($358,477,247), ALQUILER DE BOMBA Y PLANTA ELECTRICA DURANTE UN MES CON DURACION DE 16 HORAS  PARA CAÑO DE ARENAS Y DIQUE VIEJO ($292.183.490), CONSUMO DE ENERGIA DE BOMBAS ($395.000.000).</t>
  </si>
  <si>
    <t>DERRUMBE INTERNO EN MINA DE CARBÒN, VEREDA: MANAS DEL PADRE, SECTOR: MONTESITOS, INFORMO D.C.C, SR. OSCAR RODRIGUEZ 3199000</t>
  </si>
  <si>
    <t>INCENDIO ESTRUCTURAL POR ESCAPE DE GAS, EN LA VEREDA: MIRAFLORES, INFORMO D.C.C, SR. OSCAR RODRIGUEZ</t>
  </si>
  <si>
    <t>VENDAVAL EN LA VEREDA EL COCO, AFECTO COLEGIO- INTERNADO JOSE EUSTACIO RIVERA, AFECTO LAS INSTALACIONES DEL PLANTEL LAS CLASES ESTABAN SUSPENDIDAS POR ESTÀ RAZÒN NO HUBO PERSONAS AFECTADAS, DESTECHO DEL POLIDEPORTIVO, CAIDA DE ÀRBOLES, PENDIENTE MÀS INFOR</t>
  </si>
  <si>
    <t>EVENTO PRESENTADO EN LOS SECTORES SUCRE OCCIDENTAL, LA MESA, BALSA  ARRIBA, CORDOBA, RESGUARDO, HATO DE  SUSA, TIERRA  DE PAZ. AFECTACION EN 1388 HECTAREAS DE  CULTIVOS.  REPORTE  DE CREPAD BOYACA CORREO ELECTRONICO.</t>
  </si>
  <si>
    <t>EL ACCIDENTE MINERO  SE PRESENTO EN HORAS DE LA  TARDE  DEL LUNES 08/08/2011, EN LA VEREDA  CORONCORO EN LA MINA DE ORO LOS POLLOS. REPORTE  DE  CREPAD ANTIOQUIA DR. GILBERTO MAZO AVANTEL.</t>
  </si>
  <si>
    <t>SECTORES  AFECTADOS  PEÑUELA, LA PALMA, VIJAL, GUAYABAL, CONCORDIA, MONTEREDONDO, HATICO, FLORESTA  Y LIBANO, AFECTACION EN 77 HAS, DE  CULTIVOS DE FRUTALES, MAIZ, FRIJOL Y PASTOS , REPORTE  DE CREPAD BOYACA CORREO ELECTRONICO.</t>
  </si>
  <si>
    <t>SECTORES AFECTADOS  CARRIZALITO, CENTRO, ISLETA, LLANOGRANDE, AGUABLANCA, PRIMAVERA, CAÑAVERAL, UPAL, MORTIÑO. REPORTE  DEL CREPAD BOYACA CORREO ELECTRONICO.</t>
  </si>
  <si>
    <t>EVENTO PRESENTADO EN LOS SECTORES BATAN, BAYETA, PIEDRA  DE  CANDELA, SAN JOSE, CARARE, MOMBITA. AFECTACION EN CULTIVOS DE FRIJOL, AHUYAMA, ARRACACHA, PERA, CIRUELA, LULO, PEPINO, DURAZNO Y PASTOS. REPORTE  DE CREPAD BOYACA CORREO ELECTRONICO.</t>
  </si>
  <si>
    <t>SECTORES AFECTADOS TEGUANEQUE, RINCHOQUE, VOLCAN BLANCO, GUANZAQUE, ROSARIOS, CHIRATA, JARAQUIRA, JOYAGUA, CENTRO. REPORTE  DE  CREPAD BOYACA CORREO ELECTRONICO.</t>
  </si>
  <si>
    <t>VENDAVAL PRESENTADO EN EL CASCO URBANO QUE AFECTO UN CENTRO EDUCATIVO Y COLISEO CUBIERTO DEL MUNICIPIO REPORTE  DE  CREPAD ANTIOQUIA DR. GILBERTO MAZO AVANTEL Y DEFENSA  CIVIL  SR. OSCAR  RODRIGUEZ TEL 3199000</t>
  </si>
  <si>
    <t>VENDAVAL PRESENTADO EN HORAS DE LA MAÑANA EN 5 BARRIOS Y 5 VEREDAS  DEL MUNICIPIO. REPORTE  DE CREPAD ANTIOQUIA DR. GILBERTO MAZO AVANTEL.</t>
  </si>
  <si>
    <t>VENDAVAL, EN LA CABECERA MUNICIPAL DE  ANDAGOYA, QUE PERTENECE AL MPIO DE MEDIO SAN JUAN, CORREGIMIENTO DE PAIMADO, SE INFORMO AL CREPAD PARA LA VERIFICACIÒN RESPECTIVA, PENDIENTE MÀS INFORMACIÒN.</t>
  </si>
  <si>
    <t>INCENDIO ESTRUCTURAL, EN EL BARRIO: BUENOS AIRES PLANO</t>
  </si>
  <si>
    <t>INUNDACION POR LLUVIAS,  BARRIO VILLA MERCEDES AFECTADA LA INSTITUCION EDUCATIVA TECNOLOGICO SALESIANO-INFORMA CREPAD SANTANDER DR: JORGE EDUARDO CONCHA.</t>
  </si>
  <si>
    <t xml:space="preserve">DESLIZAMIENTO PROVOCO CAIDA  DE  ARBOL EN EL  SECTOR  SINAI BARRIO LA  PAZ. RESULTADO UNA MENOR  DE  16 AÑOS HERIDA, NOMBRE ANA LUCIA  HERNANDEZ. REPORTE CREPAD BOLIVAR  DR. DAMIAN OSPINO VIA  AVANTEL. </t>
  </si>
  <si>
    <t>DERRUMBE AL INTERIOR DE LA MINA DE CARBÒN DE NOMBRE: EL CERRO, INFORMO CREPAD DE NORTE DE SANTANDER, DR. CARLOS ALDEMAR GARCIA, VIA AVANTEL</t>
  </si>
  <si>
    <t>FUERTE AGUACERO, AFECTO EL CORREGIMIENTO DE: MARIANGOLA, PENDIENTE MÀS INFORMACIÒN, INFORMO CLOPAD DE VALLEDUPAR DR. JUAN LARA ROJAS, VÌA AVANTEL</t>
  </si>
  <si>
    <t>VENDAVAL EN LA CABECERA MUNICIPAL ANDAGOYA,COMUNIDADES DE PAIMADO, LA RACHA  Y CALLE  FUERTE AFECTANDO EL CENTRO EDUCATIVO DE  NUEVO PAIMADO. REPORTE  DEL CREPAD CHOCO DR. RAFAEL A. BOLAÑOS CORREO ELECTRONICO.</t>
  </si>
  <si>
    <t>FUERTE  VENDAVAL EN LOS BARRIOS EL CABRERO, CUATRO VIENTOS, LA TRINIDAD, SANTA  CECILIA, MANO DE  DIOS, URIBE URIBE, CAIDA  DE  ARBOLES Y POSTES DE  ENERGIA. APOYO DE  BOMBEROS, CRUZ ROJA , DEFENSA  CIVIL. REPORTE  DE  CREPAD SUCRE SR. DANIEL ESQUIVEL CEL</t>
  </si>
  <si>
    <t>AFECTADOS 2300 PUESTOS DE MERCADO</t>
  </si>
  <si>
    <t>APOYO A CAMPO DE LA CRUZ Y PALMAR DE VARELA</t>
  </si>
  <si>
    <t>APOYO PARA LOS MUNCIPIOS DE EL BAGRE, ZARAGOZA , SAN JUAN DE URABA. FIBROCEMENTO NO. 4 Y ZINC NO. 8 CON 2000 GANCHOS Y 2000 AMARRES PARA FIBROCEMNTO Y 3000 AMARRES PARA ZINC</t>
  </si>
  <si>
    <t>LA VIA NACIONAL QUE COMUNICA DE NEIVA AL SUR DEL DEPARTAMENTO A LA ALTURA DEL MUNICIPIO DE HOBO, CRECIENTE DE LA QUEBRADA HOBO CAUSANDO DAÑOS EN EL PUENTE A 1 KM. DEL CASCO URBANO DEL MUNICIPIO REPORTE EL CREPAD</t>
  </si>
  <si>
    <t>DAÑOS EN LA BOCATOMA DEL ACUEDUCTO MUNICIPAL, POR CRECIENTE RIÓ VILLA VIEJA. REPORTE DEL CREPAD.</t>
  </si>
  <si>
    <t>VEREDAS:   PEÑA NEGRA, CHAPAL, PAJONALES, CHORROS DE VIRGINIA Y PARAISO. REPORTE DEL CREPAD.</t>
  </si>
  <si>
    <t>VEREDAS: MONSERRATE, SAN JOSE, SANTA BARBARACERRITOS, AFECTADA VIA UBATE - CARMEN DE CARUPA. REPORTE DEL CREPAD.</t>
  </si>
  <si>
    <t>CONDOMINIO DEL CLUB LA PRADERA DE POTOSI.. DESBORDAMIENTO DEL RIO TEUSACA Y LAS QUEBRADAS GRANADA Y EL ASILO-REALIZAN EDAN REPORT DEL CREPAD</t>
  </si>
  <si>
    <t>VEREDAS TIBITO. DESBORDAMIENTO RIO BOGOTA. REPORTE DEL CREPAD</t>
  </si>
  <si>
    <t>DESLIZAMIENTO EN LA URBANIZACIÓN TUMBI. REPORTE DEL CREPAD</t>
  </si>
  <si>
    <t>VEREDA SAN ANTONIO. REPORTE DL CRREPAD</t>
  </si>
  <si>
    <t>VEREDA  GARAVITO. DESBORDAMIENTO RIO SUAREZ. REPORTE DEL CREPAD</t>
  </si>
  <si>
    <t>VEREDA EL ALMORZADERO
VÍAS TERCIARIAS, QUE COMUNICAN 
A LAS VEREDAS DE ESTE MUNICIPIO CON EL CASCO URBANO. REPORTE DEL CREPAD.</t>
  </si>
  <si>
    <t>CORREGUIMIENTO EL DIAMANTE. REPORTE DEL CREPAD</t>
  </si>
  <si>
    <t>BARRIO EL CARMEN. REPORTE DEL CREPAD.</t>
  </si>
  <si>
    <t>VEREDA GAIDA. CRECIENTE QUEBRADA YAGILGA. REPORTE DEL CREPAD</t>
  </si>
  <si>
    <t>INSPECCIÓN DE SAN ADOLFO. CRECIENTE QUEBRADA GUAYACANA. AFECTADA VIA CASCO URBANO AVEREDA LOS ANGELES. REPORTE DEL CREPAD</t>
  </si>
  <si>
    <t>VEREDAS, TINAJITAS, PALMAR ALTO, LA VEGA CRECIENTES QUEBRADAS CARAGUAJA, LAS TAPIAS Y RIO NEIVA. REPORTE DEL CREPAD</t>
  </si>
  <si>
    <t>BARRIO EL GUAYABAL. CINCO FAMILIAS EVACUADAS. REPORTE DEL CREPAD.</t>
  </si>
  <si>
    <t>ZANJON EL ROSARIO. DESBORDAMIENTO ZANJON, BARRIOS: CIRO VELASCO, LA LUCHA, SACHAMATE, LA ESPERANZA, EL ROSARIO. URBANIZACIÓN RIBERAS DEL ROSARIO. REPORTE DEL CREPAD</t>
  </si>
  <si>
    <t>CASERIO EL MAIZAL, CORREGIMIENTO CANAGUA. SE DESBORDE LA QUEBRADA  LA CHAMBA E INUNDA EL CASERÍO EL MAIZAL DEL CORREGIMIENTO CANANGUÁ. REPORTE DEL CREPAD</t>
  </si>
  <si>
    <t>CORREGIMIENTO CALLEJONES. DESBORDAMIENTO RIO CAUCA. REPORTE DEL CREPAD</t>
  </si>
  <si>
    <t>CATRE</t>
  </si>
  <si>
    <t>,,,,,</t>
  </si>
  <si>
    <t>POCILLO</t>
  </si>
  <si>
    <t>SABANAS</t>
  </si>
  <si>
    <t>DESLIZAMIENTO</t>
  </si>
  <si>
    <t>FECHA TRAMITE ADTIVO</t>
  </si>
  <si>
    <t>REPROTE ACTUALIZADO DEL CRPAD PARA EFECTOS DEL VISOR</t>
  </si>
  <si>
    <t>VEREDA: EL PALMAR. FENOMENO DE REMOSION DE MASA, A CAUSA DE UNA FALLA GEOLOGICA QUE SE VIENE PRESENTANDO DESDE HACE SEIS AÑOS Y QUE SE REACTIVO A MEDIADOS DE ABRIL DEL PRESENTE AÑO, AFECTANDO PROGRESIVAMENTE LAS VIVIENDAS, EL DIA DE HOY SE ENCUENTRAN REALIZANDO UNA VISITA TECNICA POR PARTE DEL CREPAD, SE ESTAN EVACUANDO LAS PERSONAS AL CASCO URBANO Y DONDE FAMILIARES, ESTA INSTALADO UN PMU DONDE SE ESTAN COORDINANDO TODAS LAS ACCIONES A REALIZAR PARA ESTOS CASOS REPORTE DEL CREPAD.</t>
  </si>
  <si>
    <t>VEREDA MAZA. ES NECESARIO LA  REUBICACION  DE LAS FAMILIAS AFECTADAS SEGÚN INFORME TECNICO DE  CORPOGUAVIO. REPROTE DEL CREPAD</t>
  </si>
  <si>
    <t>INSPECCION SAN PEDRO DE  GUAJARAY. REPORTE DEL. REPORTE DEL CREPAD.</t>
  </si>
  <si>
    <t>VEREDA: AMBICA, TRES ESQUINAS EL CAJON. REPORTE DEL CREPAD. CRECIENTE DEL RIO CABRERA, AFECTANDO EL PUENTE PEATONAL QUE COMUNICA CON LAS VEREDAS: TRES ESQUINAS Y EL CAJON, ESTAS VEREDAS PERTENECEN AL MPIO DEL TOLIMA, DEJANDO ESTA POBLACION INCOMUNICADA.</t>
  </si>
  <si>
    <t>CORREGIMIENTOS CERRITOS Y MORELIA   Y ESTACION VILLEGAS. CLOPAD PEREIRA. REPORTE DEL CLOPAD</t>
  </si>
  <si>
    <t>BARRIO: LA MANGA 5 ETAPA, VILLA LUZ. REPORTE DEL CREPAD.</t>
  </si>
  <si>
    <t>ZONA RURAL SECTOR: BAJO SIMACOTA, VEREDA: EL GUAMO, PROVINCIA: MARES. RWEPORE DEL CREPAD</t>
  </si>
  <si>
    <t xml:space="preserve">REPORTE DEL CREPAD </t>
  </si>
  <si>
    <t>ZONA URBANA. REPORTE DE MINPROTECCION SOCIAL</t>
  </si>
  <si>
    <t>CORREGIMIENTO DE CENIZOSO. REPORTE DEL CREPAD.</t>
  </si>
  <si>
    <t>LOCALIDAD DE RAFAEL URIBE. INCENDIO ESTRUCTURAL EN EDIFICIO 5 PISO, DAÑOS MATERIALES POR ESTABLECER. REPORTE DE LA FOPAE</t>
  </si>
  <si>
    <t>TV. 85G CALLE  84 . INCENDIO ESTRUCTURAL QUE  AFECTO 1 VIVIENDA DE 2 PISOS  HERIDOS  TRASLADADOS  AL HOSPITAL SIMON BOLIVAR  Y HOSPITAL SAN JOSE.REPORTE DE MINPROTECCION</t>
  </si>
  <si>
    <r>
      <t>BARRIOS SURBA, BONZA, SAN LORENZO, BECERRAS, SAN ANTONIO, SIRATA,  LIBERTADOR, SANTANDER, COLOMBIA, EL PROGRESO,  EL VATICANO, SOLANO, LA PERRA, LA ESPERANZA.. BARRIOS AVENDAÑOS I Y II, LA PRADERA, QUEBRADA  SIRAS.. SECTOR  PUENTE AREPAS. DESBORDAMIENTO DISTRITO DE RIEGO DEL CHICAMOCHA. REPORTE DEL CREPAD.</t>
    </r>
    <r>
      <rPr>
        <b/>
        <sz val="9"/>
        <rFont val="Arial"/>
        <family val="2"/>
      </rPr>
      <t xml:space="preserve"> APOYO DEL FNC MEDIANTE GIRO DIRECTO AL CLOPAD PARA ALQUILER DE MAQUINARIA Y COMPRA DE COMBUSTIBLE.</t>
    </r>
  </si>
  <si>
    <t>SECTORES ALCAPARRAL, GOTUA, CARTAGENA, CALAVEINAS, TINTAL, MONJAS, SAN CARLOS.. APOYO DEL FNC MEDIANTE GIRO DIRECTO AL CLOPAD PARA COMPRA DE COMBUSTIBLE.</t>
  </si>
  <si>
    <t>CASCO URBANO Y SECTOR  RURAL . REPORTE DEL CREPAD</t>
  </si>
  <si>
    <t>VEREDA NOTUA. REPORTE DEL CREPAD</t>
  </si>
  <si>
    <t>BARRIO SAUZALIN. APOYO DEL FNC MEDIANTE GIRO DIRECTO AL CLOPAD PARA ALQUILER DE MAQUINARIA.</t>
  </si>
  <si>
    <t>SECTORES EL VOLADOR, PALENQUE, PULIDOS, CARRIZAL, PAECES BAJO, SOLERES, FORAQUIRA.. REPORTE DEL CREPAD.</t>
  </si>
  <si>
    <t>CASCO URBANO Y VEREDAS BACOTA, LA ESTANCIA, JUNCAL, PUEBLO VIEJO, TAPIAS, COCUBAL, TINTOBA. VEREDA CHEVA Y VEREDA LA  ESMERALDA. REPORTE DEL CREPAD. EL VALOR DE OTROS CORRESPONDE A ALQUILER DE 30 BAÑOS PORTATILES</t>
  </si>
  <si>
    <t>BARRIOS: COLINAS  ABAJO, CHAPINERO,  GUADALAJARA, PRIMAVERA, EL PALMAR, PORTALES DEL RIO, LA AURORA, LAS FLORESTA, VEREDAS POTRERILLO, Y VEREDA CORALINA. BARRIOS LA  PLAYITA,  EL  PLUMON,  PORTALES, BARRANCA. COLINA BAJA.  Y TERMALES DEL RIO. DESBORDAMIENTO RIIO MONIQUIRA REPORTE DEL CREPAD</t>
  </si>
  <si>
    <t>SECTORES NAZARETH, CHAMEZA, BONSA, CALERAS, CENTRO. REPORTE DEL CREPAD.</t>
  </si>
  <si>
    <t>SECTORES TEJAR  BAJO, CENTRO RURAL, CARBONERA, UVO, POTREROS, LLANO GRANDE APOSENTOS.. APOYO DEL FNC MEDIANTE GIRO DIRECTO AL CLOPAD PARA ADQUICISION DE COMBUSTIBLE, MANTENIMIENTO DE ALCANTARILLAS Y REMOCION DE ESCOMBREOS.</t>
  </si>
  <si>
    <t>CASCO URBANO. ESBORDAMIENTO DEL RIO MAGDALENA Y LA CIENAGA, PENDIENTE MAS INFORMACION. BARRIOS: BRISAS DE BOLIVAR, LA VISTORIA, VEREDAS: PATICO BAJO, SIN ZONA. DEBORDAMIENTO RIO MAGDALENA, REPORTE DEL CREPAD. REPORTE DEL CREPAD.</t>
  </si>
  <si>
    <t>VEREDAS: NARANJITO, SAN ANTONIO, LA CUMBRE. REPORTE DEL CREPAD. AFECTACION EN VIAS  TERCIARIAS DEJAN INCOMUNICADAS LAS VEREDAS  MENCIONADAS.. REPORTE DEL CREPAD.</t>
  </si>
  <si>
    <t>INSPECCION: CORDOBA Y DINDAL DESBORDAMIENTO DEL RIO NEGRO, AFECTANDO LA RED VIAL, UN PUENTE PEATONAL DESTRUIDO. REPORTE DEL CREPAD.</t>
  </si>
  <si>
    <t>CASCO URBANO. CRECIENTE QUEBRADA EL SALADO Y RIO GUAVIO. PUENTE ELISEOREPORTE DEL CREPAD.</t>
  </si>
  <si>
    <t>RED VIAL AFECTADA. REPORTE DEL CREPAD. VEREDA EL RETIRO Y VILLA ALSACIA. REPORTE DEL CREPAD Sr FERNANDO CHACON</t>
  </si>
  <si>
    <t>REPORTE DE LA CREUZ ROJA</t>
  </si>
  <si>
    <t>ZONA RURAL. EL MUNICIPIO SE ENCUENTRA INCOMUNICADO CON LA VIA A  CUCUTA POR 30 DESLIZAMIENTOS, UNA ESCUELA DESTRUIDA. REPROTE DEL CREPAD.</t>
  </si>
  <si>
    <t>BARRIOS: PRADERA ALTA, GAITAN, COLOMBIA,  MARTINIANO PESCADOR GIRALDO. DESBORDAMIENTO Y CRECIENTE DE LA QUEBRADA EL PESCADOR. REPORTE DEL CREPAD</t>
  </si>
  <si>
    <t>BARRIOS: NUEVO AMANECAR, PARAISO. . AFECTADA LA VIA ENTRE LOS SECTORES: EL ARCO Y LA PIEDRA.. REPROTE DEL CREPAD.</t>
  </si>
  <si>
    <t>BARRIOS SAN ISIDROCENTRO, VEREDAS MUÑOCES, MACIEGAL Y SANTO DOMINGO. ACTUALIZACION FENOMENO DE LA  NIÑA 2010-2011, AFECTACION EN 231 HECTAREAS  DE  CULTIVOS DE  PLATANO, CAFÉ, MAIZ, FRIJOL Y YUCA. REPORTE DEL CREPAD.</t>
  </si>
  <si>
    <t>SECTORES COSCUEZ. Y SECTOR SILENCIO. SECTORES QUINTOQUE, SABANECA, PEÑA BLANCA, SIRIGAY, HATO VIEJO. ACTUALIZACION DEL CREPAD</t>
  </si>
  <si>
    <t xml:space="preserve">BARRIOS GUATOQUE, CENTRO, AGUDELO, SALITRILLO, HORNILLAS, DURAZNO, PANTANILLO- APOYO DEL FNC MEDIANTE GIRO DIRECTO AL CLOPAD PARA ALQUILER DE MAQUINARIA Y COMBUISTIBLE.. </t>
  </si>
  <si>
    <t>VEREDAS  CORMECHOQUE, SAN JOSE, TOCAVITA, FIRAYA, TURGA, GUATICHA. REPORTE DEL CREPAD.</t>
  </si>
  <si>
    <t>BARRIOS LA ESTANCIA, EL OSO, EL MORRO, PUEBLO NUEVO,  SAN PEDRO , MOTAVITA. VEREDAS: JABONERA, HATILLO, CHORRERA, LLANO GRANDE, MOLINOS, LA COSTA,PUENTE PINZON. ESPINAL. REPROTE DEL CREPAD</t>
  </si>
  <si>
    <t>CASCO URBANO Y VEREDAS  SAN PEDRO, GUTATAMO, EL MORRO, CHUSVITA. REPORTE DEL CREPAD.</t>
  </si>
  <si>
    <t>VEREDA  CARTAGENA  Y 3 BARRIOS. REPORTE DEL CREPAD.</t>
  </si>
  <si>
    <t>GIRO DIRECTO AL CREPAD PARA ADQUISICION DE COMBUSTIBLE PARA APOYAR PROCESOS DE ATENCION A LA POBLACION AFECTADA POR LA EMERGENCIA TALES COMO TRASLADO DE MATERIALES DE CONSTRUCCION DE ALBERGUES, FAMILIAS A ALBERGUES Y /O RETORNO A MUNICIPIOS.</t>
  </si>
  <si>
    <t>CRECIENTE DE LA QUEBRADA GRANDE. D.C.C                    SR. WILLIAN SARMIENTO 3199000. VIAS EL DOVIO - ROLDANILLO, VIA LA MARIA - LAS VUUELTA, VIA CIELITO - EL ORO,. VIA LA MARIA EL GUADUAL.. BARRIOS: LA MERCED,  MUNICIPAL,  VILLA EMA,  FUNDADORESCALLE 5,  Y CENTRO. DESBORDAMIENTO DE LAS QUEBRADAS: CASTILLO Y GUACHAL. APOYO DEL FNC MEDIANTE GIRO DIRECTO AL CLOPAD PARA LA ADQUISICION DE COMBUSTIBLE Y LUBRICANTES PARA REHABILITACION E VIAS. EL VALOR DE OTROS CORRESPONDE A 46 ESTUFAS</t>
  </si>
  <si>
    <t>EL VALOR DE OTROS CORRESPONDE A 140,000 GANCHOS Y 140,000 AMARRES PARA APOYAR CAMPAÑA "TECHOS SEGUROS"</t>
  </si>
  <si>
    <t xml:space="preserve">ASFECTADAS VIAS LA CARRERA SANTO DOMINGO, RAMIREZ - LA PIÑUELA, LA ESMERALDA - LAGUna de oriente, el llano - la caramanba, el portico - jurisdicciones y cachira - san jose de contadero.. APOYO DEL FNC MEDIANTE GIRO DIRECTO AL CLOPAD PARA ALQUILER DE MAQUINARIA PARA LA RECUPERACION DE LAS VIAS. EL VALOR DE OTROS CORRESPONDE A CEMENTO 500 SACOS, HIERRO DE 3/8" 1700 KILOS, HIERO DE 1/4" 1600 KILOS, BLOQUE NO. 5 3700 UNIDADES, HOJAS DE ZINC DE 3 METROS 550 UNIDADES, CERCA METALICA 3X1/2 DE 6 METROS DE LONGITUD 120 UNIDADES, PUERTA METALICA 2.2 X 1 METRO 10 UNIDADES, MALLA PARA GAVION 80 UNIDADES, MANGUERA PVC DE 3" 50 METROS, TUBO PVC SANITARIO 4" 25 UNIDADES, TUBO PVC DE 3" 25 UNIDADES. </t>
  </si>
  <si>
    <t>REPORTE DEL CREPAD. 500 MALLAS PARA GAVION, 3000 VARILLAS DE ACERO DE REFUERZO DE 3/8 Y 6000 KILOS DE ACERO DE REFUERZO DE 1/4, ZINC DE 3 MTS</t>
  </si>
  <si>
    <t>DESBORDAMIENTO DEL RÌO TACHIRA, EN EL CORREGIMIENTO DE: LA PARADA, INFORMO CREPAD DE NORTE DE SANTANDER, DR. CARLOS ALDEMAR GARCIA, VIA AVANTEL. APOYO DE FNC MEDIANTE GIRO DIRECTO AL CLOPAD PARA OBRAS DE MITIGACION POR FENOMENO DE REMOCION EN MASAEN LA CORONA DEL DESLIZAMIENTO NO. 2 CARRERA 11 ENTRE CALLES 5 N Y 6 N BARRIO ANTONIO NARIÑO.</t>
  </si>
  <si>
    <t>APOYO MEDIANTE EL SUMNISTRO DE 200 RACIONES DE CAMPAÑA  Y SERVICIOS ESPECIALES DE TRANPORTE. PARA LAS LABORES DE BUSQUEDA Y RESCATE DE LA PERSONA  PERDIDA EN EL PARQUE DE LOS NEVADOS</t>
  </si>
  <si>
    <t>CREPAD DE SANTANDER  DR. JORGE GERARDO CONCHA, CORREO ELECTRONICO. APOYO DEL FNC MEDIANTE GIRO DIRECTO AL CLOPAD PARA ADQUISICION DE COMBUSTIBLE PARA REHABILITACION DE LA RED VIAL SECUNDARIA Y TERCIARIA. EL VALOR DE OTROSD CORRESPONDE A 120 TUBOS DE 36"</t>
  </si>
  <si>
    <t>1 ADAPTADOR MACHO PVC 3", 1 NIPLE GALVANIZADO 3", 1 UNIVERSAL HG 3", 1 TEE DE PVC 3"X3"X3" UNION MECANICA, 2 UNION DE REPARACION PVC UNION MECANICA 3", 6 METROS TUBERIA PVC UM 3", 1 CONEXIÓN DE TUBERIA HG 3" A PVC 3", 2 CONEXIÓN DE TUBERIA 6" X 4" SCH 40, 6 TUBERIA ACERO CARBON SCH 40 4", 1 CODO SCH 40 4" CON BRIDA, 4 BRIDA 4", 1 VALVULA CIERRE 4" ACERO CARBONO, 2714 KILOS DE ESTRUCTURA METALICA A.S.T.M</t>
  </si>
  <si>
    <t>ZONA URBANA. REPORTE DEL CREPAD  SECTOR OBREROS DE CRISTO. VEREDAS CORDOBITAS, LA VENTURA, CHICORAL</t>
  </si>
  <si>
    <t>depto</t>
  </si>
  <si>
    <t>EL VALOR DE OTROS CORRESPONDE A SEIS TUBOS DE SUCCION, SEIS VALVULAS DE PIE DE ALUMINIS CON FILTRO, 6 MANGUERAS RECUBIERTAS CON NITRILO PARA EL CUERPO OFICIAL DE BOMBEROS</t>
  </si>
  <si>
    <t xml:space="preserve">AFECTACION EN VIAS SECTORES ALETONES, SN LUIS, SAN ANTONIO DE PADUA, LOS ANGELES,, VEREDAS LA MONA, PUERTO TORRES, CANELITOS, . APOYO DEL FNC MEDIANTE GIRO DIRETO AL CLOPAD PARA ADQUISICION DE COMBUSTIBLES Y ACEITE PARA MAQUINARIA DE PROPIEDAD DEL MUNICIPIO PARA TRABAJOS DE RETIRO Y REMOCION DE DERRUMBEES ASI COMO CUNETEO Y PERFILADO DE LA RED VIAL TERCIARIA  DEL MUNICIPIO </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</si>
  <si>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</si>
  <si>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</si>
  <si>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</si>
  <si>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</si>
  <si>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</si>
  <si>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</si>
  <si>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</si>
  <si>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</si>
  <si>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</si>
  <si>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</si>
  <si>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</si>
  <si>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</si>
  <si>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</si>
  <si>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</si>
  <si>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</si>
  <si>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</si>
  <si>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</si>
  <si>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</si>
  <si>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</si>
  <si>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</si>
  <si>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</si>
  <si>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</si>
  <si>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</si>
  <si>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</si>
  <si>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</si>
  <si>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</si>
  <si>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</si>
  <si>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</si>
  <si>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</si>
  <si>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</si>
  <si>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</si>
  <si>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</si>
  <si>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</si>
  <si>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</si>
  <si>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</si>
  <si>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</si>
  <si>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</si>
  <si>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</si>
  <si>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</si>
  <si>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</si>
  <si>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</si>
  <si>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</si>
  <si>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</si>
  <si>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</si>
  <si>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</si>
  <si>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</si>
  <si>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</si>
  <si>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</si>
  <si>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</si>
  <si>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</si>
  <si>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</si>
  <si>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</si>
  <si>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</si>
  <si>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</si>
  <si>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</si>
  <si>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</si>
  <si>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</si>
  <si>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</si>
  <si>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</si>
  <si>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</si>
  <si>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</si>
  <si>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</si>
  <si>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</si>
  <si>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</si>
  <si>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</si>
  <si>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</si>
  <si>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</si>
  <si>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</si>
  <si>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</si>
  <si>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</si>
  <si>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</si>
  <si>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</si>
  <si>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</si>
  <si>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</si>
  <si>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</si>
  <si>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</si>
  <si>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</si>
  <si>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</si>
  <si>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</si>
  <si>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</si>
  <si>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</si>
  <si>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</si>
  <si>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</si>
  <si>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</si>
  <si>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</si>
  <si>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</si>
  <si>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</si>
  <si>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</si>
  <si>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</si>
  <si>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</si>
  <si>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</si>
  <si>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</si>
  <si>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</si>
  <si>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</si>
  <si>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</si>
  <si>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</si>
  <si>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</si>
  <si>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</si>
  <si>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</si>
  <si>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</si>
  <si>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</si>
  <si>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</si>
  <si>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</si>
  <si>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</si>
  <si>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</si>
  <si>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</si>
  <si>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</si>
  <si>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</si>
  <si>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</si>
  <si>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</si>
  <si>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</si>
  <si>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</si>
  <si>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</si>
  <si>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</si>
  <si>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</si>
  <si>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</si>
  <si>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</si>
  <si>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</si>
  <si>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</si>
  <si>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</si>
  <si>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</si>
  <si>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</si>
  <si>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</si>
  <si>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</si>
  <si>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</si>
  <si>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</si>
  <si>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</si>
  <si>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</si>
  <si>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</si>
  <si>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</si>
  <si>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</si>
  <si>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</si>
  <si>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</si>
  <si>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</si>
  <si>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</si>
  <si>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</si>
  <si>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</si>
  <si>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</si>
  <si>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</si>
  <si>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</si>
  <si>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</si>
  <si>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</si>
  <si>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</si>
  <si>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</si>
  <si>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</si>
  <si>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</si>
  <si>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</si>
  <si>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</si>
  <si>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</si>
  <si>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</si>
  <si>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</si>
  <si>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</si>
  <si>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</si>
  <si>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</si>
  <si>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</si>
  <si>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</si>
  <si>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</si>
  <si>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</si>
  <si>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</si>
  <si>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</si>
  <si>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</si>
  <si>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</si>
  <si>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</si>
  <si>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</si>
  <si>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</si>
  <si>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</si>
  <si>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</si>
  <si>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</si>
  <si>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</si>
  <si>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</si>
  <si>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</si>
  <si>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</si>
  <si>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</si>
  <si>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</si>
  <si>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</si>
  <si>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</si>
  <si>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</si>
  <si>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</si>
  <si>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</si>
  <si>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</si>
  <si>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</si>
  <si>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</si>
  <si>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</si>
  <si>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</si>
  <si>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</si>
  <si>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</si>
  <si>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</si>
  <si>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</si>
  <si>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</si>
  <si>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</si>
  <si>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</si>
  <si>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</si>
  <si>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</si>
  <si>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</si>
  <si>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</si>
  <si>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</si>
  <si>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</si>
  <si>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</si>
  <si>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</si>
  <si>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</si>
  <si>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</si>
  <si>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</si>
  <si>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</si>
  <si>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</si>
  <si>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</si>
  <si>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</si>
  <si>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</si>
  <si>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</si>
  <si>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</si>
  <si>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</si>
  <si>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</si>
  <si>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</si>
  <si>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</si>
  <si>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</si>
  <si>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</si>
  <si>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</si>
  <si>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</si>
  <si>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</si>
  <si>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</si>
  <si>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</si>
  <si>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</si>
  <si>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</si>
  <si>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</si>
  <si>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</si>
  <si>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</si>
  <si>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</si>
  <si>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</si>
  <si>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</si>
  <si>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</si>
  <si>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</si>
  <si>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</si>
  <si>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</si>
  <si>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</si>
  <si>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</si>
  <si>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</si>
  <si>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</si>
  <si>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</si>
  <si>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</si>
  <si>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</si>
  <si>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</si>
  <si>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</si>
  <si>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</si>
  <si>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</si>
  <si>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</si>
  <si>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</si>
  <si>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</si>
  <si>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</si>
  <si>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</si>
  <si>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</si>
  <si>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</si>
  <si>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</si>
  <si>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</si>
  <si>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</si>
  <si>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</si>
  <si>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</si>
  <si>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</si>
  <si>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REPORTE DEL CREPAD. CRECIENTE SUBITA DE LOS RIOS: BITOME Y VILLETA</t>
  </si>
  <si>
    <t>REPORTE DEL CREPAD. CRECIENTE SUBITA Y DESBORDAMIENTO DEL RIO VILLETA</t>
  </si>
  <si>
    <t>REPORTE DEL CREPAD. BARRIOS: MANUEL AGUSTIN, SANTA LILIANA, OBRERO, VEREDA: CALANDAIMA</t>
  </si>
  <si>
    <t>REPORTE DEL CREPAD CRECIENTE SUBITA DE LA QUEBRADA LA VICTORIA. VEREDA: SAN BERNARDO BAJO</t>
  </si>
  <si>
    <t>REPORTE DEL CREPAD. VEREDA FLORIDA</t>
  </si>
  <si>
    <t xml:space="preserve">REPORTE DEL CREPAD. DESBORDAMIENTO DE LOS RIOS: GUACHICONO, PATIA, QUEBRADA: MULATO </t>
  </si>
  <si>
    <t>VIA-CONSACA-YACUANQUER KILOMETRO PR-29+0230-PR-29+0260. PERDIDA TOTAL DE LA BANCA-CERRADO  EL PUENTE LOPEZ PUMAREJO REPORTE DEL CREPAD</t>
  </si>
  <si>
    <t>SECTOR COCUY. REPORTE DEL CLOPAD. CAIDA DE ARNBOL.</t>
  </si>
  <si>
    <t>ZONA URBANA. AFECTADAS LAS VIAS: TERUEL,  YARUMAL Y NATAGA, REPORTE DEL CREPAD</t>
  </si>
  <si>
    <t>CORREGIMIENTOS:  TACA, TABACO RUBIO, CHONES. DEBORDAMIENTI RIO TAPIAS. REPROTE DE LA DEFENSA CIVIL}</t>
  </si>
  <si>
    <t>BARRIOS: LA PLAYA, LA ISLA, CORREGIMIENTO: LA PARADA . DESBORDAMIENTO DEL RIO TACHIRA, AFECTACIÒN EN LOCALES COMERCIALES. REPORTE DEL CREPAD</t>
  </si>
  <si>
    <t>VEREDA: GUANAMA CHIQUITO. REPORTE DEL CREPAD.</t>
  </si>
  <si>
    <t>BARRIO: PUNTA ICACO. DESBORDAMIENTO RIO ISCUANDE. REPORTE DEL CREPAD.</t>
  </si>
  <si>
    <t>MINA DE ESMERALDAS LA PITA- REORTE DEL CREPAD.</t>
  </si>
  <si>
    <t>SECTOR: LA RECEBERA, VEREDA. CARTAGENITA. REPORTE DEL AS DEFENSA CIVIL</t>
  </si>
  <si>
    <t>SECTOR: GAMBOTE, BARRIOS: ABAJO, VALLE DEL TOLDO. DESBORDAMIENTO CANAL DEL DIQUE. REPORTE DEL CREPAD.</t>
  </si>
  <si>
    <t>VEREDAS: BILLAR, PEÑA ROJA, CARMEN I Y II, LA CACHIVERA, YARUMALES, MIRAFLORES, SAN JOSE, LA ESMERALDA, EL DIAMANTE, CATALINA. DESBORDAMIENTO DEL RIO GUAYABERO Y AFLUENTES. REPORTE DEL CREPAD.</t>
  </si>
  <si>
    <t>SECTOR: PUERTO ESPERANZA, VEREDAS: UNION DE LA CAL, LA CAL CUMARAL, MEDELLIN DEL ARIARI. DESBORDAMIENTO Y AVALANCHA DE LOS RIOS: CUMARAL Y LA CAL, EVACUADOS 300 ADULTOS MAYORES A UN INTERNADO, PENDIENTE MAS INFORMACION. REPORTE DEL CREPAD.</t>
  </si>
  <si>
    <t>MINA DE ORO . REPORTE DE LA DEFENS ACIVIL.</t>
  </si>
  <si>
    <t>VEREDAS: PUERTO SALVADOR, SAN JOAQUIN, CACHAMA,PUERTO MIRANDA, EL TRIUNFO,CRAVO TOTUMO, LA PERLA,TAMACAY. DESBORDAMIENTO RIOS CASANARE Y CUSAY. REPORTE DE LA DEFENSA CIVIL</t>
  </si>
  <si>
    <t>VEREDA: LA INDIA. DESBORDAMIENTO DEL RIO CARARE, Y HORTA LAS FAMILIAS FUERON EVACUADAS, ENVIARAN SOLICITUD DE NECESIDADES. REPORTE DEL CREPAD</t>
  </si>
  <si>
    <t>REPORTE DEL CREPAD PARA ACTUALIZAR</t>
  </si>
  <si>
    <t>CREPAD NORTE  DE  SANTANDER  DR. CARLOS ALDEMAR  GARCIA  CEL. 3153386526 DEFENSA  CIVIL SR. OSCAR  RODRIGUEZ TEL 3199000</t>
  </si>
  <si>
    <t>BARRIOS: PESCADITO,9 DE MARZO, VILLA CASTRO, PARAISO, LA CANOA. DESBORDAMIENTO RIO GUATAPURI REPORTE DEL CLOAPD</t>
  </si>
  <si>
    <t>VEREDA: NAZARET. REPORTE DEL CREPAD.</t>
  </si>
  <si>
    <t>VEREDAS: CASA BLANCA, CARDONAL, RINCON SANTO,   EL OLIVO  Y SUSAGUA . REPORTE DE LA DEFENSA CIVIL</t>
  </si>
  <si>
    <t>ZONA URBANA BARRIOS: LAS QUINTAS, VILLA UNIVERSAL, LOS URAPANES, POZO DE DONATO, SOL DE ORIENTE, BOLIVIA, BACHUE. DESBORDAMIENTO DEL RIO LA VEGA Y JORDAN QUINCE BARRIOS AFECTADOS, AFECTADA LA UNIVERSIDAD TECNOLOGICA, LA ESCUELA NORMAL SUPERIOR SANTIAGO DE TUNJA, LA CLINICA DE COOMEVA, SALUDCOOP, PASO RESTRINGIDO EN LA VIA TUNJA- BUCARAMANAGA, TUNJA- DUITAMA PENDIENTE. REPORTE DEL CLOPAD</t>
  </si>
  <si>
    <t>ZONA RURAL Y URBANA. DESBORDAMIENTO RIO MAGDALENA. REPORTE DEL CREPAD.</t>
  </si>
  <si>
    <t>BARRIOS: IBORO I Y II, MERCEDES DE CALABORRA, GUAYMARAL, LORENA, CHILACOS, SANTA ANA . DESBORDAMIENTO DEL RIO FRIO, LAS FAMILIAS AFECTADAS SE HAN EVACUADO AL COLISEO, POLIDEPORTIVO, CENTROS EDUCATIVOS, CONTINUAN CON EL  EDAN.. REPORTE DE LA DEFENSA CIVL.</t>
  </si>
  <si>
    <t>BARRIO: CHURRACO ALTO, SECTOR:  CEMENTERIO. REPORTE DE LA DEFENSA CVIL.</t>
  </si>
  <si>
    <t>LOCALIDAD DE RAFAEL URIBE, BARRIO: RINCON DEL VALLE. REPORTE DE LA DEFENSA CIVIL</t>
  </si>
  <si>
    <t>INSPECCION: LA BALSA. DESBORDAMIENTO QUEBRADA LA FRIA. REPORTE DE LA DEFENSA CIVIL</t>
  </si>
  <si>
    <t>BARRIO: MIS ESFUERZOS REPORTE DE LA DEFENSA CIVIL</t>
  </si>
  <si>
    <t>ZONA URBANA. INUNDACIONES POR DESBORDAMIENTO DE LOS ZANJONES ROSARIO, BARRANCAS Y SAN JUAN DEL MEDIO REPORTE DE LA DEFENSA CIVIL</t>
  </si>
  <si>
    <t>VEREDA: LA UNION. CRECIENTE SUBITA DEL RIO BLANCO. REPORTE DEL CREPAD.</t>
  </si>
  <si>
    <t>VEREDA:  VENTANAS. REPORTE DEL CREPAD</t>
  </si>
  <si>
    <t>VEREDAS GUATANCUY, VUELTA GRANDE, NUEVO FUQUENE E INSPECCION DE CAPELLANIA. INUNDACIONES POR DESBORDAMIENTO DE LA LAGUNA DE FUQUENE, AFECTANDO CULTIVOS DE HORTALIZAS, PASTOS, AFECTADA LA RED VIAL.REPORTE DEL CREPAD</t>
  </si>
  <si>
    <t xml:space="preserve"> VEREDAS: PUERTO BOGOTA Y VEREDA PIEDRAS NEGRAS. DEBORDAMIENTO RIO MAGDALENA. REPORTE DEL CREPAD.</t>
  </si>
  <si>
    <t>VEREDAS: SARGENTO, AGUA PAN. AFECTACION EN RED VIAL. REPORTE DEL CREPAD.</t>
  </si>
  <si>
    <t>VERERA: BARRANDILLAS. DESBORDAMIENTO RIO BOGOTA. REPORTE DEL CREPAD, AFECTADA VIA ZIPAQUIRA BRICEÑO</t>
  </si>
  <si>
    <t>BARRIOS PRIMERO DE MAYO ISLAS RAYADEROS, BARRIGONA PUERTO ROJO. DESBORDAMIENTO RIO MAGDALENA. REPORTE DEL CREPAD.</t>
  </si>
  <si>
    <t>VEREDA EL PARAISO. REPORTE DEL CREPAD</t>
  </si>
  <si>
    <t>VEREDA ANACLETO GARCIA. REPORTE DEL CREPAD</t>
  </si>
  <si>
    <t>COLISEO. REPORTE DEL CREPAD</t>
  </si>
  <si>
    <t>05736</t>
  </si>
  <si>
    <t>08001</t>
  </si>
  <si>
    <t>CTACION EN TECHOSDESBORDAMIENTO DEL RIO SUCIOO REPORTE DEL CREPAD</t>
  </si>
  <si>
    <t>BARRIOS:  EL VERGEL, EL BOSQUE, VILLAS DE GRANADA,RL TRIUNFO. REPORTE DE LA DEFENSA CIVIL. DESBORDAMIENTO RIO ARIARI</t>
  </si>
  <si>
    <t>SECTOR TORTUGAS. REPORTE DEL CREPAD.</t>
  </si>
  <si>
    <t>VEREDA
HORIZONTE. REPORTE DEL CREPAD</t>
  </si>
  <si>
    <t>RIBERAS DEL RIÓ. DESBORDAMIENTO RIO MAGDALENA. REPORTE DEL CREPAD.</t>
  </si>
  <si>
    <t>SECTOR GARABITO. DESLIZAMIENTO VIA GARAGOA - MIRAFLORES. REPORTE DEL CREPAD</t>
  </si>
  <si>
    <t>SECTOR LA NORA KM 10. REPORTE DEL CLOPAD. VIA VILLAVICENCIO - ACACIAS</t>
  </si>
  <si>
    <t>SECTOR LA DOMINGA. FRACTURA DEL JARILLON EN EL SECTOR LA DOMINGA. REPORTE DEL CREPAD.</t>
  </si>
  <si>
    <t>08606</t>
  </si>
  <si>
    <t>REPORTE DEL CREPAD EN REUNION DEL 18 DE ABRIL DE 2011</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</si>
  <si>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</si>
  <si>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</si>
  <si>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</si>
  <si>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</si>
  <si>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</si>
  <si>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</si>
  <si>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</si>
  <si>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</si>
  <si>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</si>
  <si>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</si>
  <si>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</si>
  <si>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</si>
  <si>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</si>
  <si>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</si>
  <si>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</si>
  <si>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</si>
  <si>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</si>
  <si>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</si>
  <si>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</si>
  <si>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</si>
  <si>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</si>
  <si>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</si>
  <si>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</si>
  <si>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</si>
  <si>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</si>
  <si>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</si>
  <si>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VEREDA LA NUBIA, CRECIENTE SUBITA DEL RIO QUINDIO, REPORTO CREPAD QUINDIO Dr. ARIEL OSPINA</t>
  </si>
  <si>
    <t>BARRIO EL BOSQUE, CRA 9  CALLE 12, CRA 11 CON CALLE 15, CALLE 26 CRA  19. AFECTADA LA  PLAZA DE  MERCADO MINORISTA,CAIDA  DE  ARBOLES, VIVIENDAS AFECTADAS  EN SUS TECHOS. REPORTE DELCLOPAD ACTUALIZO Dr ARIEL OSPINA</t>
  </si>
  <si>
    <t>VEREDA MATUSALEN RIO VERDE, DAÑOS EN LA INFRAESTRUCTURA DEL PUENTE PEATONAL RIO VERDE, AFECTACION EN LA VIA RIO VERDE - BARRAGAN, REPORTO CREPAD QUINDIO Dr. ARIEL OSPINA</t>
  </si>
  <si>
    <t xml:space="preserve">SECTOR ESPARTILLAL, FINCA PEDREGALES, REPORTO CREPAD QUINDIO Dr. ARIEL OSPINA </t>
  </si>
  <si>
    <t>VEREDAS DIVISAS, PUERTO GABRIEL, CAMPO ALEGRE, EL PROGRESO Y BALASTRERA,  INUNDACION DEL RIO GUEJAR Y CAÑO GUAPAYA, REPORTO CREPAD META Dra CLARA CARVAJAL</t>
  </si>
  <si>
    <t>SAN ANTONIO, ROBERTO AUGUSTO CALDERON, LAS DELICIAS, LA MARTINICA Y GAITANA, RIO CHIPALO Y RIO CONBEIMA, REPORTO CLOPAD IBAGUE Dr JAIME  ARBEY DIAZ</t>
  </si>
  <si>
    <t>REPORTO CREPAD TOLIMA Dr CESAR AUGUSTO GUTIEREREZ</t>
  </si>
  <si>
    <t>VEREDA VILES, REPORTO CREPAD TOLIMA Dr CESAR AUGUSTO GUTIEREREZ</t>
  </si>
  <si>
    <t>VEREDA COYARCO, ACEVEDO Y GOMEZ, INUNDACION EN LAS VEREDA COYARCO, ACEVEDO Y GOMEZ, HILARCO GUAYAQUIL, MASAS DE INCA, BELLAVISTA, VEREDAS INUNDADAS POR EL RIO MAGDADALENA, REPORTO EL CREPAD TOLIMA Dr CESAR AUGUSTO GUTIERREZ</t>
  </si>
  <si>
    <t>AFECTACION Y PERDIDAS EN CULTIVOS, REPORTO CREPAD TOLIMA Dr CESAR AUGUSTO GUTIERREZ</t>
  </si>
  <si>
    <t>AFECTACION EN LAS VEREDAS LAS DELICIAS, SAN FELIPE, AFECTACION EN LA RED SECUNDARIA ENTRE FALN Y PALOCABILDO - CASABIANCA, REPORTO CREPAD TOLIMA Dr CESAR AUGUSTO GUTIERREZ</t>
  </si>
  <si>
    <t>REPORTO CREPAD TOLIMA Dr CESAR AUGUSTO GUTIERREZ</t>
  </si>
  <si>
    <t>ARMERO</t>
  </si>
  <si>
    <t>VILLARRICA</t>
  </si>
  <si>
    <t>CALI</t>
  </si>
  <si>
    <t>FORTUL</t>
  </si>
  <si>
    <t>BARRIO ECUADOR. REPROTE DEL CREPAD.</t>
  </si>
  <si>
    <t>BARRIO SANTO DOMINGO. REPROTE DE LA DEFENSA CIVIL Y CLOPAD.</t>
  </si>
  <si>
    <t>VEREDAS LA BETULIA, LA SONORA, MARACAIBO. REPROTE DE LA CRUZ ROJA.</t>
  </si>
  <si>
    <t>BARRIO LA SIERRA. REPORTE DEL CREPAD.</t>
  </si>
  <si>
    <t xml:space="preserve">VEREDA PIAMONTE. </t>
  </si>
  <si>
    <t>VIA BUCARAMANMGA - LA COSTA SITIO LA CEIBA. LA VIAS SE ENCUENTRA CERRADA. REPORTE DEL CREPAD.</t>
  </si>
  <si>
    <t>REPORTE DEL CREPAD. BARRIOS TERRANOVA, NOGALES, SERNA DEL SUR, MATECAÑA, TORRE DE SAN MATEO, PLUMON BAJO, LPUMON MEDIO, PLUMON ALTO, VILLA MERCEDES, NACEDEROS, LA INDEPENDENCIA, LENINGRADO, PUERTO CALDAS.</t>
  </si>
  <si>
    <t>VEREDA LA JANIA. REPORTE DEL CREPAD.</t>
  </si>
  <si>
    <t xml:space="preserve">CRECIENTE CAÑO TORCOROMA.CORREGIMIENTO DE MINAS. REPORTE DE CREPAD Y DEFENSA CIVIL. </t>
  </si>
  <si>
    <t>PERDIDA EN CULTIVOS Y ANIMALES DOMESTICOS.</t>
  </si>
  <si>
    <t>UN LOCAL COMERCIAL</t>
  </si>
  <si>
    <r>
      <t>BARRIOS: FLORESTA, GUAMAL, ANGEL RICARDO ACOSTA, 20 DE JULIO, JUAN XXIII, IDEMA, SAN LUIS, OBRERO, CORAZONES, TURBAY, LAS LAJAS. DESBORDAMIENTO DE LAS QUEBRADAS LA PERDIZ, LA SARDINA, RIO HACHA, CAIDA DE UN PUENTE VEHICULAR NACIONAL DEJANDO INCOMUNICADO EL SUR DEL DPTO CON EL INTERIOR DEL PAIS, SE HABILITO ALBERGUE TEMPORAL EN EL COLISEO JUAN VIESSY. REPORTE DEL CREPAD.</t>
    </r>
    <r>
      <rPr>
        <sz val="11"/>
        <rFont val="Arial"/>
        <family val="2"/>
      </rPr>
      <t xml:space="preserve"> apoyo mediante giro directo al clopad para alquiler de maquinaria y combustble</t>
    </r>
  </si>
  <si>
    <t>APOYO DEL FNC MEDIANTE GIRO DIRECTO AL CLOPAD PARA ALQUILER DE MAQUINARIA Y COMBUSTIBLE</t>
  </si>
  <si>
    <t>BARRIOS: VILLA DEL CARMEN, LAS
GAVIOTAS Y EL SECTOR DE LA ESCUELA ANTONIO NARIÑO REPROTE DE BOMBEROS SOLEDAD
659 NO. 8. 290 NO. 6, 33 NO. 4, 200 CABALLETES</t>
  </si>
  <si>
    <t>APOYO PARA LOS COLOMBIANOS UBICADOS EN LA FRONTERA CON VENEZUELA</t>
  </si>
  <si>
    <t>AFECTADOS CULTIVOS DE PLATANO, MAIZ,CACAO,YUCA,ALGODÓN,ARROZ,PAPAYA,GUANABANA,PATILLA</t>
  </si>
  <si>
    <t>RIBERAS DEL RIÓ, COMUNA 1. DESBORDAMIENTO RIO MAGDALENA. REPORTE DEL CREPAD. BARRIOS: ARENAL, LAS PLAYAS, EL DORADO, VICTORIA 1, VICTORIA 2, SAN LUIS</t>
  </si>
  <si>
    <t>VEREDA IROBA. REPORTE DE LA DEFENSA CIVIL</t>
  </si>
  <si>
    <t>BARRIO BOCAPUENTE DESBORDAMIENTO RIO SUAREZ. REORTE DE LA DEFENSA CIVIL</t>
  </si>
  <si>
    <t>ZONA URBANA. REPORTE DE LA DEFENSA CIVIL</t>
  </si>
  <si>
    <t>CONJUNTO RESIDENCIAL LA LOMITA.  ININDADA LA VIA SUBA-COTA-REALIZAN EDAN. REPROTE DE LA DEFENSA CIVIL</t>
  </si>
  <si>
    <t>CORREGIMIENTO EL PLATEADO VEREDA HUECO LINDO. REPORTE DE LA DEFENSA CIVIL</t>
  </si>
  <si>
    <t>VEREDAS: LA PRADERA, ORIENTE Y GARBANZAL Y VIA PRINCIPAL. DESBORDAMIENTO DEL RIO MAGDALENA, AFECTANDO LA RED VIAL. REPORTE DEL CREPAD.</t>
  </si>
  <si>
    <t>SECTOR RURAL. AFECTACION EN 4000 CABEZAS DE GANADO. REPORTE DEL CREPAD.</t>
  </si>
  <si>
    <t>BARRIO EL PESEBRE. DESBORDAMIENTO DE LA QUEBRADA IGUANA, AFECTADA LA IGLESIA Y VARIOS CENTROS COMERCIALES. REPORTE DEL CREPAD.</t>
  </si>
  <si>
    <t>BARRIO LA  ALMEIDA Y EL CENTRO. DESBORDAMIENTO RIO PAMPLONITA, QUEBRADA NAVARRO Y QUEBRADA  AGUABLANCA, CAUSANDO CAOS EN LA  COMUNIDAD QUE SE  ENCONTRABA EN PROCESION . NO LESIONADOS. REPORTE DEL CREPAD. EL VALOR DE OTROS CORRESPONDE A: 50000 BLOQUE, 500 CERCHAS, 6000 AMARRES,1000 MALLA GAVION, 750 KILOS DE ALAMBRE NEGRO, 500 LAZOS, 250 CINTAS DE SEGURIDAD 100 UNIDADES SANITARIAS 250 MAS CUATRO MOTOSIERRASROLLOS DE GEOTEXTIL. REPORTE DEL Crepad</t>
  </si>
  <si>
    <t>SOLICITUD ATENDIDA POSTERIORMENTE</t>
  </si>
  <si>
    <t>ATENDIDO POSTERIORMENTE</t>
  </si>
  <si>
    <t>APOYADO A TRAVES DEL CREPAD</t>
  </si>
  <si>
    <t>ZONAS AFECTADAS BAZAN BOCANA, EL COLON, MIRAMAR. REPORTE DEL CLOPAD</t>
  </si>
  <si>
    <t>REPORTE DELCREPAD</t>
  </si>
  <si>
    <r>
      <t>SECTOR CORDILLERA COUNTRY, LA DON JUANA UN VEHICULO ARRASTRADO CAYO AL RIO PAMPLONITA. SIN OCUPANTES. REPORTE DEL CREPAD. VIAS VEREDA LA SELVA, LA DONJUANA - LA LACHE, BOCHALEMA - EL TALCO- LA CUCHILLA, BOCHALEMA - MIRAFLORES, BOCHALEMA EL PORVENIR - ZARCUTA, EL PORVENIR - EL ESPEJO, BUENAVISTA BAJA - LA POPA, EL RAIZON - CALALUNA - EL SALTO - QUEBRADITAS, PEÑA VIVA - LA CORDILLERA..</t>
    </r>
    <r>
      <rPr>
        <b/>
        <sz val="9"/>
        <rFont val="Arial"/>
        <family val="2"/>
      </rPr>
      <t xml:space="preserve"> APOYO DEL FNC MEDIANTE GIRO DIRECTO AL CLOPAD PARA LA REHABILITACION Y MEJORAMIENTO DE LA RED VIAL TERCIARIA.</t>
    </r>
  </si>
  <si>
    <t>CASCO URBANO Y SECTOR  RURAL. CORREGIMIENTOS SAN FERNANDO, GUARE Y LA TULIA.DESBORDAMIENTO RIO PESCADOR PENDIENTE AFECTACION , REALIZAN EDAN. REPORTE DEL CREPAD</t>
  </si>
  <si>
    <t>SECTOR DIVINO NIÑO, VEREDAS: TIBITA EL CARMEN,  TIBITA CENTRO, TIBITA HATICO, ESPINAL CARRIZAL,  ESPINAL ALIZAL, FARACIA  RETAMO, LA CUBA Y GLORIETA.  REPORTE DEL CREPAD.</t>
  </si>
  <si>
    <t>INUNDACIONES DEL RIO MAGDALENA, ROMPIMIENTO DE JARILLON, INFORMACION CONFIRMADA CON EL CREPAD DEL MAGDALENA, DR. LUIS BARRAZA ESCAMILLA. REPROTE DE LA DEFENSA CIVIL</t>
  </si>
  <si>
    <t>REPORE DEL CREPAD. REALIZAN EDAN</t>
  </si>
  <si>
    <t>VEREDAS: OROFINO, BAJO CEDRAL, LA ESPERANZA, PLAYA RICA, NAPOLES, TOTUI, PUEBLO VANO, EL BRILLANTE, LA CRISTALINA, BARCINAL, EL TABIO, EL YARUMO, CUNDINA, SAN GABRIEL, LA ESMERALDA, PEÑAS BLANCAS. REPORTE DEL CREPAD.</t>
  </si>
  <si>
    <t>BARRIO: PUERTO AMOR, CORREGIMIENTO DE SAN FRANCISCO. DESBORDAMIENTO DE LOS  RIOS: VIOLO, MAGDALENA, CIENAGA DE CHICAGUA.</t>
  </si>
  <si>
    <t>VEREDA: EL BAJO DE LA ALEGRIA- DESBORDAMIENTO DEL ARROYO CHARCO VIEJO. Reporte de la defensa civil</t>
  </si>
  <si>
    <t>BARRIOS: EL MILAGRO, LA LUZ, LA CHINITA, BARRANQUILLITA, VILLA MERCE, BENDICION DE DIOS, MALVINAS, LOS LAURELES, EL GOLFO,  SIMON BOLIVAR Y BAJO CARRIZAL. FUERTES LLUVIAS Y DESBORDAMIENTO DE LOS ARROYOS DON JUAN Y SIMON BOLIVAR, CONTINUAN REALIZANDO EDAN.reporte el clopad</t>
  </si>
  <si>
    <t>PERDIDA E CULTIVOS.</t>
  </si>
  <si>
    <t>BARRIOS: LA FRONTERA, LAS PLAYITAS, EL CEMENTERIO, SERRANIAS, EL EDEN, UNIDO, LAS VEGAS, EL VERGEL. REPORTE EL CREPAS.</t>
  </si>
  <si>
    <t>LOCALIDADES DE: RAFAEL URIBE- URIBE, BOSA, KENNEDY, FONTIBON, BARRIOS: SAN LUIS, DIANA TURBAY, MARCO FIDEL SUAREZ. REPORTE DE LA DEFENS ACIVL</t>
  </si>
  <si>
    <t>BARRIOS: 15 DE AGOSTO, 7 DE AGOSTO, VILLA BONGA. DESBORDAMIENTO DEL ARROYO PLATANAL, REALIZAN EDAN</t>
  </si>
  <si>
    <t>BARRIO: SANTA MARIA. REPORTE DE LA DEFENCA VCIVIL</t>
  </si>
  <si>
    <t>VIA TORIBIO-MINA DE MARMOL. . AVALANCHA DEL RIO ISABELINA DESTRUYO LA VIA TORIBIO-MINA DE MARMOL, ARRASTRO UNA VOLQUETA.PENDIENTE AFECTACION DE OTROS SECTORES. REPORTE DEL CREPAD</t>
  </si>
  <si>
    <t>AFECTADAS LAS INSTALACIONES DE LA ALCALDIA MUNICIPAL DE OCAÑA, DESTRUIDAS LAS OFICINAS DE: JURIDICA, PLANEACION, CONTROL URBANO, Y CLOPAD. REPORTE DEL CREPAD.</t>
  </si>
  <si>
    <t>PERDIDA DE LA BANCA EN EL KILOMETRO 8  CERCA AL PUENTE DEL RIO  NEIVA- CERRADA LA VIA A ALGECIRAS. REORTE DEL CREPAD</t>
  </si>
  <si>
    <t>CORREGIMIENTO: COELLO COCORA, TAPIAS. CRECIENTE DEL RIO COELLO, PENDIENTE AFECTACION DE OTROS SECTORES. REPORTE DEL CREPAD.</t>
  </si>
  <si>
    <t>INSPECCION TOBIACHICA. DESBORDAMIENTO DEL RIO NEGRO</t>
  </si>
  <si>
    <t>VEREDAS EL FINAL, NUIVES, EL SINAL, BOCAS DE ARAUCA, E SOL,COROCITO, BARRANCONES, LA PAYARA, EL TORNO, TODOS LOS SANTOS, CLARINETERO MONSERRATE. . REPORTE DEL CREPAD</t>
  </si>
  <si>
    <t>DESBORDAMIENTO QUEBRADA LA LEONA Y LA ELVIRA VERED A EL ROSAL, ANAIME, EL CHUZO Y PUENTE HIERRO</t>
  </si>
  <si>
    <t>APOYO PARA LOS MUNICIPIS DE ARUCA, ARAUQUITA, SARAVENA , TAME FORTUL</t>
  </si>
  <si>
    <t>APOYO GLOBAL AL DEPARTAMENTO</t>
  </si>
  <si>
    <r>
      <t xml:space="preserve"> DESBORDAMIENTO RIO CAUCA Y RIO ROLDANILLO, REALIZAN EL EDAN. REPORTE DEL CREPAD. BARRIO EL REY, IRRUPA, TIERRABLANCA, PALMAR GUAYABAL, CASCARILLO, CACERES BELGICA. CORREGIMIENTO MORELIA, VEREDA HIGUERON.. </t>
    </r>
    <r>
      <rPr>
        <b/>
        <sz val="9"/>
        <rFont val="Arial"/>
        <family val="2"/>
      </rPr>
      <t>APOYO DEL FNC MEDIANTE GIRO DIRECTO AL CLOPAD PARA ADQUISICION DE COMBUSTIBLE.-</t>
    </r>
  </si>
  <si>
    <r>
      <t xml:space="preserve">BARRIO SENDEROS. </t>
    </r>
    <r>
      <rPr>
        <b/>
        <sz val="9"/>
        <rFont val="Arial"/>
        <family val="2"/>
      </rPr>
      <t>APOYO DEL FNC MEDIANTE TRAMITE ANTE AL BANCO AGRARIO PARA QUINCE FAMILIAS DURANTE SEIS MESES.</t>
    </r>
  </si>
  <si>
    <t>SANTA ROSITA.SECTOR URBANO PUENTE CASUCASGO.</t>
  </si>
  <si>
    <t>CRA 5 No. 5-32. CRECIENTE  DEL RIO LEJOS FAMILIA EVACUADA REPROTE DEL CREPAD.</t>
  </si>
  <si>
    <t>BARRIO SANTA  ELENA . REPORTE DEL CREPAD.</t>
  </si>
  <si>
    <t>KM 5 SECTOR  LOS CHORROS. DESLIZAMIENTO QUE  DEJA  CERRADA  LA  VIA  CALARCA  - CAJAMARCA EN EL SECTOR  LOS CHORROS (ALTO DE LA  LINEA). REPROTE DEL CREPAD.</t>
  </si>
  <si>
    <t>CORREGIMIENTO  LA MOLANA CRECIENTE RIO ATRATO Y RIO MOLANA. REPORTE DEL CREPAD</t>
  </si>
  <si>
    <t>FAMILIAS SE  ENCUENTRAN AISLADAS  POR  EVENTOS DE  OLA  INVERNAL, ES POSIBLE SE SOLICITE  APOYO  EN TRANSPORTE  AEREO. REPORTE DEL CREPAD</t>
  </si>
  <si>
    <t>CRA  8 CALLE  7 Y 8 . REPORTE DEL CREPAD</t>
  </si>
  <si>
    <t>BARRIOS  URAPANES,  POZO DONATO,  LAS QUINTAS. REPORTE DEL CREPAD</t>
  </si>
  <si>
    <t>BARRIO LAS LOMAS CRA 6 CALLE  38 SUR . REPORTE DE LA DEFENSA CIVIL</t>
  </si>
  <si>
    <t>VEREDAS  BEJUCAL ALTO Y BEJUCAL  BAJO. CRECIENTE QUEBRADA SARDINATA. REPORTE DEL CREPAS</t>
  </si>
  <si>
    <t>VEREDA  SANTA  BARBARA . DESBORDAMEINTO RIO MAGDALENA. REPORTE DEL CREPAD</t>
  </si>
  <si>
    <t>VEREDA  ARENOSO. DESBORDAMIENTO RIO MAGDALENA. REPORTE DEL CREPAD</t>
  </si>
  <si>
    <t>VEREDAS APOSENTOS, AGUASCALIENTES, PUEBLO VIEJO, CHINATA, TILATA BAJO. DESBORDAMEINTO RIO BOGOTA. REPORTE DE LA DEFENSA CIVIL</t>
  </si>
  <si>
    <t>BARRIO CERRO PICO. DESLIZAMIENTO EN LA VIA CUCUTA - ZULIA. REPORTE DEL CLOPAD</t>
  </si>
  <si>
    <t>CORREGIMIENTO SAN FAUSTINO. CRECIENTE DE LA QUEBRADA LA MARGARITA  LA CUAL COLAPSO EL PUENTE DE LA MODELO  QUE COMUNICABA A CÚCUTA CON EL CORREGIMIENTO SAN FAUSTINO EN LA FRONTERA CON VENEZUELA. REPORTE DEL CLOPAD</t>
  </si>
  <si>
    <t>BARRIO SANTO DOMINGO SABIO. REPORTE DE SOCORRO NACIONAL</t>
  </si>
  <si>
    <t>TONA GRAMAL BERLIN,  VEREDA PILGUA, VIA CHISCAPA. REPRESA BERLIN REPORTE TELEFONOCO SECRETARIA DE PLANEACION ADRIANA PORTILLA.</t>
  </si>
  <si>
    <t>CORREGIMIENTO: COSTA RICA   VEREDAS: BREGADEROS, TRAPICHE Y SIETE VEREDAS MAS</t>
  </si>
  <si>
    <t>SECTOR LISBOA. DESLIZAMIENTO EN LA VIA BARRANCA- BUCARAMANGA PENDIENTE AFECTACION.. REPORTE DEL CREPAD. DESLIZAMIENTO EN VIA, ARRASTRO UNA AMBULANCIA Y UN MOTOCICLISTA, 1 VEHICULO DESTRUIDO, TAPONADA LA VIA NACIONAL, PENDIENTE MÀS INFORMACION</t>
  </si>
  <si>
    <t>12 METROS TUBERIA EN CONCRETO DE 24", 150 MTS TUBERIA EN CONCRETO DE 12" 400 MTSANGUERA DE 11/2 UN ROLLO MANGUERA DE 3", 150 MTS MANGUERA DE 1", 200 METROS MANGUERA DE 1/2"</t>
  </si>
  <si>
    <t>VEREDAS CARRIZAL, SAN MIGUEL, COSTA  RICA, PEDREGAL Y OTRAS CRECIENTE RIO CUCUTIILLA. REPORTE DEL CREPAD. GIRO DRECTO PARA LA ADQUISICIÓN DE COMBUSTIBLE.  200 ROLLOS DE MANGUERA DE 1/2 100 ROLLOS DE MANGUER DE 1", 50 ROLLOS DE 11/2 15000 BLOQUES NO. 5 200 MALLAS PARA GAVION</t>
  </si>
  <si>
    <t>BARRIOS: LA VIOLETA, YANACONAS MURILLO, BOLIVAR, JUNIN, LA ISLA, PANDIGUANDO,  PUEBLILLO, CLINICA LA ESTANCIA, TULCAN FACULTAD DE INGENIERIA, HOSPITAL SAN JOSE. DESBORDAMIENTO DEL RIO MOLINOS. REPROTE DEL CREPAD.</t>
  </si>
  <si>
    <t>VEREDA CONTADERO KILOMETRO 93, UN ARBOL CAYO SOBRE UNA VIVIENDA. REPORTE DEL CLOPAD</t>
  </si>
  <si>
    <t>INSPECCION CHINAUTA. UN MENOR DE 5 MESES FUE ARRATRADO POR AGUAS LLUVIAS. REPORTE DEL CREPAD.</t>
  </si>
  <si>
    <t>CUCHARA ACERO</t>
  </si>
  <si>
    <t>CUCHARA MADERA</t>
  </si>
  <si>
    <t>COMENTARIOS</t>
  </si>
  <si>
    <t>MUNICIPIO</t>
  </si>
  <si>
    <t>EVENTO</t>
  </si>
  <si>
    <t>PERSONAS</t>
  </si>
  <si>
    <t>FAMILIAS</t>
  </si>
  <si>
    <t>GUAVIARE</t>
  </si>
  <si>
    <t>SAN JOSE DEL GUAVIARE</t>
  </si>
  <si>
    <t>VILLAVICENCIO</t>
  </si>
  <si>
    <t>AVALANCHA</t>
  </si>
  <si>
    <t>CHIQUINQUIRA</t>
  </si>
  <si>
    <t>CUCAITA</t>
  </si>
  <si>
    <t>DUITAMA</t>
  </si>
  <si>
    <t>GARAGOA</t>
  </si>
  <si>
    <t>COLAPSO</t>
  </si>
  <si>
    <t>JERICO</t>
  </si>
  <si>
    <t>LA VICTORIA</t>
  </si>
  <si>
    <t>PAIPA</t>
  </si>
  <si>
    <t>PUERTO BOYACA</t>
  </si>
  <si>
    <t>QUIPAMA</t>
  </si>
  <si>
    <t>SABOYA</t>
  </si>
  <si>
    <t>SAN MIGUEL DE SEMA</t>
  </si>
  <si>
    <t>VEREDA:PALO GRANDE, SECTOR: LA JULIA, VIA POSADA, ALEMANA - BOQUIA, FINCA LA ARABIA. REPORTE DE MINPROTECCION SOCIAL</t>
  </si>
  <si>
    <t>SECTOR: CAÑADA NEGRA. REPORTE DE LA DEFENSACIVIL</t>
  </si>
  <si>
    <t>BARRIO: SANTO DOMINGO. REPORTE DE LA DEFENSA CIVIL</t>
  </si>
  <si>
    <t>ZONA RURAL. CRECIENTE SUBITA DEL RIO CATATUMBO Y DESBORDAMIENTO DE LAS QUEBRADAS: LA LLANA, BATEA, NARIZ DEL DIABLOREPORTE DEL CREPAD</t>
  </si>
  <si>
    <t>BARRIO: LA PIRAGUA. REPORTE DE LA DEFENSA CIVIL</t>
  </si>
  <si>
    <t>DESBORDAMIENTO DEL RIO CAUCA Y TIMBA. REPORTE DEL CREPAD</t>
  </si>
  <si>
    <t>DESBORDAMIENTO DEL ARROYO: CHINULITO, INFORMO CREPAD DE SUCRE, DR. JOSÈ  NICOLAS VEGA LASTRE. CEL: 3135227358</t>
  </si>
  <si>
    <t>DESLIZAMIENTO EN EL BARRIO LA MARÌA, INUNDACIONES AFECTANDO CULTIVOS DE: YUCA, TABACO, MAIZ, EN LA  URBANIZACIÒN CIUDADELA DE LA PAZ, CORREGIMIENTO DE: LA PEÑA, INFORMO CREPAD DE SUCRE, DR. JOSÈ  NICOLAS VEGA LASTRE. CEL: 3135227358</t>
  </si>
  <si>
    <t>DESBORDAMIENTO DE LOS  ARROYOS: VIEJO, TÌO AGUSTIN, EN LOS BARRIOS: CONCEPCIÒN Y TÌO AGUSTIN, INFORMO CREPAD DE SUCRE, DR. JOSÈ  NICOLAS VEGA LASTRE. CEL: 3135227358</t>
  </si>
  <si>
    <t>VENDAVAL EN EL BARRIO: VILLA ROSA, INFORMO D.C.C, SR. WILLIAM SARMIENTO 3199000</t>
  </si>
  <si>
    <t>DESLIZAMIENTO EN LA VEREDA: CRISTO, INFORMO D.C.C, SR. ALIRIO CARRILLO 3199000</t>
  </si>
  <si>
    <t>ZONA RURAL, AFECTADO UN SECADERO DE CAFÈ,  INFORMO D.C.C, SR. ALIRIO CARRILLO 3199000</t>
  </si>
  <si>
    <t>INUNDACIONES POR AGUAS LLUVIAS, ACOMPAÑADO DE FUERTES VIENTOS EN LOS BARRIOS: SANTA LUCIA, 7 DE MARZO, VILLA B, JUAN VENTITRÈS, SANTANDER, MOJANITA, PANAMA, CORREGIMIENTOS: SAN LUIS, HUERTAS GRANDE, BUENAVISTA, SAN JOSÈ, NUEVO MAMÒN, UNA INSTITUCIÒN EDUCATIVA AFECTADA DE NOMBRE: ELIÈCER ULLOA, ESTACIÒN DE POLICIA AFECTADA, INFORMO CREPAD DE SUCRE, DR. JOSÈ  NICOLAS VEGA LASTRE. CEL: 3135227358</t>
  </si>
  <si>
    <t>DESLIZAMIENTO OCURRIDO EN LA VEREDA  LA ARGELIA , NO HUBO MUERTOS NI HERIDOS REPORTE  DE  DEFENSA  CIVIL SR. WILLIAM SARMIENTO TEL 3199000</t>
  </si>
  <si>
    <t>DIA 08/09/2011 DEBIDO FUERTES  LLUVIAS SE PRESENTO CRECIENTE  DEL RIO CRAVO SUR QUE  DEJO 5 PERSONAS AISLADAS EN EL SECTOR  EL PAJONAL  LAS CUALES FUERON RESCATADAS ILESAS POR  LA  FUERZA AEREA  Y BOMBEROS YOPAL. REPORTE CLOPAD YOPAL DRA. DENYS RUBIELA PE</t>
  </si>
  <si>
    <t>INFORMA LA DOCTORA  EDIT JANETH LENIS. VENDAVAL Y  LLUVIA EN EL MUNICIPIO DE ROSAS DEJANDO 100 FAMILIAS AFECTADAS, 2 ESCULAS Y EL TECHO DE LA  ALCALDIA PARCIALMENTE DAÑADOS, AFECTACION ESPECIALMENTE EN LA VEREDAS LA LAJA Y FLORIDA</t>
  </si>
  <si>
    <t>POR FUERTE VIENTOS Y LLUVIAS FUE AFECTADA EN TECHOS 1 VIVIENDA EN LA VEREDA  SANTA  RITA. REPORTE  CREPAD QUINDIO DRA. MARTHA ISABEL URIBE CEL. 3155912530</t>
  </si>
  <si>
    <t>POR LLUVIAS FUERON AFECTADAS 2 VIVIENDAS EN EL CSCO URBANO DEL MUNICIPIO REPORTA  CREPAD QUINDIO DRA. MARTHA  ISABEL URIBE CEL 3155912530</t>
  </si>
  <si>
    <t xml:space="preserve">EN HORAS DE LA NOCHE SE PRESENTADO FUERTES VIENTOS Y LLUVIAS  AFECTANDO 11 VIVIENDAS  EN LOS BARRIOS COMFENALCO Y LOS TUNJOS DE  IBAGUE. REPORTE  DE  SOCORRO NACIONAL SR. RENE  VELASQUEZ TEL 4376369 </t>
  </si>
  <si>
    <t>DEBIDO A FUERTES VIENTOS Y LLUVIAS RESULTARON AFECTADAS EN SUS TECHOS LAS VIVIENDAS EN EL CASCO URBANO DEL MUNICIPIO. REPORTE  SOCORRO NACIONAL SR. RENE VELASQUEZ TEL 4376369</t>
  </si>
  <si>
    <t>A LAS 17:30 HORAS  SE PRESENTO VENDAVAL Y LLUVIAS QUE DESTECHO 4 VIVIENDAS EN LOS BARRIOS LA VIRGINIA, CAÑAS GORDAS Y PORTAL DE PINARES. REPORTE CLOPAD ARMENIA DR. EDGAR  ARENAS OSPINA CEL 3202400705</t>
  </si>
  <si>
    <t xml:space="preserve">EN LA TARDE DE HOY SE PRESENTO VENDAVAL Y GRANIZADA  EN LA  CIUDAD DE  CALI DONDE  SE  PRODUJO DESTECHO DE  ALGUNAS VIVIENDAS Y CAIDA DE  ARBOLES EN LOS BARRIOS EL CANEY, MARIANO RAMOS, SANLUISITO, ORGANISMOS DE  SOCORRO ADELANTAN CENSOS. REPORTE  CREPAD </t>
  </si>
  <si>
    <t>EL VALOR DE OTROS CORRESPONDE A  2000 GARLANCHAS, 2000 PICAS, 3000 CAPAS, 150 CHALECOS SALVAVIDAS, 9 BOTES, 4 PLANTAS ELECTRICAS, 500 LINTERNAS, 400 GUANTES.</t>
  </si>
  <si>
    <t>EL VALOR DE OTROS CORRESPONDE A 400 PARES DE GUANTES DE CARNAZA</t>
  </si>
  <si>
    <t>REPORTE DEL CREPAD. INSPECCION COSCUEZ. APOYO DEL FNC MEDIANTE GIRO DIRECTO AL CLOPAD PARA MAQUINARIA Y COMBUSTIBLE</t>
  </si>
  <si>
    <t>PERDIDA DE CULTIVOS DE PANCOGER</t>
  </si>
  <si>
    <t>AFECTADA LA RES TERCIARIA, VEREDAS SAN MANUEL, ARRAYANAL, YERBABUENA, SAN ANTONIO, EL HERRERO, LA PALMA, RAMAL, QUINCHITA, SANNAME, HUERTA, PLACITAS, ROBLES, GRANADILLO, POTRERITOS, SAN ISIDRO, LA OLLA, REPORTE DEL CLOPAD PARA ACTUALIZACION DEL VISOR.</t>
  </si>
  <si>
    <t>EL CONTADERO</t>
  </si>
  <si>
    <t>MAGUI PAYAN</t>
  </si>
  <si>
    <t>Centro de acopio de leche ASOPROCOLIDA</t>
  </si>
  <si>
    <t>vias afectadas: El Peñol - La Cuchilla, Torrecilla, Las Cochas, Km 0 + 400, Km 3 + 400, Km 5 + 000 los cuales se encuentran en riesgo por deslizamientos, la cuchilla - Peñol Viejo - Alto Peñol, Km 5 + 650,Trompezon - San Francisco - Guambanga - el Rincon, se encuentran afectados por drenaje insuficiente; Km 7 + 200, Km 5 + 100 riesgo por perdida de la banca, El Peñol - Charguayaco perdida de la banca; El Peñol - las Cochas - Puente Junini se encuentra en deterioro total</t>
  </si>
  <si>
    <t>El reporte corresponde a agricultores</t>
  </si>
  <si>
    <t>2458 AGRICULTORES, Genova - la cuchilla, genova - santa rosa, bordo alto - bordo bajo, la victoria, genova el bohio, san carlos - escuela los molinos, loma del ganado, villa nueva - el hueco hondo, la lupa - villa nueva, santa rosa - san carlos - puente cusillo, el macal, cujacal, el hechal - el alto - villa nueva, los palacios - la florida</t>
  </si>
  <si>
    <t xml:space="preserve">2454 AGRICULTORES, CENTRO EDUCATIVO EL TAMBILLO, BOCATOMA Y VIADUCTO MIRAFLORES, PERDIDA DE 36000 TRUCHAS, 2000 TILAPIAS, </t>
  </si>
  <si>
    <t>AVENIDA CENTENARIO. SECTOR VILLA KEMPIS. REPORTE DEL CREPAD.</t>
  </si>
  <si>
    <t>VEREDA SANTO DOMINGO, REPORTE DE LA DEFENSA CIVIL. REPOTRTE DE LA DEFENSA CIVIL.</t>
  </si>
  <si>
    <t>DESBORDAMIENTO QUEBRADA BOTADERO. BARRIOS ANDALUCIA, MIRAFLORES, CENTRO, OBRERO. REPORTE DEL CREPAD.</t>
  </si>
  <si>
    <t>BARRIO EL JARDIN. REPORTE DEKL CREPAD.</t>
  </si>
  <si>
    <t>VEREDAS SAN ANTONIO, CANDELARIA, SAN JOSE, EL FANZO Y ZONA URBANA. REPORTE DEL CREPAD.</t>
  </si>
  <si>
    <t>VEREDA URIBE. REPORTE DEL SOCORRO NACIONAL Y CREPAD VALLE.</t>
  </si>
  <si>
    <t>REPORTE DE SOCORRO NACIONAL. CORREGIMIENTO LA PAILA</t>
  </si>
  <si>
    <t>AFECTADO OGAR INFANTIL</t>
  </si>
  <si>
    <t>VEREDA LA JUDEA. REPORTO EL CREPAD.</t>
  </si>
  <si>
    <t>BARRIO PABLO VI. REPORTE DEL CREPAD</t>
  </si>
  <si>
    <t>VEREDA LA PALMA. REPROTE DEL CREPAD.</t>
  </si>
  <si>
    <t>REPORTE DEL CREPAD. VEREDA GUAMAL</t>
  </si>
  <si>
    <t>BARRIO EL POZON. REPORTE DEL CRAPD.</t>
  </si>
  <si>
    <t>ZONA URBANA BARRIO LA INDEPENDENCIA ETAPA 4. REPORTE DE LA DEFENSA CIVL</t>
  </si>
  <si>
    <t>CASCO URBANO. REPORTE DE LA DEFENSA CIVIL.</t>
  </si>
  <si>
    <t>CRECIENTE SUBITA QUEBRADA NEGRA, REPORTE DE LA DEFENSA CIVIL</t>
  </si>
  <si>
    <t>AFECTADO PUENTE COLONIAL VIA SANTA MARIA - PALERMO REPORTE DEL CREPAD</t>
  </si>
  <si>
    <t>215 AGRICULTORES, via el rincon - olaya, el rincon - la cierra, la cierra - palermo, esmeraldas - loma pamba, el rincon - claudia, el rosario - el vado, esmeraldas - piedra grande, el rosario - la sierra, perdida bocatoma corregimiento de la cierra, colapso alcantarillado sector el matadero cabecera municipal</t>
  </si>
  <si>
    <t>circumbalar cedros, carmelo, cuatiz, san antonio, cofradia; via boqueron - polideportivo, via floresta - promosion, floresta -. Empalizada, via las mendozas, instituto tecnico promocion social, hogar infantil mis amiguitos de cuatiz</t>
  </si>
  <si>
    <t>vias que conducen a las veredas: san isidro, alto don diego, turbambilla, las juntas, la qubrada, y la via de acceso al casco urbano</t>
  </si>
  <si>
    <t>VIA NEIVA- LA PALTA. DESLIZAMIENTO AFECTADO UN PUENTE VEHICULAR DE NOMBRE: EL COLEGIO. REPORTE DEL CREPAD</t>
  </si>
  <si>
    <t>VEREDA: HATO GRANDE. DESBORDAMIENTO DE LOS RIOS: BOGOTA Y TEUSACA, UN CENTRO EDUCATIVO AFECTADO DE NOMBRE: LA VIOLETA, AFECTACION DE 600 HECTAREAS DE CULTIVOS Y PASTOS. REPROTE DEL CREPAD.</t>
  </si>
  <si>
    <t>SECTOR LA CARO, AUTOPISTA NORTE VIA A GUAIMARAL. CRECIENTE DEL RIO BOGOTA, AFECTADA LA UNIVERSIDAD DE LA SABANA, INSTITUTO INTECI, PARA NIÑOS ESPECIALES, LA AUTOPISTA NORTE TUVO QUE CERRARSE LO MISMO QUE LA VIA A GUAIMARAL, AFECTADOS CULTIVOS Y PASTOS. . REPORTE DEL CREPAD.</t>
  </si>
  <si>
    <t>BARRIOS: CERRO, LA TIGRERA, TUNELES, LA UNIÒN. REPORTE DEL CLOPAD</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</si>
  <si>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</si>
  <si>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</si>
  <si>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</si>
  <si>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</si>
  <si>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</si>
  <si>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</si>
  <si>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</si>
  <si>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</si>
  <si>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</si>
  <si>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</si>
  <si>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</si>
  <si>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</si>
  <si>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</si>
  <si>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</si>
  <si>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</si>
  <si>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</si>
  <si>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</si>
  <si>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</si>
  <si>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</si>
  <si>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</si>
  <si>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</si>
  <si>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</si>
  <si>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</si>
  <si>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</si>
  <si>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</si>
  <si>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</si>
  <si>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</si>
  <si>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</si>
  <si>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</si>
  <si>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</si>
  <si>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</si>
  <si>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</si>
  <si>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</si>
  <si>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</si>
  <si>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</si>
  <si>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</si>
  <si>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</si>
  <si>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</si>
  <si>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</si>
  <si>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</si>
  <si>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</si>
  <si>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</si>
  <si>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</si>
  <si>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</si>
  <si>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</si>
  <si>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</si>
  <si>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</si>
  <si>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</si>
  <si>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</si>
  <si>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</si>
  <si>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</si>
  <si>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</si>
  <si>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</si>
  <si>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</si>
  <si>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</si>
  <si>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</si>
  <si>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</si>
  <si>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</si>
  <si>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</si>
  <si>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</si>
  <si>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</si>
  <si>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</si>
  <si>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</si>
  <si>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</si>
  <si>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</si>
  <si>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</si>
  <si>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</si>
  <si>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</si>
  <si>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</si>
  <si>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</si>
  <si>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</si>
  <si>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</si>
  <si>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</si>
  <si>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</si>
  <si>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</si>
  <si>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</si>
  <si>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</si>
  <si>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</si>
  <si>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</si>
  <si>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</si>
  <si>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</si>
  <si>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</si>
  <si>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</si>
  <si>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</si>
  <si>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</si>
  <si>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</si>
  <si>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</si>
  <si>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</si>
  <si>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</si>
  <si>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</si>
  <si>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</si>
  <si>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</si>
  <si>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</si>
  <si>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</si>
  <si>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</si>
  <si>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</si>
  <si>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</si>
  <si>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</si>
  <si>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</si>
  <si>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</si>
  <si>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</si>
  <si>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</si>
  <si>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</si>
  <si>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</si>
  <si>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</si>
  <si>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</si>
  <si>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</si>
  <si>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</si>
  <si>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</si>
  <si>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</si>
  <si>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</si>
  <si>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</si>
  <si>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</si>
  <si>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</si>
  <si>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</si>
  <si>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</si>
  <si>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</si>
  <si>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</si>
  <si>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</si>
  <si>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</si>
  <si>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</si>
  <si>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</si>
  <si>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</si>
  <si>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</si>
  <si>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</si>
  <si>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</si>
  <si>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</si>
  <si>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</si>
  <si>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</si>
  <si>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</si>
  <si>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</si>
  <si>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</si>
  <si>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</si>
  <si>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</si>
  <si>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</si>
  <si>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</si>
  <si>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</si>
  <si>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</si>
  <si>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</si>
  <si>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</si>
  <si>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</si>
  <si>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</si>
  <si>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</si>
  <si>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</si>
  <si>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</si>
  <si>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</si>
  <si>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</si>
  <si>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</si>
  <si>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</si>
  <si>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</si>
  <si>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</si>
  <si>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</si>
  <si>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</si>
  <si>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</si>
  <si>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</si>
  <si>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</si>
  <si>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</si>
  <si>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</si>
  <si>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</si>
  <si>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</si>
  <si>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</si>
  <si>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</si>
  <si>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</si>
  <si>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</si>
  <si>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</si>
  <si>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</si>
  <si>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</si>
  <si>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</si>
  <si>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</si>
  <si>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</si>
  <si>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</si>
  <si>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</si>
  <si>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</si>
  <si>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</si>
  <si>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</si>
  <si>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</si>
  <si>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</si>
  <si>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</si>
  <si>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</si>
  <si>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</si>
  <si>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</si>
  <si>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</si>
  <si>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</si>
  <si>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</si>
  <si>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</si>
  <si>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</si>
  <si>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</si>
  <si>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</si>
  <si>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</si>
  <si>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</si>
  <si>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</si>
  <si>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</si>
  <si>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</si>
  <si>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</si>
  <si>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</si>
  <si>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</si>
  <si>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</si>
  <si>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</si>
  <si>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</si>
  <si>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</si>
  <si>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</si>
  <si>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</si>
  <si>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</si>
  <si>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</si>
  <si>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</si>
  <si>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</si>
  <si>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</si>
  <si>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</si>
  <si>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</si>
  <si>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</si>
  <si>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</si>
  <si>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</si>
  <si>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</si>
  <si>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</si>
  <si>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</si>
  <si>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</si>
  <si>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</si>
  <si>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</si>
  <si>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</si>
  <si>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</si>
  <si>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</si>
  <si>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</si>
  <si>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</si>
  <si>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</si>
  <si>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</si>
  <si>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</si>
  <si>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</si>
  <si>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</si>
  <si>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</si>
  <si>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</si>
  <si>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</si>
  <si>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</si>
  <si>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</si>
  <si>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</si>
  <si>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</si>
  <si>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</si>
  <si>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</si>
  <si>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</si>
  <si>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</si>
  <si>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</si>
  <si>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</si>
  <si>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</si>
  <si>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</si>
  <si>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</si>
  <si>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</si>
  <si>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</si>
  <si>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</si>
  <si>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</si>
  <si>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</si>
  <si>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</si>
  <si>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</si>
  <si>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</si>
  <si>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</si>
  <si>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</si>
  <si>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</si>
  <si>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</si>
  <si>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</si>
  <si>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</si>
  <si>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</si>
  <si>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</si>
  <si>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</si>
  <si>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</si>
  <si>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</si>
  <si>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</si>
  <si>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</si>
  <si>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</si>
  <si>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</si>
  <si>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</si>
  <si>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</si>
  <si>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</si>
  <si>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</si>
  <si>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</si>
  <si>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</si>
  <si>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</si>
  <si>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</si>
  <si>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</si>
  <si>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</si>
  <si>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</si>
  <si>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</si>
  <si>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</si>
  <si>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</si>
  <si>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</si>
  <si>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</si>
  <si>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</si>
  <si>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</si>
  <si>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</si>
  <si>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</si>
  <si>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</si>
  <si>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</si>
  <si>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</si>
  <si>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</si>
  <si>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</si>
  <si>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</si>
  <si>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REPORTE DEL CLOPAD PARA EFECTOS DEL REGISTRO. APOYO DEL FNC MEDIANTE GIRO DIRECTO AL CLOPAD PARA ALQUILER DE MAQUINARIA Y LIMPIEZA DE ALCANTARILLAS</t>
  </si>
  <si>
    <t>APOYO DEL FNC MEDIANTE GIRO DIRECTO AL CLOPAD PARA ANQUISICION DE COMBUSTIBLE PARA REHABILITACION DE LA RED VIAL</t>
  </si>
  <si>
    <t>APOYO DEL FNC MEDIANTE GIRO DIRETO AL CLOPAD PARA ADQUISICION DE COMBUSTIBLE PARA ADECUACION DE LA MALLA VIAL</t>
  </si>
  <si>
    <t>APOYO DEL FNC MEDIANTE GIRO DIRECTO AL CLOPAD PARA COMPRA DE COMBUSTIBLE, LIMPIEZA Y MANTENIMIENTO DE ALCANTARILLAS Y REMOCION DE ESCOMBROS</t>
  </si>
  <si>
    <t>CASCO URBANO, REPORTE DE DEFENSA CIVL</t>
  </si>
  <si>
    <t>AFECTADO HOSPITAL FEDERICO LLERAS ACOSTA. REPORTE DEL CREPAD.</t>
  </si>
  <si>
    <t>BARRIO CHAPETON. REPROTE DEL CREPAD.</t>
  </si>
  <si>
    <t>CORREGIMEINTO PORVENIR, SECTOR, TALAIGUA NUEVO. REPORTE DE MINPROTECCION SOCIAL</t>
  </si>
  <si>
    <t>BARRIO CANTARITO, MANZANA 5, CASA CINCO REPROTE DEL CREPAD</t>
  </si>
  <si>
    <t>TUQUERRES</t>
  </si>
  <si>
    <t>REPORTE DEL CREPAD. VIAS TUQUERRES - SAN ROQUE, OLAYA - YASCUAL, LA LAGUNA - CHALITALA, CHALITALA - ARRAYANES.</t>
  </si>
  <si>
    <t>REPORTE DELC REPAD.</t>
  </si>
  <si>
    <t>CORREGIMIENTO QUERENAL, VEREDA EL DANUBIO. REPROTE DEL CREPAD.</t>
  </si>
  <si>
    <t>CORREGIMIENTO ALTA GRACIA Y BARRIO CARACOL. REPORTE DEL CLOPAD.</t>
  </si>
  <si>
    <t>ACTUALIZACION DEL CREPAD</t>
  </si>
  <si>
    <t>EXPLOSION DE MINA DE CARBON REPORTE DE LA DEFENSA CIVIL.</t>
  </si>
  <si>
    <t>DESBORDAMIENTO RIO CAUCA. CORREGIMIENTO JUANCHITO, REPORTE DEL CREPAD.</t>
  </si>
  <si>
    <t>SECTOR PRESIDENTE, AFECTADA VIA CENTRAL NORTE TAPONADA EN LOS SECTORES BOGOTÁ - PAMPLONA Y CHITAGA - PRESIDENTE. REPROTE DEL CREPAD</t>
  </si>
  <si>
    <t>TERUEL</t>
  </si>
  <si>
    <t>BARRIOS GUAMAL Y BAJO PRADO. AFECTADS LAS VIAS ALBERTO MENDOZA, LA PANAMERICANA Y LA RUTA 30. REPORTE DEL CREPAD</t>
  </si>
  <si>
    <t>ITAGUI</t>
  </si>
  <si>
    <t>PEÑOL</t>
  </si>
  <si>
    <t>MOMPOS</t>
  </si>
  <si>
    <t>RIO VIEJO</t>
  </si>
  <si>
    <t>SAMACA</t>
  </si>
  <si>
    <t>TUNUNGUA</t>
  </si>
  <si>
    <t>SECTOR LA  PLAYA. FAMILIAS EVACUADAS POR CRECIMIENTO RIO SOGAMOSO. REPORTE DEL CREPAD</t>
  </si>
  <si>
    <t>VEREDA MANI DEL CARDAL. DESBORDAMIENTO QUEBRADA LA CEIBALA AFECTANDO EL ACUEDUCTO. REPORTE DEL CREPAD.</t>
  </si>
  <si>
    <t>BARRIO EL PARAISO. VEREDA LA ELIDA REPORTE DE LA DEFENSA CIVIL Y CREPAD. FAMILIAS EVACUADAS A LA CASA CAMPESINA.</t>
  </si>
  <si>
    <t>BARRIO LA ESPERANZA CALLE  24 CON CRA 9. REPORTE DEL CLOPAD</t>
  </si>
  <si>
    <t>BARRIOS  20 DE JULIO, PRIMERO DE MAYO Y LAS DELICIAS. DESBORDAMIENTO RIO MAGDALENA. REPORTE DEL SOCORRO NACIONAL</t>
  </si>
  <si>
    <t>LAGUNA DE FUQUENE VEREDAS: LA PUNTICA, PUNTO GRANDE, LA ISLA, QUICAGOTA. REPORTE DEL CREPAD. AFECTADA VIA CAPELLANIA - GUACHETA.</t>
  </si>
  <si>
    <t>DESBORDAMIENTO . RIO PAMPLONA. REPORTE DEL CREPAD.</t>
  </si>
  <si>
    <t>A RAIZ DE FUERTES LLUVIAS, AFECTADO EL PALACIO MUNICIPAL, EL CUAL ESTA SIENDO EVACUADO, LA ESCUELA MARIANO OSPINA COLAPSO TOTALMENTE, AFECTADA VIA URBANA SANTA MARIA- ISCALA DAÑO EN LA CAPA ASFALTICA, URBANIZACION SAN NICOLAS INUNDADA, REPORTE DEL CREPAD.</t>
  </si>
  <si>
    <t>VEREDAS: PATA, PIEDRA PINTADA, LA ISLA, EL RINCON, ARENOSO, 20 DE JULIO. DESBORDAMIENTO DEL RIO MAGDALENA, AFECTANDO, CULTIVOS DE: PLATANO, YUCA, CACAO, ALGODÓN, MAIZ, ARROZ, AVES DE CORRAL, SEMOVIENTES. REPORTE DEL CREPAD</t>
  </si>
  <si>
    <t>BARRIO: LAS BRISAS DEL ORIENTE REPORTE DEL CREPAD</t>
  </si>
  <si>
    <t>BARRIO: LA GAITANA. REPORTE DEL CREPAD</t>
  </si>
  <si>
    <t>VEREDAS: GUAYACUNDO, SANTA ROSA. REPORTE DEL CREPAD</t>
  </si>
  <si>
    <t>VEREDAS: LA FLORESTA, FLORES, SAN ISIDRO, DESBORDAMIENTO RIO AVES. REPORTE DEL CREPAD</t>
  </si>
  <si>
    <t>VEREDAS:BOITIVA,LAPLAYA. DESBORDAMIENTO RIO BOGOTA. REPORTE DEL CREPAD</t>
  </si>
  <si>
    <t>VEREDAS:LAS PUERTAS, EL PEÑOL, SIATAMA. REPORTE DEL CREPAD.</t>
  </si>
  <si>
    <t>BARRIOS:PARQUES DE RIO FRIO, ALAMEDA DE RIO FRIO,AVENIDA CARO. AFECTACION EN UN INSTITUTO PARA NIÑOS ESPECIALES LOS CUALES FUERON EVACUADOS, AFECTACION EN VIAS ESTRATO 5, DEJANDO ANEGADAS APROXIMADAMENTE 50 FAMILIAS, POR DESBORDAMIENTO DE LOS RIOS BOGOTA Y FRIO, SE CONFIRMA INFORMACION CON EL CREPAD DE CUNDINAMARCA, REPORTE DEL CREPAD.</t>
  </si>
  <si>
    <t>VEREDA:EL AHOGADO. REPORTE DEL CREPAD.</t>
  </si>
  <si>
    <t>BARRIOS ISLA DEL SOL, METROVIVIENDA, LA CONEJERA, ENGATIVA. INUNDACION POR  LLUVIAS, REBOSE  DE  ALCANTARILLADOS Y DESBORDAMIENTO RIO TUNJUELITO. REPORTE DE LA DEFENSA CIVIL</t>
  </si>
  <si>
    <t>VEREDA  CORINTO - SANTA 
TERESA - SANTA  ANA. REPORTE DEL CREPAD</t>
  </si>
  <si>
    <t>ZONA URBANA. REPORTE DEL CREPAD.</t>
  </si>
  <si>
    <t>LA MIRANDA- EL NUDO - El CONVENIO -
 EL ZURRUMBO - EL NUDO - SAN ANDRES. REPORTE DEL CREPAD</t>
  </si>
  <si>
    <t>Vía PUEBLO RICO 
SANTA CECILIA. REPORTE DEL CREPAD.</t>
  </si>
  <si>
    <t xml:space="preserve">AFECTACION EN TRES BARRIOS. EVACUAN LOS NARANJOS. REPORTE DEL SOCORRO NACIONAL </t>
  </si>
  <si>
    <t>AVALANCHA  DE LOS RIOS OTUN Y CONSOTA  SE  REALIZA EVACUACION DE PARSONAS EN LOS BARRIOS CORTES, SAN FERNANDO, LA PLAYITA, CUBA, NARANJOS Y BUENOS AIRES. INUNDADA UNIVERSIDAD CATOLICA Y 50 VEHICULOS AFECTADOS. REPORTE DEL CREPAD Y SOCORRO NACIONAL.</t>
  </si>
  <si>
    <t>ALUD DE  TIERRA  SOBRE  VIVIENDA, BARRIO JAPON.  PENDIENTE  MAS  INFORMACION . REPORTE DEL SOCORRO NACIONAL.</t>
  </si>
  <si>
    <t xml:space="preserve">ALUD DE TIERRA QUE DEJA AFECTADA UNA  ESCUELA.                      PENDIENTE MÀS INFORMACIÒN REPORTE DEL CREPAD Y SOCORRO NACIONAL. VEREDA CASACUTE, TISQUISIQUE, ESMERALDA, PUERTO PERLA. </t>
  </si>
  <si>
    <t>SAN LUIS DE PALENQUE</t>
  </si>
  <si>
    <t>TAMARA</t>
  </si>
  <si>
    <t>05001</t>
  </si>
  <si>
    <t>05088</t>
  </si>
  <si>
    <t>05380</t>
  </si>
  <si>
    <t>ENGATIVA, BARRIOS UNIDOS, FONTIBON. REPORTE DEL SIRE - FOPAE. EDAN</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</si>
  <si>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</si>
  <si>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</si>
  <si>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</si>
  <si>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</si>
  <si>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</si>
  <si>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</si>
  <si>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</si>
  <si>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</si>
  <si>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</si>
  <si>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</si>
  <si>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</si>
  <si>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</si>
  <si>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</si>
  <si>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</si>
  <si>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</si>
  <si>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</si>
  <si>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</si>
  <si>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</si>
  <si>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</si>
  <si>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</si>
  <si>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</si>
  <si>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</si>
  <si>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</si>
  <si>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</si>
  <si>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</si>
  <si>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</si>
  <si>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</si>
  <si>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</si>
  <si>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</si>
  <si>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EXPLOSION</t>
  </si>
  <si>
    <t xml:space="preserve">M E N A J E S </t>
  </si>
  <si>
    <t>VALOR TOTAL</t>
  </si>
  <si>
    <t>CEMENTO</t>
  </si>
  <si>
    <t>APOYO FONDO NACIONAL DE CALAMIDADES</t>
  </si>
  <si>
    <t>TOLIMA</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</si>
  <si>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</si>
  <si>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</si>
  <si>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</si>
  <si>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</si>
  <si>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</si>
  <si>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</si>
  <si>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</si>
  <si>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</si>
  <si>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</si>
  <si>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</si>
  <si>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</si>
  <si>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</si>
  <si>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</si>
  <si>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</si>
  <si>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</si>
  <si>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</si>
  <si>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</si>
  <si>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</si>
  <si>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</si>
  <si>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</si>
  <si>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PERDIDA DE CULTIVOS</t>
  </si>
  <si>
    <t>BELEN DE UMBRIA</t>
  </si>
  <si>
    <t>SAN MARTIN</t>
  </si>
  <si>
    <t>OCAMONTE</t>
  </si>
  <si>
    <t>BELEN DE LOS ANDAQUIES</t>
  </si>
  <si>
    <t>LA CELIA</t>
  </si>
  <si>
    <t>GUARNE</t>
  </si>
  <si>
    <t>PLASTICO NEGRO</t>
  </si>
  <si>
    <t>JUEGO CUBIERTOS</t>
  </si>
  <si>
    <t>VENDAVAL</t>
  </si>
  <si>
    <t>REPORTE DE LA DEFENSA CIVIL.</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</si>
  <si>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</si>
  <si>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</si>
  <si>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</si>
  <si>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</si>
  <si>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</si>
  <si>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</si>
  <si>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</si>
  <si>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</si>
  <si>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</si>
  <si>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</si>
  <si>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</si>
  <si>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</si>
  <si>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</si>
  <si>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</si>
  <si>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</si>
  <si>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</si>
  <si>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</si>
  <si>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</si>
  <si>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</si>
  <si>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</si>
  <si>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</si>
  <si>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</si>
  <si>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</si>
  <si>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</si>
  <si>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</si>
  <si>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</si>
  <si>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</si>
  <si>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</si>
  <si>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</si>
  <si>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</si>
  <si>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</si>
  <si>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</si>
  <si>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</si>
  <si>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</si>
  <si>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</si>
  <si>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</si>
  <si>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</si>
  <si>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</si>
  <si>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</si>
  <si>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</si>
  <si>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</si>
  <si>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</si>
  <si>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</si>
  <si>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</si>
  <si>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</si>
  <si>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</si>
  <si>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</si>
  <si>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</si>
  <si>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</si>
  <si>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SECTOR URBANO DESBORDAMIENTO DE LAS QUEBRADAS: LA CHOCHA Y SAN MARTIN. REPORTE DE LA DEENSA CIVIL</t>
  </si>
  <si>
    <t>ZONA URBANA  BARRIO 9 DE  ABRIL , OLAYA HERRERA. . FUERTE VENDAVAL, ACOMPAÑADO CON TORMENTA ELÈCTRICA,  EL NOMBRE DE LA PERSONA QUE FALLECIO: SR. ALVARO GODOY OTERO DE 41 AÑOS DE EDAD, QUIEN MURIO POR CAIDA DE RAYO FRENTE AL HOSPITAL DE BOCAGRANDE , CAIDA  DE  ARBOLES EN VARIOS SECTORES  DE  LA  CIUDAD. REPORTE DEL MINISTERIO DE LA PROTECCION SOCIAL</t>
  </si>
  <si>
    <t>CORREGIMIENTO: GUINEO. DESBORDAMIENTO DE LAS QUEBRADAS: GUINEO Y URANGO REPORTE DE LA DEFENSA CIVIL</t>
  </si>
  <si>
    <t>VEREDAS: LA ZARZA, ALTO GRANDE, ATICO MURCA, MURCA. REPORTE DEL CREPAD</t>
  </si>
  <si>
    <t>INCENDIO ESTRUCTURAL EN CASA  DE  ADOBE  Y BAHAREQUE CON PERDIDA DE  ENSERES, NO VICTIMAS ATENDIDO POR  BOMBEROS   TOCAIMA  Y GIRARDOT. CALLE  4  CON CARRERA 5 REPORTE DEL CREPAD</t>
  </si>
  <si>
    <t>BARRIOS: ALFONSO LOPEZ, HORIZONTE,  SAN VICENTE, KENNEDY,  LOS ALAMOS, NIÑO JESUS, EL REPOSO. BUENOS AIRES, LA ESMERALDA,  LAS  MARGARITAS, SIMON BOLIVAR, EL CARAÑO, LA PLAYITA. DESBORDAMIENTO RIO ATRATO, RIO CARAÑO, RIO CABI. REPORTE DE SOCORRO NACIONAL</t>
  </si>
  <si>
    <t>ZONA URBANA. DESBORDAMIENTO RIO ATRATO. REPORTE DE SOCORRO NACIONAL.</t>
  </si>
  <si>
    <t>ZONA URBANA Y RURAL. DESBORDAMIENTO RIO ATRATO. REPORTE DEL SOCORRO NACIONAL</t>
  </si>
  <si>
    <t>BARRIO GALAN. HERIDA  UNA  MENOR  DE  15 AÑOS Y UNA SEÑORA  CON FRACTURA  EN LA  PIERNA  DERECHA QUE  FUERON TRASLADADAS A  CENTROS  ASISTENCIALES. REPORTE DE DGR</t>
  </si>
  <si>
    <t>REPORTE DEL CREPAD. SECTOR CURVA VEREDA SAN JAVIER</t>
  </si>
  <si>
    <t>VIA CHITAGA-PRESIDENTE. UN ARBOL CAYO SOBRE  2 POLICIAS QUE  INSPECCIONABAN EL SECTOR. REPORTE DEL CREPAD</t>
  </si>
  <si>
    <t>VEREDA LA  SECRETA BAJO. REPORTE DE LA DEFENSA CIVIL</t>
  </si>
  <si>
    <t>APOYO DEL FNC MEDIANTE GIRO DIRECTO AL CLOPAD PARA LA REHABILITACION DE LAS VIAS CASADERO DIGANOME CHIRIE, SUSE, SAN ALISAL Y LAJA, CAJO ALTO DE CHIFLAS Y PEREZ, SECTOR GUANE.</t>
  </si>
  <si>
    <t>CRECIENTE RIO PALO. REPORTE SOCORRO NACIONAL. APOYO DEL FNC MEDIANTE GIRO DIRECTO AL CLOPAD PARA COMBUSTIBLE Y MANTENIMEINTO .</t>
  </si>
  <si>
    <t>APOYO DEL FNC MEDIANTE DOS GIROS DIRECTOS AL CREPAD PARA ALQUILER DE MAQUINARIA, COMPRA DE REPUESTOS Y MANO DE OBRA. COMPROMISO POR VALOR DE $1,021,588,560. PRIMER GIRO POR VALOR DE $500.000.000 SEGUNDO GIRO POR $521,588,560</t>
  </si>
  <si>
    <t>REPORTE DE LA DEFENSA CIVIL ZONA URBANA Y RURAL.</t>
  </si>
  <si>
    <t>,</t>
  </si>
  <si>
    <t>APOYO DEL FNC MEDIANTE GIRO DIRECTO AL CLOPAD PARA LIMPIEZA DE ALCANTARILLAS, CUNETAS Y REMOCION DE ESCOMBROS.</t>
  </si>
  <si>
    <t>APOYO DEL FNC MEDIANTE GIRO DIRECTO AL CLOPAD PARA ALQUILER DE MAQUINARIA, MATERIAL DE PRESTAMO Y REUBICACION DE DOS VIVIENDAS.</t>
  </si>
  <si>
    <t>ZONA URBANA. REPORTE DEL CREPAD. APOYO DEL FNC MEDIANTE GIRO DIRECTO AL CLOPAD PARA COMBUSTIBLE, ALQUILER DE MAQUINARIA Y MANTENIMIENTO PARA REHABILITACION DE VIAS.</t>
  </si>
  <si>
    <t>ZONA RURAL VEREDAS: LA CAPILLA, CHORRITOS, MONOS, CAIMALITO, LA PRIMAVERA, EL TIGRE, LA SOMBRE, LA SECRETA, LA MONTOYA, SAN GERARDO, EL CONDOR</t>
  </si>
  <si>
    <t>CORREGIMIENTO: LAS MERCEDES. REPORTE DE LA DEFENSA CIVIL</t>
  </si>
  <si>
    <t>VEREDA SAN ISIDRO. REPORTE DEL CREPAD</t>
  </si>
  <si>
    <t>VEREDAS: LA FLORIDA Y SAN PEDRO. REPORTE DEL CREPAD</t>
  </si>
  <si>
    <t>BARRIOS: ABTON LOPEZ, VILLA ESPERANZA. DESBORDAMIENTO DE LAS QUEBRADAS: EL CHULO, EL TABLON, REPORTE DEL CREPAD</t>
  </si>
  <si>
    <t>DERRUMBE EN MINA DE EXPLOTACION DE CARBON QUEDANDO UN MINERO ATRAPADO, EL CUAL FALLECIO A 70 MTS DE LA BOCAMINA DE NOMBRE: CESAR BUSTOS. REPORTE DEL CREPAD.</t>
  </si>
  <si>
    <t>KM: 12 . REPORTE DEL MINISTERIO DE LA PROTECCION SOCIAL</t>
  </si>
  <si>
    <t>DESBORDAMIENTO DEL RIO ARIARI, REALIZAN EDAN. REPROTE DE LA DEFENSA CIVIL</t>
  </si>
  <si>
    <t>DESBORDAMIENTO DEL RIO GUAVIARE, REALIZAN EDAN. REPORTWE DE LA DEFENSA CIVIL</t>
  </si>
  <si>
    <t>BARRIO: MIRADOR, LA RELIQUIA Y DOCE DE OCTUBRE. REPORTE DE LA CRUZ ROJA. SE EVACUA PREVENTIVAMENTE LA UNIMINUTO</t>
  </si>
  <si>
    <t>SECTOR TANQUES. REPORTE DEL CREPAD</t>
  </si>
  <si>
    <t>REPORTE DEL CREPAD. VIA A GARAGOA</t>
  </si>
  <si>
    <t>VEREDA LA FLORIDA. AFECTACION DE LA COMUNIDAD INDIGENA FLOR DEL MONTE. REPORTE DEL CREPAD RISARALDA</t>
  </si>
  <si>
    <t>VEREDA EL RECREO. REPORTE DEL CREPAD</t>
  </si>
  <si>
    <t>BARRIO BELENCITO BAJO. REPORTE DEL CLOPAD</t>
  </si>
  <si>
    <t>INCENDIO EN CARPINTERIA, SOLO DAÑOS MATERIALES. REPORTE DGR CP. CASTAÑO</t>
  </si>
  <si>
    <t>CORREGIMIENTOS:  PUERTO SANTO, CORRELES, CINTURA,  NUEVA ESPERANZA. DESBORDAMIENTO RIO SAN JORGE. REPORTE DE LA DEFENSA CIVIL</t>
  </si>
  <si>
    <t>ZONA URBANA-RURAL. VEREDA ALTAMIRA, RIO CASANARE, REALIZAN EDAN-DESBORDAMIENTO DEL RIO PAUTO. REPORTE DEL CREPAD</t>
  </si>
  <si>
    <t>VEREDA:  BABUCA, CRECIENTE DE LA QUEBRADA BABUCA, AFECTA FABRICA DE FOSFATOS DEL HUILA REPORTE DEL CREPAD. VEREDAS SAN DIEGO, SANTA BARBARA, SAN CAYETANO AFECTADAS 8 FINCAS, PERDIDA DE CULTIVOS DE PLATANO, YUCA, PAPAYA, 1000 PECES ENTRE ALEVINOS, REPRODUCTORES Y CACHAMAS, 412 SEMOVIENTES,  Y AVES DE CORRAL. ORILLAS DE LOS RÍOS BACHE, MAGDALENA, EVACUDAS VARIAS FAMILIAS</t>
  </si>
  <si>
    <t>BARRIOS: POLICARPA, HENEQUEN, SECTOR DEL PUERTO, CORREGIMIENTOS: LOS POZOS, MAGDALENA, SAN JOSE DEL PURGATORIO. DESBORDAMIENTO DEL RIO MAGDALENA, REALIZAN EDAN. REPORTE DE LA DEFENSA CVIL. REPROTE ACTUALIZADO DEL CRPAD PARA EFECTOS DEL VISOR</t>
  </si>
  <si>
    <t>SECTOR LA FLORIDA, CURVA DEL DIABLO. REPORTE DEL CREPAD.</t>
  </si>
  <si>
    <t>REPORTE DE LA DEFENSA CIVIL. BARRIO OBRERO Y BARRIO HORIZONTE.</t>
  </si>
  <si>
    <t>APOYO DEL FNC MEDIANTE GIRO DIRECTO AL CLOPAD PARA APOYAR LOS TRABAJOS DE CERRAMEINTO DE LAS VIVIENDAS DE INTERES SOCIAL QUE SE VIENEN CONSTRUYENDOPARA LA REUBICACION DE LAS FAMILIAS AFECTADAS POR LAS INUNDACIONES DEL RIO MAGDALENA</t>
  </si>
  <si>
    <t>VEREDAS LIMONAR Y 4 VEREDAS. DESBORDAMIENTO RIO JEREZ. REPORTE DE LA DEFENSA CIVIL</t>
  </si>
  <si>
    <t>VENECIA</t>
  </si>
  <si>
    <t>PUERTO SANTANDER</t>
  </si>
  <si>
    <t>CAJAMARCA</t>
  </si>
  <si>
    <t>NUNCHIA</t>
  </si>
  <si>
    <t>RICAURTE</t>
  </si>
  <si>
    <t>PASTO</t>
  </si>
  <si>
    <t>REPORTE DE LA DEFENSA CIVIL</t>
  </si>
  <si>
    <t>SIBATE</t>
  </si>
  <si>
    <t>SAN PABLO DE BORBUR</t>
  </si>
  <si>
    <t>CHIA</t>
  </si>
  <si>
    <t>TULUA</t>
  </si>
  <si>
    <t>REPORTE DEL CREPAD.</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</si>
  <si>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</si>
  <si>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</si>
  <si>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</si>
  <si>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</si>
  <si>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</si>
  <si>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</si>
  <si>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</si>
  <si>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</si>
  <si>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</si>
  <si>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</si>
  <si>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</si>
  <si>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</si>
  <si>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</si>
  <si>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</si>
  <si>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</si>
  <si>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</si>
  <si>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</si>
  <si>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</si>
  <si>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</si>
  <si>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</si>
  <si>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</si>
  <si>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</si>
  <si>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</si>
  <si>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INFORMACION ACTUALIZADA POR EL CLOPAD</t>
  </si>
  <si>
    <t>EXPLOSION MINA DE PIEDRA. VEREDA LA DANTA REPORTE DEL CREPAD.</t>
  </si>
  <si>
    <t>BARRIO VILLA GLADYS. REPORTE DE LA DEFENSA CIVIL</t>
  </si>
  <si>
    <t>DESBORDAMIENTO RIO CAUCA, CORREGIMIENTO DE BOLOMBOLO. REPORTE DEL CREPAD</t>
  </si>
  <si>
    <t>15 LOCALES</t>
  </si>
  <si>
    <t>BARRIOS LA CASCADA, LA CEDERA, CHICO, RESTREGPO, ROCIO BAJO, VEREDAS MUNDO NUEVO Y SAN LUIS. REPORTE DEL CLOPAD.</t>
  </si>
  <si>
    <t>CASCO URBANO BARRIO LA ESPERANZA, VEREDAS CAMPO ALEGRE, EL PROGRESO, TROCHA 22, LA BALASTRERA. TALANQUERAS, . REPORTE DEL CREPAD.</t>
  </si>
  <si>
    <t>DESBORDAMIENTO RIO SAN LUIS, CORREGIMIENTO SAN LUIS. REPORTE DEL CREPAD.</t>
  </si>
  <si>
    <t>DESBORDAMIENTO RIO ROBLES, RIO TIMBA, RIO QUINIMAYO. CORREGIMIENTOS ROBLES, TIMBA, QUINIMAYO, REPORTE DEL CREPAD</t>
  </si>
  <si>
    <t>DESBORDAMIENTO QUEBRADA EL GUALIN Y RIO LA PAILA. REPORTE DEL CREPAD.</t>
  </si>
  <si>
    <t>BARRIO LA PAZ, REPORTE DEL CREPAD Y LA DEFENSA CIVIL.</t>
  </si>
  <si>
    <t>BARRIO BUENOS AIRES REPORTE DE DEFENSA CIVL.</t>
  </si>
  <si>
    <t>DESBORDAMEITNO RIO MICAY EN CASCO URBANO Y CORREGIMIENTO DE NOAMIT BARRIOS CALLE SAN DIEGO, AVENIDA EL RIO, CALLE SANTANDER, LA POLA, CALLE LA VIRGEN , CALLE SAN FRANCISCO.REPORTE DEL CREPAD. Y LA DEFENSA CVIL.</t>
  </si>
  <si>
    <t>DESBORDAMEINTO QUEBRADA LA HONDA, REPORTE DE DEFENSA CIVIL</t>
  </si>
  <si>
    <t>REPORTE DEL CLOPAD. SECTOR EL POBLADO, BARRIO ALTO LOS SAUCES.</t>
  </si>
  <si>
    <t>SECTOR LA MAGDALENA BARRIOS SAN JERONIMO, VIRGILIO BARCO, LOS OLIVOS, CIUDADELA JUAN ATALAYA, VEREDAS PATIYAL, PUERTO LEON, CORREGIMIENTOS ESPERANZA, PALMAITO. REPORTE DEL CLOPAD Y LA DEFENSA CIVIL.</t>
  </si>
  <si>
    <t>SAN PEDRO</t>
  </si>
  <si>
    <t>LA UNION</t>
  </si>
  <si>
    <t>REPORTE EL CREPAD.</t>
  </si>
  <si>
    <t>BARAYA</t>
  </si>
  <si>
    <t>PAICOL</t>
  </si>
  <si>
    <t>BRICEÑO</t>
  </si>
  <si>
    <t>TELLO</t>
  </si>
  <si>
    <t>SABANA DE TORRES</t>
  </si>
  <si>
    <t>SONSON</t>
  </si>
  <si>
    <t>LA CALERA</t>
  </si>
  <si>
    <t>VALLEDUPAR</t>
  </si>
  <si>
    <t>NEIVA</t>
  </si>
  <si>
    <t>ARJONA</t>
  </si>
  <si>
    <t>AMAZONAS</t>
  </si>
  <si>
    <t>LETICIA</t>
  </si>
  <si>
    <t>MONTENEGRO</t>
  </si>
  <si>
    <t>FECHA RECIBO</t>
  </si>
  <si>
    <t>TOTAL</t>
  </si>
  <si>
    <t>HECTAREAS</t>
  </si>
  <si>
    <t>-</t>
  </si>
  <si>
    <t>GIRO DIRECTO</t>
  </si>
  <si>
    <t>APOYOS EN TRAMITE</t>
  </si>
  <si>
    <t>GRANIZADA</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</si>
  <si>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</si>
  <si>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</si>
  <si>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</si>
  <si>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</si>
  <si>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</si>
  <si>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</si>
  <si>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</si>
  <si>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</si>
  <si>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</si>
  <si>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</si>
  <si>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</si>
  <si>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</si>
  <si>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</si>
  <si>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</si>
  <si>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</si>
  <si>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REPORTE DEL CREPAD</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</si>
  <si>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</si>
  <si>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</si>
  <si>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</si>
  <si>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</si>
  <si>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</si>
  <si>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</si>
  <si>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</si>
  <si>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</si>
  <si>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</si>
  <si>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</si>
  <si>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</si>
  <si>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</si>
  <si>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</si>
  <si>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</si>
  <si>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</si>
  <si>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</si>
  <si>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</si>
  <si>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</si>
  <si>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</si>
  <si>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</si>
  <si>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</si>
  <si>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</si>
  <si>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</si>
  <si>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</si>
  <si>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</si>
  <si>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</si>
  <si>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</si>
  <si>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</si>
  <si>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CORREGIMIENTO  SAN JUANCITO. QUEBRADA LA TIRADORA. REPORTE DEL CREPAD.</t>
  </si>
  <si>
    <t>VEREDA:  SANTA HELENA, ZONA URBANA. REPORTE DEL CREPAD.</t>
  </si>
  <si>
    <t>SECTOR: CHAGUALA. CRECIENTE RIO QUINDIO. REPORTE DEL CREPAD.</t>
  </si>
  <si>
    <t>SECTOR: COCORA. CRECIENTE RIO QUINDIO. REPORTE DEL CREPAD.</t>
  </si>
  <si>
    <t>VEREDA: SANTA LUCIA CORREGIMIENTO BARRAGAN. CRECIENTE DE LA QUEBRADA SANTA LUCIA ARRASTRO UN  CABALLO, UN MENOR FALLECIDO. REPORTE DEL CREPAD.</t>
  </si>
  <si>
    <t>BARRIO: BUENAVISTA. KILOMETRO 86 ANTIGUA VIA BOGOTA-VILLAVICENCIO-CASA NRO. 10. REPORTE DEL CREPAD.</t>
  </si>
  <si>
    <t>SECTOR RURAL. REPORTE DEL CREPAD.</t>
  </si>
  <si>
    <t>AFECTADO SECTOR COMERCIAL.</t>
  </si>
  <si>
    <t>VIA NOVITA- SAL LORENZO. DESLIZAMIENTO EN LA VIA PRINCIPAL DEJANDO EL MPIO INCOMUNICADO, POR VIA TERRESTRE, REPORTE DEL CHOCO</t>
  </si>
  <si>
    <t>LOCALIDAD DE USME, BARRIO: LA FISCALA. DESLIZAMIENTO DE TIERRA, DEJANDO 40 VIVIENDAS EN ALTO RIESGO, LAS CUALES ESTAN SIENDO EVACUADAS POR FOPAE. REPORTE DEL MINISTERIO DE LA PROTECCION SOCIAL.</t>
  </si>
  <si>
    <t>BARRIO: TOCAIMITA DESLIZAMIENTO DE TIERRA, DEJANDO 40 VIVIENDAS EN ALTO RIESGO, LAS CUALES ESTAN SIENDO EVACUADAS POR FOPAE. REPORTE DE MINPROTECCION SOCIAL}</t>
  </si>
  <si>
    <t>VIA FLORENCIA- MORELIA. COLAPSO DE PUENTE VEHICULAR EL EL KM: 8, EL CUAL FUE ARRASTRADO POR EL RIO MOCHILERO</t>
  </si>
  <si>
    <t>VEREDA: MORELIA. REPORTE DEL CREPAD.</t>
  </si>
  <si>
    <t>VEREDA:  ORITOGA. DESBORDAMIENTO DE LA QUEBRADA EL MONO. REPORTE DEL</t>
  </si>
  <si>
    <t>SECTOR FUNDACIÓN. REPORTE DEL CREPAD</t>
  </si>
  <si>
    <t>VEREDA CONDEBLANCO. REPORTE DEL CREPAD</t>
  </si>
  <si>
    <t>VEREDA VILLA ERLINDA. REPORTE DEL CREPAD</t>
  </si>
  <si>
    <t>RIVERIA RIÓ SAN JORGE. REPORTE DEL CREPAD</t>
  </si>
  <si>
    <t>BARRIOS EL CILO, LA FLORIDA , LLANO GRANDE, 100 FAMILIAS, LA DESPENZA Y OLIVARES. REPORTE DEL CREPAD</t>
  </si>
  <si>
    <t>VEREDAS: GUANACAS, TALAUTA, EL HATILLOY MONTE BELLO. REPORTE DEL CREPAD.</t>
  </si>
  <si>
    <t>VEREDA RESGUARDO . REPORTEDEL CREPAD</t>
  </si>
  <si>
    <t>VEREDA HATO GRANDE. REPORTE DEL CREPAD</t>
  </si>
  <si>
    <t>VEREDAS COMPERA BAJA, CABRERA, BARRIO TAO ALTO Y LA VIA PACHO - ZIPAQUIRA SITIO EL CAJERO. REPORTE DEL CREPAD</t>
  </si>
  <si>
    <t>ZONA RURAL, SECTORES DE: LA PAZ, RONCES VALLE. DESBORDAMIENTO RIO ORTEGUAZA. REPORTE DEL CREPAD.</t>
  </si>
  <si>
    <t>CORREGIMIENTO DE JUNTAS. BARRIO AMBALA, 20 DE JULIO VEGA LARGA DESBORDAMIENTO DEL RIÓ COMBEIMA, LA PERSONA FALLECIDAS ES MARIA PASTORA MARIN TUCUARA DE 44 AÑOS  REPORTE DEL CLOPAD.</t>
  </si>
  <si>
    <t>REPROTE DEL CREPAD</t>
  </si>
  <si>
    <t>VEREDA: EL MOSQUITO, REPORTE DEL CREPAD. VEREDAS LA  MANGA, PALOMAS, LA  CALCETA, BARBASCOS SAN ANTONIO, SAN NICOLAS, BRISAS DE  ORIENTE,  LA  VEGA, PLANADAS, RINCON DEL SOLDADO , SACARIMENA</t>
  </si>
  <si>
    <t>DESBORDAMIENTO DEL RIO YUMBO, CAUCA Y ARROYOHONDO. .. LA ALCALDIA DECRETO EMERGENCIA INVERNAL Y URGENCIA MANIFIESTA. REPORTE DEL CREPAD</t>
  </si>
  <si>
    <t>SOLICITUD DE APOYO DEL CREPAD..</t>
  </si>
  <si>
    <t>ZONA RURAL</t>
  </si>
  <si>
    <t>CORREGIMIENTO BARTOLO. LAS VIVIENDAS FUERON EVACUADAS, AFECTADA LA VIA SALAMINA-AGUADAS, PROBLEMAS EN LA CONDUCCION  Y BOCATOMA DEL MUNICIPIO. REPORTE DEL CREPAD</t>
  </si>
  <si>
    <t>ZONA RURAL. AFECTADA LA VIA EN EL SECTOR EL TAMBOR. REPORTE DEL CREPAD</t>
  </si>
  <si>
    <t>ZONA URBANA. REPORTE EDL CREPAD.</t>
  </si>
  <si>
    <t>ZONA URBANA. AFECTADO EL ACUEDUCTO EN LAS LINEAS DE CONDUCCION. CERRADA LA VIA LA MERCED. REPROTE DEL CREPAD.</t>
  </si>
  <si>
    <t>ZONA URBANA-RURAL. REALIZAN EDAN-DESBORDAMIENTO DEL RIO CUSIANA. REPORTE DEL CREPAD</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</si>
  <si>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</si>
  <si>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</si>
  <si>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</si>
  <si>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</si>
  <si>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</si>
  <si>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</si>
  <si>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</si>
  <si>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</si>
  <si>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</si>
  <si>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</si>
  <si>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</si>
  <si>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</si>
  <si>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</si>
  <si>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</si>
  <si>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</si>
  <si>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</si>
  <si>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</si>
  <si>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</si>
  <si>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</si>
  <si>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</si>
  <si>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</si>
  <si>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</si>
  <si>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</si>
  <si>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</si>
  <si>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</si>
  <si>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</si>
  <si>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</si>
  <si>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</si>
  <si>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</si>
  <si>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</si>
  <si>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</si>
  <si>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</si>
  <si>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</si>
  <si>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</si>
  <si>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</si>
  <si>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</si>
  <si>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</si>
  <si>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</si>
  <si>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</si>
  <si>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REPORTE DEL CREPAD. DESBORDAMIENTO RIO CAUCA, BARRIOS EL PROGRESO, SAN CARLOS Y SA ALFONSO LOPEZ. ZONA URBANA Y RURAL. DESBORDAMIENTO DEL RIO CAUCA, ESTAN EVACUANDO TODA LA POBLACION EN LANCHAS, EMERGENCIA QUE SE VIENE PRESENTADO DESDE 15/04/2011. REPORTE DEL MINISTERIO DE LA PROTECCION</t>
  </si>
  <si>
    <t>DEBSORDAMIENTO RIO MAGDALENA BARIIOS ANGARES, PUERTO DOMINGO Y VILLA DEL RIO REPORTE DEL CREPAD.. ZONA RURAL Y URBANA. DESBORDAMIENTO DEL RIO MAGDALENA, PENDIENTE MAS INFORMACION DE SECTORES DONDE NO HAN PODIDO INGRESAR. REPORTE DEL CREPAD.</t>
  </si>
  <si>
    <t>CORREGIMIENTO: CAIMALITO. INUNDACIONES POR FUERTES LLUVIAS, EVACUADAS 9 FAMILIAS A ALBERGES PROVISIONALES. REPORTE DEL CLOPAD</t>
  </si>
  <si>
    <t>CASCO URBANO Y ZONA RURAL. DESBORDAMIENTO RIO CAUCA. REPORTE DEL CREPAD</t>
  </si>
  <si>
    <t>VIA NEIVA-HOBO. CRECIENTE  DE LA  QUEBRADA  HOBO  DESTRUYO EL PUENTE  VEHICULAR  ENTRE  MUNICIPIOS NEIVA Y HOBO DEJANDO INCOMUNICADOS LOS MUNICIPIOS MENCIONADOS REPORTE DEL CREPAD.</t>
  </si>
  <si>
    <t>VEREDA BOCAS DEL CARARE. DESBORDAMIENTO RIO CARARE. REPORTE DE MINPROTECCION</t>
  </si>
  <si>
    <t>VEREDAS MURO AMARILLO, CANADA Y TOTUMO. REPORTE DE LA EFENSA CIVIL</t>
  </si>
  <si>
    <t>VEREDA: DOS QUEBRADAS  BATALLON AYACUCHO. RAYO CAE SOBRE DOS SOLDADOS, AFECTANDOLOS UNO FUE REMITIDO AL  HOSPITAL REPORTE DEL CREPAD.</t>
  </si>
  <si>
    <t>VEREDA: JAUNO. SE PRESENTO PALIZADA EN LA QUEBRADA LA PAJALOSA, QUE SE REPRESO EN EL PUENTE QUE COMUNICA  A PUERTO GUZMAN CON LA VEREDA JAUNO, SE EVACUARON FAMILIAS , PENDIENTE CENSO. REPORTE DE LA DEFENSA CIVIL.</t>
  </si>
  <si>
    <t>BARRIOS: OBRERO, LAS BRISAS, MINUTO DE DIOS. DESBORDAMIENTO RIO ATRATO. REPROTE DE LA CRUZ ROJA.</t>
  </si>
  <si>
    <t>REPORTE DE LA DEFENS ACIVIL.</t>
  </si>
  <si>
    <t>VEREDAS: EL PERI, LA ARGENTINA  INSPECCIONES: SAN PEDRO GUAJARI, LA ESMERALDA,  LOS ALPES. DESBORDAMIENTO DEL RIO GUACAVIA, ESTAS FAMILIAS SE ESTAN EVACUANDO, PENDIENTE MAS INFORMACION. REPORTE DEL CREPAD.</t>
  </si>
  <si>
    <t>ZONA URBANA Y RURAL. DESBORDAMIENTO DEL RIO SAN JORGE, 11 BARRIOS AFECTADOS, 6 VEREDAS AFECTADAS, 27 PUENTES DE MADERA AFECTADOS, 2 PUENTES VEHICULARES AFECTADOS SOBRE LA QUEBRADA SAN ANDRES Y LA QUEBRADA EL ROSARIO, DEJANDO INCOMUNICADA LA ZONA RURAL, 1 PUENTE COLGANTE DESTRUIDO, 1 PLANCHON DESTRUIDO EN EL SECTOR PICA PICA, 1 PUENTE VEHICULAR DESTRUIDO SOBRE LA QUEBRADA JARAMILLO, PENDIENTE MAS INFORMACION. REPORTE DEL CREPAD.</t>
  </si>
  <si>
    <t>DESBORDAMIENTO DEL RIO SAN JORGE. REPORTE DEL MINITERIO DE LA PROTECION SOCIAL Y CREPAD</t>
  </si>
  <si>
    <t>VEREDA: MANI DEL CARDAL. REPORTE DEL CREPAD.</t>
  </si>
  <si>
    <t>SECTOR: HATILLO. REPORTE DEL CREPAD.</t>
  </si>
  <si>
    <t>SECTOR: LA CUCHILLA. INUNDACIONES EN EL SECTOR COMERCIAL, PENDIENTE MAS INFORMACION. REPORTE DEL CREPAD.</t>
  </si>
  <si>
    <t>BARRIO: LA PEDERA. AFECTADO EL HOSPITAL. REPORTE EL CREPAD.</t>
  </si>
  <si>
    <t>SECTOR: MAYORCA, VEREDA: MARIA AUXILIADORA, AFECTADOS LOCALES COMERCIALES, REPORTE DEL CREPAD</t>
  </si>
  <si>
    <t>SECTOR: TRIANON. CRECIENTE DE LA QUEBRADA LA SECA, AFECTANDO EDIFICIOS, APARTAMENTOS , VEHICULOS, PENDIENTE MAS INFORMACION. REPORTE DE LA DEFENSA CIVIL.</t>
  </si>
  <si>
    <t>SECTOR: SALINAS, PUEBLO NUEVO. REPORTE DEL CREPAD</t>
  </si>
  <si>
    <t>SECTOR: HINOJOSA. REPORTE DEL CREPAD.</t>
  </si>
  <si>
    <t>SECTOR: PORROSO, LEON PORROSO. REPORTE DEL CREPAD.</t>
  </si>
  <si>
    <t>SECTOR RINCON DE POMPEYA VEREDA ARRAYANES. DESBORDAMIENTO DEL RIO GUAYURIBA. AFECTACION EN CULTIVOS  DE PLATANO, YUCA, ARROZ ,CACAO Y PASTOS. REPORTE DEL CLOPAD</t>
  </si>
  <si>
    <t>BARRIO PRIMERO DE OCTUBRE  Y VEREDAS: EL LIMON, EL BARRANCON BAJO, PUERTO COLOMBIA, PLAYA NUEVA, PUERTO TOLIMA, EL EDEN, LA FUGA, LOS CAMBULOS, BUENAVISTA II,  PUERTO ARTURO. BOCAS DEL GUAYABERO, PUERTO NUEVO, CHAUPA Y SANTA  ROSA . DESBORDAMIENTO RIO GUAVIARE, LA  VIVIENDA  DESTRUIDA  FUE  EN EL BARRIO PRIMERO DE OCTUBRE. ALGUNAS FAMILIAS HAN SIDO EVACUADAS A ALBERGUES CONSTRUIDOS  CON MADERA  Y PLASTICO. PENDIENTE MAS INFORMACION. REPORTE DEL CLOAPD.. apoyo mediante giro directo al clopad para adquisicion de combustible PARA EVACUACION DE PERSONAS Y ANIMALES.</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</si>
  <si>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</si>
  <si>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</si>
  <si>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</si>
  <si>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</si>
  <si>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</si>
  <si>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</si>
  <si>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</si>
  <si>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</si>
  <si>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</si>
  <si>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</si>
  <si>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</si>
  <si>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</si>
  <si>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</si>
  <si>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</si>
  <si>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</si>
  <si>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</si>
  <si>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</si>
  <si>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</si>
  <si>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</si>
  <si>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</si>
  <si>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</si>
  <si>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</si>
  <si>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</si>
  <si>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</si>
  <si>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</si>
  <si>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</si>
  <si>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</si>
  <si>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</si>
  <si>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</si>
  <si>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</si>
  <si>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</si>
  <si>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</si>
  <si>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</si>
  <si>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</si>
  <si>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</si>
  <si>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</si>
  <si>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</si>
  <si>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</si>
  <si>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</si>
  <si>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</si>
  <si>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</si>
  <si>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</si>
  <si>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</si>
  <si>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</si>
  <si>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</si>
  <si>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</si>
  <si>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</si>
  <si>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</si>
  <si>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</si>
  <si>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</si>
  <si>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</si>
  <si>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</si>
  <si>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</si>
  <si>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</si>
  <si>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</si>
  <si>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</si>
  <si>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</si>
  <si>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</si>
  <si>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</si>
  <si>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VEREDAS MATA DE GUADUA, NUEVO TRIUNFO, ISLA HERMOSA, 12 DE OCTUBRE, CAMPO ALEGRE, SAN FRANCISCO, CORREGIMIENTO PUEBLO NUEVO. DESBORDAMIENTO RIO MAGDALENA. REPORTE DEL CREPAD</t>
  </si>
  <si>
    <t>CORREGIMIENTO TERRAPLEN, PUERTO CULTO, PITA LIMON. DESBORDAMIENTO RIO MAGDALENA. REPORTE DEL CREPAD</t>
  </si>
  <si>
    <t>SECTORES PUERTO PATIÑO, PUERTO MOSQUITO, BARRANCA LEBRIJA, LOMA DE CORREDOR. DESBORDAMIENTO RIO MAGDALENA. REPORTE DEL CREPAD</t>
  </si>
  <si>
    <t>VEREDA BOBADILLA. DESBORDAMIENTO QUEBRADA EL CHIRRON. ADA VIA BOGTA - CHOACHI. REPORTE DEL CREPAD.</t>
  </si>
  <si>
    <t>VEREDAS EL CASTILLO, LLANO GRANDE, HINCHE. REPORTE DEL CREPAD</t>
  </si>
  <si>
    <t>VEREDAS PIE DE PEÑA Y HATO VIEJO. REPORTE DEL CREPAD.</t>
  </si>
  <si>
    <t>BARRIO: ANDALUCIA DE FRANCIA REPORTE DEL CLOPAD</t>
  </si>
  <si>
    <t>SECTOR:  MACHADO. REPORTE DEL CREPAD</t>
  </si>
  <si>
    <t>DESBORDAMIENTO DE LOS RIOS: GUACHICONO, MAZAMORAS, DESTRUIDO UN PUENTE PEATONAL, AFECTADA LA VIA ENTRE LOS MPIOS DE:  EL BORDO Y BOLIVAR. REPORTE DE SALA DE ESTRATEGIA</t>
  </si>
  <si>
    <t>VEREDA: BOAVITA. CRECIENTE DE LA QUEBRADA SAN ISIDRO QUE ARRASTRO VEHICULO REPORTE DEL CREPAD</t>
  </si>
  <si>
    <t>BARRIO:  LINCON,  VEREDA: MATUSALEN, SECTOR: RIO SANTO DOMINGO. REPORTE DEL CREPAD</t>
  </si>
  <si>
    <t>VEREDAS: CHAGUALA, LA NUBIA, SECTOR: SAN JUAN DE CAROLINA. REPORTE DEL CREPAD</t>
  </si>
  <si>
    <t>BARRIO: LOS TANQUES. COLAPSO DE MURO, AFECTANDO UNA VIVIENDA, LA CUAL FUE EVACUADA POR ENCONTRARSE EN ALTO RIESGO REPORTE DEL CREPAD</t>
  </si>
  <si>
    <t>SECTOR: LA LINEA VIRGEN NEGRA. REPORTEDEL CREPAD</t>
  </si>
  <si>
    <t>PERDIDA DE CULTIVOS Y DEL SECTOR COMERCIAL</t>
  </si>
  <si>
    <t>AFECTADA LA VIA VEREDA EL CACIQUE VIA FUNZA - LA PUNTA. AFECTACION EN SECTOR URBANO Y RURAL. REPORTE DEL CLOPAD.</t>
  </si>
  <si>
    <t>REPORTE DE LA DEFENSA CIVIL.CORREGIMIENTO VENECIA.</t>
  </si>
  <si>
    <t>REPROTE DEL CREPAD, SECTOR URBANO.</t>
  </si>
  <si>
    <t>REPORTE DEL CREPAD.VEREDA CAÑOS NEGROS. BANCO COLORADO, CHISPAS, SAN VICENTE BAJO.</t>
  </si>
  <si>
    <t>CORREGIMIENTO SAN BERNARDO, CRECIENTE SUBITA QUEBRADA SAN BERNARDITO, REPORTE DE LA DEFENSA CIVIL Y EL CLOPAD.</t>
  </si>
  <si>
    <t>CAIDA DE ARBOLES.</t>
  </si>
  <si>
    <t>BARRIO SAN ISIDRO, SANTA INES Y GAITAN. REPORTE DEL CLOPAD Y CREPAD.</t>
  </si>
  <si>
    <t>BARRIO LA FLORIDA, LAS DELICIAS. REPORTE DEL CLOPAD.</t>
  </si>
  <si>
    <t>REPORTE DE BOMBEROS, CREPAD Y CLOPAD.</t>
  </si>
  <si>
    <t>VEREDA EL VERGEL, REPORTE DEL CREPAD. AFECTADOS DOS COLEGIOS Y LA PLAZA DE MERCADO.</t>
  </si>
  <si>
    <t>BARRIOS VILLA MONICA, POPULAR, SIGLO XXI, BELALCAZAR, SACHAMATE, VILLA DEL SOL., GAITAN, PORTAL DE JAMUNDI Y LIBERTADOR REPORTE DEL CREPAD Y DEFENSA CIVIL.</t>
  </si>
  <si>
    <t xml:space="preserve">BARRIO LA ARENOSA. REPROTE DE DEFENSA CIVIL. </t>
  </si>
  <si>
    <t>SECTOR BARRIO NUEVO HORIZONTE. REPORTE DEL CREPAD.</t>
  </si>
  <si>
    <t>CRECIENTE SUBITA QUEBRADA SINGARA. CORREGIMIENTO LA CEIBA. REPORTE DE DEFENSA CIVIL Y EL CREPAD</t>
  </si>
  <si>
    <t>EXPLOSION MINA DE ESMERALDA VEREDA MACANAL SECTOR LA COMODA REPORTE DEL CREPAD.</t>
  </si>
  <si>
    <t>AFECTACION EN PASTOS.</t>
  </si>
  <si>
    <t>BARRIO LAS DELICIAS SEGUNDO SECTOR. REPORTE DEL CLOPAD</t>
  </si>
  <si>
    <t>ZONA URBANA Y RURAL. DESBORDAMIENTO DEL RIO BAUDO  AFECTANDO UNAS 20 COMUNIDADES INDIGENAS, REALIZAN CONSOLIDACION DE  CENSOS. REPORTE DEL SOCORRO NACIONAL. APOYO DEL FNC MEDIANTE GIRO DIRECTO AL CLOPAD PARA ADQUISICION DE COMBUSTIBLE PARA TRANSPORTE FLUVIAL.</t>
  </si>
  <si>
    <t>DESBORDAMIENTO DEL RIO NEGRO, INFORMA CREPAD ANTIOQUIA  DR. GILBERTO MAZO.</t>
  </si>
  <si>
    <t xml:space="preserve">DESBORDAMIENTO DEL CAÑO MARIANERA, AFECTADO EL BARRIO 3 DE MAYO-COREGIMIENTO PIEDRAS BLANCAS </t>
  </si>
  <si>
    <t>PENDIENTE INFORME DE AFECTACION-CREPAD CESAR DR: AMAURY DE JESUS ARROYO.</t>
  </si>
  <si>
    <t>SECTORES CHUSVITA, CENTRO, LA ESTANCIA, EL MORRO, EL OSO, GUATATAMO, MOTAVITA, HATO COCHIA, PUEBLO VIEJO. REPORTE  DEL CREPAD BOYACA CORREO ELECTRONICO. DR. LUIS HERNANDO RAMIREZ</t>
  </si>
  <si>
    <t>SECTORES PIE DE PEÑA, TOCHUPA, DESAGUADERO, GUAYACANAL, BOGONTA, TOBAL, SALITRE,  HATO, SAN IGNACIO, CARDONAL, SURVALLES, GUANTIVA NORTE.  REPORTE  DEL CREPAD BOYACA CORREO ELECTRONICO. DR. LUIS HERNANDO RAMIREZ</t>
  </si>
  <si>
    <t>CENTRO RURAL PACHAQUIRA, VANEGA NORTE, HUERTA  GRANDE, PERDIDAS  EN CULTIVOS DE FRIJOL, ARVEJA, MAIZ Y PAPA. REPORTE  DEL CREPAD BOYACA CORREO ELECTRONICO. DR. LUIS HERNANDO RAMIREZ</t>
  </si>
  <si>
    <t>SECTORES TAPIAS. CANDELARIA, CARAPACHO, SAN CAYETANO. REPORTE  DEL CREPAD BOYACA CORREO ELECTRONICO. DR. LUIS HERNANDO RAMIREZ</t>
  </si>
  <si>
    <t>SECTORES  SANTA MARIA, PATIÑO, CONCEPCION, SSAMARIA, SABANETA, SAN RAFAEL, EL TORO CAÑAVERAL, REPORTE  DEL CREPAD BOYACA CORREO ELECTRONICO. DR. LUIS HERNANDO RAMIREZ.</t>
  </si>
  <si>
    <t>ESTAS FAMILIAS, PERSONAS Y VIVIENDAS ESTAN PARA  REUBICAR  POR  AMENAZA  DE  DESLIZAMIENTO EN LOS  BARRIOS EL DORADO, MIRADOR  DE LA  FUENTE, EL CARMEN, LANCEROS, TRAS DEL ALTO, RUNTA, PINOS DE  ORIENTE, VEINTE  DE JULIO,  BUENAVISTA, KENNEDY, Y LA  COLINA. REPORTE  DEL CREPAD BOYACA CORREO ELECTRONICO. DR. LUIS HERNANDO RAMIREZ.</t>
  </si>
  <si>
    <t>APOYO DEL FNC MEDAINTE GIRO DIRECTO AL CLOPAD PARA ADQUISICION DE COMBUSTIBLE</t>
  </si>
  <si>
    <t>GIRO DIRECTO PARA ADQUISICION DE COMBUSTIBLE</t>
  </si>
  <si>
    <t>VEREDA LA CAMELIA. REPROTE DEL CLOPAD. SE HABLO CON CREPAD PARA ATENDERLO A NIVEL MUNICIPAL Y REGIONAL</t>
  </si>
  <si>
    <t>APOYO DEL FNC MEDIANTE GIRO DIRECTO AL CLOPAD PARA ADQUISICION DE COMBUSTIBLE PARA REHABILIOTACION DE LA RED VIAL.</t>
  </si>
  <si>
    <t>APOYO DEL FNC MEDIANTE DOS GIROS DIRECTOS AL CLOPAD PARA COMBUSTIBLE Y LIMPIEZA DE ALCANTARILLAS Y CUNETAS Y REMOCION DE ESCOMBROS EN VIAS TERCIARIAS.</t>
  </si>
  <si>
    <t>ACTUALIZACION DEL CLOPAD</t>
  </si>
  <si>
    <t>REPORTE DE CREPAD. APOYO DEL FNC MEDIANTE GIRO DIRECTO AL CLOPAD PARA ADQUISICION DE COMBUSTIBLE Y MAQUINARIA PARA LA REHABILITACION VIAL.</t>
  </si>
  <si>
    <t>APOYO DEL FNC MEDIANTE GIRO DIRECTO AL CLOPAD PARA ADQUISICION DE COMBUSTIBLE PARA REHABILITACION DE LA RED VIAL.</t>
  </si>
  <si>
    <t>VIA JERICO - SOCATA. APOYO DEL FNC MEDIANTE GIRO DIRECTO AL clopad para alquiler de maquinaria par arehabilitacion de la via</t>
  </si>
  <si>
    <t>SECTORES  CRUZ BLANCA Y EL ROSAL. . APOYO DEL FNC MEDIANTE GIRO DIRECTO AL CLOPAD PARA ANQUISICION DE COMBUSTIBLE PARA REHABILITACION DE LA RED VIAL</t>
  </si>
  <si>
    <t>CASCO URBANO Y SECTOR  RURAL. 110 HECTAREAS  EN CULTIVOS AFECTADAS. ACTUALIZACION FENOMENO DE LA NIÑA 2010-2011. REPORTE DEL CREPAD.</t>
  </si>
  <si>
    <t>ACTUALIZACION FENOMENO DE LA  NIÑA 2010-2011, AFECTACION EN 38 HECTAREAS  DE  CULTIVOS DE PASTOS CAÑA, LULO MAIZ, FRIJOL.. APOYO DEL FNC MEDIANTE GIRO DIRECTO AL CLOPAD PARA ADQUICISION DE COMBUSTIBLE, MANTENIMIENTO DE ALCANTARILLAS Y REMOCION DE ESCOMBREOS.</t>
  </si>
  <si>
    <t>SECTOR  HORMIGAS, RINCON, GUANATA, JURACAMBITA . REPORTE DEL CREPAD.</t>
  </si>
  <si>
    <t>VEREDAS CEREZOS GRANDES, CEREZOX CHIQUITOS,  FLORES, POTRERO GRANDE, CALDERA, OLLAS, CARRANZA, MONE, ALTO DE LA  CRUZ . AFECTADAS VIAS  TERCIARIAS, PUENTES AFECTADOS CRUCESITAS EN BARRO BLANCO, PUENTE DE ENTRADA A LA VEREDA CUMBA Y VEREDA SANTANDER. ACUEDUCTOS URBANO Y FRUTICAS PRIMERA FASE. CENTROS EDUCATIVOS, CARAZA, MUNAR, GUAICA, CALDERITAS. REPORTE ACTUALIZADO DEL CLOPAD.</t>
  </si>
  <si>
    <t>BARRIO PORVENIR CALLE  14 A No. 1-25. REPORTE DEL CREPAD.</t>
  </si>
  <si>
    <t>INSPECCION: PASUNCHA, VEREDAS: SAN JERONIMO, PAN DE AZUCAR, SANTA INES. REPORTE DEL CREPAD.</t>
  </si>
  <si>
    <t>BARRIOS: METROPOLITANO, 3 DE MAYO. DESBORDAMIENTO DE LA QUEBRADA AGUAS NEGRAS. REPORTE DE LA DEFENSA CIVIL</t>
  </si>
  <si>
    <t>VEREDA: RIO ARRIBA. LA EXPLOSION  SE PRODUJO PRODUJO EN UNA MINA DE ORO REPORTE DE LA DEFENSA CIVIL</t>
  </si>
  <si>
    <t>AVENIDA: CENTENARIO. REPORTE DE LA DEFENSA CIVIL.</t>
  </si>
  <si>
    <t>ZONA URBANA. BARRIO URIBE. REPORTE DE LA DEFENSA CIVIL</t>
  </si>
  <si>
    <t>ZONA RURAL. REPORTE DEL CREPAD. PENDIENTE UINFORMACION AFECTADO ACUEDUCTO CORREGIMIENTO DE PUERTO CONTO. AFECTADA INSTITUCIONE DUCATIVA CESAR CONTO</t>
  </si>
  <si>
    <t>DESBORDAMIENTO QUEBRADA TUNEBO. VIA VEREDA AGUASUCIA. VIA PORTACHUELO - SANTA ROSITA.. VIA INSULA, VIA ENCISO - CARCASI. CENTRO EDUCATIVO LA MACARENA. PUENTE PEATONAL LOS MOLINOS VEREDA MONGUA. REPORTE DEL CLOPAD</t>
  </si>
  <si>
    <t>VEREDA EL CENTRO. REPORTE DEL CREPAD</t>
  </si>
  <si>
    <t>ZONA RURAL. DESBORDAMIENTO DEL RIO SAN PABLO, 7 COMUNIDADES INDIGENAS AFECTADAS, 1 VIA AFECTADA, VIA DE TARIDÒ, AFECTACION EN CULTIVOS Y SEMOVIENTES REPORTE DEL CREPAD</t>
  </si>
  <si>
    <t>VIA VILLA VIEJA-NEIVA. DESBORDAMIENTO DEL RIO VILLA VIEJA, AFECTANDO LA VIA, VILLA VIEJA- NEIVA. REPORTE DEL CREPAD. RESGUARDO INDIGENA TATACOA VEREDA POTOSI, ISLA TORTOLOS, EL PORVENIR, LA VICTORIA, POLANIA Y GOLONDRINA</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</si>
  <si>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</si>
  <si>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</si>
  <si>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</si>
  <si>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</si>
  <si>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</si>
  <si>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</si>
  <si>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</si>
  <si>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</si>
  <si>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</si>
  <si>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</si>
  <si>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</si>
  <si>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</si>
  <si>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</si>
  <si>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</si>
  <si>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</si>
  <si>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</si>
  <si>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</si>
  <si>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</si>
  <si>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</si>
  <si>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</si>
  <si>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</si>
  <si>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</si>
  <si>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</si>
  <si>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</si>
  <si>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</si>
  <si>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</si>
  <si>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</si>
  <si>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</si>
  <si>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</si>
  <si>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</si>
  <si>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</si>
  <si>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</si>
  <si>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</si>
  <si>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</si>
  <si>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</si>
  <si>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</si>
  <si>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</si>
  <si>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</si>
  <si>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</si>
  <si>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</si>
  <si>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</si>
  <si>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</si>
  <si>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</si>
  <si>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</si>
  <si>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</si>
  <si>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</si>
  <si>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</si>
  <si>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</si>
  <si>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</si>
  <si>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</si>
  <si>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</si>
  <si>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</si>
  <si>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</si>
  <si>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</si>
  <si>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</si>
  <si>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</si>
  <si>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</si>
  <si>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</si>
  <si>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</si>
  <si>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</si>
  <si>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</si>
  <si>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</si>
  <si>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</si>
  <si>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</si>
  <si>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</si>
  <si>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</si>
  <si>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</si>
  <si>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</si>
  <si>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</si>
  <si>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</si>
  <si>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</si>
  <si>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</si>
  <si>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</si>
  <si>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</si>
  <si>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</si>
  <si>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</si>
  <si>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</si>
  <si>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</si>
  <si>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</si>
  <si>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</si>
  <si>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</si>
  <si>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</si>
  <si>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</si>
  <si>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</si>
  <si>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</si>
  <si>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</si>
  <si>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</si>
  <si>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</si>
  <si>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</si>
  <si>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</si>
  <si>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</si>
  <si>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</si>
  <si>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</si>
  <si>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</si>
  <si>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</si>
  <si>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</si>
  <si>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</si>
  <si>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</si>
  <si>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</si>
  <si>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</si>
  <si>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</si>
  <si>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</si>
  <si>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</si>
  <si>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</si>
  <si>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</si>
  <si>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</si>
  <si>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</si>
  <si>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</si>
  <si>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</si>
  <si>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</si>
  <si>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</si>
  <si>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</si>
  <si>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</si>
  <si>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</si>
  <si>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</si>
  <si>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</si>
  <si>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</si>
  <si>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</si>
  <si>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</si>
  <si>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</si>
  <si>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</si>
  <si>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</si>
  <si>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</si>
  <si>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</si>
  <si>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</si>
  <si>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</si>
  <si>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</si>
  <si>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</si>
  <si>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</si>
  <si>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</si>
  <si>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</si>
  <si>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</si>
  <si>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</si>
  <si>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</si>
  <si>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</si>
  <si>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</si>
  <si>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</si>
  <si>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</si>
  <si>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</si>
  <si>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</si>
  <si>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</si>
  <si>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</si>
  <si>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</si>
  <si>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</si>
  <si>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</si>
  <si>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</si>
  <si>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</si>
  <si>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</si>
  <si>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</si>
  <si>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</si>
  <si>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</si>
  <si>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</si>
  <si>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</si>
  <si>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</si>
  <si>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</si>
  <si>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</si>
  <si>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</si>
  <si>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</si>
  <si>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</si>
  <si>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</si>
  <si>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</si>
  <si>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</si>
  <si>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</si>
  <si>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</si>
  <si>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</si>
  <si>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</si>
  <si>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</si>
  <si>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</si>
  <si>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</si>
  <si>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</si>
  <si>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</si>
  <si>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</si>
  <si>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</si>
  <si>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</si>
  <si>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</si>
  <si>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</si>
  <si>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</si>
  <si>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</si>
  <si>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</si>
  <si>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</si>
  <si>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</si>
  <si>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</si>
  <si>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</si>
  <si>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</si>
  <si>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</si>
  <si>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</si>
  <si>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</si>
  <si>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</si>
  <si>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</si>
  <si>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</si>
  <si>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</si>
  <si>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</si>
  <si>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</si>
  <si>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</si>
  <si>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</si>
  <si>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</si>
  <si>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</si>
  <si>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</si>
  <si>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</si>
  <si>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</si>
  <si>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</si>
  <si>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</si>
  <si>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</si>
  <si>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</si>
  <si>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</si>
  <si>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</si>
  <si>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</si>
  <si>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</si>
  <si>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</si>
  <si>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</si>
  <si>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</si>
  <si>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</si>
  <si>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</si>
  <si>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</si>
  <si>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</si>
  <si>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</si>
  <si>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</si>
  <si>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</si>
  <si>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</si>
  <si>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</si>
  <si>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</si>
  <si>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</si>
  <si>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</si>
  <si>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</si>
  <si>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</si>
  <si>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</si>
  <si>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</si>
  <si>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</si>
  <si>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</si>
  <si>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</si>
  <si>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</si>
  <si>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</si>
  <si>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</si>
  <si>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</si>
  <si>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</si>
  <si>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</si>
  <si>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</si>
  <si>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</si>
  <si>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</si>
  <si>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</si>
  <si>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</si>
  <si>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</si>
  <si>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</si>
  <si>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</si>
  <si>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</si>
  <si>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</si>
  <si>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</si>
  <si>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</si>
  <si>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</si>
  <si>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</si>
  <si>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</si>
  <si>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</si>
  <si>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</si>
  <si>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</si>
  <si>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</si>
  <si>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</si>
  <si>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</si>
  <si>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</si>
  <si>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</si>
  <si>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</si>
  <si>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</si>
  <si>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</si>
  <si>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</si>
  <si>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</si>
  <si>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</si>
  <si>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</si>
  <si>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</si>
  <si>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</si>
  <si>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</si>
  <si>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</si>
  <si>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</si>
  <si>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</si>
  <si>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</si>
  <si>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</si>
  <si>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</si>
  <si>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</si>
  <si>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</si>
  <si>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</si>
  <si>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</si>
  <si>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</si>
  <si>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</si>
  <si>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</si>
  <si>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</si>
  <si>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</si>
  <si>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</si>
  <si>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</si>
  <si>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</si>
  <si>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</si>
  <si>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</si>
  <si>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</si>
  <si>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</si>
  <si>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</si>
  <si>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</si>
  <si>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</si>
  <si>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</si>
  <si>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</si>
  <si>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</si>
  <si>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</si>
  <si>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</si>
  <si>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</si>
  <si>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</si>
  <si>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</si>
  <si>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</si>
  <si>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</si>
  <si>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</si>
  <si>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</si>
  <si>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</si>
  <si>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</si>
  <si>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</si>
  <si>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</si>
  <si>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</si>
  <si>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</si>
  <si>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</si>
  <si>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</si>
  <si>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</si>
  <si>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</si>
  <si>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</si>
  <si>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</si>
  <si>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</si>
  <si>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</si>
  <si>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</si>
  <si>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</si>
  <si>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</si>
  <si>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</si>
  <si>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</si>
  <si>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</si>
  <si>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</si>
  <si>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</si>
  <si>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</si>
  <si>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</si>
  <si>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</si>
  <si>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</si>
  <si>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</si>
  <si>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</si>
  <si>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</si>
  <si>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 xml:space="preserve">VEREDAS: SAN ISIDRO, EL BANCO, LA MACOYA, LA MAPORA. REPORTE DE LA DEFENSA CIVIL DESBORDAMENTO RIO CRAVO. GIRO DIRECTO PARA LA ADQUISICION DE COMBUSTBLE, ALQUILER DE MAQUINARIA Y TRABAJOS DE HERRAJERIA PARA OBRAS DE MITIGACION EN EL RIO PAUTO. </t>
  </si>
  <si>
    <t xml:space="preserve">DESBORDAMIENTO RIO CAUCA. VEREDA  CHONTADURO Y VEREDA  EL GUAYABO. REPORTE DEL CREPAD.VALOR DE OTROS CORRESPONDE A 60 ROLLOS MANGUERA DE 1/2, 28 ROLLOS DE 1, 18 ROLLOS DE 2, 40 ROLLOS DE 3/4, 3 ROLLOS DE 4".. </t>
  </si>
  <si>
    <t>ZONA RURAL Y URBANA. DESBORDAMEINTO RIO MAGDALENA, REPORTE DEL CREPAD. EL VALOR DE OTROS CORRESPONDE A 10 LINTERNAS. GIRO DIRECTO PARA COMBUSTIBLE Y MAQUINARIA PARA LA EVACUACION DE PERSONAS DAMNIFICADAS.</t>
  </si>
  <si>
    <t>AVALANCHA RIO GUAZO. REPORTE DEL CREPAD.. INCOMUNICADOS MUNICIPIOS DE MUZO, QUIPAMA, LA VICTORIA</t>
  </si>
  <si>
    <t>ZONA URBANA. DESBORDAMIENTO QUEBRADA LOS GUAYABOS.REPORTE DEL CREPAD.</t>
  </si>
  <si>
    <t>BARRIO LAS CUMBRES</t>
  </si>
  <si>
    <t>REPORTE DEL CLOPAD PARA EFECTOS DEL REGISTRO.</t>
  </si>
  <si>
    <t>4
3
CH</t>
  </si>
  <si>
    <t>CH</t>
  </si>
  <si>
    <r>
      <t>EVACUACION PREVENTIVA POR DESBORDAMIENTO RIO MAGDALENA Y VERTIMIENTO DE HIDROPRADO. . BARRIO COREA Y LAS DELICIAS. REPORTE DEL CREPAD.</t>
    </r>
    <r>
      <rPr>
        <b/>
        <sz val="9"/>
        <rFont val="Arial"/>
        <family val="2"/>
      </rPr>
      <t xml:space="preserve"> APOYO DEL FNC MEDIANTE GIRO DIRECTO PARA LA ADQUISICION DE DOS MOTOBOMBAS DE 10" (91.821,424), SUBSIDIO DE ARRIENDO (92,000,000) Y FILTROS DE AGUA (18,000,000)</t>
    </r>
  </si>
  <si>
    <r>
      <t xml:space="preserve">AVALANCHA DEL RIO GUADALAJARA. </t>
    </r>
    <r>
      <rPr>
        <b/>
        <sz val="9"/>
        <rFont val="Arial"/>
        <family val="2"/>
      </rPr>
      <t>REPORTE DEL CREPAD. APOYO EL FNC MEDIANTE GIRO AL CLOPAD PARA COMBUSTIBLE Y ALQUILER DE MAQUINARIA.Y PAGO DE HORAS MAQUINA.</t>
    </r>
  </si>
  <si>
    <t>REPORTE DEL CLOPAD. APOYO DEL FNC PARA LA ADQUISICION DE COMBUSTIBLE PARA LA REHABILITACION VIAL.</t>
  </si>
  <si>
    <t xml:space="preserve">APOYO GLOBAL PARA LOS MUNICIPIOS AFECTADOS POR LA TEMPORADA INVERNAL. EL VALOR DE OTROS CORREPONDE A TRES PLANTAS ELECTRICAS. </t>
  </si>
  <si>
    <t>ZONA RURAL. DESLIZAMIENTO  SOBRE LOS SECTORES: LA GRECIA, LAS BRISAS, ALTO DE LA CRUZ LA VIA SE ENCUENTRA TAPONADA. REPROTE DEL CREPAD.</t>
  </si>
  <si>
    <t>BARRIO. PATIO BONITO  BAJO CASA No. 55   . REPROTE DELC REPAD.</t>
  </si>
  <si>
    <t>VEREDA EL PLATANITO.  SECTOR EL HATILLO. REPORTE DEL CREPAD</t>
  </si>
  <si>
    <t>COMUNA 1. CRECIENTE DE ARROYO. REPROTE DEL CREPAD.</t>
  </si>
  <si>
    <t>CORREGIMIENTO: LA SIERRA. CRECIENTE DE CAÑO, VOLTEO CHALUPA, EL 90% DE MPIO SE ENCUENTRA AFECTADO. REPORTE DEL CREPAD.</t>
  </si>
  <si>
    <t>INSPECCION: TALANTA. DESBORDAMIENTO DE LA QUEBRADA: SAMABA. DESTRUCCION CENTRO EDUCATIVO DE TALAGUA.  REPORTE DEL CREPAD.</t>
  </si>
  <si>
    <t>REPORTE DEL CREPAD. VEREDAS: EL PANTANO, LA ESTACION, EL JUNCAL, EL FICAL, TAQUIRA, EL RETEN, EL TAMBRE Y APOSENTOS. DESBORDAMEINTO QUEBRADA FUQUENE, REPORTE DEL CREPAD.</t>
  </si>
  <si>
    <t>CENTRO POBLADO BARCELONA. COLAPSO DE PUENTE PEATONAL, SOBRE EL RIO SANTODOMINGO. REPROTE DEL CREPAD.</t>
  </si>
  <si>
    <t>BARRIO: GAITAN. DESBORDAMIENTO DE LA QUEBRADA: AGUAS BONITAS. REPORTE DEL CREPAD.</t>
  </si>
  <si>
    <t>BARRIO: SIMON BOLIVAR. DESBORDAMIENTO DE LA QUEBRADA: NARANJAL. REPROTE DEL CREPAD.</t>
  </si>
  <si>
    <t>BARRIO: VILLA LILIANA. REPORTE DEL CREPAD.</t>
  </si>
  <si>
    <t>VEREDA GAVIOTAS VIA  RIO VERDE . CRECIENTE  Y DESBORDAMIENTO  QUEBRADA LA  ESPAÑOLA , DESTRUCCION DEL  PUENTE  PEATONAL  EN LA VEREDA  GAVIOTAS VEREDA TRAVESIA, SECTOR LA SOLEDAD.ZONA URBANA BARRIO EL ENSUEÑO.  CREPAD QINDIO</t>
  </si>
  <si>
    <t>DESBORDAM,IENTO RIO BOGOTA. ZONA RURAL. DEFENSA CIVIL. El VALOR DE OTROS CORRESPONDE A 20 PICAS, 20 AZADONES, 10 CARRETILLAS, 20 LINTERNAS, 20 ESCOBAS, 11 CEPILLOS, 20 IMPERMEABÑES, 21 PARES DE BOTAS, 20 PALAS, 20 TRAPEROS, 20 BALDES.</t>
  </si>
  <si>
    <t>VEREDA: SAN ANTONIO</t>
  </si>
  <si>
    <t>CRECIENTE DE LA QUEBRADA LA COLORADA, ARRASTRANDO UNA SEÑORA DE 30 AÑOS DE EDAD Y SU HIJO UN MENOR DE TRES AÑOS DE EDAD, EL CUERPO DE LA SEÑORA FUE ENCONTRADO EN AGUAS DEL RIO META EN EL MPIO DE OROCUE, EL MENOR CONTINUA DESAPARECIDO REPORTE DEL CREPAD.</t>
  </si>
  <si>
    <t>BARRIO: VALLADO. REPORTE DE LA DEFENSA CIVIL</t>
  </si>
  <si>
    <t>CASCO URBANO. REPORTE DEL CREPAD.</t>
  </si>
  <si>
    <t>SECTOR: CHARCO DEL OSO. AFECTADA LA VIA EN EL KILOMETRO 12, PASO RESTRINGIDO. REPORTE DEL CREPAD.</t>
  </si>
  <si>
    <t>SECTOR: CHONTADURO. AFECTADA LA VIA PALERMO NEIVA EN EL KM: 7. REPORTE DEL CREPAD.</t>
  </si>
  <si>
    <t>VEREDA: CARMENZO. AFECTADA LA VIA QUE COMUNICA AL CASCO URBANO CON LAS VEREDAS: EL TEJAR, BUENOS AIRES, AFECTADO UN ACUEDUCTO. REPORTE DEL CREPAD.</t>
  </si>
  <si>
    <t>VEREDA SANTA BARBARA. SECTOR:CURUBITAL REPORTE DEL CREPAD</t>
  </si>
  <si>
    <t>BARRIO EL GUADUAL. REPORTE DEL CREPAD</t>
  </si>
  <si>
    <t>VEREDA EL PANTANO. DERRUMBE SOBRE  LA  VIA  QUE  DEJA  INCOMUNICADOS LOS MUNICIPIOS  PITALITO Y TIMANA. REPORTE DEL CREPAD</t>
  </si>
  <si>
    <t>ZONA RURAL. DESBORDAMIENTO RIO CONDOTO. REPORTE DEL CREPAD</t>
  </si>
  <si>
    <t>BARRIOS LAS ACACIAS, EL RUBI  Y LUCERITO. REPORTE DEL CREPAD.</t>
  </si>
  <si>
    <t>COMANDO DE POLICIA META. INCENDIO ESTRUCTURAL QUE  AFECTO PARQUEADERO DEL COMANDO DE LA  POLICIA META DEJANDO 4 VEHICULOS  Y 6 MOTOS POLICIALES INCINERADOS, 1 VEHICULO PARTICULAR  INCINERADO Y DAÑOS EN LA CUBIERTA  DEL PARQUEADERO. REPORTE DEL CLOPAD</t>
  </si>
  <si>
    <t>INSPECCION GALLARDO. CRECIENTE  DE  LA  QUEBRADA LA  MANGONA AFECTANDO EL ACUEDUCTO. REPORTE DEL CREPAD</t>
  </si>
  <si>
    <t>CONJUNTO RESIDENCIAL SANTA  MARIA, VEREDAS LA PORTADA Y BUENOS AIRES. LLUVIAS ACOMPAÑADAS DE  FUERTE GRANIZADA DEJANDO AFECTADA UN CENTRO EDUCATIVO,  UN CENTRO DE SALUD. REPORTE DEL CREPAD</t>
  </si>
  <si>
    <t>SITIO LA  ANGOSTURA. DESLIZAMIENTO SOBRE LA  VIA TIMANA PITALITO DEJANDO UN MOTOCICLISTA MUERTO. REPORTE DEL CREPAD</t>
  </si>
  <si>
    <t>REPORTE DE LA DEFENSA CIVIL, CRECIENTE SUBITA DE LAS QUEBRADAS EL RASTRO, EL SALVADOR, BARRIOS PUEBLO NUEVO, ARMERO, EL OJITO, LA BODEGA Y GUAPANGO.</t>
  </si>
  <si>
    <t>VOLCANES Y
 CEDRALITO. REPORTE DEL CREPAD</t>
  </si>
  <si>
    <t>BARRIO SAN JOSÉ. REPORTE DEL CREPAD</t>
  </si>
  <si>
    <t>LA ARGENTINA, SAN JOSÉ,
 RIÓ GRANDE, ISAMBRA, SANTA HELENA, LA ITALICA. REPORTE DEL CREPAD</t>
  </si>
  <si>
    <t>RRASADAS 1396 HAS. DE CULTIVOS, 155 BOVINOS , 12 PORCINOS, 1 EQUINO, 12431 AVES DE CORRAL Y 4700 PECES MUERTOS.</t>
  </si>
  <si>
    <t>SECTOR PUENTE ZULIA Y PUEBLITOS, Y CEROO COLORADO. REPORTO CREPAD Dr CARLOS ALDEMAR GARCIA</t>
  </si>
  <si>
    <t>CARPAS</t>
  </si>
  <si>
    <t>BOTAS</t>
  </si>
  <si>
    <t>VEREDAS: CARACOL, SANTA HELENA BAJA, SABANA LARGA, SAN MIGUEL, Y CASCO URBANO  REPORTE DEL CREPAD.</t>
  </si>
  <si>
    <t>SECTOR EL BARRANCO. CRECIENTE RIO LA PAILA. REPORTE DEL CREPAD. ZONA RURAL. DESBORDAMIENTO DE LOS RIOS: LA PAILA, GUENGUE. REPORTE DE LA DEFENSA CIVIL</t>
  </si>
  <si>
    <t>BARRIO: ARANDILLO. REPORTE DEL CREPAD. CRECIENTE DE UN ZANJON., CORREGIMEINTO PACARNI, BARRIOS SAN MARTIN, SAN ROQUE, BARRIO CENTRO</t>
  </si>
  <si>
    <t>CORREGIMIENTO: LA SOLERA. DESBORDAMIENTO RIO SAN JORGE. REPORTE DE LA DEFENSA CIVIL</t>
  </si>
  <si>
    <t>ZONA URBANA DESBORDAMIETNO RIO LA VIEJA, REPORTE DE LA DEFENSA CIVIL</t>
  </si>
  <si>
    <t>BARRIOS: EL TABLON, EL FONCE, VILLA HELENA</t>
  </si>
  <si>
    <t>CORREGIMIENTO DE: MONTEBELLO MINA DE CARBON LOMAGORDA. DESLIZAMIENTO EN MINA DE CARBON, LOS MINEROS FUERON RESCATADOS  CON VIDA REPORTE DEL SOCORRO NACIONAL</t>
  </si>
  <si>
    <t>VEREDA: CAMPO CAPOTE. DESBORDAMIENTO DEL RIO OPON, PENDIENTE MAS INFORMACION. REPORTE DEL CREPAD</t>
  </si>
  <si>
    <t>VEREDAS: CURUMUTA, GUAYABOS, ITALIA, BOCAS DEL ROSARIO. DESBORDAMIENTO DE LOS RIOS: MAGDALENA, SOGAMOSO, REALIZAN EDAN. REPORTE DEL CREPAD</t>
  </si>
  <si>
    <t>FENOMENO DE REMOCION DE MASA, LAS FAMILIAS  FUERON EVACUADAS. REPORTE DEL CREPAD.</t>
  </si>
  <si>
    <t>SECTOR: VUELTA ALBANIA. DESBORDAMIENTO RIO HORTA. REPORTE DEL CREPAD.</t>
  </si>
  <si>
    <t>BARRIOS: REPOSO, LA TRINIDAD, CARMEN 5 ETAPA, SANTA BARBARA, SURATACA, ASOCOFOR  REPORTE DEL CREPAD</t>
  </si>
  <si>
    <t>VEREDA: LOS ARBOLES. AVALANCHA DE LA QUEBRADA HUECO HONDO, REALIZAN EDAN. REPORTE DEL CREPAD</t>
  </si>
  <si>
    <t>BARRIO VILLAS
 DEL SOL, LA SERRANIA,  EL CONSUELO</t>
  </si>
  <si>
    <t>VEREDA: LAS PLANADAS. DESBORDAMIENTO DE LA QUEBRADA TIGINYACO Y CANOAYAC. REPORTE DE LA DCC</t>
  </si>
  <si>
    <t>CASCO URBANO. DESBORDAMIENTO DEL RIO LENGUAZAQUE. EN LA PARTE RURAL TODA LA RED TERCIARIA DEL MUNICIPIO SE ENCUENTRA AFECTADA. CLOPAD ADELANTA CENSO DE AFECTACIONES Y NECESIDADES. REPORTE DEL CREPAD</t>
  </si>
  <si>
    <t>KM 40 VIA BOGOTA. COLAPSO DEL PUENTE QUEBRADA SECA, POR LA RUPTURA DE UNA REPRESA AVÍCOLA, ESTA VÍA COMUNICA BUCARAMANGA CON BOGOTA REPORTE DEL CREPAD</t>
  </si>
  <si>
    <t>BARRIO EL PESEBRE. INUNDACIÓN POR LLUVIAS SE CRECIÓ LA QUEBRADA AGUA SAL INUNDANDO EL BARRIO EL PESEBRE REPORTE DEL CREPAD</t>
  </si>
  <si>
    <t>vereda Hoya Vargas. POR LLUVIAS SE PRESENTO DESLIZAMIENTOS EN LA VEREDA HOYA VARGAS DEJÁNDOLA INCOMUNICADA EN EL KILÓMETRO 6.3 Y 6.8 POR PERDIDA DE LA CALZADA QUE COMUNICA A ESTA  VEREDA CON LA CABECERA MUNICIPAL. REPORTE DEL CREPAD</t>
  </si>
  <si>
    <t>EVACUAN LA UNIVERSIDAD DE PAMPLONA POR INUNDACIÓN Y CIERRAN LA AUTOPISTA INTERNACIONAL  TAMBIEN POR INUNDACIÓN. REPORTE DEL CREPAD.</t>
  </si>
  <si>
    <t>VALOR DE OTROS CORRESPONDE A 4000 TEJAS DE BARRO Y 2000 UNIDADES LARGUEROS, VIGAS O SOLERAS.</t>
  </si>
  <si>
    <t>VEREDA LAS ABEJAS CORREGIMIENTO  LAS PITAS. QUEBRADA EL PEÑON. REPROTE DEL CREPAD. VALOR DE OTROS.150 VIAJES DE ARENA, 150 VIAJES DE GRAVILLA, 40000 BLOQUES, 500 GAVIONES DE 2X1X1</t>
  </si>
  <si>
    <t>EL VALOR DE OTROS CORRESPONDE 120 VIAJES DE ARENA, 120 VIAJES DE GRAVILLA, 30000 BLOQUES, 1000 GAVIONES DE 2X1X1</t>
  </si>
  <si>
    <t>SECTOR LA PLAYITA. REPORTE DE LA DEFENSA CIVIL Y CRUZ ROJA. EL VALOR DE OTROS CORRESPONDE A 200 VARILLAS DE 1/2, 1000 BLOQUES, 15 TABLAS DE PISO, 50 TABLONES, 150 VARILLAS DE 3/8.</t>
  </si>
  <si>
    <t>PAGO SUBSIDIO DE ARRIENDO PARA 150 FAMILIAS POR CUATRO MESES MEDIANTE TRAMITE ANTE BANCO AGRARIO ENERO A MAYO DE 2011</t>
  </si>
  <si>
    <t>DESBORDAMIENTO DEL RIO TULUA. REPORTE DEL CREPAD</t>
  </si>
  <si>
    <t>CORREGIMIENTO: PUNTA BRAVA. DESBORDAMIENTO RIO CAUCA. REPORTE DEL CREPAD</t>
  </si>
  <si>
    <t>CORREGIMIENTO: AGUAS CLARAS. DESBORDAMIENTO RIO `PALMIRA. REPORTE DEL CREPAD.</t>
  </si>
  <si>
    <t>BARRIO: LATUNIA. REPORTE DELCREPAD</t>
  </si>
  <si>
    <t>BARRIO: SAN RAFAEL Y LA VARIANTE. REPORTE DEL CREPAD</t>
  </si>
  <si>
    <t>REPORTE DEL CREPAD. DESBORDAMIENTO DE LOS RIOS SILGARA. BETANIA. CORREGIMIENTO CEIBA.</t>
  </si>
  <si>
    <t>REPORTE DEL CLOPAD. CORREGIMIENTO LA BELLA</t>
  </si>
  <si>
    <t>PERDIDAS EN CULTIVOS</t>
  </si>
  <si>
    <t>REPORTE DE LA DEFENSA CIVIL, LA CRUZ ROJA Y EL CREPAD. AVALANCHA DE LA QUEBRADA ANGOSTURA, SECTOR PROVINCIA DE SOTO, VEREDA LA BAJA, SITIO LA BODEGA.</t>
  </si>
  <si>
    <t>VIAS UNE - SALITRE, SALITRE - LA MESA, UNE - REPRESA CHOCOLATE. REPORTO EL CLOPAD.</t>
  </si>
  <si>
    <t>LA FLORIDA</t>
  </si>
  <si>
    <t>YACUANQUER</t>
  </si>
  <si>
    <t>VEREDA LA MARIA. CRECIENTE SUBITA QUEBRADA SAN EUSTAQUIO. DOS PERSONAS ARRANSTRADAS. REPORTE DEL CLOPAD.</t>
  </si>
  <si>
    <t>BELALCAZAR</t>
  </si>
  <si>
    <t>FILADELFIA</t>
  </si>
  <si>
    <t>BARRIO RANCHO LINDO. REPORTE DE LA DEFENSA CIVIL.</t>
  </si>
  <si>
    <t>ZONA URBANA, REPORTE DEL CREPAD.</t>
  </si>
  <si>
    <t>BARRIOS LA UNION, MARCO FIDEL SUAREZ. REPORTE DEL CLOPAD.</t>
  </si>
  <si>
    <t>BARRIO VENTILADOR, REPORTE DEL CREPAD HUILA</t>
  </si>
  <si>
    <t>BARRIO LA INDEPENDENCIA, CALLE 11 CRA. 31. REPORTE DEL CREPAD.</t>
  </si>
  <si>
    <t>CRECIENTE DEL RIO SANTO DOMINGO, REPORTE DEL CREPAD.</t>
  </si>
  <si>
    <t>BARRIO EL ARRPYO Y VILLA ESPERANZA. REPROTE DEL CREPAD.</t>
  </si>
  <si>
    <t>CORREGIMIENTO IRRA, ACUMULACION DE GASES EN MINA DE ORO LA AMAPOLA. REPORTE DEL CREPAD.</t>
  </si>
  <si>
    <t>BARRIO VICTORIA REGIA. REPORTE DEL CLOPAD. NO NECESITAN REGISTRO DEL DANE.</t>
  </si>
  <si>
    <t xml:space="preserve">BARRIO CENTRO DEL DIVINO NIÑO, REPROTE DE LA DEFENSA CIVIL. </t>
  </si>
  <si>
    <t>HUILA</t>
  </si>
  <si>
    <t>NATAGA</t>
  </si>
  <si>
    <t>NORTE DE SANTANDER</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</si>
  <si>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</si>
  <si>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</si>
  <si>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</si>
  <si>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</si>
  <si>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</si>
  <si>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</si>
  <si>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</si>
  <si>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</si>
  <si>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</si>
  <si>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</si>
  <si>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</si>
  <si>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</si>
  <si>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</si>
  <si>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</si>
  <si>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</si>
  <si>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</si>
  <si>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</si>
  <si>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</si>
  <si>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</si>
  <si>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</si>
  <si>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</si>
  <si>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</si>
  <si>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VALLE DEL CAUCA</t>
  </si>
  <si>
    <t>OBANDO</t>
  </si>
  <si>
    <t>CORINTO</t>
  </si>
  <si>
    <t>HATILLO DE LOBA</t>
  </si>
  <si>
    <t>SEVILLA</t>
  </si>
  <si>
    <t>FABRICA DE MUEBLES.</t>
  </si>
  <si>
    <t>ORITO</t>
  </si>
  <si>
    <t>PACHO</t>
  </si>
  <si>
    <t>SALENTO</t>
  </si>
  <si>
    <t>FLORENCIA</t>
  </si>
  <si>
    <t>SANTA BARBARA</t>
  </si>
  <si>
    <t>LA PLATA</t>
  </si>
  <si>
    <t>BETULIA</t>
  </si>
  <si>
    <t>VALDIVIA</t>
  </si>
  <si>
    <t>TADO</t>
  </si>
  <si>
    <t>SUAREZ</t>
  </si>
  <si>
    <t>SAN MATEO</t>
  </si>
  <si>
    <t>BOYACA</t>
  </si>
  <si>
    <t>PUERTO LIBERTADOR</t>
  </si>
  <si>
    <t>PUTUMAYO</t>
  </si>
  <si>
    <t>INUNDACION</t>
  </si>
  <si>
    <t xml:space="preserve"> </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</si>
  <si>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</si>
  <si>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</si>
  <si>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</si>
  <si>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</si>
  <si>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</si>
  <si>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</si>
  <si>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</si>
  <si>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</si>
  <si>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</si>
  <si>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</si>
  <si>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</si>
  <si>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</si>
  <si>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</si>
  <si>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</si>
  <si>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</si>
  <si>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</si>
  <si>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</si>
  <si>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</si>
  <si>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</si>
  <si>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</si>
  <si>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</si>
  <si>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</si>
  <si>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</si>
  <si>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</si>
  <si>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</si>
  <si>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</si>
  <si>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DEPTO</t>
  </si>
  <si>
    <t>TEJAS</t>
  </si>
  <si>
    <t>TRAMITE ANTE DGR</t>
  </si>
  <si>
    <t>SEGUIMIENTO Y CONTROL A LA EMERGENCIA</t>
  </si>
  <si>
    <t>CAUCA</t>
  </si>
  <si>
    <t>POPAYAN</t>
  </si>
  <si>
    <t>INCENDIO ESTRUCTURAL</t>
  </si>
  <si>
    <t>CUCUTA</t>
  </si>
  <si>
    <t>VILLA DEL ROSARIO</t>
  </si>
  <si>
    <t>LOS PATIOS</t>
  </si>
  <si>
    <t>LEJANIAS</t>
  </si>
  <si>
    <t>MUZO</t>
  </si>
  <si>
    <t>PLANADAS</t>
  </si>
  <si>
    <t>MORALES</t>
  </si>
  <si>
    <t>SANTA MARTA</t>
  </si>
  <si>
    <t>TAMESIS</t>
  </si>
  <si>
    <t>MAGDALENA</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</si>
  <si>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</si>
  <si>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</si>
  <si>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</si>
  <si>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</si>
  <si>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</si>
  <si>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</si>
  <si>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</si>
  <si>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</si>
  <si>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</si>
  <si>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</si>
  <si>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</si>
  <si>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</si>
  <si>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</si>
  <si>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</si>
  <si>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</si>
  <si>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</si>
  <si>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</si>
  <si>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ATLANTICO</t>
  </si>
  <si>
    <t>VILLANUEVA</t>
  </si>
  <si>
    <t>MARIA LA BAJA</t>
  </si>
  <si>
    <t>MAGANGUE</t>
  </si>
  <si>
    <t>CICUCO</t>
  </si>
  <si>
    <t>BARRANCO DE LOBA</t>
  </si>
  <si>
    <t>GINEBRA</t>
  </si>
  <si>
    <t>QUIMBAYA</t>
  </si>
  <si>
    <t>SOBRECAMAS</t>
  </si>
  <si>
    <t>PAPEL H.</t>
  </si>
  <si>
    <t>INFORMACION</t>
  </si>
  <si>
    <t>NO</t>
  </si>
  <si>
    <t>BARRANQUILLA</t>
  </si>
  <si>
    <t>LA TEBAIDA</t>
  </si>
  <si>
    <t>TORMENTA ELECTRICA</t>
  </si>
  <si>
    <t>TOTORO</t>
  </si>
  <si>
    <t>PAEZ</t>
  </si>
  <si>
    <t>ANALISIS Y EVALUACION DE LA SOLICITUD</t>
  </si>
  <si>
    <t>CUNDINAMARCA</t>
  </si>
  <si>
    <t>DEPARTAMENTO</t>
  </si>
  <si>
    <t>SOLICITUD</t>
  </si>
  <si>
    <t>SI</t>
  </si>
  <si>
    <t>RISARALDA</t>
  </si>
  <si>
    <t>NACION</t>
  </si>
  <si>
    <t>QUINDIO</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</si>
  <si>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</si>
  <si>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</si>
  <si>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</si>
  <si>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</si>
  <si>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</si>
  <si>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</si>
  <si>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</si>
  <si>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</si>
  <si>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</si>
  <si>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</si>
  <si>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</si>
  <si>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</si>
  <si>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</si>
  <si>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</si>
  <si>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</si>
  <si>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</si>
  <si>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</si>
  <si>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</si>
  <si>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</si>
  <si>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</si>
  <si>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</si>
  <si>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</si>
  <si>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</si>
  <si>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</si>
  <si>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</si>
  <si>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</si>
  <si>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</si>
  <si>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</si>
  <si>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</si>
  <si>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</si>
  <si>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</si>
  <si>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</si>
  <si>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</si>
  <si>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</si>
  <si>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</si>
  <si>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CESAR</t>
  </si>
  <si>
    <t>NARIÑO</t>
  </si>
  <si>
    <t>GIRARDOT</t>
  </si>
  <si>
    <t>RAQUIRA</t>
  </si>
  <si>
    <t>GIRON</t>
  </si>
  <si>
    <t>SEGOVIA</t>
  </si>
  <si>
    <t>ACUED.</t>
  </si>
  <si>
    <t>C. SALUD</t>
  </si>
  <si>
    <t>C.EDUCAT.</t>
  </si>
  <si>
    <t>ALCANT.</t>
  </si>
  <si>
    <t>CONTAMINACION</t>
  </si>
  <si>
    <t>BARRIO JORGE ELIESER GAITAN. REPORTE DEL CREPAD.</t>
  </si>
  <si>
    <t>VEREDA PIRAGUA. REPORTE DEL CREPAD.</t>
  </si>
  <si>
    <t>VIA A LAS VEREDAS BRISAS, NUEVO HORIZONTE Y PARAMO. REPROTE DEL CREPAD.</t>
  </si>
  <si>
    <t>VEREDA LA LOTERIA, CRECIENTE SUBITA DE LA QUEBRADA BARBAS. REPORTE DEL CREPAD.</t>
  </si>
  <si>
    <t>BARRIO SANTO DOMINGO MEDRANO Y SECTOR DIVINO NIÑO, REPORTE DE LA DEFENSA CIVIL.</t>
  </si>
  <si>
    <t>SECTOR CAMILO C, REPORTE DEL CREPAD.</t>
  </si>
  <si>
    <t>REPORTE DEL CREPAD. DESLIZAMIENTO EN EL SECTOR EL TABOR QUE MANTIENE TAPONADA LA VIA QUE COMUNICA SAN JOSE DEL PALMAR CON CARTAGO. SE ESTA RELAIZANDO EDAN.</t>
  </si>
  <si>
    <t>BARRIO NAPOLES, DESCEPAZ. DESBORDAMIENTO DE LOS RIOS MELENDEZ, PANCE, LILY, CAÑAVERALEJO, CALI, CAUCA, AFECTACION EN  LAS VIAS PUBLICAS, ALCANTARILLADOS,   CASAS, AVERIAS POR CAIDA DE ARBOLES, A LA VEZ OCURRIO DESLIZAMIENTO EN EL COORR/TO DE LA BUITRERA, EN LAS VERDAS PUEBLO NUEVO. REPORTE DEL CREPAD Y CLOPAD. CORREGIMIENTO NAVARRO, PANCE, VILLA CARMELO., LA BUITRERA</t>
  </si>
  <si>
    <t>URBANIZACION ALCORES. FAMILIAS EACIADAS. REPORTE DE LA DEFENSA CIVIL.</t>
  </si>
  <si>
    <t>VEREDA LA DOCTORA. TRES VEHICULOS ATRAPADOS. REPORTE DEL CREPAD.</t>
  </si>
  <si>
    <t>BARRIO  LA PRADERA. REPORTE DEL CREPAD.</t>
  </si>
  <si>
    <t>URBANIZACION VILLAS DE SANTIAGO, DESBORDAMIENTO DEL RIO PERALONSO, REPORTO CARLOS ALDEMAR GARCIA</t>
  </si>
  <si>
    <t>VEREDA: EL HATO. REPORTE DEL CREPAD</t>
  </si>
  <si>
    <t>VEREDAS: ALTO DEL ROSARIO, MANILLAS, CAÑADAS, VIANICITO, CHUCUMA, GUATE, CALAMBATA, ALTA GRACIA ALTO DE3L PUEBLO, BALAUNDA, ATILLO, MOLINO Y PLAN DE VIVIENDA PERIMETRO URBANO. REPORTE DEL CREPAD.</t>
  </si>
  <si>
    <t>REPORTE DEL CREPAD. CORREGIMIENTO TUNIA, BARRIO SAN JOSE BAJO, PORVENIR, BRISAS, LA INMACULADA, VEREDAS 11 DE NOVIEMTBRE, CAÑA DULCE, LA PALOMERA, LOS NARANJOS, SAN ISIDRO.</t>
  </si>
  <si>
    <t>DESBORDAMEITNO QUEBRADA LE RODEO. AFECTADAS VIAS PAICOL - LA PLATA Y BELALCAZAR - CAUCA.  REPORTE DEL CREPAD.</t>
  </si>
  <si>
    <t>CACERES</t>
  </si>
  <si>
    <t>GIRARDOTA</t>
  </si>
  <si>
    <t>SABANETA</t>
  </si>
  <si>
    <t>SAN ROQUE</t>
  </si>
  <si>
    <t>PUERTO CONCORDIA</t>
  </si>
  <si>
    <t>MAQUINISTA QUE REALIZABA OBRAS DE APERTURA DE LA VIA. REPORTE DEL CREPAD.</t>
  </si>
  <si>
    <t>TAMBORES. REPORTE DEL CREPAD</t>
  </si>
  <si>
    <t>PERDIDA EN CULTIVOS DE BANANITO, CACAO, CAFÉ, MAIZ, CAÑA, FRIJOL, YUCA Y PASTOS</t>
  </si>
  <si>
    <t>EL ENCANTO, SAN JUAN,
 LA CRISTALINA, BAJO BARAKIRURA, LA PALMITA, HUMACAS, EL ENCANTO, INAMURCITO, PUERTO LETICIA, LA IBERIA, REGADEROS, LA MARIA, SIMILITO, EL TAMBO, LA CUMBRE, COSTA RICA, EL DIAMANTE, EL ENCANTO, CITRU, BACORI, AGUITA, BAYADOLIT.. REPORTE DEL CREPAD</t>
  </si>
  <si>
    <t>LA NONA, EL ZURRUMBO,
 LA CEJA, EL RECREO. REPORTE DEL CREPAD</t>
  </si>
  <si>
    <t>PERDIDA DE CAFÉ</t>
  </si>
  <si>
    <t>BARRIOS: IBARO I Y II, SECTOR DE RIOFRIO. DESBORDAMIENTO DEL RIOFRIO, AFECTACION EN LAS VIAS DEL CASCO URBANO, POSIBLE CRECIENTE DEL RIO BOGOTA, PENDIENTE MÀS INFORMACION. REPORTE DEL CREPAD.</t>
  </si>
  <si>
    <t>INSPECCION: TOBIA CHICA, VEREDAS: CAJON, MANATIAL. REPORTE DEL CREPAD.</t>
  </si>
  <si>
    <t>VEREDAS: MARGARITA Y BUENOS AIRES. DESBORDAMIENTO CAÑO URICHARE. REPORTE DE LA DEFNSA CIVIL Y SOCORRO NACIONAL</t>
  </si>
  <si>
    <t>VEREDA: LA GRANJA, FINCA: MARACAIBO. REPORTE DEL CREPAD.</t>
  </si>
  <si>
    <t>REPORTE DE MINPROTECCION SOCIAL</t>
  </si>
  <si>
    <t>VENDAVAL ACOMPAÑADO DE FUERTES LLUVIAS, DAÑO EN LA BOCATOMA DEL ACUEDUCTO. REPORTE DEL CREPAD</t>
  </si>
  <si>
    <t>VIA GUAMAL PUENTE QUEMADO REPORTE DEL CREPAD. APOYO DEL FNC MEDAINTE GIRO DIRECTO AL CLOPAD PARA COMPRA DE COMBUSTIBLE.</t>
  </si>
  <si>
    <t>ZONA RURAL. AFECTACION EN VIAS RURALES Y DESBORDAMIENTO DE QUEBRADAS. APOYO DEL FNC MEDIANTE GIRO DIRECTO AL CLOPAD PARA ALQUIELR DE MAQINARIA Y COMPRA DE COMBUSTIBLE</t>
  </si>
  <si>
    <r>
      <t xml:space="preserve">BARRIOS 23 DE  ABRIL, EL PORVENIR, BETANIA Y OTROS, DESBORDAMIENTO RIO ZULIA Y PAMPLONITA. REPORTE DEL CREPAD EL </t>
    </r>
    <r>
      <rPr>
        <b/>
        <sz val="9"/>
        <rFont val="Arial"/>
        <family val="2"/>
      </rPr>
      <t>VALOR DE OTROS CORRESPONDE A BOTE TIPO JHONSON, PLANTA ELECTRICA DE 4.2 KW, 4 MOSQUETONES EN ACERO, 2 ARNECES, 2 CUERDAS ESTATICAS POR 100 METROS, 2 CUERDAS DINAMICAS POR 100 METROS, 2000 ESTUFAS, 4 OCHOS EN ACERO CON OREJAS, 20 CHALECOS SALVAVIDAS.</t>
    </r>
  </si>
  <si>
    <t>SECTOR URBANO Y RURAL. REPORTE DEL CREPAD.. 50 TANQUES DE PLASTICO DE 250</t>
  </si>
  <si>
    <t>QUEBRADA LIMONES, Y PUEBLO NUEVO. Reporte del crepad.</t>
  </si>
  <si>
    <t>SECTORES  ADYACENTES AL RIO MANZANO. Actualiacion del crepad</t>
  </si>
  <si>
    <t>SECTOR TIBISTA. Actualizacion del crepad</t>
  </si>
  <si>
    <t>VEREDAS EL LLANO, CASA BLANCA, QUEBRADA  HONDA, CIATOQUE, PITA, CHOQUE. Actualizacion del crepad</t>
  </si>
  <si>
    <t>SECTORES  SAUSALIN , AGUACALIENTE. ACTUALIZACION DEL CREPAD</t>
  </si>
  <si>
    <t>VARIOS SECTORES. ACTUALIZACION DEL CREPAD</t>
  </si>
  <si>
    <t>VEREDA PUENTE  AREPAS, BARRIO CAMILO TORRES. ACTUALIZACION DE CREPAD</t>
  </si>
  <si>
    <t>SECTORES  CRUZ DE  JARRO, PROVIDENCIA, SUESCUN. ACTUALIZACION DEL CREPAD.</t>
  </si>
  <si>
    <t>BARRIOS SOCONSAQUE Y ORIENTE. ACTUALIZACION DEL CREPAD</t>
  </si>
  <si>
    <t>BARRIO LIMON DULCE, EL CARMEN, VEREDAS SATOVA  ABAJO Y SATOVA ARRIBA. ACTUALIZACION DEL CREPAD</t>
  </si>
  <si>
    <t>SECTORES PALMAR, OVACHIA, CALERA, GALVAN, BAVATA, LA  CARRERA, COLORADOS. ACTUALIZACION DEL CREPAD</t>
  </si>
  <si>
    <t>SECTOR  ARRAYAN ALTO, RITOQUE, QUEBRADA  ARRIBA. ACTUALIZACION DEL CREPAD</t>
  </si>
  <si>
    <t>BARRIOS BETANIA, CAMPOALEGRE, TABOR, TARPEYA,  BUENAVISTA, SANTA ISABEL, MINACHAL, MORAY, YOPOS. ACTUALIZACION DEL CREPAD</t>
  </si>
  <si>
    <t>VARIOS SECTORES ACTUALIZACION DEL CREPAD</t>
  </si>
  <si>
    <t>BARRIOS CENTRO, BARACUTA, HATO BATAN, OCAVITA, LA  ESTANCIA, JUPA, DATAL, TOPACHOQUE.. ACTUALIZACION DEL CREPAD</t>
  </si>
  <si>
    <t>CASCO URBANO. ACTUALIZACION DEL CREPAD</t>
  </si>
  <si>
    <t>INFORMA EL DIRECTOR DEL GREPAD DE CAUQUETA EL SEÑOR GUSTAVO RAMIREZ, QUE  EL DIA DE HOY SE PRESENTO UN INCENDIO EN EL BARRIO IDEMA DE FLORENCIA, QUE AFECTO VARIAS VIVIENDAS, NO HUBO PERSONAS LESIONAS. AUN ESTA POR  DETERMINAR LA  CAUSA, EN EL SITIO  ESTUVO POLICIA, DEFENSA CIVIL,BOMBEROS.</t>
  </si>
  <si>
    <t>EL SEÑOR LUIS ENRIQUE GRAJALES COORDONADOR DE COMUNICACIONES DEL GREPAD DEL QUINDIO INFORMA DE VENDAVAL QUE  AFECTO PARCIALMENTE LA CASA DE CULTURA,COLEGIO LICEO ANDINO,HOSPITAL MENTAL,CAIDA DE ARBOLES SOBRE LAS  VIAS, NO  HUBO REPORTE DE PERSONAS LESIONADAS.</t>
  </si>
  <si>
    <t>FUERTES VIENTOS PROVOCARON AFECTACION DE LAS FAMILIAS  Y PERSONAS EN LA  COMUNIDAD PASAGUEDA, NO VICTIMAS. SOCORRO NACIONAL SRA. SANDY MARROQUIN TEL 4376369</t>
  </si>
  <si>
    <t>INUNDACION POR  LLUVIAS EN EL CORREGIMIENTO CERRILLO. REPORTE  SOCORRO NACIONAL SRA. SANDY MARROQUIN TEL 4376369.</t>
  </si>
  <si>
    <t>EVENTO PRESENTADO EN EL CORREGIMIENTO CAMARONES VEREDA  BOCAS DE  CAMARONES, VIVIENDAS AFECTADAS  EN SUS TECHOS. REPORTE  CLOPAD RIOHACHA DRA. HILDA LUBO GUTIERREZ  CEL 3202400778, SOCORRO NACIONAL SRA, SANDY MARROQUIN TEL 4376369.</t>
  </si>
  <si>
    <t>DEBIDO A FUETES LLUVIAS SE  DESBORDO LA  QUEBRADA LA  GARCIA  AFECTANDO 60 FAMILIAS EN EL CASCO URBANO. REPORTE CREPAD ANTIOQUIA  DR. GILBERTO MAZO CEL. 3146327933</t>
  </si>
  <si>
    <t>DEBIDO A  FUERTES LLUVIAS EL DIA  17/09/2011 FUERON AFECTADOS LOS BARRIOS LA ESTACION , SAUCEDALES Y BETANIA NO HUBO LESIONADOS . REPORTE  DEFENSA  CIVIL SR. WILLIAM SARMIENTO TEL 3199000.</t>
  </si>
  <si>
    <t>POR  FUERTES  LLUVIAS  PRESENTADAS EN EL BARRIO SIMON BOLIVAR  EL DIA  16/09/2011 FUERON AFECTADAS 21 FAMILIAS 105 PERSONAS. INFORMA  DEFENSA  CIVIL. SR. WILLIAM SARMIENTO.</t>
  </si>
  <si>
    <t>REPORTA EL DIRECTOR SECCIONAL DE DEFENSA CIVIL DEL META. 2 VIVIENDAS AFECTADAS EN SUS TECHOS EN LA CABECERA MUNICIPAL.</t>
  </si>
  <si>
    <t>INFORMA LA DIRECTORA DEL GREDPAD  SE  AFECTO UNA ESCUELA, LA CUAL NO PODRAN REALIZAR CLASES. IGUALMENTE SE AFECTO ANCIANATO, HUBO TAMBIEN AFECTACION EN GANADO VACUNO Y PASTO DE ENGORDE.</t>
  </si>
  <si>
    <t>INFORMA LA DIRECTORA DEL GREDPAD  SE  AFECTO A CAUSA DE LAS  LLUVIAS  LAS  VIAS POR CAIDA DE ARBOLES, 2 VIVIENDAS EN EL BARRIO EL RETIRO</t>
  </si>
  <si>
    <t>APOYO DEL FNC MEDIANTE GIRO DIRECTO AL CLOAD PARA ADQUISICION DE COMBUSTIBLE ($36.000.000) Y ALQUILER DE MAQUINA PILOTEADORA ($64.000.000)CON EL FIN DE CONTINUAR LOS TRABAJOS DE REFORZAMIENTO DE JARILLONES Y CONSTRUCCION DE MUROS DE CONTENCION PARA MITIGAR LOS EFECTOS DE LA TEMPORADA INVERNAL.</t>
  </si>
  <si>
    <t xml:space="preserve">VENDAVAL, ACOMPAÑADO DE FUERTES LLUVIAS </t>
  </si>
  <si>
    <t>VENDAVAL, AFECTADO 1 CENTRO DE SALUD, 1 CENTRO EDUCATIVO, 1 PARROQUIA, INFORMO CREPAD DEL META, DRA. CLARA INES CARVAJAL, VIA CORREO ELCETRONICO</t>
  </si>
  <si>
    <t>CRECIENTE SUBITA DE LA QUEBRADA NARANJILLA, EN EL BALNEARIO LA HAMACA, 1 SEÑORA DE NOMBRE: YOLANDA QUIÑONES DESAPARECIDA, 1 MENOR RESCATADO CON VIDA, INFORMO CREPAD DE SANTANDER, DRA. JUDITH MIRANDA AVILA, CEL. 3202407259, MINISTERIO DE LA PROTECCIÒN SOCIAL, SR. OMAR GONZALEZ, 3305071</t>
  </si>
  <si>
    <t>INUNDACIONES POR FUERTES LLUVIAS, AFECTANDO LOS BARRIOS DE: SANTO DOMINGO, AMÈRICAS, CARRIZAL, 7 DE ABRIL, SIMÒN BOLIVAR, EL PUEBLITO, EL BOSQUE, SANTA MARIA, VILLA SAN PEDRO II, LA CORDIALIDAD, LOS ANGELES, LAS MALVINAS, CAIDA DE PLACA DE CONCRETO  DE 7 METROS DE LARGO, A RAIZ DE FUERTES LLUVIAS, EN EL SECTOR DE LA CALLE MURILLO ENTRE LA CARRERA 43 Y 44 , DEJANDO 1 PERSONA MUERTA DE NOMBRE: WULMAN ENRIQUE QUIJANO ARANDA DE 64 AÑOS DE EDAD  Y 3 PERSONAS LESIONADAS LEVEMENTE,  INFORMO CLOPAD DE BARRANQUILLA, DR. GUILLERMO SISTORI, CEL 3202398442, MINISTERIO DE LA PROTECCIÒN SOCIAL, SR. OMAR GONZALEZ 3305071, SOCORRO NACIONAL, SRA. SANDY MARROQUIN, 3305071</t>
  </si>
  <si>
    <t>APOYO DEL FNC MEDIANT GIRO DIRECTO AL CLOPAD PARA LA ADQUISICION DE COMBUSTIBLE PARA APOYAR EL DESPLAZAMIENTO A LAS DIFERENTES COMUNIDADES VIA FLUVIAL</t>
  </si>
  <si>
    <t>INFORMAN DE AFECTACION DE VIVIENDAS EN EL MUNICIPIO DE ACANDI, QUEDA PENDIENTE REPORTE DEL CREPAD DEL CHOCO. EL VALOR DE OTROS CORRESPONDE A   1039 LIBRAS DE CLAVOS DE 2 1/2 PARA ZINC</t>
  </si>
  <si>
    <t>EXPLOSIÒN POR ACUMULACIÒN DE GASES EN MINA DE CARBÒN, DE NOMBRE: EL DIAMANTE ORO NEGRO, N. 01-085-16, EN LA VEREDA: SOCHA VIEJO, LAS PERSONAS HERIDAS FUERON TRASLADADAS AL HOSPITAL DE DUITAMA,  Y SOCHA, DE NOMBRES: WILSON MENDIVELSO DE 21 AÑOS, SAUL RODRIGUEZ  PARRA DE 47 AÑOS, RAUL OROZCO DE 18 AÑOS, WILSON OLIVARES DE 35 AÑOS, PERSONAS FALLECIDAS: LIBARDO FONSECA DE 25 AÑOS, ALFONSO LAGOS DE 40 AÑOS, JULIO MUNEVAR DE 46 AÑOS, INFORMO MINISTERIO DE LA PROTECCIÒN SOCIAL, SR. JOHN VELASQUEZ, 3305071, CREPAD DE BOYACA, CR. LUIS FERNANDO PIÑEROS, CEL: 3202407303, COORDINADOR OPERATIVO, LUIS HERNENDO RAMIREZ, CEL: 3124780588</t>
  </si>
  <si>
    <t>EXPLOSION DE TUBERIA EN LA HIDROELECTRICA DE CALDAS, SETOR LA ESMERALDA, A LAS 18 HORAS, REPORTE DEL CREPAD.</t>
  </si>
  <si>
    <t xml:space="preserve">EL VALOR DE OTROS CORRESPONDE A 50 ARIETES, </t>
  </si>
  <si>
    <t>DESLIZAMIENTO A CAUSA DE UN REPRESAMIENTO DE LA QUEBRADA GACAL, EN LA VEREDA: GACAL, AFECTADA LA VÌA QUE COMUNICA ESTÀ VEREDA CON EL CASCO URBANO, INFORMO CREPAD DE BOYACA, DR. LUIS HERNANDO RAMIREZ, CEL: 3124780588</t>
  </si>
  <si>
    <t>INCENDIO ESTRUCTURAL EN LA FINCA AMBERES, DAÑOS MATERIALES, APROXIMADAMENTE POR: 60,000,000, INFORMO CLOPAD DEL QUINDIO.</t>
  </si>
  <si>
    <t>APOYO PARA LOS MUNICIPIOS AFECTADOS POR LAS INUNDACIONES LA APARTADA Y MONTELIBANO</t>
  </si>
  <si>
    <t>APOYO MEDIANTE SUBSIDIO DE ARRIENDO POR TRES MESES A RAZON DE $200.000 MES PARA LA FAMILIA EUSEBIA BAUTISTA DAMNIFICADA POR EL PORCESO DE REMOCION EN MASA</t>
  </si>
  <si>
    <t>VENDAVAL, EN EL CORREGIMIENTO DE: SAN DIEGO, SE EVACUARON 11 FAMILIAS AL SALÒN COMUNAL DEL MPIO, NFORMO CP. DANIEL CASTAÑO, CREPAD DE CALDAS DR. FELIX RICARDO GIRALDO, CEL: 3148787283</t>
  </si>
  <si>
    <t>AFECTADOS LOS SECTORES: LAS MERCEDES Y LAS CRUCES-3 VIAS SECUNDARIAS AFECTADAS-INFORMO EL SEÑOR ALCALDE DR: BALMORE GONZALEZ CEL: 3137658962-CREPAD ANTIOQUIA DR: PABLO PUERTA.</t>
  </si>
  <si>
    <t>SECTOR SANJA HONDA INCOMUNICADO SAN ANTONIO CON EL CORREGIMIENTO DE PLAYA RICA REPORTE DEL CREPAD</t>
  </si>
  <si>
    <t>INUNDACIÒN POR FUERTES LLUVIAS, EN LA CIENAGA DE LA BARBARA, INFORMO D.C.C, SR. ALBERTO BOTTIA 3199000</t>
  </si>
  <si>
    <t>A RAIZ DE FUERTES LLUVIAS, COLAPSO DE PUENTE VEHICULAR, EN EL SECTOR: SANJA HONDA, DEJANDO INCOMUNICADO EL MPIO CON EL CORREGIMIENTO DE: PLAYA RICA, INFORMO CP. DANIEL CASTAÑO, CEL: 3202407030, CREPAD DEL TOLIMA, SR. GUSTAVO GALINDO, CEL: 3132830364</t>
  </si>
  <si>
    <t>DESBORDAMIENTO DEL RÌO SAN JORGE, REALIZAN EDAN, INFORMO D.C.C, SECCIONAL CORDOBA, MY. RAUL ANTONIO GOMEZ PATIÑO, CEL: 3118084415</t>
  </si>
  <si>
    <t>DESBORDAMIENTO DEL RÌO SAN JORGE, AFECTADAS LAS VEREDAS: EL ONCE, BOCAS DE MANUELITA,  BARRIOS: LOMA FRESCA, MUCHAJAGUA, SAN LUIS BAJO, LA PESQUERA, 11 DE NOVIEMBRE, CENTRO, CALLE NUEVA, VILLA CLEME, PIÑALITO, SAN FELIPE, CESAR CURA, SAN FRANCISCO, SAN JO</t>
  </si>
  <si>
    <t>APOYO DEL FNC PARA LA REPARACION DE 100 VIVENDAS AFECTADAS POR LA TEMPORADA INVERNAL EL VALOR DE OTROS CORRESPONDE A 336 BLOQUES DE CEMENTO, 15X20X40, 197 CABALLETES, 1815 LADRILLOS DE 10X20X40, 3315 LADRILLOS DE 12X20X40, 8410 LADRILLOS DE 15X20X40, 4 TANQUES DE 1000 LTSA. 250 KILOS VARILLA DE HIERRO EN CHIPA DE 1/4", 61 VARILLAS DE 1/2, 260 VARILLAS DE 3/8.</t>
  </si>
  <si>
    <t>EL VALOR DE OTROS CORRESPONDE A 2000 TEJAS DE BARRO GRANDE</t>
  </si>
  <si>
    <t>ENTREGAR EN BATALLON DE MAGANGUE</t>
  </si>
  <si>
    <t>EL VALOR DE OTROS CORRESPONDE A 1200 LIBRAS PUNTILLA DE 2 1/2, 900 LIBRAS PUNTILLA DE 3", 550 LIBRAS PUNTILLA DE 4", 950 LIBRAS PUNTILLA PARA TEJA DE ZINC, 110 GALONES DE VINILO TIPI I, 225 GALONES DE VINILO TIPO II.</t>
  </si>
  <si>
    <t>50 PICAS, 50 PALAS, 30 AZADONES. SOLICITUD DE BOMBEROS EL BANCO.</t>
  </si>
  <si>
    <t xml:space="preserve">110 VARILLAS DE 3/8, 100 VARILLAS DE 1/4, 17000 LADRILLO MACIZO, 460 CERCHAS METALICAS DE 3X1 1/2 X 6 MTS, 1000 AMARRES EL  ZINC DE 3 METROS. </t>
  </si>
  <si>
    <t>5 VOLQUETADAS DERELLENO, 1 DE TRITURADO, 1 DE ARENA, 1000 BLOQUES, 80 MT CUADRADOS DE TABLETAS (PARA FORTALECIMIENTO DE LA DEFENSA CIVILYA QUE SE VIO AFECTAD LA SEDE.</t>
  </si>
  <si>
    <t>DEL REPORTE DE 134 FAMILIAS, 99 CORRESPONDE A AGRICULTORES, VIA LA AGUADA - EL COMUN, EL PARAISO - CASA QUEMADA - DOS RIOS, VIA EL CONVENTO LA MORAVIA - PARAISO</t>
  </si>
  <si>
    <t xml:space="preserve">santana - portachuelo, la loma - el alisal, santaclara - cualchud alto, pilcuan - puente rio sapuyes, santarosa - san isidro, camino viejo de bolivar, cuarchud alto, san isidro - el carmen, portachuelo - buenaventura, bellavista alto - bellavista bajo, llano de flores - imues, santarosa - boqueron, centro educativo pilcuan viejo, acueducto cabecera municipal, acueducto y alcantarillado el pedregal, </t>
  </si>
  <si>
    <t>95 AGRICULTORES, la laguna - san antonio, sector casco urbano - canada - el paramo, sector veredas el murcielago - el maco - la palma  - la floresta, daños permanentes en bocatomas y sistemas de alcantarillado: barrio gigante, quebrada los sedros, quebrada purgatorio, avenida los casiques, puente de acceso via sotomayor la llanada, intalaciones de acueducto en el sector purgatorio, ese san juan bosco en riesgo por deslizamiento parte posterior</t>
  </si>
  <si>
    <t>providencia - german - ahumado, providencia - guanama, CE vereda santa lucia, CE vereda la floresta; bocatoma y lineas de conduccion acueducto cabecera urbana, bocatoma acueducto santa lucia, taponamiento en alcantarillado betania, bocatoma acueducto betania</t>
  </si>
  <si>
    <t>618 AGRICULTORES</t>
  </si>
  <si>
    <t>1322 AGRICULTORES</t>
  </si>
  <si>
    <t>39 PRODUCTORES, C.E. LA LOMA Y C.E. CARLOS ALBORNOS.</t>
  </si>
  <si>
    <t xml:space="preserve">799 AGRICULTORES, via circumbalar arboleda, centro edicativo el tambillo de acostas, escuela erboleda, CE parapetos, escuela centro tabiles, acueducto corregimiento tabiles y bella florida, acueducto vereda poroto </t>
  </si>
  <si>
    <t>119 PRODUCTORES.</t>
  </si>
  <si>
    <t xml:space="preserve">la Estancia - Tajumbina; Cofradia - San Gerardo; la Cruz - Cabuyales; La Cruz - La Cuchilla; Relleno sobre el boxcoulvert; Carrera 10 entre calles 3 y 5; Barrio Sultana; via matadero municipal; via cementerio; </t>
  </si>
  <si>
    <t>afectado CE de la Vereda curcuel, destrucción total de la infraestructura del grado preescolar Afectaciones en el Patio de la Escuela Afectaciones sobre la infraestructura de los Grados  Primero, Segundo, Cuarto y Quinto. Afectaciones en el Comedor y Cocina del Restaurante Escolar.</t>
  </si>
  <si>
    <t>VIAS QUE CONDUCEN A LOS SECTORES CHAPIURCO, TAMBO BAJO, VIÑA Y SOCORRO, CENTROS EDUCATIVOS JUAN IGNACIO ORTIZ SECTOR PRIMARIA Y C.E. CHAPIURCO</t>
  </si>
  <si>
    <t>14 AGRICULTORES, CIERRE DE LA VIA POLICARPA.</t>
  </si>
  <si>
    <t xml:space="preserve">EN EL REPORTE SE INLUYE A 70 PRODUCTORES, VIAS BELEN - SANTA ROSA, BELEN - PEÑA NEGRA, BELEN - PASTO, BELEN - COLON, BELEN - LA ESPERANZA, VIA LA RELLENO SANITARIO, I.E. NUESTRA SEÑORA DE BELEN, I. E. SANTA ROSA SEDE 2, I.E. AGROPECUARIA LA ESPERANZA </t>
  </si>
  <si>
    <t>41 agricultores, Centro educativo la estacia</t>
  </si>
  <si>
    <t>destruccion de 2 puentes en especial el de la quebrada guaracayaco en el km 11,50 en la via que conduce de aponte a pompeya; hundimiento de la via en el km 13 antes de pompeya; via el tablon - buesaco; tablon - san jose; el tablon - la victoria - las mesas; la victoria - las mesas; la victoria - la cueva; la victoria - aponte; el plan - el silencio, via afectada aponte - pompeya, via departamental Tablon de Gomez - Las Mesas CERRADA</t>
  </si>
  <si>
    <t xml:space="preserve">cerrado el paso de la via que conduce del casco urbano con las veredas san luis, la tola, san antonio, el consuelo, el desierto por el riesgo de colapso del puente  </t>
  </si>
  <si>
    <t>VEREDAS MONQUACHE, PERICO,PATIO BONITO, ORATORIA, LA PUERTA TORGA Y LAS VIAS DEL MUNICIPIO. REPORTE DEL CREPAD.</t>
  </si>
  <si>
    <t>VEREDA CALAHORRA. REPORTE DEL CREPAD</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</si>
  <si>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</si>
  <si>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</si>
  <si>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</si>
  <si>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</si>
  <si>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</si>
  <si>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</si>
  <si>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</si>
  <si>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</si>
  <si>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</si>
  <si>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</si>
  <si>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</si>
  <si>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</si>
  <si>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</si>
  <si>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</si>
  <si>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</si>
  <si>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</si>
  <si>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</si>
  <si>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</si>
  <si>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</si>
  <si>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VEREDA SIERRA DEL GUAMAL. REPORTE DEL CREPAD</t>
  </si>
  <si>
    <t>CORREGIMIENTO EL CERRO. REPORTE DEL CLOPAD</t>
  </si>
  <si>
    <t>VEREDAS: SANTA ROSA, PALMIRA, CASICASGO BARRANCAS Y CENTRO POBLADO. CRECIENTE DEL RIO BOGOTA, AFECTA PASTOS Y CULTIVOS. REPORTE DEL CREPAD.</t>
  </si>
  <si>
    <t>VEREDA: LA FLORIDA. DESBORDAMIENTO QUEBRADA SAN ISIDRO. REPOTRTE DEL CREPAD</t>
  </si>
  <si>
    <t>SECTOR: PUENTE ELISEO. TRES PERSONAS QUE PRACTICABAN CANOTAJE, FUERON ARRASTRADOS POR EL RIO GUAVIO. REPORTE DEL CREPAD.</t>
  </si>
  <si>
    <t>VEREDAS :   OJO DE AGUA, GIRONES,  PEDREGAL, PALACIOS Y NOVOA. DESBORDAMEINTO RIO SUTATAUSA. REPORTE DEL CREPAD.</t>
  </si>
  <si>
    <t>VIA ANAPOIMA- BOGOTA, KM: 18+500. TAPONAMIENTO TOTAL EN LA VIA ANAPOIMA- BOGOTA. REPORTE EL CREPAD.</t>
  </si>
  <si>
    <t>ZONA RURAL Y URBANA. DEBORDAMIENTO RIO MAGDALENA, REPORTE DEL CREPAD</t>
  </si>
  <si>
    <t>VEREDAS: BUENA VISTA, CARRISALA, SAN RAFAEL, TEQUENDAMA, LOS PEÑONES. DEBORDAMIENTO RIO MAGDALENA, REPORTE DEL CREPAD</t>
  </si>
  <si>
    <t>ZONA URBANA Y RURAL. DEBORDAMIENTO RIO MAGDALENA, REPORTE DEL CREPAD</t>
  </si>
  <si>
    <t>ZONA URBANA Y RURAL.DEBORDAMIENTO RIO MAGDALENA, REPORTE DEL CREPAD</t>
  </si>
  <si>
    <t>SECTORES: COLOSITO, MAMONSITO, BOTON DE LEIVA, GUATACA, CORREGIMIENTO: LA MONTAÑA. DEBORDAMIENTO RIO MAGDALENA, REPORTE DEL CREPAD</t>
  </si>
  <si>
    <t>SECTORES: GUATACA, PIÑONES. DEBORDAMIENTO RIO MAGDALENA, REPORTE DEL CREPAD</t>
  </si>
  <si>
    <t>VEREDAS HATO FIERO,CHINGACIO, APOCENTOS, RETIRO DE INDIOS SAQUCIO, CHAINATA, AGUA CALIENTE, SECTOR EL PUENTE, TILATA, CRUCES Y PEDREGAL. INUNDACIONES CON DESLIZAMIENTOS POR FUERTES LLUVIAS, 450 HECTAREAS AFECTADAS DE CULTIVOS Y PASTOS. REPORTE DEL CREPAD.</t>
  </si>
  <si>
    <t>COLEGIO LUIS MARIO, PERDIDAS MATERIALES, AFECTADO ARCHIVO Y SALA DE COMPUTADORES. REPORTE DE BOMBEROS.</t>
  </si>
  <si>
    <t>FUERTES LLUVIAS. REPORTE DE LA DEFENSA CIVIL. SR. WILLIAM SARMIENTO.</t>
  </si>
  <si>
    <t>BARRIO POPULAR.</t>
  </si>
  <si>
    <t>COLAPSO EN LA CONSTRUCCION DE UN MURO DE ALCANTARILLADO. REPORTE DE BOMBEROS</t>
  </si>
  <si>
    <t>COREGIMIENTO DE BARCELONA. TTRES BARRIOS AFECTADOS POR TAPONAMIENTO DE ALCANTARILLADO. REPORTE CREPAD.</t>
  </si>
  <si>
    <t>CASCO URBANO REPORTE DE LA DEFENSA CIVIL</t>
  </si>
  <si>
    <t>VEREDAS EL RECREO, CORREGIMIENTO ALTAMIRA, REPORTE DE LA DEFENSA CIVIL</t>
  </si>
  <si>
    <t>CERRO GALLEJA Y VEREDA GATO. REPORTE DE LA DEFENSA CIVIL.</t>
  </si>
  <si>
    <t>BARRIO LA FLORESTA, CARRERA 68 B CON 45 REPORTE DEL CLOPAD</t>
  </si>
  <si>
    <t>AFECTADO UN LOCAL COMERCIAL Y DAÑOS MATERIALES</t>
  </si>
  <si>
    <t>VIA BOGOTA - FACA. REPORTE DE LA DEFENSA CIVIL</t>
  </si>
  <si>
    <t>AFECTADA UNA FABRICA DE COLCHONES Y DAÑOS MATERIALES.</t>
  </si>
  <si>
    <t>VEREDAS EL GUARUYO, LA PRIMAVERA, EL CAUCHO, LA LOMA, MERCADILLO, CARACOL, SAN MIGUEL. REPORTE DEL CREPAD.</t>
  </si>
  <si>
    <t>BARRIOS CANADA, BAJO PEDREGAL, MIRAFLORES, TIERRA DE PROMISIONES. REPORTE DEL CREPAD DE HUILA.</t>
  </si>
  <si>
    <t>PERDIDA DE CULTIVOS DE  CHULUPA, MARACUYA, TOMATE Y CILANTRO.</t>
  </si>
  <si>
    <t>BARRIO 7 DE AGOSTO. REPORTE DEL CREPAD.</t>
  </si>
  <si>
    <t>CORREGIMIENTO BORAUDO, REPORTE DEL CREPAD.</t>
  </si>
  <si>
    <t>CRA 17 CALLE 16 REPORTE DE DEFENSA CIVIL. AFECTADA ALCALDIA OFICINA DE BIENES Y SUMINISTROS</t>
  </si>
  <si>
    <t>KM 15 SITIO BANADIAS REPORTEDE SOCORRO NACIONAL Y CREPAD.</t>
  </si>
  <si>
    <t>REPORTE DEL SOCORRO NACIONAL. SECTOR JUANCHITO.</t>
  </si>
  <si>
    <t>VEREDA EL ROSARIO, FINCA LA PEDRERA, RIO CHINCHINA. REPORTE DEL SOCORRO NAL Y DEL CREPAD</t>
  </si>
  <si>
    <t>LA DIRECTORA DEL CREPAD DEL CAUCA DRA. JUDITH J. PAZ  INFORMA DE VENDAVAL EN EL MUNICIPIO DE VILLA RICA EN LAS VEREDAS SAN IGNACIO, CHALO DONDE  SE  AFECTARON VIVIENDAS EN ESPECIAL SU CUBIERTAS, CULTIVOS (YUCA,PLATANO,ZAPOTE,MAIZ), EN  LA  ZONA  SE ENCUENTRA EL COMITÉ MUNICIPAL PRESTANDO LA COLABORACIÓN NECESARIA A LA COMUNIDAD, REALIZANDO CENSOS CON A POYO DE LOS  ORGANISMOS DE SOCORRO</t>
  </si>
  <si>
    <t xml:space="preserve">DR. ENRIQUE GOMEZ DEL SIMPAD MEDELLIN CEL 3202398452  INFORMA QUE  EN LA  TARDE  DE HOY SE PRESENTO VIENTOS FUERTES ACOMPAÑADOS DE  LLUVIAS  QUE  DEJA HASTA  AHORA  UNA VIVIENDA  COLAPSADA. EN EL BARRIO MORAVIA  12 VIVIENDAS  DESTECHADAS EN EL BARRIO SANTA  CRUZ , ARBOLES CAIDOS EN DIFERENTES SITIOS DE MEDELLIN,  SE  PRESENTO DESBORDAMIENTO DE LA  QUEBRADA  BOLO EN LA COMUNA SUROCCIDENTAL. </t>
  </si>
  <si>
    <t>DIA 24/09/2011 SE PRESENTO DESBORDAMIENTO RIO UNGUIA AFECTANDO  APROXIMADAMENTE  700 FAMILIAS EN EL CASCO URBANO  DEL MUNICIPIO, DIA  DE  HOY REALIZAN EDAN. INFORMACION DE  SOCORRO NACIONAL  SRA, SANDY MARROQUIN TEL 4376369 , SOCORRO NACIONAL CHOCO SR. VITALINO PANNESO CEL 3102489331</t>
  </si>
  <si>
    <t>DEBIDO A FUERTES LLUVIAS SE PRESENTO DESBORDAMIENTO DE LA  QUEBRADA LA MARIA AFECTANDO 27 FAMILIAS EN LOS BARRIOS VILLA LIA Y LA  MARIA NO VICTIMAS NI HERIDOS REPORTE  DE  DEFENSA CIVIL SR. OSCAR  RODRIGUEZ TEL 3199000.</t>
  </si>
  <si>
    <t>APOYO A PROYECTO REALIZADO POR LA ASOCIACION DE MUJERES LIDERES SIGLO XXI PARA LA RECUPERACION DE VIVIENDAS AFECTADAS POR LA TEMPORADA INVERNAL. EL VALOR DE OTROS CORRESPONDE A |00 VARILLAS DE 1/2", 100 VARILLAS DE 3/8" Y 50 VIAJES DE ARENA.</t>
  </si>
  <si>
    <t>COMUNIDADES DE SOLEDAD, GUAYABALITO, BOCA DE PAIMADO, CALLE CALIENTE, REQUIEREN RELLENOS DE PLAYAS PARA RECUPERAR LA TRANSITABILIDAD Y PROTECCION DE VIVIENDAS DEL SETOR. APOYO DEL FNC MEDIANTE GIRO DIRECTO AL CLOPAD PARA ADQUISICION DE COMBUSTIBLES, LUBRICANTES Y ALQUILER DE MAQUINARIA.</t>
  </si>
  <si>
    <t>APOYO DEL FNC MEDIANTE GIRO DIRECTO AL CLOPAD PARA ADQUISICION DE COMBUSTIBLE PARA APOYAR EL DESPLAZAMIWENTO PARA ASISTIR A LAS COMUNIDADES AFECTADAS POR LAS INUNDACIONES.</t>
  </si>
  <si>
    <t>DEBIDO A FUERTES  LLUVIAS  EN EL SECTOR  SE PRESENTO CRECENTE  DEL RIO HACHA  DEJANDO 2 PERSONAS ATRAPADAS  EN EL BARRIO LA VEGA  DE  FLORENCIA , ESTAS  PERSONAS FUERON EVACUADAS ILESAS CON LA COLABORACION DE  BOMBEROS  FLORENCIA. REPORTE  CREPAD CAQUETA  DR. GUSTAVO ORTEGA  CEL. 3202407422</t>
  </si>
  <si>
    <t>DEBIDO A  DESBORDAMIENTO DEL RIO PUTUMAYO SE  PRESENTO INUNDACION EN LA  VEREDA VEGA DE  SANTANA AFECTANDO 3 FAMILIAS 12 PERSONAS. SIN VICTIMAS  NI HERIDOS, REPORTE  DEFENSA  CIVIL. SR. OSCAR  RODRIGUEZ TEL 3199000.</t>
  </si>
  <si>
    <t xml:space="preserve">DESBORDAMIENTO DEL RÌO TAPAGE, EN EL CONSEJO COMUNITARIO, EL LIBERAL, AFECTACIÒN EN CULTIVOS, INFORMO, MINISTERIO DE LA PROTECCIÒN SOCIAL, 3305070 </t>
  </si>
  <si>
    <t>CAIDA DE RAYO, SOBRE UNA PERSONA QUE SE ENCONTRABA ENCIMA DE UN VEHICULO, EN EL BARRIO: BARCELONA, VÌA AL MAR, INFORMO MINISTERIO DE LA PROTECCIÒN SOCIAL, SR. OMAR GONZALEZ, 3305071</t>
  </si>
  <si>
    <t xml:space="preserve">VEREDA QUEBRITA. DESLIZAMIENTO SOBRE UNA VIVIENDA. REPORTE DE LA DEFENSA CIVIL, CREPAD Y MINPROTECCION SOCIAL. CUATRO MENORES DOS ADULTOS. </t>
  </si>
  <si>
    <t>APOYO DEL FNC MEDIANTE GIRO DIRECTO AL CLOPAD PARA APOYAR LA CONSTRUCCION DE 10 VIVIENDAS DE INTERES SOCIAL PARA REUBICAR FAMILIAS AFECTADAS POR LA TEMPORADA INVERNAL DE 2010 EN LA ZONA URBANA DEL MUNICIPIO</t>
  </si>
  <si>
    <t>CASCO URBANO SECTORES MARQUETALIA Y PALOMAR.DESBORDAMIENTO RIO MAGDALENA. REPORTE DEL CREPAD APOYO DEL FNC MEDIANTE DOS GIROS DIRECTOS AL CLOPAD PARA REFORZAMIENTO DEL JARILLON DE PROTECCION DE LA CABECERA MUNICIPAL</t>
  </si>
  <si>
    <t>DESLIZAMIENTO DE TIERRA Y PIEDRA, AFECTANDO LA TUBERIA DE CONDUCCIÒN DE LA BOCATOMA DEL ACUEDUCTO, DEJANDO EL 80% DE LA POBLACIÒN SIN SUMINISTRO DE AGUA, INFORMO CREPAD DEL CAQUETA SR. GUSTAVO ORTEGA, CEL. 3153192478</t>
  </si>
  <si>
    <t>SE PRESENTO FUERTES  VIENTOS EN EL CORREGIMIENTO DE  MORELIA  DEJANDO 50 PERSONAS AFECTADAS 10 FAMILIAS AFECTADAS , 10 VIVIENDAS AFECTADAS  EN SUS TECHOS.COMITÉ LOCAL PEREIRA  ATIENDE  EMERGENCIA.  REPORTE CREPAD RISARALDA  DRA. DIANA  CAROLINA  LAVERDE CEL. 3202407252</t>
  </si>
  <si>
    <t>ZONA RURAL 
Y URBANA DESBORDAMIENTO RIO MAGDALENA,, REPORTE DEL CREPAD</t>
  </si>
  <si>
    <t>NO HAY SOLICITUD DE APOYO</t>
  </si>
  <si>
    <t>ACTUALIZACION CREPAD - SEC. AGRICULTURA - SALA DE CRISIS DPTAL MEDIANTE OFICIO 913 DEL 23 DE SEPTIEMBRE DE 2011</t>
  </si>
  <si>
    <t>GIRO DIRECTO PARA APOYAR LA ATENCION DE LA EMERGENCIA GENERADA POR LA TEMPORADA INVERNAL MEDIANTE EL PAGO DE ARRIENDO TEMPORAL PARA 135 FAMILIAS A RAZON DE $200.000 MES, DURANTE TRES MESES.</t>
  </si>
  <si>
    <t>APOYO DEL FNC MEDIANTE GIRO DIRECTO AL CLOPAD PARA LA ADQUISICION DE COMBUSTIBLE PARA LA MAQUINARIA PESADA DEL MUNICIPIO  CON EL OBJETO DE EFECTUAR OBRAS DE REMOCION DE ESCOMBROS Y LIMPIEZA DE CAÑOS EN EL MUNICIPIO}</t>
  </si>
  <si>
    <t>INFORMA BOMBEROS DE LA DORADA CALDAS (telefono 8572018).DESLIZAMIENTO DE ROCA LA CUAL CAE SOBRE VIVIENDA OCACIONANDO LA  MUERTE A LA SEÑORA MARIA OLINDA TOVAR DE 69 AÑOS  DE    E DAD,IDENTIFICADA CON NUMERO DE CEDULA 24703423,.HUBICACION DEL PREDIO CALLE 20 No 13 37 EN EL BARRIO LAS MARGARITAS. NO SE  PRESENTARON MAS AFECTACIONES EN PERSONAS O VIVIENDAS.</t>
  </si>
  <si>
    <r>
      <t>AFECTADA VIA CAPITANEJO - SAN MIGUEL EN LA VEREDA PLATANAL Y LA VIA A LA ESCUELA RURAL DE LA VEREDA PLATANAL.</t>
    </r>
    <r>
      <rPr>
        <b/>
        <sz val="9"/>
        <rFont val="Arial"/>
        <family val="2"/>
      </rPr>
      <t xml:space="preserve"> APOYO DEL FNC MEDIATNME GIRO DIRECTO AL CLOPAD PARA ALUILER DE MAQUINARIA Y COMPRA DE COMBUSTIBLE. EL VALOR DE OTROS CORRESPONDE A MANGUERA DE 1/2" 2000 METROS, MAGUERA DE 1" 2000 METROS,  POLIETILENO DE 2" 2400 M, MANGUERA DE 2 1/2 2000 M, MANGUERA DE 3" 700 M, MANGUERA DE 4"  475 M</t>
    </r>
  </si>
  <si>
    <t>REPORTE DEL CREPAD SECTORES BELLAVISTA, BAJO MORROCOYES, CEDRO, PLANES, PATA VACA, LEON XIII, MESETAS, SANTA RITA, LA ´PERDIZ, CASA BLANCA, EL RUMBON, LA CIENAGA, LA NIEBLA, GUAYABAL, LA QUIEBRA, LA PROVICNCIA, LA CURVA, CABECERA MUNICIPAL, CENTROS POBLADOS LA PEDREGOZA, EL TROPEZON Y CORREGIMEINTO PUEBLO NUEVO. EL VALOR DE OTRAS CORRESPONDE A 50000 METROS DE MANGUERA DE 1/2"</t>
  </si>
  <si>
    <t>APOYO DEL FNC MEDAITNE ALQUILER DE MAQUINARIA PESADA A FIN DE ATENDER LOS PROBLEMAS DE MOVILIDAD EN ALGUNOS MUNICIPIOS (ITUANGO),  DONDE SE PRESENTAN DERRUMBES Y VIVIENDAS EN RIESGO.</t>
  </si>
  <si>
    <t>DESLIZAMIENTO, QUE GENERO UN REPRESAMIENTO DE LA QUEBRADA EL SILENCIO, SE ENCUENTRA EN MONITOREO CONSTANTE, POR PARTE DE ENTIDADES OPERATIVAS, INFORMO SOCORRO NACIONAL SRA. SANDY MARROQUIN, 4376369, CREPAD DE SANTANDER DRA. JUDITH MIRANDA AVILA, CEL: 3202407259</t>
  </si>
  <si>
    <t>COLAPSO EN LA MINA LOS ARRAYANES UBICADA EN LA VEREDA PUEBLO VIEJO, LA EMERGENCIA FUE APOYADA POR BOMBEROS Y SALVAMENTO MINERO-INFORMA CREPAD CUNDINAMARCA  SR: ALONSO MUÑOZ.</t>
  </si>
  <si>
    <t>GIRO PARA COMBUSTIBLE</t>
  </si>
  <si>
    <t>4200 LADRILLOS, 480 BOLSAS DE CEMENTO, 490 MALLA PARA GAVION, 10 ROLLO MANGUERA DE 2, 20 ROLLOS MANGUERA DE 3/4, 20 PRFILES  DE 150X100 MM Y ESPESOR DE 7,95 MM, 60 TEJAS DE AC de 3 m 32 puertas METALICAS, 60 VARILLAS DE 1/2, 40 TABLETAS DE GRES.</t>
  </si>
  <si>
    <t>1010 BULTOS DE CEMENTO, 1000 BLOQUES, 40 VARILLA DE 1/2 70 VARILLAS DE 3/8, 544 ML DE GUAYA DE 1/2",  54 PERNOS, HIERRO DE 1/4 10 KILOS, TUBOS DE 36" 25, TUBOSDE 16" 15.</t>
  </si>
  <si>
    <t>SE PRESENTO VENDAVAL EN LAS VEREDAS: SAN CARLOS, SAN EUGENIO, INFORMO CREPAD DE RISARALDA, DRA. DIANA CAROLINA RAMIREZ</t>
  </si>
  <si>
    <t xml:space="preserve">DESLIZAMIENTO EN EL CORREGIMIENTO DE: SAN CLEMENTE, AFECTO LA BOCATOMA DEL ACUEDUCTO,  INFORMO CREPAD DE RISARALDA, DRA. DIANA CAROLINA RAMIREZ </t>
  </si>
  <si>
    <t>AFECTADOS LOS BARRIOS: TURBAY, COMUNEROS, ISABELLA, LA JULIA, ALASKA, VILLA MARLEN-INFORMA CREPAD QUINDIO DRA ISABEL HERNANDEZ</t>
  </si>
  <si>
    <t>SE PRESENTO VENDAVAL EN CORREGIMIENTO OTUL DEJANDO 10 VIVIENDAS AFECTADAS  EN SUS TECHOS. NO HERIDOS NI VICTIMAS .REPORTE  DAPARD  DR. GILBERTO MAZO CEL. 3202407294</t>
  </si>
  <si>
    <t>A LAS 08:00 HORAS SE PRESENTO INCENDIO EN LAS BODEGAS  DE LA  FABRICA  DE LICORES  DE  CALDAS EN EL KILOMETRO 10 VIA A BOGOTA , COLABORAN EN LA  EXTINCION BOMBEROS  DE  MANIZALES, CHINCHINA, VILLAMARIA, DEFENSA  CIVIL, CRUZ ROJA Y ENTIDADES DE  SOCORRO, REPORTE  CREPAD CALDAS  DR. FELIX RICARDO GIRALDO CEL.3202407300.     --  EL CORONEL RICARDO PEÑA DIRECTOR REGIONAL DE DEFENSA CIVIL DE CALDAS, INDICA QUE A LA HORA 17:00 HORAS AUN CONTINÚAN LAS  LABORES DE EXTINCION. QUE  EN EL SITIO QUE SE INICIO EL INCENDIO HABÍA ALMACENADO DOS MIL (2.000), LITROS DE ALCOHOL, QUE EL ORIGEN DEL INCENDIO ESTA POR ESTABLECERSE, POR LA  MAGNITUD DEL MISMO INCENDIO HUBO QUE  RECURRIR AL APOYO DE LA FUERZA AÉREA CON DOS HELICOTEROS, EN EL SITIO HAY UN TOTAL DE 134 VOLUNTARIOS DE LAS DIFERENTES  INSTITUCIONES. EN REUNIÓN EN EL P.M.U  SE INFORMA QUE LOS DAÑOS HACIENDEN   A LOS 35.000.000.000(TREINTA  Y CINCO MIL MILLONES DE PESOS).</t>
  </si>
  <si>
    <t>DEBIDO A  FUERTES  LLUVIAS  EN LA  MADRUGADA  DE HOY DE PRESENTO  CRECIENTE  DEL RIO COMBEIMA  QUE  AFECTO LA  BOCATOMA  DEL ACUEDUCTO QUE  SURTE  DE  AGUA LA  CIUDAD DE  IBAGUE  DEJANDO SIN ESTE  SERVICIO  A LA COMUNIDAD IBAGUEREÑA. REPORTE  DEL CLOPAD IBAGUE DR. JAIME ARBEY DIAZ  CEL. 3176386252</t>
  </si>
  <si>
    <t>LA DIRECTORA DEL CREPAD DEL VALLE DEL CAUCA INFORMA QUE EN EL  CORREGIMIENTO DE ROBLEDO,EN HORAS DE LA TARDE SE PRESENTA  CRECIENTE DE LA QUEBRADA  ROBLEDO AFECTANDO, VIVIENDAS Y LA  VIA PRINCIPAL, LAS FAMILIAS DE LAS VIVIENDAS DESTRUIDAS FUERON UBICADAS EN EL COLICEO DEL MUNICIPIO. A LA  EMERGENCIA APOYARON DEFENSA CIVIL,CRUZ ROJA,BOMBEROS .CRUZ ROJA REALIZARA EL DIA DE MAÑANA EDAN.</t>
  </si>
  <si>
    <t>SE PRESENTO TORMENTA ELECTRICA  QUE  DEJO COMO RESULTADO UN MENOR DE  13 AÑOS   FALLECIDO NOMBRE JEAN CARLOS PALACIN Y OTRO MENOR  DE  15 AÑOS HERIDO. HECHOS OCURRIERON EN EL CAÑO LOS ZAMBOS CUANDO  REALIZABAN LABORES  DE  PESCA. REPORTE  MINISTERIO DE LA  PROTECCION SOCIAL SR. OMAR  GONZALEZ TEL. 3305071</t>
  </si>
  <si>
    <t>AFECTACION EN LA RED VIAL TERCIARIA. APOYO DEL FNC MEDAITNE GIRO DIRECTO AL CLOPAD PARA ALQUILER DE MAQUINARIA PESADA PARA LA REMOCION DE ESCOMBROS EN LAS VIAS SANTA MARTA - SAN JOSE - SAN GABRIEL, SANTA ROSA - LA PUNTA - CASCABELITO, SANTA ROSA - CURIACO - SAN ANDRES, SANTA ROSA - LA AGENCIA, LA EPTROLERA - SAN JUAN, VEREDEYACO - SANTA MARTHA.</t>
  </si>
  <si>
    <t>VENDAVAL, ACOMPAÑADO DE TORMENTA ELÈCTRICA, EN LA ZONA URBANA Y RURAL, CORREGIMIENTO DE: LA COLOMBIA, RESULTO 1 VIVIENDA DESTRUIDA, AL CAERLE UN RAYO, SIN LESIONADOS, INFORMO CREPAD DE CUNDINAMARCA, SR. FERNANDO CHACON, 4205911</t>
  </si>
  <si>
    <t xml:space="preserve">VENDAVAL, ACOMPAÑADO DE FUERTES LLUVIAS, EN LAS INSPECCIONES: SAN PEDRO, SAN PABLO, DESBORDAMIENTO DE LA QUEBRADA SAN PEDRONA,  INFORMO CREPAD DE CUNDINAMARCA, SR. FERNANDO CHACON, 4205911 </t>
  </si>
  <si>
    <t>VENDAVAL EN LOS BARRIOS: VILLA CARMENZA, LIMONES, FERIAS, MARGARITAS, INFORMO SOCORRO NACIONAL, SR. RENE VELASQUEZ, 4376369</t>
  </si>
  <si>
    <t>AFECTADO CENTRO EDUCATIVO MUNICIPIO DE LAS PIEDRAS, EN LA VEREDA LAS PIEDRAS, REPORTE DEL CLOPAD. APOYO DEL FNC MEDIANTE GIRO DIRECTO AL CLOPAD PARA APOYAR LA CONSTRUCCION DEL MURO DE CONTENCION EN EL CENTRO EDUCATIVO LAS PIEDRAS.</t>
  </si>
  <si>
    <t>AFECTACION POR LLUVIAS,  OCASIONA LA CRECIENTE DE 2 ARROYOS AYER EN LA TARDE. INFORMA DEFENSA CIVIL DE ATLANTICO</t>
  </si>
  <si>
    <t>POR FUERTES   LLUVIAS EN LA SERRANIA PROVOCO LA CRECIENTE DEL RIO MANZANARES, AFECTANDO 3 BARRIOS VILLA "U",EL BOSQUE Y MALVINAS. REPORTA EL COORDINADOR DEL CLOPAD  ARMANDO PIÑERES.</t>
  </si>
  <si>
    <t>DESLIZAMIENTO, EN EL CORREGIMIENTO DE: SAN ANTONIO DE PRADO, INFORMO CREPAD DE ANTIOQUIA, DR. GILBERTO MAZO, CEL. 3202407294, CLOPAD DE MEDELLIN, DR. JAIME GOMEZ  ZAPATA, CEL: 3202398452</t>
  </si>
  <si>
    <t>INUNDACIONES EN 4 BARRIOS, REALIZAN EDAN, INFORMO SOCORRO NACIONAL, SRA. SANDY MARROQUIN, 4376369</t>
  </si>
  <si>
    <t>INUNDACIONES POR FUERTES LLUVIAS, EN LOS BARRIOS: ERMITA Y FATIMA, REALIZAN EDAN INFORMO CREPAD DEL VALLE, DRA. MELBA LEYNER, CEL: 3202379893, SOCORRO NACIONAL, SRA. SANDY MARROQUIN, 4376369</t>
  </si>
  <si>
    <t>INUNDACIONES EN EL BARRIO: PALO BONITO, INFORMO SOCORRO NACIONAL, SRA. SANDY MARROQUIN, 4376369</t>
  </si>
  <si>
    <t>CRECIENTE DE LA QUEBRADA, LA NEGRA, EN EL BARRIO. SAN MARTÌN, INFORMO D.C.C, SR. WILLIAM SARMIENTO, 3199000</t>
  </si>
  <si>
    <t>VENDAVAL, ACOMPAÑADO DE FUERTES LLUVIAS, EN EL BARRIO: SANTIAGO PEREZ, REALIZAN EDAN, INFORMO CREPAD DEL QUINDIO, VÌA CORREO ELÈCTRONICO</t>
  </si>
  <si>
    <t>VENDAVAL, ACOMPAÑADO DE FUERTES LLUVIAS, EN LOS BARRIOS: MERCEDES DEL NORTE, GRANADA, REALIZAN EDAN, INFORMO CREPAD DEL QUINDIO, VÌA CORREO ELÈCTRONICO</t>
  </si>
  <si>
    <t>INCENDIO ESTRUCTURAL, EN EL BARRIO: URIBE,  INFORMO D.C.C, SR. WILLIAM SARMIENTO, 3199000</t>
  </si>
  <si>
    <t>CRECIENTE DEL ARROYO LA FELICIDAD, ARRASTRO HOMBRE DE 40 AÑOS DE EDAD, DE NOMBRE: YESID GOMEZ MANOTAS, SE AFECTARON POR INUNDACIONES LOS BARRIOS: 7 DE ABRIL, SANTA MARIA, CARRIZAL, CUCHILLA DE VILLATE, INFORMO CLOPAD DE BARARANQUILLA, DR. GUILLERMO SISTORI, CEL: 3202398442</t>
  </si>
  <si>
    <t>INCENDIO ESTRUCTURAL, EN EL BARRIO: FABIO MOLINA, INFORMO CREPAD DEL QUINDIO, DR. ARIEL OSPINA CEL: 3202407275</t>
  </si>
  <si>
    <t>DESBORDAMIENTO RIO TOBIA INSPECCION TOBIA  REPORTE DEL CREPAD.</t>
  </si>
  <si>
    <t>ACTUALIZACION DE CLOPAD SEGÚN OFICIO DE 22 DE SEPTIEMBRE DE 2011.</t>
  </si>
  <si>
    <t>VENDAVAL QUE  DEJO 527 VIVIENDAS AVERIADAS  EN SUS TECHOS Y 27 VIVIENDAS DESTRUIDAS  EN EL CORREGIMIENTO DE  MINGUEO. NO HERIDOS NI MUERTOS  REPORTE  DEFENSA  CIVIL. SR. LUIS A. BOTTIA  TEL 3199000</t>
  </si>
  <si>
    <t>DESBORDAMIENTO DE LA  QUEBRADA SUBACHOQUE AFECTADOS LOS BARRIOS EL PORVENIR,  LA POLA,  EL ÉXITO, QUEBRADA  ARRIBA Y EL CAMPIN. REPORTE  DAPARD ANTIOQUIA DR. GILBERTO MAZO CEL. 3202407294</t>
  </si>
  <si>
    <t>APOYO DEL FNC MEDIANTE ADQUISICION DE COMBUSTIBLE  PARA MONITOREO, ACERRADA DE MADERA Y ACOMPAÑAMIENTO DURANTE EL TIEMPO QUE DURE LA REPARACIN DE LAS VIVIENDAS.</t>
  </si>
  <si>
    <t>CRECIENTE DEL RIO QUINDIO, EN EL SECTOR. PUERTO ALEJANDRIA, SE EVACUARON 3 FAMILIAS POR PREVENCIÒN, LA CUALES YA RETORNARON A SUS VIVIENDAS,  INFORMO CREPAD DEL QUINDIO, DR. ARIEL OSPINA CEL: 3202407275</t>
  </si>
  <si>
    <t>VENDAVAL EN LA ZONA URBANA,  INFORMO CREPAD DEL QUINDIO, DR. ARIEL OSPINA CEL: 3202407275</t>
  </si>
  <si>
    <t>DESLIZAMIENTO DE LA BANCA SOBRE UN TALUD, QUE SE ESTABA CONSTRUYENDO, EN LA VEREDA: SAN MIGUEL DE TELLEZ ALTO, INFORMO CREPAD DE NARIÑO, DR. JORGE TOVAR, CEL: 3122217184</t>
  </si>
  <si>
    <t>CRECIENTE SUBITA DEL RIO OTUN-AFECTADOS LOS SECTORES: SANTA HELENA DE MORELIA Y LAS PALMAS Y EL CORREGIMIENTO ARABIA POR DESBORDAMIENTO DEL RIO BARBAS-INFORMA D.C.C. SR: LUIS ALBERTO BOTIA</t>
  </si>
  <si>
    <t>LLUVIAS AFECTARON EL SECTOR EL GURRE-INFORMA D.C.C. SR: LUIS ALBERTO BOTIA.</t>
  </si>
  <si>
    <t xml:space="preserve">DESLIZAMIENTO EN EL BARRIO LA ESPERANZA LA MENOR FALLECIDA  REPONDIA AL NOMBRE DE LESLIE MALIET ANGARITA DE 7 AÑOS-INFORMO CREPAD NORTE DE SANTANDER DR: CARLOS ALDEMAR GARCIA.   </t>
  </si>
  <si>
    <t>DESBORDAMIENTO DE LA MARGEN DERECHA DEL RÌO GUATAPURI, AFECTO EL BARRIO: 9 DE MARZO, INFORMO CLOPAD DE VALLEDUPAR, DR. JUAN LARA, CEL: 3202406890</t>
  </si>
  <si>
    <t>DESCARGA ELÈCTRICA, LAS PERSONAS LESIONADAS FUERON TRASLADADAS AL HOSPITAL DE SAN GIL, INFORMO MINISTERIO DE LA PROTECCIÒN SOCIAL, CREPAD DE SANTANDER, DRA. JUDITH  MIRANDA AVILA, CEL: 3202407259</t>
  </si>
  <si>
    <t>EXPLOSIÒN POR ACUMULACIÒN DE GASES, EN UNA MINA DE CARBÒN DE NOMBRE: LA ALVERJA, EN EL CORREGIMIENTO DE. 20 DE JULIO, INFORMO CREPAD DE NORTE DE SANTANDER, DR. ALDEMAR GARCIA, CEL. 3202407276</t>
  </si>
  <si>
    <t>DESBORDAMIENTO  DE LA QUEBRADA, EN EL CORREGIMIENTO: SAN JOSÈ BOSQUE DE LAVERDE, REALIZAN EDAN</t>
  </si>
  <si>
    <t xml:space="preserve">DESLIZAMIENTO, EN LA MINA DE CARBÒN: SAN JUDAS, LA PERSONA QUE FALLECIO DE NOMBRE. JOSÈ LUIS LEAL DE 35 AÑOS DE EDAD,  INFORMO CREPAD DE NORTE DE SANTANDER, DR. ALDEMAR GARCIA, CEL. 3202407276 </t>
  </si>
  <si>
    <t>EN LA MADRUGADA  DEL DIA  08/10/2011 SE PRESENTO VENDAVAL ACOMPAÑADO DE LLUVIAS DEJANDO 20 VIVIENDAS AFECTADAS EN SUS TECHOS, COMITÉ LOCAL DE  EMERGENCIAS  ATENDIO LA  EMERGENCIA NO HERIDOS NI VICTIMAS. REPORTE  CREPAD CALDAS  DR. FELIX RICARDO GIRALDO CE</t>
  </si>
  <si>
    <t xml:space="preserve">DEBIDO A  FUERTES  LLUVIAS  SE PRESENTO INUNDACION EN 12 VIVIENDAS  EN EL BARRIO EL SALADO . INFORMA  CREPAD DE ATLANTICO DR. EVARISTO MARTINEZ CEL 3202407428 </t>
  </si>
  <si>
    <t>ACTUALIZACION DEL CREPAD EL 10 DE OCTUBRE</t>
  </si>
  <si>
    <t>VEREDAS EL RETIRO, ESCARRALAO, LA RAYA, LA PAJUILLA, CORREGIMIENTO BUENOS AIRES, LIMON AFUERA, BOCAS DE RIO BAGRE, LA ARENOSA, CORDERILLO.</t>
  </si>
  <si>
    <t>DOS ESTANQUES PISCICOLAS</t>
  </si>
  <si>
    <t>AFECTADA LA ZONA URBANA DEL MUNICIPIO, LAS VIVIENDAS FUERON AFECTADAS EN TEJADO Y CUBIERTAS-INFORMA SOCORRO NACIONAL SR: RENE VELASQUEZ</t>
  </si>
  <si>
    <t>AFECTADA LA ZONA URBANA DEL MUNICIPIO, LAS VIVIENDAS FUERON AFECTADAS EN TEJADO Y CUBIERTAS-INFORMA SOCORRO NACIONAL SR: RENE VELASQUEZ.</t>
  </si>
  <si>
    <t>AFECTADA LA ZONA URBANA DEL MUNICIPIO, LAS VIVIENDAS FUERON AFECTADAS EN TEJADO Y CUBIERTAS-INFORMA EL SR: RENE VELASQUEZ.</t>
  </si>
  <si>
    <t>EVACUACION PREVENTIVA DE 28 FAMILIAS REUBICADAS EN ALBERGUES  Y CON SUBSIDIO DE ARRENDAMIENTO DE LA VEREDA EL VAYANO SECTOR LA ULTIMA COPA POR ENCONTRARSE DENTRO DE LA ZONA DE INFLUENCIA DE LA  QUEBRADA AYURA-SE ESPERA VISITA DE GEOLOGOS Y EL CONCEPTO DE INGEOMINAS. INFORMA CREPAD ANTIOQUIA DR. GILBERTO MAZO.</t>
  </si>
  <si>
    <t>APOYO DEL FNC MEDIANTE GIRO DIRECTO AL CLOPAD PARA MEJORAMIENTO DE LAS VIAS MILAN - VEREDA BOMBAY Y VIA GUALOSA - LA ILUSION</t>
  </si>
  <si>
    <t>SE PRESENTO VENDAVAL EN EL CASCO URBANO DEL MUNICIPIO ZONA CENTRO. NO HERIDOS. REPORTE  DEFENSA  CIVIL   SR. ALIRIO CARRILLO TEL 3199000.</t>
  </si>
  <si>
    <t>SE PRESENTO DESLIZAMIENTO DE  TIERRA EN LA  VEREDA ALTO ERAZO, SIN VICTIMAS, REPORTE  DE  DEFENSA  CIVIL. SR. ALIRIO CARRILLO TEL 3199000.</t>
  </si>
  <si>
    <t>DESBORDAMIENTO DE LA QUEBRADA LA HISTORIA, AFECTANDO LOS BARRIOS: PUEBLO NUEVO, COLOMBIA, COLOMBIA II</t>
  </si>
  <si>
    <t>DESLIZAMIENTO SOBRE LA VIA FRESNO-SALINAS-INFORMA COMITÉ REGIONAL TOLIMA</t>
  </si>
  <si>
    <t>SE APOYO CN RECURSOS ENVIADOS A TRAVES DEL DEPARTAMENTO</t>
  </si>
  <si>
    <t>APOYO GIRO DIRECTO PARA ALQUILER DE MAQUINARIA PARA SECTORES DE PEQUE, FRONTINO, URAMITA  Y BURITACA Y REHABILITACION DE LAS VIAS CHORODO - FRONTINO, FRONTINO - PASO ANCHO - EL BOTON, URAMITA - PEQUE Y PINGURO - BURITACA</t>
  </si>
  <si>
    <t>DESLIZAMIENTO EN EL BARRIO. LA FLORIDA, INFORMO D..C.C, SR. JAIRO CASTRO 3199000</t>
  </si>
  <si>
    <t>INUNDACIONES POR FUERTES LLUVIAS EN LOS BARRIOS: GALÀN, CARLOS PIZARRO, 5 DE ENERO, REALIZAN EDAN INFORMO CREPAD DE SANTANDER, DRA. JUDITH MIRANDA, CEL: 3202407259</t>
  </si>
  <si>
    <t>DESLIZAMIENTO EN EL BARRIO. SARABANDA, INFORMO D.C.C, SR. ALIRIO CARRILLO, 3199000</t>
  </si>
  <si>
    <t>AVALANCHA DE LODO DE LA QUEBRADA: SILGARA, EN LOS SECTORES DE: LA CEIBA, EL BAMBU, INFORMO CREPAD DE SANTANDER, DRA. JUDITH MIRANDA, CEL: 3202407259</t>
  </si>
  <si>
    <t>AVALANCHA DE LA QUEBRADA: SUZUKI, EN LA VEREDA: TORMENTA ALTA, INFORMO CREPAD DE SANTANDER, DRA. JUDITH MIRANDA, CEL: 3202407259</t>
  </si>
  <si>
    <t>CRECIENTE DEL RIO CAUCA, OCASIONA RUPTURA DEL DIQUE, EN EL SECTOR DE.MEDIA CANOA, SE EVACUARAN POR PREVENCIÒN 80 VIVIENDAS, INFORMO DRA. MELBA LEYNER, VÌA CORREO ELÈCTRONICO</t>
  </si>
  <si>
    <t xml:space="preserve">UN MENOR FALLECIDO Y OTRO HERIDO  AL SER ALCANZADO  POR UN RAYO-EL MENOR  FALLECIDO  RESPONDIA AL NOMBRE DE IVAN DARIO CAMACHO MIRANDA DE 16 AÑOS-INFORMA CREPAD CESAR DR: LUIS FERNANDO AVENDAÑO ASESOR JURIDICO. </t>
  </si>
  <si>
    <t>VENDAVAL, EN LA ZONA URBANA Y RURAL, AFECTADOS LOS BARRIOS DE: BALMORAL, LUCERO, EL PROGRESO, LA ESMERALDA, CENTRO POBLADO LA CASCADA, VEREDA: LOS SAUCES, AFECTADO EL COLISEO MUNICIPAL, INFORMO CREPAD DE CUNDINAMARCA, SR. ALONSO MUÑOZ</t>
  </si>
  <si>
    <t>INUNDACIONES POR FUERTES LLUVIAS, INFORMO D.C.C, SR. WILLIAM SARMIENTO, 3199000</t>
  </si>
  <si>
    <t>VENDAVAL, INFORMO CREPAD DE CUNDINAMARCA, SR. ALONSO MUÑOZ, VÌA CORREO ELÈCTRONICO</t>
  </si>
  <si>
    <t>INFORMA LA DOCTORA JUDITH MIRANDA  DIRECTORA DEL CREPAD DE SANTANDER (350 3800660) CRECIENTE DE LOS RÍOS LEBRIJA Y TÁCHIRA, HAN OCASIONADO GRAVES DAÑOS EN LOS DIQUES DE LA ZONA Y EN LOS DISTRITOS DE RIEGO DE ESTE MUNICIPIO.  TRES VEREDAS DE ESTE   MUNICIPIO ESTÁN  INCOMUNICADAS. LAS VEREDAS DE MAGARÁ, BARRANCO COLORADO Y AGUAS NEGRAS, OTRAS  16  VEREDAS    SE  ENCUENTRAN AFECTADAS POR INNUNDACIONES, EL ALCALDE DEL MUNICIPIO  ESTA  RELIZANDO RECORRIDO POR  LAS  ZONAS  AFECTADAS. IGUALMENTE INDICA QUE HAY PERDIDA DE CULTIVOS Y ANIMALES-REALIZAN EDAN</t>
  </si>
  <si>
    <t xml:space="preserve">INFORMA LA DOCTORA JUDITH MIRANDA  DIRECTORA DEL CREPAD DE SANTANDER (350 3800660) UN CAMPESINO DE 44 AÑOS MURIÓ DE NOMBRE  PABLO CASTILLO. TRAS SER ARRASTRADO POR UN DESLIZAMIENTO EN LA VEREDA LA ROCA, JURISDICCIÓN DEL MUNICIPIO DE EL PLAYÓN, SANTANDER.
 HECHO SE REGISTRÓ ESTE JUEVES 13 DE OCTUBRE A LAS 4:30 DE LA TARDE CUANDO EL CAMPESINO FUE SORPRENDIDO POR EL DESLIZAMIENTO DE TIERRA QUE LO ARRASTRÓ HASTA EL CAUDAL DEL RÍO PLAYONERO DONDE MURIÓ.
LOS FAMILIARES DE LA VÍCTIMA ACOMPAÑADOS POR LA POLICÍA Y LA DEFENSA CIVIL HALLARON EL CUERPO DEL CAMPESINO RÍO ABAJO.
LA UNIDAD MÓVIL DE CRIMINALÍSTICA DE LA POLICÍA DE SANTANDER REALIZÓ EL LEVANTAMIENTO DEL CADÁVER EL CUAL FUE TRANSLADADO A LA MORGUE DEL MUNICIPIO DE EL PLAYÓN.
</t>
  </si>
  <si>
    <r>
      <t>DESBORDAMIENTO DE LAS QUEBRADAS: CARE PERRO Y  GUARANGO-AFECTADOS LOS BARRIOS:  HERNANDO GOMEZ, CAMPO ALEGRE, OBRERO, BELEN, JERUSALEN, AVENIDA CEMENTERIO, CAFESAN Y LA VEREDA SAN ISIDRO. AFECTADOS LOS ACUEDUCTOS: COMUNITARIO LA REGADERA, CHAVEZ COMUNAL, LA COCHA , GUARANGO,  ALTERNO URBANO, LA LOMA,  CHUPADERO, Y PORTOVIEJO,   101 FAMILIAS SIN SERVICIO DE AGUA,DESTRUIDOS 3 TANQUES DEL SISTEMA DE RIEGO LAS DELICIAS -AFECTADA LA VIA SAN ISIDRO -LA REGADERA,DESTRUIDO EL PUENTE QUE COMUNICA LA VEREDA SAN ISIDRO CON EL PERIMETRO URBANO, AFECTADO EN ESTRUCTURA EL PUENTE SOBRE LA QUEBRADA SANDONA, SE PERDIERON 30 HECTAREAS DE CULTIVOS, -AFECTADO UN TALLER DE CARPINTERIA Y LOS ESTADEROS RANCHO VIEJO Y EL BALNEARIO LAS PALMAS, PERDIDA DE MUEBLES Y ENSERES, AFECTADAS 3 ALCANTARILLAS, PERDIDA DE ESPECIES MENORES, 2 ESTANQUE PISICOLAS CON MAS DE 5.000 PECES, AFECTADO EL CENTRO EDUCATIVO SAN ISIDRO Y LAS INSTALACIONES DE ARTESANIAS ( A PUNTO DE COLAPSAR)</t>
    </r>
    <r>
      <rPr>
        <b/>
        <sz val="10"/>
        <rFont val="Arial"/>
        <family val="2"/>
      </rPr>
      <t>.ACCIONES: SE ENTREGO AYUDA HUMANITARIA PARA  35 FAMILIAS (MERCADO, KIT DE ASEO, Y COCINA), A 14 FAMILIAS REUBICADAS SE ENTREGO (MERCADOS, KIT DE ASEO, KIT  DE COCINA, COLCHONETAS Y COBIJAS) POR PARTE DEL CREPAD. APOYO DEL FNC MEDIANTE GIRO DIRECTO PARA ALQUILER DE MAQUINARIAPARA ADELANTAR TRABAJOS DE DESALOJO DE MATERIAL LIMPIEZA Y DRAGADO DE LAS QUEBRADAS EN LAS VIAS SANDONA SAN ISIDRO, SANDONA ALTO JIMENEZ, EL ANIL DORADA GUAITARA Y EL SANDONA - ROMA CHAVES</t>
    </r>
  </si>
  <si>
    <t>APOYO COMPLEMENTRIO PARA LA ATENCION DE LA TEMPORADA INVERNAL 2010 - 2011 EL VLAOR DE OTROS CORRESPONDE A 3500 BLOQUES</t>
  </si>
  <si>
    <t>DEBIDO A  FUERTES  LLUVIAS  SE PRESENTO INUNDACION EN EL CASCO URBANO. REPORTE  DEFENSA  CIVIL SR. LUIS BOTTIA TEL 3199000. SOCORRO NACIONAL SR. RENE  VELASQUEZ TEL 4376369</t>
  </si>
  <si>
    <t>DEBIDO A  FUERTES  LLUVIAS  SE  DESBORDO LA QUEBRADA  BLANCA EN EL CORREGIMIENTO EL TROPEZON DEJANDO 50 FAMILIAS AFECTADAS . REPORTE CREPAD NORTE DE  SANTANDER  DR. CARLOS  ALDEMAR  GARCIA  CEL 320240 7276</t>
  </si>
  <si>
    <t>DEBIDO A  FUERTES  LLUVIAS SE  DESBORDO LA  QUEBRADA  EL GUAMO EN EL SECTOR EL GUAMO DE  MANIZALES SIN VICTIMAS. REPORTE  CREPAD CALDAS DR. FELIX RICARDO GIRALDO CEL 3202407300</t>
  </si>
  <si>
    <t>EL DIA  07/10/2011 SE  PRESENTO AUMENTO DE  MAREA  EN LAS PLAYAS DE PRADO MAR ARRAZANDO CON 14 CASETAS  DE  VENTAS DE  COMIDAS Y BEBIDAS. REPORTE  DE  ALCALDESA  DE  PUERTO COLOMBIA  DRA, MARTHA  PATRICIA  VILLALBA CEL. 3008160568</t>
  </si>
  <si>
    <t>EN LA MAÑANA DE HOY SE PRESENTO DESLIZAMIENTO DE  TIERRA  EN EL CASCO URBANO DEJANDO COMO RESULTADO UNA MENOR FALLECIDA  NOMBRE  SILVIA NATALIA  ARDILA  DE  13 AÑOS DE  EDAD Y UN SEÑOR HERIDO NOMBRE  FERNANDO RODRIGUEZ  REPORTE  CREPAD NORTE  DE  SANTANDE</t>
  </si>
  <si>
    <t>DIA  DE  HOY SE PRESENTO DESBORDAMIENTO DEL RIO CAUCA EN LOS BARRIOS: SAN JORGE, LA PLAYA, COLOMBIA, EL TABLAZO, REPORTE  DE  DEFENSA  CIVIL. SR. LUIS A. BOTTIA  TEL 3199000</t>
  </si>
  <si>
    <t>INUNDACION DEBIDO A DESBORDAMIENTO DEL RIO CAUCA EN EL CORREGIMIENTO BOLOMBOLO, BARRIO LOS MANGOS  E INSPECCION CASITAS. REPORTE  DEFENSA  CIVIL SR. LUIS A. BOTTIA  TEL 3199000</t>
  </si>
  <si>
    <t>SE PRESENTAN INUNDACIONES POR  TAPONAMIENTO DE ALCANTARILLAS EN BARRIO LA ESPAÑOLA Y VILLA JARDIN . REPORTE  DR. ARIEL OSPINA CEL. 3202407275</t>
  </si>
  <si>
    <t>FUERTES VIENTOS  AFECTARON VIVIENDAS EN LA VEREDA  BUENAVISTA, SIN VICTIMAS. REPORTE  DEL CREPAD HUILA DR. ORLANDO ROMERO CEL. 315 2942049</t>
  </si>
  <si>
    <r>
      <t>CRECIENTE  SUBITA  DEL RIO QUINDIO EN LA VEREDA BOQUIA. SIN VICTIMAS. REPORTE  CREPAD QUINDIO DR. ARIEL OSPINA  CEL 3202407275.</t>
    </r>
    <r>
      <rPr>
        <b/>
        <sz val="9"/>
        <rFont val="Arial"/>
        <family val="2"/>
      </rPr>
      <t xml:space="preserve"> APOYADO MEDIANTE LA ENTREGA E 35 CARPAS DE LAS DEVUELTAS POR MAGDALENA</t>
    </r>
  </si>
  <si>
    <r>
      <t xml:space="preserve">INUNDACION DEBIDO A  FUERTES  LLUVIAS  EN EL SECTOR  DE LA  MARIA, CAIDA  DE  ARBOLES. REPORTE  DR. ARIEL OSPINA CEL. 3202407275. </t>
    </r>
    <r>
      <rPr>
        <b/>
        <sz val="9"/>
        <rFont val="Arial"/>
        <family val="2"/>
      </rPr>
      <t>APOYADO MEDIANTE LA ENTREGA E 10 CARPAS DE LAS DEVUELTAS POR MAGDALENA</t>
    </r>
  </si>
  <si>
    <r>
      <t xml:space="preserve">DEBIDO A FUERTES  LLUVIAS  SE PRESENTO INUNDACION EN SECTOR PATIO BONITO-LA PLAYITA. REPORTE  DR. ARIEL OSPINA CEL. 3202407275. </t>
    </r>
    <r>
      <rPr>
        <b/>
        <sz val="9"/>
        <rFont val="Arial"/>
        <family val="2"/>
      </rPr>
      <t>APOYADO MEDIANTE LA ENTREGA E 15 CARPAS DE LAS DEVUELTAS POR MAGDALENA</t>
    </r>
  </si>
  <si>
    <t>SE  PRESENTO VENDAVAL EN LOS BARRIOS SAN EUGENIO Y SIMON BOLIVAR. REPORTE  DE  CREPAD RISARALDA DRA. DIANA  CAROLINA  LAVERDE CEL. 3202407252. SOCORRO NACIONAL SR. RENE  VELASQUEZ TEL 4376369</t>
  </si>
  <si>
    <t>EN EL MUNICIPIO DOSQUEBRADAS  SE  ENCUENTRAN 20 BARRIOS SIN SERVICIO DE  AGUA  DEBIDO A  DESLIZAMIENTO QUE  AFECTO TUBO MADRE  DEL ACUEDUCTO. REPORTE  CREPAD RISARALDA  DRA. DIANA  CAROLINA  LAVERDE  CEL 3202407252</t>
  </si>
  <si>
    <t>SE PRESENTO DESLIZAMIENTO EN LA  VEREDA  SAN JULIAN , NO HAY PERSONAS HERIDAS NI DESAPARECIDAS  REPORE CREPAD CALDAS DR. FELIX RICARDO GIRALDO.  CEL. 3202407300</t>
  </si>
  <si>
    <t>SE PRESENTO DESLIZAMIENTO EN EL SITIO LA CEMENTERIA VIA  AL CORREGIMIENTO SAN ANTONIO DEJANDOLO INCOMUNICADO CON LA CABECERA  MUNICIPAL. NO VICTIMAS. SE  TRABAJA  PARA  HABILITAR  VIA.  REPORTE  CREPAD RISARALDA  DRA. DIANA  CAROLINA  LAVERDE  CEL 3202407</t>
  </si>
  <si>
    <t>SE PRESENTO DESLIZAMIENTO EN EL BARRIO SAN PEDRO SIN VICTIMAS NI HERIDOS. REPORTE  DEFENSA  CIVIL. SR. ALIRIO CARRILLO TEL 3199000</t>
  </si>
  <si>
    <t>SE PRESENTO INCENDIO ESTRUCTURAL EN LA CARRERA 11 No. 22-120  EN EL BARRIO VELEZ CON PERDIDA DE ENSERES. REPORTE  CREPAD QUINDIO DR. ARIEL OSPINA  CORREO ELECTRONICO.</t>
  </si>
  <si>
    <t>SE PRESENTO DESBORDAMIENTO DEL RIO SALAQUI AFECTANDO 9 COMUNIDADES RURALES Y CASCO URBANO DEL MUNICIPIO. REPORTE  SOCORRO NACIONAL SECCIONAL CHOCO SR. VITALINO PANESSO CEL. 3102489331,</t>
  </si>
  <si>
    <t>EN LA MADRUGADA  DE  HOY SE PRESENTO FUERTES VIENTOS EN EL BARRIO SAN FRANCISCO SECTOR LA  POZA, AFECTANDO VIVIENDAS EN SUS TECHOS. EN EL SECTOR  SAN PEDRO COLAPSO KIOSCO QUE DEJO 3 PERSONAS  LEVEMENTE  HERIDAS. REPORTE  DE  CLOPAD  CARTAGENA  DRA.  LUZ S</t>
  </si>
  <si>
    <t>SE PRESENTO DESBORDAMIENTO DEL RIO TULUA  EN EL CASCO URBANO BARRIO LA PLAYITA SIN VICTIMAS NI HERIDOS. EN EL BARRIO SAN ANTONIO FUERON EVACUADAS  5 FAMILIAS POR  PREVENCION.  REPORTE  CREPAD VALLE  DEL CAUCA DRA. MELBA LEINER VIDAL CEL. 3202374893</t>
  </si>
  <si>
    <t>DESBORDAMIENTO DEL RIO  SAN JUAN AFECTANDO VARIAS  COMUNIDADES. REALIZAN EDAN. REPORTE  SOCORRO NACIONAL SECCIONAL CHOCO DR. VITALINO PANESSO. CEL 3102489331</t>
  </si>
  <si>
    <t>DEBIDO A  FUERES  LLUVIAS  SE PRESENTO INUNDACION EN EL CORREGIMIENTO AMAIME, CORREGIMIENTO LA NEVERA DONDE  SE  AFECTO LA  VIA  EN LOS KILOMETROS  20, 40 Y 60. EN EL CORREGIMIENTO TIENDA  NUEVA RESULTO AFECTADO EL ACUEDUCTO.  REPORTE  CREPAD VALLE  DEL C</t>
  </si>
  <si>
    <t xml:space="preserve">DESBORDAMIENTO DEL RIO DESBARATADO Y ACEQUIA JUANAMBU EN VEREDAS SANTA  ROSA, CORREGIMIENTO TAMBORAL SECTOR  LA  UNION AFECTADA LA ESCUELA CARTAGENA  DE INDIAS Y VEREDA PAZ DE  AGRADO SIN VICTIMAS NI HERIDOS.   REPORTE  CREPAD VALLE  DEL CAUCA DRA. MELBA </t>
  </si>
  <si>
    <t>INFORMA LA DIRECTORA DEL CREPAD DEL VALLA DEL CAUCA, POR DESLIZAMIENTO SE AFECTO BOCATOMA DEL RIO CAUCA Y 2 VIVIENDAS.</t>
  </si>
  <si>
    <t>INFORMA LA DIRECTORA DEL CREPAD DEL VALLE DEL CAUCA QUE POR CRECIENTE DEL RIO CAUCA SE AFECTO UNA FINCA  LLAMADA  MADRE VIEJA EN EL CORREGIMIENTO DE GUABA  EN LA CUAL  VIVEN 5 FAMILIAS, ESTAS  FAMILIAS FUERON UBICADAS EN SALON COMUNITARIO</t>
  </si>
  <si>
    <t>INFORMA EL SEÑOR JOSE MIGUEL DEL MINISTERIO DE PROTECCION SOCIAL QUE  A CAUSA DE  LLUVIAS  SE PRESENTO AFECTACIONES EN LOS  BARRIOS FERIA,NAPOLES Y SAN RAFAEL UN DESLIZAMIENTO  UNA  VIVIENDA DESTRUIDA  Y OTRA AFECTADA  PARCIALMENTE, LAS  PERSONAS   EVACUARON  POR  SUS  PROPIOS  MEDIOS, HAY 30 VIVIENDAS EN RIESGO.</t>
  </si>
  <si>
    <t>AMARRES 13720, 424 CERCHAS METALICAS</t>
  </si>
  <si>
    <t>APOYO DEL FNC MEDAINTE GIRO DIRECTO AL CREPAD PARA COMBUSTIBLE, ALQUILER DE VEHICULOS, TRASLADU DE ATUDAS HUMANITARIAS, EVACUAIONES, ALQUILER DE MAQUINARIA Y CARROTANQUES $35.000.000, APOYO LOGISTICO RELACIONADO CONR ECURSO HUMANI Y PAGO DE ALIMENTCION $40,000,000, ALQUILER DE BAÑOS PORTATILES E INSUMOS PARA ALBUERGUES Y MATERIALES DE CONSTRUCCION $20.000.000, ARRIEDNO TEMPORAL PARA 80 FAMILIAS POR TRES MESES A RAZON DE $200.000 MES $48.000.000 COMBUSTIBLE PARA SANTA ROSA DE CABAL $10.000.000 TOTAL $153.000.000</t>
  </si>
  <si>
    <t>CRECIENTE SUBITA DE LA QUEBRADA GUENGUE, EN LA VEREDA. CAMPO ALEGRE, ARRASTRO SEÑOR DE NOMBRE: EDGAR MARTINEZ DE 45 AÑOS DE EDAD, INFORMO CREPAD DEL CAUCA DRA. EDITH JANETH PAEZ</t>
  </si>
  <si>
    <t>PERDIDA DE LA BANCA, AFECTADO EL PUENTE QUE COMUNICA LA TRONCAL DEL ORIENTE CON CARTAGENA, INFORMO CREPAD DE BOLIVAR  DR. EDGAR LARIOS REDONDO.</t>
  </si>
  <si>
    <t>CRECIENTE DEL ARROYO EL AJÌ, INFORMO CREPAD DE BOLIVAR  DR. EDGAR LARIOS REDONDO.</t>
  </si>
  <si>
    <t>MOVIMIENTO DE MASA POR FALLA GEOLOGICA DE NOMBRE. PASACABALLOS, EN EL SECTOR: LAS MARIAS, INFORMO CREPAD DEL BOLIVAR,  DR. EDGAR LARIOS REDONDO.</t>
  </si>
  <si>
    <t>DESBORDAMIENTO DE VARIOS ARROYOS, REALIZAN EDAN, INFORMO CREPAD DE BOLIVAR,  DR. EDGAR LARIOS REDONDO.</t>
  </si>
  <si>
    <t>INUNDACIONES, REALIZAN EDAN, INFORMO  DR. EDGAR LARIOS REDONDO.</t>
  </si>
  <si>
    <t>DESLIZAMIENTO DE GRAN MAGNITUD, EN EL SECTOR: PATIO BONITO, KM. 21, CERRADA LA VÌA QUE COMUNICA A CAJAMARCA CON ARMENIA</t>
  </si>
  <si>
    <t>CRECIENTE DEL RÌO PERALONSO, CORREGIMIENTO DE: CORNEJO, EN EL SECTOR DE POZO DEL AMOR, INFORMO CREPAD DEL NORTE DE SANTANDER, DR. ALDEMAR GARCIA</t>
  </si>
  <si>
    <t>CRECIENTE DE LAS QUEBRADAS: LA CRISTALINA, NIAGARA, SE RESCATARON, 3 PERSONAS ILESAS CON HIPOTERMIA, INFORMO CREPAD DEL QUINDIO, VIA CORREO ELÈCTRONICO</t>
  </si>
  <si>
    <t>AVALANCHA EN EL SECTOR, LA CAPILLA, INFORMO CREPAD DE CASANARE, DR. BEYER LOPEZ</t>
  </si>
  <si>
    <t>DESBORDAMIENTO DEL RÌO CAUCA, AFECTANDO LOS BARRIOS DE: SAN CARLOS, SAN ANTONIO, ALFONSO LOPEZ, INFORMO CREPAD DE RISARALDA, DRA. DIANA CAROLINA RAMIREZ.</t>
  </si>
  <si>
    <t>DESLIZAMIENTO EN EL BARRIO: MONTEVIDEO, INFORMO CREPAD DEL QUINDIO, VÌA CORREO ELÈCTRONICO</t>
  </si>
  <si>
    <t>INUNDACIONES POR FUERTES LLUVIAS, COLAPSO DE ALCANTARILLADO, INFORMO CREPAD DE CUNDINAMARCA, SR. ALONSO MUÑOZ.</t>
  </si>
  <si>
    <t>VENDAVAL, AFECTO LAS VEREDAS: CALANDAIMA Y AMÈRICAS,  INFORMO CREPAD DE CUNDINAMARCA, SR. ALONSO MUÑOZ.</t>
  </si>
  <si>
    <t>CRECIENTE SUBITA DE LAS QUEBRADAS: EL TABLÒN Y LA CHULA, EN LAS VEREDAS: MUCHILOTE Y SALINAS,  INFORMO CREPAD DE CUNDINAMARCA, SR. ALONSO MUÑOZ.</t>
  </si>
  <si>
    <t>INCENDIO ESTRUCTURAL, EN BARRIO SUBNORMAL, SECTOR. LA PALMA,  INFORMO SOCORRO NACIONAL, SR. RENE VELASQUEZ 4376369</t>
  </si>
  <si>
    <t>VENDAVAL, REALIZAN EDAN, INFORMO SOCORRO NACIONAL, SR. RENE VELASQUEZ 4376369</t>
  </si>
  <si>
    <t>CRECIENTE DE LA QUEBRADA: RÌO SECO, EN LA VEREDA. CUATRO ESQUINAS, ARRASTRO VEHICULO, CON DOS PERSONAS A BORDO,  1 PERSONA ILESA DE NOMBRE: JOHN RODRIGUEZ, QUIEN REPORTO LA EMERGENCIA,  1 MUERTO, , SE CONFIRMO ESTÀ NOVEDAD, CON LOS CREPADS DE: CUNDINAMARCA Y TOLIMA.</t>
  </si>
  <si>
    <t>DESLIZAMIENTO SOBRE LA VIA SECTOR LAS PALOMAS-INFORMA CREPAD HUILA SR: ORLANDO ROMERO (OPERATIVO).</t>
  </si>
  <si>
    <t>DESBORDAMIENTO DEL RIO CAUCA-AFECTADO EL CORREGIMIENTO CAIMALITO-INFORMA CREPAD RISARALDA.</t>
  </si>
  <si>
    <t>AFECTADA LA VEREDA GUAIMARAL-PENDIENTE AFECTACION-INFORMA D.C.C. SR: WILLIAN SARMIENTO</t>
  </si>
  <si>
    <t>DESBORDAMIENTO DE LA QUEBRADA CARACOLI-AFECTADO EL CORREGIMIENTO LAS MERCEDES VEREDA CARACOLI-PENDIENTE AFECTACION -INFORMA D,C,C. SR: WILLIAN SARMIENTO.</t>
  </si>
  <si>
    <t xml:space="preserve">INCENDIO ESTRUCTURAL EN LA CALLE  2 CON CALLE 6 EN EL  ALMACEN ELECTRO-HOGAR-CONTROLADO. INFORMA CREPAD NORTE DE SANTANDER DR: CARLOS ALDEMAR GARCIA. </t>
  </si>
  <si>
    <t>AFECTADO EL ACUEDUCTO DE LA VEREDA LA GUAJIRA- 50 FAMILIAS SIN SUMINISTRO DE AGUA Y LA ESCUELA DEL SECTOR-INFORMA CREPAD RISARALDA.</t>
  </si>
  <si>
    <t>AFECTADA POR DESLIZAMIENTO LA VIA PUEBLO RICO-CHOCO, Y LAS VIAS DE LOS CORREGIMIENTOS  VILLA CLARET Y PALO BLANCO-PASO RESTRINGIDO-INFORMA CREPAD RISARALDA.</t>
  </si>
  <si>
    <t xml:space="preserve">DESLIZAMIENTO SOBRE LAS VIAS: VEREDA CURACAMPO,SINAI, LA MIRANDA, Y LA VIA PEREIRA MARSELLA-INFORMA CREPAD RISARALDA. </t>
  </si>
  <si>
    <t>10:20 REPORTA  EL SEÑOR CARLOS DAMIAN OSPINO PEREZ COORDINADOR OPERATIVO DEL CREPAD BOLIVAR QUE  EN LA PARTE BAJA DEL CERRO DE LA POPA HAY  UNA  FALLA  GEOLOGIA LA  CUAL EL DIA DE HOY  PRESENTO UN  MOVIENTO AFECTANDO LA VIA O CALLE LOS  FUNDADORES Y  VIVIENDAS EN LA ZONA EN LOS BARRIOS SINAI,SAN FRANCISCO.   10:45 SE HACE CONTACTO CON LA SEÑORA   LUZ ESTELLA BEJARANO DIRECTORA DEL CLOPAD DE CARTAGENA INFORMA QUE  EN EL SITIO SE ENCUNTRA CON LA  ALCALDESA DE CARTAGENA Y ORGANISMOS DE SOCORRO Y PERSONAL DE LA  ALCALDIA Y DEL CLOPAD ATENDIENDO LA  EMERGENCIA. COMO CENSO INICIAL INFORMA QUE  EL SITIO SE ESTAN EVANCUANDO APROXIMADAMENTE 50 VIVIENDAS CON UNA COMUNIDAD DE APROXIMADAMENTE DE 1200 HOGARES. QUEDA DE ENVIAR POSTERIORMENTE  REPORTE DE SITUACION, CAUSA ,AFECTACION Y CENSO, VIA IMAIL. APOYO DEL FNC MEDIANTE DOS GIROS DIRECTOS QUE CORRESPONDE A SUBSIDIO DE ARRIENDO PARA 2,440 FAMILIAS POR TRES MESES A RAZON DE $200.000 MES</t>
  </si>
  <si>
    <t>CRECIENTE SUBITA DEL CANAL DEL DIQUE,  EN EL CORREGIMIENTO DEL GUAMO, INFORMA D.C.C</t>
  </si>
  <si>
    <t>DESBORDAMIENTO DE LA QUEBRADA CAÑO ALONSO, INFORMO D.C.C, SR. JAIRO, SE VERIFICO INFORMACIÒN CON EL CREPAD DEL CESAR, DR. AMAURY DE JESUS ARROYO, CEL: 3205653144</t>
  </si>
  <si>
    <t>DESBORDAMIENTO DEL RIO CHORRERA, EN LA VEREDA: MONQUIRÀ, INFORMO CREPAD DE BOYACA, VÌA CORREO ELÈCTRONICO</t>
  </si>
  <si>
    <t>DERRUMBE TALUD SUPERIOR, KM 7, VÌA EL CRUCERO,  INFORMO CREPAD DE BOYACA, VÌA CORREO ELÈCTRONICO</t>
  </si>
  <si>
    <t>INUNDACIONES, POR FUERTES LLUVIAS EN LAS QUEBRADAS: LOS POZOS, HATO LAGUNA,  INFORMO CREPAD DE BOYACA, VÌA CORREO ELÈCTRONICO</t>
  </si>
  <si>
    <t xml:space="preserve"> SE PRESENTÓ EL COLAPSO DE UN PUENTE DE ACCESO VIAL AL BARRIO LAGOS DE  CUAJARAL EN LA ZONA URBANA  DE  BARRANQUILLA. LO CUAL AFECTA LA MOVILIDAD Y CONVIVENCIA DE LOS HABITANTES. LA  DCC  COLABORRÁ CON 1 BOTE PARA TRASLADO  DE PEATONES EN EL SITIO. </t>
  </si>
  <si>
    <t>CRECIENTE DEL ARROYO CHARCO VIEJO, AFECTACIÒN EN LA ZONA URBANA Y RURAL, BARRIOS: SAN  PEDRO-SAN ROQUE-CONCEPCION-CORAZON DE JESUS-VILLA VICTORIA-TIO AGUSTIN, VEREDAS: CHIJETES, BAJO DE LA ALEGRIA, INFORMO D.C.C</t>
  </si>
  <si>
    <t>ALUD DE TIERRA SOBRE VIVIENDA, EN EL BARRIO: SAN BERNARDO, SECTOR. LAS MARÌAS, UNA MENOR DE 3 AÑOS DE EDAD FALLECIO DE NOMBRE. ELINIS MANRIQUE GARCIA INFORMO MINISTERIO DE LA PROTECCIÒN SOCIAL, SR. ALFONSO</t>
  </si>
  <si>
    <t>DESBORDAMIENTO DE LOS RÌOS: PEKIN Y COJA, AFECTANDO LOS BARRIOS PEKIN 2° SECTOR,  BELLA VISTA, CENTRO POBLADO LA CASCADA, ALTA GRACIA VEREDA CUCHARAL , AFECTADO EL 40 % DE LA POBLACIÒN SIN SUMINISTRO DE AGUA POTABLE, POR AFECTACIÒN EN EL ACUEDUCTO, INFORMO CREPAD DE CUNDINAMARCA</t>
  </si>
  <si>
    <t>DESBORDAMIENTO DE LA  QUEBRADA  EL COLISEO  EN EL BARRIO CANTA  RANA . REPORTE DE  DAPARD ANTIOQUIA  DR. GILBERTO MAZO CEL. 3202407294</t>
  </si>
  <si>
    <t>DESBORDAMIENTO DEL RIO CAUCA EN EL CORREGIMIENTO PEÑALISA. REPORTE  DEL DAPRD ANTIOQUIA DR. GILBERTO MAZO CEL3202407294</t>
  </si>
  <si>
    <t>DEBIDO A LLUVIAS  SE PRESENTO INUNDACION EN LOS SECTORES: SAN LORENZO ABAJO, PUENTE  DE LA  BALSA, LA ESPERANZA. EL CEBADERO, SANTA  LUCIA, EL CARMEN,  CASCO URBANO Y PUENTE  AREPAS. DAÑOS EN CULTIVOS DE  CEBOLLA  CABEZONA, PASTOS, PAPA Y GRANJA PORCINA. REPORTE  CREPAD BOYACA CORREO ELECTRONICO.</t>
  </si>
  <si>
    <t>INUNCACION POR  LLUVIAS SIN VICTIMAS. REPORTE  CREPAD BOYACA CORREO ELECTRONICO.</t>
  </si>
  <si>
    <t>SE PRESENTO DESLIZAMIENTO  EN LA  VEREDA  SEVILLA AFECTANDO UN PUENTE PEATONAL. REPORTE  CREPAD BOYACA CORREO ELECTRONICO</t>
  </si>
  <si>
    <t>INUNDACION POR  LLUVIAS EN SECTORES: TOBA, MARTINEZ PEÑA, NOVARE, CHITAL, COBAGOTE, HATO SAN VICTORINO MESETA. REPORTE  CREPAD BOYACA CORREO ELECTRONICO.</t>
  </si>
  <si>
    <t>DEBIDO A FUERTES LLUVIAS INUNDACION Y PERDIDA EN CULTIVOS DE PAPA. REPORTE  CREPAD BOYACA  CORREO ELECTRONICO.</t>
  </si>
  <si>
    <t>CAFECTACION EN CULTIVOS DE  UCHUVA, TOMATE  DE  ARBOL, PAPA Y PASTOS EN SECTORES; CEBADAL, PIEDRALARGA, GUATARET, SAN VICENTE, MANZANOS SAN PEDRO, ESPINAL. REPORTE  CREPAD BOYACA COREO ELECTRONICO.</t>
  </si>
  <si>
    <t>DESBORDAMIENTO DEL RÌO CAUCA,  10 BARRIOS AFECTADOS, INFORMO CREPAD DE ANTIOQUIA, DR. GOLBERTO MAZO.</t>
  </si>
  <si>
    <t>DESBORDAMIENTO DEL RÌO CAUCA,  SECTOR. LAS PALMAS, AFECTACIÒN EN LA ZONA RURAL Y URBANA, REALIZAN EDAN, INFORMO CREPAD DE ANTIOQUIA, DR. GILBERTO MAZO.</t>
  </si>
  <si>
    <t>INUNDACIONES, REALIZAN EDAN INFORMO SOCORRO NACIONAL SRA. SANDY MARROQUIN</t>
  </si>
  <si>
    <t xml:space="preserve">DESBORDAMIENTO DEL RIO ARIGUANI ZONA RURAL Y URBANA, VEREDAS: RÌO MAR, ESTACIÒN ALGARROBO, NUEVA, ESTACIÒN LLERAS, LOMA BALSAMO, INFORMO CLOPAD DE ALGARROBO, DR. ROBERTO AMAYA, CEL: 3205174447 </t>
  </si>
  <si>
    <t>DESLIZAMIENTO EN LOS BARRIOS: SIERRA MORENA, ESTRADA, INFORMO CLOPAD DE MANIZALES, DRA. SANDRA LOPEZ, CEL: 3202398432</t>
  </si>
  <si>
    <t>DESLIZAMIENTO, EN LA VEREDA: ORIENTE AFECTADA LA VÌA QUIPILE- SAN JUAQUIN- LA MESA, PERDIDA DE LA BANCA EN UN TRAMO APROXIMADO DE 50 MTS, INFORMO CREPAD DE CUNDINAMARCA, CORREO ELECTRONICO</t>
  </si>
  <si>
    <t>DESBORDAMIENTO DEL RÌO LENGUAZAQUE, SECTOR EL BOQUERÒN, SE ENCUENTRAN EN RIESGO 4 FAMILIAS, 1 ESTACIÒN DE GASOLINA DE NOMBRE: BRIO.</t>
  </si>
  <si>
    <t>CRECIENTE DEL RÌO DILUVIO , EN  EL CORREGIMIENTO DE: VILLA GERMAN, LA PERSONA QUE FALLECIO CORRESPONDE AL NOMBRE DE: RAFAEL CORZO, INFORMO CLOPAD DE VALLEDUPAR, DR. JUAN LARA.</t>
  </si>
  <si>
    <t>DESLIZAMIENTO EN VÌA, INFORMA CREPAD DEL CESAR, SR. LUIS FERNANDO, SOCORRO NACIONAL, SRA. SANDY MARROQUIN 4376369</t>
  </si>
  <si>
    <t>INUNDACIONES POR FUERTES LLUVIAS EN LOS BARRIOS: PARAISO, FUNDADORES, VEREDA: PUENTE TABLA, SECTOR: LA MARIELA RÌO LEJOS, INFORMO CREPAD DEL QUINDIO, VÌA CORREO ELÈCTRONICO.</t>
  </si>
  <si>
    <t>INUNDACIONES POR FUERTES LLUVIAS, VEREDA: LA MAGDALENA 1 Y 2, BARRIO: EL ESPINO, INFORMO MINISTERIO DE LA PROTECCIÒN SOCIAL, SR. OMAR GONZALEZ, 3305071</t>
  </si>
  <si>
    <t>INUNDACIONES POR FUERTES LLUVIAS, CASCO URBANO, INFORMO MINISTERIO DE LA PROTECCIÒN SOCIAL, SR. OMAR GONZALEZ, 3305071</t>
  </si>
  <si>
    <t>INUNDACIONES POR FUERTES LLUVIAS, CORREGIMIENTOS  DE: SANTA RITA, INFORMO MINISTERIO DE LA PROTECCIÒN SOCIAL, SR. OMAR GONZALEZ, 3305071</t>
  </si>
  <si>
    <t>INUNDACIONES POR FUERTES LLUVIAS,  INFORMO MINISTERIO DE LA PROTECCIÒN SOCIAL, SR. OMAR GONZALEZ, 3305071</t>
  </si>
  <si>
    <t>INUNDACIONES POR FUERTES LLUVIAS, CORREGIMIENTOS:   AGUA CLARA, CERRITO, INFORMO MINISTERIO DE LA PROTECCIÒN SOCIAL, SR. OMAR GONZALEZ, 3305071</t>
  </si>
  <si>
    <t>INUNDACIONES POR FUERTES LLUVIAS, CORREGIMIENTO: SAN JOSÈ DE SACO, INFORMO MINISTERIO DE LA PROTECCIÒN SOCIAL, SR. OMAR GONZALEZ, 3305071</t>
  </si>
  <si>
    <t>DESLIZAMIENTO EN LA VEREDA: BUENOS AIRES ALTO, AFECTADA LA BOCATOMA DEL ACUEDUCTO, AFECTADAS 1500 PERSONAS POR EL NO SUMINISTRO DE AGUA POTABLE, VEREDA: SANTO DOMINGO ALTO, PERDIDA TOTAL DE LA BANCA, INFORMO CREPAD DEL QUINDIO, VÌA CORREO ELÈCTRONICO.</t>
  </si>
  <si>
    <t>AVALANCHA POR AGUAS LLUVIAS, AFECTANDO LAS VEREDAS DE: BOCAS DE LAS LAJAS, ZARAGOZA, AFECTACIÒN EN CULTIVOS DE: TOMATE, PIMENTÒN, MARACUYA, INFORMO CREPAD DEL HUILA.</t>
  </si>
  <si>
    <t>APOYO DEL FNC MEDIANTE GIRO DIRECTO AL CLOPAD PARA REALIZAR TRABAJOS DE MITIGACION DEBIDO AL DESBORDAMIENTO DEL AROYO EN LA VIA MALABET Y DEL CANAL INTERCEPTOR PROVOCANDO INUNDACIONES EN 11 BARRIOS Y 3 ALBERGUES.</t>
  </si>
  <si>
    <t>EN EL SITIO EL 10 EN LA  VIA  QUIBDO-MEDELLIN SE PRESENTO DESLIZAMIENTO DE  TIERRA.  ORGANISMOS DE  SOCORRO TRABAJAN EN LA REMOCION DE  TIERRA. DIA 17/10/2011 SE  RESCATO CUERPO DE  N.N. HOMBRE.  REPORTE SOCORRO NACIONAL SECCIONAL CHOCO SR. VITALINO PANES. APOYO DEL FNC MEDIANTE GIRO DIRECTO AL CLOPAD PARA APOYAR LOS TRABAJOS DE BUSQUEDADE LAS PERSONAS DESAPARECIDAS EN LA VEREDA EL DIEZSOBRE LA VIA MEDELLIN QUIBDO EN CUANTO A TRANSPORTE, ALIMENTACION, HOSPEDAJE Y COMBUSTIBLE</t>
  </si>
  <si>
    <t>INFORMA LA DOCTORA EDITH LENIS DE SITUACION DE EMERGENCIA EN EL CORREGIMIENTO DE CHAPA DONDE SE PRESENTAN  LLUVIAS  FUERTES OCACIONANDO LA CRECIENTE DE  RIO QUILCASE, LAS  FAMILIAS EVACUARON POR SI MISMAS A ZONA  ALTA, LOS  ORGANISMOS DE SOCORRO SE  ENCUENTRAN EN LA ZONA PERO AUN  NO  HAN PODIDO  CRUZAR EL RIO  A DONDE SE  ENCUENTRAN LAS  FAMILIAS, AL SITIO  SE DESPLAZA LA  DOCTORA EDITH YANETH PAZ.  FAMILIAS EVACUADAS ESCUELA DE CHAPA. SE ENVIARON 50 CARPAS DE LAS ADQUIRIDAS PREVIAMENTE POR LA DGR</t>
  </si>
  <si>
    <t>CORREGIMIENTO BOHORQUEZ. DESBORDAMIENTO CIENAGA SANAGUARE</t>
  </si>
  <si>
    <t>INUNDACIONES POR FUERTES LLUVIAS, CORREGIMIENTOS  DE:LEÑA,  LEIVA,  CARRETO, INFORMO MINISTERIO DE LA PROTECCIÒN SOCIAL, SR. OMAR GONZALEZ, 3305071</t>
  </si>
  <si>
    <t>BARRIO SANTODOMINGO, SECTOR LA LOMA</t>
  </si>
  <si>
    <r>
      <t>APOYO DEL FNC MEDIANTE GIRO DIRECTO AL CLOPAD PARA ADQUISICION DE COMBUSTIBLE PARA ADELANTAR TRABAJOS DEL SECTOR VIAL ($20.000.000)</t>
    </r>
    <r>
      <rPr>
        <sz val="11"/>
        <rFont val="Arial"/>
        <family val="2"/>
      </rPr>
      <t xml:space="preserve"> y reforzamiento del muro de proteccion del caucesobre el rio frioen la vereda </t>
    </r>
    <r>
      <rPr>
        <sz val="9"/>
        <rFont val="Arial"/>
        <family val="2"/>
      </rPr>
      <t>EL HOYO. ($280.000.000)</t>
    </r>
  </si>
  <si>
    <t>DESLIZAMIENTO EN EL BARRIO. SANTA INES, INFORMO D.C.C, SR. WILLIAM ZSARMIENTO 3199000</t>
  </si>
  <si>
    <t>INUNDACIONES EN EL BARRIO: SAN PEDRO, INFORMO D.C.C, SR. WILLIAM SARMIENTO</t>
  </si>
  <si>
    <t>DESLIZAMIENTO EN EL BARRIO, LA CRUZ, INFORMO D.C.C, SR. WILLIAM ZSARMIENTO 3199000</t>
  </si>
  <si>
    <t>VENDAVAL, AFECTADAS COMUNIDADES INDIGENAS, PENDIENTE MÀS INFORMACIÒN, INFORMO CREPAD DEL CHOCO, DR. RAFAEL BOLAÑOS, CEL: 3202406930</t>
  </si>
  <si>
    <t>INUNDACIÒN PRODUCIDA POR ARRASTRE DE SEDIMENTOS Y TAPONAMIENTO DEL BOX COLUVERT SOBRE, EL ARROTO EL BARTOLO</t>
  </si>
  <si>
    <t>DESBORDAMIENTO DEL RÌO SUBACHOQUE, A LA ALTURA DE LAS FINCAS: LOS URAPANES, EL RETIRO, LA LIRA, FONQUETA, LA ALCANCIA, EL TABLÒN, AFECTACIÒN EN CULTIVOS DE: FLORES, HORTALIZAS, PASTOS, EL NIVEL DE LA INUNDACIÒN, ALCANZA 1,80 MTS, INFORMA, CREPAD DE CUNDIN</t>
  </si>
  <si>
    <t>VEREDA LA MIRRA. DESBORDAMIENTO DEL CANAL DEL SAJON Y EL RÌO LA AGUJA AFECTANDO LA ZONA RURAL, INFORMO SECRETARIO DE GOBIERNO, DR. PEDRO PABLO GRANADO, CEL: 3007045117. REPORTE DEL CREPAD.</t>
  </si>
  <si>
    <t>VENDAVAL PRESENTADO EN EL CORREGIMIENTO CAMARONES. SIN VICTIMAS. REPORTE  DEFENSA  CIVIL SR. LUIS A. BOTTIA TEL. 3199000</t>
  </si>
  <si>
    <t>APOYADO CON ENVIO REGISTRADO EL 8 DE OCTUBRE</t>
  </si>
  <si>
    <t>OTROS CORRESPONDE A 500 CHALECOS</t>
  </si>
  <si>
    <t xml:space="preserve">MARIA NELCY DE BARD OFICINA DE PREVENCIÓN DE DESASTRES INFORMA: POR EL FENOMENO "BAJA PRESION" QUE  ESTA AFECTANDO A LAS ISLAS .
POR EL CUAL HEMOS TENIDO INUNDACIONES Y CAIDA DE ARBOLES EN LOS DIFERENTES SECTORES DE SAN ANDRES.
POR FUERTES VIENTOS CAIDA DE ARBOLES EN LOS SECTORES DE:
SECTOR CENTRO ,AVE JUAN XXIII ,BARRIO PARAISO 
BARRIO AQUA WORK. AVENIDA DEL AEROPUERTO 
SECTOR DE POSTOBON ,SECTOR DE SERVI - BARRIO LOS ALMENDRO. SECTOR BACK ROAD -PART BAJA  AFECTADAS  11 CASAS  - 35 ADULTOS, 18 MENORES, PARA 53 PERSONAS EN TOTAL. QUE PERDIERON SUS ENSERES( COLCHONES, T.V., ETC)
SECTOR DE SERRANILLA  5 VIVIENDAS AFECTADAS POR INUNDACIÓN.
SECTOR DE AVENIDA AMERICAS DETRAS DE LA CASCADA 11 FAMILIAS AFECTADAS
SECTOR DE MINY REY - 1  VIVIENDA AFECTADA - 5 PERSONAS
SECTOR CENTRO DETRAS DEL BAR 99 - 5 VIVIENDAS AFECTADAS - PERSONAS 11 ADULTOS, 2 MENORES Y 1 BEBE.
SECTOR CENTRO POR TELECOM - ALMACENES AFECTADOS POR LNUNDACIÓN
BARRIO NATANIA 6 ETAPA ,BARRIO SARIE BAY POR EL GIMNASIO ,BARRIO LAS GAVIOTAS
LAS ENTIDADES DE SOCORRO HAN ESTADO TRABAJANDO CON LA COLABORACIÓN DE LA ARMADA, POLICIA Y OTRAS ENTIDADES DEL CREPAD.
</t>
  </si>
  <si>
    <t>DIA  DE HOY SE PRESENTO VENDAVAL EN LA VEREDA  TRES  ESQUINAS.NO HUBO HERIDOS.. REPORTE  SOCORRO NACIONAL SR. OSCAR COLLAZOS TEL 4376369 ALCALDE  MUNICIPAL DR.  MIGUEL ANTONIO BRICEÑO CEL. 3102589642</t>
  </si>
  <si>
    <t>EN HORAS  DE LA  NOCHE DEL SABADO SE PRESENTO GRANIZADA  QUE  AFECTO LOS BARRIOS: LOS FARALLONES, JARDINES DE  AURORA, EL PROGRESO DONDE HUBO AFECTACION EN LOS TECHOS DE LAS  VIVIENDAS. REPORTE  CREPAD CUNDINAMARCA DR. ALONSO MUÑOZ CEL. 3138336594</t>
  </si>
  <si>
    <t>DEBIDO A  FUERTES  LLUVIAS  PRESENTADAS EN LA NOCHE DEL 23/10/2011 SE  HAN PRESENTADO INUNDACIONES EN VARIOS  SECTORES  DEL MUNICIPIO. ORGANISMOS OPERATIVOS ADELANTAN  EDAN. REPORTE  CREPAD CUNDINAMARCA DR. ALONSO MUÑOZ CEL. 3138336594</t>
  </si>
  <si>
    <t>AFECTADAS LAS VIAS: LIBANO -VILLA HERMOSA SECTOR LA POLCA-PERDIDA DE LA BANCA VIA VILLA HERMOSA-CASABIANCA-INFORMA COMITÉ REGIONAL TOLIMA. APOYO DEL FNC MEDIANTE GIRO DIRECTO AL CLOPAD PARA REHABILITACION DE LA VIA ALTOBONITO - BUENOS AIRES.</t>
  </si>
  <si>
    <t>DESLIZAMIENTO, EN LA VEREDA: PANCUBA, 1 PERSONA FALLECIO DE NOMBRE: ABDÒN VACA DE 77 AÑOS DE EDAD, INFORMO RUBIEL RAMIREZ- DGR, CONFIRMA, CREPAD DE BOYACA, DR. LUIS HERNANDO RAMIREZ, D.C.C.</t>
  </si>
  <si>
    <t>DESBORDAMIENTO DE LOS RÌOS CAUCA Y SAN JORGE, VEREDAS: MIRAFLORES, SAN MIGUEL, LA BARBARA, EL BRILLANTE, INFORMA MINISTERIO DE LA PROTECCIÒN SOCIAL, SR. JOSÈ MIGUEL VELASQUEZ, 3305071</t>
  </si>
  <si>
    <t>DESBORDAMIENTO DE LOS RÌOS CAUCA Y SAN JORGE, VEREDAS: LA CEIBA, EL LIMÒN, GUAYABAL, CIENAGA NUEVA, CUIVA, LAS CHISPAS, JEGUA, LA MOLINA, GUANACA, LOMAS DE SAN JUAN, SAN MATÌAS, CAÑO VIEJO, EL CHUPO- CALLE NUEVA, LAS PARCELAS DE SANTAFÈ, BOCAS DE LA SAL, REMOLINOS, LA MINA, VENEZUELA, PASIFUERES, TOSNOVAN, CAÑO CAIMÀN, GUAMO, SAN JOSÈ DE LAS MELLAS, PALO ALTO, MOGUAN, BELLO HORIZONTE, INFORMA MINISTERIO DE LA PROTECCIÒN SOCIAL, SR. JOSÈ MIGUEL VELASQUEZ, 3305071</t>
  </si>
  <si>
    <t>DESBORDAMIENTO DE LOS RÌOS CAUCA Y SAN JORGE, VEREDAS: GALINDO, CALZÒN BLANCO, EL CEDRO, EL CONGRESO, MOJANITA, ISLA GRANDE, CARACUCHAS II, SOLERA, CAÑO MUERTO,  NUEVO MAMÒN, SAN JOSÈ, BUENA VISTA, OREJERO, FUNDACIÒN, CAMPO ALEGRE, SAN MATEO, SAN LUIS, NARIÑO, NARANJAL, TRAVESIA, SAN ISIDRO, BAJO PUREZA, PAMPANILLA, QUITA SUEÑO, CHAPARRAL, HUERTA GRANDE, MACHETÒN, CARACUCHAS I, LA GUARIPA, ISLA DEL COCO,   MONTERIA, HATO NUEVO, MALAMBO, BAJO GRANDE, BUENOS AIRES, LA VENTURA, GUAMALITO, EL GARZAL, ARBOLEDA, CONCEPCIÒN, CÒRDOBA, SAN RAFAEL, EL SOCORRO, CACAGUAL, CAMAJÒN, LA REDONDA, LOS GUAMOS, PUEBLO NUEVO, LA PALMA, LAS CRUCES, CUCHARAL, CUCHARITO, SAN CAYETANO, BARRIOS: SAN SALVADOR, AYACUCHO, PANAMÀ, SIETE DE MARZO, AVENIDA LOS ESTUDIANTES, JUAN XXIII, VILLA V, LAS DELICIAS, PLAZA NUEVA, ROMA, SANTA LUCIA, JUNIN, ALBARRADA, SANTANDER, MANO DE DIOS, ZULIA, LAS DADIVAS INFORMA MINISTERIO DE LA PROTECCIÒN SOCIAL, SR. JOSÈ MIGUEL VELASQUEZ, 3305071</t>
  </si>
  <si>
    <t>DESBORDAMIENTO DE LOS RÌOS CAUCA Y SAN JORGE, VEREDAS: VILORIA, EL TORNO, INFORMA MINISTERIO DE LA PROTECCIÒN SOCIAL, SR. JOSÈ MIGUEL VELASQUEZ, 3305071</t>
  </si>
  <si>
    <t>DESBORDAMIENTO DE LOS RÌOS CAUCA Y SAN JORGE, VEREDAS: EL MAMÒN, LA MEJIA, NUEVA ESTRELLA, EL ALFERÈZ, PUEBLO BUHO, CAÑO DIQUE, LA PAVITAS, LA SOLERA, CAÑO LA LATA, LAS OSAS, PUMPUMA, AGUILAR, TOFEME, NUEVA FÈ, PUNTA ALFEREZ, BARRO BLANCO, PARCELAS BAJO DE LA ALEGRIA,  INFORMA MINISTERIO DE LA PROTECCIÒN SOCIAL, SR. JOSÈ MIGUEL VELASQUEZ, 3305071</t>
  </si>
  <si>
    <t xml:space="preserve">FUERTES LLUVIAS, INFORMA CREPAD DE CUNDINAMARCA, SR. ALONSO MUÑOZ
</t>
  </si>
  <si>
    <t xml:space="preserve">DESLIZAMIENTO EN LA VEREDA: MEDIA CARA, TRABAJADOR QUE SE ENCONTRABA REALIZANDO MANTENIMIENTO A LA BOCATOMA DEL ACUEDUCTO, LA CUAL ESTABA AFECTADA POR LA OLA INVERNAL, CAYO AL RÌO, INFORMA CREPAD DEL QUINDIO, DR. ARIEL OSPINA QUE ESTÀ PERSONA DEBE SER INCLUIDA COMO  DESAPARECIDA POR OLA INVERNAL. </t>
  </si>
  <si>
    <t>DESLIZAMIENTO DE TIERRA EN LA LOCALIDAD DE CIUDAD BOLIVAR, INFORMA SOCORRO NACIONAL, SR. RENE VELASQUEZ, 3305071</t>
  </si>
  <si>
    <t>A LAS  15:45 HORAS DEBIDO A  FUERTES  VIENTOS CAYO PALMERA EN LA PLAYA DONDE  ESTA  UBICADA LA COOPERATIVA  DE  LANCHEROS (NATIVE BROTHERS LTDA) PROVOCANDO LA MUERTE  AL SEÑOR  ROGELIO RODRIGUEZ DE  77 AÑOS . REPORTE CREPAD SAN ANDRES MARIA  NELCY DE  BAR. INUNDACIONES Y VENDAVAL, SE EVACUARON 30 FAMILIAS, 150 PERSONAS A DONDE FAMILIARES, INFORMO ALEJANDRA MENDOZA- DGR, SE CONFIRMO INFORMACIÒN CON EL CREPAD DE SAN ANDRES, SRA. MARIA NELSY DE BARD.</t>
  </si>
  <si>
    <t xml:space="preserve">DIA 23/102011 EN HORAS  DE LA  TARDE  SE PRESENTO FUERTES LLUVIAS QUE PROVOCARON EL DESBORDAMIENTO DE UNA QUEBRADA  EN EL CASCO URBANO DEL MUNICIPIO DE  NEMOCON  DEJANDO COMO RESULTADO 2 VIVIENDAS DESTRUIDAS , 2 PERSONAS HERIDAS TRASLADADAS AL HOSPITAL LOCAL. CLOPAD ATIENDE SITUACION DE  EMERGENCIA. REPORTE  DE CREPAD CUNDINAMARCA DR. ALONSO MUÑOZ CEL. 3138336594. DESBORDAMIENTO DE LA QUEBRADA SOTÀ  Y DESLIZAMIENTOS, BARRIOS SANTANA, CAMACHO, SAN IGNACIO, NARIÑO, SECTOR SANTANA, LA VIRGEN Y  DIVINO NIÑO, INFORMA CREPAD DE CUNDINAMARCA, SR. ALONSO MUÑOZ
</t>
  </si>
  <si>
    <t>BARRIOS: EL PESEBRE, SECTOR VIA PRINCIPAL, CRA. 3 No. 13-7- INFORMA CREPAD SANTANDER-CORREO ELECTRONICO.</t>
  </si>
  <si>
    <t>DESBORDAMIENTO DEL RIO ORO, AFECTADOS LOS BARRIOS GALAN, CARLOS PIZARRO, 5 DE ENERO-INFORMA CREPAD SANTANDER CORREO ELECTRONICO.</t>
  </si>
  <si>
    <t>DESBORDAMIENTO DE UN ARROYO-REALIZAN EDAN-INFORMA CREPAD SANTANDER CORREO ELECTRONICO.</t>
  </si>
  <si>
    <t>SE ROMPIERON LAS MURALLAS DE PUERTO ARTURO, AFECTADOS LOS CORREGIMIENTOS DE: PAPAYAL Y SAN JOSE DE LOS CHORROS-BARRIOS DEL SECTOR URBANO LA GLORIA, LA JOYA, EL ESPEJO Y QUEBRADA SECA-REPORTA CREPAD SANTANDER.</t>
  </si>
  <si>
    <t xml:space="preserve">AFECTADO EL SECTOR LA PROFUNDA KM-04+500 DESTRUIDO EL PUENTE COLGANTE QUE COMUNICA LA VEREDA YERIGUIES Y OJO DE AGUA SOBRE LA QUEBRADA LA ZARZA AFECTADO EL PASO HACIA LA ESCUELA, DESESTABILIZADO POR AVALANCHA EL PUENTE COLGANTE SOBRE EL RIO OPONCITO  QUE COMUNICA LAS VEREDAS DEL PATO Y  EL CORREGIMIENTO SANTA RITA CON EL MUNICIPIO DE SANTA HELENA PASO OBLIGADO DE GANADO Y PRODUCTOS AGRICOLAS </t>
  </si>
  <si>
    <t>REPRESAMIENTO DEL RIO PIENTA-AFECTADA LA VEREDA LA CABUYA EN 3 PUNTOS DE LA VIA-UNA VIVIENDA DESTRUIDA EN EL SECTOR LA CANTERA  EN LA VIA SAN GIL.</t>
  </si>
  <si>
    <t>AFECTADAS LAS 2 VIAS QUE COMUNICAN AL MUNICIPIO POR DESLIZAMIENTO.-REPORTA CREPAD SANTANDER-CORREO ELECTRONICO.</t>
  </si>
  <si>
    <t>PERDIDA DE LA BANCA  EN EL SECTOR PUENTE EDUARDO SANTOS PERDIDA DE LA BANCA-AFECTADAS LAS VIAS ALTERNAS GALAN-SAN GIL Y GALAN EL PALMAR.</t>
  </si>
  <si>
    <t>27 FAMILIAS INCOMUNICADAS EL ACCESO AL SECTOR LO HACEN POR VIA FERREA-SE SOLICITO APOYO AEREO PARA TRASLADAR LAS FAMILIAS A OTRO SECTOR-INFORMA CREPAD SANTANDER CORREO ELECTRONICO</t>
  </si>
  <si>
    <t>EMERGENCIA VIAL AFECTADAS LAS VIAS: MACARAVITA-CAPITANEJO, MACARAVITA-SAN MIGUEL, MACARAVITA-CHISCAS, SECTOR PAJARITO-REPORTA CREPAD SANTANDER.</t>
  </si>
  <si>
    <t>CERRADA POR DESLIZAMIENTO EN EL KILOMETRO 32+800 Y PERDIDA DE LA BANCA EN EL KILOMETRO 34+950-CIERRE TOTAL-REPORTA CREPAD SANTANDER.</t>
  </si>
  <si>
    <t>AFECTADA LA VIA  COROMORO-CHARALA  POR FALLA GEOLOGICA, DESLIZAMIENTO EN LA VEREDA TURE CON POSIBLE REPRESAMIENTO DEL RIO TURE. POSIBLE REPRESAMIENTO DEL RIO PUEBLO VIEJO. ALCALDE LUIS MARIA ZANABRIA. 3118986603. APOYO DELÑ FNC CON 600 METROS DE MANGUERA E 3"</t>
  </si>
  <si>
    <t>SE PRESENTO LLUVIAS  QUE  AFECTARON VIVIENDAS  EN EL SECTOR URBANO Y VEREDAS FLORESTA, SANTA ANA, SAN JOSE  SAN ISIDRO. . AFECTACION EN CULTIVOS Y PASTOS. REPORTE  CREPAD CUNDINAMARCA  DR. ALONSO MUÑOZ  CEL 313 8336594</t>
  </si>
  <si>
    <t>SE  PRESENTO DESLIZAMIENTO EN EL CORREGIMIENTO PALERMO  SIN HERIDOS NI MUERTOS. REPORTE  DEFENSA  CIVIL SR. LUIS BOTTIA  TEL 3199000.</t>
  </si>
  <si>
    <t>EN HORAS  DE LA  TARDE  DEL DIA  24/10/2011 SE PRESENTO FUERTES  LLUVIAS  EN LOS BARRIOS BELLALCAZAR, LOS ANDES, OBRERO, LA SEXTA, AQUIMIN, SAN ANTONIO, MESOPOTAMIA, TERMINAL DE  TRANSPORTE  ENTRE OTROS. ORGANISMOS DE  SOCORRO ADELANTAN CENSOS. DIA  25/10/2011 SE REUNE  CLOPAD PARA  EVALUAR  DAÑOS. REPORTE  CREPAD BOYACA DR. LUIS HERNANDO RAMIREZ CEL. 3124780588</t>
  </si>
  <si>
    <t>SISMO</t>
  </si>
  <si>
    <t>HELADA</t>
  </si>
  <si>
    <t xml:space="preserve">INUNDACIONES POR FUERTES LLUVIAS,  VEREDA LA ESMERALDA SECTOR LA REJILLA Y BARRIOS MILENIO, LA ESTACION, LAS PALMAS, LOS ALPES Y MIRADOR DE LOS ALISOS,  INFORMO CREPAD DE CUNDINAMARCA, SR. ALONSO MUÑOZ.
</t>
  </si>
  <si>
    <t>DESBORDAMIENTO DEL RÌO CHECUA, VEREDA BARANDILLAS SECTOR SAN GABRIEL, 
 INUNDACIONES DE POTREROS, DEJANDO LA COMUNIDAD AISLADA,   INFORMO CREPAD DE CUNDINAMARCA, SR. ALONSO MUÑOZ.</t>
  </si>
  <si>
    <t>VENDAVAL, EN LA VEREDA. SARDINATA,  INFORMO CREPAD DE CUNDINAMARCA, SR. ALONSO MUÑOZ.</t>
  </si>
  <si>
    <t>INUNDACIONES POR FUERTES LLUVIAS, EN EL CASCO URBANO,  INFORMO CREPAD DE CUNDINAMARCA, SR. ALONSO MUÑOZ.</t>
  </si>
  <si>
    <t>INUNDACIONES POR FUERTES LLUVIAS, EN EL BARRIO: CENTRO ALTO,  INFORMO CREPAD DE CUNDINAMARCA, SR. ALONSO MUÑOZ.</t>
  </si>
  <si>
    <t>AFECTADA LA VEREDAS CAÑO PESCADO 1 Y 2  POR UN BOQUETE ABIERTO POR ACCION DEL RIO CAUCA AFECTADAS 55 CORREGIMIENTOS Y VEREDAS-REPORTA CREPAD CORDOBA DRA MONICA KERGUELEN JIMENEZ-MANIFIESTA QUE DESDE EL AÑO PASADO HA SEGUIDO LA MISMA AFECTACION..</t>
  </si>
  <si>
    <t>DESBORDAMIENTO DE ARROYOS Y PLUVIAL-REPORTA CREPAD ATLANTICO DR  EVARISTO MARTINEZ CANTILLO.</t>
  </si>
  <si>
    <t>SE PRESENTO EVENTO SISMICO A LAS 12:27 PM, CON EPICENTRO EN EL MPIO DE BOLIVAR- VALLE.                    LA LOCALIZACIÒN DE LA R.S.N.C. ES:                   LATITUD: 4,32 GRADOS NORTE                                                         LONGITUD: -76,23 GRADOS OESTE                                                  PROFUNDIDAD: SUPERFICIAL MENOR DE 30 KMS                      MAGNITUD. 4,0 EN LA ESCALA DE RICHTER                               CAPITAL MÀS CERCANA, ARMENIA.                                                     OBSERVACIONES: EL CREPAD DEL VALLE Y CLOPAD DEL MPIO DE BOLIVAR, INFORMAN DE 3 VIVIENDAS AVERIADAS POR CAUSA DEL SISMO, UNA FUE EVACUADA, EN EL CORREGIMIENTO DE: RICAURTE, PORQUE SE CAYERON PAREDES Y TECHO,  2 AFECTADAS EN LA ZONA URBANA  SIN LESIONADOS, INFORMO DRA. MELBA LEYNER.</t>
  </si>
  <si>
    <t>SE PRESENTO HELADA, AFECTANDO CULTIVOS ASI: PAPA: 268,50 HECTAREAS, ULLUCO: 39,50 HECTAREAS, PASTOS: 99 HECTAREAS AFECATDAS, INFORMO CREPAD DEL CAUCA, DRA. EDITH PAZ</t>
  </si>
  <si>
    <t>INCENDIO ESTRUCTURAL EN LA VEREDA LA AZULITA -REPORTA D.C.C. DIRECCION NACIONAL SR ALIRIO CARRILLO.</t>
  </si>
  <si>
    <t>EVACUACION PREVENTIVA DE 108 FAMILIAS POR DESBORDAMIENTO DEL RIO SOAPAGA-INFORMA CREPAD BOYACA CORONEL LUIS FERNANDO PIÑEROS.</t>
  </si>
  <si>
    <t>DEBIDO A FUERTES LLUVIAS  SE PRESENTO INUNDACION EN EL CASCO URBANO. NO VICTIMAS. REPORTE  CREPAD CUNDINAMARCA DR. ALONSO MUÑOZ  CEL. 3138336594. INUNDACION POR LLUVIAS  AFECTADO EL SECTOR  LAS PLAYITAS POR DESBORDAMIENTO DE LA QUEBRADA NESCUATA-AFECTADO EL INTERCAMBIADOR VIAL-AFECTADA POR DESLIZAMIENTO   LA VIA SESQUILE-GUATAVITA-REPORTA D.C.C. DIRECCION NACIONAL SR. ALIRIO CARRILLO.</t>
  </si>
  <si>
    <t>AFECTADAS VIAS EL BAGRE, LA CORTADA Y LA VIA DE PENETRACION. APOYO DEL FNC MEDIANTE GIRO DIRECTO PARA LA ADQUISICION DE COMBUSTIBLE PARA LA MAQUINARIA PESADA PARA LA REHABILITACION DE VIAS.</t>
  </si>
  <si>
    <t>AFECTADOS LOS BARRIOS: NUEVO HORIZONTE, VILLA CAMPO ALEGRE, BELLO MAR, LAS TUNAS, NUEVO MILENIO, NUEVA GUAJIRA, LA UNION, AEROPUERTO, COOPERATIVO Y LA PAZ-VEREDA CAMARONES Y CORREGIMIENTO MACHO BAYO-INFORMA D.C.C. SEÑOR WILLIAN SARMIENTO. APOYO DEL FNC MEDIANTE GIRO DIRECTO AL CLOPAD PARA ARRIENDO TEMPORAL PARA 220 FAMILIAS POR TRES MESES A RAAZON DE $200.000 MES.</t>
  </si>
  <si>
    <t>GILBERTO MAZO DEL DAPARD DE ANTIOQUIA INFORMA DE  EVENTO. DONDE SE AFECTARON VIVIENDAS. EN LA VEREDA LOS ANGELES.</t>
  </si>
  <si>
    <t xml:space="preserve">SE PRESENTO DESLIZAMIENTO EN EL CASCO URBANO Y  EN LA  VEREDA  LA AGUADITA, EN EL SITIO  ATENDIO  CLOPAD , POLICIA, BOMBEROS. INFORMA  CREPAD CUNDINAMARCA.  VIA  CORREO ELETRONICO </t>
  </si>
  <si>
    <t>DESLIZAMIENTO EN LA VIA GAMA GACHETA DEJANDO AL MUNICIPIO INCOMUNICADO. REPORTA  CREPAD  CUNDINAMARCA VIA  CORREO  ELETRONICO</t>
  </si>
  <si>
    <t>APOYO DEL FNC PARA LA REALIZACION DE OBRAS EN LA VIA QUE DE ATACO CONDUCE A LA VEREDA SAN PEDRO - PALESTINA - BUENAVISTA MEDIANTE MURO EN CONCRETO</t>
  </si>
  <si>
    <t>APOYO DEL FNC MEDIANTE GIRO DIRECTO AL CLOPAD PARA REHABILITACION DE LA RED VIAL</t>
  </si>
  <si>
    <t>APOYO DEL FNC MEDIANTE GIRO DIRECTO AL CLOPAD PARA SUBSIDIO DE ARRIENDO TEMPORAL PARA 103 FAMILIA DURANTE TRES MESES ($36,180,000) Y COMBUSTIBLE PARA REHABILITACION DE VIAS ($20.000.000). REVISAR</t>
  </si>
  <si>
    <t>APOYO DEL FNC MEDIANTE GIRO DIRECTO AL CLOPAD PARA EL DRAGADO DE LA QUEBRADA MANIZALES Y ALQUILER DE MAQUINARIA,.</t>
  </si>
  <si>
    <t>EL VALOR DE OTROS CORRESPONDE A 1000 PARES DE BOTAS, 1000 PICAS Y 1000 PALAS.</t>
  </si>
  <si>
    <t>DESLIZAMIENTO SOBRE VÌA, EN LA VEREDA. LA FLORIDA, DEJANDOLA INCOMUNICADA, POR VÌA TERRESTRE, INFORMO D.C.C, SR. WILLIAM SARMIENTO 3199000. APOYO DEL FNC MEDIANTE GIRO DIRECTO PARA LA ADQUISICION DE LOS MATERIALES MECESARIOS PARA LA REHABILITACION DE LA VIA PEREIRA - AL CORREGIMIENTO DE LA FLORIDA</t>
  </si>
  <si>
    <t>DESBORDAMIENTO RIO ARACATACA, SECTORES LA COLOMBIA, LA BOGOTANA, LAS FLORES, PARATEBIEN Y SINU</t>
  </si>
  <si>
    <t>DESBORDAMIENTO DE ARROYOS, CORREGIMIENTO DE CANOAS.</t>
  </si>
  <si>
    <t>APOYO A TRAVES DE LA BRIGADA FLUVIAS DE INFANTERIA DE MARINA NO. 2 PARA EL CORREGIMIENTO DE NOANAMITO DE LOPEZ DE MICAY.</t>
  </si>
  <si>
    <t>APOYO SOLICITADO POR EL CREPAD PARA ATENDER LAS DIFERENTES EMERGENCIAS EN EL DEPARTAMENTO</t>
  </si>
  <si>
    <t>APOYO A TRAVES DEL DEPARTAMENTO PARA ATENDER LAS DIFERENTES SITUACIONES DE EMERGENICIA</t>
  </si>
  <si>
    <t xml:space="preserve">DESBORDAMIENTO DE LA QUEBRADA  EL RINCON EN EL CASCO URBANO. SIN HERIDOS NI MUERTOS REPOTE  CREPAD VALLE  DEL CAUCA  DRA. MELBA LEINER  VIDAL CEL. 3202374893 MINISTERIO DE LA PROTECCION SOCIAL SR. JOSE  MIGUEL VELASQUEZ  CORREO ELCTRONICO </t>
  </si>
  <si>
    <t>DESLIZAMIENTO ROMPIO TALUD QUE SOPORTA  LA TUBERIA DEL ACUEDUCTO QUE SUMINISTRA AGUA POTABLE, SE ENCUENTRAN AFECTADAS 3000 PERSONAS POR EL NO SUMINISTRO DE AGUA POTABLE, INFORMO CREPAD DE CUNDINAMARCA, SR. ALONSO MUÑOZ</t>
  </si>
  <si>
    <t>VENDAVAL EN LA ZONA RURAL, INFORMO SR. ALIRIO CARRILLO 3199000</t>
  </si>
  <si>
    <t>EL SEÑOR GILBERTO MAZO DEL CREPAD DE ANTIOQUIA  INFORMA QUE POR  LLUVIAS EN LA  REGIO SE AFECTO EL PUENTE QUE  CONDUCE DE MEDELLIN A PUERTO BERRIO EN EL  MUNICIPIO DE CISNEROS EN EL SECTOR DEL AQUEBRDA LA NEGRA.</t>
  </si>
  <si>
    <t>EL DÍA 27 DE OCTUBRE.ENTRE LAS 18 Y 18:30 HRS , SE PRESENTÓ LA CRECIENTE SÚBITA DE LA QUEBRADA EL PEPINITO CURVA DE LA VIRGEN (MIRADOR)  MOCOA VÍA PASTO,  LA CUAL ARRASTRÓ LA MOTOCICLETA PLACAS HBZ12C MARCA HONDA RESULTANDO HERIDAS LAS SIGUIENTES PERSONAS</t>
  </si>
  <si>
    <t>DESBORDAMIENTO DEL CHORRO EL CARMÈN, QUEBRADA LA MORABIA, RÌO CHIMPATÀ,  INFORMO CREPAD DE CUNDINAMARCA, SR. ALONSO MUÑOZ. INUNDACIONES EN LAS VEREDAS: SAN ISIDRO, MARIANO OSPINA, BARRIO. EL LUCERO,  INFORMO CREPAD DE CUNDINAMARCA, SR. ALONSO MUÑOZ</t>
  </si>
  <si>
    <t>APOYO DEL FNC MEDIANTE GIRO DIRECTO AL CLOPAD PARA ALQUILER DE MAQUINARIA PARA EL MEJORAMIENTO DE LA VI QUEBRADA CHIQUITA - ALTO DEL BOQUERON DEL K 2 AL K 2.26</t>
  </si>
  <si>
    <t>APOYO DEL FNC MEDIANTE GIRO DEICRECTO PARA ADQUISICION DE COMBUSTIBLE PARA REHABILITACION Y MANTENIMIENTO DE LA RED VIAL</t>
  </si>
  <si>
    <t>GIRO DIRECTO AL CLOPAD PARA ADQUISICION DE COMBUSTIBLE PARA ADELANTAR LOS TRABAJOS DE RECUPERACION DE LA MALLA VIAL.</t>
  </si>
  <si>
    <t>INUNDACIONES, REALIZAN EDAN,  INFORMA SOCORRO NACIONAL, SR. RENE VELASQUEZ. APOYO DEL FNC MEDIANTE GIRO DIRECTO AL CLOPAD PARA ADQUISICION DE COMBUSTIBLE PARA LA OPERACIÓN DE CINCO MOTOBOMBAS</t>
  </si>
  <si>
    <t>APOYO DEL FNC PARA LA DOTACION DE ALBERGUES. EL VALOR DE OTROS CORRESPONDE A 50 ALMOHADAS Y 6 CAMILLAS</t>
  </si>
  <si>
    <t>CRECIENTE DE LA QUEBRADA, LA GALLINAZO, EN EL SECTOR DE: LUCITANIA, AFECTO EL ACUEDUCTO DEJANDO SIN SUMINISTRO DE  AGUA POTABLE A LA POBLACIÒN, INFORMO, SR. OSCAR COLLAZOS DEL SOCORRO NACIONAL.. SE HA COORDINADO EL APOYO CON 69 CARROTANQUES , 5 TRACTOMULAS, 8 VOLQUETAS, 23 CAMIONETAS, 2 PLANTAS DE TRATAMIENTO DE LA CRC Y 10 TANQUES SE ACTIVO UN PLAN DE CONTINGENCIA CON EL APOYO DE TODAS LAS ENTIDADES DEL SNPAD. EL VALOR DE OTROS CORRESPONDE A 80 TONELADAS DE AGUA. APOYO DEL FNC MEDIANTE GIRO DIRECTO AL CLOPAD PARA RECURSOS PARA EL SECTOR SALUD $163,298,000, RECURSOS PARA MOTOBOMBAS, TANQUES, ALQUILER DE TRACTOMULAS $462,047,625. VALOR TOTAL DEL APOYO &amp;625,345,625,</t>
  </si>
  <si>
    <t>AFECTADAS OMUNIDADES DEL CORREGIMIENTO EL ROSAL. APOYO DEL FNC MEDIANTE GIRO DIRECTO PARA LA CONSRUCCION DE OBRAS DE MITIGACION QUE IMPIDAN LA PERDIADA DE LA VIA Y LA DESTRUCCION DEL POLIDEPORTIVO EN EL CORREGIMIENTO EL ROSAL</t>
  </si>
  <si>
    <t>40 PARES DE BOTAS, 40 OVEROLES, 40 CASCOS DE SEGURIDAD INDUSTRIAL, 40 GUANES DE CARNAZA, 40 CINTURONES DE ESFUERZO, 10 LINTERNAS TIPO REFLECTOR, 4 SOGAS NO. 8 DE 100 METROS. CON DESTINO AL PELOTON ANTIDESASTRES DEL BATALLON DEL ATLANTICO</t>
  </si>
  <si>
    <t>SE PRESENTO DESBORDAMIENTO DE LA  QUEBRADA CHIMICUICA EN LA ZONA RURAL CON AFECTACION EN  CULTIVOS. REALIZAN EDAN  REPORTE  CREPAD MAGDALENA DR. LUIS BARRAZA CEL. 3202406959</t>
  </si>
  <si>
    <t>DEBIDO A  FUERTES  LLUVIAS SE  DESBORDO LA  QUEBRADA LA  ARENOSA EN LA VEREDA  LA  JAGUA. REPORTE  CREPAD TOLIMA. SR. DIEGO ANGEL.  CEL  3158950087,</t>
  </si>
  <si>
    <t>DESBORDAMIENTO DE LAS QUEBRADAS LIMONES Y MELLIZO AFECTANDO FAMILIAS EN EL CASCO URBANO REPORTE  DEFENSA  CIVIL SR. LUIS A. BOTTIA TEL 3199000</t>
  </si>
  <si>
    <t>INFORMA LA  DIRECTORA DEL CREPAD. EN EL MUNICIPIO DE JAMUNDI POR  LLUVIAS SE AFECTARON VIVIENDAS, EN EL BARRIO VILLA DEL SOL. PARA EL SITIO SE ESTA DESPAZANDO UNA MOTOBOMBA DE  MAYOR CAUDAL  DE PROPIEDAD DE LA EMPRESA DE ACUEDUCTO DE LA CIUDAD DE CALI.</t>
  </si>
  <si>
    <t>DESLIZAMIENTO EN LA VEREDA: COLORADA, INFORMO CREPAD DE BOYACA, VÌA CORREO ELÈCTRONICO</t>
  </si>
  <si>
    <t>INUNDACIONES EN LAVEREDA: SIRAMA GÀMBITA, AFECTACIÒN EN CULTIVOS DE: DURAZNO, MANZANA, CURUBA, CALABACIN, CIRUELO, FRUTALES, PASTO, , INFORMO CREPAD DE BOYACA, VÌA CORREO ELÈCTRONICO</t>
  </si>
  <si>
    <t>INUNDACIÒN AFECTANDO EL PUENTE RÌO CANTINO, , INFORMO CREPAD DE BOYACA, VÌA CORREO ELÈCTRONICO</t>
  </si>
  <si>
    <t>OTROS CORRESPONDE  A 20 TANQUES, 20 TAZAS SANITARIAS</t>
  </si>
  <si>
    <t xml:space="preserve">INCENDIO ESTRUCTURAL EN LA VEREDA LIEVANO. INFORMA: OFICINA DE EMERGENCIAS  CREPAD HUILA SRA YADIRA MARTINEZ </t>
  </si>
  <si>
    <t>APOYO DEL FNC MEIANTE GIRO DIRECTO AL CLOPAD PARA ALQUILER DE MQUINARIA ($150,000,000) Y MATERIALES DE CONSTRUCCION ($100,000,000)PARA APYAR LA REHABIITACION DE LAS VIAS EL LLANO - VOLCANES, CUATRO ESQUINAS - SAN ISIDRO, EL EDEN - LA ALIANZA, TRES ESQUINAS - LA ARMENIA - LOS PINOS, LOURDES - NARANJAL</t>
  </si>
  <si>
    <t>DESBORDAMIENTO DEL RIO GUAYABAL, CORREGIMIENTO: GUAYABAL, INFORMO SOCORRO NACIONAL, SRA. SANDY MARROQUIN, 4376369. APOYO DEL FNC MEDIANTE GIRO DIRECTO AL CLOPAD PARA APOYAR A LOS ENTES OPERATIVOS DEFENSA CIVIL, CRU ROJA Y SECRETARIA DE SALUDPARA IMPLEMENTAR LA LOGISTICA DE ENTREGAS DE AYUDAS.</t>
  </si>
  <si>
    <t>FUERTES LLUVIAS, CORREGIMIENTO DE: PUEBLO NUEVO, DESBORDAMIENTO DEL RIO ARIGUANI AFECTADA LA VEREDA SAN JOSE DE ARIGUANI-PUEBLO NUEVO LA GRAN VIA.. INFORMO D.C.C, SR. WILLIAM SARMIENTO 3199000. APOYO DEL FNC MEDIANTE GIRO DIRECTO PARA ADQUISICION DE COMBUSTIBLE PARA REHABILITACION DE LA RED VIAL.</t>
  </si>
  <si>
    <t>APOYO DEL FNC MEDIANTE GIRO DIRECTO AL CLOPAD PARA ADQISICION DE COMBUSTIBLE PARA LA REHABILITACION DE LA RED VIAL.</t>
  </si>
  <si>
    <t>APOYO DEL FNC MEDIANTE GIRO DIRECTO AL CLOPAD PARA ALQUILER DE MAQUINRIA PARA ATENCIONCION DE EMERGENCIAS VIALES EN LA RED SECUNDARIA Y TERCIARIA.</t>
  </si>
  <si>
    <t>INCENDIO ESTRUCTURAL, EN EL BARRIO: EL NOGAL EN UNA FABRICA DE MUEBLES, INFORMO D.C.C, SR. ALBERTO BOTTIA, 3199000</t>
  </si>
  <si>
    <t>VENDAVAL, EN LA VEREDA, SAN JUAQUIN, INFORMO D.C.C, SR. ALBERTO BOTTIA, 3199000</t>
  </si>
  <si>
    <t xml:space="preserve">EL SEÑOR CARLOS ALBERTO HERRERA  JEFE OPERATIVO DE DEFENSA CIVIL PUTUMAYO INFORMA QUE EN EL BARRIO JOSE HOMERO ALTO SE PRESENTO DESLIZAMIENTO, AFECTANDO UNA  VIVIENDA DE 3 PISOS HECHA EN MADERA Y CON RIESGO 2 MAS AL CAER LA PRIMERA, LA VIVIENDAS  SE  ESTABILIZARON PROVISIONALMENTE CON  CUERDAS  MIENTRAS  SE  REALIZABA  LA EVACUACION DE  ENSERES Y PERSONAS. </t>
  </si>
  <si>
    <t>INUNDACIONES, ACOMPAÑADO DE FUERTES VIENTOS, POR DESBORDAMIENTO DE LAS QUEBRADAS: MADERA, LA LOCA, LA ORTEGA, BARRIOS: LA MARISENGA, PARIS, POTRERITOS, TIERRA ADENTRO, LA CAMILA, HATO VIEJO, REALIZAN EDAN, INFORMO CREPAD DE ANTIOQUIA, DR. GILBERTO MAZO, CEL. 3202407294. APOYO DEL FNC PARA ALQUILER DE MAQUINARIA PARA TRBAJOS DE DRAGADO Y LIMPIEZA DE LA QUEBRADA GARCIA.</t>
  </si>
  <si>
    <t>VENDAVAL EN HORAS  DE LA  TARDE  17:20 HORAS  APROXIMADAMANTE. VIVIENDAS AFECTADAS  EN SUS TECHOS REPORTE  CREPAD CAQUETA  DR. GUSTAVO ORTEGA  RAMIREZ CORREO ELECTRONICO.</t>
  </si>
  <si>
    <t xml:space="preserve">EVENTO SE  PRESENTO EN  LA URBANIZACION  CATALINA  MUÑOZ PRIMERA  ETAPA. FALLECIO MENOR  DE  3 AÑOS NOMBRE  CARLOS  FERNANDO MORALES. REPORTE  DE  CREPAD CAQUETA  DR. GUSTAVO ORTEGA  RAMIREZ CORREO ELECTRONICO. </t>
  </si>
  <si>
    <t>DESLIZAMIENTO POR SATURACIÒN DEL SUELO, POR LLUVIAS PERSISTENTES EN LA SERRANIA., INFORMO CREPAD DE LA GUAJIRA, DR. LEONARDO IMITOLA, VÌA CORREO ELÈCTRONICO</t>
  </si>
  <si>
    <t>INUNDACIONES POR CRECIENTE DEL RÌO VILLANUEVA, INFORMO CREPAD DE LA GUAJIRA, DR. LEONARDO IMITOLA, VÌA CORREO ELÈCTRONICO</t>
  </si>
  <si>
    <t>AFECTACIONES POR LLUVIAS TORRENCIALES, INFORMO CREPAD DE LA GUAJIRA, DR. LEONARDO IMITOLA, VÌA CORREO ELÈCTRONICO</t>
  </si>
  <si>
    <t xml:space="preserve"> INUNDACIONES EN ZONA RURAL , AISLAMIENTO POR DAÑO DE VÌAS Y ACCESOS A RANCHERIAS, INFORMO CREPAD DE LA GUAJIRA, DR. LEONARDO IMITOLA, VÌA CORREO ELÈCTRONICO</t>
  </si>
  <si>
    <t>INUNDACIONES EN ZONA RURAL, CORREGIMIENTO DE. VERACRUZ, AISLAMIENTO POR DAÑO DE VÌAS Y ACCESOS A RANCHERIAS, INFORMO CREPAD DE LA GUAJIRA, DR. LEONARDO IMITOLA, VÌA CORREO ELÈCTRONICO</t>
  </si>
  <si>
    <t>AFECTADA LA INSPECCION LA PRADERA  Y EL COLEGIO DEPARTAMENTAL LA PRADERA- INFORMA CLOPD SUBACHOQUE-CREPAD CUNDINAMARCA.</t>
  </si>
  <si>
    <t>AFECTADAS 2 FAMILIAS DE LAS VEREDAS LA LAGUNA Y LA CAPILLA,  OCURRIO A LAS 16:30 P.M. -INFORMA D.C.C DIRECCION NACIONAL SR: WILLIAN SARMIENTO.</t>
  </si>
  <si>
    <t xml:space="preserve">UNA VIVIENDA DESTRUIDA EN LA VEREDA LA ESMERALDA-INFORMA D.C.C. DIRECCION NACIONAL SR: WILLIAN SARMIENTO. </t>
  </si>
  <si>
    <t>INCENDIO ESTRUCTURAL EN EL BARRIO MANGA-INFORMA CLOPAD CARTAGENA DRA  LUZ ESTELLA BEJARANO.</t>
  </si>
  <si>
    <t>APOYO DEL FNC PARA ALQUILER DE MAQUINARIA PARA REHABILITACION DE LA VIA VEREDA LAGUNETAS</t>
  </si>
  <si>
    <t>APOYO DEL FNC PARA LA ADQUISICION DE COMBUSTIBLE PARA APOYAR LA REHABILITACION VIAL</t>
  </si>
  <si>
    <t>APOYO DEL FNC MEDIANTE LA ADQUISICION DE COMBUSTIBLE PARA APOYAR LOS TRABAJOS DE REMOCION DE ESCOMBROS, LIMPIEZA DE CAÑOS, QUEBRADAS, DRENAJETRANSPORTE DE ALIMENTOS, PERSONAS Y ANIMALES, COMO TAMBIEN AYUDAS HUMANITARIA Y BRIGADAS DE SALUD.</t>
  </si>
  <si>
    <t>DESLIZAMIENTO  DE BANCA, KM: 99 + 100, ENTRE SANTIAGO Y EL ROSAL, 300 KMS DE AFECTACIÒN, VÌA DE SEGUNDO ORDEN, INFORMO CREPAD DEL CAUCA DRA. EDITH PAZ, VÌA CORREO ELÈCTRONICO</t>
  </si>
  <si>
    <t>VENDAVAL, EN EL CASCO URBANO,  INFORMO CREPAD DEL CAUCA DRA. EDITH PAZ.</t>
  </si>
  <si>
    <t>APOYO PARA LOS ALBERGUES DE MANATI 300 FAMILIAS, CANDELARIA 300 FAMILIAS Y SABANALARGA 100 FAMILIAS</t>
  </si>
  <si>
    <t xml:space="preserve">SE PRESENTO INUNDACION Y DESLIZAMIENTO EN CASCO URBANO DEL MUNICIPIO DEBIDO  AFUERTES  LLUVIAS. REPORTE  CREPAD NARIÑO DR. JORGE  TOVAR. </t>
  </si>
  <si>
    <t xml:space="preserve">INFORMACION DEL CLOPAD  Y CREPAD 
SIENDO LAS 00:10 A.M. DEL DÍA DE HOY SE RECIBE INFORMACIÓN EN EL CUERPO DE BOMBEROS DE CALARCA QUE UN DESLIZAMIENTO DE GRANDES PROPORCIONES TAPO DOS FINCAS EL CASTILLO Y EL DIAMANTE EN LA VEREDA CHAGUALA.
DE INMEDIATO ORGANISMOS DE SOCORRO DEL MUNICIPIO, APOYADOS POR LA CRUZ ROJA DEL QUINDÍO SE TRASLADARON AL SITIO PARA INICIAR LAS LABORES DE BÚSQUEDA Y RESCATE DE LAS PERSONAS HERIDAS Y ATRAPADAS POR EL TALUD DE TIERRA; DENTRO DE LOS CUALES SE ENCUENTRA EL SIGUIENTE BALANCE:
2 VIVIENDAS DESTRUIDAS
4 MUERTOS
5 HERIDOS
NOMBRE DE LAS PERSONAS:
HERIDOS:
1. GODOFREDO JESÚS MONTOYA QUINTERO 49 AÑOS C.C. 70.381.420
2. NANCY MONTOYA POSADA 23 AÑOS C.C. 1.057.756.780
3. EDUARD MONTOYA POSADA 15 AÑOS
4. YENY TATIANA MONTOYA POSADA 12 AÑOS
5. MARCO TULIO BEDOYA MONTOYA 16 MESES
MUERTOS:
1. FLOR MARÍA ORDOÑEZ 23 AÑOS
2. JUAN SEBASTIÁN ORDOÑEZ 12 MESES
3. MARÍA GABRIELA POSADA GARCÍA 45 AÑOS
4. JOSÉ ELISEO HERNÁNDEZ 72 AÑOS
</t>
  </si>
  <si>
    <t>INFORMA EL CREPAD DE CAQUETA QUE  EN EL SITIO  DENNOMINADO  LA PAZ SE  AFECTO UNA  TUBERIA DE AGUA POTABLE EL CUAL ABASTESE EL 50% DE LA POLACION DE FLORENCIA. PARA EL DIA LUNES 7 SE  ESTIMA  YA  ESTE  RESTABLECIDO  EL  SERVICIO, PARA  LAS  ZONAS  AFECTADA POR EL CORTE DE AGUA ESTA  SIENDO ATENDIDAS POR CARRO TANQUE  DEL  MUNICIPIO Y CONTRATADOS.</t>
  </si>
  <si>
    <t>AFECTADA VIA CUCUTA PAMPLONA SECTOR EL DIAMANTE REPORTE DEL CREPAD</t>
  </si>
  <si>
    <t>DESLIZAMIENTO EN LA  VIA  A PUEBLO RICO KM1  REPORTE  CREPAD RISARALDA  CORREO ELECTRONICO</t>
  </si>
  <si>
    <t>VENDAVAL EN EL BARRIO MONTEREDONDO , REPORTE  CREPAD RISARALDA  CORREO ELECTRONICO</t>
  </si>
  <si>
    <t>EVENTO PRESENTADO EN VEREDAS LA FLORESTA Y TRES  ESQUINAS  REPORTE  CREPAD RISARALDA  CORREO ELECTRONICO</t>
  </si>
  <si>
    <t>PRESENTADO EN EL CASCO URBANO DEL MUNICIPIO AFECTACION EN TECHO DE  VIVIENDAS.  REPORTE  CREPAD RISARALDA  CORREO ELECTRONICO</t>
  </si>
  <si>
    <t>AFECTADAS LAS VIAS ARENILLO, LA MIRANDA, CARACAS, EL ZURRUBO, LA NONA. REPORTE  CREPAD RISARALDA  CORREO ELECTRONICO</t>
  </si>
  <si>
    <t>AFECTACION EL LAS VIAS PEREIRA LA  ORIENTAL.  REPORTE  CREPAD RISARALDA  CORREO ELECTRONICO</t>
  </si>
  <si>
    <t>AFECTADA LA  VIA  A LA VEREDA  LA  ARGENTINA.  REPORTE  CREPAD RISARALDA  CORREO ELECTRONICO</t>
  </si>
  <si>
    <t>EVENTO PRESENTADO EN LA VEREDA  EL HOYO.  REPORTE  CREPAD RISARALDA  CORREO ELECTRONICO</t>
  </si>
  <si>
    <t>DESLIZAMIENTO EN LA VEREDA  EL SOCORRO.  REPORTE  CREPAD RISARALDA  CORREO ELECTRONICO</t>
  </si>
  <si>
    <t>VREDAS LA  FLORIDA  PIMPOLLO, SAN JOSE, SANTA  HELENA, CHARCO NEGRO. REPORTE  CREPAD RISARALDA  CORREO ELECTRONICO</t>
  </si>
  <si>
    <t>AFECTACION EN LOS ACUEDUCTOR DE BAJO BARAKIRURA, LA CIMA,  REPORTE  CREPAD RISARALDA  CORREO ELECTRONICO</t>
  </si>
  <si>
    <t>AFECTACION EN LA  VEREDA  TARAPACA.  REPORTE  CREPAD RISARALDA  CORREO ELECTRONICO</t>
  </si>
  <si>
    <t>INFORMA EL CAPITÁN CARLOS ALBERTO PANESSO (3175432548) DE CRECIENTE SÚBITA DE LAS QUEBRADAS SAN EUGENIO Y SAN RAMÓN, SITUACIÓN PRESENTADA A LAS 15:30 SE REALIZA EVACUACIÓN PREVENTIVA DE LOS CENTROS RECREATIVOS DE LA ZONA Y DE VIVIENDAS DEL BORDE DE LAS  QUEBRADAS SI HAY VIVIENDAS AFECTADAS Y VEHÍCULOS. AFECTADOS LOS SECTORES LA UNION, SAN EUGENIO, PIO XII, LA REINA, LA ESTACION, VILLA ALEGRIA, LA MARIA CAMPOALEGRITO, ESTACION YARYMAL,  REPORTE  CREPAD RISARALDA  CORREO ELECTRONICO. EL COMITÉ DE  EMERGENCIAS DEL MUNICIPIO ESTA  REUNIDO EN PLENO ESTÁ REALIZANDO LABORES DE MONITOREO, PARA ESTABLECER DAÑOS, NO SE  REPORTAN PERSONAS LESIONADAS O MUERTAS.</t>
  </si>
  <si>
    <t xml:space="preserve">EL COORDINADOR DEL COMITÉ REGIONAL DE EMERGENCIAS, CÉSAR GUTIÉRREZ, INFORMÓ DE TRES BARRIOS Y UNA VEREDA FUERON LOS MÁS AFECTADOS POR LAS FUERTES PRECIPITACIONES EN EL TRANSCURSO DEL DÍA EN EL MUNICIPIO DEL GUAMO.
LAS LLUVIAS OCASIONARON LA OBSTRUCCIÓN DE COLECTORES E INUNDARON VARIAS VIVIENDAS EN LOS BARRIOS PABLO VI, EL CARMEN Y PARTE DE LA ZONA CENTRO DE LA LOCALIDAD, AL TIEMPO QUE SE VERIFICA LA SITUACIÓN PRESENTADA EN LA VEREDA RINCÓN SANTO, A MEDIA HORA DEL PERÍMETRO URBANO DEL GUAMO.
LOS ORGANISMOS DE SOCORRO ADELANTAN EL CENSO CORRESPONDIENTE PARA ESTABLECERLAS FAMILIAS DAMNIFICADAS Y LAS VIVIENDAS AFECTADAS POR INVIERNO EN ESA LOCALIDAD.
</t>
  </si>
  <si>
    <t>INFORMA  EL CREPAD DEL VALLE DE CAUCA DOCTORA MELBA  LEYNER RUIZ QUE  EN RIO MELENDES EL SITIO DENOMINADO LA CHOCLONA  SE  PRESENTO UNA  CRECIENTE SUBITA  LA CUAL  OCASIONA  LA  MUERTE DE 4 MENORES Y UN ADULTO Y DOS LESIONADOS DE 62 AÑOS Y 14 AÑOS.</t>
  </si>
  <si>
    <t>SE EVACUARON 35 FAMILIAS DE MANERA PREVENTIVA DEL CONJUNTO RESIDENCIAL, CAMPO ALEGRE, INFORMO CLOPAD DE BARRANQUILLA DR. GUILLERMO SISTORI, CEL 3202398442</t>
  </si>
  <si>
    <t>FENOMENO DE REMOSIÒN DE MASA, EN EL SECTOR DE CIUDAD JARDÌN, ESTRATO 5, INFORMO CLOPAD DE BARRANQUILLA DR. GUILLERMO SISTORI, CEL 3202398442</t>
  </si>
  <si>
    <t>INUNDACIONES POR FUERTES LLUVIAS, EN LOS SECTORES DE: LA FLORIDA, COMUNA 13, DISTRITO DE AGUA BLANCA, INFORMO CREPAD DEL VALLE DRA. MELBA LEYNER, CEL: 3155654593</t>
  </si>
  <si>
    <t>APOYO DEL FNC MEDIANTE GIRO DIRECTO PARA LA ADQUISICION DE COMBUSTIBLE PARA MANTENIMIENTO Y REHABILITACIONDE VIAS TERCIARIAS.</t>
  </si>
  <si>
    <t>UNA VIVIENDA   UBICADA EN LA CALLE 5  No. 1-37   BARRIO EL BOSQUE AFECTADA POR DESLIZAMIENTO-INFORMA CREPAD QUINDIO CORREO ELECTRONICO.</t>
  </si>
  <si>
    <t>DESLIZAMIENTO EN EL SECTOR LA QUIEBRA ENTRE RIO VERDE Y PIJAO, PASO RESTRINGIDO, OTROS DESLIZAMIENTOS MENORES  SOBRE LA VIA EN LOS SECTORES LA ESTER Y BOCA DEL MONTE. INFORMA CREPAD QUINDIO CORREO ELECTRONICO.</t>
  </si>
  <si>
    <t xml:space="preserve">LLUVIAS Y VIENTOS PROVOCARON LA PERDIDA DE TECHO Y HUNDIMIENTO DE UNA VIVIENDA EN EL BARRIO LA AURORA -PERDIDA DE MUEBLES Y ENSERES, LA FAMILIA FUE REUBICADA DONDE FAMILIARES-  2  DESLIZAMIENTOS SOBRE  LA VIA  EL HATO.  REPORTA CREPAD CUNDINAMARCA  CORREO ELECTRONICO. </t>
  </si>
  <si>
    <t xml:space="preserve">UN FUERTE AGUACERO REBOSO EL SISTEMA DE ALCANTARILLADO  EN EL BARRIO SAN JOSE, PERDIDA DE MUEBLES Y ENSERES. REPORTA  CREPAD CUNDINAMARCA CORREO ELECTRONICO. </t>
  </si>
  <si>
    <t>DESBORDAMIENTO DE LA QUEBRADA  GUASACURY  EN LA VEREDA  SABANETA  LAS FAMILIAS FUERON EVACUADAS DONDE FAMILIARES Y AMIGOS. INFORMA GONZALO TRIANA CLOPAD CAPARRAPI.</t>
  </si>
  <si>
    <t xml:space="preserve">DESBORDAMIENTO DE LA QUEBRADA LA NEGRA CAUSO DAÑOS EN EL 40% DE LAS OBRAS DE MITIGACION QUE ADELANTA LA CAR, CLOPAD Y BOMBEROS  REALIZAN VISITA DE COMPROBACION. REPORTA CREPAD CUNDINAMARCA  Y SECRETARIA DE GOBIERNO DE UTICA CORREO ELECTRONICO. </t>
  </si>
  <si>
    <t xml:space="preserve"> DESBORDAMIENTO DEL RIO ANDAGUEDA AFECTADO EL SECTOR DE  BORAUDO PENDIENTE CONSOLIDADO FINAL DE AFECTACION. INFORMA CREPAD CHOCO DR RAFAEL ANDRES BOLAÑOS.</t>
  </si>
  <si>
    <t>DESBORDAMIENTO DE LOS RÌOS PEÑONES Y GARAPATAS, DESTRUYERON PUENTE MILITAR, EN EL CORREGIMIENTO DE: PUERTO NUEVO, DEJANDO LA COMUNIDAD AISLADA Y DE SEGUIR LLOVIENDO, RESULTARAN VIVIENDAS INUNDADAS, INFORMO SR. ALCALDE DE VERSALLES, CEL. 3128329738</t>
  </si>
  <si>
    <t>DESLIZAMIENTO EN EL BARRIO. EL CORTIJO, INFORMO D.C.C</t>
  </si>
  <si>
    <t>FENOMENO DE REMOSIÒN EN MASA, EN LA VEREDA: ALTO JORDÀN, INFORMO D.C.C.</t>
  </si>
  <si>
    <t>DESLIZAMIENTO, EN EL SECTOR 3 DE JUNIO, ANTIGUO BOTADERO DE BASURA DE CARTAGENA, 11 CAMBUCHES DESTRUIDOS, INFORMO D.C.C.</t>
  </si>
  <si>
    <t>DESLIZAMIENTO EN LA BANCA DE LA  VIA  ALMAGUER-EL TABLON-EL BORDO, DESTRUCCION DE  3 VIVIENDAS DONDE LAS 3 FAMILIAS FUERON EVACUADAS DONDE  FAMILIARES Y VECINOS. REPORTE  CREPAD CAUCA  DR. EDITH J,  PAZ. CORREO ELECTRONICO.</t>
  </si>
  <si>
    <t xml:space="preserve">DEBIDO A  FUERTES  LLUVIA  SE  DESBORDO EL RIO TIMANA  EN LA  VEREDA  SANTA  BARBARA SITIO CINCO VEREDAS . REPORTE  CREPAD HUILA SRA. YADIRA  MARTINEZ CORREO ELECTRONICO. </t>
  </si>
  <si>
    <t>DESLIZAMIENTO EN EL BARRIO. CAMINO REAL, SECTOR ALTO, INFORMO CREPAD DE CUNDINAMARCA, SR. ALONSO MUÑOZ, VIA CORREO ELÈCTRONICO</t>
  </si>
  <si>
    <t>INUNDACIONES POR FUERTES LLUVIAS, EN FONTIBON, BARRIO. KASANDRA, INFORMO D.C.C, SR. WILLIAM SARMIENTO, 3199000</t>
  </si>
  <si>
    <t>INUNDACIONES EN LA ZONA URBANA, REALIZAN EDAN  INFORMO D.C.C, SR. WILLIAM SARMIENTO, 3199000</t>
  </si>
  <si>
    <t>INUNDACIONES POR FUERTES LLUVIAS EN LA ZONA URBANA, INFORMO D.C.C, SR. WILLIAM SARMIENTO, 3199000</t>
  </si>
  <si>
    <t>DESBORDAMIENTO DEL RÌO MAGDALENA, INFORMA SOCORRO NACIONAL, SRA. SANDY MARROQUIN, 4376369</t>
  </si>
  <si>
    <t>DESLIZAMIENTO EN LA VEREDA: NOAPLI, INFORMO D.C.C, SR. WILLIAM SARMIENTO, 3199000</t>
  </si>
  <si>
    <t>AFECTADA UNA VIVIENDA POR COLAPSO DE UN MURO EN EL BARRIO SAN ANTONIO BAJO-INFORMA CREPAD HUILA.</t>
  </si>
  <si>
    <t xml:space="preserve">DESBORDAMIENTO DEL RIO GUADALAJARA AFECTADOS LOS  SECTORES, EL CARMELO, LA PALOMERA, EL PORVENIR, ZONA ALTA, ALTO BONITO,Y LOS  PUENTES VEHICULARES: LA LIBERTAD, ABADIA, EL DESBARATADO. INFORMA EL SEÑOR ALCALDE JHON FREDY LIBREROS, EL MANIFIESTA QUE TIENE  DINEROS  DE REGALIAS, QUE ESPERABA LICITACION PARA ADELANTAR OBRAS, QUE EN ESTE MOMENTO VA A DECLARAR LA URGENCIA MANIFIESTA. CEL: 3164114526. </t>
  </si>
  <si>
    <t xml:space="preserve">DESLIZAMIENTO QUE AFECTO EL BARRIO CARACOLI EN CIUDAD BOLIVAR-INFORMA D.C.C DIRECCION NACIONAL SR ALIRIO CARRILLO.    </t>
  </si>
  <si>
    <t xml:space="preserve">DESLIZAMIENTO, AFECTANDO TUBOS DE CONDUCCIÒN DEL ALCANTARRILADO, SE EVACUAN POR PREVENCIÒN, 26 FAMILIAS, 110 PERSONAS. ASI: BARRIO CENTENARIO: 10 FAMILIAS, 33 PERSONAS, BARRIO. MARMATO: 8 FAMILIAS, 35 PERSONAS, BARRIO: CASTELLANA,  8 FAMILIAS, 42 PERSONAS, INFORMO CP. DANIEL CASTAÑO  </t>
  </si>
  <si>
    <t>DESLIZAMIENTO, OCASIONO COLAPSO DE PUENTE, EN LA VÌA OTANCHE QUIPANADEJANDO INCOMUNICADA LA COMUNIDAD, INFORMO SOCORRO NACIONAL, SR. RENE VELASQUEZ, 4376369</t>
  </si>
  <si>
    <t>DESBORDAMIENTO DEL RIO CAÑAVERALES, EN EL CORREGIMIENTO DE: SITIO NUEVO, INFORMO, D.C.C, SR. WILLIAM SARMIENTO, 3199000</t>
  </si>
  <si>
    <t>DESBORDAMIENTO DE LOS RIOS: EMITAÑO, GUAGUAQUI, QUEBRADAS: PAVO Y VELASQUEZ,  8 VEREDAS AFECTADAS DE NOMBRES.PUERTO PIZA, DOSQUEBRADAS, TRAPICHE, GUANEGRO, PUERTO PINEDA, PAVAS, UNO Y MEDIO, INFORMO, D.C.C, SR. WILLIAM SARMIENTO, 3199000, INFORMACIÒN POR CONFIRMAR POR PARTE DEL CREPAD DE BOYACA</t>
  </si>
  <si>
    <t>FUERTES VIENTOS FUERON AFECTADAS  3 CENTROS EDUCATIVOS Y 264 FAMILIAS EN SECTORES BUENAVISTA, PLATANILLAL, LA LAGUNA, SAMAL, EL ENCANTO, SAN VICENTE, BETANIA. SIN VICTIMAS, REPORTE  CREPAD BOYACA CORREO ELECTRONICO. VALOR DE OTROS: 14 ROLLOS DE MANGUERA 1/2 14 TANQUES 250 LTS.</t>
  </si>
  <si>
    <t>DESBORDAMIENTO  DE  LOS CAÑOS: SAN IGNACIO Y LA  CUBANA EN LOS CORREGIMIENTOS DE  SABANA  GRANDE, CHAMPAN, GUAIMARAL, Y HOJANCHO; VEREDAS: LA CALICHOSA, SAN PEDRO ALTO, UNION ANIMITO, ANIME GRANDE, UNION 28, PEDRO MEDIO Y LOS SERENOS. PERDIDA EN CULTIVOS Y ANIMALES DOMESTICOS, UN ACUEDUCTO EN EL CASCO URBANO Y UN PUENTE  VEHICULAR  EN LA  VEREDA  LA CALICHOSA. REPORTE  DE CREPAD CESAR  VIA  CORREO ELECTRONICO. DR. LUIS HERNANDO AVENDAÑO CEL. 3202406956 VALOR DE OTROS 50 CAJAS DE CLAVOS DE 5", 50 TAZAS CAMPESINAS, , 3000 BLOQUES DE H 15 PARA POZOS SEPTICOS, 100 ROLLOS MANGUERA DE 1", 100 ROLlOS MANGUERA DE 2", 100 ROLLOS MANGUERA DE 3", 50 TUBOS DE 3" PVC SANITARIO, 15 TUBOS 2" PVC SANITARIO. 30 MARTILLOS, 30 PALA DRAGAS, 15 PICAS, 15 PALAS, 5 BARRAS, 1 AZADON, 28 RULAS.</t>
  </si>
  <si>
    <t>DESLIZAMIENTO BARRIO CERVANTES. EL SERVICIO DEL CABLE METRO SE AFECTADO A CAUSA DE DAÑO EN UNA TORRE Y SUSPENDIDO EL SERVICIO.
ORGANISMOS DE SOCORRO EN EL LUGAR REALIZAN ACTIVIDADES DE BÚSQUEDA.  LA INFORMACION ESTA CONSOLIDANDOSE TOTAL EN EL P.M.U SITUADO EN LA ZONA. APOYO DE DEFENSA CIVIL, CRUZ ROJA, POLICIA, EJERCITO, SCOUT, JUNTA DE ACCION COMUNAL, ICBF, CLOPAD, CREPAD, DGR, BOMBEROS.
INFORMACION SUMINISTRADA POR EL MINISTERIO DEL PROTECCION SOCIAL.Y LAS  PERSONAS  QUE  SE  TRANSLADARON A  CENTRO ASISTENCIALES LES  ESTAN  DANDO  DE  ALTA  NO HAY  NIGUNA  EN  ESTADO CRITICO. VALOR DE OTROS: 2000 GUANTES DE LATEX, 2000 TAPABOCAS, 1000 GUANTES DE CARNAZA.</t>
  </si>
  <si>
    <t>INFORMA EL CREPAD DE NARIÑO VIA  TELEFONICA DE  AFECTACION A  CAUSA DE  LLUVIAS EN EL  MUNICIPIO DE LEIVA VEREDA CAÑADAS, AUN CONTINUAN LOS  ORGANISMOS DE SOCORRO Y CLOPAD REHALIZANDO EDAN.</t>
  </si>
  <si>
    <t xml:space="preserve">FUERTES LLUVIAS OCASIONARON DESLIZAMIENTO, AFECTADA  APROXIMADAMENTE  700 MTS DE LA BANCA EN LA VÍA QUE CONDUCE DE LA CABECERA  MUNICIPAL DEL  TAMBO A LA VEREDA DE PUEBLO NUEVO, QUEDANDO  TOTALMENTE INCOMUNICADA LA COMUNIDAD.INFORMO EL CREPAD  CAUCA VIA  </t>
  </si>
  <si>
    <t>INFORMA  CREPAD  CAUCA VIA  IMAIL SOBRE AFECTACION  EN LAS VEREDAS:  SAN JUAN  DE LA GUADUA, SAN JUAN  DE LA FLORIDA , LAS PERLAS, LA CEIBA, CRISTALES  BAJO , LA CUMBRE, EL MANGO , Y LA  VIA ARGELIA- BALBOA , AFECTACION A   VIVIENDAS, VÍAS ,CANCHAS Y AL P</t>
  </si>
  <si>
    <t xml:space="preserve">DESLIZAMIENTO SOBRE LA VÍA QUE COMUNICA AL CASCO URBANO CON LA VEREDA GENZEN  OBSTRUCCIÓN TOTAL
EN LA NOCHE ANTERIOR LA QUEBRADA GENZEN UBICADA EN LA VEREDA DEL MISMO NOMBRE PRESENTO UN CRECIENTE, A LA HORA NO REPORTAN DAÑOS  INFORMA  EL CREPAD DEL HUILA </t>
  </si>
  <si>
    <t>AFECTACION EN LA VEREDA TAMBO-YACUANA POR DESLIZAMIENTO-INFORMA CREPAD CAUCA DRA. EDITH JANETH PAZ.</t>
  </si>
  <si>
    <t>DESLIZAMIENTO SOBRE LA VIA  GUATEQUE LAS JUNTAS SECTOR EL SALITRE CIERRE TOTAL  ES UNA VIA NACIONAL. INFORMA CREPAD BOYACA DR LUIS HERNANDO RAMIREZ.</t>
  </si>
  <si>
    <t>DESLIZAMIENTO  EN MINA DE CARBON BUENOS AIRES EN LA VEREDA PATAGUY, 2 HERIDOS: SERGIO RAMIREZ, OLIMPO MONROY, UNA PERSONA ATRAPADA  SR IRENARCO  GIL DE 53 AÑOS. EN EL SITIO SE ENCUENTRAN ORGANISMOS DE SOCORRO Y RESCATE MINERO-INFORMA  CREPAD BOYACA DR. LU</t>
  </si>
  <si>
    <t>DESBORDAMIENTO DEL RIO DESBARATADO  EN LA  VEREDA  SANTA  ROSA. REPORTE  CREPAD VALLE  DEL CAUCA  DRA. MELBA  LEINER  VIDAL.</t>
  </si>
  <si>
    <t>SE  PRESENTO DESLIZAMIENTO EN LA  VIA  RONDON-ZETAQUIRA EN LA  VEREDA  SAN IGNACIO. REPORTE  CREPAD BOYACA DR. LUIS HERNANDO RAMIREZ CEL. 3124780588</t>
  </si>
  <si>
    <t>DEBIDO A  REMOCION DE  MASA QUE  SE  VIENE  PRESENTANDO DESDE  DIAS  ANTERIORES EN EL BARRIO ALTO LOS SAUCES,   SE  HAN EVACUADO  32 PERSONAS CORRESPONDIENTE  A  9 FAMILIAS HACIA  EL SALON COMUNAL DEL BARRIO.  REPORTE  CLOPAD POPAYAN DR. HERNAN VARONA</t>
  </si>
  <si>
    <t>SE PRESENTO DESLIZAMIENTO  ENTRE  LAS  VEREDAS  SAN JULIAN Y POTRERITOS, FAMILIAS FUERON ALBERGADAS DONDE  FAMILIARES  Y AMIGOS. NO HERIDOS NI MUERTOS.  REPORTE  CREPAD CAUCA DRA. EDITH JANETH PAZ. CE. 3202407419-</t>
  </si>
  <si>
    <t>DESLIZAMIENTO EN SECTOR  SICHA CENTRO AFECTADA  UNA  VIA  , UN ACUEDUCTO. REPORTE  CREPAD BOYACA CORREO ELECTRONICO</t>
  </si>
  <si>
    <t xml:space="preserve">AFECTACION EN LOS SECTORES: EL PROGRESO NAPOLI, DELICIAS, SANTA  LUCIA, CUNDINAMARCA, ALAMOS,  PRIMERO DE  MAYO, CERRITO, SAUZALITO, AFECTACION EN ALCANTARILLADO.  REPORTE  CREPAD BOYACA CORREO ELECTRONICO </t>
  </si>
  <si>
    <t xml:space="preserve">SE PRESENTO INUNDACION DEBIDO A FUERTES  LLUVIAS  AFECTANDO EL BARRIO CANDIDO QUINTERO AFECTACION EN ALCANTARILLADO.  REPORTE  CREPAD BOYACA CORREO ELECTRONICO </t>
  </si>
  <si>
    <t xml:space="preserve">AFECTACION EN ESCUELAS SINAI Y LA ESMERALDA, AFECTACION EN VARIAS  VIAS.  REPORTE  CREPAD BOYACA CORREO ELECTRONICO </t>
  </si>
  <si>
    <t>SE PRESENTO DESLIZAMIENTO EN LOS BARRIOS CARLOS MEISEL, LA ESMERALDA , 7 DE  ABRIL, PERSONAS FUERON EVACUADA  A  SITIOS SEGUROS. REPORTE  CREPAD ATLANTICO  DR. EVARISTO MARTINEZ Y NATALIA  SEGURA  SALA DE  CRISIS.</t>
  </si>
  <si>
    <t>SE PRESENTO INCENDIO ESTRUCTURAL EN LA CRA 9 CON CALLE  FERROCARRIL. 4 PERSONAS HERIDAS  CON QUEMADURAS  DE  PRIMER  Y SEGUNDO GRADO TRASLADADAS  A CENTROS  ASISTENCIALES. BOMBEROS  COLABORO EN LA  EMERGENCIA. REPORTE  CREPAD RISARALDA DRA. CAROLINA  LAVE</t>
  </si>
  <si>
    <t>SE  PRESENTO DESLIZAMIENTO AFECTANDO LAS  VIAS  A LOS CORREGIMIENTOS  DE  AURES, CAMPO AZUL,  Y QUINCE  LETRAS.  REPORTE  CREPAD VALLE  DEL CAUCA  DRA. MELBA  LEINER  VIDAL.</t>
  </si>
  <si>
    <t>INFOMA  SOCORRO  NACIONAL RENE VELASQUEZ. QUE  POR  FUERTES  LLUVIAS  HUBO  CRECIENTE DEL  RIO TULUA AFECTANDO VIVIENDAS EN  2  BARRIOS.QUE  EN LA  VEREDA MORALIA SE AFECTARON EN  SU  TOTALIDAD 2 VIVIENDAS Y  3  FAMILIAS  AFECTADAS.</t>
  </si>
  <si>
    <t>INFORMA  LA  SALA  DE  COMUNICACIONES DEL CREPAD  TOLIMA DE INCENDIO EN EL PUEBLO DE  VILLETA  PARA  EL SITIO SE DESPLAZO UNA  MAQUINA DE BOMBEROS DE HONDA Y OTRA DE  GUAUDAS,SE  INFORMA  DE  ESTA  SITUACION AL CREPAD DE CUNDINAMARCA. EL  SEÑOR  CAPITAN MARTINEZ COMANDANTE  DE  BOMBEROS  DE VILLETA  INFORMA QUE  EL  INCENDIO  SE  PRESENTO  EN  UNA   VIVIENDA  DE  3 PISOS AFECTANDO  2  DE  ELLOS. IGUALMENTE  INDICAN QUE  NO  HUBO  LESIONADOS. EN  EL  SITIO HUBO PERSONAL DE POLICIA ,DEFENSA CIVIL.</t>
  </si>
  <si>
    <t xml:space="preserve">DESLIZAMIENTO EN LA  VEREDA  BARCELONA BAJA, FINCAS VILLA HERMOSA  I Y II EN LA  VEREDA  CONGAL SE  PRESENTO DESLIZAMIENTO QUE  AFECTO LA  VIA . REPORTE  CREPAD QUINDIO CORREO ELECTRONICO. </t>
  </si>
  <si>
    <t xml:space="preserve">DESLIZAMIENTO EN EL BARRIO  LOS TANQUES DONDE  LAS  FAMILIAS  FUERON EVACUADAS  DONDE  FAMILIARES. REPORTE  CREPAD QUINDIO CORREO ELECTRONICO. </t>
  </si>
  <si>
    <t xml:space="preserve">AFECTADAS LAS  VIAS A LAS VEREDAS LA NUBIA, PALOGRANDE, CHAGUALA. REPORTE  CREPAD QUINDIO CORREO ELECTRONICO. </t>
  </si>
  <si>
    <t xml:space="preserve">SE PRESENTO DESLIZAMIENTO A LA ALTURA  DEL RETEN DE  VARALLA CAMINO A  LA  VEREDA  CALLE LARGA. REPORTE  CREPAD QUINDIO CORREO ELECTRONICO. </t>
  </si>
  <si>
    <t>INUNDACION POR  DESBORDAMIENTO QUEBRADA  SAN LORENZO EN EL CASCO URBANO. REPORTE  DEFENSA  CIVIL. SR. ALIRIO CARRILLO  TEL. 3199000.</t>
  </si>
  <si>
    <t>INUNDACION POR  DESBORDAMIENTO RIO CAUCA EN EL CORREGIMIENTO BOLOMBOLO. REPORTE  DEFENSA  CIVIL SR. ALIRIO CARRILLO TEL. 3199000.</t>
  </si>
  <si>
    <t>DESBORDAMIENTO DEL RIO CAUCA EN SECTORES  PUERTO NUEVO, LA PLAYITA , SAN MARINO. REPORTE  DEFENSA  CIVIL SR. OSCAR  RODRIGUEZ TEL 3199000.</t>
  </si>
  <si>
    <t>DEBIDO FUERTES LLUVIAS  SE  PRESENTO TAPONAMIENTO EN ALCANTARILLAS EN EL BARRIO BALCONES DE  SANTA  MARIA. REPORTE  DEFENSA  CIVIL. SR. OSCAR  RODRIGUEZ.</t>
  </si>
  <si>
    <t>DEBIDO DESBORDAMIENTO RIO CAUCA EN EL CASCO URBANO BARRIOS SAN CARLOS ALFONSO LOPEZ  EL PROGRESO, 202  FAMILIAS SE ENCUENTRAN ALOJADAS EN ALBERGUES Y 117 EN AUTOALBERGES (FAMILIARES Y AMIGOS).  REPORTE CREPAD RISARALDA DRA. DIANA CAROLINA LAVERDE , SOCORRO NACIONAL  SRA. SANDY MARROQUIN TEL 4376369 Y DEFENSA  CIVIL DIRECCION NACIONAL. SR. OSCAR  RODRIGUEZ  TEL 3199000.</t>
  </si>
  <si>
    <t>DESLIZAMIENTO EN LA  VIA  QUE  COMUNICA CON MUNICIPIO DE  PEREIRA EN EL SECTOR  ZURRUMBO KM 20+300 MTS. PASO RESTRINGIDO. REPORTE  CREPAD RISARALDA  DRA. DIANA  CAROLINA LAVERDE.</t>
  </si>
  <si>
    <t>DESLIZAMIENTO QUE  AFECTO EL ACUEDUCTO DEL CORREGIMIENTO SAN CAYETANO.  REPORTE  CREPAD RISARALDA  DRA. DIANA  CAROLINA LAVERDE.</t>
  </si>
  <si>
    <t>INUNDACION EN EL CORREGIMIENTO ESTACION COCORNA POR DESBORDAMIENTO RIO COCORNA. REPORTE  DAPARD ANTIOQUIA DR. GILBERTO MAZO. CEL 3202407294</t>
  </si>
  <si>
    <t>VENDAVAL PRESENTADO EN EL CASCO URBANO DEL MUNICIPIO CON AFECTACION LEVE DE  TECHO DE  VIVIENDAS, CAIDA DE  ARBOLES Y POSTES DE ENERGIA SIN HERIDOS NI MUERTOS. REPORTE  CREPAD SANTANDER  DRA. JUDITH MIRANDA. CEL 3202407259 DCC. SR. ALIRIO CARRILLO TEL 319</t>
  </si>
  <si>
    <t>EL SEÑOR GUSTAVO GALINDO  INFORMA QUE  EL  LA  CIUDAD DE IBAGUE  SE  PRESENTARON  LLUVIAS  EN LA  TARDE  Y  NOCHE  AFECTADO  VARIOS  BARRIOS Y SE  PRESENTO DESLIZAMIENTO EN LA VARIANTE  VIA BOGOTA - ARMENIA. CRUZ  ROJA SOCORRO NACIONAL RENE  VELASQUEZ  INFORMA QUE  EN  IBAGUE  SE  AFECTARON  INUDACIONES  AFECTANDO  A POR LO MENOS UNOS 28 BARRIOS Y 100 FAMILIAS, NO HAY  PERSONAS  LESIONADAS.EN EL  SITIO  CRUZ  ROJA  TIENE 26 VOLUNTARIOS  APOYANDOA  LAS  LABORES  CONLA  COMUNIDAD. REALIZAN EDAN, BARRIOS: NUEVA CASTILLA, NUEVO COMBEIMA, JAMBALA, 20 DE JULIO, ANCON, INFORMO CREPAD DEL TOLIMA DR. CESAR AUGUSTO GUTIERREZ, CEL: 3202407724</t>
  </si>
  <si>
    <t>DEBIDO A  REMOCION DE  MASA  QUE  SE  VIENE PRESENTANDO  DESDE  DIAS  ANTERIORES  SE  REUBICARON PROVISIONALMENTE. SE REVISARA  LA REUBICACION DE  DE 49 FAMILIAS POR  AMENAZA DEL RIO MOLINO Y 3 MAS POR  DESLIZAMIENTO EN EL BARRIO LA SOMBRILLA. REPORTE  CLOPAD POPAYAN DR. HERNAN VARONA CORREO ELECTRONICO.</t>
  </si>
  <si>
    <t xml:space="preserve">DESBORDAMIENTO DEL ARROYO SAN BLAS EN LOS BARRIOS LA MAGDALENA  Y LA MANGA. SIN HERIDOS Y MUERTOS.  SE  ENTREGARON AYUDAS  HUMANITARIAS .REPORTE  CREPAD ATLANTICO DR. EVARISTO MARTINEZ CORREO ELECTRONICO </t>
  </si>
  <si>
    <t xml:space="preserve">INUNDACION POR ARROYO TOTUMITO Y ARROYO GRANDE EN LOS BARRIOS EL SILENCIO, LA SOLEDAD, NUEVO, CALLE NUEVA Y CORREGIMIENTO SAN JOSE  DE  SACO. SE  APOYO CON ENTREGA  DE  AYUDAS  HUMANITARIAS.  REPORTE  CREPAD ATLANTICO DR. EVARISTO MARTINEZ CORREO ELECTRONICO. </t>
  </si>
  <si>
    <t>INUNACION POR  LLUVIAS  EN EL BARRIO LA MACHUCA. REPORTE  DEFENSA  CIVIL CUNDINAMARCA  SR. CARLOS  GONZALEZ.</t>
  </si>
  <si>
    <t>INUNDACION POR  FUERTES  LLUVIAS  EN EL CASCO URBANO. REPORTE  DEFENSA  CIVIL. SR. ALIRIO CARRILLO TEL 3199000</t>
  </si>
  <si>
    <t>INUNDACION CAUSADA POR  RIO PALMIRA  AL ROMPER  JARILLON  EN LA ZONA FRANCA  DE  YUMBO, AFECTACION EN CULTIVOS. REPORTE  DEFENSA  CIVIL OSCAR  RODRIGUEZ  TEL 3199000</t>
  </si>
  <si>
    <t>INUNDACION POR  DESBORDAMIENTO RIO CAUCA  YY RIO MORALES EN CORREGIMIENTO EL SALTO. REPORTE  DEFENSA  CIVIL SR. OSCAR  RODRIGUEZ  TEL 3199000,</t>
  </si>
  <si>
    <t>DESLIZAMIENTO EN LA  VEREDA  LA  CABRERA  DE POPAYAN QUE  PUEDE  REPRESAR  EL RIO MOLINO AFLUENTE  DEL RIO CAUCA. ORGANISMOS DE  SOCORRO ALERTAN COMUNIDAD RIBEREÑA . REPORTE  CLOPAD POPAYAN DR. HERNAN VARONA</t>
  </si>
  <si>
    <t xml:space="preserve">INFORMA  CLOPAD MANIZALES DRA. SANDRA I. LOPEZ QUE POR  RIESGO  DE  DESLIZAMIENTO FUERON EVACUADAS 1 FINCA, 1 RESTAURANTE Y 4 VIVIENDAS EN LA  VIA  MANIZALES-NEIRA. FUE TAPONADA  LA  VIA MANIZALES NEIRA EN EL KM 11+500 MTS. ANTES  DE LLEGAR  AL PEAJE. VIAS  ALTERNAS: DESDE  EL NORTE DEL DEPARTAMENTO LA VIA  VARSOVIA-LA FELISA O AGUACATAL-MAGALLANES-PALERMOEN KM 41.  LA  VIA  MANIZALES-BOGOTA TIENE PASO RESTRINGIDO EN EL SECTOR  DE  PADUA. </t>
  </si>
  <si>
    <t>DEBIDO A FUERTES  LLUVIA  SE  DESBORDO EL CAÑO ZANJON EL ROSARIO QUE  AFECTO EL BARRIO VILLA DEL SOL CONTINUA PENDIENTE EDAN . REPORTE  CREPAD VALLE  DEL CAUCA  DRA. MELBA  LEINER  VIDAL. SOCORRO NACIONAL SR. RENE VELASQUEZ TEL 4376369</t>
  </si>
  <si>
    <t>DESBORDAMIENTO RIO CAUCA EN CORREGIMIENTO JUANCHITO. REPORTE  SOCORRO NACIONAL SR. RENE  VELASQUEZ TEL. 4376369</t>
  </si>
  <si>
    <t>INFORMA BOMBEROS DE SOACHA DE AFECTACIÓN DE VÍA EN EL BARRIO VILLA  ESPERANZA A  CAUSA  DE  DESLIZAMIENTO, SE  REALIZA EVACUACIÓN PREVENTIVA DE 20 FAMILIAS</t>
  </si>
  <si>
    <t>SE PRESENTA  DESBORDAMIENTO DEL RIO BAUDO EN EL CASCO URBANO Y SECTOR RURAL. SIN VICTIMAS. REPORTE  SOCORRO NACIONAL SECCIONAL CHOCO SR. VITALINO PANESSO CEL. 3102489331. SE SOLICITO AL EJERCITO LA ENTREGA DE 2000 COLCHONETAS Y 2000 SOBRECAMAS</t>
  </si>
  <si>
    <t>SE ASOLICITO AL EJERCITO LA ENTREGA DE 1000 COLCHONETAS Y 1000 SOBRECAMAS.</t>
  </si>
  <si>
    <t xml:space="preserve">DESBORDAMIENTO DEL RIO BUEY AFECTANDO VARIAS  COMUNIDADADES INDIGENAS, REALIZAN EDAN . AL MOMENTO NO REPORTAN VICTIMAS . REPORTE  SOCORRO NACIONAL CHOCO. DR. VITALINO PANESSO CEL. 3102489331 CREPAD CHOCO DR. RAFAEL BOLAÑOS. CORREO ELECTRONICO. DESBORDAMIENTO DEL RIO EL BUEY AFECTADAS LAS COMUNIDADES DE: CURICHE, SAN JOSE, SAN ANTONIO, LA VUELTA (INDIGENA), LA MANZA, CHIBUGA, AUROBUEY (INDIGENA), BENGAMIA (INDIGENA), PUERTO AMAGARA (INDIGENA)-PERDIDA DE CULTIVOS Y ANIMALES DE CRIA-INFORMA: VITALINO PANESSO SALAS DIRECTOR DE SOCORRO SECCIONAL CHOCO. SE SOLICITO ALEJERCITO LA ENTREGA DE  560 SOBRECAMAS.               </t>
  </si>
  <si>
    <t>APOYO DEL FNC MEDIANTE GIRO DIRECTO AL CLOPAD PARA LA ADQUISICION DE COMBUSTIBLE PARA LA REHABILITACION DE LA RED VIAL.</t>
  </si>
  <si>
    <t>APOYO DEL FNC PARA LA ADQUISICION DE COMBUSTIBLE PARA LA MAQUINARIA DEL MUNICIPIO</t>
  </si>
  <si>
    <t xml:space="preserve">APOYO DEL FNC PARA ADQUISICION DE COMBUSTIBLE PARA LA MAQUINARIA DEL MUNICIPIO </t>
  </si>
  <si>
    <t>INUNDACION QUE AFECTO LOS BARRIOS:  QUINTANARES, URBANIZACION NUEVO COLON ,  LEON XIII, Y AUTOPISTA SUR. INFORMA CREPAD CUNDINAMARCA  CORREO ELECTRONICO.</t>
  </si>
  <si>
    <t>INUNDACION QUE AFECTO 200 HECTAREAS DE  CULTIVOS  Y PASTOS  EN LAS VEREDAS: LA SHELL, CAPELLANIA, PUENTE PLATA-INFORMA CREPAD CUNDINAMARCA.</t>
  </si>
  <si>
    <t xml:space="preserve">FUERTES  LLUVIAS LOS DIAS  12, 13,  Y  14   INUNDARON  EL 70% DEL SECTOR RURAL DEL MUNICIPIO, AFECTADAS MAS DE 350 HECTAREAS DE CULTIVOS - INFORMA CLOPAD SEÑOR ALCALDE Y CREPAD CUNDINAMARCA  CORREO ELECTRONICO.  </t>
  </si>
  <si>
    <t>DESLIZAMIENTO            SOBRE LA VIA CAMPOALEGRE-ALGECIRAS ANTES DEL PRIMER PUENTE-PASO RESTRINGUIDO A UN SOLO CARRIL.</t>
  </si>
  <si>
    <t>DESBORDAMIENTO DE LA QUEBRADA CUCHA-YACOS, EN LA VEREDA SAN ISIDRO-PERDIDA DE ENSERES. INFORMA COMITÉ REGIONAL HUILA.</t>
  </si>
  <si>
    <t>DESLIZAMIENTO EN LA VEREDA CAUCHAL, EVACUADAS LAS FAMILIAS  A LA ESCUELA EL CAUCHAL. INFORMA CREPAD HUILA.</t>
  </si>
  <si>
    <t>CAE UN RAYO SOBRE UNA VIVIENDA UBICADA EN LA VEREDA SANTA RITA, 4 ADULTOS Y 2 MENORES CON QUEMADURAS DE PRIMER Y SEGUNDO GRADO, PERDIDA Y DAÑOS EN ELECTRODOMESTICOS. INFORMA CREPAD HUILA.</t>
  </si>
  <si>
    <t xml:space="preserve">CRECIENTE DE LA QUEBRADA   LA YAGUILGA, AFECTADO EL PUENTE QUE COMUNICA LA VIA GARZON-AGRADO-PASO RESTRINGIDO-SOLO VEHICULOS PEQUEÑOS. INFORMA CREPAD HUILA. </t>
  </si>
  <si>
    <t xml:space="preserve">AFECTACION EN LOS BARRIOS: HORIZONTE, SANTIAGO LOPEZ, JULIO CESAR TURBAY, CALLE 6 CRA. 2 Y PLAZA DE FERIAS, HOSPITAL MUNICIPAL SAN VICENTE DE PAUL Y  EL BANCO AGRARIO. POR COLAPSO EN EL SISTEMA DE  ALCANTARILLADO. INFORMA CRUZ ROJA. </t>
  </si>
  <si>
    <t>COLAPSO EN EL SISTEMA DE ALCANTARILLADO  EN LOS BARRIOS: COMUNEROS, LUIS CARLOS FLORES, URIBE, LA JULIA, VILLA MARLEN, VILLA JERUSALEN, Y LA ISABELA, REALIZAN EDAN. INFORMA CRUZ ROJA.</t>
  </si>
  <si>
    <t>AFECTADO EL BARRIO VALENCIA- INFORMA CRUZ ROJA</t>
  </si>
  <si>
    <t>CRECIENTE SUBITA DE LA QUEBRADA  BELLA VISTA  ARRASTRO UNA SEÑORA  DE 26 AÑOS DE EDAD QUE RESPONDIA AL NOMBRE DE ORFALIDA PIEDRAHITA GARCIA  EN LA FINCA SAN ISIDRO VEREDA GUAYAQUIL .</t>
  </si>
  <si>
    <t>POR  FUERTES LLUVIAS EN LA TARDE SE PRESENTO INUDACION EN LOS BARRIOS PLANADAS, PORVENIR 1, SABANA, EL DIAMANTE VILLA CETTI,  Y PORVENIR 2, POR  FALLAS EN EL FLUIDO ELETRICO QUE  MANTIENE LAS  MOTOBOMBAS DEL ALCANTARILLADO SE  PRESENTO LA INUDACION. REPORTE  ALONSO MUÑOZ DEL CREPA</t>
  </si>
  <si>
    <t>APOYO DEL FNC MEDIANTE GIRO DIRECTO AL CLOPAD PARA APOYAR LÑAS NECESIDADES LOGISTICAS DE MOVILIDAD, SEGURIDAD Y MANUTENCION PARA LOS ORGANISMOS DE SOCORRO</t>
  </si>
  <si>
    <t>DESLIZAMIENTO EN EL BARRIO: SANTA CRUZ, INFORMO CREPAD DEL TOLIMA, SR. JAIME ARBEY</t>
  </si>
  <si>
    <t>INUNDACIÒN POR FUERTES LLUVIAS, BARRIO. EL REGALO, INFORMO CREPAD DE CUNDINAMARCA, VÌA CORREO ELÈCTRONICO.</t>
  </si>
  <si>
    <t>DESBORDAMIENTO DE LAS QUEBRADAS: CACICAZGO, TENEIRA, VEREDA: CACICAZGO, INFORMO CREPAD DE CUNDINAMARCA, VÌA CORREO ELÈCTRONICO.</t>
  </si>
  <si>
    <t>DERRUMBE EN MINA DE CARBÒN DE NOMBRE: LA PANTALETA, EN EL CORREGIMIENTO DE: SAN FAUSTINO, VEREDA: PASO DE LOS RÌOS, REPORTA CREPAD DE NORTE DE SANTANDER, DR. ALDEMAR GARCIA, 7 MINEROS SALIERON ILESOS DE LA MINA POR SUS PROPIOS MEDIOS, SIN LESIONADOS, NI PERSONAS ATRAPADAS.</t>
  </si>
  <si>
    <t>INCENDIO ESTRUCTURAL EN EL BARRIO: LA FRONTERA, INFORMO CP. DANIEL CASTAÑO, SOCORRO NACIONAL, SRA. SANDY MARROQUIN, 4376369, SE INFORMO DE NOVEDAD AL CREPAD DE CALDAS, DR FELIX GIRALDO, CEL. 3202407300</t>
  </si>
  <si>
    <t>INUNDACONES, POR FUERTES LLUVIAS, INFORMO D.C.C.</t>
  </si>
  <si>
    <t>DESBORDAMIENTO DE LA QUEBRADA LA CASCAJERA, EN EL CORREGIMIENTO DE: PUERTO SOGAMOSO, INFORMO D.C.C.. AFECTADO EL SECTOR URBANO -PENDIENTE INFORMACION- D.C.C. DIRECCION NACIONAL SR. WILLIAN SARMIENTO.</t>
  </si>
  <si>
    <t>DEBIDO A  FUERTES  LLUVIAS SE PRESENTÓ CRECIENTE SUBITA DEL ARROYO EL PLATANAL OCASIONANDO AFECTACION A  1 ESCUELA PÚBLICA, Y 847 VIVIENDAS EN LOS BARRIOS : EL PUEBLITO 75 VIVIENDAS, SANTA MARÍA 10,BAJO CARRIZAL 110,AMERICAS260,CHINITA 220,FLORES 40, 7 DE ABRIL, 61, COSTERAS 46, BENDICIÓN DE DIOS 25. NO HUBO PERSONAS LESIONADAS. INFORMA  CLOPAD BARRANQUILLA DR. GUILLERMO SISTORI CEL. 3202398442 . MATERIALES: 240 CABALLETES, 3600 NO 8, 3600 NO, 6, 12000 BLOQUES, 1000 VARILLAS DE 1/2, 1000 VARILLAS DE 3/8 Y 1000 VARILLAS DE 1/4</t>
  </si>
  <si>
    <t>SITUACION APOYADA CON LOS ELEMENTOS REGISTRADOS CON FECHA 7 DE NOVIEMBRE</t>
  </si>
  <si>
    <t>INUNDACION POR  LLUVIAS QUE  AFECTO LA ESCUELA  DE LA  VEREDA  ALTO LIBANO. REPORTE  CREPAD HUILA CORREO ELECTRONICO</t>
  </si>
  <si>
    <t>INUNDACION POR  LLUVIAS   EN EL BARRIO BICEÑO.  REPORTE  CREPAD HUILA CORREO ELECTRONICO</t>
  </si>
  <si>
    <t>INUNDACION POR  LLUVIAS EN LA  VEREDA  EL VERGEL.  REPORTE  CREPAD HUILA CORREO ELECTRONICO</t>
  </si>
  <si>
    <t>SE PRESENTO INUNDACION Y VIENTOS CON CAIDA  DE  ARBOLES  EN LA  CALLE  26 CON CRA  68 SENTIDO  SUR NOTE, INUNDACION EN LOS BARRIOS   FLORIDA  BLANCA  Y Y VILLAS DE  GRANADA. ADELANTAN EDAN. REPORTE  DEFENSA  CIVIL SR. LUIS A. BOTTIA   TEL. 3199000</t>
  </si>
  <si>
    <t>INFORMA EL DIRECTOR DEL CREPAD DE NORTE DE SANTANDER DE DESLIZAMIENTO EN LA VEREDA EL SUSPIRO. FALLECIO HOMBRE DE 32 AÑOS.4 PERSONAS LESIONADAS LAS  CUALES  NO REQUIRIERON TRASLADO A CENTRO ASISTENCIAL.</t>
  </si>
  <si>
    <t>INFORMA EL DIRECTOR DEL CREPAD DE NORTE DE SANTANDER QUE  EN EL CORREGIMIENTO LA GABARRA SE  PRESENTO CRECIENTE SUBITA DEL  RIO CATATUMBO SE AFECTARON 15 FAMILIAS Y 8 VIVIENDAS AVERIADAS ESTA  SITUACION SE  PRESENTO EN  HORAS  DE LA  NOCHE, LOS  NIVELES  YA  BAJARON SE  ESTA  RELIZANDO LIMPIEZA DE LAS  VIVIENDAS POR SUS  PROPIETARIOS.</t>
  </si>
  <si>
    <t>INFORAMA POLICIA DE CARRETERAS QUE  EN  SITIO  LLAMADO ALTO DE  LETRAS SE  PRESENTA DESLIZAMIENTO EL CUAL AFECTO LA RED DE GAS  NATURAL. POR  ESTA  SITUACION  ESTAN  SIN  GAS  NATURAL VEHICULAR Y  INDUSTRIAL EN MANIZALES,PEREIRA,CALI Y IBAGUE, EN EL SITIO YA  ESTA  PERSONAL REALIZANDO  TRABAJOS.</t>
  </si>
  <si>
    <t xml:space="preserve">APOYO DEL FNC MEDIANTE GIRO DIRECTO AL CLOPAD PAR LA ADQUISICION DE COMBUSTIBLE, PARA EL TRANSPORTE DE LAS AYUDAS HUMANITARIAS </t>
  </si>
  <si>
    <t>DESLIZAMIENTO EN LA VEREDA EL DORADO, FINCA LA SELVA-REALIZAN EDAN-INFORMA CREPAD QUINDIO CORREO ELECTRONICO. GIRO DIRECTO PARA LA "REHABILIOTACION Y ADECUACION DE LAS VIAS RURALES AFECTADAS POR LA OLA INVERNAL EN EL MUNICIPIO DE GENOVA POR VALOR DE $898,721,601, Y ADQUISICION DE COMBUSTIBLE PARA REMOCION DE DERRUMBES $30,000,000</t>
  </si>
  <si>
    <t>CRECIENTE SUBITA QUEBRADA MANIZALES, REPORTE DEL CREPAD, SOCORRO NAL Y MIPROTECCION.</t>
  </si>
  <si>
    <t>APOYADO MEDIANTE ENVIO DEL 2 Y EL 4 DE OCTUBRE</t>
  </si>
  <si>
    <t>LLUVIAS QUE AFECTARON VIAS DE LOS BARRIOS ALTAMIRA Y PRADOS DE ALCALA-INFORMA CRUZ ROJA  Y CREPAD BOYACA DR. LUIS HERNANDO RAMIREZ.</t>
  </si>
  <si>
    <t>LLUVIAS QUE AFECTARON  LA VEREDA  CHURUGUACO ALTO- 7 FAMILIAS  POR REUBICAR REPORTA  CREPAD CUNDINAMARCA.</t>
  </si>
  <si>
    <t>LLUVIAS  AFECTARON LA ZONA RURAL DEL MUNICIPIO  INUNDADAS 20 HECTAREAS DE PASTO</t>
  </si>
  <si>
    <t>INCENDIO ESTRUCTURAL EN  EL BARRIO SAN JOSE CRA 22 CALLE 36. INFORMA CREPAD.</t>
  </si>
  <si>
    <t>DESLIZAMIENTO  DE TIERRA QUE CAE SOBRE LA VIA   LA LINEA CON CIERRE TOTAL, EL CUAL LANZA A UN PRECIPICIO DE 20 MTS  UN BUS DE SERVICIO INTERDEPARTAMENTAL  DE LA EMPRESA VELOTAX   NUMERO INTERNO 10370  QUE CUBRIA LA RUTA BOGOTA-PEREIRA CON 17 PASAJEROS   KILOMETRO  23  SECTOR LA CHIQUITA,   12 PASAJEROS  ILESOS, 4 HERIDOS  TRASLADADOS A CENTROS ASISTENCIALES, 1 PERSONA DESAPARECIDA   SEÑORA CECILIA GOMEZ. INFORMA CREPAD QUINDIO Y BOMBEROS CALARCA CEL:  3146623112.</t>
  </si>
  <si>
    <t>AVALANCHA DEL RIO ISABELILLAS, AFECTACION EN  LA VEREDA  PUENTE QUEMAO, DESTRUIDA LA ESCUELA DE LA VEREDA.  DESTRUCCION TOTAL DE ESTANQUES  DE CULTIVOS DE TRUCHA. INFORMA CLOPAD TORIBIO CEL: 3146260285.</t>
  </si>
  <si>
    <t>AFECTACION A LAS SIGUIENTES VIAS: CUCUTA-BUCARAMANGA KILOMETRO 35  (CERRADA), CUCUTA-OCAÑA SECTOR LA CURVA (CERRADA), CHINACOTA-CUCUTA,  AFECTADO EL PUENTE    GUAYABAL POR LA QUEBRADA GUAYABAL.</t>
  </si>
  <si>
    <t>DESLIZAMIENTO EN LAS VEREDAS: CHURUGUACO ALTO, MARTÌN ESPINO, JUANGATA, INFORMO CREPAD DE CUNDINAMARCA, SR. ALONSO MUÑOZ, VÌA CORREO ELÈCTRONICO</t>
  </si>
  <si>
    <t>DESBORDAMIENTO DE LA QUEBRADA, EL TEJAR EN LA VEREDA: SANTA BARBARA, INFORMO CREPAD DE BOYACA, VIA CORREO ELÈCTRONICO.</t>
  </si>
  <si>
    <t>AFECTADO POR OLA INVERNAL UN PUENTE PEATONAL EN LA VEREDA: VEGA DEL TIGRE,  INFORMO CREPAD DE BOYACA, VIA CORREO ELÈCTRONICO.</t>
  </si>
  <si>
    <t>MUERE BEBE DE SEIS MESES DE EDAD, AL CAER DENTRO DE SU VIVIENDA QUE SE ENCONTRABA INUNDADA A CAUSA DE LA OLA INVERNAL, EN EL SECTOR DE: VILLA RUFINA INFORMO CREPAD DEL CHOCO, DR. RAFAEL BOLAÑOS</t>
  </si>
  <si>
    <t>DESLIZAMIENTO  EN EL BARRIO. LA CRUZ, INFORMO D.C.C.</t>
  </si>
  <si>
    <t>INUNDACIONES POR LA CIENAGA DE YARIRI,  BARRIO. DIAZ, INFORMO D.C.C</t>
  </si>
  <si>
    <t>AVALANCHA DEL RÌO PALO, SE EVACUARON 35 FAMILIAS POR PREVENCIÒN, INFORMO D.C.C</t>
  </si>
  <si>
    <t>DESLIZAMIENTO EN EL KM. 2 VÌA  PURACE- POPAYAN, CAIDA DE LA BANCA, DEJANDO INCOMUNICADOS LOS HABITANTES HACIA EL ORIENTE DEL PAÌS, INFORMO, CLOPAD POPAYAN, DR. HERNAN VARONA.</t>
  </si>
  <si>
    <t>DESLIZAMIENTO EN EL BARRIO CARACOLI, SE HAN EVACUADA A LA FECHA 20 FAMILIAS, LAS VIVIENDAS ESTÀN SEMI- DESTRUIDAS, INFORMA D.C.C, SR. EDERLEY TORRES</t>
  </si>
  <si>
    <t xml:space="preserve"> A RAIZ DE LAS FUERTES LLUVIAS, CAIDA DE UN PUENTE PEATONAL, EN EL BARRIO: SAN FRANCISCO, DE LA LOCALIDAD DE CIUDAD BOLIVAR, , INFORMA D.C.C, SR. EDERLEY TORRES</t>
  </si>
  <si>
    <t xml:space="preserve">DESBORDAMIENTO DE LOS CHORROS: EL CARMÈN Y EL DIABLO, QUEBRADA EL CHINCE, BARRIOS: PASTOR OSPINA, SAN JUAN BOSCO II, LAS ACASIAS, EL RUBY , EL LUCERO, SECTOR PLAZA DE FERIAS, HOGAR INFANTIL Y VEREDAS LA FLORESTA, SAN JOSE Y FLOREZ, 5 PERSONAS RESULTARON AFECTADAS POR HIPOTERMIA LAS CUALES FUERON TRASLADADS AL CENTRO DE SALUD, UN HOGAR INFANTIL AFECTADO, AFECTACIÒN EN VIAS SECUNDARIAS  Y TERCIARIAS, INFORMO CREPAD DE CUNDINAMARCA, VÌA CORREO ELÈCTRONICO.
</t>
  </si>
  <si>
    <t xml:space="preserve">DESBORDAMIENTO DEL RÌO UBATE, VEREDAS: PALO GORDO, NOVILLEROS, SUCUNCHOQUE SECTOR SAN LUIS Y PATERA CENTRO, REALIZAN EDAN INFORMO CREPAD DE CUNDINAMARCA, SR. ALONSO MUÑOZ
</t>
  </si>
  <si>
    <t xml:space="preserve">DESLIZAMIENTOS EN LAS VÌAS, DEJAN INCOMUNICADAS LAS VEREDAS: LAS AGUILAS, HOLLERÍA, CAÑADA, LA PLAYA, PUEBLO VIEJO, LA CASCADA, PAQUILÓ, SAN ISIDRO, EL DERRUMBE, ALTO ARIARI, SANTA MARTA, QUEBRADA NEGRA Y NUÑEZ, IMPIDIENDO LA COMERCIALIZACIÒN DE LOS PRODUCTOS AGRICOLAS, INFORMO CREPAD DE CUNDINAMARCA.
</t>
  </si>
  <si>
    <t>SE PRESENTO DESBORDAMIENTO  DE LA QUEBRADA  EL ENCANTO  EN LA INSPECCION SANTANDERCITO. CLOPAD ATIENDE  SITUACION . REPORTE  CREPAD CUNDINAMARCA CORREO ELECTRONICO.</t>
  </si>
  <si>
    <t>SE PRESENTO DESLIZAMIENTO EN EL SECTOR  LA  GUINEA,  2 OCUPANTES DE UN VEHICULO RESULTARON HERIDOS, 3 VIVIENDAS DESTRUIDAS. TRABAJAN BOMBEROS MUNICIPIO DAGUA. REPORTE  CREPAD VALLE DEL CAUCA DRA. MELBA  LEINER VIDAL .</t>
  </si>
  <si>
    <t>LA VIA  PIEDECUESTA - FLORIDABLANCA SE  ENCUENTRA CON PASO  RESTRINGIDO A UN CARRIL A LA  ALTURA  DE LA UNIVERSIDAD PONTIFICIA  BOLIVARIANA POR  DERRUMBE. EL DIA  DE  HOY COLAPSO VIVIENDA  EN CONSTRUCCION EN EL CASCO URBANO. NO HUBO VICTIMAS. TAMBIEN SE P</t>
  </si>
  <si>
    <t>DESBORDAMIENTO QUEBRADA FIGUEREDOS, CANAL VALLADO GRANDE,RIO SUAREZ Y QUEBRADA  ESPITIA . AFECTANDO SECTORES  QUINTOQUE, SIRIGAY, HATO VIEJO, SABANECA, PEÑA BLANCA SAN ISIDRO, FATIMA , AFECTACION EN DIFERENTES  TIPOS DE  CULTIVOS. REPORTE  CREPAD BOYACA C</t>
  </si>
  <si>
    <t>DESDE LA  13.00 HORAS  DEL DIA 18/11/2011 SE PRESENTO INCENDIO ESTRUCTURAL EN LA EMPRESA DE  RECICLAJE   PREINSA  LTDA  , COLABORARON BOMBEROS  DE  BOGOTA, SOPO, ZIPAQUIRA, CAJICA, CHIA, TABIO, TENJO, COTA, SIBATE, 11 MAQUINAS TRABAJARON EN LA EXTINCION D</t>
  </si>
  <si>
    <t>INFORMA  EL DAPARD DE ANTIOQUIA QUE  EN  MUNICIPIO DE BELLO SE PRESENTÓ  CRECIENTE SÚBITA  EN LAS  QUEBRADAS LA GARCIA, EL BARRO PRIMAVERA AFECTANDO A 6 BARRIOS (VALADARES,PRIMAVERA,PLAYA RICA, EL CAIRO, SAN NICOLÁS EL HUECO, EL PANAMERICANO, A LAS  PERSO</t>
  </si>
  <si>
    <t>SE  PRESENTO  DESBORDAMIENTO DEL RIO MAGDALENA  QUE  AFECTO LOS BARRIOS TORCOROMA Y BUENAVISTA. REPORTE  DEFENSA CIVIL SR. LUIS A. BOTTIA TEL 3199000.</t>
  </si>
  <si>
    <t>A LAS  18:25 HORAS  FINALIZO EL  RESCATE DE  LOS MINEROS  QUE  SE  ENCONTRABAN ATRAPADOS EN LA MINA DE  CARBON LOS ARRAYANES EN LA  VEREDA  RAMADA ALTA . FALLECIDO EL SEÑOR  EDUARDO VARGAS VASQUEZ DE 37 AÑOS EDAD  Y NELSON VARGAS VASQUEZ  QUE  FUE  TRASLADADO AL HOSPITAL PARA  VALORACION. REPORTE  SR. EDGAR FABIAN MORALES RESCATE  MINERO CEL. 3107801342 Y CREPAD CUNDINAMARCA  DR. ALONSO MUÑOZ CEL 3138336594</t>
  </si>
  <si>
    <t>A LAS 19:20 HORAS SE PRESENTO ACCIDENTE  VEHICULAR EN EL SECTOR  JUNTAS (CAÑON DEL COMBEIMA) DONDE  BUS TIPO ESCALERA  CAYO A  ABISMO. HERIDOS  FUERON TRASLADADOS  A CLINICA IBAGUE, CLINICA  TOLIMA, CLINICA  MINERVA Y CLINICA  CALAMBEO DE  IBAGUE. COLABOR</t>
  </si>
  <si>
    <t>DESLIZAMIENTO EN SECTOR  LA LOMA DEL BARRIO SAN FRANCISCO . NO VICTIMAS NI HEERIDOS. REPORTE  CREPAD ATLANTICO  DR. EVARISTO MARTINEZ Y NATALIA  SEGURA  SALA DE  CRISIS. SE ENVIAN CARPAS PARA EL CORREGIMIENTO EL MORRO</t>
  </si>
  <si>
    <t xml:space="preserve">REVISAR AFECTACION. </t>
  </si>
  <si>
    <t>DESBORDAMIENTO DE TRES QUEBRADAS TENCUA, SAN CAYETANO Y LA PEÑA, AFECTANDO DOS ACUEDUCTOS RURALES Y UNO URBANO. REPORTE DEL CREPAD. VALOR DE OTROS: 1000 MTS MANGUERA DE CONDUCCION DE AGUA DE 4", 1000 METROS TUBERIA DE PVC 4" TIPO PESADO, 500 METROS TUBERIA DE PVC DE 3" TIPO PESADO, 300 MALLAS PARA GAVION CALIBRE 13, 200 BULTOS DE CEMENTO, 6 TUBOS POR 6 MTS TUBERIA NOVAFORT 36", 6 TUBOS POR 6 METROS TUBERIA NOVAFORT DE 24", 10 TUBOS TUBERIA NOVAFORT DE 16"</t>
  </si>
  <si>
    <t>APOYADO SEGÚN REGISTRO DEL 13 DE NOVIEMBRE</t>
  </si>
  <si>
    <t>EL VALOR DE OTROS CORRESPONDE A 50 CARRETILLASY 1000 GUANTES DE CARNAZA</t>
  </si>
  <si>
    <t>INFORMA CRUZ ROJA SOCORRO NACIONAL DE 2 MILITARES  MUERTOS POR DESLIZAMIENTO EN AL VEREDA GUARANDO. LOS  CUERPOS FUERON RESCTADOS POR  PERSONAL DE  CRUZ ROJA Y EJERCITO.</t>
  </si>
  <si>
    <t>INFORMA  EL  CREPAD  DE  CHOCO EL SEÑOR BOLAÑOS  QUE  POR  FUERTES  LLUVIAS  SOBRE  EL RIO SAN JUAN SE PRESENTO EN EL  MUNICIPIO DE ISTMINA AFECTACION A POR LO MENOS UNAS 250 FAMILIAS, AUN SE CONTINUA REALIZANDO EDAN CON PERSONAL DE CRUZ ROJA.</t>
  </si>
  <si>
    <t>HERNÁN VARONA DEL CLOPAD DE POPAYÁN REPORTA QUE POR FUERTES LLUVIAS SE REGISTRÓ EL DESBORDAMIENTO DE LA QUEBRADA LA MONJA AFECTANDO LOS BARRIOS PRIMERO DE MAYO, SINDICAL PRIMERA ETAPA Y MARÍA ORIENTE REPORTANDO AL MOMENTO 1 VIVIENDA DESTRUIDA, 3 VIVIENDAS SERIAMENTE AFECTADAS Y ENCHARCAMIENTO DE LAS VÍAS</t>
  </si>
  <si>
    <t>INFORMA CREPAD QUINDIO VIA  IMAIL QUE EN HORAS DE LA MAÑANA SE PRESENTÓ LA CAÍDA DE LA BANCA EN LA VÍA QUE CONDUCE DE RIO VERDE A TARAPACÁ EN EL SECTOR EL TRIÁNGULO, LA VÍA ESTUVO SUSPENDIDA TOTALMENTE PARA EL PASO DE VEHÍCULOS HASTA LAS 05:00 DE LA TARDE, DONDE FUE HABILITADA ÚNICAMENTE PARA VEHÍCULOS LIVIANOS, DESPUÉS DE UNA VALORACIÓN TÉCNICA QUE REALIZARON INGENIEROS DE INFRAESTRUCTURA DEL DEPARTAMENTO, BATALLÓN CISNEROS Y EL CREPAD. SE ESPERA QUE EL LUNES SE TOMEN DECISIONES TÉCNICAS PARA SOLUCIONAR EL PROBLEMA POR PARTE DE LA COMISIÓN TÉCNICA DEL CREPAD. EL INSTITUTO DEPARTAMENTAL DE TRANSITO DEL QUINDÍO, LA SECRETARIA DE INFRAESTRUCTURA Y EL CREPAD, CON EL APOYO DEL CUERPO DE BOMBEROS DE BARCELONA, LA POLICÍA NACIONAL Y EL BATALLÓN DE CISNEROS DE LA OCTAVA BRIGADA, LOS CLOPAD DE BUENAVISTA Y CALARCA, MANTIENEN PERMANENTE MONITOREO</t>
  </si>
  <si>
    <t>INFORMA EL CREPAD DEL QUINDIO QUE SE EVACUARON 2 VIVIENDAS EN ALTO RIESGO POR RIESGO DE COLAPSO ESTRUCTURAL POR FILTRACIÓN DE AGUA EN EL TERRENO EN EL EN EL BARRIO MORRO SECO, CALLE 14 NO 6-26 Y 6-31; QUE DESPUÉS DE UNA VALORACIÓN TÉCNICA REALIZADA POR EL CLOPAD SE TOMO LA DECISIÓN; LAS FAMILIAS ESTÁN COMPUESTAS POR 8 ADULTOS Y 5 NIÑOS</t>
  </si>
  <si>
    <t>EN LA VEREDA SAN RAFAEL, FINCA EL AGRADO POR CRECIENTE SÚBITA DEL RIO SANTO DOMINGO SE EVACUO UNA FAMILIA COMPUESTA POR 2 ADULTOS, 5 NIÑOS. PARA DONDE SUS FAMILIARES.EN EL BARRIO BERLÍN SE EVACUA UNA FAMILIA COMPUESTA POR UNA PERSONA POR DESLIZAMIENTO EN LA PARTE TRASERA DE LA VIVIENDA</t>
  </si>
  <si>
    <t>INUNDACION POR  LLUVIAS  EN LOS BARRIOS  VILLA DEL PRADO Y SAN CARLOS. REPORTE  CREPAD HUILA SRA, YADIRA  MARTINEZ  CORREO ELECTRONICO</t>
  </si>
  <si>
    <t>SE PRESENTO DESLIZAMIENTO EN EL BARRIO CUCHILLA DE  VILLATE , SIN HERIDOS NI MUERTOS, REPORTE  DEFENSA  CIVIL SR. ALIRIO CARRILLO TEL 3199000</t>
  </si>
  <si>
    <t>SE PRESENTO CRECIENTE  SUBITA  DE LA QUEBRADA  JAGUAR EN EL CORREGIMIENTO EL CAGUAN, ARRASTRO VEHICULO FALLECIENDO EL SARGENTO WILSON BARRERA  GAMBOA PERTENECIENTE  AL GAULA  DE LA  POLICIA  NACIONAL. CUERPO FUE RESCATADO EN AGUAS  DEL RIO ARENOSO. REPORTE CREPAD HUILA DRA. ISABEL HERNANDEZ CEL. 3202406946</t>
  </si>
  <si>
    <t xml:space="preserve">CRECIENTE  DE  QUEBRADA  SOAITOQUE EN SECTOR CHINQUICA   DEJA  PERSONA DESAPARECIDA NOMBRE DIMAS DUITAMA  CONCEJAL DEL MUNICIPIO , COLABORACION BUSQUEDA  DEFENSA  CIVIL . REPORTE DR. RAFAEL RODRIGUEZ  CEL 3212412746 ALCALDE  DE GUATEQUE.                </t>
  </si>
  <si>
    <t>SE PRESENTO DESLIZAMIENTO EN LA VEREDA  LA VEGA. SIN VICTIMAS. REPORTE DCC. SR. LUIS BOTTIA TEL 3199000</t>
  </si>
  <si>
    <t>DESLIZAMIENTO EN LA  VEREDA  BERLIN SIN VICTIMAS. REPORTE DEFENSA  CIVIL SR. LUIS A. BOTTIA  TEL 3199000.</t>
  </si>
  <si>
    <t>SE PRESENTO DESLIZAMIENTO EN EL SECTOR  COIQUERO-CACAGUAL ALTO. SIN VICTIMAS. REPORTE  DCC. SR. LUIS A. BOTTIA  TEL 3199000</t>
  </si>
  <si>
    <t>INUNDACION POR  LLUVIAS EN LOS BARRIOS NACEDEROS, PLUMON, GALICIA REPORTE  CREPAD RISARALDA  CORREO LECTRONICO.</t>
  </si>
  <si>
    <t>SE PRESENTO DESLIZAMIENTO EN LA  VEREDA  EL JAZMIN. REPORTE  CREPAD RISARALDA   CORREO ELECTRONICO.</t>
  </si>
  <si>
    <t>DESLIZAMIENTO EN LA VEREDA  ESTACION VILLEGAS Y BARRIO BELMONTE . REPORTE  CREPAD RISARALDA CORREO ELECTRONICO</t>
  </si>
  <si>
    <t>SE PRESENTO DESLIZAMIENTO  EN EL BARRIO LAS VIOLETAS. REPORTE  CREPAD RISARALDA CORREO LECTRONICO.</t>
  </si>
  <si>
    <t>DESLIZAMIENTO  EN EL BARRIO ALTOS DE LA  CAPILLA Y VEREDAS GAITAN, FILO BONITO, LA UNION  DONDE  RESULTARON AFECTADAS LAS VIAS. REPORTE  CREPAD RISARALDA CORREO ELECTRONICO.</t>
  </si>
  <si>
    <t>DERRUMBE ENTRE LOS BARRIOS DE: LOS CEDROS Y LA MARIA EN LA AVENIDA KEVIN ANGEL,  UN MOTOCICLISTA DESAPARECIDO, SEGÙN REPORTE POR PARTE DE LA COMUNIDAD, LO CUAL FUE DESMENTIDO AL REALIZAR INSPECCIÒN EN  LA ZONA, SEGÙN INFORMACIÒN, DEL MY. MARIN, CEL. 3155412081,  DOS HERIDOS TRASLADADOS A CENTROS ASISTENCIALES, UNA PERSONA ILESA, DOS VEHICULOS AFECTADOS, PENDIENTE MÀS INFORMACIÒN.</t>
  </si>
  <si>
    <t>DESBORDAMIENTO DEL RÌO LEBRIJA, AFECTANDO LAS VEREDAS: MAGARA, BARRANCO COLORADO, AGUAS NEGRAS, INFORMO CREPAD DE SANTANDER, DRA. JUDITH MIRANDA.</t>
  </si>
  <si>
    <t>DESBORDAMIENTO DE LOS RÌOS NEGRO Y ORO, AFECTADA LA VÌA PANAMERICANA, MAÑANA SE REUNE EL CREPAD, INFORMO CREPAD DE SANTANDER, DRA. JUDITH MIRANDA.</t>
  </si>
  <si>
    <t>DESLIZAMIENTO EN EL SECTOR DE. VILLA JULIA, COMUNA 6, MANZANA 12, LOTE 12, INFORMA MINISTERIO DE SALUD Y  PROTECCIÒN SOCIAL, SR. JOHN VELASQUEZ</t>
  </si>
  <si>
    <t>CRECIENTE SUBITA DE LA QUEBRADA TRINIDAD ARRASTRO UNA MENOR DE  13 AÑOS DE NOMBRE: ANGELA JOHANA TAMARA GONZALEZ EN LA VEREDA  LA TRINIDAD-EL 30% DE LA POBLACION SE ENCUENTRA AFECTADA REALIZAN EDAN-INFORMA CREPAD BOYACA DR. LUIS HERNANDO RAMIREZ.</t>
  </si>
  <si>
    <t>ACCIDENTE DE BUS ESCALERA EN LA VEREDA LA AURORA, 20 MENORES LESIONADOS, 10 CON HERIDAS LEVES TRASLADADOS AL HOSPITAL DE NEIVA Y  10 CON HERIDAS GRAVES TRASLADADOS POR LA FUERZA AEREA   AL HOSPITAL DE LA PLATA. INFORMA  CREPAD HUILA.</t>
  </si>
  <si>
    <t>DESLIZAMIENTO EN LA VEREDA LA PICOTA DESTRUYO UNA VIVIENDA, UNA PERSONA RESCATADA CON VIDA. INFORMA CRUZ ROJA</t>
  </si>
  <si>
    <t>DESBORDAMIENTO DEL RIO RAPOSO  AFECTADOS LAS VEREDAS: CALLE HONDA, BELLA VISTA, EL TIGRE, GUADUALITO, COCALITO, SAN FRANCISCO.INFORMA CREPAD VALLE.</t>
  </si>
  <si>
    <t>EN LA VEREDA CEDRALES FINCA LA ARGENTINA SE PRESENTA TAPONAMIENTO DEL RIO  CULEBRA.  EN EL BARRIO EL REFUGIO  15 FAMILIAS EN RIESGO POR DESLIZAMIENTO DE UN BARRANCO. INFORMA CREPAD VALLE DRA MELBA LEYMER VIDAL.</t>
  </si>
  <si>
    <t>DAGUA CORREGIMIENTO  EL CEDRAL SECTOR EL CRUCERO.INUNDACIONES  SUBITAS POR REBOSAMIENTO DE ALCANTARILLAS EN LOS BARRIOS: LA ESMERALDA, BUENOS AIRES,BELLA VISTA,  Y GRAN COLOMBIA.  INFORMA CREPAD VALLE.</t>
  </si>
  <si>
    <t>EN HORAS DE LA NOCHE SE PRESENTO VENDAVAL-REALIZAN EDAN-INFORMA D.C.C. CORONEL PIRAGAUTA. GIRO DIRECTO PARA REHABILITACION DE LA VIA ENTRE LOS CORREGIMIENTOSS RECREO BOLIVAR - RESGUARDO INDIGENA KWET WALA - LA FRIA</t>
  </si>
  <si>
    <t>AFECTADO PUENTE CANTINO. REPORTE DEL CREPAD. VALOR DE OTROS CORRESPONDE A 300 GAVIONES. APOYO DEL FNC MEDIANTE GIRO PARA ALQUILER DE MAQUINARIA PARA ADELANTAR LOS TRABAJOS DE INFRAESTRUCTURA DEL PEUNTE SOBRE EL RIO CANTINO, PASO OBLIGADO PARA LOS MUNCIPIOS DE LA VICTORIA, QUIPAMA Y MUZO.</t>
  </si>
  <si>
    <t>CRECIENTE DE LA QUEBRADA TORMINEJAS, AFECTANDO LAS VEREDAS: SAN GABRIEL, MERCENARIO, VIOLETA, AFECTACIÒN DE 60 HECTAREAS DE PASTOS, INFORMO CREPAD DE CUNDINAMARCA, VÌA CORREO ELÈCTRONICO.</t>
  </si>
  <si>
    <t>DESLIZAMIENTO, EN LA VEREDA: SABOYA, SECTORES  EL CAJERO, LA SELVA, AFECTADA LA VÌA PACHO- ZIPAQUIRA, PASO RESTRINGIDO,  INFORMO CREPAD DE CUNDINAMARCA, VÌA CORREO ELÈCTRONICO.</t>
  </si>
  <si>
    <t>INUNDACIÒN EN DOS BODEGAS DE AGROANDES EN LA VEREDA: HATO GRANDE, 30 HECTAREAS DE PASTOS AFECTADAS, , AFECTADA LA VÌA CAJICA- HATO GRANDE,  INFORMO CREPAD DE CUNDINAMARCA, VÌA CORREO ELÈCTRONICO.</t>
  </si>
  <si>
    <t>INUNDACIONES Y DESLIZAMIENTOS, EN LAS VEREDAS: EL CHUSCAL, PALOQUEMADO, AFECTACIÒN EN LA VÌA PRINCIPAL DE ACCESO AL MPIO, EN EL SECTOR: PALOQUEMADO, KM: 18, PASO RESTRINGIDO A UN SOLO CARRIL,  INFORMO CREPAD DE CUNDINAMARCA, VÌA CORREO ELÈCTRONICO.</t>
  </si>
  <si>
    <t>INUNDACIONES POR FILTRACIÒN DE JARILLONES DEL RÌO BOGOTÀ, EN LOS SECTORES DE: ALMAVIVA, INTECI, AFECTACIÒN DE UN CENTRO EDUCATIVO PARA NIÑOS ESPECIALES, AFECTADA LA VÌA GUAYMARAL,  INFORMO CREPAD DE CUNDINAMARCA, VÌA CORREO ELÈCTRONICO.</t>
  </si>
  <si>
    <t xml:space="preserve">DESBORDAMIENTO DEL RÌO BOGOTÀ, EN EL SECTOR: PUENTE DE LA VIRGEN, AFECTADA LA VÌA: COTA- SUBA, TRAFICO VEHICULAR Y PEATONAL TOTALMENTE INTERRUMPIDO,  INFORMO CREPAD DE CUNDINAMARCA, VÌA CORREO ELÈCTRONICO. </t>
  </si>
  <si>
    <t>DESLIZAMIENTO EN LA VEREDA: LOMA GARCIA,  INFORMO CREPAD DE CUNDINAMARCA, VÌA CORREO ELÈCTRONICO.</t>
  </si>
  <si>
    <t>DESLIZAMIENTO EN LA VEREDA: ALTO MANANTIAL, LA MICHALA, OBSTRUCCIÒN TOTAL EN LA VÌA,  INFORMO CREPAD DEL HUILA, VÌA CORREO ELÈCTRONICO.</t>
  </si>
  <si>
    <t>DESLIZAMIENTO EN LA VÌA QUE COMUNICA AL DPTO DEL CAUCA, SECTOR: EL BASURERO, PASO RESTRINGIDO, INFORMO CREPAD DEL HUILA, VÌA CORREO ELÈCTRONICO.</t>
  </si>
  <si>
    <t>DESBORDAMIENTO DEL RÌO MAGDALENA, AFECTANDO JARILLONES, SECTORES MÀS AFECTADOS CORREGIMIENTOS DE: PUERTO CAPULCO Y EL CONTENTO, REALIZAN EDAN, INFORMO, CREPAD DEL CESAR, DR. AMAURY ARROYO,  SOCORRO NACIONAL, SRA. SANDY MARROQUIN, 4376369</t>
  </si>
  <si>
    <t>DESBORDAMIENTO DEL RÌO MAGDALENA, REALIZAN EDAN, INFORMO CREPAD DEL CESAR, DR. AMAURY ARROYO</t>
  </si>
  <si>
    <t>DESBORDAMIENTO DEL RÌO: BEBARAMA, AFECTANDO LAS COMUNIDADES INDIGENAS  DE: TUMACO, LA PLATINA, PLAYÒN, EL LLANO, LIMÒN, REALIZAN EDAN,  INFORMO SOCORRO NACIONAL, SRA. SANDY MARROQUIN, 4376369, CREPAD DEL CHOCO, DR. RAFAEL BOLAÑOS.</t>
  </si>
  <si>
    <t>INUNDACION POR LLUVIAS  Y DESBORDAMIENTO DE LA  QUEBRADA  AGUASCLARAS EN LA VEREDA  SAN JOSE  Y CORREGIMIENTO EL TRIUNFO. REPORTE  DEFENSA  CIVIL. SR. WILLIAM SARMIENTO TEL 3199000</t>
  </si>
  <si>
    <t>DESLIZAMIENTO PRESENTADO EN LAS  VEREDAS  LA JUNTA, LA RAMADA  Y EL HATO. REPORTE  DEFENSA  CIVIL SR. WILLIAM SARMIENTO TEL 3199000</t>
  </si>
  <si>
    <t>CRECIENTE  DEL RIO BARRAGAN EN EL CORREGIMIENTO BARRAGAN. FAMILIAS FUERON EVACUADAS  A  SITIOS  SEGUROS. REPORTE  DCC. SR. WILLIAM SARMIENTO TEL 3199000</t>
  </si>
  <si>
    <t>SE PRESENTO DESLIZAMIENTO EN LA VEREDA NARANJAL ALTO DONDE  RESULTARON AFECTADOS DIFERENTES  CULTIVOS. REPORTE  CREPAD HUILA  YADIRA  MARTINEZ CORREO ELECTRONICO.</t>
  </si>
  <si>
    <t>SE PRESENTO DESLIZAMIENTO EN LAS VEREDAS ALTO ZARAGOZAY LA VERNAZA, PERSONAS ALOJADAS EN LA  ESCUELA  DE LA  VEREDA LA VERNAZA, SE PRESENTO DESLIZAMIENTO EN LA  VIA  COLOMBIA-NEIVA  SITIO CARRASPOSA, PERDIDA EN CULTIVOS  DE  CAFÉ  YUCA, GRANADILLA  Y PLATANO. REPORTE  CREPAD HUILA YADIRA  MARTINEZ CORREO ELECTRONICO.</t>
  </si>
  <si>
    <t>DESLIZAMIENTO EN EL BARRIO ADIELA MZ. 15 CASA 21 Y BARRIO PATIO BONITO MZ. L CASA 10. REPORTE  CLOPAD ARMENIA  CORREO ELECTRONICO.</t>
  </si>
  <si>
    <t>DE  ACUERDO A  INFORMACION QUE HIZO LA COMUNIDAD AL ING. CARLOS ANDRES  BARRERA  DE UNGRD COLAPSO PUENTE  PEATONAL QUE HABIA  SIDO INSTALADO EL PRESENTE  AÑO EN EL SECTOR  LA VEGA  DEL TIGRE. REPORTE  CARLOS ANDRES  BARRERA UNGRD</t>
  </si>
  <si>
    <t>SE PRESENTO DESBORDAMIENTO DE LOS RIOS CAUCA Y NECHI INUNDANDO EL BARRIO LAS PALMAS. REPORTE  DEFENSA  CIVIL SR. WILLIAM SARMIENTO TEL 3199000</t>
  </si>
  <si>
    <t>DESBORDAMIENTO DEL RIO CAUCA  EN VARIOS SECTORES. REPORTE  DEFENSA  CIVIL. SR. OSCAR  RODRIGUEZ TEL 3199000</t>
  </si>
  <si>
    <t>DESLIZAMIENTO SOBRE VIVIENDA, EN LA VÌA MANIZALES- PADUA, VEREDA: ALDUS PICOTA FRESNO, INFORMO CREPAD DEL TOLIMA</t>
  </si>
  <si>
    <t>DESLIZAMIENTO EN EL BARRIO. EL RECREO, COMUNA 5, INFORMO CLOPAD DE ARMENIA, VÌA CORREO ELÈCTRONICO</t>
  </si>
  <si>
    <t xml:space="preserve">DESLIZAMIENTOS, VIA CACHIPAY BOGOTA, VIA VEREDA EL TOLU SECTOR MERCADILLO Y  VIA PEÑA NEGRA SAN JOAQUIN LA MESA, INFORMOVIA CACHIPAY BOGOTA, VIA VEREDA EL TOLU SECTOR MERCADILLO Y VIA PEÑA NEGRA SAN JOAQUIN LA MESA, , INFORMO CREPAD DE CUNDINAMARCA, VÌA CORREO ELÈCTRONICO.
</t>
  </si>
  <si>
    <t>DESLIZAMIENTOS EN LOS KMS: 22 Y 27, PASO RESTRIGIDO EN LA VÌA LA CALERA, GUASCA, INFORMO CREPAD DE CUNDINAMARCA, VÌA CORREO ELÈCTRONICO.</t>
  </si>
  <si>
    <t>DESBORDAMIENTO DE LA QUEBRADA, LA SAN JUANA, AFECTANDO EL BARRIO. LA VEGA Y LA ESCUELA URBANA, , INFORMO CREPAD DE CUNDINAMARCA, VÌA CORREO ELÈCTRONICO.</t>
  </si>
  <si>
    <t>DESBORDAMIENTO DE LA QUEBRADA EL SALADO, AFECTANDO LAS VEREDAS DE: CHIRCALES, EL TABLÒN, SALINAS, AFECTACIÒN EN PASTOS, , INFORMO CREPAD DE CUNDINAMARCA, VÌA CORREO ELÈCTRONICO.</t>
  </si>
  <si>
    <t>CRECIENTE SUBITA DEL RÌO APULO, SOBRE EL RÌO BOGOTÀ, OCASIONO RUPTURA DE LA TUBERIA DE GAS NATURAL, EN EL SECTOR: PUENTE DE LOS SUSPIROS, DEJANDO SIN SERVICIO DE GAS A LOS MPIOS DE: TOCAIMA Y APULO,  INFORMO CREPAD DE CUNDINAMARCA, VÌA CORREO ELÈCTRONICO.</t>
  </si>
  <si>
    <t>AVALANCHA POR ESCORRENTIA DE AGUAS, EN LA INSPECCIÒN DE: LA AGUADITA, , INFORMO CREPAD DE CUNDINAMARCA, VÌA CORREO ELÈCTRONICO.</t>
  </si>
  <si>
    <t>DESLIZAMIENTO EN LAS VEREDAS: CUCHARAL, GUAYABAL, SECTOR: TRES ESQUINAS, AFECTADA LA VÌA EN EL SECTOR DE LA VEREDA: NOVILLEROS- CUCHARAL, INFORMO CREPAD DE CUNDINAMARCA, VÌA CORREO ELÈCTRONICO.</t>
  </si>
  <si>
    <t>CRECIENTE DEL RÌO BOGOTÀ, DESLIZAMIENTOS EN LAS VEREDAS: LA CHICA, PROVIDENCIA MAYOR, AFECTADA LA VÌA. EN LA VEREDA: LA CHICA, SECTOR. PLENITUD, AFECTADO EL ACUEDUCTO VEREDAL, DEJANDO 40 FAMILIAS SIN SUMINISTRO DE AGUA</t>
  </si>
  <si>
    <t>DESLIZAMIENTO E INUNDACIONES EN LAS VEREDAS: LA MAZA, LLANADA, EL HATO, FERRALARADA, AFECTACIÒN EN CULTIVOS Y POTREROS, , INFORMO CREPAD DE CUNDINAMARCA, VÌA CORREO ELÈCTRONICO.</t>
  </si>
  <si>
    <t>DESBORDAMIENTO DE LA LAGUNA DE CUCUNUBA, EN LAS VEREDAS. LA FLORIDA, PEÑAS DE PALACIO, AFECTADA LA VÌA. CUCUNUBA- UBATE, EN EL SECTOR DE: SAN CARLOS, AFECTACIÒN EN POTREROS, INFORMO CREPAD DE CUNDINAMARCA, VÌA CORREO ELÈCTRONICO.</t>
  </si>
  <si>
    <t>DESBORDAMIENTO DEL RÌO ATRATO, AFECTANDO LA CABECERA MUNICIPAL, BARRIOS: ESCOBAR, BENJAMIN HIDALGO, EL CENTRO, EL PARAISO, MAKEN, INFORMO CREPAD DEL CHOCO, VÌA CORREO ELÈCTRONICO.</t>
  </si>
  <si>
    <t>CAIDA DE MEDIA BANCA EN LA VÌA QUE COMUNICA AL MPIO DE SAN PABLO EN NARIÑO, CON EL MPIO DE FLORENCIA EN EL DPTO DEL CAUCA, DEJANDO INCOMUNICADOS APROXIMADAMENTE A 65,000 PERSONAS, INFORMO CREPAD DE NARIÑO, DR. JORGE TOVAR</t>
  </si>
  <si>
    <t>GIRO DIRECTO AL CLOPAD PARA ALQUILER DE MAQUINARIA PARA LOS TRABAJOS DE CONSTRUCCION DEL PUENTE TIPO ALCANTARILLA DE LA VIA MALAGA - MAHATES.</t>
  </si>
  <si>
    <t>EN EL SECTOR DE LOS CHORROS EN LA   LÍNEA,  DESLIZAMIENTO DESTRUYÓ PARTE DE LA CALZADA, QUE OBLIGÓ A LAS AUTORIDADES EL CIERRE TOTAL DE LA VÍA POR VARIOS DÍAS. INFORMA EL CREPAD QUINDÍO</t>
  </si>
  <si>
    <t xml:space="preserve">INFORMA  EL CAPITAN CASTAÑO DE INCENDIO EN CUCUTA  AFECTADOS 6 LOCALES COMERCIALES,  EN  EL SITIO ASISTIO BOMBEROS  CUCUTA Y BOMBEROS LOS  PATIOS,  2  BOMBEROS  LESIONADOS POR QUEMADURA EN 1 Y 2 GRADO. </t>
  </si>
  <si>
    <t xml:space="preserve">EN EL MUNICIPIO DE PIJAO EL REPRESAMIENTO DE LA QUEBRADA LA ESPAÑOLA ACOMPAÑADO DE UNA PALIZADA DESTRUYÓ TOTALMENTE EL PUENTE VEHICULAR EN LA VEREDA LAS PIZARRAS, QUE COMUNICA CON LA VEREDA GUAMAL DEJA 20 FAMILIAS INCOMUNICADAS.
UN DESLIZAMIENTO EN LA VEREDA LAS BRISAS DEJA EN RIESGO A 3 FAMILIAS DE LA ZONA, MIENTRAS EN LA VEREDA RIO AZUL SECTOR COCHERAS, UN DERRUMBE CAUSO DAÑOS EN UNA VIVIENDA.
EL RIO AZUL QUE ATRAVIESA EL MUNICIPIO DE PIJAO, POR LA FUERZA DEL CAUDAL DERRUMBO UN MURO QUE HABÍA SIDO CONSTRUIDO POR COLOMBIA HUMANITARIA EN LAS CALLES 14 Y 15, 200 VIVIENDAS UBICADAS ENTRE LA PLANTA DE TRATAMIENTO Y CALLE LARGA SE ENCUENTRAN EN RIESGO. INFORMA EL CREPAD DEL QUINDÍO
</t>
  </si>
  <si>
    <t>EN CORDOBA  :LA QUEBRADA LOS JUSTOS DE LA VEREDA LA ESPAÑOLA, PRESENTÓ CRECIENTE SÚBITA ACOMPAÑADA DE UNA PALIZADA, TAPONÓ LA BOCATOMA Y TIENE SIN SUMINISTRO DE AGUA AL MUNICIPIO, EL COMITÉ REGIONAL DE PREVENCIÓN Y ATENCIÓN DE DESASTRES  COORDINA CON EL CLOPAD EL PLAN DE CONTINGENCIA. INFORMA CREPAD DEL QUINDÍO</t>
  </si>
  <si>
    <t>SE PRESENTA INCENDIO EN VIVIENDA DONDE FUNCIONABA UNA  FÁBRICA  DE SANDALIAS (ZAPATOS). EN EL SITIO APOYO BOMBEROS CON 2 MÁQUINAS Y SECRETARIA DE SALUD CON 2 AMBULANCIAS, 6 PERSONAS  AFECTADAS POR INHALACIÓN DE HUMO NINGUNA  REQUIERE  TRASLADO  A CENTRO ASISTENCIAL. REPORTA DEFENSA CIVIL BOGOTA</t>
  </si>
  <si>
    <t>AVALANCHA DE LA QUEBRADA  LOS CUROS  AFECTO  UIN MURO  DEL HOSPITAL DEL MUNICIPIO DE  SURATA. EN EL SITIO BOMBEROS, CRUZ ROJA, POLICIA, EJERCITO.</t>
  </si>
  <si>
    <t>DESBORDAMIENTO DEL RIO UPIN AFECTADO EL BARRIO EL PROGRESO. INFORMA D.C.C.  DIRECCION NACIONAL SEÑOR  WILLIAN SARMIENTO.</t>
  </si>
  <si>
    <t xml:space="preserve">DESLIZAMIENTO  DE TIERRA EN LA LOCALIDAD CIUDAD  BOLIVAR  BARRIO LUCERO SUR. INFORMA  D.C.C. DIRECCION NACIONAL SEÑOR WILLIAN SARMIENTO. </t>
  </si>
  <si>
    <t>DEBIDO A FUERTES LLUVIAS  SE  ENCUENTRAN AFECTADOS  LOS BARRIOS, POBLADO, CHOCOLATAL, NUEVO, CHITREL Y CORREGIMIENTOS GUACA Y EL VALLE POR DESBORDAMIENTO QUEBRADAS  CHOCOLATAL Y GEGA Y RIO GUACA . SE  ENCUENTRAN AFECTADOS LOS BARRIOS: POBLADO, CHOCOLATAL, NUEVO, ONETI VIEJO, CHITRE, PANQUIACO, LAS BRISAS Y CORREGIMIENTOS MACANA, HUACA Y VALLE. AFECTACION VIA AL MUELLE Y CORREGIMIENTO EL VALLE, AFECTADO UNA ENTIDAD EDUCATIVA. AL MOMENENTO SE  REALIZA EDAN. REPORTE  SOCORRO  NACIONAL APOYO DEL FNC MEDAINTE GIRO DIRECTO AL CLOPAD PARA ALQUILER DE MAQUINARIA ($100.000.000) Y LA ADQUISICION DE COMBUSTIBLE ($50.000.000) PARA TRABAJOS DE REHABILITACIOND E LA CARRETERA QUE COMUNICA EL CORREGIMENTO DEL VALLE CON EL MUNCIPIO DE CIUDAD MUTIZ Y EL PUERTO DE LA ESSO.</t>
  </si>
  <si>
    <t>ALONSO MUÑOZ TÉCNICO DEL CREPAD DE CUNDINMARCA REPORTA QUE SE ADELANTAN TRABAJOS DE MITIGACION EN LA HACIENDA CUERNAVACA DONDE SE TAPONÓ UN BOQUETE DE 10 METROS, SE INICIA EL TAPONAMIENTO DE OTRO BOQUETE DE 4 METROS, REALIZAR EL REALCE Y REFORZAMIENTO DEL JARILLON EN UN TRAMO DE 500 METROS, TRABAJAN 20 SOLDADOS DEL BATALLÓN RINCÓN QUIÑONEZ, 1 LANCHA DE LA POLICÍA Y TRABAJADORES DE LA HACIENDA. EN EL BARRIO SAN JACINTO SE ANEGARON 8 VIVIENDAS Y 4 MOTOBOMBAS SACAN AGUA DEL VALLADO PARA EL RÍO BOGOTÁ PARA EVITAR SU INUNDACIÓN. EN LA UNIVERSIDAD DE LA SABANA SE ESTÁN INSTALANDO BOLSA PARA SUBIR  EL NIVEL DEL JARILLON  PARA PROTEGER LA VÍA  CON SOLDADOS DEL BATALLÓN  DE EMERGENCIAS Y 3 LANCHAS DE LA POLICÍA. SE REQUIERE PERSONAL PARA TRABAJAR Y MATERIAL DE RECEBO ARCILLOSO DE ARENA.</t>
  </si>
  <si>
    <t>INFORMA EL CLOPAD DE PITALITO. QUE  EN LA VEREDA MONTE CRISTO SE  PRESENTO DELIZAMIENTO DESTRUYENDO UNA VIVIENDA,   FAMILIA  REUBICADA  DONDE  UN VECINO.</t>
  </si>
  <si>
    <t>100 MACHETES, 100 PALAS</t>
  </si>
  <si>
    <t>APOYO PARA EL DEPARTAMENTO</t>
  </si>
  <si>
    <t>APOYO DEL FNC MEDIANTE GIRO DIRECTO AL CLOPAD PARA APOYAR LA CONSTRUCCIONDE  UN MURO EN CONCRETO REFORZADO PARA LA PROTECCION DE LA UNRBANIZACION VILLA JULIA</t>
  </si>
  <si>
    <t>DESBORDAMIENTO DE LOS ARROYOS: MAJUPAI, PARRANTIAL, INFORMO SOCORRO NACIONA, SRA. SANDY MARROQUIN, 4376369, CREPAD DE LA GUAJIRA, DR. LEONARDO IMITOLA, CEL. 3202406953</t>
  </si>
  <si>
    <t>DESBORDAMIENTO DEL RÌO JEREZ,  CORREGIMIENTO: LAS FLORES, REALIZAN EDAN,  INFORMO, CREPAD DE LA GUAJIRA, DR. LEONARDO IMITOLA, CEL. 3202406953</t>
  </si>
  <si>
    <t>DESBORDAMIENTO DEL RÌO JEREZ,  CORREGIMIENTO: LAS FLORES,   INFORMO, CREPAD DE LA GUAJIRA, DR. LEONARDO IMITOLA, CEL. 3202406953</t>
  </si>
  <si>
    <t>SE PRESENTO VENDAVAL EN LAS VEREDAS LOS ANDES, LA UNION, LAS GUACAS, LA  CAPILLA, LA COMINERA, EL DESCANSO Y SAN LUIS ARRIBA. VIVIENDAS AFECTADAS  EN SUS TECHOS REPORTE  CREPAD CAUCA  DRA. EDITH J,  PAZ. CEL 3202407419</t>
  </si>
  <si>
    <t xml:space="preserve">SE PRESENTO DESLIZAMIENTO EN LA VEREDA  SANTA  RITA DONDE  SE  EVACUARON  LAS FAMILIAS A ALBERGUES TEMPORALES. REPORTE  SALA  DE  CRISIS SR. FELIPE PEDREROS. </t>
  </si>
  <si>
    <t xml:space="preserve">SE PRESENTO DESBORDAMIENTO DE LA  QUEBRADA LA  CHORRERA  EN LAS VEREDAS  OLLA GRANDE, LA  CHORRERA, LA LOMA Y  LA CAÑADA. REPORTE  CREPAD SANTANDER DRA. JUDITH  MIRANDA </t>
  </si>
  <si>
    <t xml:space="preserve">SE PRESENTO DESBORDAMIENTO DE LA  QUEBRADA LA  GARCIA FAMILIAS SE  ENCUENTRAN ALOJADAS DONDE  FAMILIARES  Y AMIGOS  . REPORTE  DAPARD ANTIOQUIA DR. GILBERTO MAZO </t>
  </si>
  <si>
    <t>SE PRESENTO  DESBORDAMIENTO DEL RIO VOLCAN EN EL BARRIO PRIMERO DE  MAYO. REPORTE  DEFENSA  CIVIL SR. LUIS A. BOTTIA  TEL 3199000</t>
  </si>
  <si>
    <t>DEBIDO A AMAENAZA  DE  DESLIZAMIENTO SE  TUVO QUE  EVACUAR  49 FAMILIAS  EN EL SECTOR ALTO DEL GUAMO , SE  M,ANTIENE MONITOREO DE  LA  QUEBRADA  LA  CASTRILLONA. POR PARTE  DE  CORPOCALDAS, BOMBEROS  Y POLICIA. REPORTE  SALA DE  CRISIIS SR. FELIPE PEDRERO</t>
  </si>
  <si>
    <t>CORREGIMIENTO DE PUERTO VEGA</t>
  </si>
  <si>
    <t>INUNDACION POR  LLUVIAS,  AFECTO   4 MANZANAS DEL SECTOR URBANO. INFORMA CREPAD CUNDINAMARCA SR. ALONSO MUÑOZ-REALIZAN EDAN.</t>
  </si>
  <si>
    <t>DESBORDAMIENTO DEL RIO BOGOTA, 6 FAMILIAS EVACUADAS.   DESLIZAMIENTO SE LLEVO   1/2 CALZADA DE LA VIA  EL TRIUNFO- MESEYEGUAS- ANAPOIMA, INFORMA CREPAD CUNDINAMARCA  SR. ALONSO MUÑOZ</t>
  </si>
  <si>
    <t>EL CREPAD DEL QUINDIO INFORMA QUE EN EL MUNICIPIO DE CALARCA DEBIDO A LAS FUERTES LLUVIAS QUE SE VIENEN PRESENTANDO EN TODO EL TERRITORIO, HOY SE VIERON AFECTADAS CON PÉRDIDAS PARCIAL Y TOTAL DE LA BANCA, LAS SIGUIENTES VÍAS DE LAS VEREDAS DE: LA CHICHONERA – GUAYAQUIL ALTO, VÍA LA PRIMAVERA – SAN RAFAEL, VÍA LA ROCHELA – PELACARRIEL, VÍA LA VIRGINIA – SANTO DOMINGO ALTO, VÍA PLANADAS – LAS AURAS</t>
  </si>
  <si>
    <t>BARRIO EL CARMEN. EL CLOPAD INFORMA SOBRE PROCESO DE REMOCION EN MASA QUE AFETA EL MUNICIPIO. LAS VIVIENDAS SE ENCUENTRAN AGRIETADAS.</t>
  </si>
  <si>
    <t>INCENDIO ESTRUCTURAL, INFORMO D.C.C</t>
  </si>
  <si>
    <t>CRECIENTE DE LA QUEBRADA CHELL, EN LAS VEREDAS. PLATA, LORRITO, CAPELLANIA, INFORMO D.C.C</t>
  </si>
  <si>
    <t>CRECIENTE SUBITA DE LA QUEBRADA LA HONDA, AFECTADA LA VÌA UBATE- CHIQUINQUIRA, SECTOR: LA CASONA, INFORMO D.C.C</t>
  </si>
  <si>
    <t>DESPLOME EN SOCAVON DE MINA DE CARBÒN DE NOMBRE: EL HABITAR, EN LA VEREDA: GACHINICA, 4 PERSONAS RESCATADAS CON VIDA, TRASLADADAS A CENTROS ASISTENCIALES, INFORMO D.C.C</t>
  </si>
  <si>
    <t>DESLIZAMIENTO EN LA VEREDA: LAGUNITAS, INFORMO CREPAD DE CUNDINAMARCA, VÌA CORREO ELÈCTRONICO</t>
  </si>
  <si>
    <t>DESLIZAMIENTO EN LA INSPECCIÒN: SAN PEDRO GUAJARAY, VEREDA: ARGENTINA, , INFORMO CREPAD DE CUNDINAMARCA, VÌA CORREO ELÈCTRONICO</t>
  </si>
  <si>
    <t>DESLIZAMIENTO EN LA VÌA BOGOTÀ- GIRARDOT, HUNDIMIENTO DE LA BANCADA EN EL KM: 78, INFORMO CREPAD DE CUNDINAMARCA, VÌA CORREO ELÈCTRONICO</t>
  </si>
  <si>
    <t>CRECIENTE DEL RÌO CATATUMBO, VOLTEO CANOA, EN EL CORREGIMIENTO DE LA GABARRA, VEREDA: PUERTO LAS PALMAS, UNA MENOR DESAPARECIDA, INFORMO CREPAD DE NORTE DE SANTANDER, DR. CARLOS ALDEMAR GARCIA.</t>
  </si>
  <si>
    <t>DESLIZAMIENTO DE TALUD, EN EL BARRIO: PALMERA ALTA, AFECTANDO DOS VIVIENDAS,  LAS FAMILIAS SE EVACUARON, 6 ADULTOS, 4 MENORES, INFORMO, CLOPAD DE CUCUCTA, DRA. RUBY JOHANA GUELVEZ, CEL: 3138878556</t>
  </si>
  <si>
    <t>DESBORDAMIENTO DEL RÌO ZULIA, A LA ALTURA  DE LA VEREDA: PUENTE LEÒN, KM. 57, CORREGIMIENTO DE: BANCO ARENA, INFORMO MINISTERIO DE LA PROTECCIÒN SOCIAL, CONFIRMO CREPAD DE NORTE DE SANTANDER, CLOPAD DE CUCUTA, DR. JESSY ARIAS.</t>
  </si>
  <si>
    <t xml:space="preserve">INFORMA EL CREPAD HUILA QUE EN EL MUNICIPIO DE TARQUI  SE PRESENTO  DESLIZAMIENTO, EN LA VEREDA LAS DELICIAS SE AFECTARON 3 VIVIENDAS.
</t>
  </si>
  <si>
    <t xml:space="preserve">DEFENSA CIVIL SECCIONAL BOGOTA INFORMA QUE POR LLUVIAS HUBO AFECTACION DE LAS VIAS Y POR LO MENOS  30 VIVIENDAS DEL BARRIO SAN DIEGO DE LA LOCALIDAD DE BOSA SE  AFECTAN . YA  GESTIONARON CON LA EAAB PARA  APOYO DE UN VACTOR PARA LIMPIAR LOS  SUMIDEROS. </t>
  </si>
  <si>
    <t>APOYO DEL FNC MEIDANTE GIRO DIRECTO AL CLOPAD PARA ADQUISICION DE COMBUSTIBLE PARA TRABAJOS E REHABILIACION DE LAS VIAS RURALES.</t>
  </si>
  <si>
    <t>DESLIZAMIENTO EN LA VEREDA: SARDINAS, INFORMO CREPAD DE SANTANDER, DR. JUDITH MIRANDA.</t>
  </si>
  <si>
    <t>CRECIENTE DE LA QUEBRADA ISCALA, INFORMO CREPAD DE NORTE DE SANTANDER, DR. CARLOS ALDEMAR GARCIA, VÌA CORREO ELÈCTRONICO.</t>
  </si>
  <si>
    <t xml:space="preserve">COLAPSO DE PUENTE VEHICULAR NACIONAL DE NOMBRE: TORTUGAS, AFECTA, LA VIA QUE DE EL MUNICIPIO DEL ZULIA COMUNICA CON LOS MUNICIPIOS DE SAN CAYETANO , SANTIAGO, GRAMALOTE, SALAZAR , VILLACARO, LOURDES, ARBOLEDAS , CUCUTILLA,  PRESENTA PERDIDA TOTAL DE LA BANCA  LO QUE DEJA INCOMUNICADO  TODA ESTA REGION CON CUCUTA, INFORMO CREPAD DE NORTE DE SANTANDER, DR. CARLOS ALDEMAR GARCIA, VÌA CORREO ELÈCTRONICO, MINISTERIO DE SALUD Y PROTECCIÒN SOCIAL.
</t>
  </si>
  <si>
    <t>A RAIZ DE FUERTES LLUVIAS COLAPSO UN PUENTE PEATONAL, EN EL SECTOR DE: FLOR DEL CAMPO, SE PRESENTAN INUNDACIONES EN LOS BARRIOS DE: PASACABALLO, TAMBO, FREDONIA, , JORGE ELIECER GAITAN, REALIZAN EDAN, INFORMO MINITERIO DE SALUD Y PROTECCIÒN SOCIAL</t>
  </si>
  <si>
    <t>DESLIZAMIENTO EN LA VIA, MELGAR- GIRARDOT, KM: 18, SECTOR: CURVA GRANDE, PASO RESTRINGIDO A UN SOLO CARRIL</t>
  </si>
  <si>
    <t>DESBORDAMIENTO DEL RÌO SAN JORGE, VEREDAS. EL ONCE, LA MANUELITA, BARRIOS. LA PESQUERA, MUCHAS JAGUAS, INFORMO SOCORRO NACIONAL, SR. RENE SANTOS.</t>
  </si>
  <si>
    <t>DESBORDAMIENTO DEL RÌO SAN JORGE Y CAUCA, INFORMO CREPAD DE CORDOBA, DRA. MONICA KERGELEN</t>
  </si>
  <si>
    <t>DESBORDAMIENTO DEL RÌO SAN JORGE Y CAUCA, REALIZAN EDAN, INFORMO CREPAD DE CORDOBA, DRA. MONICA KERGELEN</t>
  </si>
  <si>
    <t>DESBORDAMIENTO DE CAÑOS, AFECTANDO LOS BARRIOS: VILLA GALILEA, EL ANCIANATO, DIEZ  DE AGOSTO, LA BALSA, INFORMO D.C.C, SR. WILLIAM SARMIENTO, 3199000</t>
  </si>
  <si>
    <t>INUNDACIONES POR FUERTES LLUVIAS, BARRIO. SEMINARIO, INFORMO SOCORRO NACIONAL, SR. RENE VELASQUEZ 4376369</t>
  </si>
  <si>
    <t>CRECIENTE SUBITA DE LA QUEBRADA LA NEGRA, EN LOS BARRIOS. LA CITA, BOGOTÀ, LA ESTACIÒN, QUEBRADA LA NEGRA, C</t>
  </si>
  <si>
    <t>INUNDACIONES  POR FUERTES LLUVIAS,  INFORMO CREPAD DE CUNDINAMARCA, VÌA CORREO ELÈCTRONICO</t>
  </si>
  <si>
    <t>DESLIZAMIENTO QUE DESTRUYO 3  VIVIENDAS, RECUPERADO EL CADAVER DE LA SEÑORA: FLOR ANGELA ORDOÑEZ DE 65 AÑOS. INFORMA CRUZ ROJA-MINISTERIO DE PROTECCION SOCIAL.</t>
  </si>
  <si>
    <t>DESLIZAMIENTO SOBRE LA VIA TELLO-BARAYA-CIERRE TOTAL- INVIAS EN EL SITIO CON MAQUINARIA PARA ABRIR LA VIA.  INFORMA CREPAD HUILA CORREO ELECTRONICO.</t>
  </si>
  <si>
    <t>DESLIZAMIENTO AFECTADO EL ASENTAMIENTO MIRA NEIVA. INFORMA CREPAD HUILA  CORREO ELECTRONICO.</t>
  </si>
  <si>
    <t>DESLIZAMIENTO QUE AFECTA LA VIA:  IQUIRA-VEREDA JUANCHO.</t>
  </si>
  <si>
    <t>DESLIZAMIENTO DESTRUYO UNA VIVIENDA EN LA VEREDA  EL BOQUERON- INFORMA CREPAD HUILA CORREO ELECTRONICO.</t>
  </si>
  <si>
    <t>AFECTADA LA ESTRUCTURA DE UNA  VIVIENDA EN LA VEREDA EL CORAL-INFORMA CREPAD HUILA CORREO ELECTRONICO.</t>
  </si>
  <si>
    <t>DESLIZAMIENTO AFECTO UNA VIVIENDA EN EL BARRIO LA BODEGA-LA VIVIVENDA SE ENCUENTRA EN ALTO RIESGO. INFORMA CREPAD HUILA CORREO ELECTRONICO.</t>
  </si>
  <si>
    <t>DESBORDAMIENTO DEL RIO DAGUA, AFECTADO EL CORREGIMIENTO SACARIAS,  AFECTADA LA VIA TERCIARIA, AFECTACION A CULTIVOS.-PENDIENTE EDAN EN EL SECTOR BAJO POTEDÓ, INFORMA CREPAD VALLE DRA. MELVA LEIMER VIDAL.</t>
  </si>
  <si>
    <t>DESBORDAMIENTO DE LA QUEBRADA LOS ANGELES AFECTO EL ACUEDUCTO-3 DIAS SIN SERVICIO DE AGUA, SE DISTRIBUYE AGUA EN CARROTANQUES. INFORMA CREPAD VALLE DRA. MELVA LEIMER VIDAL.</t>
  </si>
  <si>
    <t xml:space="preserve">LLUVIAS Y FALLA GEOLOGICA OCASIONARON DESLIZAMIENTO  EN EL SECTOR EL CRUCERO  A   3 KILOMETROS DE ANSERMA NUEVO.INFORMA CREPAD VALLE DRA. MELVA LEIMER VIDAL. </t>
  </si>
  <si>
    <t>AFECTADA LA VEREDA SAN JOAQUIN. Y LAS COMUNIDADES INDIGENAS DE LAS VEREDAS: LAS GUACAS Y LA VEREDA LAS BRISAS, SE ADECUA ALBERGUE TEMPORAL POR PARTE DEL CLOPAD PARA LA REUBICACION DE FALIMIAS, PENDIENTE CONSOLIDADO  FINAL.  INFORMA CREPAD VALLE DRA. MELVA LEIMER VIDAL.</t>
  </si>
  <si>
    <t>DESBORDAMIENTO DEL RIO CAUCA, EN EL SECTOR EL BURRITO CORREGIMIENTO DE VILLA PAZ.</t>
  </si>
  <si>
    <t xml:space="preserve">EXPLOSION DE MINA DE EXTRACCION DE ORO (ILEGAL), 8 PERSONAS CON LESIONES POR ESQUIRLAS, MINISTERIO DE PROTECCION SOCIAL INFORMA QUE LOS MINEROS FUERON ATACADOS A GOLPES. INFORMA CREPAD VALLE DRA. MELVA LEIMER VIDAL. </t>
  </si>
  <si>
    <t>DESLIZAMIENTO EN EL SECTOR: LA RESACA, AFECTADA LA VÌA HACIA EL PUENTE EL COLEGIO, NO HAY PASO, INFORMO CREPAD DEL HUILA, VÌA CORREO ELÈCTRONICO. INUNDACIONES POR FUERTES LLUVIAS, EN EL BARRIO. SAN RAFAEL, INFORMO D.C.C, SR. WILLIAM SARMIENTO 3199000</t>
  </si>
  <si>
    <t>DEBIDO A DESBORDAMIENTO  DEL RIO SAN JUAN HAY GRAN CANTIDAD DE  VIVIENDAS  INUNDADAS, ORGANISMOS DE  SOCORRO ADELANTAN CENSOS. REPORTE  CREPAD CHOCO DR. RAFAEL BOLAÑOS.  APOYO DEL FNC MEDIANTE GIRO DIRECTO AL CLOPAD PARA ADQUISICION DE COMBUSTIBLE Y PAGO DE FLETE DE LANCHA Y MOTOR PARA TRANSPORTE DE AYUDAS HUMANITARIAS. EL VLOR DE OTROS CORRESPONDE A 60 MACHETES, 30 HACHAS, 60 PALAS, 120 LBS DE CLAVOS DE 21/2".</t>
  </si>
  <si>
    <t>INUNDACIONES POR AGUAS LLUVIAS, BARRIO: MESOLANDIA, INFORMO CREPAD DEL ATLANTICO, DR. EVARISTO MARTINEZ</t>
  </si>
  <si>
    <t>DESBORDAMIENTO DE LOS ARROYOS:  GRANDE Y LEÒN, BARRIOS: EL CORZO, SALSIPUEDES, SAN CARLOS, LAS AMÈRICAS, INFORMO MY. JORGE VILLAVICENCIO, D.C.C, SECCIONAL ATLÀNTICO.</t>
  </si>
  <si>
    <t>DESLIZAMIENTO, EN LOS BARRIOS: EL BOSQUE, SIETE DE ABRIL, INFORMO MY. JORGE VILLAVICENCIO, D.C.C, SECCIONAL ATLÀNTICO.</t>
  </si>
  <si>
    <t>INUNDACIONES POR DESBORDAMIENTO DE LOS ARROYOS: NEGRO, EL ENCANTO, LA LAGUNA DE LURUACO, BARRIOS. VILLA ESTADIO, ESTELITA RIVERA, LA SUCURSAL, CORREGIMIENTO: SAN JUAN DE TOCAGUA, INFORMO CREPAD DEL ATLANTICO, DR. EVARISTO MARTINEZ</t>
  </si>
  <si>
    <t>FENOMENO DE REMOCIÒN EN MASA, VIVIENDAS COLAPSADAS EN EL CORREGIMIENTO DEL: MORRO, NFORMO CREPAD DEL ATLANTICO, DR. EVARISTO MARTINEZ</t>
  </si>
  <si>
    <t>DESBORDAMIENTO DE VARIOS CAÑOS, AFECTANDO 5 PUNTOS DE LA VÌA QUE COMUNICA CON LOS MPIOS DE: CANALETE, LOS CORDOBAS, PUERTO CONCORDIA, SECTORES: ARBOLETES, LA APARTADA DE PORRO, SE PRESENTAN PROBLEMAS DE ORDEN PÙBLICO POR AMOTINAMIENTO DE LA COMUNIDAD, INFORMO CREPAD DE CORDOBA, DRA. MONICA KERGUERLEN, DIRECTOR D.C.C, SECCIONAL CORDOBA.</t>
  </si>
  <si>
    <t>DESBORDAMIENTO DE LOS ARROYOS: LARGO Y LA ESTANCIA, BARRIO: SITIO NUEVO, AFECTADO EL COLEGIO DE NOMBRE: DE CORAZÒN A CORAZÒN, INFORMO, DR. CARLOS DAMIAN OSPINO, OPERATIVO DEL CREPAD DE BOLIVAR.</t>
  </si>
  <si>
    <t>DESBORDAMIENTO DEL RÌO PATIA, VEREDA: EL PEDRERO, CORREGIMENTO: EL HOYO, 37 HECTAREAS AFECTADAS DE CULTIVOS DE. PAN COGER, CACAO, PLÀTANO, MAIZ, YUCA, ZAPALLO</t>
  </si>
  <si>
    <t xml:space="preserve">DESLIZAMIENTO EN ZONA RURAL, PENDIENTE MÀS INFORMACIÒN, SE VERIFICA INFORMACIÒN PUES LA POBLACIÒN MANIFIESTA QUE FUE UNA CRECIENTE DE RÌO ARIGUANI, EN LIMITES CON EL MPIO DE FUNDACIÒN EN EL DPTO DEL MAGDALENA, QUE ARRASTRO UN SEÑOR CON SU HIJO QUE SE TRANSPORTABAN A CABALLO POR ESTE AFLUENTE, SE LE INFORMO AL CREPAD PARA ACLARAR ESTA SITUACIÒN. </t>
  </si>
  <si>
    <t>DESBORDAMIENTO DEL RÌO CESAR, EN EL CORREGIMIENTO DE CALABAZOS, SE HAN EVACUADO 14 PERSONAS DE LA FINCA LA GARZA, REALIZAN EDAN, INFORMO SOCORRO NACIONAL, SR. RENE VELASQUEZ.</t>
  </si>
  <si>
    <t xml:space="preserve">SE PRESENTO INUNDACION  POR  FUERTE  LLUVIAS AFECTANDO FAMILIAS  Y PERSONAS EN LAS INSPECCIONES EL DINDAL Y CORDOBAS. EN LA VEREDA LA  PITA  SE  PRESENTO CRECIENTE  DE LA  QUEBRADA LA PITA  ARRASTRANDO AL SEÑOR  RUBEN VANEGAS. ORGANISMOS DE  SOCORRO REALIZAN LA  BUSQUEDA.  AFECTADAS  LAS VIAS HACIA  LO MUNICIPIO DE  UTICA Y VEREDAS LA PITA,   DINDAL Y CORDOBA. REPORTE  CREPAD CUNDINAMARCA DR. ALONSO MUÑOZ CORREO ELECTRONICO </t>
  </si>
  <si>
    <t>POR  AMENAZA  DE  DESLIZAMIENTO SE  TUVO QUE  EVACUAR   3 FAMILIAS EN LA  VEREDA  HORIZONTE . REPORTE  CREPAD HUILA SRA. YADIRA  ANDREA  MARTINEZ  COREO ELECTRONICO.</t>
  </si>
  <si>
    <t>SE  PRESENTO COLAPSO DE  MINA DE  CARBON LAS CANAS EN EL CORREGIMIENTO ROBLES. SE  RESCATO 8 PERSONAS ILESAS, COLABORACION DEFENSA  CIVIL Y BOMBEROS  JAMUNDI,. REPORTE  SALA  DE  CRISIS SR. FELIPE  PEDREROS CREPAD VALLE  DEL CAUCA DRA. MELBA LEINER  VIDAL  CEL 3202374893 SOCORRO NACIOANL SR. RENE  VELASQUEZ TEL 4376369</t>
  </si>
  <si>
    <t>AFECTADAS LAS  VIAS  A LA  VICTORIA, MUZO, CHIQUINQUIRA. REPORTE  CREPAD BOYACA CORREO ELECTRONICO.</t>
  </si>
  <si>
    <t>DESBORDAMIENTO QUEBRADA  EL TEJAR. REPORTE  CREPAD BOYACA CORREO ELECTRONICO.</t>
  </si>
  <si>
    <t>AFECTADOS LOS SECTORES  TEJAR  ARRIBA, CARBONERA, APOSENTOS  LLANO GRANDE,  POR  DESBORDAMIENTO RIO TURMEQUE AFECTACION EN CULTIVOS DE MAIZ, HABA, ARVEJA, PAPA Y PASTOS.. REPORTE  CREPAD BOYACA  CORREO ELECTRONICO.</t>
  </si>
  <si>
    <t xml:space="preserve"> AFECTADOS LOS SECTORES  COLACOTE  , SABARIA, SOAPAGA, SOCOTACITO. REPORTE  CREPAD BOYACA CORREO ELECTRONICO.</t>
  </si>
  <si>
    <t>INUNDACION POR  LLUVIAS  EN LOS SECTORES RESGUARDO ABAJO  QUIGUA ABAJO Y CASCO URBANO. REPORTE  CREPAD BOYACA CORREO ELECTRONICO.</t>
  </si>
  <si>
    <t>DESBORDAMIENTO DEL RIO OCOA AFECTANDO VARIOS BARRIOS EN VILLAVICENCIO. REPORTE  CREPAD META  DRA. CLARA  CARVAJAL CEL. 3202407264</t>
  </si>
  <si>
    <t>INUNDACION DEBIDO A  FUERTES  LLUVIAS EN EL SECTOR  LA  BALASTRERA SITIO OASIS. REPORTE  CREPAD META  DRA. CLARA  CARVAJAL CEL 3202407264</t>
  </si>
  <si>
    <t>INUNDACION POR  DESBORDAMIENTO DEL RIO MAGDALENA  EN EL CORREGIMIENTO  SAN SEBASTIAN. REPORTE  DEFENSA  CIVL SR. LUIS A. BOTTIA  TEL 3199000</t>
  </si>
  <si>
    <t>DESLIZAMIENTO EN CORREGIMIENTO EL DIVISO, NO HERIDOS. REPORTE DEFENSA  CIVIL SR. OSCAR  RODRIGUEZ TEL 3199000</t>
  </si>
  <si>
    <t xml:space="preserve">DESLIZAMIENTO EN BARRIO SUBNORMAL CINCO DE MAYO. REPORTE  DEFENSA  CIVIL SR. ALIRIO CARRILLO </t>
  </si>
  <si>
    <t xml:space="preserve">SE PRESENTO DESLIZAMIENTO EN LA VEREDA  EL TIGRE FALLECIDO SEÑOR  DE  63 AÑOS EDAD . REPORTE  CREPD RISARALDA  DRA. DIANA  CAROLINA LAVERDE  CEL. 3202407252 , DEFENSA  CIVIL SR. WILLIAM SARMIENTO </t>
  </si>
  <si>
    <t>ELEMENTOS PAR ATENCION DE EMERGENCIA CARPAS, CATRES, COLCHONETAS, SILLAS, MESAS, TANQUES, PLANTAS ELECTRICAS, MOTOBOMBA Y POLISOMBRA ENTREGADA AL EJECTITO BATALLON TOLEMAIDA PARA ATENCION DE EMERGENCIAS</t>
  </si>
  <si>
    <t>5000 BLOQUESY 2000 M3 PIEDRA PARA GAVIONES</t>
  </si>
  <si>
    <t>DESLIZAMIENTO EN LA VEREDA: ACHIRAL, CORREGIMIENTO DE: ORTEGA, INFORMO CREPAD DEL CAUCA, DRA. EDITH PAZ</t>
  </si>
  <si>
    <t>DESLIZAMIENTO EN EL SECTOR. ALTO DE LOS SAUCES, SECTOR EL POBLADO, ESTÀS FAMILIAS SERAN EVACUADAS, INFORMO CLOPAD DE POPAYAN, DR HERNAN VARONA</t>
  </si>
  <si>
    <t>DESLIZAMIENTO OCASIONA COLAPSO DE PUENTE VEHICULAR, EN EL KM. 25, DEJANDO INCOMUINUCADOS LOS MPIOS DE. SURATA, VETAS, CALIFORNIA, INFORMO CREPAD DE SANTANDER, DRA. JUDITH MIRANDA.</t>
  </si>
  <si>
    <t>DESLIZAMIENTO, EN LA VEREDA:. SALITRE, ESTÀS FAMILIAS FUERON EVACUADAS, AL HOGAR DÌA,  AFECTADA LA VÌA TABIO- SUBACHOQUE, INFORMO, CREPAD DE CUNDINAMARCA, VÌA CORREO ELÈCTRONICO</t>
  </si>
  <si>
    <t>INUNDACIONES Y DESLIZAMIENTOS EN LA VEREDA: MARQUEZ, AFECTADA LA RED VÌAL, VÌA CHOACHI- LA CALERA, AFECTACIÒN EN CULTIVOS DE. HIERBAS AROMATICAS</t>
  </si>
  <si>
    <t>INUNDACIONES POR AGUAS LLUVIAS, VEREDAS. EL PLACER, GUAYABAL, MESITAS, LA ISLA, AFECTACIÒN EN VÌAS TERCIARIAS, INFORMO, CREPAD DE CUNDINAMARCA, VÌA CORREO ELÈCTRONICO</t>
  </si>
  <si>
    <t>DESBORDAMIENTO DEL CAÑO NEGRO, EN EL SECTOR CAÑO NEGRO, VEREDA. BENDICIÒN, SE RESCATARON 4 PERSONAS DE LA FINCA SAN MIGUEL, INFORMO CREPAD DEL META, DRA. CLARA INES CARVAJAL.</t>
  </si>
  <si>
    <t>DESBORDAMIENTO DEL RÌO LA CAL,  AFECTADO UN PUENTE VEHICULAR,  INFORMO CREPAD DEL META, DRA. CLARA INES CARVAJAL.</t>
  </si>
  <si>
    <t>INUNDACIONES, AFECTACIÒN EN LA ZONA URBANA: 5,946 FAMILIAS, 27,644 PERSONAS,  52  BARRIOS AFECTADOS ASI: ESPERANZA, COMUNITARIO, 31 DE OCTUBRE, BOCAGRANDE, EL BOLSILLO, LUIS EDUARDO CUELLAR, LA LOMA, 15 DE MAYO ,SAN MARTIN DE PORRAS, MARIA EUGENIA, CAMILO TORRES
LOS OLIVOS, LOS ALMENDROS,  VILLA FATIMA, RANCHERIA,  7 DE AGOSTO, BARRIO ARRIBA, LA LUCHA Y  LA LUCHITA, LOS MANGOS, VILLA ZIRUMA, LA MANO DE DIOS,  LAS MERCEDES, EL PATRON, BUENOS AIRES,
VILLA LAS A,  11 DE ENERO,  6 DE ENERO, IGUARAYA
TAWAIRA,  SAN JUDAS, LOS OLIVOS
VILLA YOLIMA,  MINUTO DE DIOS,
DIVIDIVI,  MARBELLA,  2 DE FEBRERO,  NUEVO MILENIO, VILLA KEINER, LA UNION, VILLA DESEO, NAZARETH, CARIBE, LAS TUNAS, NUEVO HORIZONTE,  OPERATIVO
AREOPUERTO, JOSE ANTONIO GALAN,  BELLO MAR
VILLA DE CAMPO ALEGRE, VILLA CAMPESTRE, LA PAZ
NUEVA GUAJIRA.
 ZONA RURAL: 1,689 FAMILIAS, 9,584 PERSONAS,  ASI: TIGRERAS, CARICARI,  MAGUEYAL  PELECHUA -CERRILLO, CERRO PERALTA, LAS MERCEDES, ANAIME, EL SALAO, CHOLES,  WAYABITAL, COMEJENES, TABACO RUBIO, CAMARONES, CIRUELO, MUNDO NUEVO, CERRITO, LEONTINIO,  ESTÀ INFORMACIÒN LA ENVIA VÌA CORREO ELÈCTRONICO, EL CREPAD DE LA GUAJIRA, DR. LEONARDO IMITOLA, MEDIANTE ACTA DEL CLOPAD DE LA GUAJIRA.</t>
  </si>
  <si>
    <t xml:space="preserve">EL CREPAD DE CUNDINAMARCA  EL SEÑOR ALONSO MUÑOZ  INFORMA DE  AFECTACION POR INUNDACION EN LA VEREDA EL TUNAL, SECTOR BARANDILLAS, LA  CUAL  ESTA UBICADA ENTRE ZIPAQUIRA Y TOCANCIPA. AFECTACION POTREROS DE PARA  EL  ENGORDE  DE  GANADO Y  CULTIVOS. DESBORDAMIENTO DE RÌO NEUSA, EN LAS VEREDAS: BARRANDILLAS, EL TUNAL, AFECTACIÒN EN LA VÌA TOCANCIPA, PASO RESTRINGIDO, INUNDACIÒN DE POTREROS,  INFORMO CREPAD DE CUNDINAMARCA, VÌA CORREO ELÈCTRONICO. </t>
  </si>
  <si>
    <t>CORREGIMIENTO URANGO, GUINEO, TOMATE, VEREDA PASO DOSMONOS, ALICIA, MATA DE PLATANO, NUEVA VIDA, PUEBLOREGAO, BARRIOS NUEVO HORIZONTE, TRECE DE AGOSTO, VILLA OLIMPICA, EL RECREO Y URBANIZACION SOTO REPORTE DEL CREPAD</t>
  </si>
  <si>
    <t>CORREGIMIENTOS MAMEY, OASIS, GALILEA, LA CAÑA, EL EBANO, Y CERRO LAS LAJAS</t>
  </si>
  <si>
    <r>
      <t>AVALANCHA DE LOS AFLUENTES DEL RIO DAGUA-AFECTADO EL SECTOR LOS TUBOS-INFORMA CREPAD VALLE  DRA MELVA LEINER VIDAL-INFORMACION PRELIMINAR PENDIENTE AFECTACION DE OTROS SECTORES-LAS PERSONAS FALLECIDAS RESPONDIAN A LOS NOMBRES DE: AMELIA PERILLA-ARMANDO. VALOR DE OTROS CORRESPONDE A 530 RACIONES DE CAMPAÑA. APOYO DEL FNC MEDIANTE GIRO DIRECTO AL</t>
    </r>
    <r>
      <rPr>
        <b/>
        <sz val="9"/>
        <rFont val="Arial"/>
        <family val="2"/>
      </rPr>
      <t xml:space="preserve"> CREPAD PARA APOYAR LAS TAREAS DE MOVILIZACION, PERSONAL Y HONORARIOS PROFESIONALES PARA LA ATENCION DE LA EMERGENCIA.</t>
    </r>
  </si>
  <si>
    <t>AFECTADA LA VEREDA ALTO JOGUI-INFORMA D.C.C. SEÑOR LUIS ALBERTO BOTIA.</t>
  </si>
  <si>
    <t>DESBORDAMIENTO DE LA QUEBRADA EL TIGRE, AGUA VIVA Y CANALETE EN LAS VEREDAS LOS CEDROS, EL VIDRIAL-INFORMA D.C.C. SEÑOR LUIS ALBWERTO BOTIA.</t>
  </si>
  <si>
    <t>UN MENOR DE UN  AÑO FALLECIO AL CAER  DE LA VIVIENDA DONDE SE ENCONTRABA  AL RIO ATRATO. INFORMA CREPAD CHOCO DR. RAFAEL BOLAÑOS</t>
  </si>
  <si>
    <t>INCENDIO ESTRUCTURAL EN LA VEREDA YAPURA. INFORMA CREPAD CAUCA DRA EDITH JANETH PAZ-CORREO ELECTRONICO.</t>
  </si>
  <si>
    <t>DESBORDAMIENTO DE LOS RIOS CONGOR, INCHIYACO Y LA QUEBRADA BARBASCO EN LA   VEREDA SANTA RITA - AFECTADAS 15 HECTAREAS DE  CULTIVOS DE PLATANO Y MAIZ- PERDIDA DE ESPECIES MENORES-AFECTADO EL COLEGIO AGROPECUARIO DE PIAMONTE SALA DE COMPUTO Y SALONES DE CLASE, AFECTADO EL ACUEDUCTO  REGIONAL Y UN RURAL-500 FAMILIAS  SIN EL SERVICIO DE AGUA INFORMA CREPAD  CAUCA DRA. EDITH JANETH PAZ.</t>
  </si>
  <si>
    <t>VENDAVAL   EN LAS VEREDAS POTRERILLOS Y GUAYABAL DEL CORREGIMIENTO DE CAPELLANIA. INFORMA CREPAD CAUCA EDITH JANETH PAZ.</t>
  </si>
  <si>
    <t>PERDIDA PARCIAL DE LA BANCA EN LAS VIAS: QUEBRADITA, YARUMALES, CORINTO-EL BOQUERON, LA CABAÑA,CARRISALES EL ALTO, RIO NEGRO, PUEBLO NUEVO-AFECTADA LA BOCATOMA DEL ACUEDUCTO SOBRE EL RIO PAILA, EL ACUEDUCTO EL DESCANDO AFECTADO EN 45 MTS DE LA LINEA DE CONDUCCION-PERDIDA DE CULTIVOS DE MORA, TOMATE, Y LULO, EN LAS VEREDAS: LA CRISTALINA, LA UNION, LA ESTER, CHICHARRONAL, Y LOS ANDES-INFORMA CREPAD CAUCA DRA. EDITH JANETH PAZ.</t>
  </si>
  <si>
    <t>CRECIENTE DEL ARROYO EL CHORRO, EL CUERPO FUE RECUPERADO EL DÌA DE HOY, INFORMO D.C.C, SECCIONAL ATLANTICO</t>
  </si>
  <si>
    <t xml:space="preserve">FUERON RESCATADOS  ILESOS LOS DOS MINEROS  QUE  SE  ENCONTRABAN ATRAPADOS EN LA  MINA DE CARBON  DE  NOMBRE  NIVEL CINCO. COLABORACION EN EL RESCATE  PERSONAL DE  BOMBEROS  CHINACOTA, DEFENSA  CIVIL Y RESCATE MINERO . REPORTE  CREPAD NORTE  DE  SANTANDER </t>
  </si>
  <si>
    <t>EVACUADA LA TOTALIDAD DE LA POBLACION DEL BARRIO LA INDEPENDENCIA  POR RIESGO DE DESLIZAMIENTO. PENDIENTE INFORMACION-REPORTA LA DRA. CLARA CARVAJAL BORDA.</t>
  </si>
  <si>
    <t>INFORMA EL CLOPAD DE VILLAVICENCIO QUE POR FUERTES LLUVIAS  SE PRESENTO  CRECIENTE SUBITA  DEL RIO NEGRO AFECTANDO UNA VIA  VEHICULAR EL CUAL CONDUCE DE VILLAVICENCIO A PUERTO LOPEZ.</t>
  </si>
  <si>
    <t xml:space="preserve">DAPAD DE ANTIOQUIA INFORMA QUE  EN LA ESTRELLA EN LA CASA DE LA CULTURA DEL CORREGIMIENTO LA TABLAZA, 31 FAMILIAS A LAS QUE ANOCHE SE ORDENÓ EVACUAR DE MANERA INMEDIATA, POR EL PELIGRO DE UNA AVALANCHA EN LAS LADERAS DEL SECTOR DE EL CHAMO, SOBRE LA AUTOPISTA SUR Y DONDE SE APRECIAN GRIETAS DE HASTA 6 METROS DE PROFUNDIDAD, CON GRANDES CANTIDADES DE AGUA. 
LA MEDIDA EXTREMA LA ADOPTÓ LA ALCALDÍA DE LA ESTRELLA LUEGO DEL MONITOREO REALIZADO AL PREDIO CONOCIDO COMO LA FINCA LA FLORENCIA, DONDE SE ENCONTRÓ QUE EN UN ÁREA DE 3 CUADRAS APROXIMADAMENTE, DONDE HAY CERCA DE 50 MIL METROS CÚBICOS DE TIERRA, SE VIENEN PRESENTANDO DESLIZAMIENTOS Y LAS GRIETAS EN EL TERRENO, PODRÍAN PROVOCAR UNA AVALANCHA DE UN MOMENTO A OTRO.
EL ALBERGUE EN LA CASA DE LA CULTURA DEL CORREGIMIENTO LA TABLAZA, ES TEMPORAL Y TIENE COMO OBJETIVO, BRINDAR ATENCIÓN A LAS 125 PERSONAS QUE HABITAN EN LA ZONA CRÍTICA POR LA GRAN SATURACIÓN DEL TERRENO.
DESDE ÉSTE LUNES LA ALCALDÍA DE LA ESTRELLA DARÁ INICIO A LAS OBRAS DE MITIGACIÓN, CUALES CONSISTEN EN LA IMPERMEABILIZACIÓN Y EL DRENAJE DEL AGUA ESTANCADA EN EL TALUD, AL MISMO TIEMPO QUE SE ADELANTAN LOS ESTUDIOS PARA DETERMINAR CUÁL ES LA SOLUCIÓN DEFINITIVA A ESTA PROBLEMÁTICA.
</t>
  </si>
  <si>
    <t>INFORMA EL CREPAD DEL CAUCA DE DESLIZAMIENTO EN EL BARRIO LOMAS  DE GRANADA,  DESTRUYENDO UN PUENTE PEATONAL EL CUAL TAMBIEN  SERVIA  COMO SOPORTE DE LA RED  ELECTRICA Y DE ACUEDUCTO. EN EL SITIO YA  SE  ENCUENTRA  PERSONAL DE LA  EMPRESA DE  ENERGIA Y DE ACUDUCTO REALIZANDO TRABAJOS  PARA  RESTABLECER LOS  SERVICIOS PUBLICOS.</t>
  </si>
  <si>
    <t>INFORMA EL DAPARD DE ANTIOQUIA DE UNA  VIVIENDA DESTRUIDA, DOS MÁS AFECTADAS PARCIALMENTE, POR LAS FUERTES LLUVIAS QUE DESDE ANOCHE CAEN SOBRE MEDELLÍN.EN LA CARRERA 36 CON LA CALLE 81, DEL BARRIO MANRIQUE SANTA INÉS, NORORIENTE DE LA CIUDAD, CAYÓ UN DESLIZAMIENTO QUE CAUSÓ EL DESPLOME DE UNA VIVIENDA CONSTRUIDA CON MADERA Y OCUPADA POR TRES PERSONAS.
LA CAÍDA DE UN BARRANCO DESTRUYÓ PARCIALMENTE OTRA CASA EN LA CALLE 77 CON LA CARRERA 30, DEL BARRIO MANRIQUE LA CRUZ, TAMBIÉN EN EL NORORIENTE, LO CUAL OBLIGÓ A LA EVACUACIÓN DE SUS CINCO MORADORES QUE RESULTARON ILESOS.
EL DESPLOME DE UN MURO AFECTÓ UNA VIVIENDA EN LA CARRERA 99 CON LA CALLE 48, DEL SECTOR DE SAN JAVIER, SIN CAUSAR HERIDAS A UNA MUJER, SU ÚNICA MORADORA. 
LAS FUERTES PRECIPITACIONES TAMBIÉN ANEGARON VARIOS DEPRIMIDOS Y VÍAS CÉNTRICAS DE LA CIUDAD  DEL SECTOR DEL ESTADIO Y EL BARRIO LA AMÉRICA, EN EL OCCIDENTE.</t>
  </si>
  <si>
    <t>INFORMA EL DIRECTOR DEL FOPAE DE 3 VIVIENDAS AFECTADAS EN EL BARRIO CORDILLERA DE LA  LOCALIDAD DE  CIUDAD BOLIVAR. POR DESLIZAMIENTO EN LA ZONA  SE  ENCUENTRAN PERSONAL DE BOMBEROS, FOAPE,ALCALDIA LOCAL DE CIUDAD BOLIVAR, DEFENSA CIVIL.</t>
  </si>
  <si>
    <t>SE  PRESENTO DESBORDAMIENTO DEL RIO MAGDALENA  EN EL BARRIO LA  CUERERA. REPORTE  SOCORRO NACIONAL SR. RENE  VELASQUEZ TEL 4376369</t>
  </si>
  <si>
    <t>DESBORDAMIENTO DEL RIO SUPIA EN LOS BARRIOS SAN LORENZO, LA VEGA. REPORTE DEFENSA  CIVIL SR. WILLIAM SARMIENTO TEL 319000</t>
  </si>
  <si>
    <t>DESBORDAMIENTO DEL RIO GUACHACA EN LA  SIERRA  NEVADA. REPORTE  DEFENSA  CIVIL SR. OSCAR  RODRIGUEZ  TEL 3199000</t>
  </si>
  <si>
    <t>DESBORDAMIENTO DEL RIO BOLO EN EL CASCO URBANO, NO VICTIMAS. REPORTE  SOCORRO NACIONAL SR. RENE VELASQUEZ TEL. 4376369</t>
  </si>
  <si>
    <t>DESLIZAMIENTO EN EL BARRIO BLOQUES DE  GIBRALTAR DONDE SE REALIZAN OBRAS  DE ESTABILIZACION DE LOS TALUDES CON APORTES DE  COLOMBIA HUMANITARIA, 156 APARTAMENTOS HABITADOS. FAMILIAS EXIGEN REUBICACION . REPORTE  CLOPAD ARMENIA CORREO ELECTRONICO</t>
  </si>
  <si>
    <t>DESLIZAMIENTO EN EL BARRIO LA  SECRETA  AFECTANDO LA PARTE  TRASERA  DE UNA VIVIENDA. REPORTE  CLOPAD ARMENIA CORREO ELECTRONICO.</t>
  </si>
  <si>
    <t>INUNDACION EN EL SECTOR  DE  INGRESO AL  AL AEROPUERTO IMPIDIENDO  EL INGRESO.REPORTE  CLOPAD ARMENIA CORRO ELECTRONICO.</t>
  </si>
  <si>
    <t>REPORTE  EL CT. DANIEL CASTAÑO DE LA UNGRD DESLIZAMIENTO EN EL SITIO PUEBLO HONDO EN LA  VIA  MANIZALES-NEIRA. NO HERIDOS NI MUERTOS  CEL. CT. DANIEL CASTAÑO 3202374894</t>
  </si>
  <si>
    <t>DESLIZAMIENTO EN LOS BARRIOS LA FISCALA, LA MARQUEZA Y DIANA  TURBAY. REPORTE  DEFENSA   CIVIL SR. WILLIAM SARMIENTO TEL 3199000</t>
  </si>
  <si>
    <t>INFORMA EL CREPAD DEL QUINDIO QUE EN EL SECTOR DE RIO VERDE, MÁS CONCRETAMENTE EN LA VÍA QUE CONDUCE A LOS MUNICIPIOS DE CÓRDOBA Y PIJAO – (LAS PARTIDAS); SE PRESENTÓ UN DESLIZAMIENTO DE TIERRA QUE OCASIONO EL CIERRE TOTAL DE LA VÍA Y PRODUJO LA DESTRUCCIÓN DE UNA VIVIENDA COMPUESTA POR 3 ADULTOS. EL CLOPAD DE BUENAVISTA; REUBICO DE INMEDIATO A ESTA FAMILIA EN EL CORREGIMIENTO DE BARCELONA Y TRAMITO LAS AYUDAS HUMANITARIAS DE EMERGENCIA COMO COLCHONETAS, COBIJAS, MERCADOS ENTRE OTROS.</t>
  </si>
  <si>
    <t>INFORMA  EL CLOPAD DE PASTO QUE POR LAS   LLUVIAS  DE ESTOS  DIAS  SE  PRESENTO DESLIZAMIENTO EN LA VIA PANAMERICANA  EN LA VIA POPAYAN - PASTO. EN EL SITIO SE  ENCUENTRA PERSONAL DE INVIAS Y POLICIA DE CARRETERAS.</t>
  </si>
  <si>
    <t>INFORMA EL MINISTERIO DE PROTECCIÓN SOCIAL DE UNA PERSONA 27 AÑOS DE  NOMBRE ALEJANDRO MORALES VARGAS ,LESIONADA AL CAERLE  UN RAYO, EN EL SECTOR CONOCIDO COMO ALTOS DE PABONA MANZANA F. EL CUAL FUE  TRASLADADO AL HOSPITAL SAN JUAN DE DIOS DE ARMENIA.</t>
  </si>
  <si>
    <t>DESBORDAMIENTO CIENAGA  CORALITO EN LOS BARRIOS SAN NICOLAS, VILLA  CELINA Y RETIRO DE LOS INDIOS. SIN VICTIMAS . REPORTE  DEFENSA  CIVIL SR. OSCAR  RODRIGUEZ TEL 3199000</t>
  </si>
  <si>
    <t>SE PRESENTO VENDAVAL EN EL BARRIO MIRAFLORES. AFECTACION DE  VIVIENDA EN TECHO. REPORTE  CLOPAD ARMENIA  DR. JAVIER  VELEZ G. CEL. 3202400705</t>
  </si>
  <si>
    <t>EL DIA  04/12/2011 EN EL MUNICIPIO DE EL CASTILLO  VEREDA  CAÑO GRANDE  FINCA LA  ESPERANZA  FUE RECATADO EL CUERPO DE LA  NIÑA  SARA  ALEJANDRA  RODRIGUEZ DE  4 AÑOS DE  EDAD  QUIEN HABIA  DESAPARECIDO EL DIA  01/12/2011 POR  CRECIENTE  DEL RIO GUAMAL. REPORTE  DEFENSA  CIVIL SECCIONAL META  Y DIRECCION GENERAL. TEL 3199000</t>
  </si>
  <si>
    <t>POR  AMENAZA DE  DESLIZAMIENTO DE LA LOMA EL PASTEL EN EL BARRIO SAN JOSE  DE LOS  TEJARES  FUERON EVACUADAS 8 FAMILIAS DONDE FAMILIARES  Y VECINOS. 8 FAMILIAS NO QUISIERON EVACUAR A PESAR DE LAS RECOMENDACIONES HECHAS POR  EL CLOPAD. REPORTE CLOPAD POPAYAN  DR. HERNAN VARONA HORA : 20:55  CEL 3217005321</t>
  </si>
  <si>
    <t>2000 BULTOS DE CEMENTO, 130 M3 DE ARENA, 200 M3 DE TRITURADO, 100 VARILLAS HIERRO DE 1", 100 MALLA PARA GAVION, 300 M3 DE RAJON, 300 KL DE LAMBRE PARA GAVION</t>
  </si>
  <si>
    <t>50 MALLAS PARA GAVION</t>
  </si>
  <si>
    <t>300 MALLAS PARA GAVION VEREDA EL SALTO</t>
  </si>
  <si>
    <t>50 ROLLOS MANGUERA DE 3", 50 ROLLOS MANGUERA DE 2" 1000 METROS DE GUAYA</t>
  </si>
  <si>
    <r>
      <t xml:space="preserve">REPORTA CREPAD DE NORTE DE SANTANDER HACIA LAS 11:00 PM SE PRESENTÓ EL DESBORDAMIENTO DEL RIO TACHIRA EN EL MUNICIPIO DE VILLA DEL ROSARIO , CORREGIMIENTO LA PARADA , DONDE SE EVACUARON ALREDEDOR DE 20 FAMILIAS (PRELIMINAR) , EN EL SECTOR DEL PALMAR SE REALIZÓ EL RESCATE DE UNA FAMILIA QUE RESULTO ATRAPADA POR LA CRECIENTE , TRABAJAN DEFENSA CIVIL CON 20 VOLUNTARIOS Y BOMBEROS VILLA DEL ROSARIO CON 15 BOMBEROS.
EL RIO PAMPLONITA PRESENTA UN CONSIDERABLE AUMENTO DE SU CAUDAL CASI ALCANZA COTA DE DESBORDAMIENTO , EN EL MUNICIPIO DE BOCHALEMA CORREGIMIENTO DE LA DON JUANA  POLICÍA  DE CARRETERAS EFECTÚO CIERRE DE UN PUENTE VEHICULAR DE MANERA PREVENTIVA POR QUE ESTÁ RECIBIENDO EL GOLPE DE LA CRECIENTE.
EL CLOPAD DE PUERTO SANTANDER DE ENCUENTRA ALERTA ANTE LA POSIBILIDAD DE QUE SE PRESENTEN INUNDACIONES EN EL TRANSCURSO DE LA NOCHE DEBIDO A QUE EN ESTE MUNICIPIO CONFLUYEN LOS RÍOS TACHIRA, PAMPLONITA Y ZULIA.
</t>
    </r>
    <r>
      <rPr>
        <b/>
        <sz val="9"/>
        <rFont val="Arial"/>
        <family val="2"/>
      </rPr>
      <t>VALOR DE OTROS CORRESPONDE A 50 MALLAS PARA GAVION</t>
    </r>
  </si>
  <si>
    <t xml:space="preserve">SI </t>
  </si>
  <si>
    <t>REVISAR APOYO ENTREGADO EL  30 NOVIEMBRE</t>
  </si>
  <si>
    <t>VIAS SAN JOSE DEL PALMAR - ALTO DE GALAPAGOS. GIRO DIRECTO AL CLOPAD PARA ALQUILER DE MAQUINARIA PARA REALIZAR TRABAJOS DE DESTAPONAMIENTOS VIAL</t>
  </si>
  <si>
    <t>REGISTRO EL 5 DE DICIEMBRE DE 2011</t>
  </si>
  <si>
    <t>GIRO DIRECTO PARA ARRIENDO TEMPORAS PARA 150 FAMILIAS DEL BARRIO CERVANTES POR VALOR MENSUAL DE 150.000 POR DOS MESES ($45.000.000),GASTOS OPERDATIVOS PARA 500 PERSONAS POR CINCO DIAS ($48.000.000), ARRIENDOS TEMPORADLES PARA 90 FAMILIAS (VIA EL GUAMO) POR VALOR DE 150.000 POR TRES MESES ($40.500.000)</t>
  </si>
  <si>
    <t>VIA SAN PABLO - FLORENCIA. APOYO DEL FNC MEDIANTE GIRO DIRECTO AL CREPAD PARA ALQUILER E MAQUINARIA PARA REALIZAR LOS TRABAJOS DEL MURO DE CONTENCION EN LA VIA</t>
  </si>
  <si>
    <t>APOYO DEL FNC MEDIANTE GIRO DIRECTO AL CLOPAD PARA APOYAR LA CONSTRUCCION DE OBRAS PARA LA MITIGACION Y PREVENCION DE DESLIZAMIENTOS EN EL BARRIO SIETE DE AGOSTO.</t>
  </si>
  <si>
    <t>AFECTADO PUENTE EN LA VIA ALPUJARRA - IBAGUE INCOMUNICADAS 5200 HABITANTES</t>
  </si>
  <si>
    <t>CRECIENTE DEL RÌO BOGOTA, EN EL BARRIO.LA VICTORIA, SE EVACUARON 8 FAMILIAS PREVENTIVAMENTE AL SALÒN COMUNAL, INFORMO CREPAD DE CUNDINAMARCA, VÌA CORREO ELÈCTRONICO</t>
  </si>
  <si>
    <t>INUNDACIONES, EN LA VEREDA. EL CONSUELO, SECTOR. PLENITUD, SE ENCUENTRAN 40 FAMILIAS INCOMUNICADAS POR VÌA TERRESTRE, INFORMO CREPAD DE CUNDINAMARCA, VÌA CORREO ELÈCTRONICO</t>
  </si>
  <si>
    <t>CRECIENTE DEL RÌO EL PALMAR, EN LA VEREDA: SABANILLAS, 2 PERSONAS AHOGADAS DE NOMBRES: ANA INÈS BAEZ  DE 17 AÑOS, ALEXANDER MUNOZ  DE 28 AÑOS,  INFORMO CREPAD DE CUNDINAMARCA, VÌA CORREO ELÈCTRONICO</t>
  </si>
  <si>
    <t>INUNDACIONES POR FUERTES LLUVIAS, EN LA VEREDA: LOURDES, SECTORES: LA OFICINA, LA REPUBLICA, ANDES, INFORMO CREPAD DE CUNDINAMARCA, VÌA CORREO ELÈCTRONICO</t>
  </si>
  <si>
    <t>DESLIZAMIENTOS EN LAS VEREDAS. ROSO ALTO DE HOYO, PARCELAS, EL ABRA, CERRADA LA VÌA COTA- SUBA, SECTOR PUENTE DE LA VIRGEN, POR DESBORDAMIENTO DEL RÌO BOGOTÀ, INFORMO CREPAD DE CUNDINAMARCA, VÌA CORREO ELÈCTRONICO.</t>
  </si>
  <si>
    <t>INUNDACIONES  EN LAS VEREDAS: MEJORANA, CAPELLANIA, CERRADA LA VÌA CAJICA- HATO GRANDE, INFORMO CREPAD DE CUNDINAMARCA, VÌA CORREO ELÈCTRONICO</t>
  </si>
  <si>
    <t>INUNDACIONES POR DESBORDAMIENTO DEL RIO BOGOTÀ, AFECTADA VARIANTE TELETÒN, VÌA GUAIMARAL, INFORMO CREPAD DE CUNDINAMARCA, VÌA CORREO ELÈCTRONICO</t>
  </si>
  <si>
    <t xml:space="preserve">CRECIENTE DEL RÌO YUMBO, EL DIA DE HOY  FUE RECUPERADO EL CUERPO DEL SR. ANDRÈS CRUZ CAICEDO DE  22  AÑOS DE EDAD, EN INMEDIACIONES DEL MPIO DE YOTOCO, INFORMO SOCORRO NACIONAL, SR. RENE VELASQUEZ, 4376369 </t>
  </si>
  <si>
    <t>INCENDIO ESTRUCTURAL EN UNA FABRICA DE CUEROS EN LA LOCALIDAD DE USME, BARRIO. EL VIRREY, INFORMO MINISTERIO DE LA PROTECCIÒN SOCIAL, SR. JOSÈ MIGUEL VELASQUEZ 3305071</t>
  </si>
  <si>
    <t xml:space="preserve">  </t>
  </si>
  <si>
    <t>AGUAS  SUBTERRANEAS Y SATURACION DEL SUELO AFECTARON LAS VEREDAS EL HATO Y BOQUERON-AFECTADA LA VIA LA PALMA-UTICA DESTRUIDA LA BANCA EN 300 METROS-AFECTACION A CULTIVOS  Y GANADO. INFORMA CREPAD.</t>
  </si>
  <si>
    <t>DESBORDAMIENTO DEL RIO HONDA EN EL CORREGIMIENTO SANTA HELENITA  AFECTADO UN PUENTE VEHICULAR-REALIZAN EDAN -INFORMA CREPAD VALLE.</t>
  </si>
  <si>
    <t>DESBORDAMIENTO DEL RIO  DESBARATADO EN EL CORREGIMIENTO CHOCOSITO. INFORMA CREPAD VALLE DRA MELVA LEYNER VIDAL.</t>
  </si>
  <si>
    <t>DESLIZAMIENTO SOBRE LA VIA ALGECIRAS-VEREDA SAN FRANCISCO-OBSTRUIDA LA VIA-INFORMA CREPAD HUILA, CORREO ELECTRONICO</t>
  </si>
  <si>
    <t>CRECIENTE DE LA QUEBRADA LOMITO AFECTO EL CORREGIMIENTO BRUSELAS-INFORMA CREPAD HUILA CORREO ELECTRONICO.</t>
  </si>
  <si>
    <t>DESLIZAMIENTO SOBRE LA VIA OPORAPA-PITALITO EN LA VEREDA ORITOGUA PASO RESTRINGIDO. INFORMA CREPAD  HUILA CORREO ELECTRONICO.</t>
  </si>
  <si>
    <t xml:space="preserve">CRECIENTE DE LA QUEBRADA GUARUCO Y  NUTRIA-MONITOREO CONSTANTE- SE REALIZA INSPECCION PARA DETERMINAR POSIBLES DAÑOS. </t>
  </si>
  <si>
    <t>INUNDACION POR COLAPSO DEL SISTEMA DE ALCANTARILLADO AFECTADOS LOS BARRIOS: SIMON BOLIVAR, EL NARANJAL, VALENCIA Y EL DIVINO NIÑO-AFECTADO EL CORREGIMIENTO LA VIRGINIA  DAÑOS EN ENSERES - SE MONITOREA EL SECTOR LA MARIA POR CRECIENTE DEL RIO QUINDIO  Y EL SECTOR RIO VERDE POR CRECIENTE DEL RIO SANTO DOMINGO. INFORMA CREPAD QUINDIO-REALIZAN EDAN</t>
  </si>
  <si>
    <t>DESLIZAMIENTO    EN EL BARRIO ALTO BONITO-INSPECCION DE TIPO TECNICO PARA EVALUAR LA SITUACION. INFORMA CREPAD QUINDIO.</t>
  </si>
  <si>
    <t xml:space="preserve">INUNDACION  POR COLAPSO EN EL SISTEMA DE ALCANTARILLADO  AL SUR DE LA CIUDAD, EN EL SECTOR LA PLAYITA SE PRESENTO CRECIENTE SUBITA DEL RIO QUINDIO 3 DESLIZAMIENTOS. INFORMA CREPAD QUINDIO. </t>
  </si>
  <si>
    <t>DESBORDAMIENTO DE LA QUEBRADA MULALO,  AFECTANDO EL CORREGIMIENTO DE: MULALO, Y LA VEREDA MANGA VIEJA  , LOMA LARGA Y PASO DE LA  TORRE ,   INFORMO CREPAD  VALLE,  DRA. MELBA LEYNER VIDAL, SOCORRO NACIONAL SR. RENE  VELASQUEZ CORREO ELECTRONICO.  FUNCIONARIOS DE CREPAD VALLE  VISITARON LA ZONA DE EMERGENCIA Y  REVISANDO LOS CENSOS SE CONSTATÓ QUE FUERON AFECTADAS 50  VIVIENDAS, 200 PERSONAS. INFORMA DRA. MELVA LEYNER VIDAL</t>
  </si>
  <si>
    <t>AFECTADAO CENTRO PENITENCIARIO CARCE LA MODELO. ARENA 60 M3, TRITURADO 30 M3, CEMENTO 100 BULTOS, BLOQUES NO. 5 5000, VARILLA DE 1/2 60, VRILLA DE 1/4 100 PARA REPARAR LA CARCEL</t>
  </si>
  <si>
    <t>EROSION</t>
  </si>
  <si>
    <t>300 BIGBAGS</t>
  </si>
  <si>
    <t>APOYO DEL FNC MEDIANTE GIRO DIRECTO AL CLOPAD PARA LA ADQUISICION DE COMBUSTIBLE Y ALQUILER DE MAQUINARIA PESADA PARA OBRAS DE MITIGACION PARA LA CORRECCION DEL CAUCE, CAÑO SECO, SECTOR VEREDA LA ESPAÑOLA Y CAÑO URICHARE VEREDA EL ROBLE.</t>
  </si>
  <si>
    <t>CRECIENTE DE LA QUEBRADA PORTACHUELO, EL DÌA DE HOY FUE RECUPERADO EL CUERPO DEL SR. JOSÈ FABIO GONZALEZ  DE  73 AÑOS DE EDAD, INFORMO CREPAD DEL QUINDIO, DR. ARIEL OSPINA, MINISTERIO DE SALUD Y PROTECCIÒN SOCIAL</t>
  </si>
  <si>
    <t>ALUD DE TIERRA CAE SOBRE VIVIENDAS,  3 PERSONAS HERIDAS EN LAS VEREDAS: TENERIFE, CARRIZAL, LAS CUALES FUERON EVACUADAS POR VÌA AÈREA, CLOPAD REALIZA, EDAN, INFORMO CREPAD DEL VALLE  DRA. MELBA LEYNER</t>
  </si>
  <si>
    <t>DESLIZAMIENTO EN EL BARRIO LA CRUZ, INFORMO D.C.C</t>
  </si>
  <si>
    <t>DESBORDAMIENTO DEL RÌO CAUCA, EN EL SECTOR: JUANCHITO,  INFORMO D.C.C</t>
  </si>
  <si>
    <t>DESBORDAMIENTO DEL RIO SAN JORGE, ZONA URBANA,  INFORMO D.C.C</t>
  </si>
  <si>
    <t>DESBORDAMIENTO DE LAS QUEBRADAS: CEREZO  Y AGUAS CLARAS,  INFORMO D.C.C</t>
  </si>
  <si>
    <t>ROMPIMIENTO DEL JARILLÒN, CONDOMINIO SAN JACINTO, SECTOR. VALLADO MONGIBELLO  Y  EL CANAL DE PROLECHE,  INFORMO, CREPAD DE CUNDINAMARCA, VÌA CORREO ELÈCTRONICO.</t>
  </si>
  <si>
    <t>DESLIZAMIENTO EN LA VEREDA: LLANO GRANDE, CERRADA LA VÌA, LA PALMA- PACHO, SECTOR. CUCHARAL, INFORMO, CREPAD DE CUNDINAMARCA, VÌA CORREO ELÈCTRONICO.</t>
  </si>
  <si>
    <t>DESBORDAMIENTO  DEL RIO CAUCA-AFECTADO EL CORREGIMIENTO JUANCHITO. INFORMA  CREPAD VALLE.</t>
  </si>
  <si>
    <t>MONITOREO CONSTANTE  POR CRECIENTE DE LA QUEBRADA LA CEIBA  EL CAUDAL DEL RIO ES CONSIDERABLE Y CONSTANTE. INFORMA CREPAD HUILA.</t>
  </si>
  <si>
    <t>ALISTAMIENTO PREVENTIVO PARA EVACUACION DE  VIVIENDAS UBICADAS AL BORDE DE LA QUEBRADA LA ESPAÑOLA EN EL SECTOR URBANO. INFORMA CREPAD QUINDIO.</t>
  </si>
  <si>
    <t>SE PRESENTO DESLIZAMIENTO  EN LAS VEREDAS  LA ISLA  Y TIERRA  NEGRA  AFECTANDO LA  VIA  HACIA LA  VEREDA  TRINIDAD Y AFECTADO EL PUENTE PISA  SUEGRAS. REPORTE  CREPAD CUNDINAMARCA CORREO ELECTRONICO</t>
  </si>
  <si>
    <t>DESLIZAMIENTO EN EL KM 2.5 ENTRE  GAMA  Y GACHETA. CONSORCIO DE  VIAS  HABILITA RESTAURACION  TRANSITO. REPORTE  CREPAD CUNDINAMARCA CORREO ELECTRONICO</t>
  </si>
  <si>
    <t>INUNDACION POR  LLUVIAS  EN LA  VEREDA  EL AVISPERO. REPORTE  CREPAD HUILA CORREO ELECTRONICO</t>
  </si>
  <si>
    <t>DESLIZAMIENTO  EN LA  VIA  LA  PLATA-PITALITO SITIO CORAL. REPORTE  CREPAD HUILA CORREO ELECTRONICO</t>
  </si>
  <si>
    <t>CRECIENTE  DE LA QUEBRADA  LA  CHAPA  PROVOCO DESLIZAMIENTO EN EL SECTOR  SANTA  TERESA. REPORTE  CREPAD BOYACA  CORREO ELECTRONICO</t>
  </si>
  <si>
    <t>SE PRESENTO DESLIZAMIENTO QUE  PROVOCO LA  QUEBRADA  LA  CHAPA EN EL SECTOR SANTA TERESA. REPORTE CREPAD BOYACA CORREO ELECTRONICO</t>
  </si>
  <si>
    <t>SE PRESENTO DESLIZAMIENTO EN EL BARRIO LA  LOMA, RESULTADO FALLECIDA LA NIÑA DAIRA YULIETH PASTRANA  VALBUENA DE  11 AÑOS EDAD , HERIDO  CRISTIAN ALMARIO VALBUENA DE  10 MESES EDAD TRASLADADO AL HOSPITAL DE  GARZON, NO SE  REPORTA  PERSONAS DESAPARECIDAS. REPORTE ALCALDE  DR. JAIRO FAJARDO NUÑEZ CEL. 3203036733, MINISTERIO DE PROTECCION SOCIAL SR. JOSE MIGUEL VELASQUEZ TEL. 3305071</t>
  </si>
  <si>
    <t>INUNDACIONES POR FUERTS LLUVIAS, EN EL BARRIO: LOS PRADOS DE MOCOA, INFORMO, D.C.C, SECCIONAL PUTUMAYO.</t>
  </si>
  <si>
    <t>DESLIZAMIENTO, CONFIRMADOS LOS DATOS POR PARTE DEL ALCALDE DE JAMBALO CAUCA DE LA EMERGENCIA OCURRIDA EL DIA DE AYER, EL RESULTADO FINAL FUERON 2 VICTIMAS DE UN MATRIMONIO DE APROXIMADAMENTE 55 AÑOS DE EDAD Y LA PERSONA DESAPARECIDA SE ENCONTRO CON VIDA.</t>
  </si>
  <si>
    <t>CRECIENTE SOBRE EL PUENTE TOGUI, ARRASTRO JOVE DE 14 AÑOS DE EDAD, EL CUERPO FUE RECUPERADO, EN EL SECTOR COMPRENDIDO ENTRE EL PEAJE Y LA CUMBRE, INFORMO CREPAD DE BOYACA.</t>
  </si>
  <si>
    <t xml:space="preserve">EMERGENCIA PADILLA CAUCA A CONSECUENCIA DEL FUERTE INVIERNO SEGUN ACTA DE EVALUACION DE DAÑOS 008 DEL 29 DE NOVIEMBRE DE 2011    SE EVALUAN LAS SIGUIENTES FECTACIONES: 40 FAMILIAS DAMNIDFICADAS EN VIVIENDA, ESTAS FUERON DESTECHADAS Y DAÑOS EN ENSERES.
5 CENTROS EDUCATIVOS (JOSE ILARIO LOPEZ, RIO NEGRO, EL TETILLO, CUERNAVACA Y ALMIRANTE PADILLA) DAÑOS EN TECHOS (ETERNIT), DAÑOS EN LA INFRAESTRUCTURA DEL CIELO RASO CONSTRUIDO EN ICOPOR.
404 AGRICULTORES DAMNIFICADOS EN CULTIVOS DE (PLATANO, YUCA, MAIZ, GUADUALES, CACAO, ARBOLES FRUTALES, FINCAS TRADICIONALES Y OTROS) INFORMA EDITH JANETH PAZ LENIS
COORDINADORA CREPAD
</t>
  </si>
  <si>
    <t>INFORMA  LA DIRECTORA DEL CREPAD DEL HUILA  DE  AFECTACION EN LA VIA POR DESLIZAMIENTO. EN LA VIA QUE CONDUCE DE PITAL A LA  VEREDA  ALTOS DE LIBANO.</t>
  </si>
  <si>
    <t>INFORMA  LA DIRECTORA DEL CREPAD DEL HUILA  DE  COLAPSO PARCIAL DE UNA MINA ILEGAL EN LA VEREDA EL PRADO. LA PERSONA  FUE  ATENDIDA POR PERSONAL DE DEFENSA CIVIL Y HOSPITAL MUNICIPAL CON LESIONES EN EXTREMIDADES.</t>
  </si>
  <si>
    <t>CORREGIMIENTO DE GUACHICO MUNICIPIO DE LA VEGA 100 FAMILIAS EVACUADAS POR DESLIZAMIENTO EN VIVIENDAS. HAY 3 VIVIENDAS DESTRUIDAS, 3 HERIDOS POR COLAPSO DE UNA DE LAS VIVIENDAS. LAS 100 FAMILIAS ESTAN ALBERGADAS EN UNA ESCUELA. INFOMA LA  DIRECTORA DEL CREPAD DE CAUCA EDITH LENIS VIA CORREO.</t>
  </si>
  <si>
    <t>RESCATADAS 20 PERSONAS AISLADAS POR DESBORDAMIENTO DEL RIO MAGDALENA. REPORTA D.C.C. SEÑOR ALIRIO CARRILLO.</t>
  </si>
  <si>
    <t>SE ROMPIO EL TAMBRE DE LA LAGUNA DE FUQUENE, EN LA VEREDA: CHINZAQUE, HAY 10 FAMILIAS EN RIESGO, DAÑOS EN CULTIVOS, PASTOS, GANADO, AFECTADO EL ALCANTARRILLADO, INFORMO CREPAD DE CUNDINAMARCA, VÌA CORREO ELÈCTRONICO. INUNDACIONES POR FUERTES LLUVIAS, EN LAS VEREDAS: CHINZAQUE, LUIS CARLOS GALÀN, SECTOR. GUATACUY, AFECTACIÒN EN CULTIVOS DE: PAN COGER, ALVERJA, MAÌZ, PAPA, AVENA, AFECTACIÒN EN GANADO Y PASTOS,   INFORMO, CREPAD DE CUNDINAMARCA, VÌA CORREO ELÈCTRONICO.</t>
  </si>
  <si>
    <t xml:space="preserve">INUNDACIONES POR AGUAS LLUVIAS, AFECTACIÒN EN PASTOS Y GANADO, VEREDAS: VILLA MARÌA, EL PALMAR, NIBAQUITA, VILLA DIANA Y LAS INSTALACIONES DE AGROQUIMICOS, INFORMO, CREPAD DE CUNDINAMARCA, VÌA CORREO ELÈCTRONICO. EL RIO BOGOTA  ROMPIO EL JARILLON EN EL SECTOR CERRITO  Y COMIENZAN A  INUNDARSE  LOS PREDIOS DE LA  CAR   Y JARDINES DE  BACATA. CLOPAD ATIENDE  EMERGENCIA. REPORTE  CREPAD CUNDINAMARCA CORREO ELECTRONICO </t>
  </si>
  <si>
    <t>ORREGIMIENTO DE LA HORMIGA. CINUNDACIONES POR FUERTES LLUVIAS, INSPECCIÒN: JORDÀN GUISIA, AFECTACIÒN EN CULTIVOS DE: ARROZ, YUCA, MAÌZ, 10 FAMILIAS EVACUADAS, QUE SE ENCONTRABAN EN LOS TECHOS DE SUS VIVIENDAS, INFORMO, D.C.C, SECCIONAL PUTUMAYO.</t>
  </si>
  <si>
    <t>24 ROLLOS DE MANGUERA DE 1/2, 43 ARIETES, 9 TANQUES DE 500 LTRS, 9 TAZAS SANITARIAS. ADICIONALMETE PAR A LA RECONTRUCCION DE VIVIENDAS 270 LAMINAS DE ZINC DE 3 MTS, 2 ARROBAS DE PUNTILLA SURTIDA, 80 BOLSAS DE PUNTILLA PARA ZINC DE 2", 200 VARILLAS DE 3/8", 3000 LADRILLOS FAROL, 18 TUBOS DE 2", 9 TUBOS DE 3", 9 TUBOS DE 1", 30 TUBOS DE 1/2", , 230 BULTOS DE CEMENTO POR VALOR DE $19.419.310</t>
  </si>
  <si>
    <t>VEREDAS MUÑOZ, PALMITO, ARGENTINA, LOS CEDROS, LAS ASIAS, VATICANO Y KM 18. REPORTE DEL CREPAD. 50 TANQUES DE 250 LTS</t>
  </si>
  <si>
    <t>INFORMA EL CREPAD DE CORDOBA QUE  EN EL MUNICIPIO DE MONTERIA  CORREGIMIENTO DE VIDAL SE PRESENTARON INUDACIONES A CAUSA DE LA CRECIENTE DEL RIO SINU AFECTANDO A  LA POBLACION DE LA MARGEN IZQUIERDA DEL CORREIGIMIENTO DONDE HAY AFECTADAS POR LO MENOS UNAS 80 FAMILIAS, EN EL SITIO SE  ENCUENTRA  PERSONAL DE DEFENSA CIVIL APOYANDO A LA  COMUNIDAD Y REALIZANDO CENSOS. EL VALOR DE OTROS CORRESPONDE A 30 PARES DE BOTAS.</t>
  </si>
  <si>
    <t>APOYO GLOBAL PARA EL DEPARTAMENTO INCLUYENDO RIOHACHA</t>
  </si>
  <si>
    <t>DESBORDAMIENTO DEL RÌO BOGOTA Y   FILTRACIÒN DE AGUAS NEGRAS,  AFECTADOS LOS BARRIOS RIBEREÑOS DE LAS  LOCALIDADES DE  SUBA, ENGATIVA, KENNEDY Y BOSA, EN ESTOS SECTORES  SE  HA  PRESENTADO REBOSE  DE  ALCANTARILLADO, ORGANISMOS SE  SOCORRO  Y ACUEDUCTO DE  BOGOTA COLABORAN EN ATENCION A LA  EMERGENCIA. REPORTE  SOCORRO NACIONALSR. RENE  VELASQUEZ TEL 4376369, DEFENSA  CIVIL BOGOTA  SR. EDERLEY TORRES CEL. 3118986019LOCALIDAD DE KENNEDY: SECTORES. BELLA VISTA, TIERRA BUENA, LOCALIDAD DE BOSA, SECTORES: ALAMEDA DEL RÌO, SANTIAGO DE LAS ATALAYAS, LOCALIDAD DE CIUDAD BOLIVAR, BARRIO: CORDILLERA, INFORMO SR. EDERLEY TORRES, D.C.C, SECCIONAL BOGOTÀ. EL VALOR DE OTROS CORRESPONDEA 4000 RACIONES, 100 PALAS Y 100 PICAS.</t>
  </si>
  <si>
    <t>INFORMA EL CREPAD DE SANTANDER DE AFECTACIÓN POR DESLIZAMIENTO  EL CUAL OCASIONO ACCIDENTE DE BUS. LESIONADOS BLANCA SUSANA ROZO DÍAS DE 29 AÑOS CON UNA FRACTURA EN SU BRAZO DERECHO Y QUIEN ALCANZÓ A SALIR DEL BUS CON SUS TRES HIJOS, DAYANA ALEJANDRA MEDINA ROZO, DE 11 AÑOS; DARLY NATALIA MEDINA ROZO, 9 AÑOS; Y PAULA VALENTINA MEDINA ROZO. ELLAS FUERON ATENDIDAS EN LA CLÍNICA LA MERCED EN DONDE SON DADAS DE ALTA. IRMA GUTIÉRREZ, SAMUEL VALBUENA, ALIRIO GUTIÉRREZ, FALLECIDOS MANUEL CASTELLANOS, DIEGO CASTELLANOS (20AÑOS),MODESTO ANAYA, JORGE SÁNCHEZ (POLICÍA),ROCIÓ RUIZ (20AÑOS),JENNY MORALES  (19 AÑOS),EL BUS  DE LA  EMPRESA  COOMULSER-CARIBE.</t>
  </si>
  <si>
    <t xml:space="preserve">INFORMA LA COORDINADOR DEL CLOPAD DE NEIVA ( DUSSÁN CÁCERES) QUE LOS BARRIOS VECINAS AL RÍO MAGDALENA, COMO CARACOLÍ, GUILLERMO PLAZAS ALCID, VILLA COLOMBIA, ROJAS TRUJILLO, REPORTAN  INUNDACIONES TRAS EL DESBORDAMIENTO DEL RIO . SE AFECTARON POR  LA CRECIENTE DEL RIO MAGDALENA Y POR LLUVIAS DE ESTOS BARRIOS SE REALIZÓ EVACUACIÓN AL COLEGIO TAFUR CHARRY DE 17 FAMILIAS Y OTRAS 45 FAMILIAS SERÁN UBICADAS EN EL COLISEO PLAZA ALCID.EN EL BARRIO EL TRIÁNGULO SE AFECTARON 3 FAMILIAS POR CRECIENTE SÚBITA DEL RIO MAGDALENA, LAS CUALES  SE  ALOJARON  EN EL SALÓN COMUNAL DEL BARRIO......LA CRECIENTE QUE SE PRESENTÓ EN LA BOCATOMA EL GUAYABO ARRASÓ CON PARTE DE LA COMPUERTA DEL CONDUCTO ALCANTARILLADO Y ENTRÓ A LAS REDES BARRO Y PALOS. POR LO TANTO SE  SUSPENDERÁ EL SERVICIO TEMPORALMENTE MIENTRAS SE REALIZAN LOS  TRABAJOS DE REPARACIÓN.
</t>
  </si>
  <si>
    <t>CRUZ ROJA SECCIONAL ANTIOQUIA INFORMA QUE EN EL BARRIO EL PESEBRE DE LA COMUNA 13. HUBO UN DESLIZAMIENTO DE TIERRA COMO CONSECUENCIA DE LAS FUERTES LLUVIAS DE LAS ÚLTIMAS HORAS. SEGÚN EL REPORTE PRELIMINAR DE LOS ORGANISMOS DE SOCORRO HAY TRES VIVIENDAS DESTRUIDAS Y DE 20 DESALOJADAS. REALIZAN AUN CENSOS  LOS  ORGANISMOS DE SOCORRO EN EL SITIO CRUZ ROJA DEFENSA CIVIL, BOMBEROS, POLICÍA.</t>
  </si>
  <si>
    <t>DESBORDAMIENTO DEL RIO BOGOTA, AFECTADOS LOS BARRIOS:  PRIMERO DE MAYO, LA BARRIGONA, LAS ISLAS, REPORTA CREPAD CUNDINAMARCA.</t>
  </si>
  <si>
    <t>COLAPSO DE UN VALLADO EN EL SECTOR LA SABANA-REPORTA CREPAD CUNDINAMARCA.</t>
  </si>
  <si>
    <t>BOQUETE DEL JARILLON Y NIVEL ALTO DEL RIO BOGOTA INUNDADAS 40 HECTAREAS DE PASTOS MEJORADOS  Y CULTIVOS DE HORTALIZA-ACCIONES SE REPARA EL BOQUETE CON PILOTES, AVANCE DEL 50% . REPORTA CREPAD CUNDINAMARCA.</t>
  </si>
  <si>
    <t>DESLIZAMIENTO AFECTO LA VEREDA VERACRUZ  POR ACCION DEL RIO LORO. PENDIENTE INFORME DE AFECTACION. INFORMA CREPAD HUILA.</t>
  </si>
  <si>
    <t>UNA PERSONA  ATRAPADA      EN EL SITIO CONOCIDO COMO MINAS DEL ROSARIO-INFORMA CREPAD HUILA.</t>
  </si>
  <si>
    <t>PENDIENTE INSPECCION AL SITIO                       LA TORTUGA Y LA SOLEDAD  PARA CONSOLIDAR CENSOS DE AFECTACION-INFORMA CREPAD HUILA CORREO ELECTRONICO.</t>
  </si>
  <si>
    <t>DESLIZAMIENTO SOBRE LA VIA PITALITO-TIMANA SITIO TOPACIO- PASO RESTRINGIDO. INFORMA CREPAD  HUILA CORREO ELECTRONICO-MAQUINARIA EN EL SITIO.</t>
  </si>
  <si>
    <t>DESLIZAMIENTO QUE AFECTO EL ACUEDUCTO DEL MUNICIPIO -SIN SERVICIO DE AGUA POTABLE SE ENCUENTRA LA  COMUNIDAD DEL SECTOR-REPORTA COMITÉ REGIONAL HUILA.</t>
  </si>
  <si>
    <t>DESLIZAMIENTO QUE AFECTO LA VEREDA SOAQUIRA PENDIENTE INFORME DE AFECTACION-REPORTA D.C.C. SEÑOR OSCAR RODRIGUEZ.</t>
  </si>
  <si>
    <t>RUPTURA DEL MURO DE CONTENCION SAN FRANCISCO  AFECTO LAS VEREDAS SAN FRANCISCO, CAMPO ALEGRE, Y JOBO POR DESBORDAMIENTO DEL RIO MAGDALENA. REPORTA D.C.C. SEÑOR OSCAR RODRIGUEZ.</t>
  </si>
  <si>
    <t>DESBORDAMIENTO DEL RIO MANZANARES    AFECTO LOS BARRIOS: MALVINAS, OCHO DE FEBRERO, SIMON BOLIVAR, LAS VEGAS Y EL OASIS, REPORTA D.C.C. DIRECCION NACIONAL.</t>
  </si>
  <si>
    <t>INUNDACIONES Y DESLIZAMIENTOS POR DESBORDAMIENTO DE LAS QUEBRADAS: SAN JUAN Y SANTA ROSA , EN LOS BARRIOS: LOS PINOS, INVASIÒN EL PESEBRE, SANTA ROSA, 1 DE MAYO, SAN VICENTE INFORMO EL CREPAD DEL TOLIMA. . AFECTADOS LOS BARRIOS: SANTA ROSA, 1 DE MAYO, SAN VICENTE Y LA VEREDA LA HONDA. EN RIESGO 17 FAMILIAS POR DESLIZAMIENTO- AFECTADA POR DESLIZAMIENTO LA VIA  LIBANO-VEREDA  CONVENIO  INFORMA  COMITÉ REGIONAL. APOYO DEL FNC MEDIANTE GIRO DIRECTO AL CLOPADPARA REHABILITACION DE LA RED VIAL</t>
  </si>
  <si>
    <t>DESLIZAMIENTO EN LA VEREDA: AGUACATAL, FINCA: LA COREA, QUE ARRASTRO VEHICULO, 1 MUERTO DE NOMBRE: JOSÈ JAIR HOLGUIN GIRALDO DE 19 AÑOS DE EDAD, DESAPARECIDOS: SERGIO GRAJALES, DE16 AÑOS;  DIOSVEL PÉREZ, CONDUCTOR, DE 22 AÑOS Y EL NIÑO, DE 9 AÑOS, JORGE IVÁN AGUIRRE.  INFORMA CREPAD DE CALDAS DR. FELIX GIRALDO.</t>
  </si>
  <si>
    <t>DESLIZAMIENTO SOBRE VÌA PASTO- IPIALES KM: 29 +700, UN MOTOCICLISTA FALLECIO, LA VIA ESTÀ CERRADA, INFORMO CREPAD DE NARIÑO,DR. JORGE TOVAR.</t>
  </si>
  <si>
    <t>AVALANCHA DE RÌO CHULES, 1 PERSONA DESAPARECIDA, AFECTADAS LAS COMUNIDADES. TIGRERAS, ANAIME, TABACO, RUBIO, CHULES, COMEJENES, AFECTACIÒN EN CULTIVOS, VIVIENDAS DESTRUIDAS POR DETERMINAR, REALIZAN EDAN,  INFORMO CREPAD DE LA GUAJIRA, DR. LEONARDO IMITOLA.</t>
  </si>
  <si>
    <t>INUNDACIÒN, 3 VIAS AFECTADAS ASI: CERRO-PEDRAZA, CERRO-CONCORDIA Y CERRO EL PIÑÓN INCOMUNICADOS, INFORMO CREPAD DEL MAGDALENA.</t>
  </si>
  <si>
    <t>INUNDACIONES, POR DESBORDAMIENTO DEL RÌO CAUCA SECTOR: .PUNTA BRAVA, REALIZAN EDAN, SECRETARIO DE GOBIERNO ENTREGA CARPAS,  INFORMO CREPAD DEL VALLE, DRA. MELBA LYNER.</t>
  </si>
  <si>
    <t>DESLIZAMIENTO AFECTO EL  ACUEDUCTO REGIONAL PIENDAMO- MORALES, 30.000 HABITANTES DE LOS DOS MUNICIPIO SIN SERVICIO DE AGUA HACE 3 DIAS-AFECTADAS LAS VIAS-PIENDAMO-SILVIA CON  6 DESLIZAMIENTOS-PIENDAMO-POPAYAN 2 DESLIZAMIENTOS-POPAYAN -CALI. AFECTACION A VIAS VEREDALES EN LOS MUNICIPIOS DE PIENDAMO-CAJIBIO-MORALES-INFORMA MAYOR CORNEJO CEL: 3203025248.</t>
  </si>
  <si>
    <t>DESLIZAMIENTO DEL CERRO AFECTO LA COMUNIDAD DEL BARRIO SAN RAFAEL AVENIDA 1 DE MAYO CON CALLE 29-LAS FAMILIAS FUERON UBICADAS EN LA ESCUELA SAN RAFAEL -INFORMA CREPAD NORTE DE SANTANDER DR. CARLOS ALDEMAR GARCIA.</t>
  </si>
  <si>
    <t>DESLIZAMIENTO EN LA VEREDA. EL SALADO, PERSONAS FALLECIDAS:
1.    MARÍA MERCEDES VILLA DE 48 AÑOS.
2.    ZULEMA ORTIZ DE 40 AÑOS.
3.    MARÍA ORTIZ DE 42 AÑOS.
4.    LEIDY JOHANA TANGARIFE DE 20 AÑOS.
5.    DIANA SOTO DE 19 AÑOS.
6.    LUISA FERNANDA ORTIZ 17 AÑOS. 
7.    ERIKA ORTIZ DE 10 AÑOS.
PERSONAS HERIDAS   
1.    ALVEIRO  TANGARIFE VILLA DE 25 AÑOS, INFORMO CREPAD DE CUNDINAMARCA, VÌA CORREO ELÈCTRONICO.</t>
  </si>
  <si>
    <t>AFECTACION EN LA  VIA  SAN SEBASTIAN-GUAMAL Y SAN SEBASTIAN SANTA  ANA. REPORTE  CREPAD MAGDALENA CORREO ELECTRONICO.</t>
  </si>
  <si>
    <t>LA COMUNICACIÓN CON EL MUNICIPIO SE HACE  SOLO  POR  VIA  FLUVIAL. REPORTE  CREPAD MAGDALENA CORREO ELECTRONICO.</t>
  </si>
  <si>
    <t>SAN BARBARA -CUINDINAMARCA,  REPORTE  CREPAD MAGDALENA CORREO ELECTRONICO.</t>
  </si>
  <si>
    <t>AFECTADOS SECTORES DE  BOMBA Y BAHIA  HONDA.REPORTE  CREPAD MAGDALENA CORREO ELECTRONICO.</t>
  </si>
  <si>
    <t>INUNDACION EN SECTOR  BALSAMO , CHENGUE  Y BELLAVISTA.REPORTE  CREPAD MAGDALENA CORREO ELECTRONICO.</t>
  </si>
  <si>
    <t>REPORTE  CREPAD MAGDALENA CORREO ELECTRONICO.</t>
  </si>
  <si>
    <t>AVALANCHA  DE LOS RIOS TAPIAS, CHOLES,  UNA PERSONA  FALLECIDA , NOMBRE  VICTOR  NICOLAS  AMAYA  CAMPUZANO ESTA  PERSONA  SE  ENCONTRABA  DESAPARECIDA DESDE EL DIA  07/12/2011, AFECTADAS  LAS  COMUNIDADES DE  ANAIME, TIGRERAS,  CHOLES, TABACO RUBIO,  COMEJENES,  AFECTACION EN CULTIVOS, REALIZAN EDAN .  REPORTE  CREPAD LA  GUAJIRA  DR. LEONARDO IMITOLA CEL, 3202406953</t>
  </si>
  <si>
    <t xml:space="preserve">DESBORDAMIENTO DEL RIO MAGDALENA  AFECTANDO 30 BARRIOS. SE  ADELANTAN CENSOS REPORTE  SOCORRO NACIONAL SR. RENE  VELASQUEZ </t>
  </si>
  <si>
    <t>INUNDACION EN EL CASCO URBANO. REPORTE  CREPAD RISARALDA  CORREO ELECTRONICO</t>
  </si>
  <si>
    <t>DESLIZAMIENTO EN LA VEREDA  FARALLONES. REPORTE  CREPAD RISARALDA  CORREO ELECTRONICO</t>
  </si>
  <si>
    <t>AFECTADAS LAS VIAS  A  SAN ANTONIO DE  CHAMI, VIS  COSTA RICA VIA  A  DOSQUEBRADAS. REPORTE  CREPAD RISARALDA  CORREO ELECTRONICO</t>
  </si>
  <si>
    <t>INUNDACION EN EL CORREGIMIENTO CAIMALITO. REPORTE  CREPAD RISARALDA  CORREO ELECTRONICO</t>
  </si>
  <si>
    <t>AFECTADA LA  VIA  A LA  VEREDA  PALO BLANCO.REPORTE  CREPAD RISARALDA  CORREO ELECTRONICO</t>
  </si>
  <si>
    <t>DESLIZAMIENTO EN LA VEREDA PERALONSO AFECTANDO EL ACUEDUCTO VEREDAL. REPORTE  CREPAD RISARALDA  CORREO ELECTRONICO</t>
  </si>
  <si>
    <t>AFECTADAS LAS VIAS  A LAS VEREDAS  SANTA  HELENA  Y AGUAS  CLARAS. REPORTE  CREPAD RISARALDA  CORREO ELECTRONICO</t>
  </si>
  <si>
    <t>INUNDACION POR  RIO MAGDALENA  EN LAS VEREDAS  PIEDRAS  NEGRAS Y VEREDA  CENDALES. REPORTE  SOCORRO NACIONAL SR. RENE  VELASQUEZ TE. 4376369</t>
  </si>
  <si>
    <t>DESLIZAMIENTO EN VEREDAS  EL TIGRE Y LA CAPILLA  DEJANDO INCOMUNICADAS ESTAS  VEREDAS  CON EL CASCO URBANO. REPORTE  DEFENSA  CIVIL. SR. ALIRIO CARRILLO TEL 3199000. DESLIZAMIENTO AFECTO LAS  VIAS  A LA  VEREDA  EL TIGRE, LA PLAYA, ALTAMIRA Y LOS MONOS.REPORTE  CREPAD RISARALDA  CORREO ELECTRONICO</t>
  </si>
  <si>
    <t>ALERTA ROJA  POR AUMENTO DEL CAUDAL DEL RIO CAUCA EN LA ZONA URBANA DEL MUNICIPIO DE LA VIRGINIA. REPORTA D.C.C. SEÑOR OSCAR RODRIGUEZ.. INUNDACION EN LOS BARRIOS SAN CARLOS, EL PROGRESO, ALFONSO LOPEZ, LUIS CARLOS GALAN, BUENOS AIRES, LA PLAYA, SAN ANTONIO, EL EDEN, SAN FERNANDO, LAS AMERICAS. REPORTE  CREPAD RISARALDA  CORREO ELECTRONICO}</t>
  </si>
  <si>
    <t>INFORMA EL CREPAD DEL HUILA MEDIANTE CORREO ELETRONICO, EN EL  MUNICIPIO DE SALADOBLANCO: DESLIZAMIENTO, VEREDA LAS MORAS- PÉRDIDA DE 7.000 PALOS DE CAFÉ, 6 ½  HECTÁREA DE CAFÉ, 3 FAMILIAS AFECTADAS LAS CUALES SE EVACUAN POR PREVENCIÓN.</t>
  </si>
  <si>
    <t>INFORMA EL CREPAD DEL HUILA MEDIANTE CORREO MUNICIPIO DE VILLA VIEJA: DESLIZAMIENTO, VÍA VILLAVIEJA - NEIVA KM 2 Y EN POLONIA CERCA A LA QUEBRADA ACEITE –HABILITADO UN CARRIL.</t>
  </si>
  <si>
    <t>INFORMA EL CREPAD DEL HUILA MEDIANTE CORREO MUNICIPIO DE GIGANTE: DESLIZAMIENTO, LA VÍA GARZÓN - GIGANTE CERCA AL RIO LORO VÍA.</t>
  </si>
  <si>
    <t>INFORMA EL CRPAD DEL HUILA MUNICIPIO DE NEIVA: INUNDACIÓN BARRIO EL TRIÁNGULO POR  CRECIENTE DEL RIO MAGDALENA,  EVACUADAS 3 FAMILIAS, UBICADAS   POLIDEPORTIVO METROPOLITANO DEL BARRIO LA RIOJA</t>
  </si>
  <si>
    <t xml:space="preserve">INFORMA VIA CORREO ELETRONICO PARQUES NACIONALES NATURALES DE COLOMBIA
 CHAINA FINCA DEL SEÑOR MARIO PÉREZ DENTRO DELÁREA PROTEGIDA SE OBSERVO UN DERRUMBE EL CUAL OBSTACULIZA EL PASO POR ELCAMINO BOQUERÓN – CABAÑA CHAINA- RIO ABAJO, ESTE CAUSO ALGUNA AFECTACIÓN MÍNIMA AL CAUCE DE LA QUEBRADA CHAINA DEBIDO A QUE EL MATERIAL QUE SEDESPRENDIÓ DE LA MONTAÑA QUEDO EN EL CALLEJÓN O PASO DEL CAMINO, PERO DEVOLVER A PRESENTARSE UN NUEVO DERRUMBE EN ESTE SITIO EL CAUCE DE LA QUEBRADA SERIA OBSTACULIZADO PONIENDO EN RIESGO EL SUMINISTRO DE AGUA PARA ALGUNOS ACUEDUCTOS CUYA CAPTACIÓN ESTA EN ESTE SECTOR.
</t>
  </si>
  <si>
    <t xml:space="preserve">PARQUES NACIONALES NATURALES DE COLOMBIA EN EL SECTOR DE MORRO NEGRO, POR DETRÁS DE LA ESCUELA ANTIGUA DE LA VEREDA RIO ABAJO DEL MUNICIPIO DE CHIQUIZA SE ENCONTRÓ UN DESLIZAMIENTO DE ROCAS, ÁRBOLES, TIERRA Y LODO, FORMANDO UN LEVE REPRESAMIENTO DEL RIO CANE – IGUAQUE, ESTE REPRESAMIENTO PUDO SER MAYOR, PERO DEBIDO A ALGUNOS MUROS DE PIEDRA
CONSTRUIDOS EN UN PREDIO Y A LOS ÁRBOLES QUE SE ENCUENTRAN A LA ORILLA DEL RIO, EL DERRUMBE SE ESPARCIÓ, PERDIÓ FUERZA Y FINALMENTE SE DETUVO, NO CAUSANDO MAYOR INTERVENCIÓN EN EL CAUCE DEL RIO. ESTE DERRUMBE SE ENCUENTRA FUERA DEL SFF IGUAQUE (EN SU ZONA AMORTIGUADORA INMEDIATA) Y FUE CAUSADO POR EL DESPRENDIMIENTO DE LA MONTAÑA COGIENDO EL CAUCE DE LA QUEBRADA CUYO NACIMIENTO SE UBICA EN EL MISMO CERRO
</t>
  </si>
  <si>
    <t xml:space="preserve">CREPAD DE NORTE DE SANTANDER CARLOS ALDEMAR Y ECOPETROL INFORMA QUE AYER, 11 DE DICIEMBRE DE 2011, A LAS 10:35 DE LA MAÑANA, SE DETECTÓ UNA RUPTURA EN EL OLEODUCTO CAÑO LIMÓN-COVEÑAS EN EL KILÓMETRO 231+080,TRAMO 32 PREDIO EL PEDREGAL, VEREDA CUÉLLAR, DEL MUNICIPIO DE CHINÁCOTA, DEPARTAMENTO NORTE DE SANTANDER, CUYAS CAUSAS SON MATERIA DE INVESTIGACIÓN.  ECOPETROL INSTALÓ UNA BARRERA PARA EVITAR EL PASO DEL CRUDO, PERO DE IGUAL FORMA  PASÓ AL RÍO. EL OLEODUCTO NO ESTABA OPERANDO EN EL MOMENTO DE LA EMERGENCIA, NO OBSTANTE, EL CRUDO AFECTÓ LA QUEBRADA ISCALÁ QUE DRENA SUS AGUAS AL RÍO PAMPLONITA.
ORGANISMOS DE EMERGENCIA HAN ACTIVADO UNA TRAMPA DE GRASA EN EL SECTOR DE LA GARITA, A 15 MINUTOS DE CÚCUTA.
EN REUNIÓN DEL COMITÉ REGIONAL DE EMERGENCIAS LA NOCHE ANTERIOR SE ACORDÓ, 1. ECOPETROL  PONDRÁ A DISPOSICIÓN 14 CARROS TANQUES CON AGUA POTABLE, LOS CUALES ROTARAN  EN 29 PUNTOS PARA ABASTECER A LA COMUNIDAD QUE SE LLEGUE A AFECTAR. 2. ECOPETROL ENVIARA UN VEHÍCULO  LABORATORIO EL CUAL  ESTARÁ TOMANDO MUESTRAS  EN DIFERENTES SITIOS PARA ESTABLECER LA AFECTACIÓN DE CONTAMINACIÓN EN CADA SITIO.
</t>
  </si>
  <si>
    <t>EN LA VEREDA EL AGRADO, FINCA CAMPO HERMOSO, QUEBRADA EL ROCIÓ; SE PRESENTÓ UN DESLIZAMIENTO DE TIERRA QUE TIENE EN ALTO RIESGO A UNA FAMILIA. EL CLOPAD DEL MUNICIPIO, EVALÚA LA SITUACIÓN AL MEDIO DÍA DE HOY; PARA VERIFICAR LAS ACCIONES A SEGUIR, SE SOLICITO A LA  FAMILIA  SALIR DEL SITIO SE  UBICARON DONDE   VECINOS. TAMBIEN DESLIZAMIENTO SOBRE LA VIA PRINCIPAL  SALENTO-ARMENIA EN EL SECTOR LA BALASTRERA OBSTRUIDO EL 50% DE LA CALZADA-POR CRECIENTE DEL RIO QUINDIO EL CLOPAD EVALÚA LA EVACUACIÓN DE 35 FAMILIAS.APOYO DEL FNC MEDIANTE GIRO DIRECTO AL CLOPAD PARA ADQUISICION DE COMBUSTIBLE PARA LA RECOLECCION DE DERRUMBES Y RECONSTRUCCION DE VIAS TERIARIAS VEREDAS EL AGRADO, NAVARCO BAJO, NAVARCO ALTO, LLANO GRANDE, ARRAYANAL - SALENTO, LA NUBIA, PALESTINA, CAMINO NACIONAL SIERRA MORENA.</t>
  </si>
  <si>
    <t>AVALANCHA, AGRIETAMIENTO Y DESLIZAMIENTO, SE PRESENTO EN LA VEREDA: EL ROBLE, CORREGIMIENTO DE ALBANIA, LAS FAMILIAS FUERON EVACUADAS AL POLIDEPORTIVO, INFORMO CREPAD DEL CAUCA, DRA. EDITH PAZ,  SR. ALCALDE, DR. LUIS ALFREDO MOLANO, VÌA CORREO ELÈCTRONICO.</t>
  </si>
  <si>
    <t>DESBORDAMIENTO DEL ARROYO PICHILIN, CORREGIMIENTO: CARACOL, SECTOR. LA PLAZA, INFORMO D.C.C, SECCIONAL SUCRE.</t>
  </si>
  <si>
    <t>INFORMA EL CREPAD DEL HUILA DESLIZAMIENTO DE LA BANCA VÍA GUADALUPE –VEREDA CORROZAL, DESLIZÁNDOSE UNA VOLQUETA DE LA ADMINISTRACIÓN MUNICIPAL, CAE 15 MTS DONDE DEJO UNA PERSONA FALLECIDA (SEÑOR PABLO ANTONIO CRUZ DE 30 AÑOS DE EDAD)  Y UNA PERSONA HERIDA CON MÚLTIPLES TRAUMA</t>
  </si>
  <si>
    <t xml:space="preserve">INFORMA EL CREPAD DEL HUILA QUE EN EL MUNICIPIO DE ACEVEDO  SE PRESENTO UN  VENDAVAL, VEREDA EL CARMEN, 5 VIVIENDAS PERDIDA DEL TECHO.
</t>
  </si>
  <si>
    <t>INFORMA EL CREPAD DEL HUILA MUNICIPIO DE BARAYA: CAE UNA ROCA EN LA VÍA BARAYA TELLO  OBSTRUCCIÓN TOTAL.</t>
  </si>
  <si>
    <t>DESDORDAMIENTO DEL RÌO MAMEY, CURUAL, SECTORES: PENJAMO, CAIMANA, CORREGIMIENTO LAS FLORES, ESTÀ EL 90% DE LA POBLACIÒN INUNDADO, REALIZAN EDAN, INFORMO CREPAD DE LA GUAJIRA, DR. LEONARDO IMITOLA.. DESBORDAMIENTO DEL RÌO NEGRO, EN LA VEREDA: RÌO NEGRO, CORREGIMIENTO DE: PALOMINO. INFORMO D.C.C.</t>
  </si>
  <si>
    <t>VALOR DE OTROS CORESPONDE A 20 CARRETILLAS</t>
  </si>
  <si>
    <t>DESLIZAMIENTO EN LA VEREDA: PEDREGAL, CORREGIMIENTO. SANTA CRUZ, LAS FAMILIAS FUERON EVACUADAS A LA CASA DE LA CULTURA DEL BORDO PATIA, INFORMO CREPAD DEL CAUCA, DRA. EDITH PAZ.</t>
  </si>
  <si>
    <t>INUNDACION POR EL EMBALSE EL GUAJARO AFECTADOS LOS BARRIOS: LAS PALMAS, 17 DE AGOSTO.  INFORMA D.C.C. DIRECCION NACIONAL SEÑOR LUIS ALBERTO BOTIA.</t>
  </si>
  <si>
    <t>DESLIZAMIENTO OCASIONADO POR ACCION DE LA QUEBRADA MONIQUIRA, AFECTADAS LAS VEREDAS: PILAR Y MONIQUIRA. INFORMA D.C.C SEÑOR LUIS ALBERTO BOTIA.</t>
  </si>
  <si>
    <t>AFECTACION POR DESBORDAMIENTO DEL RIO MAGDALENA, AFECTADO EL CORREGIMIENTO SAN FRANCISCO DE LOBA.  INFORMA D.C.C SEÑOR LUIS ALBERTO BOTIA.</t>
  </si>
  <si>
    <t xml:space="preserve">DESBORDAMIENTO DEL RÌO SAN JORGE, CAÑOS Y CIENAGAS, VEREDAS: TOTUMAL, PALMARITO, LA SIERPE, MIRA FLORES, CORREDOR, SANTA ELENA,
EL PLAYÓN, CORNELIANO, EL INDIO, LA BARBARÁ, INFORMO CREPAD DE SUCRE, DR. JOSÈ NICOLAS VEGA.
</t>
  </si>
  <si>
    <t xml:space="preserve">DESBORDAMIENTO DEL RÌO SAN JORGE, CAÑOS Y CIENAGAS, BARRIOS: CALANCALA, SAN JOSÉ, LA LATICA, MIRAFLORES, LAS CANDELARIAS, PUERTO LÓPEZ, CAMINO GANADERO, PUERTO SAN JOSÉ
CENTRO- COMERCIO – CHIPILIN, NUEVO MÉXICO, KENEDY, LOS ÁNGELES, SAN RAFAEL 1, EL LEÑAL
MARIANO ÁLVAREZ.                                                                          VEREDAS: CUENCA, CAYO DE LA CRUZ, LA FLORIDA
LA GLORIA, LAS FLORES, CEJA LARGA, EL TORNO
EL LATAL, CAÑO CARATE, VILORIA, LA MANCHA
VENECIA 1 -2 Y 3, CAMPANITO, LA QUEBRADA
PALO ALTO, EL OASIS, GAMBOA, EL PITAL
LA COSTERA, LA METRA, CHOPÁ Y TUMBACOJO
LA ISLA , EL REPARO, PALOMAR – SANTA FE
COME SI LLEVA, MONOSOLO,  INFORMO CREPAD DE SUCRE, DR. JOSÈ NICOLAS VEGA.
</t>
  </si>
  <si>
    <t xml:space="preserve">DESBORDAMIENTO DEL RÌO SAN JORGE, CAÑOS Y CIENAGAS,   CABECERA MUNICIPAL BARRIOS:  MADRE BERNARDA, SECTOR HOSPITAL Y  CANIME.
ZONA RURAL:  AGUAS NEGRA, BERLÍN, EL BONGO
BARRANCA, PALITO MONTE.
INFORMO CREPAD DE SUCRE, DR. JOSÈ NICOLAS VEGA.
</t>
  </si>
  <si>
    <t>DESLIZAMIENTO, EN LA VEREDA: EL QUEMADO, KM.18, LAS PERSONAS FUERON RESCATADAS, POR LA COMUNIDAD Y TRASLADADAS A CENTROS ASISTENCIALES, A LA MADRUGADA DEL DÌA DE HOY MURIO EL SR. ZOILO OJEDA, INFORMO CREPAD DE SANTANDER, DRA. JUDITH MIRANDA.</t>
  </si>
  <si>
    <t>CRECIENTE SUBITA DE UNA QUEBRADA, VERIFICAN AFECTACIÒN EN VIVIENDAS, INFORMO CREPAD DE QUNDIO, DR. ARIEL OSPINA.</t>
  </si>
  <si>
    <t>DESBORDAMIENTO DEL RÌO VILLA NUEVA, REALIZAN EDAN INFORMO D.C.C. BARRIOS AFECTADOS: BLANCA MARTINEZ Y VILLA DEL ROSARIO-INFORMA D.C.C. DIRECCION NACIONAL SEÑOR LUIS ALBERTO BOTIA.</t>
  </si>
  <si>
    <t>DESBORDAMIENTO DE LOS RÌOS. CAUCA Y SAN JORGE, VEREDAS: GALINDO, CALZÓN BLANCO, EL CEDRO, EL CONGRESO, MOJANITA, ISLA GRANDE, CUCHAS II, SOLERA, CAÑO MUERTO, NUEVO MAMÓN
SAN JOSÉ, BUENA VISTA, OREJERO, FUNDACIÓN, CAMPO ALEGRE, SAN MATEO, SAN LUIS, NARIÑO, NARANJAL, SAN ISIDRO, PAMPANILLA, QUITA SUEÑO,
CHAPARRAL, HUERTA GRANDE, MACHETÓN, CARACUCHAS I, LA GUARIPA, ISLA DEL COCO, MONTERÍA, HATO NUEVO, MALAMBO, BAJO GRANDE,
LA VENTURA, GUAMALITO, EL GARZAL, ARBOLEDA, CONCEPCIÓN, EL SOCORRO, CACAGUAL, CAMAJÓN, LA REDONDA, PROVIDENCIA, PUEBLO NUEVO,  LA PALMA, LAS CRUCES, CUCHARAL, CUCHARITO, CALASTRABA, EL ENCANTO, CORDOBA, PAJONAL
SAN RAFAEL, SANTA ELENA.                                     BARRIOS:  SAN SALVADOR, AYACUCHO, PANAMÁ, SIETE DE MARZO, AVENIDA LOS ESTUDIANTES, JUAN XXIII, VILLA V, LAS DELICIAS, PLAZA NUEVA, ROMA, SANTA LUCIA, ALBARRADA, SANTANDER, MANO DE DIOS
ZULIA, MOJANA, INFORMO CREPAD DE SUCRE, DR. JOSÈ NICOLAS VEGA, ACTUALMENTE SE ENCUENTAN AFECTADOS LOS MPIOS DE. SAN MARCOS, SAN BENITO, MAJAGUAL, REALIZAN EDAN.
RESUKTARON AFECTADAS LAS MISMAS 7553 FAMILIAS</t>
  </si>
  <si>
    <t xml:space="preserve">DESBORDAMIENTO DEL RÌO SAN JORGE, CAÑOS  Y CIENAGAS, VEREDAS: LA CEIBA, EL LIMÓN, GUAYABAL,
CIÉNAGA NUEVA, CUIVA, LAS CHISPAS, JEGUA, LA MOLINA, GUANACA, LOMAS DE SAN JUAN, SAN MATÍAS, CAÑO VIEJO, EL CHUPO – CALLE NUEVA, LAS PARCELAS DE SANTAFÉ, BOCAS DE LA SAL, REMOLINOS, LA MINA, VENEZUELA, PASIFUERES, TOSNOVAN, CAÑO CAIMÁN, GUAMO
SAN JOSÉ DE LAS MELLAS, PALO ALTO, MOGUAN,
BELLO HORIZONTE, PUNTA DE BLANCO, DOÑA ANA
SANTIAGO APÓSTOL, INFORMO CREPAD DE SUCRE, DR. JOSÈ NICOLAS VEGA. RESULTARON AFCTADAS LA MISMAS 2927 FAMILIAS DEL ME DE OCTUBRE
</t>
  </si>
  <si>
    <t>DESBORDAMIENTO DE LOS RÌOS. CAUCA Y SAN JORGE, CABECERA MUNICIPAL:
EL MAMON, LA MEJÍA, EL ALFÉREZ, LOS OSSAS,
PUMPUMA, LA SOLERA, CAÑO LA LATA, CAÑO DIQUE
PUEBLO BÚHO, NUEVA ESTRELLA, NUEVA FE, LAS PAVITAS, AGUILAR, TOFEME, BARRO BLANCO
PUNTA ALFÉREZ., INFORMO CREPAD DE SUCRE, DR. JOSÈ NICOLAS VEGA.
RESULTARON NUEVAMENTE AFECTADAS LAS 1448 FAMILIAS DE OCTUBRE</t>
  </si>
  <si>
    <t xml:space="preserve">DESBORDAMIENTO DEL RÌO SAN JORGE, CAÑOS Y CIENAGAS, PARCELAS BAJO DE LA ALEGRÍA,
CHIJETE, BARRIOS:  SAN ROQUE,  LA CONCEPCIÓN
 CORAZÓN DE JESÚS,  VILLA VICTORIA,  TÍO AGUSTÍN.
 INFORMO CREPAD DE SUCRE, DR. JOSÈ NICOLAS VEGA.
RESULTARON AFECTADAS 194     
</t>
  </si>
  <si>
    <t xml:space="preserve">APOYO DEL FNC MEDIANTE GIRO DIRECTOAL CLOPAD PARA APOYAR LAS OBRAS DE RECONSTRUCCION Y PROTECCION DEL ACUEDUCTO INTERVEREDAL DE LA MARGEN DERECHA </t>
  </si>
  <si>
    <t>APOYO DEL FNC MEDIANTE GIRO DIRECTO AL CLOPAD PARA ALQUILER DE MAQUINARIA Y COMPRA DE COMBUSTIBLE PARA REHABILITAR LA RED VIAL TERCIARIA</t>
  </si>
  <si>
    <t>REPORTE DEL CLOPAD VIAS MORTIÑAL - GUITOQUE, GACHANTIVA - MONIQUIRA, MATARREDONDA - VEREDA DE MINAS, ALTO DE IGUA - SAN MARTIN, ALTO DE IGUA - PUENTE DE LA GOLONDRINAS, GACHACA VEREDA ALTILLO Y SOCHA, VIA SAAVEDRAS DE RONCANCIOS AL POZO DE LA VIEJA. APOYO DEL FNC PARA ALQUILER DE MAQUINARIA Y COMBUSTIBLES PARA REHABILITAR LA RED VIAL</t>
  </si>
  <si>
    <t>APOYO DEL FNC PARA ALQUILER DE MAQUINARIA PARA REHABILITAR LA RED VAIL TERCIARIA</t>
  </si>
  <si>
    <t>APOYO DEL FNC PARA ALQUILER DE MAQUINARIA Y ADQUISICION DE COMBUSTIBLE PARA REHABILITAR LA RED VAIL TERCIARIA</t>
  </si>
  <si>
    <t>AFECTADA LA VIA LA PLAYA - CURASICA - ALTO DEL BUEY. APOYON DEL FNC MEDIANTE GIRO DIRECTO AL CLOPAD PARA ADELANTAR EL PROYECTO REHABILITACION DE LA VIA LA PLAYA -CURASICA - ALTO DEL BUEY.</t>
  </si>
  <si>
    <t>DESLIZAMIENTO SOBRE LA VIA SANTA MARIA-VEREDA JERUSALEN A LA ALTURA DEL KILOMETRO 20, OBSTRUIDA LA VIA  TOTALMENTE. REPORTA CREPAD HUILA.</t>
  </si>
  <si>
    <t>DESLIZAMIENTO SOBRE LA VIA GARZON- EL AGRADO  A LA ALTURA DEL PUENTE BÁQUIRO-PASO RESTRINGIDO. REPORTA CREPAD HUILA</t>
  </si>
  <si>
    <t>DESLIZAMIENTO EN LA VÌA URIBE- SEVILLA, SECTOR. EL POPAL, CERRADA LA VIA, SE ENCUENTRAN INCOMUNICADOS, INFORMO CREPAD DEL VALLE, DRA. MELBA LEYNER</t>
  </si>
  <si>
    <t>DESBORDAMIENTO DEL RÌO CAUCA, VEREDAS: GUAREZ, SAN ANTONIO, INFORMO CREPAD DEL VALLE, DRA. MELBA LEYNER</t>
  </si>
  <si>
    <t>INUNDACIONES POR FUERTES LLUVIAS, EN EL BARRIO: LAS COLINAS, INFORMO CREPAD DEL VALLE, DRA. MELBA LEYNER</t>
  </si>
  <si>
    <t>DESBORDAMIENTO DEL RÌO CAUCA, AFECTADOS LOS SECTORES DE: PUEBLO NUEVO, LA ARENERA, PLAYA RICA, LA CANDELARIA, EVACUAN FAMILIAS AL COLISEO Y CARPAS, PENDIENTE EDAN, INFORMO CREPAD DEL VALLE, DRA. MELBA LEYNER</t>
  </si>
  <si>
    <t>DESLIZAMIENTO EN EL CORREGIMIENTO: BENDICIÒN, AFECTACIÒN EN LA VÌA KM. 40, INFORMO CREPAD DEL VALLE, DRA. MELBA LEYNER</t>
  </si>
  <si>
    <t>DESBORDAMIENTO DEL RÌO DAGUA, EN EL CORREGIMIENTO: NÙMERO 48, REALIZAN EDAN, INFORMO CREPAD DEL VALLE, DRA. MELBA LEYNER</t>
  </si>
  <si>
    <t>INUNDACIONES POR FUERTES LLUVIAS, EN EL CORREGIMIENTO DEL SALADO, INFORMO CREPAD DEL VALLE, DRA. MELBA LEYNER</t>
  </si>
  <si>
    <t>DESLIZAMIENTO EN EL SECTOR: PEDRERA, AFECTADA LA VIA, ESTÀ CERRADA, INFORMO CREPAD DEL VALLE, DRA. MELBA LEYNER</t>
  </si>
  <si>
    <t>DESBORDAMIENTO DEL RÌO CAUCA, EN EL CORREGIMIENTO DE BOLOMBOLO, LAS FAMILIAS FUERON EVACUADAS, A ALBEGUES DISPUESTOS DESDE LA TEMPORADA PASADA POR LA  OLA INVERNAL, INFORMO, CREPA DE ANTIOQUIA, DR. GILBERTO MAZO.</t>
  </si>
  <si>
    <t>INUNDACIONES POR FUERTES LLUVIAS, EN LA VEREDA: TAMBORES, INFORMO D.C.C</t>
  </si>
  <si>
    <t>INUNDACIONES POR FUERTES LLUVIAS, EN EL CORREGIMIENTO DE: CAIMALITO, , INFORMO CREPAD DE RISARALDA, DRA. DIANA CAROLINA RAMIREZ</t>
  </si>
  <si>
    <t>DESBORDAMIENTO DEL RÌO CAUCA, EN LA VEREDA. BELTRÀN, INFORMO CREPAD DE RISARALDA, DRA. DIANA CAROLINA RAMIREZ</t>
  </si>
  <si>
    <t>DESLIZAMIENTO EN LA VEREDA: CAIMALITO, INFORMO CREPAD DE RISARALDA, DRA. DIANA CAROLINA RAMIREZ</t>
  </si>
  <si>
    <t>DESLIZAMIENTO EN LA VEREDA. MARMOLEJO, AFECTANDO LA VÌA DE ACCESO, INFORMO D.C.C.</t>
  </si>
  <si>
    <t>INUNDACIONES, EN LAS VEREDAS: VERGEL Y ANAPOIMA, INFORMO D.C.C.</t>
  </si>
  <si>
    <t>DESLIZAMIENTO EN EL BARRIO. SAMPER , INFORMO D.C.C</t>
  </si>
  <si>
    <t>INUNDACIONES, EN LA ZONA RURAL Y URBANA, AFECTADA LA ESTACIÒN DE POLICIA, SEDE DEL INSTITUTO DE BIENESTAR FAMILIAR, ESTACIÒN DE POLICIA, CASA CULTURAL, CODECHOCO, AFECTADA LA VÌA RIOSUCIO- BAJIRA  INFORMA CREPAD DEL CHOCO, DR. RAFAEL BOLAÑOS</t>
  </si>
  <si>
    <t>INUNDACIIONES POR FUERTES LLUVIAS, EN EL CORREGIMIENTO DE: PAVAS, INFORMO CREPAD DEL VALLE, DRA. MELBA LEYNER.</t>
  </si>
  <si>
    <t>DESLIZAMIENTO QUE  AFECTO LAS VIAS  ALTAMIRA -TIMANA  VIA ALTAMIRA SUAZA SITIO CARBONES REPORTE  CREPAD HUILA CORREO ELECTRONICO.</t>
  </si>
  <si>
    <t>AFECTACION EN PASTOS  PARA  GANADO EN LAS VEREDAS ARENOSO Y FLORESTA. REPORTE  CREPAD HUILA CORREO ELECTRONICO.</t>
  </si>
  <si>
    <t>DESLIZAMIENTO QUE  AFECTO EL ACUEDUCTO  DE LA  VEREDA  SAN MATIAS. REPORTE  CREPAD HUILA  CORREO ELECTRONICO.</t>
  </si>
  <si>
    <t>DESLIZAMIENTO EN LA  VEREDA  LA  JULIA, NO HERIDOS NI MUERTOS. REPORTE  SOCORRO NACIONAL. SR. RENE  VELASQUEZ TEL 4376369</t>
  </si>
  <si>
    <t>DESBORDAMIENTO DE LOS RÌOS: ATRATO, QUITO  Y SAN JUAN,  8 BARRIOS INUNDADOS, INFORMO: SOCORRO NACIONAL, SRA. SANDY MARROQUIN.</t>
  </si>
  <si>
    <t>DESLIZAMIENTO  EN EL SECTOR SALITRE  QUE OBLIGO AL CIERRE TOTAL.  ATIENDE CLOPAD Y POLICIA NACIONAL. REPORTE  CREPAD CUNDINAMARCA  CORREO ELECTRONICO.DESLIZAMIENTO POR CAIDA DE ROCAS, EN EL KM: 4,5, VÌA TABIO SUBACHOQUE, LA VÌA TIENE CIERRE TOTAL, INFORMO CREPAD DE CUNDINAMARCA.</t>
  </si>
  <si>
    <t>INFORMA EL CREPAD DEL CAUCA  DE  INUNDACION AFECTANDO LA POBLACION DE DEL CORREGIMIENTO DE ROBLES; 7 VIVIENDAS Y 29 PERSONAS  EN LA VEREDA PLAYA  AMARILLA,2 VIVIENDAS Y 8 PERSONAS EN LA VEREDA AVISTAL,  EN LA VERERDA EL BURRITO 9 VIVIENDAS Y 34 PERSONAS Y  EN PUERTO CARRERO 1 VIVIENDA Y 7 PERSONAS TODAS  LAS  FAMILIAS  SE  UBICARON DONDE FAMILIARES. DESBORDAMIENTO DEL RÌO CAUCA, ZANJONES DE: ROSARIO, MEDIO, BARRACAS Y  ACEQUIAS, AFECTANDO LOS CORREGIMIENTOS DE. QUINAMAYO, ROBLES, VILLA PAZ.                                                                                 BARRIOS: ALFÉREZ, PRADERA, RIVERAS DÉL
ROSARIO, SIGLO XXL, SAMÁN, VILLA MÓNICA, EL ROSSRIO, SACHAMATE, LA LUCHA,
CIROVELAZCO, LA ESPERANZA, ALFÉREZ,
PANAMERICANO, CENTENARIO, LA MORADA,
PILOTO, POPULAR, BELALCAZAR, AURORA, EL
PORVENIR, VLLA TATIANA, VILLA DEL SOL, VILLA
ELVIRA, POÑAL DEL JORDÁN, CANTABRIA, PORTAL
DE JAMUNDÍ, ACACIAS,  HOJARASCA, GAITÁN,
LA CEIBITA Y PARTE DEL  CORREGIMIENTO DE
SAN ISIDRO Y ASENTAMIENTOS SUBNORMAL
SAN DIEGO Y LA PLAYITA. INFORMO CREPAD DEL VALLE DRA. MELBA LEYNER.</t>
  </si>
  <si>
    <t>APOYO DEL FNC MEDAINE GIRO DIRECTO AL CLOPAD PARA LA ADQISICION DE COMBUSTIBLE PARA OPERAR LA PLANTA GENERADORA DE ENERGIA.</t>
  </si>
  <si>
    <t>APOYO DEL FNC MEDIANTE GIRO DIRECTO AL CLOPAD PARA ALQUILER DE MAQUINARIA PARA REMOCION DE DERRUM,BES EN LA VIA QUE COMUNICA CON EL MUNICIPIO E SAN JOSE DEL PALMAR Y EL MUNICIPIO DE NOVITA</t>
  </si>
  <si>
    <t>EL VALOR DE OTROS CORRESPONDE A :2000 TEJAS DE BARRO, 30 ROLLOS MANGUERAS DE 3", 15 ROLLOS MANGURA DE 1 1/2", 20 ROLLOS MANGUERA DE 1", 10 ROLLOS MANGUERA DE 1/2"</t>
  </si>
  <si>
    <t>DESBORDAMIENTO RIO MAGDALENA BARRIOS BODEGA SUR, LA MAGDALENA, ARRANCAPLUMAS, PANCHIGUA, VUELT DE LOS NEGROS, BUJONA, CASCAJAL, PLANADAS, EL CARACOLI, VEREDAS BREMEN, SANTA HELENA, BRISAS. NUNDACION POR  DESBORDAMIENTO DEL RIO MAGDALENA  AFECTANDO 12 BARRIOS Y 4 VEREDAS. REPORTE  SOCORRO NACIONAL. SR. RENE  VELASQUEZ TEL 4376369. 100 PAQUETES DE PAÑALES Y 150 TARROS DE LECHE MATERNIZADA. ALCALDE 3102228970 CARLOS ARCE. VALOR DE OTROS CORRESPONDE A 100 PAQUETES DE PAÑALES Y 150 TARROS DE LECHE MATERNIZADA. ALCALDE 3102228970 CARLOS ARCE</t>
  </si>
  <si>
    <t>VIAS AFECTADAS: LA UNION, CUSILLOS, BELEN ; LA UNION LA JOBA; LA UNION, SAUCE, SANTA ROSA ; LA UNION CHARGUARUCO, EL BRINCO; LA UNION, EL SAUCE, CONTADERO; SANTANDER VIA CARRETEABLE A FLORENCIA;  SANTANDER, CUCHILLAS, PEÑAS BLANCAS; VIA EL EMPATE, LA PLAYA, OLIVOS; LA PLAYA QUIROZ, LA UNION, EL GUABO, JUAN SOLARTE, OBANDO, REYES; LA UNION, CERRITO, OJO DE AGUA, LA ESPERANZA, EL MAYO, LA BETULIA, EL SALADO, PALO VERDE, QUIROZ; VILLA MARIA, EL PORVENIR, PEÑA BLANCA; LA PRADERA, LA CASTILLA, CAÑADA, SAUCE ALTO, CHILCAL BAJO, EL GUABO. REPORTA CREPAD NARIÑO CORREO ELECTRONICO.</t>
  </si>
  <si>
    <t>VIAS AFECTADAS: ALDECIO; LA LAGUNA, LA CAPILLA; ALPICHUELO, MONTEBLANCO. REPORTA CREPAD NARIÑO-CORREO ELECTRONICO.</t>
  </si>
  <si>
    <t>CRECIENTE DE LA QUEBRADA LA SARDINATA, VEREDA JUNCAL, PERDIDA DE ENSERES. FILTRACICON DE AGUAS LLUVIAS  A  2 VIVIENDAS EN LA CRA. 4 No. 4-66 DAÑOS EN LA   ESTRUCTURA-REPORTA CREPAD HUILA.</t>
  </si>
  <si>
    <t>TAPONAMIENTO EN LA VIA QUE CONDUCE A LA VEREDA MATAREDONDA, DESTRUCCION DE 80 METROS DE LA RED DE ACUEDUCTO. REPORTA CREPAD NARIÑO CORREO ELECTRONICO.</t>
  </si>
  <si>
    <t>AFECTADAS LAS VIAS: TERUEL-PALERMO A LA ALTURA DE LA VEREDA SAN ANTONIO-PASO RESTRINGIDO.VIA YAGUARA A LA ALTURA DE LA VEREDA SANTA HELENA OBSTRUCCION TOTAL.-REPORTA CREPAD HUILA CORREO ELECTRONICO.</t>
  </si>
  <si>
    <t>INCENDIO ESTRUCTURAL EN LA CALLE 6 ENTRE CARRERAS  3 Y 4,  3 INMUEBLES COMERCIALES  AFECTADOS EN EL 90% , AFECTADA LA ESTRUCTURA DE UNA VIVIENDA. REPORTA CREPAD HUILA.</t>
  </si>
  <si>
    <t xml:space="preserve">DESLIZAMIENTO EN LA VEREDA AIPECITO   DESTRUYO UNA VIVIENDA, 1 PERSONA FALLECIDA QUE RESPONDIA AL NOMBRE DE: ALBERTO PIRIGUA DE 22 AÑOS, RESCATADO CON VIDA POSTERIORMENTE FALLECE.                    </t>
  </si>
  <si>
    <t>DESLIZAMIENTO SOBRE LA VIA TERUEL- VEREDA EL MESON, OBSTRUCCION TOTAL, REPRESAMIENTO  DE LA QUEBRADA EL PUEBLO.</t>
  </si>
  <si>
    <t>MONITOREO DEL RIO GUACHICONO POR  REPRESAMIENTO EN EL SECTOR LOS ROBLES,  EVACUACION DE FAMILIAS EN FORMA PREVENTIVA. REPORTA  CREPAD CAUCA DRA. EDITH JANETH PAZ.</t>
  </si>
  <si>
    <t>INFORMA CREPAD DE CALDAS QUE LA NOCHE ANTERIOR SE PRESENTO UN DESLIZAMIENTO EN LA VEREDA MONTEBELLO DONDE SE  AFECTO UNA VIVIENDA LA CUAL AL MOMENTO DEL DESLIZAMIENTO SE  ENCONTRABAN  7 PERSONAS  DE LAS CUALES 5 (ARTURO LOPEZ DE 44 AÑOS,CECILIA OSORIO DE 40 AÑOS,DOREY LOPEZ DE 14 AÑOS,DAYANA LOZANO DE 4 AÑOS, FABIAN MUÑOS 5 AÑOS.DE  ELLAS FALLECIERON Y OTRAS 2 LESIONADAS LEVEMENTE  NO  REQUIRIERON TRASLADO A  CENTRO ASISTENCIAL. EN EL SITIO INICIALMENTE APOYO BOMBEROS.</t>
  </si>
  <si>
    <t>MUNICIPIO DE PITAL: DESLIZAMIENTO DE LA BANCA, VÍA EL PITAL - LA PLATA KM 8 –HABILITADO UN CARRIL-PASO RESTRINGIDO.</t>
  </si>
  <si>
    <t>MUNICIPIO DE GIGANTE  CRECIENTEDE LA QUEBRADA GIGANTE, VEREDA LA VEGA, DESTRUIDAS  2 VIVIENDAS PERDIDA DE ENCERES, LAS FAMILIAS FUERON EVACUADAS. DESLIZAMIENTO, VÍA VEREDA LA GRAN VÍA- CASCO URBANO - OBSTRUCCIÓN TOTAL.</t>
  </si>
  <si>
    <t>MUNICIPIO DE PALERMO DESLIZAMIENTO,  LA VEREDA EL CAÑÓN FINCA POTRERITO- PÉRDIDA DE 8 BECERROS Y 3 HECTÁREAS DE PASTO PARA GANADO.</t>
  </si>
  <si>
    <t>MUNICIPIO DE YAGUARA DESLIZAMIENTO, VÍA  LA PAZ- CASCO URBANO, CERCA A LAS FINCAS CAIRO Y SAN NICOLÁS-OBSTRUCCIÓN TOTAL.</t>
  </si>
  <si>
    <t xml:space="preserve">DESLIZAMIENTO EN INMINENTE RIESGO, 144 FAMILIAS LAS CUALES SERAN EVACUADAS, BARRIOS ALTO DE LA CRUZ, PRADOS DEL NORTE, LOS SAUCES, NORTE, BELEN, CENTRO, LA PAILA, FATIMA, SUR, ESTACION DE POLICIA, LA IGLESIA, VEREDAS EL PEÑON, LAMEDEROS, LOMA GRANDE, BUENOS AIRES, EL LLANO, APARTADEROS, TARUCA, LAS DELICIAS GUACHICONO, Y SAPONGO. INFORMO CREPAD DEL CAUCA, DRA. EDITH PAZ </t>
  </si>
  <si>
    <t>CRECIENTE DE LA QUEBRADA GUYABALA, AL SUR DE LA CIUDAD. REPORTE DE LA CRUZ ROJA</t>
  </si>
  <si>
    <t>DESBORDAMIENTO DE 3 QUEBRADAS: LA PICACHA, LA HUESO, Y ANA DIAZ AFECTARON LAS COMUNAS 13,   16, Y LA 70 BARRIOS:  BELENCITO CORAZON, BELEN, LAS MERCEDES, VIOLETAS Y EL CORREGIMIENTO DE ALTA VISTA. 4 EDIFICIOS INUNDADOS EN EL SOTANO EN EL SECTOR BULERIAS. LA PERSONA DESAPARECIDA RESPONDE AL NOMBRE DE JUAN CARLOS MEJIA DE 20 AÑOS.  REPORTA DR. ENRIQUE GOMEZ COORDINADOR OPERATIVO DEL CLOPAD.</t>
  </si>
  <si>
    <t>INUNDACION POR LLUVIAS AFECTARON LOS BARRIOS: ALAMOS, KENEDY, LA ESMERALDA. REPORTA EL SEÑOR: CARLOS ALBERTO HERRERA, HERRERA JEFE DE LA OFICINA OPERATIVA PUTUMAYO D.C.C.</t>
  </si>
  <si>
    <t>DESLIZAMIENTOS DE TIERRA QUE AFECTARON LAS VEREDAS VERSALLES, SANTA CRUZ, TAMBORAL, LA MESA Y LAS BRISAS, REPORTA D.C.C DIRECCION NACIONAL.</t>
  </si>
  <si>
    <t>AFECTACION EN LA ZONA RURAL DEL MUNICIPIO. REPORTA D.C.C. DIRECCION NACIONAL.</t>
  </si>
  <si>
    <t>DESBORDAMIENTO DEL RIO CAUCA, AFECTADA LA VEREDA PASO ANCHO. REPORTA D.C.C. DIRECCION NACIONAL.</t>
  </si>
  <si>
    <t xml:space="preserve">DESBORDAMIENTO DEL RIO LA VIEJA AFECTADA LA ZONA URBANA DEL MUNICIPIO, AFECTADOS LOS BARRIOS: LA PLAYA, LAS BRISAS, EL RIO, TIERRA DEL OLVIDO, LA PLATANERA. REPORTA D.C.C. </t>
  </si>
  <si>
    <t xml:space="preserve">DESBORDAMIENTO DEL RIO CAUCA  EN LA VEREDA SAN PEDRO REPORTA D.C.C. </t>
  </si>
  <si>
    <t xml:space="preserve">DESBORDAMIENTO DEL RIO CAUCA. AFECTADO  UN PUENTE VEHICULAR QUE COMUNICA A LA VEREDA EL 12, CERRADO EN ESPERA DE EVALUACION TECNICA. INFORMA CREPAD ANTIOQUIA DR. GILBERTO MAZO. </t>
  </si>
  <si>
    <t>CRECIENTE DE UAN QUEBRADA ARRASTRO UNA PERSONA. REPORTA CREPAD ANTIOQUIA DR. GILBERTO MAZO.</t>
  </si>
  <si>
    <t>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MUNICIPIOS.EN EL SECTOR LA TOPASIA SITIO CURVA DE LA OREJA SE PRESENTA TAPONAMIENTO TOTAL DE LA VÍA.</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</si>
  <si>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CALARCA EN LA VÍA CALARCA – ARMENIA, CURVA EL PERIODISTA SE PRESENTA TAPONAMIENTO TOTAL DE LA VÍA. Y EN EL CORREGIMIENTO DE BARCELONA CERCA AL PUENTE DE RIO VERDE EN EL KM 5 FUE TAPONADA LA VÍA PARCIALMENTE, PERMITIENDO EL PASO VEHICULAR SOLO POR UN CARRIL.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</si>
  <si>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MONTENEGRO
EN EL KM 5 CERCA AL HOSPITAL, VÍA QUE CONDUCE DE MONTENEGRO A ARMENIA SE ENCUENTRA PARCIALMENTE TAPONADA.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</si>
  <si>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CORDOBA DEBIDO A LA FUERTE EROSIÓN EN QUE SE ENCUENTRA LA VÍA, FUE TAPONADA TOTALMENTE EN 4 SECTORES ASÍ: VIA LA FRONTERA, FINCA EL EDÉN, VIA LA PLAYA, FINCAS RISARALDA Y GIRASOLES Y EN EL SECTOR DE LAS PARTIDAS. HASTA EL MOMENTO NO HAY PASO VEHICULAR DESDE RIO VERDE PARA ESTE MUNICIPIO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</si>
  <si>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BUENAVISTA SE PRESENTARON TRES DESLIZAMIENTOS CON INTERRUPCIÓN TOTAL DE LA VÍA QUE AFECTARON LOS SECTORES DE LAS VEREDAS LOS SAUCES, FINCA MI BOHÍO Y ESCUELA LOS SAUCES, VEREDA LA GRANJA, FINCA SAN ALBERTO Y EN LA VEREDA LOS BALSOS, FINCA LAS DELICIAS
</t>
  </si>
  <si>
    <t xml:space="preserve">MUNICIPIO DE PIJAO
REPORTARON TRES DESLIZAMIENTOS EN LA VÍA PRINCIPAL: SECTOR BOQUEMONTE, SECTOR DE LA MINA NUEVA Y VIEJA.
TAMBIÉN SE PRESENTO UNA CRECIENTE SÚBITA DE LA QUEBRADA EL VERDAL EN LA MISMA VEREDA QUE COMUNICA AL CASCO URBANO CON LA VEREDA LA MAICENA. TAMBIÉN SE PRESENTO EL COLAPSO DE UNA VIVIENDA UBICADA EN LA VEREDA ARENALES A CAUSA DE UN DESLIZAMIENTO DE TIERRA, DONDE HABITAN 5 PERSONAS.
</t>
  </si>
  <si>
    <t xml:space="preserve">MUNICIPIO DE PURACE DESLIZAMIENTO DE TIERRA KILÓMETRO 17 VIA COCONUCO  - SECTOR PATICO . HECHOS OCURRIDOS HACIA LAS 7 DE LA MAÑANA CON EL APOYO DE LA CRUZ ROJA CAUCA SE RESCATARON DOS CUERPOS SIN VIDA DE SEXO MASCULINO DE APROXIMADAMENTE 30 Y 40 AÑOS DE EDAD. OTRA PERSONA LESIONADA, INFORMACION DE  CRUZ ROJA INDICA  QUE  EL  EVENTO SE  PRESENTO EN UNA CANTERA  DONDE SE CARGABA  MATERIAL  PARA  RECUPERACION DE VIAS. </t>
  </si>
  <si>
    <t>DESBORDAMIENTO DEL RÌO CAUCA, AFECTANDO LOS CORREGIMIENTO DE: TOS,  EL PLEITO, BOLIVAR, JUAN DIAZ, MOLINA, INFORMO CREPAD DEL VALLE, DRA. MELBA LEYNER, SOCORRO NACIONAL</t>
  </si>
  <si>
    <t>DEBIDO A FUERTES LLUVIAS PRESENTADAS EN LA  REGION SE  DESBORDO EL RIO SEVILLA EN EL CORREGIMIENTO GUACAMAYAL CORREGIMIENTO VARELA, LA GRAN VIA, VEREDA IBERIA, EL MAMON, EL PUYO, PAULINA, CAÑO MOCHO, MONTERIA, PILOTO, CARITAL, SEVILLA, LA ESTACION, 16 DE JULIO, CANDELARIA, LA BALSA ADELANTAN EVALUACION DE  DAÑOS. REPORTE  CREPAD MAGDALENA DR. LUIS BARRAZA CEL. 3202406959. LA ALCALDESA INFORMA EL 2O DE DICEMBRE QUE EN RELACION CON LAS VIVIENDAS AFECTADAS 617 RESULTARON CON AVERIAS EN LA CUBIERTA PERO TODAS RESULTARON AFECTADAS EN SUS VIVIENDAS</t>
  </si>
  <si>
    <t>APOYO DEL FNC MEDIANTE GIRO DIRECTO AL CLOPAD PARA LA ADQUISICION DE COMBUSTIBLE PARA REALIZAR TRABAJOS DE REHABILIOTACION EN LA RED VIAL.</t>
  </si>
  <si>
    <t>APOYO DEL FNC MEDIANTE GIRO DIRECTO AL CLOPAD PARA REALIZAR TRABAJOS DE MITIGACION (LIMPIEZA DE RIOS Y QUEBRADAS, ROCERIA Y RETIRO DE SOBRANTES) EN LOS RIOS MOLINO, EJIDO, QUEBRADAS LAS MONJAS Y PUBUS.</t>
  </si>
  <si>
    <t>ALQUILER DE 25 UNIDADES DE BAÑOS PORTATILES EN FIBRA DE VIDRIO POR DOS MESES PARA LA INSTITUCION EDUCATIVA MANUEL MURILLO TORO AFECTADA POR LA TEMPORADA INVERNAL.</t>
  </si>
  <si>
    <r>
      <t xml:space="preserve">AFECTACION EN LA ZONA RURAL DEL MUNICIPIO SITIO LAGUNETA DEBIDO A QUE EL CAUDAL DE LA LAGUNA DE FUQUENE ROMPIO EL JARILLON DE PROTECCION Y AFECTO CAMPOS DE CULTIVOS EN LA ZONA. REPORTA D.C.C. PENDIENTE INFORME DE AFECTACION. </t>
    </r>
    <r>
      <rPr>
        <b/>
        <sz val="9"/>
        <rFont val="Arial"/>
        <family val="2"/>
      </rPr>
      <t>APOYO DEL FNC MEDIANTE GIRO DIRECTO AL CLOPAD PARA ADQUISICION DE COMBUSTIBLE PARA LA MAQUINARIA PESADA QUE REALIZARA TRABAJOS DE REHABILITACION VIAL, REFORZAMIENTO DE JARILLONES OPERACION DE SISTEMAS DE BOMBEO PARA DESINUNDAR PREDIOS.</t>
    </r>
  </si>
  <si>
    <t>DESBORDAMIENTO ARROYOS MORROA Y LA MUERTE AFECTADA ZONA URBANA. REPORTE DEL CLOPAD</t>
  </si>
  <si>
    <t>DESBORDAMIENTO LAGO LA FLORESTA AFECTADO CORREGIMIENTO EL YESO. REPORTE DEL CLOPAD</t>
  </si>
  <si>
    <r>
      <t>REPORTE DEL CLOPAD.</t>
    </r>
    <r>
      <rPr>
        <b/>
        <i/>
        <sz val="9"/>
        <rFont val="Arial"/>
        <family val="2"/>
      </rPr>
      <t xml:space="preserve"> SE SOLICITO AL EJERCITO ENTREGAR 2000 KIT DE NOCHE Y 2600 KIT DE ASEO</t>
    </r>
  </si>
  <si>
    <r>
      <t xml:space="preserve">HUNDIMIENTO DE TERRENO, EN LA VEREDA. EL ROSAL, CORREGIMIENTO. EL PITAL, INFORMO CREPAD DEL CAUCA, DRA. EDITH PAZ..  ESTAS FAMILIAS HAN SIDO EVACUADAS A UNA ESCUELA RURAL DE LA VEREDA EL PITAL..OTROS CORRESPONDE A  2TANQUES 1.000 LITROS, 200 HOJAS ZINC DE 3 METROS, 1 ARROBA ALAMBRE, 25 KG PUNTILLA 2 1/2, 4 ROLLOS LONA CERRAMIENTO, 200 MTS ALAMBRE No. 12, 30 PLAJONES, 20 INTERRUPTORES, DE PARED, 50 MTS ALAMBRE No. 8, 200 TABLAS DE 3 MTS, 30 BOMBILLOS, 5 GRIFOS, 500 AMARES, 200 MTS TUBERIA PVC 1/2 Y 20 UNIONES. </t>
    </r>
    <r>
      <rPr>
        <b/>
        <i/>
        <sz val="9"/>
        <rFont val="Arial"/>
        <family val="2"/>
      </rPr>
      <t>SE SOLICITO AL EJERCITO ENTREGAR 150 KIT NOCHE, 100 ASEO Y 100 COCINA</t>
    </r>
  </si>
  <si>
    <r>
      <t xml:space="preserve">AFECTADA LA VEREDA BELEN,  INFORMA CREPAD CAUCA DRA. EDITH JANETH PAZ. APOYO DEL FNC MEDAINTE GIRO DIRECTO AL CLOPAD PARA LA ADQUISICION DE COMBUSTIBLE PARA ADELANTAR LOS TRABAJOS DE REHABILITACION DE LAS VIAS DE ACCESO AL RESGUARDO INDIGENA DE KOKONUKO EN EL MUNICIPIO DE PURACE. </t>
    </r>
    <r>
      <rPr>
        <b/>
        <i/>
        <sz val="9"/>
        <rFont val="Arial"/>
        <family val="2"/>
      </rPr>
      <t xml:space="preserve">SE SOLICITO ENTREGAR A TRAVES DEL EJERCITO 500 </t>
    </r>
  </si>
  <si>
    <r>
      <t xml:space="preserve">DESBORDAMIENTO DE LOS RÌOS: ATRATO Y QUITO, 42 BARRIOS INUNDADOS,INFORMO D.C.C, SE VERIFICO INFORMACIÒN CON EL CREPAD DEL CHOCO, DR. RAFAEL BOLAÑOS, SOCORRO NACIONAL, SRA. SANDY MARROQUIN. </t>
    </r>
    <r>
      <rPr>
        <b/>
        <i/>
        <sz val="9"/>
        <rFont val="Arial"/>
        <family val="2"/>
      </rPr>
      <t>SE SOLICITO ENTREGAR A TRAVES DEL EJERCITO 3100 KIT DE NOCHE, 3100 DE ASEO Y 1000 DE COCINA</t>
    </r>
  </si>
  <si>
    <t>REPORTE DEL CLOPAD.  SE SOLICITO ENTREGAR A TRAVES DEL EJERCITO 1000 KIT DE ASEO Y 1000 KIT DE COCINA</t>
  </si>
  <si>
    <t>SE SOLICITO ENTREGAR A TRAVES DEL EJERCITO 2000 KIT DE NOCHE, 2000 DE ASEO Y 2000 DE COCINA</t>
  </si>
  <si>
    <t>APOYO DEL FNC MEDIANTE GIRO DIRECTO AL CLOPAD PARA POYAR LA REHABILITACION Y MANTENIMIENTO DE LA VIS PUENTE COLOMBIANO, DESBAEB, QUEBRADA MONJAS, POZO AMARILLO.</t>
  </si>
  <si>
    <t>APOYO DEL FNC MEDIANTE GIRO DIRECTO AL CLOPAD PARA APOYAR LOS ESTUDIOS, DISEÑO Y CONSTRUCCION DEL PUENTE SOBRE LA QUEBRADA LOS CUROS, VEREDA LA CABAÑA PARTE BAJA</t>
  </si>
  <si>
    <t>APOYO DEL FNC MEDIANTE GIRO DIRECTO AL CLOPAD PARA APOYAR LA CONSTRUCCIO N DE GAVIONES EN LA LADERA DEL RIO SUBACHOQUE AFLUENTE DEL RIO BOGOTA, BARRIO ESCALLON.</t>
  </si>
  <si>
    <t>APOYO DEL FNC MEDIANTE GIRO DIRECTO AL CLOPAD PARA APOYAR LA CONSTRUCCION DE LAS ESTRUCTURAS DE PROTECCION DEL CAUCE DEL RIO CHICAMOCHA EN LA MARGEN IZQUIERDA DEL BOX COULVERT DEL CANAL VARGAS EN EL SECTOR PUENTE LA BALSA.</t>
  </si>
  <si>
    <t xml:space="preserve">INFORMA LA DOCTORA  ISABEL HERNANDEZ CREPAD HUILA, QUE  SE  REALIZO EVACUACION PREVENTIVA DE VARIAS FAMILIAS  A  CAUSA DE REPRESAMIENTO DE UNA LAGUNA.  REUNION DEL   COMITÉ LOCAL DE  EMERGENCIAS  Y SE  DETERMINO 1. REALIZAR UN SOBRE VUELO  EN LA  ZONA EN  RIESGO.   2  MONITOREO A LAS  CUENCAS  DE LOS  RIOS Y QUEDRADAS QUE   ALIMENTAN LA   LAGUNA. </t>
  </si>
  <si>
    <t>DESLIZAMIENTO SOBRE 2 VEHICULOS EN EL KILOMETRO 51  SECTOR MESONES, 1 HERIDO,  LA VIA MANIZALES-PADUA, Y FRESNO, PADUA, TARAZÁ  AFECTADAS POR DESLIZAMIENTO-PENDIENTE INFORME DE AFECTACION.</t>
  </si>
  <si>
    <t>EN EL MUNICIPIO DE OBANDO SE ADELANTABAN OBRAS DE MITIGACION  EN LA FINCA SAN JOSE, EL RIO CAUCA DESTRUYO LA OBRA Y TERMINO EN AVALANCHA  AFECTANDO EL MUNICIPIO DE CARTAGO ESTE MUNICIPIO TAMBIEN FUE AFECTADO POR EL RIO LA VIEJA, LAS FAMILIAS FUERON EVACUADAS Y UBICADAS EN  AUTOALBERGUES. REPORTA CREPAD VALLE.</t>
  </si>
  <si>
    <t>INCENDIO ESTRUCTURAL EN EL ACENTAMIENTO EL TABLON. REPORTA CREPAD SANTANDER.</t>
  </si>
  <si>
    <t>DESLIZAMIENTO EN LA VEREDA ALTO DE TOLU  EN LA VIA EL OCASO. REPORTA CREPAD CUNDINAMARCA.</t>
  </si>
  <si>
    <t>AFECTADA LA VIA TENJO-SIBERIA POR INUNDACION, TRANSITO DE VEHICULOS RESTRINGIDO Y CON PASO LENTO. REPORTA CREPAD CUNDINAMARCA.</t>
  </si>
  <si>
    <t>1 VIVIENDA DESTRUIDA EN LA VEREDA BULOCAINA. REPORTA  CREPAD CUNDINAMARCA-CORREO ELECTRONICO.</t>
  </si>
  <si>
    <t>EL CREPAD DEL HUILA INFORMA DE  AFECTACIONES Y ACTUALIZACIONES EN MUNICIPIOS AFECTADOS  EN LA  OLA INVERNAL DE AÑO 2011 MEDIANTE  CORREO ELETRONICO</t>
  </si>
  <si>
    <t>EL CREPAD DEL HUILA INFORMA DE  AFECTACIONES Y ACTUALIZACIONES EN MUNICIPIOS AFECTADOS  EN LA  OLA INVERNAL DE AÑO 2011 MEDIANTE  CORREO ELETRONICO EN MUNICIPIO DE ALGECIRAS  HUBO  AFECTACION EN LA ZONA  AGRICOLA Y GANADERA.</t>
  </si>
  <si>
    <t>EL CREPAD DEL HUILA INFORMA DE  AFECTACIONES Y ACTUALIZACIONES EN MUNICIPIOS AFECTADOS  EN LA  OLA INVERNAL DE AÑO 2011 MEDIANTE  CORREO ELETRONICO,EN EL MUNIPIO DE BARAYA SE PRESENTO LA  AFECTACION DE  ACUEDUCTO Y ALCANTARILLADO.</t>
  </si>
  <si>
    <t>EL CREPAD DEL HUILA INFORMA DE  AFECTACIONES Y ACTUALIZACIONES EN MUNICIPIOS AFECTADOS  EN LA  OLA INVERNAL DE AÑO 2011 MEDIANTE  CORREO ELETRONICO. ( REPORTE PRELIMINAR 2054)</t>
  </si>
  <si>
    <t>EMERGENCIA LA VEGA CAUCA SE RECIBIO REPORTE DEL SECRETARIO DE PLANEACION DE LA VEGA  QUE INFORMA SOBRE LA EVACUACION DE  12 FAMILIAS DEBIDO A QUE LAS 12 VIVIENDAS  SE ENCUENTRAN EN INMINENTE PELIGRO POR DESLIZAMIENTO EN LAS VEREDAS BANBOLEO Y PUENTE CILLOS.LAS FAMILIAS FUERON EVACUADAS A CASAS DE VECINOS. INFORMA LA DRA.EDITH JANETH PAZ LENIS COORDINADORA CREPAD – CAUCA.</t>
  </si>
  <si>
    <t>DESBORDAMIENTO DEL RIO SUTAMARCHAN , AFECTADO EL ACUEDUCTO URBANO  EN LAS LINEAS DE CONDUCCION. REPORTA CREPAD BOYACA.   . APOYO DEL FNC MEDIANTE GIRO DIRECTO AL CLOPAD PARA EL ALQUILER DE CARROTANQUES Y RECONSTRUCCION DE LA LINEA DE CONDUCCION DEL ACUEDUCTO URBANO</t>
  </si>
  <si>
    <t>DESLIZAMIENTO EN LA VÌA NATAGA, VEREDA: LA MESA, OBSTRUCCIÒN DE LA VÌA EN UN TRAMO DE 50 MTS,  INFORMO CREPAD DEL HUILA.. EL CREPAD DEL HUILA INFORMA DE  AFECTACIONES Y ACTUALIZACIONES EN MUNICIPIOS AFECTADOS  EN LA  OLA INVERNAL DE AÑO 2011 MEDIANTE  CORREO ELETRONICO (REPORTE PRELIMINAR 2002)</t>
  </si>
  <si>
    <t>SE PRESENTO INUNDACION EN LA  CALLE  6 No. 6A-06 DE NEIVA.  REPORTE  CREPAD HUILA SRA, YADIRA  MARTINEZ  CORREO ELECTRONICO . EL CREPAD DEL HUILA INFORMA DE  AFECTACIONES Y ACTUALIZACIONES EN MUNICIPIOS AFECTADOS  EN LA  OLA INVERNAL DE AÑO 2011 MEDIANTE  CORREO ELETRONICO (ESTE EN EL REPORTE PRELIMINAR 2064)</t>
  </si>
  <si>
    <t>AVALANCHA DE LA QUEBRADA LA NUTRIA-AFECTADA LA VIA POR DESLIZAMIENTO  EN LA VEREDA LAS JUNTAS, 1 PUENTE VEHICULAR AFECTADO-PASO  SOLO PARA  MOTOCICLETAS-INFORMA CREPAD HUILA  SR: ORLANDO ROMERO (OPERATIVO). 
EL CREPAD DEL HUILA INFORMA DE  AFECTACIONES Y ACTUALIZACIONES EN MUNICIPIOS AFECTADOS  EN LA  OLA INVERNAL DE AÑO 2011 MEDIANTE  CORREO ELETRONICO ( REPORTE PRELIMINAR 1999)</t>
  </si>
  <si>
    <t>APOYO DEL FNC MEDIANTE GIRO DIRECTO AL CLOPAD PARA APOYAR LA CONSTRUCCION DE LA CUARTA ETAPADEL MURO EN BOLSA CRETOSOBRE LA MARGEN IZQUIERDA AGUAS ABAJO DEL RIO MAGDALENA SECTOR PLAYA VERDE .</t>
  </si>
  <si>
    <t>APOYO DEL FNC MEDIANTE GIRO DIRECTO AL CLOPAD PARA LA ADQUISICION DE COMBUSTIBLE PARA TRABAJOS DE REMOCION DE ESCOMBROS, LIMPIEZA DE CAÑOS, QUEBRADAS, DRENAJE, TRANSPORTE DE ALIMENTOS, PERSONAS Y ANIMLES ASI COMO BRIGADAS DE SALUD.</t>
  </si>
  <si>
    <t>AFECTADA LA ZONA RURAL VEREDAS: EL PROGRESO, LA SELVA, LA LLORONA, LA ISLA, REPORTA CREPAD RISARALDA.</t>
  </si>
  <si>
    <t>INUNDACION POR DESBORDAMIENTO DEL RIO SAN  JUAN-REPORTA CREPAD CHOCO DR. BOLAÑOS.</t>
  </si>
  <si>
    <t>INUNDACION POR DESBORDAMIENTO DEL RIO SAN JUAN-REPORTA CREPAD CHOCO DR. BOLAÑOS.</t>
  </si>
  <si>
    <t xml:space="preserve">AFECTADA LA SEDE DE LA D.C.C, AFECTADOS EQUIPOS DE OFICINA,  Y  ELEMENTOS DE AYUDA HUMANITARIA  ALMACENADOS EN BODEGA  PARA LOS AFECTADOS DE OLA INVERNAL. REPORTA D.C.C. SEÑOR CARLOS ALBERTO HERRERA. </t>
  </si>
  <si>
    <t>SECTOR LAS TRES MARIA APOYO DEL FNC MEDIANTE GIRO DIRECTO AL CLOPAD PARA ALQUILER DE MAQUINARIA PARA REALIZAR LOS TRABAJOS DE REHABILITACION DE LA RED VIAL</t>
  </si>
  <si>
    <t>APOYO DEL FNC MEDIANTE GIRO DIRECTO AL CREPAD PARA APOYAR LA ATENCION DE LAS DIFERENTES EMERGENCIAS MEDIANTE APOYO LOGISTICO EN COMBUSTIBLE, ALQUILER DE VEHICULOS TANTO `PARA EL TRASLADO DE ASISTENCIA HUMANITARIA COMO PARA LA EVACUACION DE PERSONAS Y DESPLAZAMIENTO PARA EVALUACION DE DAÑOSREPARACION DE VEHICULOS Y ALQUILER DE MAQUINARIA, Y EQUIPOS ($190.000.000) Y ADQUISICION DE COMBUSTIBLE PARA MAQUINARIA PESADA PARA LA ATENCION DE LA EMERGENCIA VIAS ADQUISICION DE REPUESTOS PARA MAQUINARIA Y CONTRATACION DE MAQUINARIA ($60.000.000).</t>
  </si>
  <si>
    <r>
      <t xml:space="preserve">AFECTADO CORREGIMIENTO DE SAN LUIS. REPORTE DEL CLOPAD. </t>
    </r>
    <r>
      <rPr>
        <b/>
        <i/>
        <sz val="9"/>
        <rFont val="Arial"/>
        <family val="2"/>
      </rPr>
      <t xml:space="preserve">SE SOLICITO ENTREGAR A TRAVES DEL EJERCITO 1000 KIT DE NOCHE, 527 DE ASEO  </t>
    </r>
    <r>
      <rPr>
        <sz val="9"/>
        <rFont val="Arial"/>
        <family val="2"/>
      </rPr>
      <t>APOYO DEL FNC MEDAINTE GIRO DIRECTO AL CLOAPD PARA ADQUISICION DE COMBUSTIBLE Y PAGP DE BOTES, JUMBOS Y LANCHAS PARA EL TRANSPORTE DE AYUDAS HUMANITARIAS.</t>
    </r>
  </si>
  <si>
    <t>APOYO DEL FNC MEDAINTE GIRO DIRECTO AL CLOPAD PARA APOYAR LA CONSTRUCCION DE OBRAS DE CONTENCION, REMOCION, Y GAVIONES EN LA VIA LA PLANTA - NUESA - COGUA ($200.000.000) Y CONSTRUCCION OBRAS DE MEJORAMIENTO CONSISTENTES EN LA CONSTRUCCION DE UN BOX COULVERT MUROS DE CONTENCION PARA LA QUEBRADA PADRE OTERO EN LA PARTE ALTA DE LA ZONA URBANA DEL MUNICIPIO DE COGUA ($300.000.000).</t>
  </si>
  <si>
    <t>APOYO DEL FNC MEDIANTE GIRO DIRECTO AL CLOPAD PARA APOYAR LA RECUPERACION DEL TRAMO VIAL SECUNDARIO PUENTE DE INGRESO - CEMENTERIO, AFECTADO POR LA TEMPORADA INVERNAL</t>
  </si>
  <si>
    <t>APOYO DEL FNC MEDIANTE GIRO DIRECTO PARA LA DESCOLMATACION DE LA QUEBRADA LA UNION Y LA QUEBRADA SAN PEDRO.</t>
  </si>
  <si>
    <t>APOYO DEL FNC MEDAINTE GIRO DIRECTO PARA LA CONSTRUCCION DE OBRAS DE MITIGACION Y REHABILITACION DE LA VIA VEREDA OSPIRMA ALTO SECTOR LA CASETA DE K1+500 AL K2+500, VIA VEREDA MILAS - VILLANUEVA, SECTORES QUEBRADAS BORALES DEL KO+000 AL K0+360, LIMITE ANSERMA CALDAS CORREGIMIENTO SAN CLEMENTE DEL K2+000 AL K2+120 Y VEREDA BETANIA ZONA RURAL DEL MUNICIPIO DE GUATICA</t>
  </si>
  <si>
    <t>APOYO DEL FNC MEDIANTE GIRO DIRECTO AL CLOPAD PARA ADQUISICION DE COMBUSTIBLE PARA LA MAQUINARIA PESADA QUE REALIZARA LOS TRABAJOS DE LIMPIEZA DE LOS DERRUMBES Y REPARACION DE CALZADAS DE LAS VIAS.</t>
  </si>
  <si>
    <t>DESBORDAMIENTO DEL RIO CAUCA, AFECTADO EL CORREGIMIENTO SALTO ABAJO. REPORTA D.C.C. APOYO DEL FNC MEDAITNE GIRO DIRECTO AL CLOPAD PARA ADQUISICION DE COMBUSTIBLE PARA LA MAQUINARIA PESADA QUE ADELANTARA LOS TRABAJOS DEDESPEJE DE DESLIZAMIENTOS, DERRUMBES,LIMPIEZA DE QUEBRADAS, REHABILITACION Y MANTENIMIENTO DE LAS VIAS</t>
  </si>
  <si>
    <t>APOYO DEL FNC MEDIANTE UN BOTE CON DESTINO A BOMBEROS</t>
  </si>
  <si>
    <t>EL VALOR DE OTROS CORRESPONDE A UN BOTE TAXI DE 22 PUESTOS CON MOTOR ENTREGADO A CRUZ ROJA</t>
  </si>
  <si>
    <t>APOYO DEL FNC MEDIANTE LA ENTREGA DE UN MOTOR CON DESTINO A LA CRUZ ROJA DEL DEPARTAMENTO DEL CHOCO.</t>
  </si>
  <si>
    <t>EL CLOPAD DE ATLANTICO INFORMA QUE  FUERTES VIENTOS Y MAREADA EN PUERTO COLOMBIA DONDE SE AFECTARON 20 CASETAS O PUESTOS DE COMERCIO LOS CUALES  ESTAN FRETE AL  MAR. EN LA ZONA CONTINUA LA  ALERTA POR LOS  FUERTES VIENTOS.</t>
  </si>
  <si>
    <t>GIRO DIRECTO AL CREPAD PARA LA ADQUISICION DE COMBUSTIBLE ($500.000.000) Y GASTOS OPERATIVOS ($50.000.000)</t>
  </si>
  <si>
    <t>SOLICITAN APOYO PARA VIAS Y MEJORAMIENTO DE TECHOS. APOYO DEL FNC MEDIANTE GIRO DIRECTO AL CLOPAD PARA ADQUISICION DE COMBUSTIBLE PARA EL MEJORAMIENTO DE LA VIAS DE GUANACAS, LA MILAGROSA, YQUIVA, EL GUADUAL, INZA-TURMINA, EL RINCON, SAN PEDRO, YAURAL, VIBORA, LA ANGA, RIO NEGRO, PEREGAL, ALTO DE TOPA, SAN ISIDRO, SAN ANTONIO SAN ANDES, PISIMBALA, CALDERAS, LA MURALLA VIA INZA - SANTA ROSA.</t>
  </si>
  <si>
    <t>APOYO DEL FNC MEDIANTE GIRO DIRECTO AL CREPAD PARA ALQUILER DE MAQUINARIA PARA LA REHABILITACION DE LA INFRAESTRUCTURA VIAL.</t>
  </si>
  <si>
    <t>APOYO DEL FNC MEDAINTE GIRO DIRECTO AL CLOPAD PARA REALIZAR OBRAS PARA EL MEJORAMIENTO Y RECUPERACION DE LA VIA QUE COMUNICA A LA VEREDA EL RODEO CON EL MUNICIPIO DE CURITI.</t>
  </si>
  <si>
    <t>APOYO DEL FNC MEDIANTE GIRO DIRECTO AL CLOPAD PARA APOYAR LAS OBRAS DE MITIGACION PARA EL CONTROL DE INUNDACIONES EN LA QUEBRADA MELLIZO</t>
  </si>
  <si>
    <t>CRECIENTE DEL RÌO GUACHACA,  LOS MIEMBROS DE LA FAMILIA FUERON IDENTIFICADOS COMO OTONIEL MADRID, DE 58 AÑOS; ROSA CALA, DE 50; MARÍA FLOREZ, DE 72; REINALDO RINCÓN, DE 28; SANDRA PACHECO, DE 25; Y UN MENOR DE 10 AÑOS, INFORMA D.C.C, SECCIONAL MAGDALENA.</t>
  </si>
  <si>
    <t>DESLIZAMIENTO, INFORMA D.C.C.</t>
  </si>
  <si>
    <t>DESBORDAMIENTO DE LOS RÌOS: ATRATO  Y SAN JUAN  15 BARRIOS INUNDADOS, INFORMO, SOCORRO NACIONAL, SRA. SANDY MARROQUIN. DESBORDAMIENTO DE LOS RÌOS: ATRATO  Y SAN JUAN  15 BARRIOS INUNDADOS, INFORMO, CREPAD DEL CHOCO, DR. RAFAEL BOLAÑOS.</t>
  </si>
  <si>
    <t>APOYO EL FNC MEDIANTE GIRO DIRECTO PARA LA CONSTRUCCION DE UN MURO EN CONCRETO EN LA VIA EL CURAL LLANO GRANDE.</t>
  </si>
  <si>
    <t>CRECIENTE SUBITA DEL RIO CHINCHINA SECTOR LUCITANIA AFECTO LA PLANTA DEL ACUEDUCTO LUIS PRIETO-15 VIVIENDAS EVACUADAS PREVENTIVAMENTE INFORMA CREPAD CALDAS. APOYO DEL FNC MEDIANTE EL GIRO DIRECTO AL CLOPAD PARA AQUILER DE 20 CARROTANQUES DURANTE 8 DIAS A RAON DE 1.200.000 DIARIO ($192,000,000), COMBUSTIBLE Y TRANPORTE E PUENTE MILITAR DESDE BOGOTA A MANIZALES ($20,000,000), ARRIENDO TEMPORAL PARA 50 FAMILIAS POR TRES MESES A RAZON DE $150.000 MENSUAL ($22,500,000)</t>
  </si>
  <si>
    <t>APOYO A TRAVES DEL DEPARTAMENTO</t>
  </si>
  <si>
    <t>DESBORDAMIENTO DEL RIO CESAR-AFECTADAS LAS VEREDAS: HEBRON PINOGANO-PEDRALIPE-EL TRIUNFO-ARJONA-NUEVA COLOMBIA-LA PUERTA-EL YUCAL-VILLA ALEXANDRA-LA Y-EL CASCAJO-DIVIDIVI-MONTECRISTO-ARBOLETES-BELGICA-PARAISO-EL VALLITO-LIBERTADOR-SANTNDER-SAN JOSE-SAN ISIDRO-11 DE NOVIEMBRE-CORREGIMIENTO EL HEBRON- SANTA CECILIA AFECTADO POR EL ARROYO SANTA CECILIA-BARRIOS: PARAISO-MANO DE DIOS-BARRIO EL LIMON-EL LIBERTADOR- VIAS EL JOBO VEREDA PINONGANO, VIA PINONGANO-PEDRALIPE, PUENTES:  VEREDA SAN PEDRO, VEREDA MUNDO NUEVO, EL PUENTE QUE COMUNICA LA CABECERA MUNICIPAL CON LA VEREDA SAN PEDRO.DESBORDAMIENTO DEL RÌO CESAR, ARROYOS Y QUEBRADAS, EN LOS CORREGIMIENTO DE: SANTA CECILIA, ARJONA, HEBRÒN, BARRIOS: PARAISO, LA MANO DE DIOS, FINCA.: TARRA, CABECERA MUNICIPAL AFECTADA, AFECTADAS LAS VÌAS: EL JOBO, PINOGAMO, PEDRALIPE, DOS PUENTES VEHICULARES AFECTADOS EN LAS VERDAS: SAN PEDRO, MUNDO NUEVO,  INFORMO CLOPAD DE ASTREA CESAR.</t>
  </si>
  <si>
    <t>SE APOYA A TRAVES DEL DEPARTAMENTO</t>
  </si>
  <si>
    <t>SE APOYO A TRAVES EL DEPARTAMENTO</t>
  </si>
  <si>
    <r>
      <t xml:space="preserve">AVALANCHA DE LA QUEBRADA LA CHAPA  EN EL SECTOR SANTA TERESA-AFECTADA LA VIA  SOCHA-TASCO. INFORMA CREPAD BOYACA.. </t>
    </r>
    <r>
      <rPr>
        <b/>
        <sz val="9"/>
        <rFont val="Arial"/>
        <family val="2"/>
      </rPr>
      <t>APOYODEL FNC MEDIANTE GIRO DIRECTO AL CLOPAD PARA APOYAR LOS TRABAJOS DE CONSTRUCCION DE UNA VIA ALTERNA UBICADA EN LA VEREDA CALICHANA SECTOR TORRE DE ANGULO - EL PORTILLOY QUE PERMITIRA ATENDER LA EMERGENCIA VIAL GENERADA POR EL DESLIZAMIENTO SALITRE -COLORADALES. EL VALOR DE OTROS CORRESPONDE A 100 METROS DE TUBERIA DE 8", CON UNIONES Z, CODOS Y UNIONES DE REPARACION, 100 MALLA PARA GAVION, 1000 METROS DE MANGUERA DE 1/2"</t>
    </r>
  </si>
  <si>
    <t>DESLIZAMIENTO DE TIERRA, EN LA VEREDA: SISIRA, RESGUARDO INDIGENA: SAN LORENZO, SE RESCATARON  9 CUERPOS,  CORRESPONDIENTES A:  WILLIAM ALBERTO ROJAS DE  18 AÑOS , EDIER ARBEY ROJAS DE  15 AÑOS, MARIA DEL JESUS GAÑAN DE 38 AÑOS,
JOSE DARIO LENGUA DE 41  AÑOS, BALTAZAR ANTONIO ROJAS DE  40 AÑOS, PATRICIA ANDICA DE  35 AÑOS, YULY VANESSA LENGUA DE  13 AÑOS, SARA MELISSA ROJAS DE   2 AÑOS,  YESICA FERNADA ROJAS DE  10 AÑOS.                                                                                 INFORMO MINISTERIO DE SALUD Y PROTECCIÒN SOCIAL, SOCORRO NACIONAL, SRA. SANDY MARROQUIN, 4376369, SE INFORMO DE LA NOVEDAD AL CREPAD DE CALDAS, DR. FELIX GIRALDO. EL VALOR DE OTROS CORRESPONDE A 90 LINTERNAS Y 90 SILBATOS</t>
  </si>
  <si>
    <t>AFECTADO EL SECTOR SAN JOSE DE LOS TEJARES, LAS FAMILIAS FUERON  EVACUADAS  AL SALON COMUNAL LA GRAN VICTORIA Y OTRAS FAMILIAS  DONDE FAMILIARES Y AMIGOS. REPORTA CLOPAD POPAYAN ARQUITECTO HERNAN BARONA. EL VALOR DE OTROS CORRESPONDE A 10 ESTUFAS INDUSTRIALES.</t>
  </si>
  <si>
    <t>EVENTO PRESENTADO EN LAS VEREDAS  LA  ARGENTINA, LA MIRANDA, EL RAYO  Y ALTO CAUCA.  REPORTE  CREPAD RISARALDA  CORREO ELECTRONICO.</t>
  </si>
  <si>
    <t>INCENDIO ESTRUCTURAL, EN LA LOCALIDAD: RAFAEL URIBE, BARRIO. SOFIA, INFORMO D.C.C.</t>
  </si>
  <si>
    <t>INCENDIO ESTRUCTURAL, EN FABRICA DE TEXTILES, CENTRO DE LA MODA, BARRIO: SANTA MARTA, PERDIDAS MATERIALES POR ESTABLECER, INFORMO D.C.C</t>
  </si>
  <si>
    <t>VENDAVAL, EN EL SECTOR: EL ESPAÑOL, AFECTADA UNA SUB-ESTACIÒN DE LA POLICIA, INFORMO SALA DE CRISIS, D.C.C . VENDAVAL EN LAS VEREDAS: LA UNIÒN, SAN GREGORIO, LA PLAYA, AFECTADA LA ESTACIÒN  Y CULTIVOS, INFORMO CREPAD DE RISARALDA, DRA. DIANA CAROLINA RAMIREZ</t>
  </si>
  <si>
    <t>APOYO DEL FNC MEDAINTE GIRO DIRECTO AL CLOPAD PARA APOYAR EL PROYECTO RECUPERACION DE LA VIA QUE COMUNICA A LA VEREDAS BARRANCO COLORADO Y VEREDA MAGARA DESDE K0+00 AL K5+100</t>
  </si>
  <si>
    <t>APOYO PARA FAMIIAS AFECTADAS DESDE EL AÑO 2010 Y GIRO DIRECTO PARA LA ADQUISICION DE COMBUSTIBLE PARA EL MEJORAMIENTO DE LA RED VIAL.</t>
  </si>
  <si>
    <t>REFPORTE DE LA DEFENSA CIVIL Y CLOPAD</t>
  </si>
  <si>
    <r>
      <t>CORREGIMIENTO DE SAN ANDRES, SANTA LUCIA, TACAMOCHO Y TACAMOCHITO. REPROTE DEL CLOPAD.</t>
    </r>
    <r>
      <rPr>
        <b/>
        <i/>
        <sz val="9"/>
        <rFont val="Arial"/>
        <family val="2"/>
      </rPr>
      <t xml:space="preserve"> SE SOLICITO ENTREGAR A TRAVES DEL EJERCITO 1408 KIT DE NOCHE, 1,408 KIT DE ASEO Y 1408 KIT DE COCINA. </t>
    </r>
    <r>
      <rPr>
        <b/>
        <sz val="9"/>
        <rFont val="Arial"/>
        <family val="2"/>
      </rPr>
      <t>APOYO DEL FNC MEDIANTE GIRO DIRECTO PARA LA ADQUISICION DE COMBUSTIBLE PARA LOS TRABAJOS DE EVAUCAUACION Y EL TRANSPORTE DE MATEIAL DE RRELLENO Y /O COSTALES Y LA EVACUACION DE AGUAS ESTANCADASEN LOS CORREGIMIENTOS DE SAN ANDRES, SANTA LUCIA TACAMOCHO Y TACAMOCHITO.</t>
    </r>
  </si>
  <si>
    <t>7 VEREDAS INCOMUNICADAS  POR DESLIZAMIENTOS SOBRE LA VIA PRINCIPAL, 8 LINEAS VITALES AFECTADAS. REPORTA CREPAD CUNDINAMARCA. APOYO DEL FNC MEDAINTE GIRO DIRECTO AL CLOPAD PARA LA ADQUISICION DE COMBUSTIBLE PARA REALIZAR LOS TRABAJOS DE DESPEJEDE DESLIZAMIENTOS, DERRUMBES, LIMPIEZA DE QUEBRADAS , REHABILITACION Y MANTENIMIENTO DE VIAS.</t>
  </si>
  <si>
    <t>EL CLOPAD MEDIANTE ACTA DEL 16 DE DICIEMBRE REPORTA AFECTACION EN 53 FAMIIAS Y PERDIDAS DE CULTIVOS</t>
  </si>
  <si>
    <t>SACOS ENTRAGADOS A CORMAGDALENA</t>
  </si>
  <si>
    <t>INUNDACIONES,  INFORMO CREPAD DEL HUILA</t>
  </si>
  <si>
    <t>INUNDACIONES, DESLIZAMIENTOS, HUNDIMIENTOS, INFORMO CREPAD DEL HUILA</t>
  </si>
  <si>
    <t>INUNDACIONES,  DESLIZAMIENTOS, INFORMO CREPAD DEL HUILA</t>
  </si>
  <si>
    <t>INUNDACIONES, VENDAVAL, INFORMO CREPAD DEL HUILA</t>
  </si>
  <si>
    <t>INUNDACIONES, DESLIZAMIENTOS, AFECTACIÒN EN CULTIVOS,  INFORMO CREPAD DEL HUILA</t>
  </si>
  <si>
    <t>INUNDACIONES, DESLIZAMIENTOS, INFORMO CREPAD DEL HUILA</t>
  </si>
  <si>
    <t>INUNDACIONES,  DESLIZAMIENTOS, AFECTACIÒN EN CULTIVOS, INFORMO CREPAD DEL HUILA</t>
  </si>
  <si>
    <t>INUNDACIONES, DESLIZAMIENTOS,  INFORMO CREPAD DEL HUILA</t>
  </si>
  <si>
    <t>INUNDACIONES, DESLIZAMIENTOS, AFECTACIÒN EN CULTIVOS, INFORMO CREPAD DEL HUILA</t>
  </si>
  <si>
    <t>INUNDACIONES, INFORMO CREPAD DEL HUILA</t>
  </si>
  <si>
    <t>INUNDACIONES, AFCETACIÒN EN CULTIVOS,  INFORMO CREPAD DEL HUILA</t>
  </si>
  <si>
    <t>APOYO EN LA MINAS DE ZINC PARA CONSTUCCION DE ALBERGUES. APOYO DEL FNC MEDIANTE GIRO DIRECTO AL CLOPAD PARA LA ADQUISICION DE COMBUSTIBLE QUE SE UTILIZARA EN EL TRANSPORTE FLUIVAL, SERVICIO DE VIGILANCIA, PREVENCION Y ATENCION DE EMERGENCIAS. INUNDACIONES, INFORMO: CREPAD DEL CHOCO, DR. RAFAEL BOLAÑOS.</t>
  </si>
  <si>
    <t>DESBORDAMIENTO DE LOS RÌOS: ATRATO  Y SAN JUAN  18 BARRIOS INUNDADOS, INFORMO, SOCORRO NACIONAL, SRA. SANDY MARROQUIN. DESBORDAMIENTO DE LOS RÌOS: ATRATO  Y SAN JUAN  18 BARRIOS INUNDADOS, INFORMO, CREPAD DEL CHOCO, DR. RAFAEL BOLAÑOS.</t>
  </si>
  <si>
    <t>APOYO DEL FNC MEDIANTE GIRO DIRECTO AL CLOPAD PARA ADQUISICION DE COMBUSTIBLE PARA LA MAQUINARIA QUE REALIZARA LOS TRABAJOS DE REHABILITACION DE LA RED VIAL</t>
  </si>
  <si>
    <t>APOTYO DEL FNC MEDIANTE GIRO DIRECTO PARA LA ADQUISICION DE COMBUSTIBLE PARA REALIZAR TRABAJOS DE REHABILITACION VIAL</t>
  </si>
  <si>
    <t>AFECTADO CORREGIMIENTO DE PATICO, LOS MANGOS, CAÑO HONDO, TUPE, LADERA DE SAN MARTIN, LAS MARIAS, EL PORVENIR, PEÑON DE DURAN, TALAIGUA VIEJO Y VESUBIO. CABECERA MUNICIPAL. REPORTE DEL CLOPAD MEDIANTE OFICIO DEL 12 DE CICIEMBRE. A LA ESPERA DE ACTAS Y CENSOS.</t>
  </si>
  <si>
    <t>DESBORDAMIENTO DEL RIO MAGDALENA CORREGIMIENTO EL CERRITO. REPORTE  DEFENSA  CIVIL. SR. LUIS A. BOTTIA TEL 3199000. AFECTACIONES EN LA VIA  EL BANCO-TAMALAMEQUE - EL BANCO GUAMAL. REPORTE  CREPAD MAGDALENA  CORREO ELECTRONICO. INFORMACION ACTUALIZADA POR EL CREPAD MEDIANTE OFICIO DEL 13 DE DICIEMBRE</t>
  </si>
  <si>
    <t>CRECIENTE DEL RÌO MAGDALENA, COLAPSO DE UN PEDAZO DEL MURO DE CONTENCIÒN, EN EL CORREGIMIENTO DE: MURILLO, INFORMO D.C.C. INFORMACION DE FAMILIAS AFECTADAS ACTUALIZADA POR EL CREPAD MEDIANTE OFICIO DEL 13 DE DICIEMBRE</t>
  </si>
  <si>
    <t>INFORMACION DE FAMILIAS ACTUALIZADA POR EL CREPAD MEDIANTE OFICIO DEL 13 DE DICIEMBRE</t>
  </si>
  <si>
    <t>AFECTADAS LA  VIAS  A PUNTA  DE  PIEDRA  Y PIVIJAY, REPORTE  CREPAD MAGDALENA CORREO ELECTRONICO. INFORMACION SOBRE FAMILIAS AFECTADAS ACTUALIZADA POR EL CREPAD MEDIANTE OFICIO DEL 13 DE DICIEMBRE</t>
  </si>
  <si>
    <t>DESBORDAMIENTO DE  RIO MAGDALENA  EN LOS BARRIOS LA PAZ, ALMENDROS, TERMINAL, MIRAMAR Y CORREGIMIENTOS  SAN FERNANDO Y BARROBLANCO REPORTE  DEFENSA  CIVIL SR. LUIS A. BOTTIA TEL 3199000. INFORMACION SOBRE FAMILIAS ACTUALIZADA MEDIANTE OFICO DEL CREPAD DEL 13 DE DICIEMBRE.</t>
  </si>
  <si>
    <t>INUNDACIONES,  INFORMO, CREPAD DEL CHOCO, DR. RAFAEL BOLAÑOS.</t>
  </si>
  <si>
    <t>A RAIZ DE FUERTES LLUVIAS, SE PRESENTO EL COLAPSO DEL ACUEDUCTO, EN EL SECTOR DE SALIDOD, SE ENCUENTRAN 5000 PERSONAS AFECTADAS POR EL NO SUMINISTO DE AGUA POTABLE INFORMO CREPAD DEL CAUDA, DRA. EDITH PAZ</t>
  </si>
  <si>
    <t>AVALANCHA DE LODO, VEREDA. JARDINES, CORREGIMIENTO. FLORENCIA, INFORMO BOMBEROS, CRUE.</t>
  </si>
  <si>
    <t>SE PRESENTO DERRUMBE, EN UNA OBRA, BARRIO. VILLA TINA, INFORMO MINISTERIO DE SALUD Y  PROTECCIÒN SOCIAL, SR. OMAR GONZALEZ</t>
  </si>
  <si>
    <t>DESLIZAMIENTO, BARRIO: EL CARMÈN, INFORMO D.C.C, MINISTERIO DE SALUD Y PROTECCIÒN SOCIAL.</t>
  </si>
  <si>
    <t>INCENDIO ESTRUCTURAL, PARQUE PRINCIPAL, AFECTADOS VARIOS LOCALES COMERCIALES, DAÑOS MATERIALES POR ESTABLECER, APOYAN BOMBEROS DE 5 MUNICIPIOS, INFORMO CREPAD DE ANTIOQUIA, DR. GILBERTO MAZO.</t>
  </si>
  <si>
    <t>INCENDIO ESTRUCTURAL, EN BARRIO SUBNORMAL, INFORMA SOCORRO NACIONAL.</t>
  </si>
  <si>
    <t>AFECTADA LA MALLA VIAL Y EL PATINODROMO. SE PRESENTAN PROBÑEMAS DE ALCANTARILLADO EN EL CASCO URBANO. EL MUNICIPIO DECRETO URGENCIA MANIFIESTA. EL 2 DE DICIEMBRE. NO HAY SOLICITUD DE APOYO.</t>
  </si>
  <si>
    <t>INCENDIO ESTRUCTURAL, CENTRO ADMINISTRATIVO, EN EL AREA DE LOS JUZGADOS, DAÑOS MATERIALES POR ESTABLECER, INFORMO D.C.C</t>
  </si>
  <si>
    <t>INCENDIO ESTRUCTURAL, EN LA ZONA CENTRICA, EN ALMACEN DE MISCELANEA, INFORMO D.C.C</t>
  </si>
  <si>
    <t>INUNDACION EL LOS SECTORES  EL SALTO Y LA LAVANDERA. REPORTE  CREPAD BOYACA  CORREO ELECTRONICO</t>
  </si>
  <si>
    <t>AFECTADOS  LOS BARRIOS  SAMARIA, PATIÑO, CONCEPCION, SABANETA,  DOMINGUITO,  HERRADURA, SAN PEDRO, LA LAJA, EL TORO,  SANTA  ROSA, CAMPOALEGRE, REPORTE  CREPAD BOYACA  CORREO ELECTRONICO</t>
  </si>
  <si>
    <t>DESLIZAMIENTO EN EL SECTOR  RURAL. REPORTE  CREPAD BOYACA  CORREO ELECTRONICO</t>
  </si>
  <si>
    <t>INUNDACION EN LOS BARRIOS AGUDELO, BARBILLA, MANE, DURAZNOS, COLORADOS, CENTRO, GUATAQUE, PUENTECITOS,  MATA DE  RAMO. REPORTE  CREPAD BOYACA  CORREO ELECTRONICO</t>
  </si>
  <si>
    <t>INUNDACION EN LOS BARRIOS APOSENTOS, EL UVO, CARBONERA, ZAPATERO,  CENTRO, POTREROS, JABONERA. REPORTE  CREPAD BOYACA  CORREO ELECTRONICO</t>
  </si>
  <si>
    <t>DESLIZAMIENTO QUE AFECTO LAS VEREDAS: ZANJAISYNCHA Y VEREDA VALLE,  EN LOS SECTORES  MONTEJO, QUINCHOS, VALLE, SICHA. AFECTACION EN CULTIVOS DE  PAIZ, CAÑA, FRIJOL Y PASTOS. REPORTE  CREPAD BOYACA  CORREO ELECTRONICO</t>
  </si>
  <si>
    <t>40 UNIFORMES IMPERMEABLES Y 40 PARES DE BOTAS PARA LA POLICIA A FIN DE CONTINUAR CON LOS TRABAJOS FRENTE A LAS INUNDACIONES</t>
  </si>
  <si>
    <t>APOYO A LA POLICIA MEDIANTE LA ENTREGA DE 40 UNIFORMES, 40 CASCOS, 40 LINTERNAS, 40 MONOGAFAS, 8 MOSQUETONES EN D, 7 MOSQUETONES EN ACERO, 2 PLACAS MULTIANCLAJE, 5 ´POLEAS, 5 BLOQUEADORES GIBBS, UN CORDINO DE 7MM, UNA CINTA TUBULAR DE 2" 6 CUERDAS ESTATICAS DE 11 MM, 2 TABLAS DE INMOVILIZACION ESPINAL, UNA CAMILLA CANASTA, 5 ARNES PELVICOS, 45 OVEROLES ENTERIZOS, 45 GUANTES DE CARNAZA, 45 BOTA MACHA ALTA</t>
  </si>
  <si>
    <t>INCENDIO ESTRUCTURAL, POR IMPRUDENCIA AL QUEMAR UN MUÑECO DE AÑO VIEJO CERCA A LA VIVIENDA DONDE FUNCIONABA UN TALLER, EN EL CORREGIMIENTO DE: MONDOMO.</t>
  </si>
  <si>
    <t>INCENDIO ESTRUCTURAL, EN LA VEREDA: EL ROSAL, INFORMO CREPAD DE CAQUETA, SR. GUSTAVO ORTEGA</t>
  </si>
  <si>
    <t xml:space="preserve">DOS CARPAS TIPO AULA PARA LAS ESCUELAS PAPI BOCA Y FATIMA. </t>
  </si>
  <si>
    <t>ATENTADO TERRORISTA SOBRE EL OLEODUCTO TRASANDINO. EL VLOR DE OTROS CORRESPONDE A 7000 GARRAFAS DE AGUA.</t>
  </si>
  <si>
    <t>INFORMA EL COORDINADOR DEL CREPAD DE NARIÑO DE ATENTADO TERRORISTA EN CORREGIMIENTO DE PAILÓN, SOBRE EL OLEODUCTO TRASANDINO EL CUAL  TRASPORTA CRUDO. A  CAUSA DE ESTA SITUACIÓN SE  AFECTÓ LA CUENCA DEL RIO TELENBI IGUALMENTE AFECTANDO EL ACUEDUCTO QUE  ALIMENTA ESTE AFLUENTE, EN EL CORREGIMIENTO DE PAILÓN. PERSONAL DE ECOPETROL SE  ENCUENTRAN EN EL SITIO REALIZANDO LOS  TRABAJOS DE LIMPIEZA DEL AFLUENTE. OTROS CORRESPONDE A 1100 GARRAFAS DE 5 LITROS</t>
  </si>
  <si>
    <t>200 MT TUBERIA EN CONCRETO DE 36" Y 2000 METROS CUBICOS MATERIAL TIPO B200, REPARACION PUENTE SEVILLA VIA BOSCONIA - YE DE CIENAGA</t>
  </si>
  <si>
    <t>APOYO  GLOBAL PARA LOS MUNICIPIOS DE GUAMAL, SAN ZENON, PIJIÑO DEL CARMEN, ZAPAYAN, SANTA ANA Y SITIONUEVO.</t>
  </si>
  <si>
    <t>AFECTADAS   LAS VEREDAS EL CHUSCAL, TRES ESQUINAS, LA MANCHA, TAMBORES, LA FLORESTA. REPORTA CREPAD RISARALDA.. VALOR DE OTROSCORRESPONDE A 30 TANQUES DE 1000 LTS. CERRADOS</t>
  </si>
  <si>
    <t>DESBORDAMIENTO DEL RIO ACACIAS EN ZONA URBANA Y RURAL. REPORTE  CREPAD META DRA. CLARA  CARVAJAL CEL. 3202407264. EL VALOR DE OTROS CORRESPOBNDE A 30 TNQUES DE 5000 LITROS CADA UNO Y DOS BATERIAS PARA CARROTANQUE</t>
  </si>
  <si>
    <t>CRECIENTE DEL ARROYO EL GUAMO, AFECTADA LA CABECERA MUNICIPAL, INFORMO, CREPAD DE BOLIVAR,  DR. EDGAR LARIOS REDONDO. CORREGIMIENTOS TASAJERA, ROBES, NERVITI, SAN JOSE LATAS, ENEA, SANTA CRUZ</t>
  </si>
  <si>
    <t>ACTUALIZACION DEL CREPAD. BARRIOS OASIS, PROGRESO, ANGELES, VICTORIA, PORVENIR, CUILLIN Y DIAMANTES.</t>
  </si>
  <si>
    <t>ACTUALIZACION DEL CREPAD SECTORES DE SANTA TERESA, Y VILLA ELVIRA.</t>
  </si>
  <si>
    <t>SECTORES BRAZUELO DEL DIQUE, BRAZO DE MORALES, RIO MAGDALENA Y CORREGIMIENTO DE CAIMITAL. SECTORES SAN LUIS Y EL PROGRESO.</t>
  </si>
  <si>
    <t>ADQUISICION DE COMBUSTIBLE PARA UTILIZARLO EN LAS MOTOBOMBAS QUE EVACUARAN LAS AGUAS DEL MUNICIPIO. SECTOR EL ENCANTO Y CALLE DEL COMERCIO.</t>
  </si>
  <si>
    <t>INUNDACIONES, REPORTA D.C.C, SECCIONAL BOLIVAR. INUNDACIONES, 7 BARRIOS AFECTADOS, INFORMO CREPAD DE BOLIVAR, DR. EDGAR LARIOS  REDONDO.</t>
  </si>
  <si>
    <t xml:space="preserve">DESBORDAMIENTO DE LA CIENAGA DEL TOTUMO, SECTORES: EL BOLSILLO, LA VICTORIA, LA CEIBA, EL CAMPO EN LOMITO ARENAL, CORREGIMIENTOS DE: PUEBLO NUEVO, GALERAZAMBA, SANTA CATALINA, SE ENCUENTRAN COMPLETAMENTE INUNDADOS, INFORMO BARRIOS PROGRESO, 2 DE FEBRERO, 80 VILLA ROSITA, </t>
  </si>
  <si>
    <t>ACTUALIZACION DEL CREPAD. CIUDADELA 2000, MAGA, LIVANO, NUEVO LIVANO Y CHISPO.</t>
  </si>
  <si>
    <r>
      <t xml:space="preserve"> ONCE PERSONAS MURIERON Y   80 RESULTARON HERIDAS POR LA EXPLOSIÓN DE UN POLIDUCTO EN EL BARRIO VILLA CAROLA, DE LA COMUNA 10 DE DOSQUEBRADAS, RISARALDA. EL ESTALLIDO OCURRIÓ SOBRE LAS 4:45 DE LA MAÑANA Y PROVOCÓ UN INCENDIO EN LA ZONA QUE AFECTÓ A 76VIVIENDAS RESULTARON CON DAÑOS POR LA EXPLOSIÓN Y EL POSTERIOR INCENDIO AUN SE  ENCUENTRAN REALIZANDO EDAN.    SEGÚN UN COMUNICADO DIFUNDIDO POR LA ALCALDÍA DE DOSQUEBRADAS, LA PLANTA DE TRATAMIENTO DE ACUASEO QUE SUMINISTRA AGUA A UNAS 24.000 FAMILIAS DEL SECTOR DE BOSQUES DE LA ACUARELA, LUGAR ALEDAÑO A LA ZONA DE LA TRAGEDIA, SE ENCUENTRA AFECTADA EN UN 40 POR CIENTO. EL SERVICIO FUE SUSPENDIDO. EL CREPAD ASEGURÓ QUE PARA EVITAR LA INTOXICACIÓN DE LA CIUDADANÍA POR LA POSIBLE CONTAMINACIÓN DE LAS FUENTES HÍDRICAS, TAMBIÉN FUE SUSPENDIDO EL SERVICIO QUE ENTREGAN LOS ACUEDUCTOS COMUNITARIOS QUE SURTEN LOS BARRIOS LAS ACACIAS, LA ROMELIA, Y LA DIVISA. ANTE LA EMERGENCIA, LA EMPRESA SERVICIUDAD AUTORIZÓ REALIZAR UNA CONEXIÓN PARA SURTIR DE AGUA A ESTOS SECTORES, AL IGUAL QUE BOMBEROS DOSQUEBRADAS Y DE PEREIRA ABASTECERÁN DE ESTE LÍQUIDO EN CARROTANQUES A LA ZONA.FINALMENTE, COMO ALBERGUES TEMPORALES FUERON ADECUADOS EL CLUB DEL ADULTO MAYOR Y EL COLISEO MUNICIPAL, MIENTRAS QUE EN EL COLEGIO BOSQUES DE LA ACUARELA SE ENTREGAN VÍVERES Y FRAZADAS. </t>
    </r>
    <r>
      <rPr>
        <b/>
        <sz val="9"/>
        <rFont val="Arial"/>
        <family val="2"/>
      </rPr>
      <t>EL VALOR DE OTROS CORREPONDE A SUBSIDIO DE ARRIENDO TEMPORAL PARA 20 FAMILIAS POR TRES MESES A RAZON DE $250.000 MENSUAL, POSTERIORMENTE 17 FAMILIAS POR TRES MESES A RAZON DE 250.000 MENSUAL, POSTERIORMENTE 9 FAMILIAS POR TRES MESES A RAZON DE $250.000 MES, EL 1 DE FEBRERO DE 2012 SE APOYARON 14 FAMILIAS POR TRES MESES A RAZON DE 250.000. (HACE FALTA EL TRAMITE DE 28 SUBSIDIOS APROX).</t>
    </r>
  </si>
  <si>
    <t>MEDIANTE OFICIO DE FECHA 31 DE ENERO DE 2012 SE RECIBIERON ACTAS DEL CLOPAD DEL 2 DE MARZO DE 2011, 13 DE MARZO DE 2011 Y 7 DE ABRIL DE 2011, 13 DE MAYO DE 2011,  REGISTRO FOTOGRAFICO Y SOLICITUD DEL ALCALDE PARA LA INCLUSION DEL MUNICIPIO. REPORTAN AFECTACION EN VIVIENDAS Y VIAS (VIA EL CRUCERO - EL MURO Y VIA ESCUELA LLANO DE ALARCON CUATRO ESQUINAS.</t>
  </si>
  <si>
    <t>APOYO A BOMBEROS MEDIANTE EL SUMINISTRO DE 30 TRAJES ESCAFANDRA PARA LA ATENCION DE INUNDACIONES</t>
  </si>
  <si>
    <t>ELEMENTOS JUNTA DEFENSA CIVIL LA DONJUANA : 2 BOTIQUINES, 2 TABLAS DE INMOBILIZACION, 200 CUERDAS, 10 ARNES, 10 MOSQUETONES, 10 OCHOS, 10 CASCOS, 30 UNIFORMES DCC, 5 BOMBAS, 4 RADIOS, 5 CARPAS, 30 FRAZADAS, 40 COLCHONETAS, 2 MOTOSIERRAS, 10 LAMPARAS DE EMERGENCIAS</t>
  </si>
  <si>
    <t>INUNDACIONES EN LOS SECTORES  DE: PACHINDO Y EL PLACER, INFORMO CREPAD DE NARIÑO.</t>
  </si>
  <si>
    <t>FACTORES CLIMATICOS, AFECTACIÒN EN 273,58 HECTAREAS DE  CULTIVOS, INFORMO CREPAD DE NARIÑO.</t>
  </si>
  <si>
    <t>VENDAVAL, AFECTADA LA INSTITUCIÒN EDUCATIVA AGROPECUARIA JOSÈ  MARÌA HERNANDEZ, UBICADA EL EL BARRIO: SAN FRANCISCO, INFORMO CREPAD DE NARIÑO.</t>
  </si>
  <si>
    <t>DESLIZAMIENTO, INFORMO CREPAD DE NARIÑO.</t>
  </si>
  <si>
    <t xml:space="preserve">DESLIZAMIENTO, AFECTADA LA INSTITUCIÒN EDUCATIVA JOSÉ ANTONIO GALAN, AFECTADO EL PUENTE VEHICULAR, EN EL BARRIO: SAN ROQUE, AFECTACIÒN EN VÌAS TERCIARIAS, INFORMO CREPAD DE NARIÑO. </t>
  </si>
  <si>
    <t>DESLIZAMIENTO, AFECTADO EL CENTRO HOSPITALARIO LUIS ANTONIO MONTERO, AFECTACIÒN  EN VÌAS,  INFORMO CREPAD  DE NARIÑO.</t>
  </si>
  <si>
    <t>DESLIZAMIENTO,  INFORMO CREPAD DE NARIÑO.</t>
  </si>
  <si>
    <t>DESLIZAMIENTO, AFECTADO CENTRO EDUCATIVO, EN LA VEREDA:  LAS JUNTAS, INFORMO CREPAD DE  NARIÑO.</t>
  </si>
  <si>
    <t>COLAPSO DEL ALCANTARILLADO DE LA QUEBRADA CHIGUAN, INFORMO CREPAD DE  NARIÑO.</t>
  </si>
  <si>
    <t xml:space="preserve">INUNDACIONES, AFECTANDO EL ESTADIO DEL CORREGIMIENTO DE JOSÈ MARÌA HERNANDEZ, COLAPSO DE LA BANCA EN LA VÌA PUPIALES- IPIALES, INFORMO CREPAD DE  NARIÑO. </t>
  </si>
  <si>
    <t xml:space="preserve">DESLIZAMIENTO, AFECTADA LA VÌA PILCUAN -  ILES SECTOR  KM: 0+ 200 MPIO DE IMUES, INFORMO CREPAD DE  NARIÑO. </t>
  </si>
  <si>
    <t>AFECTACION EN SECTORES CHIRATA, TEGUANEQUE,  JURATA, PASCATA, ROSALES. REPORTE  CREPAD BOYACA  CORREO ELECTRONICO.</t>
  </si>
  <si>
    <t>ATENDIDO  A TRAVES DEL CREPAD</t>
  </si>
  <si>
    <t>INFORMA EL COMITÉ  REGIONAL DE RISARALDA VÍA EMAIL DE  ACTUALIZACIÓN DE  DATOS DE AFECTACIÓN , DEL MUNICIPIO DE BELÉN DONDE S E PRESENTARON DESLIZAMIENTOS  EN LAS VEREDAS EL PROGRESO, LA SELVA, REMOLINOS, LA LLORONA, LA ISLA. LA  INFORMACION INICIAL REPOSA EN EL REPORTE  PRELIMINAR 2115 DEL 23 DE DICIEMBRE DE 2011.</t>
  </si>
  <si>
    <t>INFORMA EL COMITÉ  REGIONAL DE RISARALDA VÍA EMAIL DE  ACTUALIZACIÓN DE  DATOS DE AFECTACIÓN , DEL MUNICIPIO DE MISTRATO DONDE S E PRESENTARON DESLIZAMIENTOS . LA  INFORMACION INICIAL REPOSA EN EL REPORTE  PRELIMINAR 1999 DEL 18 DE OCTUBRE DE 2011.</t>
  </si>
  <si>
    <t>REPORTE POR EL CREPAD EN FEBRERO DE 2012</t>
  </si>
  <si>
    <t>SECTORES: EL DIQUE, BODEGA CENTRAL, LA PALMA, CABECERA. DEBORDAMIENTO RIO MAGDALENA, DESBORDAMIENTO QUBRADA MORALES. RIO CAUCA. REPORTE DEL CREPAD. APOYO DEL FNC MEDIANTE GIRO DIRECTO AL CLOPAD PARA OPERATIVIDAD Y MANTENIMIENTO DE MAQUINARIA POR VALOR DE $70,980000 VALOR DE OTROS CORRESPONDE A  50 ROLLOS DE POLISOMBRE Y UNA MOTOBOMBA DE 10"</t>
  </si>
  <si>
    <t>VEREDAS: CAMPO ALEGRE, CAÑO HONDO, MONO CONTENTO, CAIMITAL, HATILLO, COBADILLO. DEBORDAMIENTO RIO MAGDALENA, REPORTE DEL CREPAD. EL VALOR DE OTROS CORRESPONDE A UNA PLANTA ELECTRICA DEE 150 KVA Y SEIS CALDEROS.  APOYO DEL FNC MEDIANTE GIRO DIRECTO AL CLOPAD PARA ALQUILER DE MAQUINARIA Y COMBSTIBLE PARA REHABILITACION DE LA VIA RIOVIEJO - LA VICTORIA.</t>
  </si>
  <si>
    <r>
      <t>VEREDAS  CHIGUATA, VALLETA , MONVITA  Y PORTACHUELO. REPORTE DEL CREPAD.</t>
    </r>
    <r>
      <rPr>
        <b/>
        <sz val="8"/>
        <rFont val="Arial"/>
        <family val="2"/>
      </rPr>
      <t xml:space="preserve"> APOYO DEL FNC MEDIANTE GIRO DIRECTO AL CLOPAD PARA ALQUILER DE MAQUINARIA Y COMPRA DE COMBUSTIBLE.</t>
    </r>
  </si>
  <si>
    <r>
      <t>SECTOR: LA GRECIA. REPORTE DELCREPAD.</t>
    </r>
    <r>
      <rPr>
        <b/>
        <sz val="8"/>
        <rFont val="Arial"/>
        <family val="2"/>
      </rPr>
      <t xml:space="preserve"> GIRO DIRECTO AL CLOPAD PARA LA ADQUISICION DE COMBUSTIBLE Y LUBRICANTES</t>
    </r>
  </si>
  <si>
    <t>EN LA MADRUGADA DEL DIA 12/10/2011 SE PRESENTO FUERTES LLUVIAS QUE PROVOCO DESBODAMIENTO DE LA  QUEBRADA  EL ZANJONES EN LA VEREDA  PALMITO . SIN VICTIMAS . 
AFECTADOS SECTORES DE CENTENARIO (70 FAMILIAS), Y 170 FAMILIAS AFECTADAS POR LLUVIAS Y ACTIVACION DE LA FALLA DE TOBO Y SECTORES ALEDAÑOS A QUEBRADAS O ZANJONES.
 REPORTE  DE CREPAD HUILA DR. ORLANDO ROMERO CEL. 3152942049 Y COMANDANTE BOMBEROS  TIMANA SR. JORGE OME CEDEÑO CEL. 3112351251</t>
  </si>
  <si>
    <t>INSPECCIONES DE LA POPA Y PAQUILO, VEREDA GRAMALOTAL (60 VIVIENDAS DESTRUIDAS) Y CASCO URBANO. DESBORDAMIENTO RIO MAGDALENA REPORTE DEL CREPAD.</t>
  </si>
  <si>
    <t>AFECTADOS BARRIOS LA GRAN COLOMBIA, VILLA MARIA, PUERTO ARTURO, NUEVA ESPERANZA, ANTONIO NARIÑO. AVAL DEL CREPAD.</t>
  </si>
  <si>
    <t>DEBIDO A LA TEMPORADA INVERNAL SE PRESENTARON INUNDACIONES Y ESLIZAMIENTOS CON LAS VIAS ATACO-PAIPA-LAS CANOAS- BALSILLAS, BOCAS DE SAN PEDRO A BUENAVISTA, NEME A PALESTINA, LA HAMACA A MORAS, LOS OLIVOS A ANDES DE LA ESTRELLA, SANTIAGO A CASA DE ZINC, EL CONDOR A BRILLANTE, SANTIAGO PEREZ A POMAROSO, CAMPOHERMOSO. BERLIN, ATACO - CUPILICUA, PAIOA A BELTRAN, POTRERITO - LAS CANOAS.. REPORTE DEL CLOPAD PARA ACTUALIZACION DE VISOR.</t>
  </si>
  <si>
    <t>BARRIOS ADOLFO LEON ALVAREZ PARTE ALTA, LA SUBESTACION, LOS ALMENDROS, LA CRUZ, LAS BRISAS, EL PORVENIR, VILLA ALEJANDRA, LA AVENIDA Y EL CENTRO. REPROTE DEL CM Y CDGRD</t>
  </si>
  <si>
    <t>DESLIZAMIENTO EN LA VEREDA:. MONCAYO, CORREGIMIENTO DE:  ESCANDOY,  RECUPERADOS DOS CUERPOS, INFORMA JORGE  TOVAR COORDINADOR OPERATIVO DE CREPAD DEL  NARIÑO QUE  EN EL MUNICIPIO DE LA CRUZ  VEREDA  MONCAYO SE PRESENTÓ DESLIZAMIENTO SOBRE VIVIENDAS AL SITIO SE DESPLAZA PERSONAL DE DEFENSA CIVIL. SE SOLICITÓ INFORMACIÓN AL SEÑOR ALCALDE DEL MUNICIPIO DE LA CRUZ ALEXANDER  REALPE RUBIO TELÉFONO  311 3907005. QUIEN MANIFIESTA QUE  EL DESLIZAMIENTO SE  PRESENTÓ A LAS 18:00 APROXIMADAMENTE QUE   EN EL SITIO HAY PERSONAL DE DEFENSA CIVIL PERO LAS CONDICIONES TOPOGRAFICAS Y RIESGO NO SE HA  INICIADO ACTIVIDADES DE  BÚSQUEDA, SOLICITA  APOYO DE GRUPO DE RESCATE ESPECIALIZADO SE  INFORMA DE LA  NOVEDAD Y SOLICITUD AL DR. CARLOS IVÁN MÁRQUEZ, DRA. ADRIANA CUEVAS Y CAPITÁN MIRANDA. SE DESPLAZA APOYO DE BOMBEROS DE SAN PABLO LOS  CUALES  LLEGARAN A LAS 07:00 DEL DÍA 13 DE  DICIEMBRE, PERSONAL DE DEFENSA CIVIL DE PASTO SECCIONAL NARIÑO Y BOMBEROS  DE  PASTO QUIENES  SE  DESPLAZARAN  EN HELICÓPTERO 12 PERSONAS  APROXIMADAMENTE MÁS  EQUIPO.
DESLIZAMIENTO , AFECTADA LA VIA DE ACCESO AL TROJE, AFECTADO EL CENTRO EDUCATIVO, MONCAYO, INFORMO CREPAD DE  NARIÑO.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</si>
</sst>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86" formatCode="dd\-mmm\-\y\y"/>
    <numFmt numFmtId="187" formatCode="&quot;$&quot;#,##0.00"/>
    <numFmt numFmtId="188" formatCode="&quot;$&quot;#,##0.0"/>
    <numFmt numFmtId="189" formatCode="#,##0.0"/>
    <numFmt numFmtId="192" formatCode="&quot;$&quot;\ #,##0"/>
    <numFmt numFmtId="203" formatCode="_ [$€-2]\ * #,##0.00_ ;_ [$€-2]\ * \-#,##0.00_ ;_ [$€-2]\ * &quot;-&quot;??_ "/>
    <numFmt numFmtId="207" formatCode="_(* #,##0_);_(* \(#,##0\);_(* &quot;-&quot;??_);_(@_)"/>
  </numFmts>
  <fonts count="24" x14ac:knownFonts="1">
    <font>
      <sz val="10"/>
      <name val="Arial"/>
    </font>
    <font>
      <sz val="10"/>
      <name val="Arial"/>
    </font>
    <font>
      <b/>
      <sz val="10"/>
      <name val="Arial"/>
      <family val="2"/>
    </font>
    <font>
      <sz val="8"/>
      <name val="Arial"/>
      <family val="2"/>
    </font>
    <font>
      <b/>
      <sz val="12"/>
      <name val="Arial"/>
      <family val="2"/>
    </font>
    <font>
      <b/>
      <sz val="8"/>
      <name val="Arial"/>
      <family val="2"/>
    </font>
    <font>
      <b/>
      <sz val="14"/>
      <name val="Arial"/>
      <family val="2"/>
    </font>
    <font>
      <b/>
      <sz val="9"/>
      <name val="Arial"/>
      <family val="2"/>
    </font>
    <font>
      <b/>
      <i/>
      <sz val="9"/>
      <name val="Arial"/>
      <family val="2"/>
    </font>
    <font>
      <sz val="9"/>
      <name val="Arial"/>
      <family val="2"/>
    </font>
    <font>
      <sz val="10"/>
      <name val="Arial"/>
      <family val="2"/>
    </font>
    <font>
      <i/>
      <sz val="8"/>
      <name val="Arial"/>
      <family val="2"/>
    </font>
    <font>
      <u/>
      <sz val="10"/>
      <name val="Arial"/>
      <family val="2"/>
    </font>
    <font>
      <b/>
      <sz val="7"/>
      <name val="Arial"/>
      <family val="2"/>
    </font>
    <font>
      <sz val="11"/>
      <color indexed="8"/>
      <name val="Calibri"/>
      <family val="2"/>
    </font>
    <font>
      <sz val="11"/>
      <name val="Arial"/>
      <family val="2"/>
    </font>
    <font>
      <sz val="8"/>
      <name val="Arial"/>
      <family val="2"/>
    </font>
    <font>
      <sz val="9"/>
      <name val="Calibri"/>
      <family val="2"/>
    </font>
    <font>
      <sz val="10"/>
      <name val="Calibri"/>
      <family val="2"/>
    </font>
    <font>
      <sz val="8"/>
      <name val="Calibri"/>
      <family val="2"/>
    </font>
    <font>
      <sz val="10"/>
      <name val="Arial"/>
      <family val="2"/>
    </font>
    <font>
      <sz val="10"/>
      <name val="Arial"/>
      <family val="2"/>
    </font>
    <font>
      <sz val="6.95"/>
      <name val="Arial"/>
      <family val="2"/>
    </font>
    <font>
      <sz val="11"/>
      <color theme="1"/>
      <name val="Calibri"/>
      <family val="2"/>
      <scheme val="minor"/>
    </font>
  </fonts>
  <fills count="14">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6">
    <xf numFmtId="0" fontId="0" fillId="0" borderId="0"/>
    <xf numFmtId="203" fontId="1"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21"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20" fillId="0" borderId="0" applyFont="0" applyFill="0" applyBorder="0" applyAlignment="0" applyProtection="0"/>
    <xf numFmtId="203" fontId="10" fillId="0" borderId="0" applyFont="0" applyFill="0" applyBorder="0" applyAlignment="0" applyProtection="0"/>
    <xf numFmtId="203" fontId="21"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cellStyleXfs>
  <cellXfs count="374">
    <xf numFmtId="0" fontId="0" fillId="0" borderId="0" xfId="0"/>
    <xf numFmtId="3" fontId="2" fillId="0" borderId="0" xfId="0" applyNumberFormat="1" applyFont="1" applyBorder="1" applyAlignment="1">
      <alignment horizontal="justify" vertical="justify"/>
    </xf>
    <xf numFmtId="0" fontId="12" fillId="0" borderId="0" xfId="0" applyFont="1" applyAlignment="1">
      <alignment horizontal="justify" vertical="justify"/>
    </xf>
    <xf numFmtId="0" fontId="10" fillId="0" borderId="0" xfId="0" applyFont="1" applyAlignment="1">
      <alignment horizontal="justify" vertical="justify"/>
    </xf>
    <xf numFmtId="0" fontId="3" fillId="0" borderId="1" xfId="0" applyFont="1" applyBorder="1" applyAlignment="1">
      <alignment horizontal="justify" vertical="top"/>
    </xf>
    <xf numFmtId="188" fontId="3" fillId="0" borderId="1" xfId="0" applyNumberFormat="1" applyFont="1" applyBorder="1" applyAlignment="1">
      <alignment horizontal="right" vertical="top"/>
    </xf>
    <xf numFmtId="188" fontId="11" fillId="0" borderId="0" xfId="0" applyNumberFormat="1" applyFont="1" applyAlignment="1">
      <alignment horizontal="right" vertical="top"/>
    </xf>
    <xf numFmtId="0" fontId="3" fillId="0" borderId="0" xfId="0" applyFont="1" applyAlignment="1">
      <alignment horizontal="justify" vertical="top"/>
    </xf>
    <xf numFmtId="15" fontId="3" fillId="0" borderId="0" xfId="0" applyNumberFormat="1" applyFont="1" applyAlignment="1">
      <alignment horizontal="justify" vertical="top"/>
    </xf>
    <xf numFmtId="1" fontId="3" fillId="0" borderId="0" xfId="0" applyNumberFormat="1" applyFont="1" applyAlignment="1">
      <alignment horizontal="right" vertical="top"/>
    </xf>
    <xf numFmtId="15" fontId="3" fillId="0" borderId="0" xfId="0" applyNumberFormat="1" applyFont="1" applyAlignment="1">
      <alignment horizontal="center" vertical="top"/>
    </xf>
    <xf numFmtId="0" fontId="9" fillId="0" borderId="0" xfId="0" applyFont="1" applyAlignment="1">
      <alignment horizontal="justify" vertical="top"/>
    </xf>
    <xf numFmtId="3" fontId="3" fillId="0" borderId="0" xfId="0" applyNumberFormat="1" applyFont="1" applyAlignment="1">
      <alignment horizontal="justify" vertical="top"/>
    </xf>
    <xf numFmtId="188" fontId="3" fillId="0" borderId="0" xfId="0" applyNumberFormat="1" applyFont="1" applyAlignment="1">
      <alignment horizontal="right" vertical="top"/>
    </xf>
    <xf numFmtId="0" fontId="7" fillId="2" borderId="1" xfId="0" applyFont="1" applyFill="1" applyBorder="1" applyAlignment="1" applyProtection="1">
      <alignment horizontal="center" vertical="justify" wrapText="1"/>
      <protection locked="0"/>
    </xf>
    <xf numFmtId="0" fontId="9" fillId="0" borderId="0" xfId="0" applyFont="1" applyAlignment="1" applyProtection="1">
      <alignment horizontal="center" vertical="justify"/>
      <protection locked="0"/>
    </xf>
    <xf numFmtId="0" fontId="3" fillId="0" borderId="1" xfId="0" applyFont="1" applyBorder="1" applyAlignment="1" applyProtection="1">
      <alignment horizontal="justify" vertical="top"/>
      <protection locked="0"/>
    </xf>
    <xf numFmtId="15" fontId="3" fillId="0" borderId="1" xfId="0" applyNumberFormat="1" applyFont="1" applyBorder="1" applyAlignment="1" applyProtection="1">
      <alignment horizontal="justify" vertical="top"/>
      <protection locked="0"/>
    </xf>
    <xf numFmtId="1" fontId="3" fillId="0" borderId="1" xfId="0" applyNumberFormat="1" applyFont="1" applyBorder="1" applyAlignment="1" applyProtection="1">
      <alignment horizontal="right" vertical="top"/>
      <protection locked="0"/>
    </xf>
    <xf numFmtId="3" fontId="3" fillId="0" borderId="1" xfId="0" applyNumberFormat="1" applyFont="1" applyBorder="1" applyAlignment="1" applyProtection="1">
      <alignment horizontal="justify" vertical="top"/>
      <protection locked="0"/>
    </xf>
    <xf numFmtId="0" fontId="9" fillId="0" borderId="1" xfId="0" applyFont="1" applyBorder="1" applyAlignment="1" applyProtection="1">
      <alignment horizontal="justify" vertical="top"/>
      <protection locked="0"/>
    </xf>
    <xf numFmtId="186" fontId="6" fillId="0" borderId="0" xfId="0" applyNumberFormat="1" applyFont="1" applyBorder="1" applyAlignment="1" applyProtection="1">
      <alignment horizontal="justify" vertical="justify"/>
      <protection locked="0"/>
    </xf>
    <xf numFmtId="0" fontId="2" fillId="0" borderId="0" xfId="0" applyFont="1" applyAlignment="1" applyProtection="1">
      <alignment horizontal="justify" vertical="justify"/>
      <protection locked="0"/>
    </xf>
    <xf numFmtId="0" fontId="12" fillId="0" borderId="0" xfId="0" applyFont="1" applyAlignment="1" applyProtection="1">
      <alignment horizontal="justify" vertical="justify"/>
      <protection locked="0"/>
    </xf>
    <xf numFmtId="4" fontId="2" fillId="0" borderId="0" xfId="0" applyNumberFormat="1" applyFont="1" applyAlignment="1" applyProtection="1">
      <alignment horizontal="justify" vertical="justify"/>
      <protection locked="0"/>
    </xf>
    <xf numFmtId="186" fontId="10" fillId="0" borderId="0" xfId="0" applyNumberFormat="1" applyFont="1" applyAlignment="1" applyProtection="1">
      <alignment horizontal="center" vertical="justify"/>
      <protection locked="0"/>
    </xf>
    <xf numFmtId="0" fontId="10" fillId="0" borderId="0" xfId="0" applyFont="1" applyAlignment="1" applyProtection="1">
      <alignment horizontal="justify" vertical="justify"/>
      <protection locked="0"/>
    </xf>
    <xf numFmtId="3" fontId="7" fillId="0" borderId="0" xfId="0" applyNumberFormat="1" applyFont="1" applyBorder="1" applyAlignment="1" applyProtection="1">
      <alignment horizontal="justify" vertical="justify"/>
      <protection locked="0"/>
    </xf>
    <xf numFmtId="3" fontId="5" fillId="0" borderId="0" xfId="0" applyNumberFormat="1" applyFont="1" applyBorder="1" applyAlignment="1" applyProtection="1">
      <alignment horizontal="justify" vertical="top"/>
      <protection locked="0"/>
    </xf>
    <xf numFmtId="3" fontId="5" fillId="0" borderId="0" xfId="0" applyNumberFormat="1" applyFont="1" applyBorder="1" applyAlignment="1" applyProtection="1">
      <alignment horizontal="justify" vertical="justify"/>
      <protection locked="0"/>
    </xf>
    <xf numFmtId="1" fontId="5" fillId="0" borderId="0" xfId="0" applyNumberFormat="1" applyFont="1" applyBorder="1" applyAlignment="1" applyProtection="1">
      <alignment horizontal="justify" vertical="justify"/>
      <protection locked="0"/>
    </xf>
    <xf numFmtId="3" fontId="5" fillId="0" borderId="0" xfId="0" applyNumberFormat="1" applyFont="1" applyBorder="1" applyAlignment="1" applyProtection="1">
      <alignment horizontal="center" vertical="justify"/>
      <protection locked="0"/>
    </xf>
    <xf numFmtId="1" fontId="5" fillId="0" borderId="0" xfId="0" applyNumberFormat="1" applyFont="1" applyBorder="1" applyAlignment="1" applyProtection="1">
      <alignment horizontal="center" vertical="justify"/>
      <protection locked="0"/>
    </xf>
    <xf numFmtId="0" fontId="9" fillId="0" borderId="0" xfId="0" applyFont="1" applyBorder="1" applyAlignment="1" applyProtection="1">
      <alignment horizontal="justify" vertical="justify"/>
      <protection locked="0"/>
    </xf>
    <xf numFmtId="3" fontId="2" fillId="0" borderId="0" xfId="0" applyNumberFormat="1" applyFont="1" applyBorder="1" applyAlignment="1" applyProtection="1">
      <alignment horizontal="justify" vertical="justify"/>
      <protection locked="0"/>
    </xf>
    <xf numFmtId="187" fontId="3" fillId="0" borderId="0" xfId="0" applyNumberFormat="1" applyFont="1" applyAlignment="1" applyProtection="1">
      <alignment horizontal="justify" vertical="top"/>
      <protection locked="0"/>
    </xf>
    <xf numFmtId="0" fontId="3" fillId="0" borderId="0" xfId="0" applyFont="1" applyAlignment="1" applyProtection="1">
      <alignment horizontal="justify" vertical="justify" wrapText="1"/>
      <protection locked="0"/>
    </xf>
    <xf numFmtId="4" fontId="5" fillId="0" borderId="0" xfId="0" applyNumberFormat="1" applyFont="1" applyAlignment="1" applyProtection="1">
      <alignment horizontal="justify" vertical="justify"/>
      <protection locked="0"/>
    </xf>
    <xf numFmtId="1" fontId="10" fillId="0" borderId="0" xfId="0" applyNumberFormat="1" applyFont="1" applyAlignment="1" applyProtection="1">
      <alignment horizontal="center" vertical="justify"/>
      <protection locked="0"/>
    </xf>
    <xf numFmtId="0" fontId="9" fillId="0" borderId="0" xfId="0" applyFont="1" applyAlignment="1" applyProtection="1">
      <alignment horizontal="justify" vertical="top" wrapText="1"/>
      <protection locked="0"/>
    </xf>
    <xf numFmtId="187" fontId="10" fillId="0" borderId="0" xfId="0" applyNumberFormat="1" applyFont="1" applyAlignment="1" applyProtection="1">
      <alignment horizontal="justify" vertical="justify"/>
      <protection locked="0"/>
    </xf>
    <xf numFmtId="192" fontId="8" fillId="0" borderId="0" xfId="0" applyNumberFormat="1" applyFont="1" applyAlignment="1" applyProtection="1">
      <alignment horizontal="justify" vertical="justify"/>
      <protection locked="0"/>
    </xf>
    <xf numFmtId="0" fontId="10" fillId="0" borderId="0" xfId="0" applyFont="1" applyAlignment="1" applyProtection="1">
      <alignment horizontal="justify" vertical="top"/>
      <protection locked="0"/>
    </xf>
    <xf numFmtId="3" fontId="3" fillId="0" borderId="0" xfId="0" applyNumberFormat="1" applyFont="1" applyAlignment="1" applyProtection="1">
      <alignment horizontal="justify" vertical="justify"/>
      <protection locked="0"/>
    </xf>
    <xf numFmtId="0" fontId="3" fillId="0" borderId="0" xfId="0" applyFont="1" applyAlignment="1" applyProtection="1">
      <alignment horizontal="justify" vertical="justify"/>
      <protection locked="0"/>
    </xf>
    <xf numFmtId="1" fontId="3" fillId="0" borderId="1" xfId="0" applyNumberFormat="1" applyFont="1" applyBorder="1" applyAlignment="1" applyProtection="1">
      <alignment horizontal="center" vertical="top"/>
      <protection locked="0"/>
    </xf>
    <xf numFmtId="3" fontId="10" fillId="0" borderId="0" xfId="0" applyNumberFormat="1" applyFont="1" applyAlignment="1" applyProtection="1">
      <alignment horizontal="justify" vertical="top"/>
      <protection locked="0"/>
    </xf>
    <xf numFmtId="15" fontId="3" fillId="0" borderId="1" xfId="0" applyNumberFormat="1" applyFont="1" applyBorder="1" applyAlignment="1" applyProtection="1">
      <alignment horizontal="left" vertical="top"/>
      <protection locked="0"/>
    </xf>
    <xf numFmtId="3" fontId="5" fillId="0" borderId="0" xfId="0" applyNumberFormat="1" applyFont="1" applyBorder="1" applyAlignment="1" applyProtection="1">
      <alignment horizontal="left" vertical="justify"/>
      <protection locked="0"/>
    </xf>
    <xf numFmtId="0" fontId="10" fillId="0" borderId="0" xfId="0" applyFont="1" applyAlignment="1" applyProtection="1">
      <alignment horizontal="left" vertical="justify"/>
      <protection locked="0"/>
    </xf>
    <xf numFmtId="3" fontId="9" fillId="0" borderId="0" xfId="0" applyNumberFormat="1" applyFont="1" applyAlignment="1" applyProtection="1">
      <alignment horizontal="center" vertical="justify" wrapText="1"/>
      <protection locked="0"/>
    </xf>
    <xf numFmtId="3" fontId="10" fillId="3" borderId="0" xfId="0" applyNumberFormat="1" applyFont="1" applyFill="1" applyAlignment="1" applyProtection="1">
      <alignment horizontal="justify" vertical="top"/>
      <protection locked="0"/>
    </xf>
    <xf numFmtId="0" fontId="10" fillId="3" borderId="0" xfId="0" applyFont="1" applyFill="1" applyAlignment="1" applyProtection="1">
      <alignment horizontal="justify" vertical="top"/>
      <protection locked="0"/>
    </xf>
    <xf numFmtId="186" fontId="7" fillId="4" borderId="1" xfId="0" applyNumberFormat="1" applyFont="1" applyFill="1" applyBorder="1" applyAlignment="1" applyProtection="1">
      <alignment horizontal="center" vertical="justify"/>
      <protection locked="0"/>
    </xf>
    <xf numFmtId="0" fontId="7" fillId="4" borderId="1" xfId="0" applyFont="1" applyFill="1" applyBorder="1" applyAlignment="1" applyProtection="1">
      <alignment horizontal="center" vertical="justify"/>
      <protection locked="0"/>
    </xf>
    <xf numFmtId="0" fontId="7" fillId="4" borderId="1" xfId="33" applyFont="1" applyFill="1" applyBorder="1" applyAlignment="1">
      <alignment horizontal="center" vertical="justify"/>
    </xf>
    <xf numFmtId="0" fontId="7" fillId="4" borderId="1" xfId="0" applyFont="1" applyFill="1" applyBorder="1" applyAlignment="1">
      <alignment horizontal="center" vertical="justify"/>
    </xf>
    <xf numFmtId="0" fontId="7" fillId="5" borderId="1" xfId="0" applyFont="1" applyFill="1" applyBorder="1" applyAlignment="1" applyProtection="1">
      <alignment horizontal="center" vertical="justify"/>
      <protection locked="0"/>
    </xf>
    <xf numFmtId="187" fontId="7" fillId="5" borderId="1" xfId="0" applyNumberFormat="1" applyFont="1" applyFill="1" applyBorder="1" applyAlignment="1" applyProtection="1">
      <alignment horizontal="center" vertical="justify"/>
      <protection locked="0"/>
    </xf>
    <xf numFmtId="187" fontId="5" fillId="5" borderId="1" xfId="0" applyNumberFormat="1" applyFont="1" applyFill="1" applyBorder="1" applyAlignment="1" applyProtection="1">
      <alignment horizontal="center" vertical="top"/>
      <protection locked="0"/>
    </xf>
    <xf numFmtId="0" fontId="7" fillId="6" borderId="1" xfId="0" applyFont="1" applyFill="1" applyBorder="1" applyAlignment="1" applyProtection="1">
      <alignment horizontal="center" vertical="justify"/>
      <protection locked="0"/>
    </xf>
    <xf numFmtId="192" fontId="8" fillId="6" borderId="1" xfId="0" applyNumberFormat="1" applyFont="1" applyFill="1" applyBorder="1" applyAlignment="1" applyProtection="1">
      <alignment horizontal="center" vertical="justify"/>
      <protection locked="0"/>
    </xf>
    <xf numFmtId="0" fontId="7" fillId="7" borderId="1" xfId="0" applyFont="1" applyFill="1" applyBorder="1" applyAlignment="1" applyProtection="1">
      <alignment horizontal="center" vertical="justify"/>
      <protection locked="0"/>
    </xf>
    <xf numFmtId="1" fontId="7" fillId="7" borderId="1" xfId="0" applyNumberFormat="1" applyFont="1" applyFill="1" applyBorder="1" applyAlignment="1" applyProtection="1">
      <alignment horizontal="center" vertical="justify"/>
      <protection locked="0"/>
    </xf>
    <xf numFmtId="1" fontId="5" fillId="7" borderId="1" xfId="0" applyNumberFormat="1" applyFont="1" applyFill="1" applyBorder="1" applyAlignment="1" applyProtection="1">
      <alignment horizontal="center" vertical="justify"/>
      <protection locked="0"/>
    </xf>
    <xf numFmtId="0" fontId="5" fillId="7" borderId="1" xfId="0" applyFont="1" applyFill="1" applyBorder="1" applyAlignment="1" applyProtection="1">
      <alignment horizontal="justify" vertical="top"/>
      <protection locked="0"/>
    </xf>
    <xf numFmtId="0" fontId="7" fillId="7" borderId="1" xfId="0" applyFont="1" applyFill="1" applyBorder="1" applyAlignment="1" applyProtection="1">
      <alignment horizontal="center" vertical="top" wrapText="1"/>
      <protection locked="0"/>
    </xf>
    <xf numFmtId="0" fontId="7" fillId="8" borderId="1" xfId="0" applyFont="1" applyFill="1" applyBorder="1" applyAlignment="1" applyProtection="1">
      <alignment horizontal="center" vertical="justify"/>
      <protection locked="0"/>
    </xf>
    <xf numFmtId="0" fontId="7" fillId="8" borderId="1" xfId="0" applyFont="1" applyFill="1" applyBorder="1" applyAlignment="1">
      <alignment horizontal="center" vertical="justify" wrapText="1"/>
    </xf>
    <xf numFmtId="0" fontId="7" fillId="8" borderId="1" xfId="0" applyFont="1" applyFill="1" applyBorder="1" applyAlignment="1" applyProtection="1">
      <alignment horizontal="center" vertical="justify" wrapText="1"/>
      <protection locked="0"/>
    </xf>
    <xf numFmtId="188" fontId="11" fillId="0" borderId="1" xfId="0" applyNumberFormat="1" applyFont="1" applyBorder="1" applyAlignment="1">
      <alignment horizontal="right" vertical="top"/>
    </xf>
    <xf numFmtId="189" fontId="3" fillId="0" borderId="1" xfId="0" applyNumberFormat="1" applyFont="1" applyBorder="1" applyAlignment="1">
      <alignment horizontal="justify" vertical="top"/>
    </xf>
    <xf numFmtId="189" fontId="3" fillId="0" borderId="1" xfId="0" applyNumberFormat="1" applyFont="1" applyBorder="1" applyAlignment="1" applyProtection="1">
      <alignment horizontal="justify" vertical="top"/>
      <protection locked="0"/>
    </xf>
    <xf numFmtId="15" fontId="3" fillId="0" borderId="1" xfId="0" applyNumberFormat="1" applyFont="1" applyBorder="1" applyAlignment="1" applyProtection="1">
      <alignment horizontal="center" vertical="top"/>
      <protection locked="0"/>
    </xf>
    <xf numFmtId="186" fontId="5" fillId="0" borderId="1" xfId="0" applyNumberFormat="1" applyFont="1" applyBorder="1" applyAlignment="1">
      <alignment horizontal="justify" vertical="justify"/>
    </xf>
    <xf numFmtId="3" fontId="5" fillId="0" borderId="1" xfId="0" applyNumberFormat="1" applyFont="1" applyBorder="1" applyAlignment="1" applyProtection="1">
      <alignment horizontal="justify" vertical="justify"/>
      <protection locked="0"/>
    </xf>
    <xf numFmtId="3" fontId="13" fillId="0" borderId="1" xfId="0" applyNumberFormat="1" applyFont="1" applyBorder="1" applyAlignment="1" applyProtection="1">
      <alignment horizontal="justify" vertical="justify"/>
      <protection locked="0"/>
    </xf>
    <xf numFmtId="3" fontId="3" fillId="0" borderId="1" xfId="0" applyNumberFormat="1" applyFont="1" applyBorder="1" applyAlignment="1" applyProtection="1">
      <alignment horizontal="right" vertical="justify"/>
      <protection locked="0"/>
    </xf>
    <xf numFmtId="1" fontId="5" fillId="0" borderId="1" xfId="0" applyNumberFormat="1" applyFont="1" applyBorder="1" applyAlignment="1" applyProtection="1">
      <alignment horizontal="justify" vertical="justify"/>
      <protection locked="0"/>
    </xf>
    <xf numFmtId="3" fontId="5" fillId="0" borderId="1" xfId="0" applyNumberFormat="1" applyFont="1" applyBorder="1" applyAlignment="1" applyProtection="1">
      <alignment horizontal="left" vertical="justify"/>
      <protection locked="0"/>
    </xf>
    <xf numFmtId="3" fontId="5" fillId="0" borderId="1" xfId="0" applyNumberFormat="1" applyFont="1" applyBorder="1" applyAlignment="1" applyProtection="1">
      <alignment horizontal="center" vertical="justify"/>
      <protection locked="0"/>
    </xf>
    <xf numFmtId="1" fontId="5" fillId="0" borderId="1" xfId="0" applyNumberFormat="1" applyFont="1" applyBorder="1" applyAlignment="1" applyProtection="1">
      <alignment horizontal="center" vertical="justify"/>
      <protection locked="0"/>
    </xf>
    <xf numFmtId="3" fontId="5" fillId="0" borderId="1" xfId="0" applyNumberFormat="1" applyFont="1" applyBorder="1" applyAlignment="1" applyProtection="1">
      <alignment horizontal="justify" vertical="top"/>
      <protection locked="0"/>
    </xf>
    <xf numFmtId="0" fontId="3" fillId="0" borderId="1" xfId="0" applyFont="1" applyBorder="1" applyAlignment="1" applyProtection="1">
      <alignment horizontal="justify" vertical="justify"/>
      <protection locked="0"/>
    </xf>
    <xf numFmtId="3" fontId="5" fillId="0" borderId="1" xfId="0" applyNumberFormat="1" applyFont="1" applyBorder="1" applyAlignment="1" applyProtection="1">
      <alignment horizontal="right" vertical="justify"/>
      <protection locked="0"/>
    </xf>
    <xf numFmtId="3" fontId="5" fillId="0" borderId="1" xfId="0" applyNumberFormat="1" applyFont="1" applyBorder="1" applyAlignment="1">
      <alignment horizontal="right" vertical="justify"/>
    </xf>
    <xf numFmtId="0" fontId="2" fillId="8" borderId="2" xfId="0" applyFont="1" applyFill="1" applyBorder="1" applyAlignment="1" applyProtection="1">
      <alignment horizontal="center" vertical="justify"/>
      <protection locked="0"/>
    </xf>
    <xf numFmtId="3" fontId="9" fillId="0" borderId="0" xfId="0" applyNumberFormat="1" applyFont="1" applyBorder="1" applyAlignment="1" applyProtection="1">
      <alignment horizontal="justify" vertical="justify"/>
      <protection locked="0"/>
    </xf>
    <xf numFmtId="4" fontId="10" fillId="0" borderId="0" xfId="0" applyNumberFormat="1" applyFont="1" applyAlignment="1" applyProtection="1">
      <alignment horizontal="justify" vertical="justify"/>
      <protection locked="0"/>
    </xf>
    <xf numFmtId="15" fontId="3" fillId="3" borderId="1" xfId="0" applyNumberFormat="1" applyFont="1" applyFill="1" applyBorder="1" applyAlignment="1">
      <alignment horizontal="justify" vertical="top"/>
    </xf>
    <xf numFmtId="0" fontId="3" fillId="3" borderId="1" xfId="0" applyFont="1" applyFill="1" applyBorder="1" applyAlignment="1">
      <alignment horizontal="justify" vertical="top"/>
    </xf>
    <xf numFmtId="3" fontId="3" fillId="3" borderId="1" xfId="0" applyNumberFormat="1" applyFont="1" applyFill="1" applyBorder="1" applyAlignment="1">
      <alignment horizontal="justify" vertical="top"/>
    </xf>
    <xf numFmtId="188" fontId="3" fillId="3" borderId="1" xfId="0" applyNumberFormat="1" applyFont="1" applyFill="1" applyBorder="1" applyAlignment="1">
      <alignment horizontal="right" vertical="top"/>
    </xf>
    <xf numFmtId="188" fontId="11" fillId="3" borderId="1" xfId="0" applyNumberFormat="1" applyFont="1" applyFill="1" applyBorder="1" applyAlignment="1">
      <alignment horizontal="right" vertical="top"/>
    </xf>
    <xf numFmtId="1" fontId="3" fillId="3" borderId="1" xfId="0" applyNumberFormat="1" applyFont="1" applyFill="1" applyBorder="1" applyAlignment="1">
      <alignment horizontal="right" vertical="top"/>
    </xf>
    <xf numFmtId="15" fontId="3" fillId="3" borderId="1" xfId="0" applyNumberFormat="1" applyFont="1" applyFill="1" applyBorder="1" applyAlignment="1">
      <alignment horizontal="left" vertical="top"/>
    </xf>
    <xf numFmtId="15" fontId="3"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xf>
    <xf numFmtId="0" fontId="7" fillId="3" borderId="1" xfId="0" applyFont="1" applyFill="1" applyBorder="1" applyAlignment="1">
      <alignment horizontal="justify" vertical="top"/>
    </xf>
    <xf numFmtId="189" fontId="3" fillId="3" borderId="1" xfId="0" applyNumberFormat="1" applyFont="1" applyFill="1" applyBorder="1" applyAlignment="1">
      <alignment horizontal="justify" vertical="top"/>
    </xf>
    <xf numFmtId="0" fontId="9" fillId="3" borderId="1" xfId="0" applyFont="1" applyFill="1" applyBorder="1" applyAlignment="1">
      <alignment horizontal="justify" vertical="top"/>
    </xf>
    <xf numFmtId="3" fontId="10" fillId="3" borderId="1" xfId="0" applyNumberFormat="1" applyFont="1" applyFill="1" applyBorder="1" applyAlignment="1">
      <alignment vertical="top"/>
    </xf>
    <xf numFmtId="1" fontId="3" fillId="3" borderId="1" xfId="0" applyNumberFormat="1" applyFont="1" applyFill="1" applyBorder="1" applyAlignment="1">
      <alignment horizontal="left" vertical="top"/>
    </xf>
    <xf numFmtId="0" fontId="9" fillId="3" borderId="1" xfId="0" applyFont="1" applyFill="1" applyBorder="1" applyAlignment="1">
      <alignment horizontal="left" vertical="center" wrapText="1"/>
    </xf>
    <xf numFmtId="0" fontId="3" fillId="3" borderId="1" xfId="0" applyFont="1" applyFill="1" applyBorder="1" applyAlignment="1">
      <alignment vertical="top" wrapText="1"/>
    </xf>
    <xf numFmtId="15" fontId="3" fillId="3" borderId="1" xfId="0" applyNumberFormat="1" applyFont="1" applyFill="1" applyBorder="1" applyAlignment="1" applyProtection="1">
      <alignment horizontal="justify" vertical="top"/>
      <protection locked="0"/>
    </xf>
    <xf numFmtId="0" fontId="3" fillId="3" borderId="1" xfId="0" applyFont="1" applyFill="1" applyBorder="1" applyAlignment="1" applyProtection="1">
      <alignment horizontal="justify" vertical="top"/>
      <protection locked="0"/>
    </xf>
    <xf numFmtId="3" fontId="3" fillId="3" borderId="1" xfId="0" applyNumberFormat="1" applyFont="1" applyFill="1" applyBorder="1" applyAlignment="1" applyProtection="1">
      <alignment horizontal="justify" vertical="top"/>
      <protection locked="0"/>
    </xf>
    <xf numFmtId="1" fontId="3" fillId="3" borderId="1" xfId="0" applyNumberFormat="1" applyFont="1" applyFill="1" applyBorder="1" applyAlignment="1" applyProtection="1">
      <alignment horizontal="right" vertical="top"/>
      <protection locked="0"/>
    </xf>
    <xf numFmtId="15" fontId="3" fillId="3" borderId="1" xfId="0" applyNumberFormat="1" applyFont="1" applyFill="1" applyBorder="1" applyAlignment="1" applyProtection="1">
      <alignment horizontal="left" vertical="top"/>
      <protection locked="0"/>
    </xf>
    <xf numFmtId="15" fontId="3" fillId="3" borderId="1" xfId="0" applyNumberFormat="1" applyFont="1" applyFill="1" applyBorder="1" applyAlignment="1" applyProtection="1">
      <alignment horizontal="center" vertical="top"/>
      <protection locked="0"/>
    </xf>
    <xf numFmtId="1" fontId="3" fillId="3" borderId="1" xfId="0" applyNumberFormat="1" applyFont="1" applyFill="1" applyBorder="1" applyAlignment="1" applyProtection="1">
      <alignment horizontal="center" vertical="top"/>
      <protection locked="0"/>
    </xf>
    <xf numFmtId="0" fontId="9" fillId="3" borderId="1" xfId="0" applyFont="1" applyFill="1" applyBorder="1" applyAlignment="1" applyProtection="1">
      <alignment horizontal="justify" vertical="top"/>
      <protection locked="0"/>
    </xf>
    <xf numFmtId="189" fontId="3" fillId="3" borderId="1" xfId="0" applyNumberFormat="1" applyFont="1" applyFill="1" applyBorder="1" applyAlignment="1" applyProtection="1">
      <alignment horizontal="justify" vertical="top"/>
      <protection locked="0"/>
    </xf>
    <xf numFmtId="0" fontId="10" fillId="3" borderId="1" xfId="0" applyFont="1" applyFill="1" applyBorder="1" applyAlignment="1">
      <alignment horizontal="justify" vertical="top"/>
    </xf>
    <xf numFmtId="3" fontId="10" fillId="3" borderId="1" xfId="0" applyNumberFormat="1" applyFont="1" applyFill="1" applyBorder="1" applyAlignment="1">
      <alignment horizontal="justify" vertical="top"/>
    </xf>
    <xf numFmtId="0" fontId="3" fillId="3" borderId="1" xfId="0" applyFont="1" applyFill="1" applyBorder="1" applyAlignment="1">
      <alignment vertical="top"/>
    </xf>
    <xf numFmtId="188" fontId="3" fillId="3" borderId="1" xfId="0" applyNumberFormat="1" applyFont="1" applyFill="1" applyBorder="1" applyAlignment="1" applyProtection="1">
      <alignment horizontal="right" vertical="top"/>
      <protection locked="0"/>
    </xf>
    <xf numFmtId="0" fontId="10" fillId="3" borderId="1" xfId="0" applyFont="1" applyFill="1" applyBorder="1" applyAlignment="1" applyProtection="1">
      <alignment horizontal="justify" vertical="top"/>
      <protection locked="0"/>
    </xf>
    <xf numFmtId="3" fontId="10" fillId="3" borderId="1" xfId="0" applyNumberFormat="1" applyFont="1" applyFill="1" applyBorder="1" applyAlignment="1" applyProtection="1">
      <alignment horizontal="justify" vertical="top"/>
      <protection locked="0"/>
    </xf>
    <xf numFmtId="3" fontId="5" fillId="3" borderId="1" xfId="0" applyNumberFormat="1" applyFont="1" applyFill="1" applyBorder="1" applyAlignment="1">
      <alignment horizontal="justify" vertical="top"/>
    </xf>
    <xf numFmtId="0" fontId="9" fillId="3" borderId="1" xfId="0" applyFont="1" applyFill="1" applyBorder="1" applyAlignment="1">
      <alignment horizontal="justify" vertical="top" wrapText="1"/>
    </xf>
    <xf numFmtId="3" fontId="9" fillId="3" borderId="1" xfId="0" applyNumberFormat="1" applyFont="1" applyFill="1" applyBorder="1" applyAlignment="1" applyProtection="1">
      <alignment vertical="top" wrapText="1"/>
      <protection locked="0"/>
    </xf>
    <xf numFmtId="3" fontId="3" fillId="3" borderId="1" xfId="0" applyNumberFormat="1" applyFont="1" applyFill="1" applyBorder="1" applyAlignment="1">
      <alignment vertical="top" wrapText="1"/>
    </xf>
    <xf numFmtId="3" fontId="10" fillId="3" borderId="1" xfId="0" applyNumberFormat="1" applyFont="1" applyFill="1" applyBorder="1" applyAlignment="1">
      <alignment vertical="top" wrapText="1"/>
    </xf>
    <xf numFmtId="3" fontId="3" fillId="3" borderId="1" xfId="0" applyNumberFormat="1" applyFont="1" applyFill="1" applyBorder="1" applyAlignment="1" applyProtection="1">
      <alignment vertical="top" wrapText="1"/>
      <protection locked="0"/>
    </xf>
    <xf numFmtId="0" fontId="7" fillId="3" borderId="1" xfId="0" applyFont="1" applyFill="1" applyBorder="1" applyAlignment="1" applyProtection="1">
      <alignment horizontal="justify" vertical="top"/>
      <protection locked="0"/>
    </xf>
    <xf numFmtId="188" fontId="3" fillId="3" borderId="1" xfId="0" applyNumberFormat="1" applyFont="1" applyFill="1" applyBorder="1" applyAlignment="1">
      <alignment horizontal="justify" vertical="top"/>
    </xf>
    <xf numFmtId="0" fontId="3" fillId="3" borderId="1" xfId="0" applyFont="1" applyFill="1" applyBorder="1" applyAlignment="1">
      <alignment horizontal="justify" vertical="top" wrapText="1"/>
    </xf>
    <xf numFmtId="3" fontId="10" fillId="3" borderId="1" xfId="0" applyNumberFormat="1" applyFont="1" applyFill="1" applyBorder="1" applyAlignment="1" applyProtection="1">
      <alignment vertical="top"/>
      <protection locked="0"/>
    </xf>
    <xf numFmtId="0" fontId="9" fillId="3" borderId="1" xfId="0" applyFont="1" applyFill="1" applyBorder="1" applyAlignment="1">
      <alignment vertical="top" wrapText="1"/>
    </xf>
    <xf numFmtId="0" fontId="2"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justify" vertical="top" wrapText="1"/>
      <protection locked="0"/>
    </xf>
    <xf numFmtId="0" fontId="2" fillId="3" borderId="1" xfId="34" applyFont="1" applyFill="1" applyBorder="1" applyAlignment="1" applyProtection="1">
      <alignment horizontal="center" vertical="center" wrapText="1"/>
      <protection locked="0"/>
    </xf>
    <xf numFmtId="0" fontId="9" fillId="3" borderId="1" xfId="0" applyNumberFormat="1" applyFont="1" applyFill="1" applyBorder="1" applyAlignment="1">
      <alignment horizontal="justify" vertical="top"/>
    </xf>
    <xf numFmtId="15" fontId="3" fillId="0" borderId="1" xfId="0" applyNumberFormat="1" applyFont="1" applyBorder="1" applyAlignment="1">
      <alignment horizontal="justify" vertical="top"/>
    </xf>
    <xf numFmtId="0" fontId="9" fillId="0" borderId="1" xfId="0" applyNumberFormat="1" applyFont="1" applyBorder="1" applyAlignment="1" applyProtection="1">
      <alignment horizontal="justify" vertical="top"/>
      <protection locked="0"/>
    </xf>
    <xf numFmtId="0" fontId="7" fillId="0" borderId="1" xfId="0" applyFont="1" applyBorder="1" applyAlignment="1" applyProtection="1">
      <alignment horizontal="justify" vertical="top"/>
      <protection locked="0"/>
    </xf>
    <xf numFmtId="3" fontId="10" fillId="0" borderId="1" xfId="0" applyNumberFormat="1" applyFont="1" applyBorder="1" applyAlignment="1" applyProtection="1">
      <alignment horizontal="justify" vertical="top"/>
      <protection locked="0"/>
    </xf>
    <xf numFmtId="0" fontId="10" fillId="0" borderId="1" xfId="0" applyFont="1" applyBorder="1" applyAlignment="1" applyProtection="1">
      <alignment horizontal="justify" vertical="top"/>
      <protection locked="0"/>
    </xf>
    <xf numFmtId="0" fontId="10" fillId="0" borderId="0" xfId="0" applyFont="1"/>
    <xf numFmtId="0" fontId="0" fillId="0" borderId="0" xfId="0" quotePrefix="1"/>
    <xf numFmtId="0" fontId="0" fillId="9" borderId="0" xfId="0" applyFill="1"/>
    <xf numFmtId="3" fontId="10" fillId="0" borderId="1" xfId="0" applyNumberFormat="1" applyFont="1" applyFill="1" applyBorder="1" applyAlignment="1">
      <alignment vertical="top" wrapText="1"/>
    </xf>
    <xf numFmtId="0" fontId="3" fillId="0" borderId="1" xfId="0" applyFont="1" applyFill="1" applyBorder="1" applyAlignment="1">
      <alignment vertical="top" wrapText="1"/>
    </xf>
    <xf numFmtId="0" fontId="3" fillId="0" borderId="1" xfId="0" applyFont="1" applyBorder="1" applyAlignment="1">
      <alignment vertical="top" wrapText="1"/>
    </xf>
    <xf numFmtId="0" fontId="3" fillId="3" borderId="0" xfId="0" applyFont="1" applyFill="1" applyAlignment="1">
      <alignment horizontal="justify" vertical="top"/>
    </xf>
    <xf numFmtId="14" fontId="3" fillId="0" borderId="1" xfId="0" applyNumberFormat="1" applyFont="1" applyBorder="1" applyAlignment="1" applyProtection="1">
      <alignment horizontal="justify" vertical="top"/>
      <protection locked="0"/>
    </xf>
    <xf numFmtId="3" fontId="9" fillId="3" borderId="1" xfId="0" applyNumberFormat="1" applyFont="1" applyFill="1" applyBorder="1" applyAlignment="1">
      <alignment horizontal="justify" vertical="top"/>
    </xf>
    <xf numFmtId="0" fontId="3" fillId="3" borderId="1" xfId="0" applyFont="1" applyFill="1" applyBorder="1" applyAlignment="1">
      <alignment horizontal="left" vertical="top"/>
    </xf>
    <xf numFmtId="3" fontId="10" fillId="3" borderId="1" xfId="34" applyNumberFormat="1" applyFont="1" applyFill="1" applyBorder="1" applyAlignment="1">
      <alignment horizontal="center" vertical="center" wrapText="1"/>
    </xf>
    <xf numFmtId="14" fontId="3" fillId="3" borderId="1" xfId="0" applyNumberFormat="1" applyFont="1" applyFill="1" applyBorder="1" applyAlignment="1">
      <alignment horizontal="justify" vertical="top"/>
    </xf>
    <xf numFmtId="0" fontId="9" fillId="0" borderId="1" xfId="0" applyFont="1" applyFill="1" applyBorder="1" applyAlignment="1">
      <alignment vertical="top" wrapText="1"/>
    </xf>
    <xf numFmtId="14" fontId="3" fillId="0" borderId="1" xfId="0" applyNumberFormat="1" applyFont="1" applyBorder="1" applyAlignment="1">
      <alignment horizontal="justify" vertical="top"/>
    </xf>
    <xf numFmtId="0" fontId="9" fillId="0" borderId="1" xfId="0" applyFont="1" applyBorder="1" applyAlignment="1">
      <alignment horizontal="justify" vertical="top"/>
    </xf>
    <xf numFmtId="3" fontId="3" fillId="0" borderId="1" xfId="0" applyNumberFormat="1" applyFont="1" applyBorder="1" applyAlignment="1">
      <alignment horizontal="left" vertical="top"/>
    </xf>
    <xf numFmtId="3" fontId="3" fillId="3" borderId="1" xfId="0" applyNumberFormat="1" applyFont="1" applyFill="1" applyBorder="1" applyAlignment="1">
      <alignment horizontal="left" vertical="top"/>
    </xf>
    <xf numFmtId="3" fontId="10" fillId="0" borderId="1" xfId="0" applyNumberFormat="1" applyFont="1" applyBorder="1" applyAlignment="1" applyProtection="1">
      <alignment horizontal="left" vertical="top"/>
      <protection locked="0"/>
    </xf>
    <xf numFmtId="1" fontId="3" fillId="0" borderId="1" xfId="0" applyNumberFormat="1" applyFont="1" applyBorder="1" applyAlignment="1" applyProtection="1">
      <alignment horizontal="left" vertical="top"/>
      <protection locked="0"/>
    </xf>
    <xf numFmtId="3" fontId="3" fillId="0" borderId="1" xfId="0" applyNumberFormat="1" applyFont="1" applyFill="1" applyBorder="1" applyAlignment="1">
      <alignment vertical="top" wrapText="1"/>
    </xf>
    <xf numFmtId="0" fontId="19" fillId="0" borderId="1" xfId="0" applyFont="1" applyBorder="1" applyAlignment="1">
      <alignment horizontal="justify" vertical="top"/>
    </xf>
    <xf numFmtId="1" fontId="3" fillId="0" borderId="1" xfId="0" applyNumberFormat="1" applyFont="1" applyBorder="1" applyAlignment="1">
      <alignment horizontal="right" vertical="top"/>
    </xf>
    <xf numFmtId="0" fontId="3" fillId="0" borderId="3" xfId="0" applyFont="1" applyBorder="1" applyAlignment="1" applyProtection="1">
      <alignment horizontal="justify" vertical="top"/>
      <protection locked="0"/>
    </xf>
    <xf numFmtId="0" fontId="3" fillId="3" borderId="3" xfId="0" applyFont="1" applyFill="1" applyBorder="1" applyAlignment="1">
      <alignment horizontal="justify" vertical="top"/>
    </xf>
    <xf numFmtId="3" fontId="10" fillId="0" borderId="1" xfId="0" applyNumberFormat="1" applyFont="1" applyBorder="1" applyAlignment="1">
      <alignment wrapText="1"/>
    </xf>
    <xf numFmtId="3" fontId="10" fillId="3" borderId="4" xfId="0" applyNumberFormat="1" applyFont="1" applyFill="1" applyBorder="1" applyAlignment="1">
      <alignment vertical="top"/>
    </xf>
    <xf numFmtId="3" fontId="10" fillId="3" borderId="5" xfId="0" applyNumberFormat="1" applyFont="1" applyFill="1" applyBorder="1" applyAlignment="1">
      <alignment vertical="top"/>
    </xf>
    <xf numFmtId="3" fontId="10" fillId="0" borderId="4" xfId="0" applyNumberFormat="1" applyFont="1" applyBorder="1" applyAlignment="1" applyProtection="1">
      <alignment vertical="top"/>
      <protection locked="0"/>
    </xf>
    <xf numFmtId="3" fontId="10" fillId="3" borderId="6" xfId="0" applyNumberFormat="1" applyFont="1" applyFill="1" applyBorder="1" applyAlignment="1">
      <alignment vertical="top"/>
    </xf>
    <xf numFmtId="3" fontId="10" fillId="0" borderId="6" xfId="0" applyNumberFormat="1" applyFont="1" applyBorder="1" applyAlignment="1" applyProtection="1">
      <alignment vertical="top"/>
      <protection locked="0"/>
    </xf>
    <xf numFmtId="3" fontId="10" fillId="3" borderId="7" xfId="0" applyNumberFormat="1" applyFont="1" applyFill="1" applyBorder="1" applyAlignment="1">
      <alignment vertical="top"/>
    </xf>
    <xf numFmtId="3" fontId="10" fillId="0" borderId="7" xfId="0" applyNumberFormat="1" applyFont="1" applyBorder="1" applyAlignment="1" applyProtection="1">
      <alignment vertical="top"/>
      <protection locked="0"/>
    </xf>
    <xf numFmtId="3" fontId="3" fillId="0" borderId="8" xfId="0" applyNumberFormat="1" applyFont="1" applyBorder="1" applyAlignment="1" applyProtection="1">
      <alignment horizontal="justify" vertical="top"/>
      <protection locked="0"/>
    </xf>
    <xf numFmtId="3" fontId="9" fillId="0" borderId="1" xfId="0" applyNumberFormat="1" applyFont="1" applyBorder="1" applyAlignment="1">
      <alignment horizontal="justify" vertical="top" wrapText="1"/>
    </xf>
    <xf numFmtId="3" fontId="10" fillId="0" borderId="8" xfId="0" applyNumberFormat="1" applyFont="1" applyBorder="1" applyAlignment="1" applyProtection="1">
      <alignment horizontal="justify" vertical="top"/>
      <protection locked="0"/>
    </xf>
    <xf numFmtId="15" fontId="3" fillId="0" borderId="7" xfId="0" applyNumberFormat="1" applyFont="1" applyBorder="1" applyAlignment="1" applyProtection="1">
      <alignment horizontal="center" vertical="top"/>
      <protection locked="0"/>
    </xf>
    <xf numFmtId="15" fontId="3" fillId="0" borderId="1" xfId="0" applyNumberFormat="1" applyFont="1" applyBorder="1" applyAlignment="1">
      <alignment horizontal="center" vertical="top"/>
    </xf>
    <xf numFmtId="1" fontId="3" fillId="0" borderId="7" xfId="0" applyNumberFormat="1" applyFont="1" applyBorder="1" applyAlignment="1" applyProtection="1">
      <alignment horizontal="center" vertical="top"/>
      <protection locked="0"/>
    </xf>
    <xf numFmtId="1" fontId="3" fillId="0" borderId="1" xfId="0" applyNumberFormat="1" applyFont="1" applyBorder="1" applyAlignment="1">
      <alignment horizontal="center" vertical="top"/>
    </xf>
    <xf numFmtId="15" fontId="3" fillId="0" borderId="7" xfId="0" applyNumberFormat="1" applyFont="1" applyBorder="1" applyAlignment="1" applyProtection="1">
      <alignment horizontal="justify" vertical="top"/>
      <protection locked="0"/>
    </xf>
    <xf numFmtId="15" fontId="3" fillId="0" borderId="1" xfId="0" applyNumberFormat="1" applyFont="1" applyBorder="1" applyAlignment="1">
      <alignment horizontal="justify" vertical="top" wrapText="1"/>
    </xf>
    <xf numFmtId="0" fontId="18" fillId="0" borderId="8" xfId="0" applyFont="1" applyBorder="1" applyAlignment="1">
      <alignment horizontal="justify" vertical="top"/>
    </xf>
    <xf numFmtId="0" fontId="9" fillId="0" borderId="1" xfId="0" applyFont="1" applyBorder="1" applyAlignment="1">
      <alignment vertical="top" wrapText="1"/>
    </xf>
    <xf numFmtId="0" fontId="9" fillId="0" borderId="8" xfId="0" applyFont="1" applyBorder="1" applyAlignment="1" applyProtection="1">
      <alignment horizontal="justify" vertical="top"/>
      <protection locked="0"/>
    </xf>
    <xf numFmtId="0" fontId="9" fillId="3" borderId="8" xfId="0" applyFont="1" applyFill="1" applyBorder="1" applyAlignment="1">
      <alignment horizontal="justify" vertical="top" wrapText="1"/>
    </xf>
    <xf numFmtId="0" fontId="9" fillId="0" borderId="8" xfId="0" applyFont="1" applyBorder="1" applyAlignment="1">
      <alignment horizontal="justify" vertical="top"/>
    </xf>
    <xf numFmtId="0" fontId="9" fillId="3" borderId="8" xfId="0" applyFont="1" applyFill="1" applyBorder="1" applyAlignment="1">
      <alignment horizontal="justify" vertical="top"/>
    </xf>
    <xf numFmtId="0" fontId="19" fillId="0" borderId="8" xfId="0" applyFont="1" applyBorder="1" applyAlignment="1">
      <alignment horizontal="justify" vertical="top"/>
    </xf>
    <xf numFmtId="3" fontId="3" fillId="0" borderId="1" xfId="0" applyNumberFormat="1" applyFont="1" applyBorder="1" applyAlignment="1" applyProtection="1">
      <alignment horizontal="left" vertical="top"/>
      <protection locked="0"/>
    </xf>
    <xf numFmtId="0" fontId="7" fillId="0" borderId="8" xfId="0" applyFont="1" applyBorder="1" applyAlignment="1" applyProtection="1">
      <alignment horizontal="justify" vertical="top"/>
      <protection locked="0"/>
    </xf>
    <xf numFmtId="0" fontId="17" fillId="0" borderId="8" xfId="0" applyFont="1" applyBorder="1" applyAlignment="1">
      <alignment horizontal="justify" vertical="top"/>
    </xf>
    <xf numFmtId="187" fontId="9" fillId="0" borderId="1" xfId="0" applyNumberFormat="1" applyFont="1" applyFill="1" applyBorder="1" applyAlignment="1" applyProtection="1">
      <alignment horizontal="center" vertical="justify"/>
      <protection locked="0"/>
    </xf>
    <xf numFmtId="0" fontId="9" fillId="0" borderId="1" xfId="0" applyFont="1" applyFill="1" applyBorder="1" applyAlignment="1" applyProtection="1">
      <alignment horizontal="right" vertical="justify"/>
      <protection locked="0"/>
    </xf>
    <xf numFmtId="187" fontId="9" fillId="0" borderId="1" xfId="0" applyNumberFormat="1" applyFont="1" applyFill="1" applyBorder="1" applyAlignment="1" applyProtection="1">
      <alignment horizontal="right" vertical="justify"/>
      <protection locked="0"/>
    </xf>
    <xf numFmtId="3" fontId="10" fillId="3" borderId="1" xfId="35" applyNumberFormat="1" applyFont="1" applyFill="1" applyBorder="1" applyAlignment="1">
      <alignment vertical="top"/>
    </xf>
    <xf numFmtId="0" fontId="9" fillId="3" borderId="1" xfId="35" applyFont="1" applyFill="1" applyBorder="1" applyAlignment="1">
      <alignment horizontal="justify" vertical="top" wrapText="1"/>
    </xf>
    <xf numFmtId="14" fontId="3" fillId="3" borderId="1" xfId="35" applyNumberFormat="1" applyFont="1" applyFill="1" applyBorder="1" applyAlignment="1">
      <alignment horizontal="justify" vertical="top"/>
    </xf>
    <xf numFmtId="0" fontId="3" fillId="3" borderId="1" xfId="35" applyFont="1" applyFill="1" applyBorder="1" applyAlignment="1">
      <alignment horizontal="justify" vertical="top"/>
    </xf>
    <xf numFmtId="3" fontId="3" fillId="3" borderId="8" xfId="0" applyNumberFormat="1" applyFont="1" applyFill="1" applyBorder="1" applyAlignment="1" applyProtection="1">
      <alignment horizontal="justify" vertical="top"/>
      <protection locked="0"/>
    </xf>
    <xf numFmtId="1" fontId="3" fillId="3" borderId="7" xfId="0" applyNumberFormat="1" applyFont="1" applyFill="1" applyBorder="1" applyAlignment="1" applyProtection="1">
      <alignment horizontal="center" vertical="top"/>
      <protection locked="0"/>
    </xf>
    <xf numFmtId="15" fontId="3" fillId="3" borderId="7" xfId="0" applyNumberFormat="1" applyFont="1" applyFill="1" applyBorder="1" applyAlignment="1" applyProtection="1">
      <alignment horizontal="justify" vertical="top"/>
      <protection locked="0"/>
    </xf>
    <xf numFmtId="0" fontId="9" fillId="3" borderId="8" xfId="0" applyFont="1" applyFill="1" applyBorder="1" applyAlignment="1" applyProtection="1">
      <alignment horizontal="justify" vertical="top"/>
      <protection locked="0"/>
    </xf>
    <xf numFmtId="14" fontId="3" fillId="3" borderId="1" xfId="26" applyNumberFormat="1" applyFont="1" applyFill="1" applyBorder="1" applyAlignment="1">
      <alignment horizontal="justify" vertical="top"/>
    </xf>
    <xf numFmtId="0" fontId="3" fillId="3" borderId="1" xfId="26" applyFont="1" applyFill="1" applyBorder="1" applyAlignment="1">
      <alignment horizontal="justify" vertical="top"/>
    </xf>
    <xf numFmtId="3" fontId="10" fillId="3" borderId="1" xfId="26" applyNumberFormat="1" applyFont="1" applyFill="1" applyBorder="1" applyAlignment="1">
      <alignment vertical="top"/>
    </xf>
    <xf numFmtId="0" fontId="9" fillId="3" borderId="1" xfId="26" applyFont="1" applyFill="1" applyBorder="1" applyAlignment="1">
      <alignment horizontal="justify" vertical="top" wrapText="1"/>
    </xf>
    <xf numFmtId="0" fontId="9" fillId="3" borderId="1" xfId="26" applyFont="1" applyFill="1" applyBorder="1" applyAlignment="1">
      <alignment horizontal="justify" vertical="center"/>
    </xf>
    <xf numFmtId="15" fontId="5" fillId="0" borderId="1" xfId="0" applyNumberFormat="1" applyFont="1" applyBorder="1" applyAlignment="1" applyProtection="1">
      <alignment horizontal="justify" vertical="top"/>
      <protection locked="0"/>
    </xf>
    <xf numFmtId="3" fontId="10" fillId="0" borderId="1" xfId="0" applyNumberFormat="1" applyFont="1" applyBorder="1" applyAlignment="1" applyProtection="1">
      <alignment vertical="top"/>
      <protection locked="0"/>
    </xf>
    <xf numFmtId="37" fontId="10" fillId="0" borderId="1" xfId="20" applyNumberFormat="1" applyFont="1" applyBorder="1" applyAlignment="1" applyProtection="1">
      <alignment horizontal="justify" vertical="top"/>
      <protection locked="0"/>
    </xf>
    <xf numFmtId="207" fontId="9" fillId="0" borderId="1" xfId="20" applyNumberFormat="1" applyFont="1" applyBorder="1" applyAlignment="1" applyProtection="1">
      <alignment horizontal="center" vertical="top"/>
      <protection locked="0"/>
    </xf>
    <xf numFmtId="15" fontId="3" fillId="3" borderId="7" xfId="0" applyNumberFormat="1" applyFont="1" applyFill="1" applyBorder="1" applyAlignment="1" applyProtection="1">
      <alignment horizontal="center" vertical="top"/>
      <protection locked="0"/>
    </xf>
    <xf numFmtId="3" fontId="10" fillId="3" borderId="1" xfId="28" applyNumberFormat="1" applyFont="1" applyFill="1" applyBorder="1" applyAlignment="1">
      <alignment vertical="top"/>
    </xf>
    <xf numFmtId="0" fontId="9" fillId="3" borderId="1" xfId="29" applyFont="1" applyFill="1" applyBorder="1" applyAlignment="1">
      <alignment horizontal="justify" vertical="top" wrapText="1"/>
    </xf>
    <xf numFmtId="0" fontId="3" fillId="3" borderId="1" xfId="30" applyFont="1" applyFill="1" applyBorder="1" applyAlignment="1">
      <alignment horizontal="justify" vertical="top"/>
    </xf>
    <xf numFmtId="14" fontId="3" fillId="3" borderId="1" xfId="30" applyNumberFormat="1" applyFont="1" applyFill="1" applyBorder="1" applyAlignment="1">
      <alignment horizontal="justify" vertical="top"/>
    </xf>
    <xf numFmtId="3" fontId="10" fillId="3" borderId="1" xfId="31" applyNumberFormat="1" applyFont="1" applyFill="1" applyBorder="1" applyAlignment="1">
      <alignment vertical="top"/>
    </xf>
    <xf numFmtId="0" fontId="9" fillId="3" borderId="1" xfId="32" applyFont="1" applyFill="1" applyBorder="1" applyAlignment="1">
      <alignment horizontal="justify" vertical="top" wrapText="1"/>
    </xf>
    <xf numFmtId="3" fontId="10" fillId="3" borderId="1" xfId="23" applyNumberFormat="1" applyFont="1" applyFill="1" applyBorder="1" applyAlignment="1">
      <alignment vertical="top"/>
    </xf>
    <xf numFmtId="3" fontId="10" fillId="3" borderId="1" xfId="24" applyNumberFormat="1" applyFont="1" applyFill="1" applyBorder="1" applyAlignment="1">
      <alignment vertical="top"/>
    </xf>
    <xf numFmtId="0" fontId="9" fillId="3" borderId="1" xfId="25" applyFont="1" applyFill="1" applyBorder="1" applyAlignment="1">
      <alignment horizontal="justify" vertical="top" wrapText="1"/>
    </xf>
    <xf numFmtId="15" fontId="3" fillId="3" borderId="1" xfId="35" applyNumberFormat="1" applyFont="1" applyFill="1" applyBorder="1" applyAlignment="1">
      <alignment horizontal="justify" vertical="top"/>
    </xf>
    <xf numFmtId="3" fontId="10" fillId="3" borderId="4" xfId="35" applyNumberFormat="1" applyFont="1" applyFill="1" applyBorder="1" applyAlignment="1">
      <alignment vertical="top"/>
    </xf>
    <xf numFmtId="3" fontId="10" fillId="3" borderId="5" xfId="35" applyNumberFormat="1" applyFont="1" applyFill="1" applyBorder="1" applyAlignment="1">
      <alignment vertical="top"/>
    </xf>
    <xf numFmtId="3" fontId="10" fillId="3" borderId="6" xfId="35" applyNumberFormat="1" applyFont="1" applyFill="1" applyBorder="1" applyAlignment="1">
      <alignment vertical="top"/>
    </xf>
    <xf numFmtId="3" fontId="10" fillId="3" borderId="7" xfId="35" applyNumberFormat="1" applyFont="1" applyFill="1" applyBorder="1" applyAlignment="1">
      <alignment vertical="top"/>
    </xf>
    <xf numFmtId="0" fontId="9" fillId="3" borderId="8" xfId="35" applyFont="1" applyFill="1" applyBorder="1" applyAlignment="1">
      <alignment horizontal="justify" vertical="top" wrapText="1"/>
    </xf>
    <xf numFmtId="43" fontId="3" fillId="0" borderId="0" xfId="20" applyFont="1" applyAlignment="1" applyProtection="1">
      <alignment horizontal="justify" vertical="justify" wrapText="1"/>
      <protection locked="0"/>
    </xf>
    <xf numFmtId="20" fontId="10" fillId="0" borderId="1" xfId="0" applyNumberFormat="1" applyFont="1" applyBorder="1" applyAlignment="1">
      <alignment horizontal="justify" vertical="center" wrapText="1"/>
    </xf>
    <xf numFmtId="187" fontId="3" fillId="0" borderId="0" xfId="0" applyNumberFormat="1" applyFont="1" applyAlignment="1" applyProtection="1">
      <alignment horizontal="justify" vertical="justify"/>
      <protection locked="0"/>
    </xf>
    <xf numFmtId="0" fontId="3" fillId="13" borderId="1" xfId="0" applyFont="1" applyFill="1" applyBorder="1" applyAlignment="1">
      <alignment horizontal="justify" vertical="top"/>
    </xf>
    <xf numFmtId="3" fontId="10" fillId="13" borderId="1" xfId="0" applyNumberFormat="1" applyFont="1" applyFill="1" applyBorder="1" applyAlignment="1">
      <alignment vertical="top"/>
    </xf>
    <xf numFmtId="3" fontId="3" fillId="13" borderId="1" xfId="0" applyNumberFormat="1" applyFont="1" applyFill="1" applyBorder="1" applyAlignment="1" applyProtection="1">
      <alignment horizontal="justify" vertical="top"/>
      <protection locked="0"/>
    </xf>
    <xf numFmtId="15" fontId="3" fillId="13" borderId="1" xfId="0" applyNumberFormat="1" applyFont="1" applyFill="1" applyBorder="1" applyAlignment="1" applyProtection="1">
      <alignment horizontal="justify" vertical="top"/>
      <protection locked="0"/>
    </xf>
    <xf numFmtId="188" fontId="3" fillId="13" borderId="1" xfId="0" applyNumberFormat="1" applyFont="1" applyFill="1" applyBorder="1" applyAlignment="1">
      <alignment horizontal="right" vertical="top"/>
    </xf>
    <xf numFmtId="1" fontId="3" fillId="13" borderId="1" xfId="0" applyNumberFormat="1" applyFont="1" applyFill="1" applyBorder="1" applyAlignment="1" applyProtection="1">
      <alignment horizontal="right" vertical="top"/>
      <protection locked="0"/>
    </xf>
    <xf numFmtId="1" fontId="3" fillId="13" borderId="1" xfId="0" applyNumberFormat="1" applyFont="1" applyFill="1" applyBorder="1" applyAlignment="1" applyProtection="1">
      <alignment horizontal="center" vertical="top"/>
      <protection locked="0"/>
    </xf>
    <xf numFmtId="0" fontId="9" fillId="13" borderId="1" xfId="0" applyFont="1" applyFill="1" applyBorder="1" applyAlignment="1">
      <alignment horizontal="justify" vertical="top" wrapText="1"/>
    </xf>
    <xf numFmtId="189" fontId="3" fillId="13" borderId="1" xfId="0" applyNumberFormat="1" applyFont="1" applyFill="1" applyBorder="1" applyAlignment="1" applyProtection="1">
      <alignment horizontal="justify" vertical="top"/>
      <protection locked="0"/>
    </xf>
    <xf numFmtId="189" fontId="3" fillId="13" borderId="1" xfId="0" applyNumberFormat="1" applyFont="1" applyFill="1" applyBorder="1" applyAlignment="1">
      <alignment horizontal="justify" vertical="top"/>
    </xf>
    <xf numFmtId="14" fontId="3" fillId="13" borderId="1" xfId="0" applyNumberFormat="1" applyFont="1" applyFill="1" applyBorder="1" applyAlignment="1">
      <alignment horizontal="justify" vertical="top"/>
    </xf>
    <xf numFmtId="0" fontId="10" fillId="13" borderId="1" xfId="0" applyFont="1" applyFill="1" applyBorder="1" applyAlignment="1" applyProtection="1">
      <alignment horizontal="justify" vertical="top"/>
      <protection locked="0"/>
    </xf>
    <xf numFmtId="3" fontId="10" fillId="13" borderId="1" xfId="0" applyNumberFormat="1" applyFont="1" applyFill="1" applyBorder="1" applyAlignment="1" applyProtection="1">
      <alignment horizontal="justify" vertical="top"/>
      <protection locked="0"/>
    </xf>
    <xf numFmtId="0" fontId="8" fillId="0" borderId="1" xfId="0" applyFont="1" applyBorder="1" applyAlignment="1" applyProtection="1">
      <alignment horizontal="justify" vertical="top"/>
      <protection locked="0"/>
    </xf>
    <xf numFmtId="0" fontId="10" fillId="3" borderId="1" xfId="0" applyFont="1" applyFill="1" applyBorder="1" applyAlignment="1">
      <alignment horizontal="justify" vertical="top" wrapText="1"/>
    </xf>
    <xf numFmtId="3" fontId="7" fillId="3" borderId="1" xfId="0" applyNumberFormat="1" applyFont="1" applyFill="1" applyBorder="1" applyAlignment="1">
      <alignment vertical="top"/>
    </xf>
    <xf numFmtId="3" fontId="9" fillId="3" borderId="1" xfId="0" applyNumberFormat="1" applyFont="1" applyFill="1" applyBorder="1" applyAlignment="1">
      <alignment vertical="top"/>
    </xf>
    <xf numFmtId="0" fontId="9" fillId="13" borderId="1" xfId="29" applyFont="1" applyFill="1" applyBorder="1" applyAlignment="1">
      <alignment horizontal="left" vertical="top"/>
    </xf>
    <xf numFmtId="0" fontId="9" fillId="13" borderId="1" xfId="29" applyFont="1" applyFill="1" applyBorder="1" applyAlignment="1">
      <alignment vertical="top"/>
    </xf>
    <xf numFmtId="0" fontId="9" fillId="13" borderId="1" xfId="29" applyFont="1" applyFill="1" applyBorder="1" applyAlignment="1">
      <alignment horizontal="left" vertical="top" wrapText="1"/>
    </xf>
    <xf numFmtId="0" fontId="9" fillId="0" borderId="1" xfId="29" applyFont="1" applyBorder="1" applyAlignment="1">
      <alignment horizontal="left" vertical="top"/>
    </xf>
    <xf numFmtId="0" fontId="9" fillId="0" borderId="1" xfId="29" applyFont="1" applyBorder="1" applyAlignment="1">
      <alignment vertical="top"/>
    </xf>
    <xf numFmtId="0" fontId="9" fillId="0" borderId="1" xfId="29" applyFont="1" applyBorder="1" applyAlignment="1">
      <alignment horizontal="left" vertical="top" wrapText="1"/>
    </xf>
    <xf numFmtId="15" fontId="3" fillId="3" borderId="9" xfId="0" applyNumberFormat="1" applyFont="1" applyFill="1" applyBorder="1" applyAlignment="1">
      <alignment horizontal="justify" vertical="top"/>
    </xf>
    <xf numFmtId="15" fontId="9" fillId="0" borderId="1" xfId="29" applyNumberFormat="1" applyFont="1" applyFill="1" applyBorder="1" applyAlignment="1">
      <alignment horizontal="left" vertical="top" wrapText="1"/>
    </xf>
    <xf numFmtId="15" fontId="9" fillId="13" borderId="1" xfId="29" applyNumberFormat="1" applyFont="1" applyFill="1" applyBorder="1" applyAlignment="1">
      <alignment horizontal="left" vertical="top" wrapText="1"/>
    </xf>
    <xf numFmtId="15" fontId="3" fillId="3" borderId="10" xfId="0" applyNumberFormat="1" applyFont="1" applyFill="1" applyBorder="1" applyAlignment="1">
      <alignment horizontal="justify" vertical="top"/>
    </xf>
    <xf numFmtId="3" fontId="9" fillId="3" borderId="6" xfId="0" applyNumberFormat="1" applyFont="1" applyFill="1" applyBorder="1" applyAlignment="1">
      <alignment vertical="top"/>
    </xf>
    <xf numFmtId="3" fontId="7" fillId="3" borderId="6" xfId="0" applyNumberFormat="1" applyFont="1" applyFill="1" applyBorder="1" applyAlignment="1">
      <alignment vertical="top"/>
    </xf>
    <xf numFmtId="3" fontId="7" fillId="3" borderId="7" xfId="0" applyNumberFormat="1" applyFont="1" applyFill="1" applyBorder="1" applyAlignment="1">
      <alignment vertical="top"/>
    </xf>
    <xf numFmtId="0" fontId="10" fillId="0" borderId="1" xfId="26" applyFont="1" applyFill="1" applyBorder="1" applyAlignment="1">
      <alignment horizontal="justify" vertical="top"/>
    </xf>
    <xf numFmtId="14" fontId="3" fillId="3" borderId="6" xfId="0" applyNumberFormat="1" applyFont="1" applyFill="1" applyBorder="1" applyAlignment="1">
      <alignment horizontal="justify" vertical="top"/>
    </xf>
    <xf numFmtId="0" fontId="3" fillId="3" borderId="6" xfId="0" applyFont="1" applyFill="1" applyBorder="1" applyAlignment="1">
      <alignment horizontal="justify" vertical="top"/>
    </xf>
    <xf numFmtId="3" fontId="10" fillId="0" borderId="0" xfId="0" applyNumberFormat="1" applyFont="1" applyAlignment="1" applyProtection="1">
      <alignment horizontal="justify" vertical="justify"/>
      <protection locked="0"/>
    </xf>
    <xf numFmtId="0" fontId="10" fillId="3" borderId="1" xfId="0" applyNumberFormat="1" applyFont="1" applyFill="1" applyBorder="1" applyAlignment="1">
      <alignment vertical="top"/>
    </xf>
    <xf numFmtId="0" fontId="10" fillId="0" borderId="11" xfId="0" applyFont="1" applyBorder="1" applyAlignment="1">
      <alignment horizontal="center"/>
    </xf>
    <xf numFmtId="0" fontId="10" fillId="2" borderId="6" xfId="0" applyFont="1" applyFill="1" applyBorder="1" applyAlignment="1" applyProtection="1">
      <alignment horizontal="center"/>
      <protection locked="0"/>
    </xf>
    <xf numFmtId="3" fontId="10" fillId="0" borderId="0" xfId="0" applyNumberFormat="1" applyFont="1" applyAlignment="1" applyProtection="1">
      <alignment horizontal="center" vertical="justify"/>
      <protection locked="0"/>
    </xf>
    <xf numFmtId="0" fontId="10" fillId="0" borderId="0" xfId="0" applyFont="1" applyAlignment="1" applyProtection="1">
      <alignment horizontal="center" vertical="justify"/>
      <protection locked="0"/>
    </xf>
    <xf numFmtId="3" fontId="10" fillId="0" borderId="0" xfId="0" applyNumberFormat="1" applyFont="1" applyAlignment="1">
      <alignment horizontal="justify" vertical="top"/>
    </xf>
    <xf numFmtId="0" fontId="10" fillId="0" borderId="0" xfId="0" applyFont="1" applyAlignment="1">
      <alignment horizontal="justify" vertical="top"/>
    </xf>
    <xf numFmtId="0" fontId="10" fillId="3" borderId="1" xfId="0" applyFont="1" applyFill="1" applyBorder="1" applyAlignment="1">
      <alignment horizontal="right" vertical="top" wrapText="1"/>
    </xf>
    <xf numFmtId="3" fontId="10" fillId="3" borderId="1" xfId="0" applyNumberFormat="1" applyFont="1" applyFill="1" applyBorder="1" applyAlignment="1">
      <alignment horizontal="right" vertical="top"/>
    </xf>
    <xf numFmtId="0" fontId="10" fillId="3" borderId="0" xfId="0" applyFont="1" applyFill="1" applyAlignment="1">
      <alignment horizontal="justify" vertical="top"/>
    </xf>
    <xf numFmtId="3" fontId="2" fillId="0" borderId="1" xfId="0" applyNumberFormat="1" applyFont="1" applyBorder="1" applyAlignment="1">
      <alignment horizontal="center" vertical="center" wrapText="1"/>
    </xf>
    <xf numFmtId="0" fontId="2" fillId="0" borderId="1" xfId="0" applyFont="1" applyBorder="1" applyAlignment="1">
      <alignment horizontal="justify" vertical="justify" wrapText="1"/>
    </xf>
    <xf numFmtId="0" fontId="2" fillId="0" borderId="1" xfId="0" applyFont="1" applyBorder="1" applyAlignment="1">
      <alignment horizontal="center" vertical="center" wrapText="1"/>
    </xf>
    <xf numFmtId="3" fontId="10" fillId="3" borderId="0" xfId="0" applyNumberFormat="1" applyFont="1" applyFill="1" applyAlignment="1">
      <alignment horizontal="justify" vertical="top"/>
    </xf>
    <xf numFmtId="0" fontId="10" fillId="3" borderId="1" xfId="0" applyFont="1" applyFill="1" applyBorder="1" applyAlignment="1">
      <alignment vertical="center" wrapText="1"/>
    </xf>
    <xf numFmtId="3" fontId="2" fillId="3" borderId="1" xfId="0" applyNumberFormat="1" applyFont="1" applyFill="1" applyBorder="1" applyAlignment="1">
      <alignment horizontal="center" vertical="center" wrapText="1"/>
    </xf>
    <xf numFmtId="0" fontId="2" fillId="3" borderId="1" xfId="0" applyFont="1" applyFill="1" applyBorder="1" applyAlignment="1">
      <alignment horizontal="justify" vertical="justify"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justify" vertical="top"/>
    </xf>
    <xf numFmtId="3" fontId="2" fillId="3" borderId="1" xfId="0" applyNumberFormat="1" applyFont="1" applyFill="1" applyBorder="1" applyAlignment="1">
      <alignment horizontal="justify" vertical="top"/>
    </xf>
    <xf numFmtId="0" fontId="2" fillId="3" borderId="1" xfId="34" applyFont="1" applyFill="1" applyBorder="1" applyAlignment="1">
      <alignment horizontal="center" vertical="center" wrapText="1"/>
    </xf>
    <xf numFmtId="0" fontId="2" fillId="3" borderId="1" xfId="34" applyFont="1" applyFill="1" applyBorder="1" applyAlignment="1">
      <alignment horizontal="justify" vertical="justify" wrapText="1"/>
    </xf>
    <xf numFmtId="0" fontId="2" fillId="0" borderId="0" xfId="34" applyFont="1" applyBorder="1" applyAlignment="1">
      <alignment horizontal="justify" vertical="justify" wrapText="1"/>
    </xf>
    <xf numFmtId="0" fontId="2" fillId="0" borderId="0" xfId="34" applyFont="1" applyBorder="1" applyAlignment="1">
      <alignment horizontal="center" vertical="center" wrapText="1"/>
    </xf>
    <xf numFmtId="3" fontId="2" fillId="0" borderId="0" xfId="34" applyNumberFormat="1" applyFont="1" applyBorder="1" applyAlignment="1">
      <alignment horizontal="center" vertical="center" wrapText="1"/>
    </xf>
    <xf numFmtId="3" fontId="10" fillId="0" borderId="0" xfId="0" applyNumberFormat="1" applyFont="1" applyAlignment="1">
      <alignment vertical="top"/>
    </xf>
    <xf numFmtId="3" fontId="10" fillId="0" borderId="12" xfId="0" applyNumberFormat="1" applyFont="1" applyBorder="1" applyAlignment="1">
      <alignment horizontal="justify" vertical="top"/>
    </xf>
    <xf numFmtId="0" fontId="10" fillId="0" borderId="1" xfId="0" applyFont="1" applyBorder="1" applyAlignment="1">
      <alignment horizontal="justify" vertical="top"/>
    </xf>
    <xf numFmtId="0" fontId="10" fillId="0" borderId="7" xfId="0" applyFont="1" applyBorder="1" applyAlignment="1">
      <alignment horizontal="justify" vertical="top"/>
    </xf>
    <xf numFmtId="0" fontId="10" fillId="0" borderId="8" xfId="0" applyFont="1" applyBorder="1" applyAlignment="1">
      <alignment horizontal="justify" vertical="top"/>
    </xf>
    <xf numFmtId="0" fontId="10" fillId="0" borderId="9" xfId="0" applyFont="1" applyBorder="1" applyAlignment="1">
      <alignment horizontal="justify" vertical="top"/>
    </xf>
    <xf numFmtId="0" fontId="10" fillId="0" borderId="13" xfId="0" applyFont="1" applyBorder="1" applyAlignment="1">
      <alignment horizontal="justify" vertical="top"/>
    </xf>
    <xf numFmtId="0" fontId="10" fillId="0" borderId="12" xfId="0" applyFont="1" applyBorder="1" applyAlignment="1">
      <alignment horizontal="justify" vertical="top"/>
    </xf>
    <xf numFmtId="0" fontId="10" fillId="0" borderId="6" xfId="0" applyFont="1" applyBorder="1" applyAlignment="1">
      <alignment horizontal="justify" vertical="top"/>
    </xf>
    <xf numFmtId="0" fontId="10" fillId="0" borderId="10" xfId="0" applyFont="1" applyBorder="1" applyAlignment="1">
      <alignment horizontal="justify" vertical="top"/>
    </xf>
    <xf numFmtId="0" fontId="2" fillId="0" borderId="0" xfId="34" applyFont="1" applyBorder="1" applyAlignment="1">
      <alignment horizontal="center" vertical="top" wrapText="1"/>
    </xf>
    <xf numFmtId="1" fontId="3" fillId="3" borderId="1" xfId="0" applyNumberFormat="1" applyFont="1" applyFill="1" applyBorder="1" applyAlignment="1" applyProtection="1">
      <alignment horizontal="center" vertical="top" wrapText="1"/>
      <protection locked="0"/>
    </xf>
    <xf numFmtId="1" fontId="3" fillId="3" borderId="1" xfId="0" applyNumberFormat="1" applyFont="1" applyFill="1" applyBorder="1" applyAlignment="1">
      <alignment horizontal="center" vertical="top" wrapText="1"/>
    </xf>
    <xf numFmtId="3" fontId="2" fillId="3" borderId="1" xfId="34" applyNumberFormat="1" applyFont="1" applyFill="1" applyBorder="1" applyAlignment="1">
      <alignment horizontal="center" vertical="center" wrapText="1"/>
    </xf>
    <xf numFmtId="0" fontId="2" fillId="3" borderId="1" xfId="34" applyFont="1" applyFill="1" applyBorder="1" applyAlignment="1">
      <alignment horizontal="center" vertical="top" wrapText="1"/>
    </xf>
    <xf numFmtId="0" fontId="3" fillId="3" borderId="1" xfId="0" applyFont="1" applyFill="1" applyBorder="1" applyAlignment="1">
      <alignment horizontal="justify" vertical="justify" wrapText="1"/>
    </xf>
    <xf numFmtId="3" fontId="2" fillId="3" borderId="1" xfId="27" applyNumberFormat="1" applyFont="1" applyFill="1" applyBorder="1" applyAlignment="1">
      <alignment horizontal="center" vertical="center" wrapText="1"/>
    </xf>
    <xf numFmtId="0" fontId="10" fillId="2" borderId="0" xfId="0" applyFont="1" applyFill="1" applyAlignment="1" applyProtection="1">
      <alignment horizontal="justify" vertical="top"/>
      <protection locked="0"/>
    </xf>
    <xf numFmtId="3" fontId="10" fillId="2" borderId="0" xfId="0" applyNumberFormat="1" applyFont="1" applyFill="1" applyAlignment="1" applyProtection="1">
      <alignment horizontal="justify" vertical="top"/>
      <protection locked="0"/>
    </xf>
    <xf numFmtId="3" fontId="10" fillId="3" borderId="1" xfId="0" applyNumberFormat="1" applyFont="1" applyFill="1" applyBorder="1" applyAlignment="1">
      <alignment horizontal="center" vertical="center" wrapText="1"/>
    </xf>
    <xf numFmtId="0" fontId="10" fillId="3" borderId="1" xfId="0" applyFont="1" applyFill="1" applyBorder="1" applyAlignment="1">
      <alignment horizontal="justify" vertical="justify" wrapText="1"/>
    </xf>
    <xf numFmtId="0" fontId="10" fillId="3" borderId="1" xfId="0" applyFont="1" applyFill="1" applyBorder="1" applyAlignment="1">
      <alignment horizontal="center" vertical="center" wrapText="1"/>
    </xf>
    <xf numFmtId="3" fontId="10" fillId="3" borderId="1" xfId="0" applyNumberFormat="1" applyFont="1" applyFill="1" applyBorder="1" applyAlignment="1">
      <alignment horizontal="right" vertical="top" wrapText="1"/>
    </xf>
    <xf numFmtId="0" fontId="2" fillId="3" borderId="1" xfId="27" applyFont="1" applyFill="1" applyBorder="1" applyAlignment="1">
      <alignment horizontal="center" vertical="center" wrapText="1"/>
    </xf>
    <xf numFmtId="0" fontId="2" fillId="3" borderId="1" xfId="27" applyFont="1" applyFill="1" applyBorder="1" applyAlignment="1">
      <alignment horizontal="justify" vertical="justify" wrapText="1"/>
    </xf>
    <xf numFmtId="3" fontId="2" fillId="0" borderId="1" xfId="34" applyNumberFormat="1" applyFont="1" applyBorder="1" applyAlignment="1">
      <alignment horizontal="center" vertical="center" wrapText="1"/>
    </xf>
    <xf numFmtId="0" fontId="2" fillId="0" borderId="1" xfId="34" applyFont="1" applyBorder="1" applyAlignment="1">
      <alignment horizontal="justify" vertical="justify" wrapText="1"/>
    </xf>
    <xf numFmtId="0" fontId="2" fillId="0" borderId="1" xfId="34" applyFont="1" applyBorder="1" applyAlignment="1">
      <alignment horizontal="center" vertical="center" wrapText="1"/>
    </xf>
    <xf numFmtId="3" fontId="2" fillId="0" borderId="1" xfId="0" applyNumberFormat="1" applyFont="1" applyBorder="1" applyAlignment="1">
      <alignment horizontal="center" vertical="center" textRotation="255" wrapText="1"/>
    </xf>
    <xf numFmtId="0" fontId="22"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3" fontId="10" fillId="3" borderId="4" xfId="0" applyNumberFormat="1" applyFont="1" applyFill="1" applyBorder="1" applyAlignment="1" applyProtection="1">
      <alignment vertical="top"/>
      <protection locked="0"/>
    </xf>
    <xf numFmtId="3" fontId="10" fillId="3" borderId="6" xfId="0" applyNumberFormat="1" applyFont="1" applyFill="1" applyBorder="1" applyAlignment="1" applyProtection="1">
      <alignment vertical="top"/>
      <protection locked="0"/>
    </xf>
    <xf numFmtId="3" fontId="10" fillId="3" borderId="7" xfId="0" applyNumberFormat="1" applyFont="1" applyFill="1" applyBorder="1" applyAlignment="1" applyProtection="1">
      <alignment vertical="top"/>
      <protection locked="0"/>
    </xf>
    <xf numFmtId="0" fontId="7" fillId="13" borderId="4" xfId="29" applyFont="1" applyFill="1" applyBorder="1" applyAlignment="1">
      <alignment horizontal="center" vertical="top"/>
    </xf>
    <xf numFmtId="0" fontId="7" fillId="13" borderId="6" xfId="29" applyFont="1" applyFill="1" applyBorder="1" applyAlignment="1">
      <alignment horizontal="center" vertical="top"/>
    </xf>
    <xf numFmtId="0" fontId="9" fillId="13" borderId="6" xfId="29" applyFont="1" applyFill="1" applyBorder="1" applyAlignment="1">
      <alignment horizontal="right" vertical="top"/>
    </xf>
    <xf numFmtId="3" fontId="10" fillId="0" borderId="5" xfId="0" applyNumberFormat="1" applyFont="1" applyBorder="1" applyAlignment="1" applyProtection="1">
      <alignment vertical="top"/>
      <protection locked="0"/>
    </xf>
    <xf numFmtId="0" fontId="7" fillId="0" borderId="1" xfId="29" applyFont="1" applyBorder="1" applyAlignment="1">
      <alignment horizontal="center" vertical="top"/>
    </xf>
    <xf numFmtId="0" fontId="9" fillId="0" borderId="1" xfId="29" applyFont="1" applyBorder="1" applyAlignment="1">
      <alignment horizontal="right" vertical="top"/>
    </xf>
    <xf numFmtId="0" fontId="9" fillId="0" borderId="1" xfId="0" applyNumberFormat="1" applyFont="1" applyBorder="1" applyAlignment="1">
      <alignment vertical="center" wrapText="1"/>
    </xf>
    <xf numFmtId="0" fontId="7" fillId="13" borderId="1" xfId="29" applyFont="1" applyFill="1" applyBorder="1" applyAlignment="1">
      <alignment horizontal="center" vertical="top"/>
    </xf>
    <xf numFmtId="0" fontId="9" fillId="13" borderId="1" xfId="29" applyFont="1" applyFill="1" applyBorder="1" applyAlignment="1">
      <alignment horizontal="center" vertical="top"/>
    </xf>
    <xf numFmtId="0" fontId="9" fillId="13" borderId="1" xfId="29" applyFont="1" applyFill="1" applyBorder="1" applyAlignment="1">
      <alignment horizontal="right" vertical="top"/>
    </xf>
    <xf numFmtId="0" fontId="10" fillId="0" borderId="1" xfId="29" applyFont="1" applyBorder="1" applyAlignment="1">
      <alignment horizontal="right" vertical="top"/>
    </xf>
    <xf numFmtId="0" fontId="10" fillId="0" borderId="0" xfId="0" applyFont="1" applyBorder="1" applyProtection="1">
      <protection locked="0"/>
    </xf>
    <xf numFmtId="0" fontId="10" fillId="0" borderId="0" xfId="0" applyFont="1" applyBorder="1"/>
    <xf numFmtId="186" fontId="10" fillId="0" borderId="0" xfId="0" applyNumberFormat="1" applyFont="1" applyAlignment="1" applyProtection="1">
      <alignment horizontal="justify" vertical="justify"/>
      <protection locked="0"/>
    </xf>
    <xf numFmtId="43" fontId="10" fillId="0" borderId="0" xfId="20" applyFont="1" applyAlignment="1" applyProtection="1">
      <alignment horizontal="justify" vertical="justify"/>
      <protection locked="0"/>
    </xf>
    <xf numFmtId="1" fontId="10" fillId="0" borderId="0" xfId="0" applyNumberFormat="1" applyFont="1" applyAlignment="1" applyProtection="1">
      <alignment horizontal="justify" vertical="justify"/>
      <protection locked="0"/>
    </xf>
    <xf numFmtId="186" fontId="10" fillId="0" borderId="0" xfId="0" applyNumberFormat="1" applyFont="1" applyAlignment="1">
      <alignment horizontal="center" vertical="justify"/>
    </xf>
    <xf numFmtId="0" fontId="10" fillId="0" borderId="0" xfId="0" applyFont="1" applyAlignment="1" applyProtection="1">
      <alignment horizontal="justify" vertical="justify" wrapText="1"/>
      <protection locked="0"/>
    </xf>
    <xf numFmtId="3" fontId="10" fillId="0" borderId="14" xfId="0" applyNumberFormat="1" applyFont="1" applyBorder="1" applyAlignment="1">
      <alignment wrapText="1"/>
    </xf>
    <xf numFmtId="3" fontId="10" fillId="0" borderId="15" xfId="0" applyNumberFormat="1" applyFont="1" applyBorder="1" applyAlignment="1">
      <alignment wrapText="1"/>
    </xf>
    <xf numFmtId="3" fontId="3" fillId="3" borderId="8" xfId="0" applyNumberFormat="1" applyFont="1" applyFill="1" applyBorder="1" applyAlignment="1">
      <alignment horizontal="justify" vertical="top"/>
    </xf>
    <xf numFmtId="15" fontId="3" fillId="3" borderId="7" xfId="0" applyNumberFormat="1" applyFont="1" applyFill="1" applyBorder="1" applyAlignment="1">
      <alignment horizontal="center" vertical="top"/>
    </xf>
    <xf numFmtId="1" fontId="3" fillId="3" borderId="7" xfId="0" applyNumberFormat="1" applyFont="1" applyFill="1" applyBorder="1" applyAlignment="1">
      <alignment horizontal="center" vertical="top"/>
    </xf>
    <xf numFmtId="15" fontId="3" fillId="3" borderId="7" xfId="0" applyNumberFormat="1" applyFont="1" applyFill="1" applyBorder="1" applyAlignment="1">
      <alignment horizontal="justify" vertical="top"/>
    </xf>
    <xf numFmtId="0" fontId="9" fillId="3" borderId="0" xfId="0" applyFont="1" applyFill="1" applyBorder="1" applyAlignment="1">
      <alignment horizontal="justify" vertical="top"/>
    </xf>
    <xf numFmtId="0" fontId="10" fillId="0" borderId="1" xfId="26" applyFont="1" applyFill="1" applyBorder="1" applyAlignment="1">
      <alignment horizontal="justify" vertical="top" wrapText="1"/>
    </xf>
    <xf numFmtId="0" fontId="9" fillId="0" borderId="3" xfId="0" applyFont="1" applyBorder="1" applyAlignment="1">
      <alignment horizontal="justify" vertical="top"/>
    </xf>
    <xf numFmtId="0" fontId="9" fillId="3" borderId="13" xfId="0" applyFont="1" applyFill="1" applyBorder="1" applyAlignment="1">
      <alignment horizontal="justify" vertical="top" wrapText="1"/>
    </xf>
    <xf numFmtId="0" fontId="5" fillId="8" borderId="16" xfId="0" applyFont="1" applyFill="1" applyBorder="1" applyAlignment="1" applyProtection="1">
      <alignment horizontal="center" vertical="justify"/>
      <protection locked="0"/>
    </xf>
    <xf numFmtId="0" fontId="5" fillId="8" borderId="17" xfId="0" applyFont="1" applyFill="1" applyBorder="1" applyAlignment="1" applyProtection="1">
      <alignment horizontal="center" vertical="justify"/>
      <protection locked="0"/>
    </xf>
    <xf numFmtId="0" fontId="10" fillId="0" borderId="17" xfId="0" applyFont="1" applyBorder="1" applyAlignment="1" applyProtection="1">
      <alignment horizontal="center"/>
      <protection locked="0"/>
    </xf>
    <xf numFmtId="0" fontId="5" fillId="8" borderId="11" xfId="0" applyFont="1" applyFill="1" applyBorder="1" applyAlignment="1" applyProtection="1">
      <alignment horizontal="center" vertical="justify"/>
      <protection locked="0"/>
    </xf>
    <xf numFmtId="0" fontId="10" fillId="8" borderId="11" xfId="0" applyFont="1" applyFill="1" applyBorder="1" applyAlignment="1" applyProtection="1">
      <alignment horizontal="center"/>
      <protection locked="0"/>
    </xf>
    <xf numFmtId="0" fontId="10" fillId="8" borderId="17" xfId="0" applyFont="1" applyFill="1" applyBorder="1" applyAlignment="1" applyProtection="1">
      <alignment horizontal="center"/>
      <protection locked="0"/>
    </xf>
    <xf numFmtId="0" fontId="5" fillId="8" borderId="23" xfId="0" applyFont="1" applyFill="1" applyBorder="1" applyAlignment="1" applyProtection="1">
      <alignment horizontal="center" vertical="justify"/>
      <protection locked="0"/>
    </xf>
    <xf numFmtId="0" fontId="5" fillId="8" borderId="24" xfId="0" applyFont="1" applyFill="1" applyBorder="1" applyAlignment="1" applyProtection="1">
      <alignment horizontal="center" vertical="justify"/>
      <protection locked="0"/>
    </xf>
    <xf numFmtId="0" fontId="7" fillId="7" borderId="21" xfId="0" applyFont="1" applyFill="1" applyBorder="1" applyAlignment="1" applyProtection="1">
      <alignment horizontal="center" vertical="justify"/>
      <protection locked="0"/>
    </xf>
    <xf numFmtId="0" fontId="7" fillId="7" borderId="12" xfId="0" applyFont="1" applyFill="1" applyBorder="1" applyAlignment="1" applyProtection="1">
      <alignment horizontal="center" vertical="justify"/>
      <protection locked="0"/>
    </xf>
    <xf numFmtId="0" fontId="7" fillId="7" borderId="22" xfId="0" applyFont="1" applyFill="1" applyBorder="1" applyAlignment="1" applyProtection="1">
      <alignment horizontal="center" vertical="justify"/>
      <protection locked="0"/>
    </xf>
    <xf numFmtId="0" fontId="5" fillId="8" borderId="16" xfId="0" applyFont="1" applyFill="1" applyBorder="1" applyAlignment="1">
      <alignment horizontal="center" vertical="justify"/>
    </xf>
    <xf numFmtId="0" fontId="5" fillId="8" borderId="17" xfId="0" applyFont="1" applyFill="1" applyBorder="1" applyAlignment="1">
      <alignment horizontal="center" vertical="justify"/>
    </xf>
    <xf numFmtId="186" fontId="5" fillId="0" borderId="3" xfId="0" applyNumberFormat="1" applyFont="1" applyBorder="1" applyAlignment="1" applyProtection="1">
      <alignment horizontal="justify" vertical="justify"/>
      <protection locked="0"/>
    </xf>
    <xf numFmtId="186" fontId="5" fillId="0" borderId="18" xfId="0" applyNumberFormat="1" applyFont="1" applyBorder="1" applyAlignment="1" applyProtection="1">
      <alignment horizontal="justify" vertical="justify"/>
      <protection locked="0"/>
    </xf>
    <xf numFmtId="186" fontId="5" fillId="0" borderId="5" xfId="0" applyNumberFormat="1" applyFont="1" applyBorder="1" applyAlignment="1" applyProtection="1">
      <alignment horizontal="justify" vertical="justify"/>
      <protection locked="0"/>
    </xf>
    <xf numFmtId="0" fontId="4" fillId="10" borderId="16" xfId="0" applyFont="1" applyFill="1" applyBorder="1" applyAlignment="1" applyProtection="1">
      <alignment horizontal="center" vertical="justify"/>
      <protection locked="0"/>
    </xf>
    <xf numFmtId="0" fontId="10" fillId="0" borderId="11" xfId="0" applyFont="1" applyBorder="1" applyAlignment="1" applyProtection="1">
      <alignment horizontal="center"/>
      <protection locked="0"/>
    </xf>
    <xf numFmtId="0" fontId="4" fillId="11" borderId="19" xfId="0" applyFont="1" applyFill="1" applyBorder="1" applyAlignment="1" applyProtection="1">
      <alignment horizontal="center" vertical="justify"/>
      <protection locked="0"/>
    </xf>
    <xf numFmtId="0" fontId="4" fillId="11" borderId="20" xfId="0" applyFont="1" applyFill="1" applyBorder="1" applyAlignment="1" applyProtection="1">
      <alignment horizontal="center" vertical="justify"/>
      <protection locked="0"/>
    </xf>
    <xf numFmtId="187" fontId="2" fillId="12" borderId="16" xfId="0" applyNumberFormat="1" applyFont="1" applyFill="1" applyBorder="1" applyAlignment="1" applyProtection="1">
      <alignment horizontal="center" vertical="justify"/>
      <protection locked="0"/>
    </xf>
    <xf numFmtId="187" fontId="2" fillId="12" borderId="11" xfId="0" applyNumberFormat="1" applyFont="1" applyFill="1" applyBorder="1" applyAlignment="1" applyProtection="1">
      <alignment horizontal="center" vertical="justify"/>
      <protection locked="0"/>
    </xf>
    <xf numFmtId="192" fontId="8" fillId="12" borderId="17" xfId="0" applyNumberFormat="1" applyFont="1" applyFill="1" applyBorder="1" applyAlignment="1" applyProtection="1">
      <alignment horizontal="center" vertical="justify"/>
      <protection locked="0"/>
    </xf>
  </cellXfs>
  <cellStyles count="36">
    <cellStyle name="Euro" xfId="1"/>
    <cellStyle name="Euro 10" xfId="2"/>
    <cellStyle name="Euro 11" xfId="3"/>
    <cellStyle name="Euro 12" xfId="4"/>
    <cellStyle name="Euro 13" xfId="5"/>
    <cellStyle name="Euro 14" xfId="6"/>
    <cellStyle name="Euro 15" xfId="7"/>
    <cellStyle name="Euro 2" xfId="8"/>
    <cellStyle name="Euro 2 2" xfId="9"/>
    <cellStyle name="Euro 2 3" xfId="10"/>
    <cellStyle name="Euro 2 3 2" xfId="11"/>
    <cellStyle name="Euro 3" xfId="12"/>
    <cellStyle name="Euro 4" xfId="13"/>
    <cellStyle name="Euro 4 2" xfId="14"/>
    <cellStyle name="Euro 5" xfId="15"/>
    <cellStyle name="Euro 6" xfId="16"/>
    <cellStyle name="Euro 7" xfId="17"/>
    <cellStyle name="Euro 8" xfId="18"/>
    <cellStyle name="Euro 9" xfId="19"/>
    <cellStyle name="Millares" xfId="20" builtinId="3"/>
    <cellStyle name="Millares 2" xfId="21"/>
    <cellStyle name="Millares 2 2" xfId="22"/>
    <cellStyle name="Normal" xfId="0" builtinId="0"/>
    <cellStyle name="Normal 10" xfId="23"/>
    <cellStyle name="Normal 11" xfId="24"/>
    <cellStyle name="Normal 12" xfId="25"/>
    <cellStyle name="Normal 2" xfId="26"/>
    <cellStyle name="Normal 3" xfId="27"/>
    <cellStyle name="Normal 4" xfId="28"/>
    <cellStyle name="Normal 5" xfId="29"/>
    <cellStyle name="Normal 6" xfId="30"/>
    <cellStyle name="Normal 7" xfId="31"/>
    <cellStyle name="Normal 8" xfId="32"/>
    <cellStyle name="Normal_EMERGENCIAS 2010" xfId="33"/>
    <cellStyle name="Normal_REPORTE DE EMERGENCIAS" xfId="34"/>
    <cellStyle name="Normal_REPORTE DE EMERGENCIAS_1" xfId="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0472"/>
  <sheetViews>
    <sheetView tabSelected="1" zoomScaleNormal="100" zoomScaleSheetLayoutView="100" workbookViewId="0">
      <pane xSplit="4" ySplit="2" topLeftCell="E3195" activePane="bottomRight" state="frozen"/>
      <selection activeCell="H7" sqref="H7"/>
      <selection pane="topRight" activeCell="H7" sqref="H7"/>
      <selection pane="bottomLeft" activeCell="H7" sqref="H7"/>
      <selection pane="bottomRight" activeCell="A3216" sqref="A3216"/>
    </sheetView>
  </sheetViews>
  <sheetFormatPr baseColWidth="10" defaultRowHeight="12.75" x14ac:dyDescent="0.2"/>
  <cols>
    <col min="1" max="1" width="10.85546875" style="336" bestFit="1" customWidth="1"/>
    <col min="2" max="2" width="14.5703125" style="22" customWidth="1"/>
    <col min="3" max="3" width="15" style="26" customWidth="1"/>
    <col min="4" max="4" width="13.7109375" style="26" customWidth="1"/>
    <col min="5" max="5" width="13.7109375" style="3" customWidth="1"/>
    <col min="6" max="6" width="13.7109375" style="3" hidden="1" customWidth="1"/>
    <col min="7" max="7" width="12.140625" style="26" customWidth="1"/>
    <col min="8" max="8" width="10.5703125" style="26" customWidth="1"/>
    <col min="9" max="9" width="10" style="26" customWidth="1"/>
    <col min="10" max="10" width="10.7109375" style="26" customWidth="1"/>
    <col min="11" max="11" width="9.85546875" style="26" customWidth="1"/>
    <col min="12" max="12" width="13" style="26" customWidth="1"/>
    <col min="13" max="13" width="10.28515625" style="26" customWidth="1"/>
    <col min="14" max="14" width="6.5703125" style="26" customWidth="1"/>
    <col min="15" max="15" width="11.140625" style="40" customWidth="1"/>
    <col min="16" max="16" width="11.85546875" style="40" customWidth="1"/>
    <col min="17" max="17" width="7.85546875" style="40" customWidth="1"/>
    <col min="18" max="18" width="12.28515625" style="40" customWidth="1"/>
    <col min="19" max="19" width="9.7109375" style="40" customWidth="1"/>
    <col min="20" max="20" width="10.85546875" style="40" customWidth="1"/>
    <col min="21" max="21" width="12.140625" style="40" customWidth="1"/>
    <col min="22" max="22" width="13.42578125" style="40" customWidth="1"/>
    <col min="23" max="23" width="17.5703125" style="35" customWidth="1"/>
    <col min="24" max="24" width="14.42578125" style="26" customWidth="1"/>
    <col min="25" max="25" width="15.85546875" style="26" customWidth="1"/>
    <col min="26" max="26" width="16.85546875" style="26" customWidth="1"/>
    <col min="27" max="27" width="14.7109375" style="26" customWidth="1"/>
    <col min="28" max="28" width="12.140625" style="26" customWidth="1"/>
    <col min="29" max="29" width="15.7109375" style="26" customWidth="1"/>
    <col min="30" max="30" width="15.5703125" style="26" customWidth="1"/>
    <col min="31" max="31" width="20.7109375" style="22" customWidth="1"/>
    <col min="32" max="32" width="14.140625" style="41" customWidth="1"/>
    <col min="33" max="33" width="12.140625" style="26" customWidth="1"/>
    <col min="34" max="34" width="12.140625" style="338" customWidth="1"/>
    <col min="35" max="35" width="27.85546875" style="49" customWidth="1"/>
    <col min="36" max="36" width="9.85546875" style="268" customWidth="1"/>
    <col min="37" max="37" width="18.28515625" style="38" customWidth="1"/>
    <col min="38" max="38" width="27" style="42" customWidth="1"/>
    <col min="39" max="39" width="40" style="39" customWidth="1"/>
    <col min="40" max="40" width="11.85546875" style="26" customWidth="1"/>
    <col min="41" max="41" width="12.28515625" style="26" customWidth="1"/>
    <col min="42" max="42" width="10.5703125" style="26" customWidth="1"/>
    <col min="43" max="43" width="12.28515625" style="26" customWidth="1"/>
    <col min="44" max="44" width="10.7109375" style="26" customWidth="1"/>
    <col min="45" max="45" width="12.28515625" style="26" customWidth="1"/>
    <col min="46" max="46" width="10.5703125" style="26" customWidth="1"/>
    <col min="47" max="47" width="12.28515625" style="26" customWidth="1"/>
    <col min="48" max="48" width="11.7109375" style="3" customWidth="1"/>
    <col min="49" max="49" width="12.28515625" style="3" customWidth="1"/>
    <col min="50" max="51" width="12.28515625" style="26" customWidth="1"/>
    <col min="52" max="52" width="11.5703125" style="26" customWidth="1"/>
    <col min="53" max="53" width="12.7109375" style="26" customWidth="1"/>
    <col min="54" max="54" width="11.85546875" style="26" customWidth="1"/>
    <col min="55" max="55" width="12.28515625" style="26" customWidth="1"/>
    <col min="56" max="56" width="11.5703125" style="26" customWidth="1"/>
    <col min="57" max="61" width="12.28515625" style="26" customWidth="1"/>
    <col min="62" max="62" width="11.42578125" style="26" customWidth="1"/>
    <col min="63" max="63" width="12.28515625" style="26" customWidth="1"/>
    <col min="64" max="64" width="12.140625" style="26" customWidth="1"/>
    <col min="65" max="65" width="13.85546875" style="26" customWidth="1"/>
    <col min="66" max="66" width="11.140625" style="26" customWidth="1"/>
    <col min="67" max="69" width="12.28515625" style="26" customWidth="1"/>
    <col min="70" max="70" width="11.42578125" style="26" customWidth="1"/>
    <col min="71" max="71" width="12.28515625" style="26" customWidth="1"/>
    <col min="72" max="72" width="11.140625" style="26" customWidth="1"/>
    <col min="73" max="73" width="12.28515625" style="26" customWidth="1"/>
    <col min="74" max="74" width="11.7109375" style="26" customWidth="1"/>
    <col min="75" max="75" width="12.28515625" style="26" customWidth="1"/>
    <col min="76" max="76" width="11.5703125" style="26" customWidth="1"/>
    <col min="77" max="77" width="12.28515625" style="26" customWidth="1"/>
    <col min="78" max="78" width="11.7109375" style="26" customWidth="1"/>
    <col min="79" max="79" width="12.28515625" style="26" customWidth="1"/>
    <col min="80" max="80" width="11.140625" style="26" customWidth="1"/>
    <col min="81" max="81" width="12.28515625" style="26" customWidth="1"/>
    <col min="82" max="82" width="11.7109375" style="26" customWidth="1"/>
    <col min="83" max="83" width="12.28515625" style="26" customWidth="1"/>
    <col min="84" max="84" width="11" style="26" customWidth="1"/>
    <col min="85" max="85" width="12.28515625" style="26" customWidth="1"/>
    <col min="86" max="86" width="11.42578125" style="26" customWidth="1"/>
    <col min="87" max="87" width="12.28515625" style="26" customWidth="1"/>
    <col min="88" max="88" width="11.42578125" style="26" customWidth="1"/>
    <col min="89" max="89" width="13.85546875" style="26" customWidth="1"/>
    <col min="90" max="90" width="11.42578125" style="26" customWidth="1"/>
    <col min="91" max="92" width="12.28515625" style="26" customWidth="1"/>
    <col min="93" max="93" width="13.140625" style="26" customWidth="1"/>
    <col min="94" max="94" width="12.28515625" style="26" customWidth="1"/>
    <col min="95" max="95" width="13.42578125" style="26" customWidth="1"/>
    <col min="96" max="96" width="12.28515625" style="26" customWidth="1"/>
    <col min="97" max="97" width="14.5703125" style="26" customWidth="1"/>
    <col min="98" max="98" width="11.42578125" style="26" customWidth="1"/>
    <col min="99" max="99" width="12.28515625" style="26" customWidth="1"/>
    <col min="100" max="100" width="15" style="26" customWidth="1"/>
    <col min="101" max="101" width="11.42578125" style="26" customWidth="1"/>
    <col min="102" max="102" width="14.85546875" style="26" customWidth="1"/>
    <col min="103" max="103" width="12.5703125" style="26" customWidth="1"/>
    <col min="104" max="104" width="14.5703125" style="26" customWidth="1"/>
    <col min="105" max="105" width="12.5703125" style="26" customWidth="1"/>
    <col min="106" max="106" width="14.42578125" style="26" customWidth="1"/>
    <col min="107" max="107" width="15.5703125" style="26" customWidth="1"/>
    <col min="108" max="108" width="14.85546875" style="26" customWidth="1"/>
    <col min="109" max="109" width="13.85546875" style="26" customWidth="1"/>
    <col min="110" max="110" width="26.28515625" style="263" customWidth="1"/>
    <col min="111" max="16384" width="11.42578125" style="26"/>
  </cols>
  <sheetData>
    <row r="1" spans="1:110" s="268" customFormat="1" ht="16.5" customHeight="1" x14ac:dyDescent="0.2">
      <c r="A1" s="369" t="s">
        <v>3309</v>
      </c>
      <c r="B1" s="370"/>
      <c r="C1" s="370"/>
      <c r="D1" s="370"/>
      <c r="E1" s="370"/>
      <c r="F1" s="265"/>
      <c r="G1" s="367" t="s">
        <v>3516</v>
      </c>
      <c r="H1" s="368"/>
      <c r="I1" s="368"/>
      <c r="J1" s="368"/>
      <c r="K1" s="368"/>
      <c r="L1" s="368"/>
      <c r="M1" s="368"/>
      <c r="N1" s="368"/>
      <c r="O1" s="368"/>
      <c r="P1" s="368"/>
      <c r="Q1" s="368"/>
      <c r="R1" s="368"/>
      <c r="S1" s="368"/>
      <c r="T1" s="368"/>
      <c r="U1" s="368"/>
      <c r="V1" s="368"/>
      <c r="W1" s="353"/>
      <c r="X1" s="371" t="s">
        <v>3315</v>
      </c>
      <c r="Y1" s="372"/>
      <c r="Z1" s="372"/>
      <c r="AA1" s="372"/>
      <c r="AB1" s="372"/>
      <c r="AC1" s="372"/>
      <c r="AD1" s="372"/>
      <c r="AE1" s="372"/>
      <c r="AF1" s="373"/>
      <c r="AG1" s="359" t="s">
        <v>4295</v>
      </c>
      <c r="AH1" s="360"/>
      <c r="AI1" s="360"/>
      <c r="AJ1" s="360"/>
      <c r="AK1" s="360"/>
      <c r="AL1" s="360"/>
      <c r="AM1" s="361"/>
      <c r="AN1" s="351" t="s">
        <v>3462</v>
      </c>
      <c r="AO1" s="353"/>
      <c r="AP1" s="351" t="s">
        <v>4287</v>
      </c>
      <c r="AQ1" s="352"/>
      <c r="AR1" s="351" t="s">
        <v>3369</v>
      </c>
      <c r="AS1" s="352"/>
      <c r="AT1" s="351" t="s">
        <v>4288</v>
      </c>
      <c r="AU1" s="352"/>
      <c r="AV1" s="362" t="s">
        <v>4289</v>
      </c>
      <c r="AW1" s="363"/>
      <c r="AX1" s="351" t="s">
        <v>4167</v>
      </c>
      <c r="AY1" s="353"/>
      <c r="AZ1" s="351" t="s">
        <v>4290</v>
      </c>
      <c r="BA1" s="352"/>
      <c r="BB1" s="351" t="s">
        <v>2358</v>
      </c>
      <c r="BC1" s="352"/>
      <c r="BD1" s="351" t="s">
        <v>4168</v>
      </c>
      <c r="BE1" s="352"/>
      <c r="BF1" s="351" t="s">
        <v>2850</v>
      </c>
      <c r="BG1" s="353"/>
      <c r="BH1" s="351" t="s">
        <v>2851</v>
      </c>
      <c r="BI1" s="353"/>
      <c r="BJ1" s="351" t="s">
        <v>4283</v>
      </c>
      <c r="BK1" s="352"/>
      <c r="BL1" s="351" t="s">
        <v>4286</v>
      </c>
      <c r="BM1" s="352"/>
      <c r="BN1" s="351" t="s">
        <v>3457</v>
      </c>
      <c r="BO1" s="352"/>
      <c r="BP1" s="351" t="s">
        <v>3308</v>
      </c>
      <c r="BQ1" s="353"/>
      <c r="BR1" s="351" t="s">
        <v>3345</v>
      </c>
      <c r="BS1" s="352"/>
      <c r="BT1" s="351" t="s">
        <v>3310</v>
      </c>
      <c r="BU1" s="352"/>
      <c r="BV1" s="351" t="s">
        <v>4335</v>
      </c>
      <c r="BW1" s="352"/>
      <c r="BX1" s="351" t="s">
        <v>4269</v>
      </c>
      <c r="BY1" s="352"/>
      <c r="BZ1" s="351" t="s">
        <v>3344</v>
      </c>
      <c r="CA1" s="353"/>
      <c r="CB1" s="351" t="s">
        <v>4270</v>
      </c>
      <c r="CC1" s="352"/>
      <c r="CD1" s="351" t="s">
        <v>4271</v>
      </c>
      <c r="CE1" s="352"/>
      <c r="CF1" s="351" t="s">
        <v>2360</v>
      </c>
      <c r="CG1" s="352"/>
      <c r="CH1" s="351" t="s">
        <v>2361</v>
      </c>
      <c r="CI1" s="352"/>
      <c r="CJ1" s="351" t="s">
        <v>4334</v>
      </c>
      <c r="CK1" s="353"/>
      <c r="CL1" s="351" t="s">
        <v>3368</v>
      </c>
      <c r="CM1" s="352"/>
      <c r="CN1" s="351" t="s">
        <v>3367</v>
      </c>
      <c r="CO1" s="352"/>
      <c r="CP1" s="351" t="s">
        <v>3463</v>
      </c>
      <c r="CQ1" s="352"/>
      <c r="CR1" s="351" t="s">
        <v>3306</v>
      </c>
      <c r="CS1" s="352"/>
      <c r="CT1" s="351" t="s">
        <v>3307</v>
      </c>
      <c r="CU1" s="352"/>
      <c r="CV1" s="86" t="s">
        <v>3312</v>
      </c>
      <c r="CW1" s="351" t="s">
        <v>3366</v>
      </c>
      <c r="CX1" s="356"/>
      <c r="CY1" s="351" t="s">
        <v>4285</v>
      </c>
      <c r="CZ1" s="352"/>
      <c r="DA1" s="357" t="s">
        <v>3314</v>
      </c>
      <c r="DB1" s="358"/>
      <c r="DC1" s="354" t="s">
        <v>4293</v>
      </c>
      <c r="DD1" s="355"/>
      <c r="DE1" s="266" t="s">
        <v>3512</v>
      </c>
      <c r="DF1" s="267"/>
    </row>
    <row r="2" spans="1:110" s="15" customFormat="1" ht="36" x14ac:dyDescent="0.2">
      <c r="A2" s="53" t="s">
        <v>865</v>
      </c>
      <c r="B2" s="54" t="s">
        <v>4292</v>
      </c>
      <c r="C2" s="54" t="s">
        <v>2853</v>
      </c>
      <c r="D2" s="54" t="s">
        <v>2854</v>
      </c>
      <c r="E2" s="55" t="s">
        <v>2153</v>
      </c>
      <c r="F2" s="56"/>
      <c r="G2" s="57" t="s">
        <v>4291</v>
      </c>
      <c r="H2" s="57" t="s">
        <v>3520</v>
      </c>
      <c r="I2" s="57" t="s">
        <v>3521</v>
      </c>
      <c r="J2" s="57" t="s">
        <v>2855</v>
      </c>
      <c r="K2" s="57" t="s">
        <v>2856</v>
      </c>
      <c r="L2" s="57" t="s">
        <v>3517</v>
      </c>
      <c r="M2" s="57" t="s">
        <v>3518</v>
      </c>
      <c r="N2" s="57" t="s">
        <v>4284</v>
      </c>
      <c r="O2" s="58" t="s">
        <v>3522</v>
      </c>
      <c r="P2" s="58" t="s">
        <v>3523</v>
      </c>
      <c r="Q2" s="58" t="s">
        <v>4392</v>
      </c>
      <c r="R2" s="58" t="s">
        <v>4395</v>
      </c>
      <c r="S2" s="58" t="s">
        <v>4393</v>
      </c>
      <c r="T2" s="58" t="s">
        <v>4394</v>
      </c>
      <c r="U2" s="58" t="s">
        <v>3455</v>
      </c>
      <c r="V2" s="58" t="s">
        <v>3510</v>
      </c>
      <c r="W2" s="59" t="s">
        <v>3459</v>
      </c>
      <c r="X2" s="60" t="s">
        <v>2363</v>
      </c>
      <c r="Y2" s="60" t="s">
        <v>3456</v>
      </c>
      <c r="Z2" s="60" t="s">
        <v>3458</v>
      </c>
      <c r="AA2" s="60" t="s">
        <v>3515</v>
      </c>
      <c r="AB2" s="60" t="s">
        <v>3366</v>
      </c>
      <c r="AC2" s="60" t="s">
        <v>3459</v>
      </c>
      <c r="AD2" s="60" t="s">
        <v>2081</v>
      </c>
      <c r="AE2" s="60" t="s">
        <v>2241</v>
      </c>
      <c r="AF2" s="61" t="s">
        <v>3513</v>
      </c>
      <c r="AG2" s="62" t="s">
        <v>3508</v>
      </c>
      <c r="AH2" s="63" t="s">
        <v>3524</v>
      </c>
      <c r="AI2" s="62" t="s">
        <v>4294</v>
      </c>
      <c r="AJ2" s="62" t="s">
        <v>2234</v>
      </c>
      <c r="AK2" s="64" t="s">
        <v>3525</v>
      </c>
      <c r="AL2" s="65" t="s">
        <v>4343</v>
      </c>
      <c r="AM2" s="66" t="s">
        <v>2852</v>
      </c>
      <c r="AN2" s="67" t="s">
        <v>3460</v>
      </c>
      <c r="AO2" s="67" t="s">
        <v>3461</v>
      </c>
      <c r="AP2" s="67" t="s">
        <v>3460</v>
      </c>
      <c r="AQ2" s="67" t="s">
        <v>3461</v>
      </c>
      <c r="AR2" s="67" t="s">
        <v>3460</v>
      </c>
      <c r="AS2" s="67" t="s">
        <v>3461</v>
      </c>
      <c r="AT2" s="67" t="s">
        <v>3460</v>
      </c>
      <c r="AU2" s="67" t="s">
        <v>3461</v>
      </c>
      <c r="AV2" s="68" t="s">
        <v>3460</v>
      </c>
      <c r="AW2" s="68" t="s">
        <v>3461</v>
      </c>
      <c r="AX2" s="69" t="s">
        <v>3460</v>
      </c>
      <c r="AY2" s="69" t="s">
        <v>3461</v>
      </c>
      <c r="AZ2" s="69" t="s">
        <v>3460</v>
      </c>
      <c r="BA2" s="69" t="s">
        <v>3461</v>
      </c>
      <c r="BB2" s="69" t="s">
        <v>3460</v>
      </c>
      <c r="BC2" s="69" t="s">
        <v>3461</v>
      </c>
      <c r="BD2" s="69" t="s">
        <v>3460</v>
      </c>
      <c r="BE2" s="69" t="s">
        <v>3461</v>
      </c>
      <c r="BF2" s="69" t="s">
        <v>3460</v>
      </c>
      <c r="BG2" s="69" t="s">
        <v>3461</v>
      </c>
      <c r="BH2" s="69" t="s">
        <v>3460</v>
      </c>
      <c r="BI2" s="69" t="s">
        <v>3461</v>
      </c>
      <c r="BJ2" s="69" t="s">
        <v>3460</v>
      </c>
      <c r="BK2" s="69" t="s">
        <v>3461</v>
      </c>
      <c r="BL2" s="69" t="s">
        <v>3460</v>
      </c>
      <c r="BM2" s="69" t="s">
        <v>3461</v>
      </c>
      <c r="BN2" s="69" t="s">
        <v>3460</v>
      </c>
      <c r="BO2" s="69" t="s">
        <v>3461</v>
      </c>
      <c r="BP2" s="69" t="s">
        <v>3460</v>
      </c>
      <c r="BQ2" s="69" t="s">
        <v>3461</v>
      </c>
      <c r="BR2" s="69" t="s">
        <v>3460</v>
      </c>
      <c r="BS2" s="69" t="s">
        <v>3461</v>
      </c>
      <c r="BT2" s="69" t="s">
        <v>3460</v>
      </c>
      <c r="BU2" s="69" t="s">
        <v>3461</v>
      </c>
      <c r="BV2" s="69" t="s">
        <v>3460</v>
      </c>
      <c r="BW2" s="69" t="s">
        <v>3461</v>
      </c>
      <c r="BX2" s="69" t="s">
        <v>3460</v>
      </c>
      <c r="BY2" s="69" t="s">
        <v>3461</v>
      </c>
      <c r="BZ2" s="69" t="s">
        <v>3460</v>
      </c>
      <c r="CA2" s="69" t="s">
        <v>3461</v>
      </c>
      <c r="CB2" s="69" t="s">
        <v>3460</v>
      </c>
      <c r="CC2" s="69" t="s">
        <v>3461</v>
      </c>
      <c r="CD2" s="69" t="s">
        <v>3460</v>
      </c>
      <c r="CE2" s="69" t="s">
        <v>3461</v>
      </c>
      <c r="CF2" s="69" t="s">
        <v>3460</v>
      </c>
      <c r="CG2" s="69" t="s">
        <v>3461</v>
      </c>
      <c r="CH2" s="69" t="s">
        <v>3460</v>
      </c>
      <c r="CI2" s="69" t="s">
        <v>3461</v>
      </c>
      <c r="CJ2" s="69" t="s">
        <v>3460</v>
      </c>
      <c r="CK2" s="69" t="s">
        <v>3461</v>
      </c>
      <c r="CL2" s="69" t="s">
        <v>3460</v>
      </c>
      <c r="CM2" s="69" t="s">
        <v>3461</v>
      </c>
      <c r="CN2" s="69" t="s">
        <v>3460</v>
      </c>
      <c r="CO2" s="69" t="s">
        <v>3461</v>
      </c>
      <c r="CP2" s="69" t="s">
        <v>3460</v>
      </c>
      <c r="CQ2" s="69" t="s">
        <v>3461</v>
      </c>
      <c r="CR2" s="69" t="s">
        <v>3460</v>
      </c>
      <c r="CS2" s="69" t="s">
        <v>3461</v>
      </c>
      <c r="CT2" s="69" t="s">
        <v>3460</v>
      </c>
      <c r="CU2" s="69" t="s">
        <v>3461</v>
      </c>
      <c r="CV2" s="69" t="s">
        <v>3313</v>
      </c>
      <c r="CW2" s="69" t="s">
        <v>3460</v>
      </c>
      <c r="CX2" s="69" t="s">
        <v>3461</v>
      </c>
      <c r="CY2" s="69" t="s">
        <v>3460</v>
      </c>
      <c r="CZ2" s="69" t="s">
        <v>3461</v>
      </c>
      <c r="DA2" s="69" t="s">
        <v>3460</v>
      </c>
      <c r="DB2" s="69" t="s">
        <v>3461</v>
      </c>
      <c r="DC2" s="69" t="s">
        <v>3460</v>
      </c>
      <c r="DD2" s="69" t="s">
        <v>3461</v>
      </c>
      <c r="DE2" s="14" t="s">
        <v>4360</v>
      </c>
      <c r="DF2" s="50"/>
    </row>
    <row r="3" spans="1:110" s="270" customFormat="1" ht="36" x14ac:dyDescent="0.2">
      <c r="A3" s="89">
        <v>40076</v>
      </c>
      <c r="B3" s="90" t="s">
        <v>4282</v>
      </c>
      <c r="C3" s="90" t="s">
        <v>4368</v>
      </c>
      <c r="D3" s="90" t="s">
        <v>4298</v>
      </c>
      <c r="E3" s="90" t="str">
        <f>VLOOKUP(B3&amp;C3,Divipola!$C$2:$F$1138,4,FALSE)</f>
        <v>23001</v>
      </c>
      <c r="F3" s="90"/>
      <c r="G3" s="101"/>
      <c r="H3" s="101"/>
      <c r="I3" s="101"/>
      <c r="J3" s="101"/>
      <c r="K3" s="101"/>
      <c r="L3" s="101"/>
      <c r="M3" s="101"/>
      <c r="N3" s="101"/>
      <c r="O3" s="101"/>
      <c r="P3" s="101"/>
      <c r="Q3" s="101"/>
      <c r="R3" s="101"/>
      <c r="S3" s="101"/>
      <c r="T3" s="101"/>
      <c r="U3" s="101"/>
      <c r="V3" s="101"/>
      <c r="W3" s="91" t="s">
        <v>2190</v>
      </c>
      <c r="X3" s="89">
        <v>40626</v>
      </c>
      <c r="Y3" s="92">
        <f t="shared" ref="Y3:Y66" si="0">CV3</f>
        <v>0</v>
      </c>
      <c r="Z3" s="92">
        <f t="shared" ref="Z3:Z66" si="1">CZ3</f>
        <v>0</v>
      </c>
      <c r="AA3" s="92">
        <f t="shared" ref="AA3:AA66" si="2">DB3+DD3</f>
        <v>0</v>
      </c>
      <c r="AB3" s="92">
        <f t="shared" ref="AB3:AB66" si="3">CX3</f>
        <v>0</v>
      </c>
      <c r="AC3" s="92"/>
      <c r="AD3" s="92">
        <v>177554734.38</v>
      </c>
      <c r="AE3" s="92">
        <f t="shared" ref="AE3:AE66" si="4">Y3+Z3+AA3+AB3+AC3+AD3</f>
        <v>177554734.38</v>
      </c>
      <c r="AF3" s="93">
        <v>0</v>
      </c>
      <c r="AG3" s="89">
        <v>40619</v>
      </c>
      <c r="AH3" s="94"/>
      <c r="AI3" s="95" t="s">
        <v>4346</v>
      </c>
      <c r="AJ3" s="96" t="s">
        <v>4347</v>
      </c>
      <c r="AK3" s="97"/>
      <c r="AL3" s="89"/>
      <c r="AM3" s="98" t="s">
        <v>2191</v>
      </c>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114"/>
      <c r="CQ3" s="115"/>
      <c r="CR3" s="114"/>
      <c r="CS3" s="115"/>
      <c r="CT3" s="114"/>
      <c r="CU3" s="115"/>
      <c r="CV3" s="99">
        <f t="shared" ref="CV3:CV66" si="5">AO3+AQ3+AS3+AU3+AW3+AY3+BA3+BC3+BE3+BG3+BI3+BK3+BM3+BO3+BQ3+BS3+BU3+BW3+BY3+CA3+CC3+CE3+CG3+CI3+CK3+CM3+CO3+CQ3+CS3+CU3</f>
        <v>0</v>
      </c>
      <c r="CW3" s="114"/>
      <c r="CX3" s="115"/>
      <c r="CY3" s="114"/>
      <c r="CZ3" s="115"/>
      <c r="DA3" s="115"/>
      <c r="DB3" s="115"/>
      <c r="DC3" s="114"/>
      <c r="DD3" s="115"/>
      <c r="DE3" s="97">
        <v>8</v>
      </c>
      <c r="DF3" s="269"/>
    </row>
    <row r="4" spans="1:110" s="270" customFormat="1" ht="24" x14ac:dyDescent="0.2">
      <c r="A4" s="89">
        <v>40544</v>
      </c>
      <c r="B4" s="90" t="s">
        <v>2218</v>
      </c>
      <c r="C4" s="90" t="s">
        <v>4266</v>
      </c>
      <c r="D4" s="90" t="s">
        <v>4298</v>
      </c>
      <c r="E4" s="90" t="str">
        <f>VLOOKUP(B4&amp;C4,Divipola!$C$2:$F$1138,4,FALSE)</f>
        <v>05088</v>
      </c>
      <c r="F4" s="90"/>
      <c r="G4" s="101"/>
      <c r="H4" s="101"/>
      <c r="I4" s="101"/>
      <c r="J4" s="101">
        <v>24</v>
      </c>
      <c r="K4" s="101">
        <v>6</v>
      </c>
      <c r="L4" s="101">
        <v>6</v>
      </c>
      <c r="M4" s="101"/>
      <c r="N4" s="101"/>
      <c r="O4" s="101"/>
      <c r="P4" s="101"/>
      <c r="Q4" s="101"/>
      <c r="R4" s="101"/>
      <c r="S4" s="101"/>
      <c r="T4" s="101"/>
      <c r="U4" s="101"/>
      <c r="V4" s="101"/>
      <c r="W4" s="91"/>
      <c r="X4" s="89"/>
      <c r="Y4" s="92">
        <f t="shared" si="0"/>
        <v>0</v>
      </c>
      <c r="Z4" s="92">
        <f t="shared" si="1"/>
        <v>0</v>
      </c>
      <c r="AA4" s="92">
        <f t="shared" si="2"/>
        <v>0</v>
      </c>
      <c r="AB4" s="92">
        <f t="shared" si="3"/>
        <v>0</v>
      </c>
      <c r="AC4" s="92"/>
      <c r="AD4" s="92">
        <v>0</v>
      </c>
      <c r="AE4" s="92">
        <f t="shared" si="4"/>
        <v>0</v>
      </c>
      <c r="AF4" s="93">
        <v>0</v>
      </c>
      <c r="AG4" s="89">
        <v>40544</v>
      </c>
      <c r="AH4" s="94"/>
      <c r="AI4" s="95" t="s">
        <v>4336</v>
      </c>
      <c r="AJ4" s="96" t="s">
        <v>4337</v>
      </c>
      <c r="AK4" s="97"/>
      <c r="AL4" s="89"/>
      <c r="AM4" s="100" t="s">
        <v>870</v>
      </c>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114"/>
      <c r="CQ4" s="115"/>
      <c r="CR4" s="114"/>
      <c r="CS4" s="115"/>
      <c r="CT4" s="114"/>
      <c r="CU4" s="115"/>
      <c r="CV4" s="99">
        <f t="shared" si="5"/>
        <v>0</v>
      </c>
      <c r="CW4" s="114"/>
      <c r="CX4" s="115"/>
      <c r="CY4" s="114"/>
      <c r="CZ4" s="115"/>
      <c r="DA4" s="115"/>
      <c r="DB4" s="115"/>
      <c r="DC4" s="114"/>
      <c r="DD4" s="115"/>
      <c r="DE4" s="97"/>
      <c r="DF4" s="269"/>
    </row>
    <row r="5" spans="1:110" s="270" customFormat="1" ht="24" x14ac:dyDescent="0.2">
      <c r="A5" s="89">
        <v>40544</v>
      </c>
      <c r="B5" s="90" t="s">
        <v>4387</v>
      </c>
      <c r="C5" s="90" t="s">
        <v>4522</v>
      </c>
      <c r="D5" s="90" t="s">
        <v>4298</v>
      </c>
      <c r="E5" s="90" t="str">
        <f>VLOOKUP(B5&amp;C5,Divipola!$C$2:$F$1138,4,FALSE)</f>
        <v>52835</v>
      </c>
      <c r="F5" s="90"/>
      <c r="G5" s="101">
        <v>2</v>
      </c>
      <c r="H5" s="101"/>
      <c r="I5" s="101"/>
      <c r="J5" s="101">
        <f>88*5</f>
        <v>440</v>
      </c>
      <c r="K5" s="101">
        <v>88</v>
      </c>
      <c r="L5" s="101">
        <v>44</v>
      </c>
      <c r="M5" s="101">
        <v>30</v>
      </c>
      <c r="N5" s="101"/>
      <c r="O5" s="101"/>
      <c r="P5" s="101"/>
      <c r="Q5" s="101"/>
      <c r="R5" s="101"/>
      <c r="S5" s="101"/>
      <c r="T5" s="101"/>
      <c r="U5" s="101"/>
      <c r="V5" s="101"/>
      <c r="W5" s="91"/>
      <c r="X5" s="89"/>
      <c r="Y5" s="92">
        <f t="shared" si="0"/>
        <v>0</v>
      </c>
      <c r="Z5" s="92">
        <f t="shared" si="1"/>
        <v>0</v>
      </c>
      <c r="AA5" s="92">
        <f t="shared" si="2"/>
        <v>0</v>
      </c>
      <c r="AB5" s="92">
        <f t="shared" si="3"/>
        <v>0</v>
      </c>
      <c r="AC5" s="92"/>
      <c r="AD5" s="92">
        <v>0</v>
      </c>
      <c r="AE5" s="92">
        <f t="shared" si="4"/>
        <v>0</v>
      </c>
      <c r="AF5" s="93">
        <v>0</v>
      </c>
      <c r="AG5" s="89">
        <v>40544</v>
      </c>
      <c r="AH5" s="94"/>
      <c r="AI5" s="95" t="s">
        <v>4336</v>
      </c>
      <c r="AJ5" s="96" t="s">
        <v>4337</v>
      </c>
      <c r="AK5" s="97"/>
      <c r="AL5" s="89"/>
      <c r="AM5" s="100" t="s">
        <v>3486</v>
      </c>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114"/>
      <c r="CQ5" s="115"/>
      <c r="CR5" s="114"/>
      <c r="CS5" s="115"/>
      <c r="CT5" s="114"/>
      <c r="CU5" s="115"/>
      <c r="CV5" s="99">
        <f t="shared" si="5"/>
        <v>0</v>
      </c>
      <c r="CW5" s="114"/>
      <c r="CX5" s="115"/>
      <c r="CY5" s="114"/>
      <c r="CZ5" s="115"/>
      <c r="DA5" s="115"/>
      <c r="DB5" s="115"/>
      <c r="DC5" s="114"/>
      <c r="DD5" s="115"/>
      <c r="DE5" s="97"/>
      <c r="DF5" s="269"/>
    </row>
    <row r="6" spans="1:110" s="270" customFormat="1" ht="72" x14ac:dyDescent="0.2">
      <c r="A6" s="89">
        <v>40545</v>
      </c>
      <c r="B6" s="90" t="s">
        <v>4296</v>
      </c>
      <c r="C6" s="90" t="s">
        <v>936</v>
      </c>
      <c r="D6" s="90" t="s">
        <v>4264</v>
      </c>
      <c r="E6" s="90" t="str">
        <f>VLOOKUP(B6&amp;C6,Divipola!$C$2:$F$1138,4,FALSE)</f>
        <v>19418</v>
      </c>
      <c r="F6" s="90"/>
      <c r="G6" s="101"/>
      <c r="H6" s="101"/>
      <c r="I6" s="101">
        <v>1</v>
      </c>
      <c r="J6" s="101">
        <v>1600</v>
      </c>
      <c r="K6" s="101">
        <v>405</v>
      </c>
      <c r="L6" s="101"/>
      <c r="M6" s="101"/>
      <c r="N6" s="101"/>
      <c r="O6" s="101"/>
      <c r="P6" s="101"/>
      <c r="Q6" s="101"/>
      <c r="R6" s="101"/>
      <c r="S6" s="101"/>
      <c r="T6" s="101"/>
      <c r="U6" s="101"/>
      <c r="V6" s="101"/>
      <c r="W6" s="91"/>
      <c r="X6" s="89"/>
      <c r="Y6" s="92">
        <f t="shared" si="0"/>
        <v>0</v>
      </c>
      <c r="Z6" s="92">
        <f t="shared" si="1"/>
        <v>0</v>
      </c>
      <c r="AA6" s="92">
        <f t="shared" si="2"/>
        <v>0</v>
      </c>
      <c r="AB6" s="92">
        <f t="shared" si="3"/>
        <v>0</v>
      </c>
      <c r="AC6" s="92"/>
      <c r="AD6" s="92">
        <v>0</v>
      </c>
      <c r="AE6" s="92">
        <f t="shared" si="4"/>
        <v>0</v>
      </c>
      <c r="AF6" s="93">
        <v>0</v>
      </c>
      <c r="AG6" s="89"/>
      <c r="AH6" s="94"/>
      <c r="AI6" s="95" t="s">
        <v>4336</v>
      </c>
      <c r="AJ6" s="96" t="s">
        <v>4337</v>
      </c>
      <c r="AK6" s="97"/>
      <c r="AL6" s="89"/>
      <c r="AM6" s="100" t="s">
        <v>3488</v>
      </c>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114"/>
      <c r="CQ6" s="115"/>
      <c r="CR6" s="114"/>
      <c r="CS6" s="115"/>
      <c r="CT6" s="114"/>
      <c r="CU6" s="115"/>
      <c r="CV6" s="99">
        <f t="shared" si="5"/>
        <v>0</v>
      </c>
      <c r="CW6" s="114"/>
      <c r="CX6" s="115"/>
      <c r="CY6" s="114"/>
      <c r="CZ6" s="115"/>
      <c r="DA6" s="115"/>
      <c r="DB6" s="115"/>
      <c r="DC6" s="114"/>
      <c r="DD6" s="115"/>
      <c r="DE6" s="97"/>
      <c r="DF6" s="269"/>
    </row>
    <row r="7" spans="1:110" s="270" customFormat="1" ht="24" x14ac:dyDescent="0.2">
      <c r="A7" s="89">
        <v>40545</v>
      </c>
      <c r="B7" s="90" t="s">
        <v>2225</v>
      </c>
      <c r="C7" s="90" t="s">
        <v>2205</v>
      </c>
      <c r="D7" s="90" t="s">
        <v>2362</v>
      </c>
      <c r="E7" s="90" t="str">
        <f>VLOOKUP(B7&amp;C7,Divipola!$C$2:$F$1138,4,FALSE)</f>
        <v>27001</v>
      </c>
      <c r="F7" s="90"/>
      <c r="G7" s="101"/>
      <c r="H7" s="101"/>
      <c r="I7" s="101"/>
      <c r="J7" s="101">
        <v>35</v>
      </c>
      <c r="K7" s="101">
        <v>7</v>
      </c>
      <c r="L7" s="101"/>
      <c r="M7" s="101"/>
      <c r="N7" s="101"/>
      <c r="O7" s="101"/>
      <c r="P7" s="101"/>
      <c r="Q7" s="101"/>
      <c r="R7" s="101"/>
      <c r="S7" s="101"/>
      <c r="T7" s="101"/>
      <c r="U7" s="101"/>
      <c r="V7" s="101"/>
      <c r="W7" s="91"/>
      <c r="X7" s="89"/>
      <c r="Y7" s="92">
        <f t="shared" si="0"/>
        <v>0</v>
      </c>
      <c r="Z7" s="92">
        <f t="shared" si="1"/>
        <v>0</v>
      </c>
      <c r="AA7" s="92">
        <f t="shared" si="2"/>
        <v>0</v>
      </c>
      <c r="AB7" s="92">
        <f t="shared" si="3"/>
        <v>0</v>
      </c>
      <c r="AC7" s="92"/>
      <c r="AD7" s="92">
        <v>0</v>
      </c>
      <c r="AE7" s="92">
        <f t="shared" si="4"/>
        <v>0</v>
      </c>
      <c r="AF7" s="93">
        <v>0</v>
      </c>
      <c r="AG7" s="89">
        <v>40545</v>
      </c>
      <c r="AH7" s="94"/>
      <c r="AI7" s="95" t="s">
        <v>4336</v>
      </c>
      <c r="AJ7" s="96" t="s">
        <v>4337</v>
      </c>
      <c r="AK7" s="97"/>
      <c r="AL7" s="89"/>
      <c r="AM7" s="100" t="s">
        <v>3487</v>
      </c>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114"/>
      <c r="CQ7" s="115"/>
      <c r="CR7" s="114"/>
      <c r="CS7" s="115"/>
      <c r="CT7" s="114"/>
      <c r="CU7" s="115"/>
      <c r="CV7" s="99">
        <f t="shared" si="5"/>
        <v>0</v>
      </c>
      <c r="CW7" s="114"/>
      <c r="CX7" s="115"/>
      <c r="CY7" s="114"/>
      <c r="CZ7" s="115"/>
      <c r="DA7" s="115"/>
      <c r="DB7" s="115"/>
      <c r="DC7" s="114"/>
      <c r="DD7" s="115"/>
      <c r="DE7" s="97"/>
      <c r="DF7" s="269">
        <v>1728</v>
      </c>
    </row>
    <row r="8" spans="1:110" s="270" customFormat="1" ht="33.75" x14ac:dyDescent="0.2">
      <c r="A8" s="89">
        <v>40545</v>
      </c>
      <c r="B8" s="90" t="s">
        <v>4348</v>
      </c>
      <c r="C8" s="90" t="s">
        <v>3553</v>
      </c>
      <c r="D8" s="90" t="s">
        <v>3346</v>
      </c>
      <c r="E8" s="90" t="str">
        <f>VLOOKUP(B8&amp;C8,Divipola!$C$2:$F$1138,4,FALSE)</f>
        <v>66075</v>
      </c>
      <c r="F8" s="101"/>
      <c r="G8" s="101"/>
      <c r="H8" s="101"/>
      <c r="I8" s="101"/>
      <c r="J8" s="101">
        <v>80</v>
      </c>
      <c r="K8" s="101">
        <v>20</v>
      </c>
      <c r="L8" s="101"/>
      <c r="M8" s="101">
        <v>20</v>
      </c>
      <c r="N8" s="101"/>
      <c r="O8" s="101"/>
      <c r="P8" s="101"/>
      <c r="Q8" s="101"/>
      <c r="R8" s="101"/>
      <c r="S8" s="101"/>
      <c r="T8" s="101"/>
      <c r="U8" s="91"/>
      <c r="V8" s="89"/>
      <c r="W8" s="92"/>
      <c r="X8" s="92"/>
      <c r="Y8" s="92">
        <f t="shared" si="0"/>
        <v>0</v>
      </c>
      <c r="Z8" s="92">
        <f t="shared" si="1"/>
        <v>0</v>
      </c>
      <c r="AA8" s="92">
        <f t="shared" si="2"/>
        <v>0</v>
      </c>
      <c r="AB8" s="92">
        <f t="shared" si="3"/>
        <v>0</v>
      </c>
      <c r="AC8" s="92"/>
      <c r="AD8" s="92">
        <v>0</v>
      </c>
      <c r="AE8" s="92">
        <f t="shared" si="4"/>
        <v>0</v>
      </c>
      <c r="AF8" s="93">
        <v>0</v>
      </c>
      <c r="AG8" s="89"/>
      <c r="AH8" s="96"/>
      <c r="AI8" s="102" t="s">
        <v>4336</v>
      </c>
      <c r="AJ8" s="96" t="s">
        <v>4337</v>
      </c>
      <c r="AK8" s="100"/>
      <c r="AL8" s="89"/>
      <c r="AM8" s="90" t="s">
        <v>877</v>
      </c>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114"/>
      <c r="CQ8" s="115"/>
      <c r="CR8" s="114"/>
      <c r="CS8" s="115"/>
      <c r="CT8" s="114"/>
      <c r="CU8" s="115"/>
      <c r="CV8" s="99">
        <f t="shared" si="5"/>
        <v>0</v>
      </c>
      <c r="CW8" s="114"/>
      <c r="CX8" s="115"/>
      <c r="CY8" s="114"/>
      <c r="CZ8" s="115"/>
      <c r="DA8" s="115"/>
      <c r="DB8" s="115"/>
      <c r="DC8" s="114"/>
      <c r="DD8" s="115"/>
      <c r="DE8" s="97"/>
      <c r="DF8" s="269"/>
    </row>
    <row r="9" spans="1:110" s="270" customFormat="1" x14ac:dyDescent="0.2">
      <c r="A9" s="89">
        <v>40546</v>
      </c>
      <c r="B9" s="90" t="s">
        <v>1116</v>
      </c>
      <c r="C9" s="90" t="s">
        <v>1116</v>
      </c>
      <c r="D9" s="90" t="s">
        <v>2362</v>
      </c>
      <c r="E9" s="90" t="str">
        <f>VLOOKUP(B9&amp;C9,Divipola!$C$2:$F$1138,4,FALSE)</f>
        <v>11001</v>
      </c>
      <c r="F9" s="90"/>
      <c r="G9" s="101"/>
      <c r="H9" s="101"/>
      <c r="I9" s="101"/>
      <c r="J9" s="101">
        <v>86</v>
      </c>
      <c r="K9" s="271">
        <v>21</v>
      </c>
      <c r="L9" s="101"/>
      <c r="M9" s="101"/>
      <c r="N9" s="101"/>
      <c r="O9" s="101"/>
      <c r="P9" s="101"/>
      <c r="Q9" s="101"/>
      <c r="R9" s="101"/>
      <c r="S9" s="101"/>
      <c r="T9" s="101"/>
      <c r="U9" s="101"/>
      <c r="V9" s="101"/>
      <c r="W9" s="91"/>
      <c r="X9" s="89"/>
      <c r="Y9" s="92">
        <f t="shared" si="0"/>
        <v>0</v>
      </c>
      <c r="Z9" s="92">
        <f t="shared" si="1"/>
        <v>0</v>
      </c>
      <c r="AA9" s="92">
        <f t="shared" si="2"/>
        <v>0</v>
      </c>
      <c r="AB9" s="92">
        <f t="shared" si="3"/>
        <v>0</v>
      </c>
      <c r="AC9" s="92"/>
      <c r="AD9" s="92">
        <v>0</v>
      </c>
      <c r="AE9" s="92">
        <f t="shared" si="4"/>
        <v>0</v>
      </c>
      <c r="AF9" s="93">
        <v>0</v>
      </c>
      <c r="AG9" s="89">
        <v>40624</v>
      </c>
      <c r="AH9" s="94"/>
      <c r="AI9" s="95" t="s">
        <v>4336</v>
      </c>
      <c r="AJ9" s="96" t="s">
        <v>4337</v>
      </c>
      <c r="AK9" s="97"/>
      <c r="AL9" s="89"/>
      <c r="AM9" s="103" t="s">
        <v>2176</v>
      </c>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114"/>
      <c r="CQ9" s="115"/>
      <c r="CR9" s="114"/>
      <c r="CS9" s="115"/>
      <c r="CT9" s="114"/>
      <c r="CU9" s="115"/>
      <c r="CV9" s="99">
        <f t="shared" si="5"/>
        <v>0</v>
      </c>
      <c r="CW9" s="114"/>
      <c r="CX9" s="115"/>
      <c r="CY9" s="114"/>
      <c r="CZ9" s="115"/>
      <c r="DA9" s="115"/>
      <c r="DB9" s="115"/>
      <c r="DC9" s="114"/>
      <c r="DD9" s="115"/>
      <c r="DE9" s="97"/>
      <c r="DF9" s="269"/>
    </row>
    <row r="10" spans="1:110" s="270" customFormat="1" ht="24" x14ac:dyDescent="0.2">
      <c r="A10" s="89">
        <v>40546</v>
      </c>
      <c r="B10" s="90" t="s">
        <v>1116</v>
      </c>
      <c r="C10" s="90" t="s">
        <v>1116</v>
      </c>
      <c r="D10" s="90" t="s">
        <v>2362</v>
      </c>
      <c r="E10" s="90" t="str">
        <f>VLOOKUP(B10&amp;C10,Divipola!$C$2:$F$1138,4,FALSE)</f>
        <v>11001</v>
      </c>
      <c r="F10" s="90"/>
      <c r="G10" s="101"/>
      <c r="H10" s="101"/>
      <c r="I10" s="101"/>
      <c r="J10" s="101">
        <v>30</v>
      </c>
      <c r="K10" s="271">
        <v>7</v>
      </c>
      <c r="L10" s="101"/>
      <c r="M10" s="101"/>
      <c r="N10" s="101"/>
      <c r="O10" s="101"/>
      <c r="P10" s="101"/>
      <c r="Q10" s="101"/>
      <c r="R10" s="101"/>
      <c r="S10" s="101"/>
      <c r="T10" s="101"/>
      <c r="U10" s="101"/>
      <c r="V10" s="101"/>
      <c r="W10" s="91"/>
      <c r="X10" s="89"/>
      <c r="Y10" s="92">
        <f t="shared" si="0"/>
        <v>0</v>
      </c>
      <c r="Z10" s="92">
        <f t="shared" si="1"/>
        <v>0</v>
      </c>
      <c r="AA10" s="92">
        <f t="shared" si="2"/>
        <v>0</v>
      </c>
      <c r="AB10" s="92">
        <f t="shared" si="3"/>
        <v>0</v>
      </c>
      <c r="AC10" s="92"/>
      <c r="AD10" s="92">
        <v>0</v>
      </c>
      <c r="AE10" s="92">
        <f t="shared" si="4"/>
        <v>0</v>
      </c>
      <c r="AF10" s="93">
        <v>0</v>
      </c>
      <c r="AG10" s="89">
        <v>40624</v>
      </c>
      <c r="AH10" s="94"/>
      <c r="AI10" s="95" t="s">
        <v>4336</v>
      </c>
      <c r="AJ10" s="96" t="s">
        <v>4337</v>
      </c>
      <c r="AK10" s="97"/>
      <c r="AL10" s="89"/>
      <c r="AM10" s="103" t="s">
        <v>2177</v>
      </c>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114"/>
      <c r="CQ10" s="115"/>
      <c r="CR10" s="114"/>
      <c r="CS10" s="115"/>
      <c r="CT10" s="114"/>
      <c r="CU10" s="115"/>
      <c r="CV10" s="99">
        <f t="shared" si="5"/>
        <v>0</v>
      </c>
      <c r="CW10" s="114"/>
      <c r="CX10" s="115"/>
      <c r="CY10" s="114"/>
      <c r="CZ10" s="115"/>
      <c r="DA10" s="115"/>
      <c r="DB10" s="115"/>
      <c r="DC10" s="114"/>
      <c r="DD10" s="115"/>
      <c r="DE10" s="97"/>
      <c r="DF10" s="269"/>
    </row>
    <row r="11" spans="1:110" s="270" customFormat="1" ht="24" x14ac:dyDescent="0.2">
      <c r="A11" s="89">
        <v>40546</v>
      </c>
      <c r="B11" s="90" t="s">
        <v>4344</v>
      </c>
      <c r="C11" s="90" t="s">
        <v>3448</v>
      </c>
      <c r="D11" s="90" t="s">
        <v>4264</v>
      </c>
      <c r="E11" s="90" t="str">
        <f>VLOOKUP(B11&amp;C11,Divipola!$C$2:$F$1138,4,FALSE)</f>
        <v>25740</v>
      </c>
      <c r="F11" s="90"/>
      <c r="G11" s="101"/>
      <c r="H11" s="101"/>
      <c r="I11" s="101"/>
      <c r="J11" s="101">
        <v>40</v>
      </c>
      <c r="K11" s="101">
        <v>8</v>
      </c>
      <c r="L11" s="101"/>
      <c r="M11" s="101">
        <v>8</v>
      </c>
      <c r="N11" s="101"/>
      <c r="O11" s="101"/>
      <c r="P11" s="101"/>
      <c r="Q11" s="101"/>
      <c r="R11" s="101"/>
      <c r="S11" s="101"/>
      <c r="T11" s="101"/>
      <c r="U11" s="101"/>
      <c r="V11" s="101"/>
      <c r="W11" s="91"/>
      <c r="X11" s="89"/>
      <c r="Y11" s="92">
        <f t="shared" si="0"/>
        <v>0</v>
      </c>
      <c r="Z11" s="92">
        <f t="shared" si="1"/>
        <v>0</v>
      </c>
      <c r="AA11" s="92">
        <f t="shared" si="2"/>
        <v>0</v>
      </c>
      <c r="AB11" s="92">
        <f t="shared" si="3"/>
        <v>0</v>
      </c>
      <c r="AC11" s="92"/>
      <c r="AD11" s="92">
        <v>0</v>
      </c>
      <c r="AE11" s="92">
        <f t="shared" si="4"/>
        <v>0</v>
      </c>
      <c r="AF11" s="93">
        <v>0</v>
      </c>
      <c r="AG11" s="89">
        <v>40546</v>
      </c>
      <c r="AH11" s="94"/>
      <c r="AI11" s="102" t="s">
        <v>4336</v>
      </c>
      <c r="AJ11" s="96" t="s">
        <v>4337</v>
      </c>
      <c r="AK11" s="97"/>
      <c r="AL11" s="89"/>
      <c r="AM11" s="100" t="s">
        <v>3489</v>
      </c>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114"/>
      <c r="CQ11" s="115"/>
      <c r="CR11" s="114"/>
      <c r="CS11" s="115"/>
      <c r="CT11" s="114"/>
      <c r="CU11" s="115"/>
      <c r="CV11" s="99">
        <f t="shared" si="5"/>
        <v>0</v>
      </c>
      <c r="CW11" s="114"/>
      <c r="CX11" s="115"/>
      <c r="CY11" s="114"/>
      <c r="CZ11" s="115"/>
      <c r="DA11" s="115"/>
      <c r="DB11" s="115"/>
      <c r="DC11" s="114"/>
      <c r="DD11" s="115"/>
      <c r="DE11" s="97"/>
      <c r="DF11" s="269"/>
    </row>
    <row r="12" spans="1:110" s="270" customFormat="1" ht="72" x14ac:dyDescent="0.2">
      <c r="A12" s="89">
        <v>40546</v>
      </c>
      <c r="B12" s="90" t="s">
        <v>4221</v>
      </c>
      <c r="C12" s="90" t="s">
        <v>4299</v>
      </c>
      <c r="D12" s="90" t="s">
        <v>4264</v>
      </c>
      <c r="E12" s="90" t="str">
        <f>VLOOKUP(B12&amp;C12,Divipola!$C$2:$F$1138,4,FALSE)</f>
        <v>54001</v>
      </c>
      <c r="F12" s="90"/>
      <c r="G12" s="101"/>
      <c r="H12" s="101"/>
      <c r="I12" s="101"/>
      <c r="J12" s="101">
        <v>810</v>
      </c>
      <c r="K12" s="101">
        <v>162</v>
      </c>
      <c r="L12" s="101">
        <v>110</v>
      </c>
      <c r="M12" s="101">
        <v>52</v>
      </c>
      <c r="N12" s="101"/>
      <c r="O12" s="101"/>
      <c r="P12" s="101"/>
      <c r="Q12" s="101"/>
      <c r="R12" s="101"/>
      <c r="S12" s="101"/>
      <c r="T12" s="101"/>
      <c r="U12" s="101"/>
      <c r="V12" s="101"/>
      <c r="W12" s="91"/>
      <c r="X12" s="89"/>
      <c r="Y12" s="92">
        <f t="shared" si="0"/>
        <v>0</v>
      </c>
      <c r="Z12" s="92">
        <f t="shared" si="1"/>
        <v>0</v>
      </c>
      <c r="AA12" s="92">
        <f t="shared" si="2"/>
        <v>0</v>
      </c>
      <c r="AB12" s="92">
        <f t="shared" si="3"/>
        <v>0</v>
      </c>
      <c r="AC12" s="92"/>
      <c r="AD12" s="92">
        <v>0</v>
      </c>
      <c r="AE12" s="92">
        <f t="shared" si="4"/>
        <v>0</v>
      </c>
      <c r="AF12" s="93">
        <v>0</v>
      </c>
      <c r="AG12" s="89">
        <v>40529</v>
      </c>
      <c r="AH12" s="94"/>
      <c r="AI12" s="102" t="s">
        <v>4336</v>
      </c>
      <c r="AJ12" s="96" t="s">
        <v>4337</v>
      </c>
      <c r="AK12" s="97"/>
      <c r="AL12" s="89"/>
      <c r="AM12" s="100" t="s">
        <v>3491</v>
      </c>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114"/>
      <c r="CQ12" s="115"/>
      <c r="CR12" s="114"/>
      <c r="CS12" s="115"/>
      <c r="CT12" s="114"/>
      <c r="CU12" s="115"/>
      <c r="CV12" s="99">
        <f t="shared" si="5"/>
        <v>0</v>
      </c>
      <c r="CW12" s="114"/>
      <c r="CX12" s="115"/>
      <c r="CY12" s="114"/>
      <c r="CZ12" s="115"/>
      <c r="DA12" s="115"/>
      <c r="DB12" s="115"/>
      <c r="DC12" s="114"/>
      <c r="DD12" s="115"/>
      <c r="DE12" s="97"/>
      <c r="DF12" s="269"/>
    </row>
    <row r="13" spans="1:110" s="270" customFormat="1" ht="36" x14ac:dyDescent="0.2">
      <c r="A13" s="89">
        <v>40547</v>
      </c>
      <c r="B13" s="90" t="s">
        <v>3533</v>
      </c>
      <c r="C13" s="90" t="s">
        <v>862</v>
      </c>
      <c r="D13" s="90" t="s">
        <v>2362</v>
      </c>
      <c r="E13" s="90" t="str">
        <f>VLOOKUP(B13&amp;C13,Divipola!$C$2:$F$1138,4,FALSE)</f>
        <v>17001</v>
      </c>
      <c r="F13" s="90"/>
      <c r="G13" s="101"/>
      <c r="H13" s="101"/>
      <c r="I13" s="101"/>
      <c r="J13" s="101">
        <v>21</v>
      </c>
      <c r="K13" s="272">
        <v>4</v>
      </c>
      <c r="L13" s="101"/>
      <c r="M13" s="101">
        <v>5</v>
      </c>
      <c r="N13" s="101"/>
      <c r="O13" s="101"/>
      <c r="P13" s="101"/>
      <c r="Q13" s="101"/>
      <c r="R13" s="101"/>
      <c r="S13" s="101"/>
      <c r="T13" s="101"/>
      <c r="U13" s="101"/>
      <c r="V13" s="101"/>
      <c r="W13" s="91"/>
      <c r="X13" s="89"/>
      <c r="Y13" s="92">
        <f t="shared" si="0"/>
        <v>0</v>
      </c>
      <c r="Z13" s="92">
        <f t="shared" si="1"/>
        <v>0</v>
      </c>
      <c r="AA13" s="92">
        <f t="shared" si="2"/>
        <v>0</v>
      </c>
      <c r="AB13" s="92">
        <f t="shared" si="3"/>
        <v>0</v>
      </c>
      <c r="AC13" s="92"/>
      <c r="AD13" s="92">
        <v>0</v>
      </c>
      <c r="AE13" s="92">
        <f t="shared" si="4"/>
        <v>0</v>
      </c>
      <c r="AF13" s="93">
        <v>0</v>
      </c>
      <c r="AG13" s="89">
        <v>40547</v>
      </c>
      <c r="AH13" s="94"/>
      <c r="AI13" s="95" t="s">
        <v>4336</v>
      </c>
      <c r="AJ13" s="96" t="s">
        <v>4337</v>
      </c>
      <c r="AK13" s="97"/>
      <c r="AL13" s="89"/>
      <c r="AM13" s="100" t="s">
        <v>2908</v>
      </c>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114"/>
      <c r="CQ13" s="115"/>
      <c r="CR13" s="114"/>
      <c r="CS13" s="115"/>
      <c r="CT13" s="114"/>
      <c r="CU13" s="115"/>
      <c r="CV13" s="99">
        <f t="shared" si="5"/>
        <v>0</v>
      </c>
      <c r="CW13" s="114"/>
      <c r="CX13" s="115"/>
      <c r="CY13" s="114"/>
      <c r="CZ13" s="115"/>
      <c r="DA13" s="115"/>
      <c r="DB13" s="115"/>
      <c r="DC13" s="114"/>
      <c r="DD13" s="115"/>
      <c r="DE13" s="97"/>
      <c r="DF13" s="269"/>
    </row>
    <row r="14" spans="1:110" s="270" customFormat="1" ht="24" x14ac:dyDescent="0.2">
      <c r="A14" s="89">
        <v>40547</v>
      </c>
      <c r="B14" s="90" t="s">
        <v>4296</v>
      </c>
      <c r="C14" s="104" t="s">
        <v>4297</v>
      </c>
      <c r="D14" s="90" t="s">
        <v>2362</v>
      </c>
      <c r="E14" s="90" t="str">
        <f>VLOOKUP(B14&amp;C14,Divipola!$C$2:$F$1138,4,FALSE)</f>
        <v>19001</v>
      </c>
      <c r="F14" s="90"/>
      <c r="G14" s="101"/>
      <c r="H14" s="101"/>
      <c r="I14" s="101"/>
      <c r="J14" s="101">
        <f>457*5</f>
        <v>2285</v>
      </c>
      <c r="K14" s="101">
        <v>457</v>
      </c>
      <c r="L14" s="101">
        <v>3</v>
      </c>
      <c r="M14" s="101">
        <v>20</v>
      </c>
      <c r="N14" s="101"/>
      <c r="O14" s="101"/>
      <c r="P14" s="101"/>
      <c r="Q14" s="101"/>
      <c r="R14" s="101"/>
      <c r="S14" s="101"/>
      <c r="T14" s="101"/>
      <c r="U14" s="101"/>
      <c r="V14" s="101"/>
      <c r="W14" s="91"/>
      <c r="X14" s="89"/>
      <c r="Y14" s="92">
        <f t="shared" si="0"/>
        <v>0</v>
      </c>
      <c r="Z14" s="92">
        <f t="shared" si="1"/>
        <v>0</v>
      </c>
      <c r="AA14" s="92">
        <f t="shared" si="2"/>
        <v>0</v>
      </c>
      <c r="AB14" s="92">
        <f t="shared" si="3"/>
        <v>0</v>
      </c>
      <c r="AC14" s="92"/>
      <c r="AD14" s="92">
        <v>0</v>
      </c>
      <c r="AE14" s="92">
        <f t="shared" si="4"/>
        <v>0</v>
      </c>
      <c r="AF14" s="93">
        <v>0</v>
      </c>
      <c r="AG14" s="89">
        <v>40547</v>
      </c>
      <c r="AH14" s="94"/>
      <c r="AI14" s="95" t="s">
        <v>4336</v>
      </c>
      <c r="AJ14" s="96" t="s">
        <v>4337</v>
      </c>
      <c r="AK14" s="97"/>
      <c r="AL14" s="89"/>
      <c r="AM14" s="100" t="s">
        <v>3490</v>
      </c>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114"/>
      <c r="CQ14" s="115"/>
      <c r="CR14" s="114"/>
      <c r="CS14" s="115"/>
      <c r="CT14" s="114"/>
      <c r="CU14" s="115"/>
      <c r="CV14" s="99">
        <f t="shared" si="5"/>
        <v>0</v>
      </c>
      <c r="CW14" s="114"/>
      <c r="CX14" s="115"/>
      <c r="CY14" s="114"/>
      <c r="CZ14" s="115"/>
      <c r="DA14" s="115"/>
      <c r="DB14" s="115"/>
      <c r="DC14" s="114"/>
      <c r="DD14" s="115"/>
      <c r="DE14" s="97"/>
      <c r="DF14" s="269"/>
    </row>
    <row r="15" spans="1:110" s="270" customFormat="1" ht="36" x14ac:dyDescent="0.2">
      <c r="A15" s="89">
        <v>40549</v>
      </c>
      <c r="B15" s="90" t="s">
        <v>4261</v>
      </c>
      <c r="C15" s="90" t="s">
        <v>2245</v>
      </c>
      <c r="D15" s="90" t="s">
        <v>2865</v>
      </c>
      <c r="E15" s="90" t="str">
        <f>VLOOKUP(B15&amp;C15,Divipola!$C$2:$F$1138,4,FALSE)</f>
        <v>15332</v>
      </c>
      <c r="F15" s="90"/>
      <c r="G15" s="101">
        <v>1</v>
      </c>
      <c r="H15" s="101">
        <v>1</v>
      </c>
      <c r="I15" s="101"/>
      <c r="J15" s="101"/>
      <c r="K15" s="101"/>
      <c r="L15" s="101"/>
      <c r="M15" s="101"/>
      <c r="N15" s="101"/>
      <c r="O15" s="101"/>
      <c r="P15" s="101"/>
      <c r="Q15" s="101"/>
      <c r="R15" s="101"/>
      <c r="S15" s="101"/>
      <c r="T15" s="101"/>
      <c r="U15" s="101"/>
      <c r="V15" s="101"/>
      <c r="W15" s="91"/>
      <c r="X15" s="89"/>
      <c r="Y15" s="92">
        <f t="shared" si="0"/>
        <v>0</v>
      </c>
      <c r="Z15" s="92">
        <f t="shared" si="1"/>
        <v>0</v>
      </c>
      <c r="AA15" s="92">
        <f t="shared" si="2"/>
        <v>0</v>
      </c>
      <c r="AB15" s="92">
        <f t="shared" si="3"/>
        <v>0</v>
      </c>
      <c r="AC15" s="92"/>
      <c r="AD15" s="92">
        <v>0</v>
      </c>
      <c r="AE15" s="92">
        <f t="shared" si="4"/>
        <v>0</v>
      </c>
      <c r="AF15" s="93">
        <v>0</v>
      </c>
      <c r="AG15" s="89">
        <v>40549</v>
      </c>
      <c r="AH15" s="94"/>
      <c r="AI15" s="95" t="s">
        <v>4336</v>
      </c>
      <c r="AJ15" s="96" t="s">
        <v>4337</v>
      </c>
      <c r="AK15" s="97"/>
      <c r="AL15" s="89"/>
      <c r="AM15" s="100" t="s">
        <v>294</v>
      </c>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114"/>
      <c r="CQ15" s="115"/>
      <c r="CR15" s="114"/>
      <c r="CS15" s="115"/>
      <c r="CT15" s="114"/>
      <c r="CU15" s="115"/>
      <c r="CV15" s="99">
        <f t="shared" si="5"/>
        <v>0</v>
      </c>
      <c r="CW15" s="114"/>
      <c r="CX15" s="115"/>
      <c r="CY15" s="114"/>
      <c r="CZ15" s="115"/>
      <c r="DA15" s="115"/>
      <c r="DB15" s="115"/>
      <c r="DC15" s="114"/>
      <c r="DD15" s="115"/>
      <c r="DE15" s="97"/>
      <c r="DF15" s="269"/>
    </row>
    <row r="16" spans="1:110" s="270" customFormat="1" ht="24" x14ac:dyDescent="0.2">
      <c r="A16" s="89">
        <v>40549</v>
      </c>
      <c r="B16" s="90" t="s">
        <v>4344</v>
      </c>
      <c r="C16" s="90" t="s">
        <v>2154</v>
      </c>
      <c r="D16" s="90" t="s">
        <v>2362</v>
      </c>
      <c r="E16" s="90" t="str">
        <f>VLOOKUP(B16&amp;C16,Divipola!$C$2:$F$1138,4,FALSE)</f>
        <v>25645</v>
      </c>
      <c r="F16" s="90"/>
      <c r="G16" s="101"/>
      <c r="H16" s="101"/>
      <c r="I16" s="101"/>
      <c r="J16" s="101">
        <f>249-78</f>
        <v>171</v>
      </c>
      <c r="K16" s="101">
        <f>109-20</f>
        <v>89</v>
      </c>
      <c r="L16" s="101"/>
      <c r="M16" s="101">
        <v>89</v>
      </c>
      <c r="N16" s="101"/>
      <c r="O16" s="101"/>
      <c r="P16" s="101"/>
      <c r="Q16" s="101"/>
      <c r="R16" s="101"/>
      <c r="S16" s="101"/>
      <c r="T16" s="101"/>
      <c r="U16" s="101"/>
      <c r="V16" s="101"/>
      <c r="W16" s="91"/>
      <c r="X16" s="89"/>
      <c r="Y16" s="92">
        <f t="shared" si="0"/>
        <v>0</v>
      </c>
      <c r="Z16" s="92">
        <f t="shared" si="1"/>
        <v>0</v>
      </c>
      <c r="AA16" s="92">
        <f t="shared" si="2"/>
        <v>0</v>
      </c>
      <c r="AB16" s="92">
        <f t="shared" si="3"/>
        <v>0</v>
      </c>
      <c r="AC16" s="92"/>
      <c r="AD16" s="92">
        <v>0</v>
      </c>
      <c r="AE16" s="92">
        <f t="shared" si="4"/>
        <v>0</v>
      </c>
      <c r="AF16" s="93">
        <v>0</v>
      </c>
      <c r="AG16" s="89">
        <v>40549</v>
      </c>
      <c r="AH16" s="94"/>
      <c r="AI16" s="102" t="s">
        <v>4336</v>
      </c>
      <c r="AJ16" s="96" t="s">
        <v>4337</v>
      </c>
      <c r="AK16" s="97"/>
      <c r="AL16" s="89"/>
      <c r="AM16" s="100" t="s">
        <v>298</v>
      </c>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114"/>
      <c r="CQ16" s="115"/>
      <c r="CR16" s="114"/>
      <c r="CS16" s="115"/>
      <c r="CT16" s="114"/>
      <c r="CU16" s="115"/>
      <c r="CV16" s="99">
        <f t="shared" si="5"/>
        <v>0</v>
      </c>
      <c r="CW16" s="114"/>
      <c r="CX16" s="115"/>
      <c r="CY16" s="114"/>
      <c r="CZ16" s="115"/>
      <c r="DA16" s="115"/>
      <c r="DB16" s="115"/>
      <c r="DC16" s="114"/>
      <c r="DD16" s="115"/>
      <c r="DE16" s="97"/>
      <c r="DF16" s="269"/>
    </row>
    <row r="17" spans="1:255" s="270" customFormat="1" ht="24" x14ac:dyDescent="0.2">
      <c r="A17" s="89">
        <v>40549</v>
      </c>
      <c r="B17" s="90" t="s">
        <v>4350</v>
      </c>
      <c r="C17" s="90" t="s">
        <v>4351</v>
      </c>
      <c r="D17" s="90" t="s">
        <v>4298</v>
      </c>
      <c r="E17" s="90" t="str">
        <f>VLOOKUP(B17&amp;C17,Divipola!$C$2:$F$1138,4,FALSE)</f>
        <v>63001</v>
      </c>
      <c r="F17" s="90"/>
      <c r="G17" s="101"/>
      <c r="H17" s="101"/>
      <c r="I17" s="101"/>
      <c r="J17" s="101">
        <v>1</v>
      </c>
      <c r="K17" s="101">
        <v>1</v>
      </c>
      <c r="L17" s="101">
        <v>1</v>
      </c>
      <c r="M17" s="101"/>
      <c r="N17" s="101"/>
      <c r="O17" s="101"/>
      <c r="P17" s="101"/>
      <c r="Q17" s="101"/>
      <c r="R17" s="101"/>
      <c r="S17" s="101"/>
      <c r="T17" s="101"/>
      <c r="U17" s="101"/>
      <c r="V17" s="101"/>
      <c r="W17" s="91"/>
      <c r="X17" s="89"/>
      <c r="Y17" s="92">
        <f t="shared" si="0"/>
        <v>0</v>
      </c>
      <c r="Z17" s="92">
        <f t="shared" si="1"/>
        <v>0</v>
      </c>
      <c r="AA17" s="92">
        <f t="shared" si="2"/>
        <v>0</v>
      </c>
      <c r="AB17" s="92">
        <f t="shared" si="3"/>
        <v>0</v>
      </c>
      <c r="AC17" s="92"/>
      <c r="AD17" s="92">
        <v>0</v>
      </c>
      <c r="AE17" s="92">
        <f t="shared" si="4"/>
        <v>0</v>
      </c>
      <c r="AF17" s="93">
        <v>0</v>
      </c>
      <c r="AG17" s="89">
        <v>40549</v>
      </c>
      <c r="AH17" s="94"/>
      <c r="AI17" s="95" t="s">
        <v>4336</v>
      </c>
      <c r="AJ17" s="96" t="s">
        <v>4337</v>
      </c>
      <c r="AK17" s="97"/>
      <c r="AL17" s="89"/>
      <c r="AM17" s="100" t="s">
        <v>295</v>
      </c>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114"/>
      <c r="CQ17" s="115"/>
      <c r="CR17" s="114"/>
      <c r="CS17" s="115"/>
      <c r="CT17" s="114"/>
      <c r="CU17" s="115"/>
      <c r="CV17" s="99">
        <f t="shared" si="5"/>
        <v>0</v>
      </c>
      <c r="CW17" s="114"/>
      <c r="CX17" s="115"/>
      <c r="CY17" s="114"/>
      <c r="CZ17" s="115"/>
      <c r="DA17" s="115"/>
      <c r="DB17" s="115"/>
      <c r="DC17" s="114"/>
      <c r="DD17" s="115"/>
      <c r="DE17" s="97"/>
      <c r="DF17" s="269"/>
    </row>
    <row r="18" spans="1:255" s="270" customFormat="1" ht="36" x14ac:dyDescent="0.2">
      <c r="A18" s="89">
        <v>40549</v>
      </c>
      <c r="B18" s="90" t="s">
        <v>4244</v>
      </c>
      <c r="C18" s="90" t="s">
        <v>3384</v>
      </c>
      <c r="D18" s="90" t="s">
        <v>2362</v>
      </c>
      <c r="E18" s="90" t="str">
        <f>VLOOKUP(B18&amp;C18,Divipola!$C$2:$F$1138,4,FALSE)</f>
        <v>76892</v>
      </c>
      <c r="F18" s="90"/>
      <c r="G18" s="101"/>
      <c r="H18" s="101"/>
      <c r="I18" s="101"/>
      <c r="J18" s="101"/>
      <c r="K18" s="101"/>
      <c r="L18" s="101"/>
      <c r="M18" s="101"/>
      <c r="N18" s="101">
        <v>3</v>
      </c>
      <c r="O18" s="101"/>
      <c r="P18" s="101"/>
      <c r="Q18" s="101"/>
      <c r="R18" s="101"/>
      <c r="S18" s="101"/>
      <c r="T18" s="101"/>
      <c r="U18" s="101"/>
      <c r="V18" s="101"/>
      <c r="W18" s="91"/>
      <c r="X18" s="89"/>
      <c r="Y18" s="92">
        <f t="shared" si="0"/>
        <v>0</v>
      </c>
      <c r="Z18" s="92">
        <f t="shared" si="1"/>
        <v>0</v>
      </c>
      <c r="AA18" s="92">
        <f t="shared" si="2"/>
        <v>0</v>
      </c>
      <c r="AB18" s="92">
        <f t="shared" si="3"/>
        <v>0</v>
      </c>
      <c r="AC18" s="92"/>
      <c r="AD18" s="92">
        <v>0</v>
      </c>
      <c r="AE18" s="92">
        <f t="shared" si="4"/>
        <v>0</v>
      </c>
      <c r="AF18" s="93">
        <v>0</v>
      </c>
      <c r="AG18" s="89">
        <v>40549</v>
      </c>
      <c r="AH18" s="94"/>
      <c r="AI18" s="95" t="s">
        <v>4336</v>
      </c>
      <c r="AJ18" s="96" t="s">
        <v>4337</v>
      </c>
      <c r="AK18" s="97"/>
      <c r="AL18" s="89"/>
      <c r="AM18" s="100" t="s">
        <v>296</v>
      </c>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114"/>
      <c r="CQ18" s="115"/>
      <c r="CR18" s="114"/>
      <c r="CS18" s="115"/>
      <c r="CT18" s="114"/>
      <c r="CU18" s="115"/>
      <c r="CV18" s="99">
        <f t="shared" si="5"/>
        <v>0</v>
      </c>
      <c r="CW18" s="114"/>
      <c r="CX18" s="115"/>
      <c r="CY18" s="114"/>
      <c r="CZ18" s="115"/>
      <c r="DA18" s="115"/>
      <c r="DB18" s="115"/>
      <c r="DC18" s="114"/>
      <c r="DD18" s="115"/>
      <c r="DE18" s="97"/>
      <c r="DF18" s="46"/>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row>
    <row r="19" spans="1:255" s="270" customFormat="1" ht="24" x14ac:dyDescent="0.2">
      <c r="A19" s="89">
        <v>40550</v>
      </c>
      <c r="B19" s="90" t="s">
        <v>4344</v>
      </c>
      <c r="C19" s="90" t="s">
        <v>4223</v>
      </c>
      <c r="D19" s="90" t="s">
        <v>4264</v>
      </c>
      <c r="E19" s="90" t="str">
        <f>VLOOKUP(B19&amp;C19,Divipola!$C$2:$F$1138,4,FALSE)</f>
        <v>25815</v>
      </c>
      <c r="F19" s="90"/>
      <c r="G19" s="101"/>
      <c r="H19" s="101"/>
      <c r="I19" s="101"/>
      <c r="J19" s="101">
        <v>29</v>
      </c>
      <c r="K19" s="101">
        <v>8</v>
      </c>
      <c r="L19" s="101"/>
      <c r="M19" s="101">
        <v>8</v>
      </c>
      <c r="N19" s="101"/>
      <c r="O19" s="101"/>
      <c r="P19" s="101"/>
      <c r="Q19" s="101"/>
      <c r="R19" s="101"/>
      <c r="S19" s="101"/>
      <c r="T19" s="101"/>
      <c r="U19" s="101"/>
      <c r="V19" s="101"/>
      <c r="W19" s="91"/>
      <c r="X19" s="89"/>
      <c r="Y19" s="92">
        <f t="shared" si="0"/>
        <v>0</v>
      </c>
      <c r="Z19" s="92">
        <f t="shared" si="1"/>
        <v>0</v>
      </c>
      <c r="AA19" s="92">
        <f t="shared" si="2"/>
        <v>0</v>
      </c>
      <c r="AB19" s="92">
        <f t="shared" si="3"/>
        <v>0</v>
      </c>
      <c r="AC19" s="92"/>
      <c r="AD19" s="92">
        <v>0</v>
      </c>
      <c r="AE19" s="92">
        <f t="shared" si="4"/>
        <v>0</v>
      </c>
      <c r="AF19" s="93">
        <v>0</v>
      </c>
      <c r="AG19" s="89">
        <v>40550</v>
      </c>
      <c r="AH19" s="94"/>
      <c r="AI19" s="102" t="s">
        <v>4336</v>
      </c>
      <c r="AJ19" s="96" t="s">
        <v>4337</v>
      </c>
      <c r="AK19" s="97"/>
      <c r="AL19" s="89"/>
      <c r="AM19" s="100" t="s">
        <v>297</v>
      </c>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114"/>
      <c r="CQ19" s="115"/>
      <c r="CR19" s="114"/>
      <c r="CS19" s="115"/>
      <c r="CT19" s="114"/>
      <c r="CU19" s="115"/>
      <c r="CV19" s="99">
        <f t="shared" si="5"/>
        <v>0</v>
      </c>
      <c r="CW19" s="114"/>
      <c r="CX19" s="115"/>
      <c r="CY19" s="114"/>
      <c r="CZ19" s="115"/>
      <c r="DA19" s="115"/>
      <c r="DB19" s="115"/>
      <c r="DC19" s="114"/>
      <c r="DD19" s="115"/>
      <c r="DE19" s="97"/>
      <c r="DF19" s="269"/>
    </row>
    <row r="20" spans="1:255" s="270" customFormat="1" ht="48" x14ac:dyDescent="0.2">
      <c r="A20" s="89">
        <v>40550</v>
      </c>
      <c r="B20" s="90" t="s">
        <v>4221</v>
      </c>
      <c r="C20" s="90" t="s">
        <v>2230</v>
      </c>
      <c r="D20" s="90" t="s">
        <v>2362</v>
      </c>
      <c r="E20" s="90" t="str">
        <f>VLOOKUP(B20&amp;C20,Divipola!$C$2:$F$1138,4,FALSE)</f>
        <v>54660</v>
      </c>
      <c r="F20" s="90"/>
      <c r="G20" s="101"/>
      <c r="H20" s="101"/>
      <c r="I20" s="101"/>
      <c r="J20" s="101">
        <v>75</v>
      </c>
      <c r="K20" s="101">
        <v>15</v>
      </c>
      <c r="L20" s="101"/>
      <c r="M20" s="101">
        <v>15</v>
      </c>
      <c r="N20" s="101"/>
      <c r="O20" s="101"/>
      <c r="P20" s="101"/>
      <c r="Q20" s="101"/>
      <c r="R20" s="101"/>
      <c r="S20" s="101"/>
      <c r="T20" s="101"/>
      <c r="U20" s="101"/>
      <c r="V20" s="101"/>
      <c r="W20" s="91"/>
      <c r="X20" s="89"/>
      <c r="Y20" s="92">
        <f t="shared" si="0"/>
        <v>0</v>
      </c>
      <c r="Z20" s="92">
        <f t="shared" si="1"/>
        <v>0</v>
      </c>
      <c r="AA20" s="92">
        <f t="shared" si="2"/>
        <v>0</v>
      </c>
      <c r="AB20" s="92">
        <f t="shared" si="3"/>
        <v>0</v>
      </c>
      <c r="AC20" s="92"/>
      <c r="AD20" s="92">
        <v>0</v>
      </c>
      <c r="AE20" s="92">
        <f t="shared" si="4"/>
        <v>0</v>
      </c>
      <c r="AF20" s="93">
        <v>0</v>
      </c>
      <c r="AG20" s="89">
        <v>40550</v>
      </c>
      <c r="AH20" s="94"/>
      <c r="AI20" s="102" t="s">
        <v>4336</v>
      </c>
      <c r="AJ20" s="96" t="s">
        <v>4337</v>
      </c>
      <c r="AK20" s="97"/>
      <c r="AL20" s="89"/>
      <c r="AM20" s="100" t="s">
        <v>302</v>
      </c>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114"/>
      <c r="CQ20" s="115"/>
      <c r="CR20" s="114"/>
      <c r="CS20" s="115"/>
      <c r="CT20" s="114"/>
      <c r="CU20" s="115"/>
      <c r="CV20" s="99">
        <f t="shared" si="5"/>
        <v>0</v>
      </c>
      <c r="CW20" s="114"/>
      <c r="CX20" s="115"/>
      <c r="CY20" s="114"/>
      <c r="CZ20" s="115"/>
      <c r="DA20" s="115"/>
      <c r="DB20" s="115"/>
      <c r="DC20" s="114"/>
      <c r="DD20" s="115"/>
      <c r="DE20" s="97"/>
      <c r="DF20" s="269"/>
    </row>
    <row r="21" spans="1:255" s="270" customFormat="1" ht="36" x14ac:dyDescent="0.2">
      <c r="A21" s="89">
        <v>40550</v>
      </c>
      <c r="B21" s="90" t="s">
        <v>2226</v>
      </c>
      <c r="C21" s="90" t="s">
        <v>2263</v>
      </c>
      <c r="D21" s="90" t="s">
        <v>2287</v>
      </c>
      <c r="E21" s="90" t="str">
        <f>VLOOKUP(B21&amp;C21,Divipola!$C$2:$F$1138,4,FALSE)</f>
        <v>68780</v>
      </c>
      <c r="F21" s="90"/>
      <c r="G21" s="101">
        <v>7</v>
      </c>
      <c r="H21" s="101">
        <v>6</v>
      </c>
      <c r="I21" s="101"/>
      <c r="J21" s="101"/>
      <c r="K21" s="101"/>
      <c r="L21" s="101"/>
      <c r="M21" s="101"/>
      <c r="N21" s="101"/>
      <c r="O21" s="101"/>
      <c r="P21" s="101"/>
      <c r="Q21" s="101"/>
      <c r="R21" s="101"/>
      <c r="S21" s="101"/>
      <c r="T21" s="101"/>
      <c r="U21" s="101"/>
      <c r="V21" s="101"/>
      <c r="W21" s="91"/>
      <c r="X21" s="89"/>
      <c r="Y21" s="92">
        <f t="shared" si="0"/>
        <v>0</v>
      </c>
      <c r="Z21" s="92">
        <f t="shared" si="1"/>
        <v>0</v>
      </c>
      <c r="AA21" s="92">
        <f t="shared" si="2"/>
        <v>0</v>
      </c>
      <c r="AB21" s="92">
        <f t="shared" si="3"/>
        <v>0</v>
      </c>
      <c r="AC21" s="92"/>
      <c r="AD21" s="92">
        <v>0</v>
      </c>
      <c r="AE21" s="92">
        <f t="shared" si="4"/>
        <v>0</v>
      </c>
      <c r="AF21" s="93">
        <v>0</v>
      </c>
      <c r="AG21" s="89">
        <v>40550</v>
      </c>
      <c r="AH21" s="94"/>
      <c r="AI21" s="95" t="s">
        <v>4336</v>
      </c>
      <c r="AJ21" s="96" t="s">
        <v>4337</v>
      </c>
      <c r="AK21" s="97"/>
      <c r="AL21" s="89"/>
      <c r="AM21" s="100" t="s">
        <v>299</v>
      </c>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114"/>
      <c r="CQ21" s="115"/>
      <c r="CR21" s="114"/>
      <c r="CS21" s="115"/>
      <c r="CT21" s="114"/>
      <c r="CU21" s="115"/>
      <c r="CV21" s="99">
        <f t="shared" si="5"/>
        <v>0</v>
      </c>
      <c r="CW21" s="114"/>
      <c r="CX21" s="115"/>
      <c r="CY21" s="114"/>
      <c r="CZ21" s="115"/>
      <c r="DA21" s="115"/>
      <c r="DB21" s="115"/>
      <c r="DC21" s="114"/>
      <c r="DD21" s="115"/>
      <c r="DE21" s="97"/>
      <c r="DF21" s="269">
        <v>1725</v>
      </c>
    </row>
    <row r="22" spans="1:255" s="270" customFormat="1" ht="36" x14ac:dyDescent="0.2">
      <c r="A22" s="89">
        <v>40551</v>
      </c>
      <c r="B22" s="90" t="s">
        <v>1116</v>
      </c>
      <c r="C22" s="90" t="s">
        <v>1116</v>
      </c>
      <c r="D22" s="90" t="s">
        <v>4298</v>
      </c>
      <c r="E22" s="90" t="str">
        <f>VLOOKUP(B22&amp;C22,Divipola!$C$2:$F$1138,4,FALSE)</f>
        <v>11001</v>
      </c>
      <c r="F22" s="90"/>
      <c r="G22" s="101"/>
      <c r="H22" s="101"/>
      <c r="I22" s="101"/>
      <c r="J22" s="101"/>
      <c r="K22" s="101"/>
      <c r="L22" s="101"/>
      <c r="M22" s="101"/>
      <c r="N22" s="101"/>
      <c r="O22" s="101"/>
      <c r="P22" s="101"/>
      <c r="Q22" s="101"/>
      <c r="R22" s="101"/>
      <c r="S22" s="101"/>
      <c r="T22" s="101"/>
      <c r="U22" s="101"/>
      <c r="V22" s="101"/>
      <c r="W22" s="91" t="s">
        <v>300</v>
      </c>
      <c r="X22" s="89"/>
      <c r="Y22" s="92">
        <f t="shared" si="0"/>
        <v>0</v>
      </c>
      <c r="Z22" s="92">
        <f t="shared" si="1"/>
        <v>0</v>
      </c>
      <c r="AA22" s="92">
        <f t="shared" si="2"/>
        <v>0</v>
      </c>
      <c r="AB22" s="92">
        <f t="shared" si="3"/>
        <v>0</v>
      </c>
      <c r="AC22" s="92"/>
      <c r="AD22" s="92">
        <v>0</v>
      </c>
      <c r="AE22" s="92">
        <f t="shared" si="4"/>
        <v>0</v>
      </c>
      <c r="AF22" s="93">
        <v>0</v>
      </c>
      <c r="AG22" s="89">
        <v>40551</v>
      </c>
      <c r="AH22" s="94"/>
      <c r="AI22" s="95" t="s">
        <v>4336</v>
      </c>
      <c r="AJ22" s="96" t="s">
        <v>4337</v>
      </c>
      <c r="AK22" s="97"/>
      <c r="AL22" s="89"/>
      <c r="AM22" s="100" t="s">
        <v>301</v>
      </c>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114"/>
      <c r="CQ22" s="115"/>
      <c r="CR22" s="114"/>
      <c r="CS22" s="115"/>
      <c r="CT22" s="114"/>
      <c r="CU22" s="115"/>
      <c r="CV22" s="99">
        <f t="shared" si="5"/>
        <v>0</v>
      </c>
      <c r="CW22" s="114"/>
      <c r="CX22" s="115"/>
      <c r="CY22" s="114"/>
      <c r="CZ22" s="115"/>
      <c r="DA22" s="115"/>
      <c r="DB22" s="115"/>
      <c r="DC22" s="114"/>
      <c r="DD22" s="115"/>
      <c r="DE22" s="97"/>
      <c r="DF22" s="269"/>
    </row>
    <row r="23" spans="1:255" s="270" customFormat="1" ht="45" x14ac:dyDescent="0.2">
      <c r="A23" s="89">
        <v>40553</v>
      </c>
      <c r="B23" s="90" t="s">
        <v>4326</v>
      </c>
      <c r="C23" s="90" t="s">
        <v>4338</v>
      </c>
      <c r="D23" s="90" t="s">
        <v>4298</v>
      </c>
      <c r="E23" s="90" t="str">
        <f>VLOOKUP(B23&amp;C23,Divipola!$C$2:$F$1138,4,FALSE)</f>
        <v>08001</v>
      </c>
      <c r="F23" s="90"/>
      <c r="G23" s="101"/>
      <c r="H23" s="101"/>
      <c r="I23" s="101"/>
      <c r="J23" s="101"/>
      <c r="K23" s="101"/>
      <c r="L23" s="101"/>
      <c r="M23" s="101"/>
      <c r="N23" s="101"/>
      <c r="O23" s="101"/>
      <c r="P23" s="101"/>
      <c r="Q23" s="101"/>
      <c r="R23" s="101"/>
      <c r="S23" s="101"/>
      <c r="T23" s="101"/>
      <c r="U23" s="101"/>
      <c r="V23" s="101"/>
      <c r="W23" s="91" t="s">
        <v>306</v>
      </c>
      <c r="X23" s="89"/>
      <c r="Y23" s="92">
        <f t="shared" si="0"/>
        <v>0</v>
      </c>
      <c r="Z23" s="92">
        <f t="shared" si="1"/>
        <v>0</v>
      </c>
      <c r="AA23" s="92">
        <f t="shared" si="2"/>
        <v>0</v>
      </c>
      <c r="AB23" s="92">
        <f t="shared" si="3"/>
        <v>0</v>
      </c>
      <c r="AC23" s="92"/>
      <c r="AD23" s="92">
        <v>0</v>
      </c>
      <c r="AE23" s="92">
        <f t="shared" si="4"/>
        <v>0</v>
      </c>
      <c r="AF23" s="93">
        <v>0</v>
      </c>
      <c r="AG23" s="89">
        <v>40553</v>
      </c>
      <c r="AH23" s="94"/>
      <c r="AI23" s="95" t="s">
        <v>4336</v>
      </c>
      <c r="AJ23" s="96" t="s">
        <v>4337</v>
      </c>
      <c r="AK23" s="97"/>
      <c r="AL23" s="89"/>
      <c r="AM23" s="100" t="s">
        <v>303</v>
      </c>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114"/>
      <c r="CQ23" s="115"/>
      <c r="CR23" s="114"/>
      <c r="CS23" s="115"/>
      <c r="CT23" s="114"/>
      <c r="CU23" s="115"/>
      <c r="CV23" s="99">
        <f t="shared" si="5"/>
        <v>0</v>
      </c>
      <c r="CW23" s="114"/>
      <c r="CX23" s="115"/>
      <c r="CY23" s="114"/>
      <c r="CZ23" s="115"/>
      <c r="DA23" s="115"/>
      <c r="DB23" s="115"/>
      <c r="DC23" s="114"/>
      <c r="DD23" s="115"/>
      <c r="DE23" s="97"/>
      <c r="DF23" s="269"/>
    </row>
    <row r="24" spans="1:255" s="270" customFormat="1" x14ac:dyDescent="0.2">
      <c r="A24" s="89">
        <v>40553</v>
      </c>
      <c r="B24" s="90" t="s">
        <v>4344</v>
      </c>
      <c r="C24" s="90" t="s">
        <v>838</v>
      </c>
      <c r="D24" s="90" t="s">
        <v>4264</v>
      </c>
      <c r="E24" s="90" t="str">
        <f>VLOOKUP(B24&amp;C24,Divipola!$C$2:$F$1138,4,FALSE)</f>
        <v>25040</v>
      </c>
      <c r="F24" s="90"/>
      <c r="G24" s="101"/>
      <c r="H24" s="101"/>
      <c r="I24" s="101"/>
      <c r="J24" s="101">
        <v>140</v>
      </c>
      <c r="K24" s="101">
        <v>39</v>
      </c>
      <c r="L24" s="101">
        <f>13+2</f>
        <v>15</v>
      </c>
      <c r="M24" s="101">
        <f>16+8</f>
        <v>24</v>
      </c>
      <c r="N24" s="101"/>
      <c r="O24" s="101"/>
      <c r="P24" s="101"/>
      <c r="Q24" s="101"/>
      <c r="R24" s="101"/>
      <c r="S24" s="101"/>
      <c r="T24" s="101"/>
      <c r="U24" s="101"/>
      <c r="V24" s="101"/>
      <c r="W24" s="91"/>
      <c r="X24" s="89"/>
      <c r="Y24" s="92">
        <f t="shared" si="0"/>
        <v>0</v>
      </c>
      <c r="Z24" s="92">
        <f t="shared" si="1"/>
        <v>0</v>
      </c>
      <c r="AA24" s="92">
        <f t="shared" si="2"/>
        <v>0</v>
      </c>
      <c r="AB24" s="92">
        <f t="shared" si="3"/>
        <v>0</v>
      </c>
      <c r="AC24" s="92"/>
      <c r="AD24" s="92">
        <v>0</v>
      </c>
      <c r="AE24" s="92">
        <f t="shared" si="4"/>
        <v>0</v>
      </c>
      <c r="AF24" s="93">
        <v>0</v>
      </c>
      <c r="AG24" s="89">
        <v>40612</v>
      </c>
      <c r="AH24" s="94"/>
      <c r="AI24" s="102" t="s">
        <v>4336</v>
      </c>
      <c r="AJ24" s="96" t="s">
        <v>4337</v>
      </c>
      <c r="AK24" s="97"/>
      <c r="AL24" s="89"/>
      <c r="AM24" s="100" t="s">
        <v>3238</v>
      </c>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114"/>
      <c r="CQ24" s="115"/>
      <c r="CR24" s="114"/>
      <c r="CS24" s="115"/>
      <c r="CT24" s="114"/>
      <c r="CU24" s="115"/>
      <c r="CV24" s="99">
        <f t="shared" si="5"/>
        <v>0</v>
      </c>
      <c r="CW24" s="114"/>
      <c r="CX24" s="115"/>
      <c r="CY24" s="114"/>
      <c r="CZ24" s="115"/>
      <c r="DA24" s="115"/>
      <c r="DB24" s="115"/>
      <c r="DC24" s="114"/>
      <c r="DD24" s="115"/>
      <c r="DE24" s="97"/>
      <c r="DF24" s="269"/>
    </row>
    <row r="25" spans="1:255" s="270" customFormat="1" ht="24" x14ac:dyDescent="0.2">
      <c r="A25" s="89">
        <v>40554</v>
      </c>
      <c r="B25" s="90" t="s">
        <v>4387</v>
      </c>
      <c r="C25" s="90" t="s">
        <v>963</v>
      </c>
      <c r="D25" s="90" t="s">
        <v>2362</v>
      </c>
      <c r="E25" s="90" t="str">
        <f>VLOOKUP(B25&amp;C25,Divipola!$C$2:$F$1138,4,FALSE)</f>
        <v>52573</v>
      </c>
      <c r="F25" s="90"/>
      <c r="G25" s="101"/>
      <c r="H25" s="101"/>
      <c r="I25" s="101"/>
      <c r="J25" s="101">
        <v>758</v>
      </c>
      <c r="K25" s="101">
        <v>237</v>
      </c>
      <c r="L25" s="101">
        <v>1</v>
      </c>
      <c r="M25" s="101">
        <v>235</v>
      </c>
      <c r="N25" s="101">
        <v>5</v>
      </c>
      <c r="O25" s="101"/>
      <c r="P25" s="101"/>
      <c r="Q25" s="101">
        <v>6</v>
      </c>
      <c r="R25" s="101"/>
      <c r="S25" s="101"/>
      <c r="T25" s="101"/>
      <c r="U25" s="101"/>
      <c r="V25" s="101"/>
      <c r="W25" s="91"/>
      <c r="X25" s="89"/>
      <c r="Y25" s="92">
        <f t="shared" si="0"/>
        <v>0</v>
      </c>
      <c r="Z25" s="92">
        <f t="shared" si="1"/>
        <v>0</v>
      </c>
      <c r="AA25" s="92">
        <f t="shared" si="2"/>
        <v>0</v>
      </c>
      <c r="AB25" s="92">
        <f t="shared" si="3"/>
        <v>0</v>
      </c>
      <c r="AC25" s="92"/>
      <c r="AD25" s="92">
        <v>0</v>
      </c>
      <c r="AE25" s="92">
        <f t="shared" si="4"/>
        <v>0</v>
      </c>
      <c r="AF25" s="93">
        <v>0</v>
      </c>
      <c r="AG25" s="89">
        <v>40561</v>
      </c>
      <c r="AH25" s="94"/>
      <c r="AI25" s="95" t="s">
        <v>4336</v>
      </c>
      <c r="AJ25" s="96" t="s">
        <v>4337</v>
      </c>
      <c r="AK25" s="97"/>
      <c r="AL25" s="89"/>
      <c r="AM25" s="100" t="s">
        <v>964</v>
      </c>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114"/>
      <c r="CQ25" s="115"/>
      <c r="CR25" s="114"/>
      <c r="CS25" s="115"/>
      <c r="CT25" s="114"/>
      <c r="CU25" s="115"/>
      <c r="CV25" s="99">
        <f t="shared" si="5"/>
        <v>0</v>
      </c>
      <c r="CW25" s="114"/>
      <c r="CX25" s="115"/>
      <c r="CY25" s="114"/>
      <c r="CZ25" s="115"/>
      <c r="DA25" s="115"/>
      <c r="DB25" s="115"/>
      <c r="DC25" s="114"/>
      <c r="DD25" s="115"/>
      <c r="DE25" s="97"/>
      <c r="DF25" s="269"/>
    </row>
    <row r="26" spans="1:255" s="270" customFormat="1" x14ac:dyDescent="0.2">
      <c r="A26" s="89">
        <v>40554</v>
      </c>
      <c r="B26" s="90" t="s">
        <v>4387</v>
      </c>
      <c r="C26" s="90" t="s">
        <v>962</v>
      </c>
      <c r="D26" s="90" t="s">
        <v>2362</v>
      </c>
      <c r="E26" s="90" t="str">
        <f>VLOOKUP(B26&amp;C26,Divipola!$C$2:$F$1138,4,FALSE)</f>
        <v>52699</v>
      </c>
      <c r="F26" s="90"/>
      <c r="G26" s="101"/>
      <c r="H26" s="101"/>
      <c r="I26" s="101"/>
      <c r="J26" s="101">
        <v>133</v>
      </c>
      <c r="K26" s="101">
        <v>29</v>
      </c>
      <c r="L26" s="101">
        <v>3</v>
      </c>
      <c r="M26" s="101">
        <v>26</v>
      </c>
      <c r="N26" s="101">
        <v>4</v>
      </c>
      <c r="O26" s="101"/>
      <c r="P26" s="101">
        <v>1</v>
      </c>
      <c r="Q26" s="101">
        <v>1</v>
      </c>
      <c r="R26" s="101"/>
      <c r="S26" s="101"/>
      <c r="T26" s="101">
        <v>1</v>
      </c>
      <c r="U26" s="101"/>
      <c r="V26" s="101"/>
      <c r="W26" s="91"/>
      <c r="X26" s="89"/>
      <c r="Y26" s="92">
        <f t="shared" si="0"/>
        <v>0</v>
      </c>
      <c r="Z26" s="92">
        <f t="shared" si="1"/>
        <v>0</v>
      </c>
      <c r="AA26" s="92">
        <f t="shared" si="2"/>
        <v>0</v>
      </c>
      <c r="AB26" s="92">
        <f t="shared" si="3"/>
        <v>0</v>
      </c>
      <c r="AC26" s="92"/>
      <c r="AD26" s="92">
        <v>0</v>
      </c>
      <c r="AE26" s="92">
        <f t="shared" si="4"/>
        <v>0</v>
      </c>
      <c r="AF26" s="93">
        <v>0</v>
      </c>
      <c r="AG26" s="89">
        <v>40561</v>
      </c>
      <c r="AH26" s="94"/>
      <c r="AI26" s="95" t="s">
        <v>4336</v>
      </c>
      <c r="AJ26" s="96" t="s">
        <v>4337</v>
      </c>
      <c r="AK26" s="97"/>
      <c r="AL26" s="89"/>
      <c r="AM26" s="100" t="s">
        <v>3452</v>
      </c>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114"/>
      <c r="CQ26" s="115"/>
      <c r="CR26" s="114"/>
      <c r="CS26" s="115"/>
      <c r="CT26" s="114"/>
      <c r="CU26" s="115"/>
      <c r="CV26" s="99">
        <f t="shared" si="5"/>
        <v>0</v>
      </c>
      <c r="CW26" s="114"/>
      <c r="CX26" s="115"/>
      <c r="CY26" s="114"/>
      <c r="CZ26" s="115"/>
      <c r="DA26" s="115"/>
      <c r="DB26" s="115"/>
      <c r="DC26" s="114"/>
      <c r="DD26" s="115"/>
      <c r="DE26" s="97"/>
      <c r="DF26" s="269"/>
    </row>
    <row r="27" spans="1:255" s="270" customFormat="1" ht="22.5" x14ac:dyDescent="0.2">
      <c r="A27" s="89">
        <v>40554</v>
      </c>
      <c r="B27" s="90" t="s">
        <v>4221</v>
      </c>
      <c r="C27" s="90" t="s">
        <v>4372</v>
      </c>
      <c r="D27" s="90" t="s">
        <v>4298</v>
      </c>
      <c r="E27" s="90" t="str">
        <f>VLOOKUP(B27&amp;C27,Divipola!$C$2:$F$1138,4,FALSE)</f>
        <v>54498</v>
      </c>
      <c r="F27" s="90"/>
      <c r="G27" s="101"/>
      <c r="H27" s="101"/>
      <c r="I27" s="101"/>
      <c r="J27" s="101"/>
      <c r="K27" s="101"/>
      <c r="L27" s="101"/>
      <c r="M27" s="101"/>
      <c r="N27" s="101"/>
      <c r="O27" s="101"/>
      <c r="P27" s="101"/>
      <c r="Q27" s="101"/>
      <c r="R27" s="101"/>
      <c r="S27" s="101"/>
      <c r="T27" s="101"/>
      <c r="U27" s="101"/>
      <c r="V27" s="101"/>
      <c r="W27" s="91" t="s">
        <v>308</v>
      </c>
      <c r="X27" s="89"/>
      <c r="Y27" s="92">
        <f t="shared" si="0"/>
        <v>0</v>
      </c>
      <c r="Z27" s="92">
        <f t="shared" si="1"/>
        <v>0</v>
      </c>
      <c r="AA27" s="92">
        <f t="shared" si="2"/>
        <v>0</v>
      </c>
      <c r="AB27" s="92">
        <f t="shared" si="3"/>
        <v>0</v>
      </c>
      <c r="AC27" s="92"/>
      <c r="AD27" s="92">
        <v>0</v>
      </c>
      <c r="AE27" s="92">
        <f t="shared" si="4"/>
        <v>0</v>
      </c>
      <c r="AF27" s="93">
        <v>0</v>
      </c>
      <c r="AG27" s="89">
        <v>40554</v>
      </c>
      <c r="AH27" s="94"/>
      <c r="AI27" s="102" t="s">
        <v>4336</v>
      </c>
      <c r="AJ27" s="96" t="s">
        <v>4337</v>
      </c>
      <c r="AK27" s="97"/>
      <c r="AL27" s="89"/>
      <c r="AM27" s="100" t="s">
        <v>307</v>
      </c>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114"/>
      <c r="CQ27" s="115"/>
      <c r="CR27" s="114"/>
      <c r="CS27" s="115"/>
      <c r="CT27" s="114"/>
      <c r="CU27" s="115"/>
      <c r="CV27" s="99">
        <f t="shared" si="5"/>
        <v>0</v>
      </c>
      <c r="CW27" s="114"/>
      <c r="CX27" s="115"/>
      <c r="CY27" s="114"/>
      <c r="CZ27" s="115"/>
      <c r="DA27" s="115"/>
      <c r="DB27" s="115"/>
      <c r="DC27" s="114"/>
      <c r="DD27" s="115"/>
      <c r="DE27" s="97"/>
      <c r="DF27" s="269"/>
    </row>
    <row r="28" spans="1:255" s="273" customFormat="1" ht="24" x14ac:dyDescent="0.2">
      <c r="A28" s="89">
        <v>40554</v>
      </c>
      <c r="B28" s="90" t="s">
        <v>4350</v>
      </c>
      <c r="C28" s="90" t="s">
        <v>858</v>
      </c>
      <c r="D28" s="90" t="s">
        <v>2362</v>
      </c>
      <c r="E28" s="90" t="str">
        <f>VLOOKUP(B28&amp;C28,Divipola!$C$2:$F$1138,4,FALSE)</f>
        <v>63302</v>
      </c>
      <c r="F28" s="90"/>
      <c r="G28" s="101"/>
      <c r="H28" s="101">
        <v>1</v>
      </c>
      <c r="I28" s="101"/>
      <c r="J28" s="101"/>
      <c r="K28" s="101"/>
      <c r="L28" s="101"/>
      <c r="M28" s="101"/>
      <c r="N28" s="101"/>
      <c r="O28" s="101"/>
      <c r="P28" s="101"/>
      <c r="Q28" s="101"/>
      <c r="R28" s="101"/>
      <c r="S28" s="101"/>
      <c r="T28" s="101"/>
      <c r="U28" s="101"/>
      <c r="V28" s="101"/>
      <c r="W28" s="91" t="s">
        <v>305</v>
      </c>
      <c r="X28" s="89"/>
      <c r="Y28" s="92">
        <f t="shared" si="0"/>
        <v>0</v>
      </c>
      <c r="Z28" s="92">
        <f t="shared" si="1"/>
        <v>0</v>
      </c>
      <c r="AA28" s="92">
        <f t="shared" si="2"/>
        <v>0</v>
      </c>
      <c r="AB28" s="92">
        <f t="shared" si="3"/>
        <v>0</v>
      </c>
      <c r="AC28" s="92"/>
      <c r="AD28" s="92">
        <v>0</v>
      </c>
      <c r="AE28" s="92">
        <f t="shared" si="4"/>
        <v>0</v>
      </c>
      <c r="AF28" s="93">
        <v>0</v>
      </c>
      <c r="AG28" s="89">
        <v>40554</v>
      </c>
      <c r="AH28" s="94"/>
      <c r="AI28" s="95" t="s">
        <v>4336</v>
      </c>
      <c r="AJ28" s="96" t="s">
        <v>4337</v>
      </c>
      <c r="AK28" s="97"/>
      <c r="AL28" s="89"/>
      <c r="AM28" s="100" t="s">
        <v>304</v>
      </c>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114"/>
      <c r="CQ28" s="115"/>
      <c r="CR28" s="114"/>
      <c r="CS28" s="115"/>
      <c r="CT28" s="114"/>
      <c r="CU28" s="115"/>
      <c r="CV28" s="99">
        <f t="shared" si="5"/>
        <v>0</v>
      </c>
      <c r="CW28" s="114"/>
      <c r="CX28" s="115"/>
      <c r="CY28" s="114"/>
      <c r="CZ28" s="115"/>
      <c r="DA28" s="115"/>
      <c r="DB28" s="115"/>
      <c r="DC28" s="114"/>
      <c r="DD28" s="115"/>
      <c r="DE28" s="97"/>
      <c r="DF28" s="269"/>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row>
    <row r="29" spans="1:255" s="270" customFormat="1" ht="24" x14ac:dyDescent="0.2">
      <c r="A29" s="89">
        <v>40554</v>
      </c>
      <c r="B29" s="90" t="s">
        <v>3316</v>
      </c>
      <c r="C29" s="90" t="s">
        <v>61</v>
      </c>
      <c r="D29" s="90" t="s">
        <v>4264</v>
      </c>
      <c r="E29" s="90" t="str">
        <f>VLOOKUP(B29&amp;C29,Divipola!$C$2:$F$1138,4,FALSE)</f>
        <v>73024</v>
      </c>
      <c r="F29" s="90"/>
      <c r="G29" s="101"/>
      <c r="H29" s="101"/>
      <c r="I29" s="101"/>
      <c r="J29" s="101">
        <f>400*5</f>
        <v>2000</v>
      </c>
      <c r="K29" s="101">
        <v>400</v>
      </c>
      <c r="L29" s="101"/>
      <c r="M29" s="101"/>
      <c r="N29" s="101"/>
      <c r="O29" s="101"/>
      <c r="P29" s="101">
        <v>2</v>
      </c>
      <c r="Q29" s="101"/>
      <c r="R29" s="101"/>
      <c r="S29" s="101"/>
      <c r="T29" s="101">
        <v>3</v>
      </c>
      <c r="U29" s="101"/>
      <c r="V29" s="101">
        <v>245</v>
      </c>
      <c r="W29" s="91"/>
      <c r="X29" s="89"/>
      <c r="Y29" s="92">
        <f t="shared" si="0"/>
        <v>0</v>
      </c>
      <c r="Z29" s="92">
        <f t="shared" si="1"/>
        <v>0</v>
      </c>
      <c r="AA29" s="92">
        <f t="shared" si="2"/>
        <v>0</v>
      </c>
      <c r="AB29" s="92">
        <f t="shared" si="3"/>
        <v>0</v>
      </c>
      <c r="AC29" s="92"/>
      <c r="AD29" s="92">
        <v>0</v>
      </c>
      <c r="AE29" s="92">
        <f t="shared" si="4"/>
        <v>0</v>
      </c>
      <c r="AF29" s="93">
        <v>0</v>
      </c>
      <c r="AG29" s="89">
        <v>40554</v>
      </c>
      <c r="AH29" s="94"/>
      <c r="AI29" s="102" t="s">
        <v>4336</v>
      </c>
      <c r="AJ29" s="96" t="s">
        <v>4337</v>
      </c>
      <c r="AK29" s="97"/>
      <c r="AL29" s="89"/>
      <c r="AM29" s="100" t="s">
        <v>908</v>
      </c>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114"/>
      <c r="CQ29" s="115"/>
      <c r="CR29" s="114"/>
      <c r="CS29" s="115"/>
      <c r="CT29" s="114"/>
      <c r="CU29" s="115"/>
      <c r="CV29" s="99">
        <f t="shared" si="5"/>
        <v>0</v>
      </c>
      <c r="CW29" s="114"/>
      <c r="CX29" s="115"/>
      <c r="CY29" s="114"/>
      <c r="CZ29" s="115"/>
      <c r="DA29" s="115"/>
      <c r="DB29" s="115"/>
      <c r="DC29" s="114"/>
      <c r="DD29" s="115"/>
      <c r="DE29" s="97"/>
      <c r="DF29" s="269"/>
    </row>
    <row r="30" spans="1:255" s="270" customFormat="1" x14ac:dyDescent="0.2">
      <c r="A30" s="89">
        <v>40555</v>
      </c>
      <c r="B30" s="90" t="s">
        <v>3533</v>
      </c>
      <c r="C30" s="90" t="s">
        <v>4242</v>
      </c>
      <c r="D30" s="90" t="s">
        <v>4264</v>
      </c>
      <c r="E30" s="90" t="str">
        <f>VLOOKUP(B30&amp;C30,Divipola!$C$2:$F$1138,4,FALSE)</f>
        <v>17873</v>
      </c>
      <c r="F30" s="90"/>
      <c r="G30" s="101">
        <v>1</v>
      </c>
      <c r="H30" s="101"/>
      <c r="I30" s="101"/>
      <c r="J30" s="101"/>
      <c r="K30" s="101"/>
      <c r="L30" s="101"/>
      <c r="M30" s="101"/>
      <c r="N30" s="101"/>
      <c r="O30" s="101"/>
      <c r="P30" s="101"/>
      <c r="Q30" s="101"/>
      <c r="R30" s="101"/>
      <c r="S30" s="101"/>
      <c r="T30" s="101"/>
      <c r="U30" s="101"/>
      <c r="V30" s="101"/>
      <c r="W30" s="91"/>
      <c r="X30" s="89"/>
      <c r="Y30" s="92">
        <f t="shared" si="0"/>
        <v>0</v>
      </c>
      <c r="Z30" s="92">
        <f t="shared" si="1"/>
        <v>0</v>
      </c>
      <c r="AA30" s="92">
        <f t="shared" si="2"/>
        <v>0</v>
      </c>
      <c r="AB30" s="92">
        <f t="shared" si="3"/>
        <v>0</v>
      </c>
      <c r="AC30" s="92"/>
      <c r="AD30" s="92">
        <v>0</v>
      </c>
      <c r="AE30" s="92">
        <f t="shared" si="4"/>
        <v>0</v>
      </c>
      <c r="AF30" s="93">
        <v>0</v>
      </c>
      <c r="AG30" s="89">
        <v>40563</v>
      </c>
      <c r="AH30" s="94"/>
      <c r="AI30" s="95" t="s">
        <v>4336</v>
      </c>
      <c r="AJ30" s="96" t="s">
        <v>4337</v>
      </c>
      <c r="AK30" s="97"/>
      <c r="AL30" s="89"/>
      <c r="AM30" s="100" t="s">
        <v>3347</v>
      </c>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114"/>
      <c r="CQ30" s="115"/>
      <c r="CR30" s="114"/>
      <c r="CS30" s="115"/>
      <c r="CT30" s="114"/>
      <c r="CU30" s="115"/>
      <c r="CV30" s="99">
        <f t="shared" si="5"/>
        <v>0</v>
      </c>
      <c r="CW30" s="114"/>
      <c r="CX30" s="115"/>
      <c r="CY30" s="114"/>
      <c r="CZ30" s="115"/>
      <c r="DA30" s="115"/>
      <c r="DB30" s="115"/>
      <c r="DC30" s="114"/>
      <c r="DD30" s="115"/>
      <c r="DE30" s="97"/>
      <c r="DF30" s="269"/>
    </row>
    <row r="31" spans="1:255" s="270" customFormat="1" ht="22.5" x14ac:dyDescent="0.2">
      <c r="A31" s="89">
        <v>40555</v>
      </c>
      <c r="B31" s="90" t="s">
        <v>4387</v>
      </c>
      <c r="C31" s="90" t="s">
        <v>4279</v>
      </c>
      <c r="D31" s="90" t="s">
        <v>4298</v>
      </c>
      <c r="E31" s="90" t="str">
        <f>VLOOKUP(B31&amp;C31,Divipola!$C$2:$F$1138,4,FALSE)</f>
        <v>52079</v>
      </c>
      <c r="F31" s="90"/>
      <c r="G31" s="101"/>
      <c r="H31" s="101"/>
      <c r="I31" s="101"/>
      <c r="J31" s="101">
        <v>40</v>
      </c>
      <c r="K31" s="101">
        <v>8</v>
      </c>
      <c r="L31" s="101">
        <v>3</v>
      </c>
      <c r="M31" s="101">
        <v>5</v>
      </c>
      <c r="N31" s="101"/>
      <c r="O31" s="101"/>
      <c r="P31" s="101"/>
      <c r="Q31" s="101"/>
      <c r="R31" s="101"/>
      <c r="S31" s="101"/>
      <c r="T31" s="101"/>
      <c r="U31" s="101"/>
      <c r="V31" s="101"/>
      <c r="W31" s="91"/>
      <c r="X31" s="89"/>
      <c r="Y31" s="92">
        <f t="shared" si="0"/>
        <v>0</v>
      </c>
      <c r="Z31" s="92">
        <f t="shared" si="1"/>
        <v>0</v>
      </c>
      <c r="AA31" s="92">
        <f t="shared" si="2"/>
        <v>0</v>
      </c>
      <c r="AB31" s="92">
        <f t="shared" si="3"/>
        <v>0</v>
      </c>
      <c r="AC31" s="92"/>
      <c r="AD31" s="92">
        <v>0</v>
      </c>
      <c r="AE31" s="92">
        <f t="shared" si="4"/>
        <v>0</v>
      </c>
      <c r="AF31" s="93">
        <v>0</v>
      </c>
      <c r="AG31" s="89">
        <v>40563</v>
      </c>
      <c r="AH31" s="94"/>
      <c r="AI31" s="95" t="s">
        <v>4336</v>
      </c>
      <c r="AJ31" s="96" t="s">
        <v>4337</v>
      </c>
      <c r="AK31" s="97"/>
      <c r="AL31" s="89"/>
      <c r="AM31" s="100" t="s">
        <v>3347</v>
      </c>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114"/>
      <c r="CQ31" s="115"/>
      <c r="CR31" s="114"/>
      <c r="CS31" s="115"/>
      <c r="CT31" s="114"/>
      <c r="CU31" s="115"/>
      <c r="CV31" s="99">
        <f t="shared" si="5"/>
        <v>0</v>
      </c>
      <c r="CW31" s="114"/>
      <c r="CX31" s="115"/>
      <c r="CY31" s="114"/>
      <c r="CZ31" s="115"/>
      <c r="DA31" s="115"/>
      <c r="DB31" s="115"/>
      <c r="DC31" s="114"/>
      <c r="DD31" s="115"/>
      <c r="DE31" s="97"/>
      <c r="DF31" s="269"/>
    </row>
    <row r="32" spans="1:255" s="270" customFormat="1" ht="48" x14ac:dyDescent="0.2">
      <c r="A32" s="89">
        <v>40557</v>
      </c>
      <c r="B32" s="90" t="s">
        <v>4261</v>
      </c>
      <c r="C32" s="90" t="s">
        <v>4260</v>
      </c>
      <c r="D32" s="90" t="s">
        <v>4264</v>
      </c>
      <c r="E32" s="90" t="str">
        <f>VLOOKUP(B32&amp;C32,Divipola!$C$2:$F$1138,4,FALSE)</f>
        <v>15673</v>
      </c>
      <c r="F32" s="4"/>
      <c r="G32" s="274"/>
      <c r="H32" s="274"/>
      <c r="I32" s="274"/>
      <c r="J32" s="124">
        <v>70</v>
      </c>
      <c r="K32" s="124">
        <v>14</v>
      </c>
      <c r="L32" s="124"/>
      <c r="M32" s="124">
        <v>1</v>
      </c>
      <c r="N32" s="208"/>
      <c r="O32" s="208"/>
      <c r="P32" s="208"/>
      <c r="Q32" s="208"/>
      <c r="R32" s="208"/>
      <c r="S32" s="208"/>
      <c r="T32" s="208"/>
      <c r="U32" s="208"/>
      <c r="V32" s="208"/>
      <c r="W32" s="19"/>
      <c r="X32" s="17"/>
      <c r="Y32" s="5">
        <f t="shared" si="0"/>
        <v>0</v>
      </c>
      <c r="Z32" s="5">
        <f t="shared" si="1"/>
        <v>0</v>
      </c>
      <c r="AA32" s="5">
        <f t="shared" si="2"/>
        <v>0</v>
      </c>
      <c r="AB32" s="5">
        <f t="shared" si="3"/>
        <v>0</v>
      </c>
      <c r="AC32" s="5"/>
      <c r="AD32" s="5">
        <v>0</v>
      </c>
      <c r="AE32" s="5">
        <f t="shared" si="4"/>
        <v>0</v>
      </c>
      <c r="AF32" s="70">
        <v>0</v>
      </c>
      <c r="AG32" s="17"/>
      <c r="AH32" s="18"/>
      <c r="AI32" s="47" t="s">
        <v>4336</v>
      </c>
      <c r="AJ32" s="73" t="s">
        <v>4337</v>
      </c>
      <c r="AK32" s="275"/>
      <c r="AL32" s="276"/>
      <c r="AM32" s="100" t="s">
        <v>1905</v>
      </c>
      <c r="AN32" s="19"/>
      <c r="AO32" s="19"/>
      <c r="AP32" s="19"/>
      <c r="AQ32" s="19"/>
      <c r="AR32" s="19"/>
      <c r="AS32" s="19"/>
      <c r="AT32" s="19"/>
      <c r="AU32" s="19"/>
      <c r="AV32" s="19"/>
      <c r="AW32" s="19"/>
      <c r="AX32" s="107"/>
      <c r="AY32" s="107"/>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39"/>
      <c r="CO32" s="138"/>
      <c r="CP32" s="139"/>
      <c r="CQ32" s="138"/>
      <c r="CR32" s="139"/>
      <c r="CS32" s="138"/>
      <c r="CT32" s="72"/>
      <c r="CU32" s="139"/>
      <c r="CV32" s="99">
        <f t="shared" si="5"/>
        <v>0</v>
      </c>
      <c r="CW32" s="139"/>
      <c r="CX32" s="138"/>
      <c r="CY32" s="138"/>
      <c r="CZ32" s="138"/>
      <c r="DA32" s="139"/>
      <c r="DB32" s="138"/>
      <c r="DC32" s="45"/>
      <c r="DD32" s="138"/>
      <c r="DE32" s="45"/>
      <c r="DF32" s="269"/>
    </row>
    <row r="33" spans="1:255" s="270" customFormat="1" ht="22.5" x14ac:dyDescent="0.2">
      <c r="A33" s="89">
        <v>40557</v>
      </c>
      <c r="B33" s="90" t="s">
        <v>4387</v>
      </c>
      <c r="C33" s="90" t="s">
        <v>966</v>
      </c>
      <c r="D33" s="90" t="s">
        <v>4264</v>
      </c>
      <c r="E33" s="90" t="str">
        <f>VLOOKUP(B33&amp;C33,Divipola!$C$2:$F$1138,4,FALSE)</f>
        <v>52520</v>
      </c>
      <c r="F33" s="90"/>
      <c r="G33" s="101"/>
      <c r="H33" s="101"/>
      <c r="I33" s="101"/>
      <c r="J33" s="101">
        <v>366</v>
      </c>
      <c r="K33" s="101">
        <v>77</v>
      </c>
      <c r="L33" s="101"/>
      <c r="M33" s="101">
        <v>77</v>
      </c>
      <c r="N33" s="101"/>
      <c r="O33" s="101"/>
      <c r="P33" s="101"/>
      <c r="Q33" s="101"/>
      <c r="R33" s="101"/>
      <c r="S33" s="101"/>
      <c r="T33" s="101"/>
      <c r="U33" s="101"/>
      <c r="V33" s="101"/>
      <c r="W33" s="91"/>
      <c r="X33" s="89"/>
      <c r="Y33" s="92">
        <f t="shared" si="0"/>
        <v>0</v>
      </c>
      <c r="Z33" s="92">
        <f t="shared" si="1"/>
        <v>0</v>
      </c>
      <c r="AA33" s="92">
        <f t="shared" si="2"/>
        <v>0</v>
      </c>
      <c r="AB33" s="92">
        <f t="shared" si="3"/>
        <v>0</v>
      </c>
      <c r="AC33" s="92"/>
      <c r="AD33" s="92">
        <v>0</v>
      </c>
      <c r="AE33" s="92">
        <f t="shared" si="4"/>
        <v>0</v>
      </c>
      <c r="AF33" s="93">
        <v>0</v>
      </c>
      <c r="AG33" s="89">
        <v>40561</v>
      </c>
      <c r="AH33" s="94"/>
      <c r="AI33" s="95" t="s">
        <v>4336</v>
      </c>
      <c r="AJ33" s="96" t="s">
        <v>4337</v>
      </c>
      <c r="AK33" s="97"/>
      <c r="AL33" s="89"/>
      <c r="AM33" s="100" t="s">
        <v>3494</v>
      </c>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114"/>
      <c r="CQ33" s="115"/>
      <c r="CR33" s="114"/>
      <c r="CS33" s="115"/>
      <c r="CT33" s="114"/>
      <c r="CU33" s="115"/>
      <c r="CV33" s="99">
        <f t="shared" si="5"/>
        <v>0</v>
      </c>
      <c r="CW33" s="114"/>
      <c r="CX33" s="115"/>
      <c r="CY33" s="114"/>
      <c r="CZ33" s="115"/>
      <c r="DA33" s="115"/>
      <c r="DB33" s="115"/>
      <c r="DC33" s="114"/>
      <c r="DD33" s="115"/>
      <c r="DE33" s="97"/>
      <c r="DF33" s="269"/>
    </row>
    <row r="34" spans="1:255" s="270" customFormat="1" x14ac:dyDescent="0.2">
      <c r="A34" s="89">
        <v>40557</v>
      </c>
      <c r="B34" s="90" t="s">
        <v>4387</v>
      </c>
      <c r="C34" s="90" t="s">
        <v>965</v>
      </c>
      <c r="D34" s="90" t="s">
        <v>2362</v>
      </c>
      <c r="E34" s="90" t="str">
        <f>VLOOKUP(B34&amp;C34,Divipola!$C$2:$F$1138,4,FALSE)</f>
        <v>52418</v>
      </c>
      <c r="F34" s="90"/>
      <c r="G34" s="101"/>
      <c r="H34" s="101"/>
      <c r="I34" s="101"/>
      <c r="J34" s="101">
        <f>1185-913</f>
        <v>272</v>
      </c>
      <c r="K34" s="101">
        <f>302-235</f>
        <v>67</v>
      </c>
      <c r="L34" s="101">
        <v>2</v>
      </c>
      <c r="M34" s="101">
        <f>207-177</f>
        <v>30</v>
      </c>
      <c r="N34" s="101">
        <v>2</v>
      </c>
      <c r="O34" s="101"/>
      <c r="P34" s="101"/>
      <c r="Q34" s="101"/>
      <c r="R34" s="101"/>
      <c r="S34" s="101"/>
      <c r="T34" s="101"/>
      <c r="U34" s="101"/>
      <c r="V34" s="101"/>
      <c r="W34" s="91"/>
      <c r="X34" s="89"/>
      <c r="Y34" s="92">
        <f t="shared" si="0"/>
        <v>0</v>
      </c>
      <c r="Z34" s="92">
        <f t="shared" si="1"/>
        <v>0</v>
      </c>
      <c r="AA34" s="92">
        <f t="shared" si="2"/>
        <v>0</v>
      </c>
      <c r="AB34" s="92">
        <f t="shared" si="3"/>
        <v>0</v>
      </c>
      <c r="AC34" s="92"/>
      <c r="AD34" s="92">
        <v>0</v>
      </c>
      <c r="AE34" s="92">
        <f t="shared" si="4"/>
        <v>0</v>
      </c>
      <c r="AF34" s="93">
        <v>0</v>
      </c>
      <c r="AG34" s="89">
        <v>40561</v>
      </c>
      <c r="AH34" s="94"/>
      <c r="AI34" s="95" t="s">
        <v>4336</v>
      </c>
      <c r="AJ34" s="96" t="s">
        <v>4337</v>
      </c>
      <c r="AK34" s="97"/>
      <c r="AL34" s="89"/>
      <c r="AM34" s="100" t="s">
        <v>3494</v>
      </c>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114"/>
      <c r="CQ34" s="115"/>
      <c r="CR34" s="114"/>
      <c r="CS34" s="115"/>
      <c r="CT34" s="114"/>
      <c r="CU34" s="115"/>
      <c r="CV34" s="99">
        <f t="shared" si="5"/>
        <v>0</v>
      </c>
      <c r="CW34" s="114"/>
      <c r="CX34" s="115"/>
      <c r="CY34" s="114"/>
      <c r="CZ34" s="115"/>
      <c r="DA34" s="115"/>
      <c r="DB34" s="115"/>
      <c r="DC34" s="114"/>
      <c r="DD34" s="115"/>
      <c r="DE34" s="97"/>
      <c r="DF34" s="269"/>
    </row>
    <row r="35" spans="1:255" s="270" customFormat="1" x14ac:dyDescent="0.2">
      <c r="A35" s="89">
        <v>40558</v>
      </c>
      <c r="B35" s="90" t="s">
        <v>4344</v>
      </c>
      <c r="C35" s="90" t="s">
        <v>3470</v>
      </c>
      <c r="D35" s="90" t="s">
        <v>4264</v>
      </c>
      <c r="E35" s="90" t="str">
        <f>VLOOKUP(B35&amp;C35,Divipola!$C$2:$F$1138,4,FALSE)</f>
        <v>25649</v>
      </c>
      <c r="F35" s="90"/>
      <c r="G35" s="101"/>
      <c r="H35" s="101"/>
      <c r="I35" s="101"/>
      <c r="J35" s="101">
        <f>249*4</f>
        <v>996</v>
      </c>
      <c r="K35" s="101">
        <v>249</v>
      </c>
      <c r="L35" s="101"/>
      <c r="M35" s="101"/>
      <c r="N35" s="101"/>
      <c r="O35" s="101"/>
      <c r="P35" s="101"/>
      <c r="Q35" s="101"/>
      <c r="R35" s="101"/>
      <c r="S35" s="101"/>
      <c r="T35" s="101"/>
      <c r="U35" s="101"/>
      <c r="V35" s="101"/>
      <c r="W35" s="91"/>
      <c r="X35" s="89"/>
      <c r="Y35" s="92">
        <f t="shared" si="0"/>
        <v>0</v>
      </c>
      <c r="Z35" s="92">
        <f t="shared" si="1"/>
        <v>0</v>
      </c>
      <c r="AA35" s="92">
        <f t="shared" si="2"/>
        <v>0</v>
      </c>
      <c r="AB35" s="92">
        <f t="shared" si="3"/>
        <v>0</v>
      </c>
      <c r="AC35" s="92"/>
      <c r="AD35" s="92">
        <v>0</v>
      </c>
      <c r="AE35" s="92">
        <f t="shared" si="4"/>
        <v>0</v>
      </c>
      <c r="AF35" s="93">
        <v>0</v>
      </c>
      <c r="AG35" s="89">
        <v>40612</v>
      </c>
      <c r="AH35" s="94"/>
      <c r="AI35" s="102" t="s">
        <v>4336</v>
      </c>
      <c r="AJ35" s="96" t="s">
        <v>4337</v>
      </c>
      <c r="AK35" s="97"/>
      <c r="AL35" s="89"/>
      <c r="AM35" s="100" t="s">
        <v>3238</v>
      </c>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114"/>
      <c r="CQ35" s="115"/>
      <c r="CR35" s="114"/>
      <c r="CS35" s="115"/>
      <c r="CT35" s="114"/>
      <c r="CU35" s="115"/>
      <c r="CV35" s="99">
        <f t="shared" si="5"/>
        <v>0</v>
      </c>
      <c r="CW35" s="114"/>
      <c r="CX35" s="115"/>
      <c r="CY35" s="114"/>
      <c r="CZ35" s="115"/>
      <c r="DA35" s="115"/>
      <c r="DB35" s="115"/>
      <c r="DC35" s="114"/>
      <c r="DD35" s="115"/>
      <c r="DE35" s="97"/>
      <c r="DF35" s="269"/>
    </row>
    <row r="36" spans="1:255" s="270" customFormat="1" ht="24" x14ac:dyDescent="0.2">
      <c r="A36" s="89">
        <v>40558</v>
      </c>
      <c r="B36" s="90" t="s">
        <v>4221</v>
      </c>
      <c r="C36" s="90" t="s">
        <v>3392</v>
      </c>
      <c r="D36" s="90" t="s">
        <v>2362</v>
      </c>
      <c r="E36" s="90" t="str">
        <f>VLOOKUP(B36&amp;C36,Divipola!$C$2:$F$1138,4,FALSE)</f>
        <v>54172</v>
      </c>
      <c r="F36" s="90"/>
      <c r="G36" s="101"/>
      <c r="H36" s="101"/>
      <c r="I36" s="101"/>
      <c r="J36" s="101">
        <v>25</v>
      </c>
      <c r="K36" s="101">
        <v>5</v>
      </c>
      <c r="L36" s="101"/>
      <c r="M36" s="101">
        <v>5</v>
      </c>
      <c r="N36" s="101"/>
      <c r="O36" s="101"/>
      <c r="P36" s="101"/>
      <c r="Q36" s="101"/>
      <c r="R36" s="101"/>
      <c r="S36" s="101"/>
      <c r="T36" s="101"/>
      <c r="U36" s="101"/>
      <c r="V36" s="101"/>
      <c r="W36" s="91"/>
      <c r="X36" s="89"/>
      <c r="Y36" s="92">
        <f t="shared" si="0"/>
        <v>0</v>
      </c>
      <c r="Z36" s="92">
        <f t="shared" si="1"/>
        <v>0</v>
      </c>
      <c r="AA36" s="92">
        <f t="shared" si="2"/>
        <v>0</v>
      </c>
      <c r="AB36" s="92">
        <f t="shared" si="3"/>
        <v>0</v>
      </c>
      <c r="AC36" s="92"/>
      <c r="AD36" s="92">
        <v>0</v>
      </c>
      <c r="AE36" s="92">
        <f t="shared" si="4"/>
        <v>0</v>
      </c>
      <c r="AF36" s="93">
        <v>0</v>
      </c>
      <c r="AG36" s="89">
        <v>40563</v>
      </c>
      <c r="AH36" s="94"/>
      <c r="AI36" s="102" t="s">
        <v>4336</v>
      </c>
      <c r="AJ36" s="96" t="s">
        <v>4337</v>
      </c>
      <c r="AK36" s="97"/>
      <c r="AL36" s="89"/>
      <c r="AM36" s="100" t="s">
        <v>1958</v>
      </c>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114"/>
      <c r="CQ36" s="115"/>
      <c r="CR36" s="114"/>
      <c r="CS36" s="115"/>
      <c r="CT36" s="114"/>
      <c r="CU36" s="115"/>
      <c r="CV36" s="99">
        <f t="shared" si="5"/>
        <v>0</v>
      </c>
      <c r="CW36" s="114"/>
      <c r="CX36" s="115"/>
      <c r="CY36" s="114"/>
      <c r="CZ36" s="115"/>
      <c r="DA36" s="115"/>
      <c r="DB36" s="115"/>
      <c r="DC36" s="114"/>
      <c r="DD36" s="115"/>
      <c r="DE36" s="97"/>
      <c r="DF36" s="269"/>
    </row>
    <row r="37" spans="1:255" s="270" customFormat="1" ht="36" x14ac:dyDescent="0.2">
      <c r="A37" s="89">
        <v>40559</v>
      </c>
      <c r="B37" s="90" t="s">
        <v>4344</v>
      </c>
      <c r="C37" s="90" t="s">
        <v>2155</v>
      </c>
      <c r="D37" s="90" t="s">
        <v>2362</v>
      </c>
      <c r="E37" s="90" t="str">
        <f>VLOOKUP(B37&amp;C37,Divipola!$C$2:$F$1138,4,FALSE)</f>
        <v>25328</v>
      </c>
      <c r="F37" s="90"/>
      <c r="G37" s="101"/>
      <c r="H37" s="101"/>
      <c r="I37" s="101"/>
      <c r="J37" s="101">
        <v>184</v>
      </c>
      <c r="K37" s="101">
        <v>73</v>
      </c>
      <c r="L37" s="101">
        <v>5</v>
      </c>
      <c r="M37" s="101">
        <v>68</v>
      </c>
      <c r="N37" s="101"/>
      <c r="O37" s="101"/>
      <c r="P37" s="101"/>
      <c r="Q37" s="101"/>
      <c r="R37" s="101"/>
      <c r="S37" s="101"/>
      <c r="T37" s="101"/>
      <c r="U37" s="101"/>
      <c r="V37" s="101"/>
      <c r="W37" s="91"/>
      <c r="X37" s="89"/>
      <c r="Y37" s="92">
        <f t="shared" si="0"/>
        <v>0</v>
      </c>
      <c r="Z37" s="92">
        <f t="shared" si="1"/>
        <v>0</v>
      </c>
      <c r="AA37" s="92">
        <f t="shared" si="2"/>
        <v>0</v>
      </c>
      <c r="AB37" s="92">
        <f t="shared" si="3"/>
        <v>0</v>
      </c>
      <c r="AC37" s="92"/>
      <c r="AD37" s="92">
        <v>0</v>
      </c>
      <c r="AE37" s="92">
        <f t="shared" si="4"/>
        <v>0</v>
      </c>
      <c r="AF37" s="93">
        <v>0</v>
      </c>
      <c r="AG37" s="89">
        <v>40561</v>
      </c>
      <c r="AH37" s="94"/>
      <c r="AI37" s="102" t="s">
        <v>4336</v>
      </c>
      <c r="AJ37" s="96" t="s">
        <v>4337</v>
      </c>
      <c r="AK37" s="97"/>
      <c r="AL37" s="89"/>
      <c r="AM37" s="100" t="s">
        <v>1963</v>
      </c>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114"/>
      <c r="CQ37" s="115"/>
      <c r="CR37" s="114"/>
      <c r="CS37" s="115"/>
      <c r="CT37" s="114"/>
      <c r="CU37" s="115"/>
      <c r="CV37" s="99">
        <f t="shared" si="5"/>
        <v>0</v>
      </c>
      <c r="CW37" s="114"/>
      <c r="CX37" s="115"/>
      <c r="CY37" s="114"/>
      <c r="CZ37" s="115"/>
      <c r="DA37" s="115"/>
      <c r="DB37" s="115"/>
      <c r="DC37" s="114"/>
      <c r="DD37" s="115"/>
      <c r="DE37" s="97"/>
      <c r="DF37" s="269"/>
    </row>
    <row r="38" spans="1:255" s="270" customFormat="1" ht="33.75" x14ac:dyDescent="0.2">
      <c r="A38" s="89">
        <v>40559</v>
      </c>
      <c r="B38" s="90" t="s">
        <v>2226</v>
      </c>
      <c r="C38" s="90" t="s">
        <v>4232</v>
      </c>
      <c r="D38" s="90" t="s">
        <v>4298</v>
      </c>
      <c r="E38" s="90" t="str">
        <f>VLOOKUP(B38&amp;C38,Divipola!$C$2:$F$1138,4,FALSE)</f>
        <v>68001</v>
      </c>
      <c r="F38" s="90"/>
      <c r="G38" s="101"/>
      <c r="H38" s="101"/>
      <c r="I38" s="101"/>
      <c r="J38" s="101"/>
      <c r="K38" s="101"/>
      <c r="L38" s="101"/>
      <c r="M38" s="101"/>
      <c r="N38" s="101"/>
      <c r="O38" s="101"/>
      <c r="P38" s="101"/>
      <c r="Q38" s="101"/>
      <c r="R38" s="101"/>
      <c r="S38" s="101"/>
      <c r="T38" s="101"/>
      <c r="U38" s="101"/>
      <c r="V38" s="101"/>
      <c r="W38" s="91" t="s">
        <v>1961</v>
      </c>
      <c r="X38" s="89"/>
      <c r="Y38" s="92">
        <f t="shared" si="0"/>
        <v>0</v>
      </c>
      <c r="Z38" s="92">
        <f t="shared" si="1"/>
        <v>0</v>
      </c>
      <c r="AA38" s="92">
        <f t="shared" si="2"/>
        <v>0</v>
      </c>
      <c r="AB38" s="92">
        <f t="shared" si="3"/>
        <v>0</v>
      </c>
      <c r="AC38" s="92"/>
      <c r="AD38" s="92">
        <v>0</v>
      </c>
      <c r="AE38" s="92">
        <f t="shared" si="4"/>
        <v>0</v>
      </c>
      <c r="AF38" s="93">
        <v>0</v>
      </c>
      <c r="AG38" s="89">
        <v>40563</v>
      </c>
      <c r="AH38" s="94"/>
      <c r="AI38" s="95" t="s">
        <v>4336</v>
      </c>
      <c r="AJ38" s="96" t="s">
        <v>4337</v>
      </c>
      <c r="AK38" s="97"/>
      <c r="AL38" s="89"/>
      <c r="AM38" s="100" t="s">
        <v>1962</v>
      </c>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114"/>
      <c r="CQ38" s="115"/>
      <c r="CR38" s="114"/>
      <c r="CS38" s="115"/>
      <c r="CT38" s="114"/>
      <c r="CU38" s="115"/>
      <c r="CV38" s="99">
        <f t="shared" si="5"/>
        <v>0</v>
      </c>
      <c r="CW38" s="114"/>
      <c r="CX38" s="115"/>
      <c r="CY38" s="114"/>
      <c r="CZ38" s="115"/>
      <c r="DA38" s="115"/>
      <c r="DB38" s="115"/>
      <c r="DC38" s="114"/>
      <c r="DD38" s="115"/>
      <c r="DE38" s="97"/>
      <c r="DF38" s="269"/>
    </row>
    <row r="39" spans="1:255" s="270" customFormat="1" x14ac:dyDescent="0.2">
      <c r="A39" s="89">
        <v>40560</v>
      </c>
      <c r="B39" s="90" t="s">
        <v>4387</v>
      </c>
      <c r="C39" s="90" t="s">
        <v>3330</v>
      </c>
      <c r="D39" s="90" t="s">
        <v>2362</v>
      </c>
      <c r="E39" s="90" t="str">
        <f>VLOOKUP(B39&amp;C39,Divipola!$C$2:$F$1138,4,FALSE)</f>
        <v>52678</v>
      </c>
      <c r="F39" s="90"/>
      <c r="G39" s="101"/>
      <c r="H39" s="101"/>
      <c r="I39" s="101"/>
      <c r="J39" s="101">
        <v>81</v>
      </c>
      <c r="K39" s="101">
        <v>35</v>
      </c>
      <c r="L39" s="101">
        <v>17</v>
      </c>
      <c r="M39" s="101"/>
      <c r="N39" s="101"/>
      <c r="O39" s="101"/>
      <c r="P39" s="101"/>
      <c r="Q39" s="101"/>
      <c r="R39" s="101"/>
      <c r="S39" s="101"/>
      <c r="T39" s="101"/>
      <c r="U39" s="101"/>
      <c r="V39" s="101"/>
      <c r="W39" s="91"/>
      <c r="X39" s="89"/>
      <c r="Y39" s="92">
        <f t="shared" si="0"/>
        <v>0</v>
      </c>
      <c r="Z39" s="92">
        <f t="shared" si="1"/>
        <v>0</v>
      </c>
      <c r="AA39" s="92">
        <f t="shared" si="2"/>
        <v>0</v>
      </c>
      <c r="AB39" s="92">
        <f t="shared" si="3"/>
        <v>0</v>
      </c>
      <c r="AC39" s="92"/>
      <c r="AD39" s="92">
        <v>0</v>
      </c>
      <c r="AE39" s="92">
        <f t="shared" si="4"/>
        <v>0</v>
      </c>
      <c r="AF39" s="93">
        <v>0</v>
      </c>
      <c r="AG39" s="89">
        <v>40561</v>
      </c>
      <c r="AH39" s="94"/>
      <c r="AI39" s="95" t="s">
        <v>4336</v>
      </c>
      <c r="AJ39" s="96" t="s">
        <v>4337</v>
      </c>
      <c r="AK39" s="97"/>
      <c r="AL39" s="89"/>
      <c r="AM39" s="100" t="s">
        <v>3530</v>
      </c>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114"/>
      <c r="CQ39" s="115"/>
      <c r="CR39" s="114"/>
      <c r="CS39" s="115"/>
      <c r="CT39" s="114"/>
      <c r="CU39" s="115"/>
      <c r="CV39" s="99">
        <f t="shared" si="5"/>
        <v>0</v>
      </c>
      <c r="CW39" s="114"/>
      <c r="CX39" s="115"/>
      <c r="CY39" s="114"/>
      <c r="CZ39" s="115"/>
      <c r="DA39" s="115"/>
      <c r="DB39" s="115"/>
      <c r="DC39" s="114"/>
      <c r="DD39" s="115"/>
      <c r="DE39" s="97"/>
      <c r="DF39" s="269"/>
    </row>
    <row r="40" spans="1:255" s="270" customFormat="1" ht="24" x14ac:dyDescent="0.2">
      <c r="A40" s="89">
        <v>40560</v>
      </c>
      <c r="B40" s="90" t="s">
        <v>4350</v>
      </c>
      <c r="C40" s="90" t="s">
        <v>4351</v>
      </c>
      <c r="D40" s="90" t="s">
        <v>4298</v>
      </c>
      <c r="E40" s="90" t="str">
        <f>VLOOKUP(B40&amp;C40,Divipola!$C$2:$F$1138,4,FALSE)</f>
        <v>63001</v>
      </c>
      <c r="F40" s="90"/>
      <c r="G40" s="101"/>
      <c r="H40" s="101">
        <v>1</v>
      </c>
      <c r="I40" s="101"/>
      <c r="J40" s="101">
        <v>5</v>
      </c>
      <c r="K40" s="101">
        <v>1</v>
      </c>
      <c r="L40" s="101">
        <v>1</v>
      </c>
      <c r="M40" s="101"/>
      <c r="N40" s="101"/>
      <c r="O40" s="101"/>
      <c r="P40" s="101"/>
      <c r="Q40" s="101"/>
      <c r="R40" s="101"/>
      <c r="S40" s="101"/>
      <c r="T40" s="101"/>
      <c r="U40" s="101"/>
      <c r="V40" s="101"/>
      <c r="W40" s="91"/>
      <c r="X40" s="89"/>
      <c r="Y40" s="92">
        <f t="shared" si="0"/>
        <v>0</v>
      </c>
      <c r="Z40" s="92">
        <f t="shared" si="1"/>
        <v>0</v>
      </c>
      <c r="AA40" s="92">
        <f t="shared" si="2"/>
        <v>0</v>
      </c>
      <c r="AB40" s="92">
        <f t="shared" si="3"/>
        <v>0</v>
      </c>
      <c r="AC40" s="92"/>
      <c r="AD40" s="92">
        <v>0</v>
      </c>
      <c r="AE40" s="92">
        <f t="shared" si="4"/>
        <v>0</v>
      </c>
      <c r="AF40" s="93">
        <v>0</v>
      </c>
      <c r="AG40" s="89">
        <v>40561</v>
      </c>
      <c r="AH40" s="94"/>
      <c r="AI40" s="95" t="s">
        <v>4336</v>
      </c>
      <c r="AJ40" s="96" t="s">
        <v>4337</v>
      </c>
      <c r="AK40" s="97"/>
      <c r="AL40" s="89"/>
      <c r="AM40" s="100" t="s">
        <v>3437</v>
      </c>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114"/>
      <c r="CQ40" s="115"/>
      <c r="CR40" s="114"/>
      <c r="CS40" s="115"/>
      <c r="CT40" s="114"/>
      <c r="CU40" s="115"/>
      <c r="CV40" s="99">
        <f t="shared" si="5"/>
        <v>0</v>
      </c>
      <c r="CW40" s="114"/>
      <c r="CX40" s="115"/>
      <c r="CY40" s="114"/>
      <c r="CZ40" s="115"/>
      <c r="DA40" s="115"/>
      <c r="DB40" s="115"/>
      <c r="DC40" s="114"/>
      <c r="DD40" s="115"/>
      <c r="DE40" s="97"/>
      <c r="DF40" s="269"/>
    </row>
    <row r="41" spans="1:255" s="270" customFormat="1" ht="24" x14ac:dyDescent="0.2">
      <c r="A41" s="89">
        <v>40561</v>
      </c>
      <c r="B41" s="90" t="s">
        <v>2225</v>
      </c>
      <c r="C41" s="90" t="s">
        <v>2205</v>
      </c>
      <c r="D41" s="90" t="s">
        <v>4264</v>
      </c>
      <c r="E41" s="90" t="str">
        <f>VLOOKUP(B41&amp;C41,Divipola!$C$2:$F$1138,4,FALSE)</f>
        <v>27001</v>
      </c>
      <c r="F41" s="90"/>
      <c r="G41" s="101"/>
      <c r="H41" s="101"/>
      <c r="I41" s="101"/>
      <c r="J41" s="101">
        <v>45</v>
      </c>
      <c r="K41" s="101">
        <v>13</v>
      </c>
      <c r="L41" s="101"/>
      <c r="M41" s="101"/>
      <c r="N41" s="101"/>
      <c r="O41" s="101"/>
      <c r="P41" s="101"/>
      <c r="Q41" s="101"/>
      <c r="R41" s="101"/>
      <c r="S41" s="101"/>
      <c r="T41" s="101"/>
      <c r="U41" s="101"/>
      <c r="V41" s="101"/>
      <c r="W41" s="91"/>
      <c r="X41" s="89"/>
      <c r="Y41" s="92">
        <f t="shared" si="0"/>
        <v>0</v>
      </c>
      <c r="Z41" s="92">
        <f t="shared" si="1"/>
        <v>0</v>
      </c>
      <c r="AA41" s="92">
        <f t="shared" si="2"/>
        <v>0</v>
      </c>
      <c r="AB41" s="92">
        <f t="shared" si="3"/>
        <v>0</v>
      </c>
      <c r="AC41" s="92"/>
      <c r="AD41" s="92">
        <v>0</v>
      </c>
      <c r="AE41" s="92">
        <f t="shared" si="4"/>
        <v>0</v>
      </c>
      <c r="AF41" s="93">
        <v>0</v>
      </c>
      <c r="AG41" s="89">
        <v>40573</v>
      </c>
      <c r="AH41" s="94"/>
      <c r="AI41" s="95" t="s">
        <v>4336</v>
      </c>
      <c r="AJ41" s="96" t="s">
        <v>4337</v>
      </c>
      <c r="AK41" s="97"/>
      <c r="AL41" s="89"/>
      <c r="AM41" s="100" t="s">
        <v>3438</v>
      </c>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114"/>
      <c r="CQ41" s="115"/>
      <c r="CR41" s="114"/>
      <c r="CS41" s="115"/>
      <c r="CT41" s="114"/>
      <c r="CU41" s="115"/>
      <c r="CV41" s="99">
        <f t="shared" si="5"/>
        <v>0</v>
      </c>
      <c r="CW41" s="114"/>
      <c r="CX41" s="115"/>
      <c r="CY41" s="114"/>
      <c r="CZ41" s="115"/>
      <c r="DA41" s="115"/>
      <c r="DB41" s="115"/>
      <c r="DC41" s="114"/>
      <c r="DD41" s="115"/>
      <c r="DE41" s="97"/>
      <c r="DF41" s="269"/>
    </row>
    <row r="42" spans="1:255" s="270" customFormat="1" x14ac:dyDescent="0.2">
      <c r="A42" s="89">
        <v>40561</v>
      </c>
      <c r="B42" s="90" t="s">
        <v>3316</v>
      </c>
      <c r="C42" s="90" t="s">
        <v>2276</v>
      </c>
      <c r="D42" s="90" t="s">
        <v>4264</v>
      </c>
      <c r="E42" s="90" t="str">
        <f>VLOOKUP(B42&amp;C42,Divipola!$C$2:$F$1138,4,FALSE)</f>
        <v>73678</v>
      </c>
      <c r="F42" s="90"/>
      <c r="G42" s="101"/>
      <c r="H42" s="101"/>
      <c r="I42" s="101"/>
      <c r="J42" s="101">
        <v>887</v>
      </c>
      <c r="K42" s="101">
        <v>197</v>
      </c>
      <c r="L42" s="101"/>
      <c r="M42" s="101">
        <v>197</v>
      </c>
      <c r="N42" s="101"/>
      <c r="O42" s="101"/>
      <c r="P42" s="101"/>
      <c r="Q42" s="101"/>
      <c r="R42" s="101"/>
      <c r="S42" s="101"/>
      <c r="T42" s="101"/>
      <c r="U42" s="101"/>
      <c r="V42" s="101"/>
      <c r="W42" s="91"/>
      <c r="X42" s="89"/>
      <c r="Y42" s="92">
        <f t="shared" si="0"/>
        <v>0</v>
      </c>
      <c r="Z42" s="92">
        <f t="shared" si="1"/>
        <v>0</v>
      </c>
      <c r="AA42" s="92">
        <f t="shared" si="2"/>
        <v>0</v>
      </c>
      <c r="AB42" s="92">
        <f t="shared" si="3"/>
        <v>0</v>
      </c>
      <c r="AC42" s="92"/>
      <c r="AD42" s="92">
        <v>0</v>
      </c>
      <c r="AE42" s="92">
        <f t="shared" si="4"/>
        <v>0</v>
      </c>
      <c r="AF42" s="93">
        <v>0</v>
      </c>
      <c r="AG42" s="89"/>
      <c r="AH42" s="94"/>
      <c r="AI42" s="102" t="s">
        <v>4336</v>
      </c>
      <c r="AJ42" s="96" t="s">
        <v>4337</v>
      </c>
      <c r="AK42" s="97"/>
      <c r="AL42" s="89"/>
      <c r="AM42" s="100" t="s">
        <v>3530</v>
      </c>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114"/>
      <c r="CQ42" s="115"/>
      <c r="CR42" s="114"/>
      <c r="CS42" s="115"/>
      <c r="CT42" s="114"/>
      <c r="CU42" s="115"/>
      <c r="CV42" s="99">
        <f t="shared" si="5"/>
        <v>0</v>
      </c>
      <c r="CW42" s="114"/>
      <c r="CX42" s="115"/>
      <c r="CY42" s="114"/>
      <c r="CZ42" s="115"/>
      <c r="DA42" s="115"/>
      <c r="DB42" s="115"/>
      <c r="DC42" s="114"/>
      <c r="DD42" s="115"/>
      <c r="DE42" s="97"/>
      <c r="DF42" s="269"/>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row>
    <row r="43" spans="1:255" s="270" customFormat="1" x14ac:dyDescent="0.2">
      <c r="A43" s="89">
        <v>40562</v>
      </c>
      <c r="B43" s="90" t="s">
        <v>4344</v>
      </c>
      <c r="C43" s="90" t="s">
        <v>842</v>
      </c>
      <c r="D43" s="90" t="s">
        <v>4264</v>
      </c>
      <c r="E43" s="90" t="str">
        <f>VLOOKUP(B43&amp;C43,Divipola!$C$2:$F$1138,4,FALSE)</f>
        <v>25823</v>
      </c>
      <c r="F43" s="90"/>
      <c r="G43" s="101"/>
      <c r="H43" s="101"/>
      <c r="I43" s="101"/>
      <c r="J43" s="101">
        <v>29</v>
      </c>
      <c r="K43" s="101">
        <v>9</v>
      </c>
      <c r="L43" s="101"/>
      <c r="M43" s="101"/>
      <c r="N43" s="101"/>
      <c r="O43" s="101"/>
      <c r="P43" s="101"/>
      <c r="Q43" s="101"/>
      <c r="R43" s="101"/>
      <c r="S43" s="101"/>
      <c r="T43" s="101"/>
      <c r="U43" s="101"/>
      <c r="V43" s="101"/>
      <c r="W43" s="91"/>
      <c r="X43" s="89"/>
      <c r="Y43" s="92">
        <f t="shared" si="0"/>
        <v>0</v>
      </c>
      <c r="Z43" s="92">
        <f t="shared" si="1"/>
        <v>0</v>
      </c>
      <c r="AA43" s="92">
        <f t="shared" si="2"/>
        <v>0</v>
      </c>
      <c r="AB43" s="92">
        <f t="shared" si="3"/>
        <v>0</v>
      </c>
      <c r="AC43" s="92"/>
      <c r="AD43" s="92">
        <v>0</v>
      </c>
      <c r="AE43" s="92">
        <f t="shared" si="4"/>
        <v>0</v>
      </c>
      <c r="AF43" s="93">
        <v>0</v>
      </c>
      <c r="AG43" s="89">
        <v>40612</v>
      </c>
      <c r="AH43" s="94"/>
      <c r="AI43" s="102" t="s">
        <v>4336</v>
      </c>
      <c r="AJ43" s="96" t="s">
        <v>4337</v>
      </c>
      <c r="AK43" s="97"/>
      <c r="AL43" s="89"/>
      <c r="AM43" s="100" t="s">
        <v>3238</v>
      </c>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114"/>
      <c r="CQ43" s="115"/>
      <c r="CR43" s="114"/>
      <c r="CS43" s="115"/>
      <c r="CT43" s="114"/>
      <c r="CU43" s="115"/>
      <c r="CV43" s="99">
        <f t="shared" si="5"/>
        <v>0</v>
      </c>
      <c r="CW43" s="114"/>
      <c r="CX43" s="115"/>
      <c r="CY43" s="114"/>
      <c r="CZ43" s="115"/>
      <c r="DA43" s="115"/>
      <c r="DB43" s="115"/>
      <c r="DC43" s="114"/>
      <c r="DD43" s="115"/>
      <c r="DE43" s="97"/>
      <c r="DF43" s="269"/>
    </row>
    <row r="44" spans="1:255" s="270" customFormat="1" ht="84" x14ac:dyDescent="0.2">
      <c r="A44" s="89">
        <v>40563</v>
      </c>
      <c r="B44" s="90" t="s">
        <v>4352</v>
      </c>
      <c r="C44" s="90" t="s">
        <v>4318</v>
      </c>
      <c r="D44" s="90" t="s">
        <v>4264</v>
      </c>
      <c r="E44" s="90" t="str">
        <f>VLOOKUP(B44&amp;C44,Divipola!$C$2:$F$1138,4,FALSE)</f>
        <v>13549</v>
      </c>
      <c r="F44" s="90"/>
      <c r="G44" s="101"/>
      <c r="H44" s="101"/>
      <c r="I44" s="101"/>
      <c r="J44" s="101"/>
      <c r="K44" s="101"/>
      <c r="L44" s="101"/>
      <c r="M44" s="101"/>
      <c r="N44" s="101"/>
      <c r="O44" s="101"/>
      <c r="P44" s="101"/>
      <c r="Q44" s="101"/>
      <c r="R44" s="101"/>
      <c r="S44" s="101"/>
      <c r="T44" s="101"/>
      <c r="U44" s="101"/>
      <c r="V44" s="101"/>
      <c r="W44" s="91"/>
      <c r="X44" s="89">
        <v>40567</v>
      </c>
      <c r="Y44" s="92">
        <f t="shared" si="0"/>
        <v>0</v>
      </c>
      <c r="Z44" s="92">
        <f t="shared" si="1"/>
        <v>0</v>
      </c>
      <c r="AA44" s="92">
        <f t="shared" si="2"/>
        <v>0</v>
      </c>
      <c r="AB44" s="92">
        <f t="shared" si="3"/>
        <v>0</v>
      </c>
      <c r="AC44" s="92"/>
      <c r="AD44" s="92">
        <v>33000000</v>
      </c>
      <c r="AE44" s="92">
        <f t="shared" si="4"/>
        <v>33000000</v>
      </c>
      <c r="AF44" s="93">
        <v>0</v>
      </c>
      <c r="AG44" s="89">
        <v>40557</v>
      </c>
      <c r="AH44" s="94"/>
      <c r="AI44" s="95" t="s">
        <v>4346</v>
      </c>
      <c r="AJ44" s="96" t="s">
        <v>4347</v>
      </c>
      <c r="AK44" s="97"/>
      <c r="AL44" s="89"/>
      <c r="AM44" s="98" t="s">
        <v>3439</v>
      </c>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114"/>
      <c r="CQ44" s="115"/>
      <c r="CR44" s="114"/>
      <c r="CS44" s="115"/>
      <c r="CT44" s="114"/>
      <c r="CU44" s="115"/>
      <c r="CV44" s="99">
        <f t="shared" si="5"/>
        <v>0</v>
      </c>
      <c r="CW44" s="114"/>
      <c r="CX44" s="115"/>
      <c r="CY44" s="114"/>
      <c r="CZ44" s="115"/>
      <c r="DA44" s="115"/>
      <c r="DB44" s="115"/>
      <c r="DC44" s="114"/>
      <c r="DD44" s="115"/>
      <c r="DE44" s="97">
        <v>8</v>
      </c>
      <c r="DF44" s="269"/>
    </row>
    <row r="45" spans="1:255" s="270" customFormat="1" x14ac:dyDescent="0.2">
      <c r="A45" s="89">
        <v>40563</v>
      </c>
      <c r="B45" s="90" t="s">
        <v>4350</v>
      </c>
      <c r="C45" s="90" t="s">
        <v>4282</v>
      </c>
      <c r="D45" s="90" t="s">
        <v>3346</v>
      </c>
      <c r="E45" s="90" t="str">
        <f>VLOOKUP(B45&amp;C45,Divipola!$C$2:$F$1138,4,FALSE)</f>
        <v>63212</v>
      </c>
      <c r="F45" s="90"/>
      <c r="G45" s="101"/>
      <c r="H45" s="101"/>
      <c r="I45" s="101"/>
      <c r="J45" s="101">
        <v>10</v>
      </c>
      <c r="K45" s="101">
        <v>2</v>
      </c>
      <c r="L45" s="101"/>
      <c r="M45" s="101">
        <v>2</v>
      </c>
      <c r="N45" s="101"/>
      <c r="O45" s="101"/>
      <c r="P45" s="101"/>
      <c r="Q45" s="101"/>
      <c r="R45" s="101"/>
      <c r="S45" s="101"/>
      <c r="T45" s="101"/>
      <c r="U45" s="101"/>
      <c r="V45" s="101"/>
      <c r="W45" s="91"/>
      <c r="X45" s="89"/>
      <c r="Y45" s="92">
        <f t="shared" si="0"/>
        <v>0</v>
      </c>
      <c r="Z45" s="92">
        <f t="shared" si="1"/>
        <v>0</v>
      </c>
      <c r="AA45" s="92">
        <f t="shared" si="2"/>
        <v>0</v>
      </c>
      <c r="AB45" s="92">
        <f t="shared" si="3"/>
        <v>0</v>
      </c>
      <c r="AC45" s="92"/>
      <c r="AD45" s="92">
        <v>0</v>
      </c>
      <c r="AE45" s="92">
        <f t="shared" si="4"/>
        <v>0</v>
      </c>
      <c r="AF45" s="93">
        <v>0</v>
      </c>
      <c r="AG45" s="89">
        <v>40571</v>
      </c>
      <c r="AH45" s="94"/>
      <c r="AI45" s="95" t="s">
        <v>4336</v>
      </c>
      <c r="AJ45" s="96" t="s">
        <v>4337</v>
      </c>
      <c r="AK45" s="97"/>
      <c r="AL45" s="89"/>
      <c r="AM45" s="100" t="s">
        <v>953</v>
      </c>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114"/>
      <c r="CQ45" s="115"/>
      <c r="CR45" s="114"/>
      <c r="CS45" s="115"/>
      <c r="CT45" s="114"/>
      <c r="CU45" s="115"/>
      <c r="CV45" s="99">
        <f t="shared" si="5"/>
        <v>0</v>
      </c>
      <c r="CW45" s="114"/>
      <c r="CX45" s="115"/>
      <c r="CY45" s="114"/>
      <c r="CZ45" s="115"/>
      <c r="DA45" s="115"/>
      <c r="DB45" s="115"/>
      <c r="DC45" s="114"/>
      <c r="DD45" s="115"/>
      <c r="DE45" s="97"/>
      <c r="DF45" s="269"/>
    </row>
    <row r="46" spans="1:255" s="270" customFormat="1" x14ac:dyDescent="0.2">
      <c r="A46" s="89">
        <v>40563</v>
      </c>
      <c r="B46" s="90" t="s">
        <v>4350</v>
      </c>
      <c r="C46" s="90" t="s">
        <v>3361</v>
      </c>
      <c r="D46" s="90" t="s">
        <v>4264</v>
      </c>
      <c r="E46" s="90" t="str">
        <f>VLOOKUP(B46&amp;C46,Divipola!$C$2:$F$1138,4,FALSE)</f>
        <v>63548</v>
      </c>
      <c r="F46" s="90"/>
      <c r="G46" s="101"/>
      <c r="H46" s="101"/>
      <c r="I46" s="101"/>
      <c r="J46" s="101">
        <v>20</v>
      </c>
      <c r="K46" s="101">
        <v>4</v>
      </c>
      <c r="L46" s="101"/>
      <c r="M46" s="101">
        <v>4</v>
      </c>
      <c r="N46" s="101"/>
      <c r="O46" s="101"/>
      <c r="P46" s="101"/>
      <c r="Q46" s="101"/>
      <c r="R46" s="101"/>
      <c r="S46" s="101"/>
      <c r="T46" s="101"/>
      <c r="U46" s="101"/>
      <c r="V46" s="101"/>
      <c r="W46" s="91"/>
      <c r="X46" s="89"/>
      <c r="Y46" s="92">
        <f t="shared" si="0"/>
        <v>0</v>
      </c>
      <c r="Z46" s="92">
        <f t="shared" si="1"/>
        <v>0</v>
      </c>
      <c r="AA46" s="92">
        <f t="shared" si="2"/>
        <v>0</v>
      </c>
      <c r="AB46" s="92">
        <f t="shared" si="3"/>
        <v>0</v>
      </c>
      <c r="AC46" s="92"/>
      <c r="AD46" s="92">
        <v>0</v>
      </c>
      <c r="AE46" s="92">
        <f t="shared" si="4"/>
        <v>0</v>
      </c>
      <c r="AF46" s="93">
        <v>0</v>
      </c>
      <c r="AG46" s="89">
        <v>40571</v>
      </c>
      <c r="AH46" s="94"/>
      <c r="AI46" s="95" t="s">
        <v>4336</v>
      </c>
      <c r="AJ46" s="96" t="s">
        <v>4337</v>
      </c>
      <c r="AK46" s="97"/>
      <c r="AL46" s="89"/>
      <c r="AM46" s="100" t="s">
        <v>954</v>
      </c>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114"/>
      <c r="CQ46" s="115"/>
      <c r="CR46" s="114"/>
      <c r="CS46" s="115"/>
      <c r="CT46" s="114"/>
      <c r="CU46" s="115"/>
      <c r="CV46" s="99">
        <f t="shared" si="5"/>
        <v>0</v>
      </c>
      <c r="CW46" s="114"/>
      <c r="CX46" s="115"/>
      <c r="CY46" s="114"/>
      <c r="CZ46" s="115"/>
      <c r="DA46" s="115"/>
      <c r="DB46" s="115"/>
      <c r="DC46" s="114"/>
      <c r="DD46" s="115"/>
      <c r="DE46" s="97"/>
      <c r="DF46" s="269"/>
    </row>
    <row r="47" spans="1:255" s="270" customFormat="1" ht="112.5" x14ac:dyDescent="0.2">
      <c r="A47" s="89">
        <v>40564</v>
      </c>
      <c r="B47" s="90" t="s">
        <v>4387</v>
      </c>
      <c r="C47" s="90" t="s">
        <v>464</v>
      </c>
      <c r="D47" s="90" t="s">
        <v>2362</v>
      </c>
      <c r="E47" s="90" t="str">
        <f>VLOOKUP(B47&amp;C47,Divipola!$C$2:$F$1138,4,FALSE)</f>
        <v>52254</v>
      </c>
      <c r="F47" s="90"/>
      <c r="G47" s="101"/>
      <c r="H47" s="101"/>
      <c r="I47" s="101"/>
      <c r="J47" s="101">
        <v>213</v>
      </c>
      <c r="K47" s="101">
        <v>57</v>
      </c>
      <c r="L47" s="101">
        <v>3</v>
      </c>
      <c r="M47" s="101">
        <v>54</v>
      </c>
      <c r="N47" s="101">
        <v>8</v>
      </c>
      <c r="O47" s="101"/>
      <c r="P47" s="101"/>
      <c r="Q47" s="101"/>
      <c r="R47" s="101"/>
      <c r="S47" s="101"/>
      <c r="T47" s="101"/>
      <c r="U47" s="91"/>
      <c r="V47" s="89"/>
      <c r="W47" s="92"/>
      <c r="X47" s="105"/>
      <c r="Y47" s="92">
        <f t="shared" si="0"/>
        <v>0</v>
      </c>
      <c r="Z47" s="92">
        <f t="shared" si="1"/>
        <v>0</v>
      </c>
      <c r="AA47" s="92">
        <f t="shared" si="2"/>
        <v>0</v>
      </c>
      <c r="AB47" s="92">
        <f t="shared" si="3"/>
        <v>0</v>
      </c>
      <c r="AC47" s="92"/>
      <c r="AD47" s="92">
        <v>0</v>
      </c>
      <c r="AE47" s="92">
        <f t="shared" si="4"/>
        <v>0</v>
      </c>
      <c r="AF47" s="93">
        <v>0</v>
      </c>
      <c r="AG47" s="105"/>
      <c r="AH47" s="108"/>
      <c r="AI47" s="109" t="s">
        <v>4336</v>
      </c>
      <c r="AJ47" s="110" t="s">
        <v>4337</v>
      </c>
      <c r="AK47" s="111"/>
      <c r="AL47" s="105" t="s">
        <v>1069</v>
      </c>
      <c r="AM47" s="90" t="s">
        <v>2903</v>
      </c>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18"/>
      <c r="CO47" s="119"/>
      <c r="CP47" s="118"/>
      <c r="CQ47" s="119"/>
      <c r="CR47" s="118"/>
      <c r="CS47" s="119"/>
      <c r="CT47" s="113"/>
      <c r="CU47" s="118"/>
      <c r="CV47" s="99">
        <f t="shared" si="5"/>
        <v>0</v>
      </c>
      <c r="CW47" s="118"/>
      <c r="CX47" s="119"/>
      <c r="CY47" s="119"/>
      <c r="CZ47" s="119"/>
      <c r="DA47" s="118"/>
      <c r="DB47" s="119"/>
      <c r="DC47" s="111"/>
      <c r="DD47" s="119"/>
      <c r="DE47" s="111"/>
      <c r="DF47" s="269"/>
    </row>
    <row r="48" spans="1:255" s="270" customFormat="1" ht="22.5" x14ac:dyDescent="0.2">
      <c r="A48" s="89">
        <v>40567</v>
      </c>
      <c r="B48" s="90" t="s">
        <v>4387</v>
      </c>
      <c r="C48" s="90" t="s">
        <v>459</v>
      </c>
      <c r="D48" s="90" t="s">
        <v>2362</v>
      </c>
      <c r="E48" s="90" t="str">
        <f>VLOOKUP(B48&amp;C48,Divipola!$C$2:$F$1138,4,FALSE)</f>
        <v>52240</v>
      </c>
      <c r="F48" s="90"/>
      <c r="G48" s="101"/>
      <c r="H48" s="101"/>
      <c r="I48" s="101"/>
      <c r="J48" s="101">
        <v>276</v>
      </c>
      <c r="K48" s="101">
        <v>69</v>
      </c>
      <c r="L48" s="101">
        <v>5</v>
      </c>
      <c r="M48" s="101">
        <v>64</v>
      </c>
      <c r="N48" s="101"/>
      <c r="O48" s="101"/>
      <c r="P48" s="101"/>
      <c r="Q48" s="101"/>
      <c r="R48" s="101"/>
      <c r="S48" s="101"/>
      <c r="T48" s="101"/>
      <c r="U48" s="91"/>
      <c r="V48" s="89"/>
      <c r="W48" s="92"/>
      <c r="X48" s="105"/>
      <c r="Y48" s="92">
        <f t="shared" si="0"/>
        <v>0</v>
      </c>
      <c r="Z48" s="92">
        <f t="shared" si="1"/>
        <v>0</v>
      </c>
      <c r="AA48" s="92">
        <f t="shared" si="2"/>
        <v>0</v>
      </c>
      <c r="AB48" s="92">
        <f t="shared" si="3"/>
        <v>0</v>
      </c>
      <c r="AC48" s="92"/>
      <c r="AD48" s="92">
        <v>0</v>
      </c>
      <c r="AE48" s="92">
        <f t="shared" si="4"/>
        <v>0</v>
      </c>
      <c r="AF48" s="93">
        <v>0</v>
      </c>
      <c r="AG48" s="105"/>
      <c r="AH48" s="108"/>
      <c r="AI48" s="109" t="s">
        <v>4336</v>
      </c>
      <c r="AJ48" s="110" t="s">
        <v>4337</v>
      </c>
      <c r="AK48" s="111"/>
      <c r="AL48" s="105" t="s">
        <v>1069</v>
      </c>
      <c r="AM48" s="90"/>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18"/>
      <c r="CO48" s="119"/>
      <c r="CP48" s="118"/>
      <c r="CQ48" s="119"/>
      <c r="CR48" s="118"/>
      <c r="CS48" s="119"/>
      <c r="CT48" s="113"/>
      <c r="CU48" s="118"/>
      <c r="CV48" s="99">
        <f t="shared" si="5"/>
        <v>0</v>
      </c>
      <c r="CW48" s="118"/>
      <c r="CX48" s="119"/>
      <c r="CY48" s="119"/>
      <c r="CZ48" s="119"/>
      <c r="DA48" s="118"/>
      <c r="DB48" s="119"/>
      <c r="DC48" s="111"/>
      <c r="DD48" s="119"/>
      <c r="DE48" s="111"/>
      <c r="DF48" s="269"/>
    </row>
    <row r="49" spans="1:110" s="270" customFormat="1" x14ac:dyDescent="0.2">
      <c r="A49" s="89">
        <v>40567</v>
      </c>
      <c r="B49" s="90" t="s">
        <v>4348</v>
      </c>
      <c r="C49" s="90" t="s">
        <v>4313</v>
      </c>
      <c r="D49" s="90" t="s">
        <v>2362</v>
      </c>
      <c r="E49" s="90" t="str">
        <f>VLOOKUP(B49&amp;C49,Divipola!$C$2:$F$1138,4,FALSE)</f>
        <v>66318</v>
      </c>
      <c r="F49" s="101"/>
      <c r="G49" s="101"/>
      <c r="H49" s="101"/>
      <c r="I49" s="101"/>
      <c r="J49" s="101">
        <v>15</v>
      </c>
      <c r="K49" s="101">
        <v>3</v>
      </c>
      <c r="L49" s="101"/>
      <c r="M49" s="101">
        <v>3</v>
      </c>
      <c r="N49" s="101"/>
      <c r="O49" s="101"/>
      <c r="P49" s="101"/>
      <c r="Q49" s="101"/>
      <c r="R49" s="101"/>
      <c r="S49" s="101"/>
      <c r="T49" s="101"/>
      <c r="U49" s="91"/>
      <c r="V49" s="89"/>
      <c r="W49" s="92"/>
      <c r="X49" s="92"/>
      <c r="Y49" s="92">
        <f t="shared" si="0"/>
        <v>0</v>
      </c>
      <c r="Z49" s="92">
        <f t="shared" si="1"/>
        <v>0</v>
      </c>
      <c r="AA49" s="92">
        <f t="shared" si="2"/>
        <v>0</v>
      </c>
      <c r="AB49" s="92">
        <f t="shared" si="3"/>
        <v>0</v>
      </c>
      <c r="AC49" s="92"/>
      <c r="AD49" s="92">
        <v>0</v>
      </c>
      <c r="AE49" s="92">
        <f t="shared" si="4"/>
        <v>0</v>
      </c>
      <c r="AF49" s="93">
        <v>0</v>
      </c>
      <c r="AG49" s="89"/>
      <c r="AH49" s="96"/>
      <c r="AI49" s="102" t="s">
        <v>4336</v>
      </c>
      <c r="AJ49" s="96" t="s">
        <v>4337</v>
      </c>
      <c r="AK49" s="100"/>
      <c r="AL49" s="89"/>
      <c r="AM49" s="90" t="s">
        <v>881</v>
      </c>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114"/>
      <c r="CQ49" s="115"/>
      <c r="CR49" s="114"/>
      <c r="CS49" s="115"/>
      <c r="CT49" s="114"/>
      <c r="CU49" s="115"/>
      <c r="CV49" s="99">
        <f t="shared" si="5"/>
        <v>0</v>
      </c>
      <c r="CW49" s="114"/>
      <c r="CX49" s="115"/>
      <c r="CY49" s="114"/>
      <c r="CZ49" s="115"/>
      <c r="DA49" s="115"/>
      <c r="DB49" s="115"/>
      <c r="DC49" s="114"/>
      <c r="DD49" s="115"/>
      <c r="DE49" s="97"/>
      <c r="DF49" s="269">
        <v>1716</v>
      </c>
    </row>
    <row r="50" spans="1:110" s="270" customFormat="1" x14ac:dyDescent="0.2">
      <c r="A50" s="89">
        <v>40568</v>
      </c>
      <c r="B50" s="90" t="s">
        <v>4387</v>
      </c>
      <c r="C50" s="90" t="s">
        <v>2243</v>
      </c>
      <c r="D50" s="90" t="s">
        <v>2362</v>
      </c>
      <c r="E50" s="90" t="str">
        <f>VLOOKUP(B50&amp;C50,Divipola!$C$2:$F$1138,4,FALSE)</f>
        <v>52083</v>
      </c>
      <c r="F50" s="90"/>
      <c r="G50" s="101"/>
      <c r="H50" s="101"/>
      <c r="I50" s="101"/>
      <c r="J50" s="101">
        <v>701</v>
      </c>
      <c r="K50" s="101">
        <v>188</v>
      </c>
      <c r="L50" s="101">
        <v>12</v>
      </c>
      <c r="M50" s="101">
        <v>168</v>
      </c>
      <c r="N50" s="101">
        <v>6</v>
      </c>
      <c r="O50" s="101"/>
      <c r="P50" s="101"/>
      <c r="Q50" s="101">
        <v>1</v>
      </c>
      <c r="R50" s="101"/>
      <c r="S50" s="101"/>
      <c r="T50" s="101"/>
      <c r="U50" s="101"/>
      <c r="V50" s="101"/>
      <c r="W50" s="91"/>
      <c r="X50" s="89"/>
      <c r="Y50" s="92">
        <f t="shared" si="0"/>
        <v>0</v>
      </c>
      <c r="Z50" s="92">
        <f t="shared" si="1"/>
        <v>0</v>
      </c>
      <c r="AA50" s="92">
        <f t="shared" si="2"/>
        <v>0</v>
      </c>
      <c r="AB50" s="92">
        <f t="shared" si="3"/>
        <v>0</v>
      </c>
      <c r="AC50" s="92"/>
      <c r="AD50" s="92">
        <v>0</v>
      </c>
      <c r="AE50" s="92">
        <f t="shared" si="4"/>
        <v>0</v>
      </c>
      <c r="AF50" s="93">
        <v>0</v>
      </c>
      <c r="AG50" s="89">
        <v>40573</v>
      </c>
      <c r="AH50" s="94"/>
      <c r="AI50" s="95" t="s">
        <v>4336</v>
      </c>
      <c r="AJ50" s="96" t="s">
        <v>4337</v>
      </c>
      <c r="AK50" s="97"/>
      <c r="AL50" s="89"/>
      <c r="AM50" s="100" t="s">
        <v>3452</v>
      </c>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114"/>
      <c r="CQ50" s="115"/>
      <c r="CR50" s="114"/>
      <c r="CS50" s="115"/>
      <c r="CT50" s="114"/>
      <c r="CU50" s="115"/>
      <c r="CV50" s="99">
        <f t="shared" si="5"/>
        <v>0</v>
      </c>
      <c r="CW50" s="114"/>
      <c r="CX50" s="115"/>
      <c r="CY50" s="114"/>
      <c r="CZ50" s="115"/>
      <c r="DA50" s="115"/>
      <c r="DB50" s="115"/>
      <c r="DC50" s="114"/>
      <c r="DD50" s="115"/>
      <c r="DE50" s="97"/>
      <c r="DF50" s="269"/>
    </row>
    <row r="51" spans="1:110" s="270" customFormat="1" ht="22.5" x14ac:dyDescent="0.2">
      <c r="A51" s="89">
        <v>40568</v>
      </c>
      <c r="B51" s="90" t="s">
        <v>4348</v>
      </c>
      <c r="C51" s="90" t="s">
        <v>4313</v>
      </c>
      <c r="D51" s="90" t="s">
        <v>2362</v>
      </c>
      <c r="E51" s="90" t="str">
        <f>VLOOKUP(B51&amp;C51,Divipola!$C$2:$F$1138,4,FALSE)</f>
        <v>66318</v>
      </c>
      <c r="F51" s="101"/>
      <c r="G51" s="101"/>
      <c r="H51" s="101"/>
      <c r="I51" s="101"/>
      <c r="J51" s="101">
        <v>8</v>
      </c>
      <c r="K51" s="101">
        <v>2</v>
      </c>
      <c r="L51" s="101"/>
      <c r="M51" s="101">
        <v>2</v>
      </c>
      <c r="N51" s="101"/>
      <c r="O51" s="101"/>
      <c r="P51" s="101"/>
      <c r="Q51" s="101"/>
      <c r="R51" s="101"/>
      <c r="S51" s="101"/>
      <c r="T51" s="101"/>
      <c r="U51" s="91"/>
      <c r="V51" s="89"/>
      <c r="W51" s="92" t="s">
        <v>878</v>
      </c>
      <c r="X51" s="92"/>
      <c r="Y51" s="92">
        <f t="shared" si="0"/>
        <v>0</v>
      </c>
      <c r="Z51" s="92">
        <f t="shared" si="1"/>
        <v>0</v>
      </c>
      <c r="AA51" s="92">
        <f t="shared" si="2"/>
        <v>0</v>
      </c>
      <c r="AB51" s="92">
        <f t="shared" si="3"/>
        <v>0</v>
      </c>
      <c r="AC51" s="92"/>
      <c r="AD51" s="92">
        <v>0</v>
      </c>
      <c r="AE51" s="92">
        <f t="shared" si="4"/>
        <v>0</v>
      </c>
      <c r="AF51" s="93">
        <v>0</v>
      </c>
      <c r="AG51" s="89"/>
      <c r="AH51" s="96"/>
      <c r="AI51" s="102" t="s">
        <v>4336</v>
      </c>
      <c r="AJ51" s="96" t="s">
        <v>4337</v>
      </c>
      <c r="AK51" s="100"/>
      <c r="AL51" s="89"/>
      <c r="AM51" s="90" t="s">
        <v>882</v>
      </c>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114"/>
      <c r="CQ51" s="115"/>
      <c r="CR51" s="114"/>
      <c r="CS51" s="115"/>
      <c r="CT51" s="114"/>
      <c r="CU51" s="115"/>
      <c r="CV51" s="99">
        <f t="shared" si="5"/>
        <v>0</v>
      </c>
      <c r="CW51" s="114"/>
      <c r="CX51" s="115"/>
      <c r="CY51" s="114"/>
      <c r="CZ51" s="115"/>
      <c r="DA51" s="115"/>
      <c r="DB51" s="115"/>
      <c r="DC51" s="114"/>
      <c r="DD51" s="115"/>
      <c r="DE51" s="97"/>
      <c r="DF51" s="269"/>
    </row>
    <row r="52" spans="1:110" s="270" customFormat="1" ht="24" x14ac:dyDescent="0.2">
      <c r="A52" s="89">
        <v>40569</v>
      </c>
      <c r="B52" s="90" t="s">
        <v>4219</v>
      </c>
      <c r="C52" s="90" t="s">
        <v>956</v>
      </c>
      <c r="D52" s="90" t="s">
        <v>4298</v>
      </c>
      <c r="E52" s="90" t="str">
        <f>VLOOKUP(B52&amp;C52,Divipola!$C$2:$F$1138,4,FALSE)</f>
        <v>41298</v>
      </c>
      <c r="F52" s="90"/>
      <c r="G52" s="101"/>
      <c r="H52" s="101"/>
      <c r="I52" s="101"/>
      <c r="J52" s="101">
        <v>5</v>
      </c>
      <c r="K52" s="101">
        <v>1</v>
      </c>
      <c r="L52" s="101"/>
      <c r="M52" s="101">
        <v>1</v>
      </c>
      <c r="N52" s="101"/>
      <c r="O52" s="101"/>
      <c r="P52" s="101"/>
      <c r="Q52" s="101"/>
      <c r="R52" s="101"/>
      <c r="S52" s="101"/>
      <c r="T52" s="101"/>
      <c r="U52" s="101"/>
      <c r="V52" s="101"/>
      <c r="W52" s="91"/>
      <c r="X52" s="89"/>
      <c r="Y52" s="92">
        <f t="shared" si="0"/>
        <v>0</v>
      </c>
      <c r="Z52" s="92">
        <f t="shared" si="1"/>
        <v>0</v>
      </c>
      <c r="AA52" s="92">
        <f t="shared" si="2"/>
        <v>0</v>
      </c>
      <c r="AB52" s="92">
        <f t="shared" si="3"/>
        <v>0</v>
      </c>
      <c r="AC52" s="92"/>
      <c r="AD52" s="92">
        <v>0</v>
      </c>
      <c r="AE52" s="92">
        <f t="shared" si="4"/>
        <v>0</v>
      </c>
      <c r="AF52" s="93">
        <v>0</v>
      </c>
      <c r="AG52" s="89">
        <v>40573</v>
      </c>
      <c r="AH52" s="94"/>
      <c r="AI52" s="95" t="s">
        <v>4336</v>
      </c>
      <c r="AJ52" s="96" t="s">
        <v>4337</v>
      </c>
      <c r="AK52" s="97"/>
      <c r="AL52" s="89"/>
      <c r="AM52" s="100" t="s">
        <v>957</v>
      </c>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114"/>
      <c r="CQ52" s="115"/>
      <c r="CR52" s="114"/>
      <c r="CS52" s="115"/>
      <c r="CT52" s="114"/>
      <c r="CU52" s="115"/>
      <c r="CV52" s="99">
        <f t="shared" si="5"/>
        <v>0</v>
      </c>
      <c r="CW52" s="114"/>
      <c r="CX52" s="115"/>
      <c r="CY52" s="114"/>
      <c r="CZ52" s="115"/>
      <c r="DA52" s="115"/>
      <c r="DB52" s="115"/>
      <c r="DC52" s="114"/>
      <c r="DD52" s="115"/>
      <c r="DE52" s="97"/>
      <c r="DF52" s="269"/>
    </row>
    <row r="53" spans="1:110" s="270" customFormat="1" ht="72" x14ac:dyDescent="0.2">
      <c r="A53" s="89">
        <v>40569</v>
      </c>
      <c r="B53" s="90" t="s">
        <v>4221</v>
      </c>
      <c r="C53" s="90" t="s">
        <v>802</v>
      </c>
      <c r="D53" s="90" t="s">
        <v>3311</v>
      </c>
      <c r="E53" s="90" t="str">
        <f>VLOOKUP(B53&amp;C53,Divipola!$C$2:$F$1138,4,FALSE)</f>
        <v>54720</v>
      </c>
      <c r="F53" s="90"/>
      <c r="G53" s="101">
        <v>21</v>
      </c>
      <c r="H53" s="101">
        <v>6</v>
      </c>
      <c r="I53" s="101"/>
      <c r="J53" s="101"/>
      <c r="K53" s="101"/>
      <c r="L53" s="101"/>
      <c r="M53" s="101"/>
      <c r="N53" s="101"/>
      <c r="O53" s="101"/>
      <c r="P53" s="101"/>
      <c r="Q53" s="101"/>
      <c r="R53" s="101"/>
      <c r="S53" s="101"/>
      <c r="T53" s="101"/>
      <c r="U53" s="101"/>
      <c r="V53" s="101"/>
      <c r="W53" s="91"/>
      <c r="X53" s="89"/>
      <c r="Y53" s="92">
        <f t="shared" si="0"/>
        <v>0</v>
      </c>
      <c r="Z53" s="92">
        <f t="shared" si="1"/>
        <v>0</v>
      </c>
      <c r="AA53" s="92">
        <f t="shared" si="2"/>
        <v>0</v>
      </c>
      <c r="AB53" s="92">
        <f t="shared" si="3"/>
        <v>0</v>
      </c>
      <c r="AC53" s="92"/>
      <c r="AD53" s="92">
        <v>0</v>
      </c>
      <c r="AE53" s="92">
        <f t="shared" si="4"/>
        <v>0</v>
      </c>
      <c r="AF53" s="93">
        <v>0</v>
      </c>
      <c r="AG53" s="89">
        <v>40529</v>
      </c>
      <c r="AH53" s="94"/>
      <c r="AI53" s="102" t="s">
        <v>4336</v>
      </c>
      <c r="AJ53" s="96" t="s">
        <v>4337</v>
      </c>
      <c r="AK53" s="97"/>
      <c r="AL53" s="89"/>
      <c r="AM53" s="100" t="s">
        <v>955</v>
      </c>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114"/>
      <c r="CQ53" s="115"/>
      <c r="CR53" s="114"/>
      <c r="CS53" s="115"/>
      <c r="CT53" s="114"/>
      <c r="CU53" s="115"/>
      <c r="CV53" s="99">
        <f t="shared" si="5"/>
        <v>0</v>
      </c>
      <c r="CW53" s="114"/>
      <c r="CX53" s="115"/>
      <c r="CY53" s="114"/>
      <c r="CZ53" s="115"/>
      <c r="DA53" s="115"/>
      <c r="DB53" s="115"/>
      <c r="DC53" s="114"/>
      <c r="DD53" s="115"/>
      <c r="DE53" s="97"/>
      <c r="DF53" s="269"/>
    </row>
    <row r="54" spans="1:110" s="270" customFormat="1" ht="24" x14ac:dyDescent="0.2">
      <c r="A54" s="89">
        <v>40570</v>
      </c>
      <c r="B54" s="90" t="s">
        <v>4296</v>
      </c>
      <c r="C54" s="90" t="s">
        <v>3334</v>
      </c>
      <c r="D54" s="90" t="s">
        <v>3346</v>
      </c>
      <c r="E54" s="90" t="str">
        <f>VLOOKUP(B54&amp;C54,Divipola!$C$2:$F$1138,4,FALSE)</f>
        <v>19130</v>
      </c>
      <c r="F54" s="90"/>
      <c r="G54" s="101"/>
      <c r="H54" s="101"/>
      <c r="I54" s="101"/>
      <c r="J54" s="101">
        <v>120</v>
      </c>
      <c r="K54" s="101">
        <v>30</v>
      </c>
      <c r="L54" s="101"/>
      <c r="M54" s="101">
        <v>30</v>
      </c>
      <c r="N54" s="101"/>
      <c r="O54" s="101"/>
      <c r="P54" s="101"/>
      <c r="Q54" s="101"/>
      <c r="R54" s="101"/>
      <c r="S54" s="101"/>
      <c r="T54" s="101"/>
      <c r="U54" s="101"/>
      <c r="V54" s="101"/>
      <c r="W54" s="91"/>
      <c r="X54" s="89"/>
      <c r="Y54" s="92">
        <f t="shared" si="0"/>
        <v>0</v>
      </c>
      <c r="Z54" s="92">
        <f t="shared" si="1"/>
        <v>0</v>
      </c>
      <c r="AA54" s="92">
        <f t="shared" si="2"/>
        <v>0</v>
      </c>
      <c r="AB54" s="92">
        <f t="shared" si="3"/>
        <v>0</v>
      </c>
      <c r="AC54" s="92"/>
      <c r="AD54" s="92">
        <v>0</v>
      </c>
      <c r="AE54" s="92">
        <f t="shared" si="4"/>
        <v>0</v>
      </c>
      <c r="AF54" s="93">
        <v>0</v>
      </c>
      <c r="AG54" s="89">
        <v>40573</v>
      </c>
      <c r="AH54" s="94"/>
      <c r="AI54" s="95" t="s">
        <v>4336</v>
      </c>
      <c r="AJ54" s="96" t="s">
        <v>4337</v>
      </c>
      <c r="AK54" s="97"/>
      <c r="AL54" s="89"/>
      <c r="AM54" s="100" t="s">
        <v>958</v>
      </c>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114"/>
      <c r="CQ54" s="115"/>
      <c r="CR54" s="114"/>
      <c r="CS54" s="115"/>
      <c r="CT54" s="114"/>
      <c r="CU54" s="115"/>
      <c r="CV54" s="99">
        <f t="shared" si="5"/>
        <v>0</v>
      </c>
      <c r="CW54" s="114"/>
      <c r="CX54" s="115"/>
      <c r="CY54" s="114"/>
      <c r="CZ54" s="115"/>
      <c r="DA54" s="115"/>
      <c r="DB54" s="115"/>
      <c r="DC54" s="114"/>
      <c r="DD54" s="115"/>
      <c r="DE54" s="97"/>
      <c r="DF54" s="269"/>
    </row>
    <row r="55" spans="1:110" s="270" customFormat="1" ht="24" x14ac:dyDescent="0.2">
      <c r="A55" s="89">
        <v>40572</v>
      </c>
      <c r="B55" s="90" t="s">
        <v>860</v>
      </c>
      <c r="C55" s="90" t="s">
        <v>2859</v>
      </c>
      <c r="D55" s="90" t="s">
        <v>4298</v>
      </c>
      <c r="E55" s="90" t="str">
        <f>VLOOKUP(B55&amp;C55,Divipola!$C$2:$F$1138,4,FALSE)</f>
        <v>50001</v>
      </c>
      <c r="F55" s="90"/>
      <c r="G55" s="101"/>
      <c r="H55" s="101"/>
      <c r="I55" s="101"/>
      <c r="J55" s="101"/>
      <c r="K55" s="101"/>
      <c r="L55" s="101"/>
      <c r="M55" s="101"/>
      <c r="N55" s="101"/>
      <c r="O55" s="101"/>
      <c r="P55" s="101"/>
      <c r="Q55" s="101"/>
      <c r="R55" s="101"/>
      <c r="S55" s="101"/>
      <c r="T55" s="101"/>
      <c r="U55" s="101"/>
      <c r="V55" s="101"/>
      <c r="W55" s="91" t="s">
        <v>959</v>
      </c>
      <c r="X55" s="89"/>
      <c r="Y55" s="92">
        <f t="shared" si="0"/>
        <v>0</v>
      </c>
      <c r="Z55" s="92">
        <f t="shared" si="1"/>
        <v>0</v>
      </c>
      <c r="AA55" s="92">
        <f t="shared" si="2"/>
        <v>0</v>
      </c>
      <c r="AB55" s="92">
        <f t="shared" si="3"/>
        <v>0</v>
      </c>
      <c r="AC55" s="92"/>
      <c r="AD55" s="92">
        <v>0</v>
      </c>
      <c r="AE55" s="92">
        <f t="shared" si="4"/>
        <v>0</v>
      </c>
      <c r="AF55" s="93">
        <v>0</v>
      </c>
      <c r="AG55" s="89">
        <v>40573</v>
      </c>
      <c r="AH55" s="94"/>
      <c r="AI55" s="95" t="s">
        <v>4336</v>
      </c>
      <c r="AJ55" s="96" t="s">
        <v>4337</v>
      </c>
      <c r="AK55" s="97"/>
      <c r="AL55" s="89"/>
      <c r="AM55" s="100" t="s">
        <v>961</v>
      </c>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114"/>
      <c r="CQ55" s="115"/>
      <c r="CR55" s="114"/>
      <c r="CS55" s="115"/>
      <c r="CT55" s="114"/>
      <c r="CU55" s="115"/>
      <c r="CV55" s="99">
        <f t="shared" si="5"/>
        <v>0</v>
      </c>
      <c r="CW55" s="114"/>
      <c r="CX55" s="115"/>
      <c r="CY55" s="114"/>
      <c r="CZ55" s="115"/>
      <c r="DA55" s="115"/>
      <c r="DB55" s="115"/>
      <c r="DC55" s="114"/>
      <c r="DD55" s="115"/>
      <c r="DE55" s="97"/>
      <c r="DF55" s="269"/>
    </row>
    <row r="56" spans="1:110" s="270" customFormat="1" ht="24" x14ac:dyDescent="0.2">
      <c r="A56" s="89">
        <v>40573</v>
      </c>
      <c r="B56" s="90" t="s">
        <v>4326</v>
      </c>
      <c r="C56" s="90" t="s">
        <v>4338</v>
      </c>
      <c r="D56" s="90" t="s">
        <v>4298</v>
      </c>
      <c r="E56" s="90" t="str">
        <f>VLOOKUP(B56&amp;C56,Divipola!$C$2:$F$1138,4,FALSE)</f>
        <v>08001</v>
      </c>
      <c r="F56" s="90"/>
      <c r="G56" s="101">
        <v>4</v>
      </c>
      <c r="H56" s="101"/>
      <c r="I56" s="101"/>
      <c r="J56" s="101">
        <v>4</v>
      </c>
      <c r="K56" s="101">
        <v>1</v>
      </c>
      <c r="L56" s="101">
        <v>1</v>
      </c>
      <c r="M56" s="101"/>
      <c r="N56" s="101"/>
      <c r="O56" s="101"/>
      <c r="P56" s="101"/>
      <c r="Q56" s="101"/>
      <c r="R56" s="101"/>
      <c r="S56" s="101"/>
      <c r="T56" s="101"/>
      <c r="U56" s="101"/>
      <c r="V56" s="101"/>
      <c r="W56" s="91"/>
      <c r="X56" s="89"/>
      <c r="Y56" s="92">
        <f t="shared" si="0"/>
        <v>0</v>
      </c>
      <c r="Z56" s="92">
        <f t="shared" si="1"/>
        <v>0</v>
      </c>
      <c r="AA56" s="92">
        <f t="shared" si="2"/>
        <v>0</v>
      </c>
      <c r="AB56" s="92">
        <f t="shared" si="3"/>
        <v>0</v>
      </c>
      <c r="AC56" s="92"/>
      <c r="AD56" s="92">
        <v>0</v>
      </c>
      <c r="AE56" s="92">
        <f t="shared" si="4"/>
        <v>0</v>
      </c>
      <c r="AF56" s="93">
        <v>0</v>
      </c>
      <c r="AG56" s="89">
        <v>40573</v>
      </c>
      <c r="AH56" s="94"/>
      <c r="AI56" s="95" t="s">
        <v>4336</v>
      </c>
      <c r="AJ56" s="96" t="s">
        <v>4337</v>
      </c>
      <c r="AK56" s="97"/>
      <c r="AL56" s="89"/>
      <c r="AM56" s="100" t="s">
        <v>960</v>
      </c>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114"/>
      <c r="CQ56" s="115"/>
      <c r="CR56" s="114"/>
      <c r="CS56" s="115"/>
      <c r="CT56" s="114"/>
      <c r="CU56" s="115"/>
      <c r="CV56" s="99">
        <f t="shared" si="5"/>
        <v>0</v>
      </c>
      <c r="CW56" s="114"/>
      <c r="CX56" s="115"/>
      <c r="CY56" s="114"/>
      <c r="CZ56" s="115"/>
      <c r="DA56" s="115"/>
      <c r="DB56" s="115"/>
      <c r="DC56" s="114"/>
      <c r="DD56" s="115"/>
      <c r="DE56" s="97"/>
      <c r="DF56" s="269"/>
    </row>
    <row r="57" spans="1:110" s="270" customFormat="1" ht="24" x14ac:dyDescent="0.2">
      <c r="A57" s="89">
        <v>40575</v>
      </c>
      <c r="B57" s="90" t="s">
        <v>4344</v>
      </c>
      <c r="C57" s="90" t="s">
        <v>2209</v>
      </c>
      <c r="D57" s="90" t="s">
        <v>4298</v>
      </c>
      <c r="E57" s="90" t="str">
        <f>VLOOKUP(B57&amp;C57,Divipola!$C$2:$F$1138,4,FALSE)</f>
        <v>25214</v>
      </c>
      <c r="F57" s="90"/>
      <c r="G57" s="101"/>
      <c r="H57" s="101"/>
      <c r="I57" s="101"/>
      <c r="J57" s="101"/>
      <c r="K57" s="101"/>
      <c r="L57" s="101"/>
      <c r="M57" s="101"/>
      <c r="N57" s="101"/>
      <c r="O57" s="101"/>
      <c r="P57" s="101"/>
      <c r="Q57" s="101"/>
      <c r="R57" s="101"/>
      <c r="S57" s="101"/>
      <c r="T57" s="101"/>
      <c r="U57" s="101"/>
      <c r="V57" s="101"/>
      <c r="W57" s="91" t="s">
        <v>943</v>
      </c>
      <c r="X57" s="89"/>
      <c r="Y57" s="92">
        <f t="shared" si="0"/>
        <v>0</v>
      </c>
      <c r="Z57" s="92">
        <f t="shared" si="1"/>
        <v>0</v>
      </c>
      <c r="AA57" s="92">
        <f t="shared" si="2"/>
        <v>0</v>
      </c>
      <c r="AB57" s="92">
        <f t="shared" si="3"/>
        <v>0</v>
      </c>
      <c r="AC57" s="92"/>
      <c r="AD57" s="92">
        <v>0</v>
      </c>
      <c r="AE57" s="92">
        <f t="shared" si="4"/>
        <v>0</v>
      </c>
      <c r="AF57" s="93">
        <v>0</v>
      </c>
      <c r="AG57" s="89">
        <v>40581</v>
      </c>
      <c r="AH57" s="94"/>
      <c r="AI57" s="102" t="s">
        <v>4336</v>
      </c>
      <c r="AJ57" s="96" t="s">
        <v>4337</v>
      </c>
      <c r="AK57" s="97"/>
      <c r="AL57" s="89"/>
      <c r="AM57" s="100" t="s">
        <v>942</v>
      </c>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114"/>
      <c r="CQ57" s="115"/>
      <c r="CR57" s="114"/>
      <c r="CS57" s="115"/>
      <c r="CT57" s="114"/>
      <c r="CU57" s="115"/>
      <c r="CV57" s="99">
        <f t="shared" si="5"/>
        <v>0</v>
      </c>
      <c r="CW57" s="114"/>
      <c r="CX57" s="115"/>
      <c r="CY57" s="114"/>
      <c r="CZ57" s="115"/>
      <c r="DA57" s="115"/>
      <c r="DB57" s="115"/>
      <c r="DC57" s="114"/>
      <c r="DD57" s="115"/>
      <c r="DE57" s="97"/>
      <c r="DF57" s="269"/>
    </row>
    <row r="58" spans="1:110" s="270" customFormat="1" ht="60" x14ac:dyDescent="0.2">
      <c r="A58" s="89">
        <v>40575</v>
      </c>
      <c r="B58" s="90" t="s">
        <v>4344</v>
      </c>
      <c r="C58" s="90" t="s">
        <v>972</v>
      </c>
      <c r="D58" s="90" t="s">
        <v>3311</v>
      </c>
      <c r="E58" s="90" t="str">
        <f>VLOOKUP(B58&amp;C58,Divipola!$C$2:$F$1138,4,FALSE)</f>
        <v>25781</v>
      </c>
      <c r="F58" s="90"/>
      <c r="G58" s="101">
        <v>5</v>
      </c>
      <c r="H58" s="101">
        <v>1</v>
      </c>
      <c r="I58" s="101"/>
      <c r="J58" s="101"/>
      <c r="K58" s="101"/>
      <c r="L58" s="101"/>
      <c r="M58" s="101"/>
      <c r="N58" s="101"/>
      <c r="O58" s="101"/>
      <c r="P58" s="101"/>
      <c r="Q58" s="101"/>
      <c r="R58" s="101"/>
      <c r="S58" s="101"/>
      <c r="T58" s="101"/>
      <c r="U58" s="101"/>
      <c r="V58" s="101"/>
      <c r="W58" s="91"/>
      <c r="X58" s="89"/>
      <c r="Y58" s="92">
        <f t="shared" si="0"/>
        <v>0</v>
      </c>
      <c r="Z58" s="92">
        <f t="shared" si="1"/>
        <v>0</v>
      </c>
      <c r="AA58" s="92">
        <f t="shared" si="2"/>
        <v>0</v>
      </c>
      <c r="AB58" s="92">
        <f t="shared" si="3"/>
        <v>0</v>
      </c>
      <c r="AC58" s="92"/>
      <c r="AD58" s="92">
        <v>0</v>
      </c>
      <c r="AE58" s="92">
        <f t="shared" si="4"/>
        <v>0</v>
      </c>
      <c r="AF58" s="93">
        <v>0</v>
      </c>
      <c r="AG58" s="89">
        <v>40581</v>
      </c>
      <c r="AH58" s="94"/>
      <c r="AI58" s="102" t="s">
        <v>4336</v>
      </c>
      <c r="AJ58" s="96" t="s">
        <v>4337</v>
      </c>
      <c r="AK58" s="97"/>
      <c r="AL58" s="89"/>
      <c r="AM58" s="100" t="s">
        <v>940</v>
      </c>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114"/>
      <c r="CQ58" s="115"/>
      <c r="CR58" s="114"/>
      <c r="CS58" s="115"/>
      <c r="CT58" s="114"/>
      <c r="CU58" s="115"/>
      <c r="CV58" s="99">
        <f t="shared" si="5"/>
        <v>0</v>
      </c>
      <c r="CW58" s="114"/>
      <c r="CX58" s="115"/>
      <c r="CY58" s="114"/>
      <c r="CZ58" s="115"/>
      <c r="DA58" s="115"/>
      <c r="DB58" s="115"/>
      <c r="DC58" s="114"/>
      <c r="DD58" s="115"/>
      <c r="DE58" s="97"/>
      <c r="DF58" s="269"/>
    </row>
    <row r="59" spans="1:110" s="270" customFormat="1" x14ac:dyDescent="0.2">
      <c r="A59" s="89">
        <v>40575</v>
      </c>
      <c r="B59" s="90" t="s">
        <v>3316</v>
      </c>
      <c r="C59" s="90" t="s">
        <v>2283</v>
      </c>
      <c r="D59" s="90" t="s">
        <v>4264</v>
      </c>
      <c r="E59" s="90" t="str">
        <f>VLOOKUP(B59&amp;C59,Divipola!$C$2:$F$1138,4,FALSE)</f>
        <v>73270</v>
      </c>
      <c r="F59" s="90"/>
      <c r="G59" s="101"/>
      <c r="H59" s="101"/>
      <c r="I59" s="101"/>
      <c r="J59" s="101">
        <v>158</v>
      </c>
      <c r="K59" s="101">
        <v>35</v>
      </c>
      <c r="L59" s="101"/>
      <c r="M59" s="101">
        <v>35</v>
      </c>
      <c r="N59" s="101"/>
      <c r="O59" s="101"/>
      <c r="P59" s="101"/>
      <c r="Q59" s="101"/>
      <c r="R59" s="101"/>
      <c r="S59" s="101"/>
      <c r="T59" s="101"/>
      <c r="U59" s="101"/>
      <c r="V59" s="101"/>
      <c r="W59" s="91"/>
      <c r="X59" s="89"/>
      <c r="Y59" s="92">
        <f t="shared" si="0"/>
        <v>0</v>
      </c>
      <c r="Z59" s="92">
        <f t="shared" si="1"/>
        <v>0</v>
      </c>
      <c r="AA59" s="92">
        <f t="shared" si="2"/>
        <v>0</v>
      </c>
      <c r="AB59" s="92">
        <f t="shared" si="3"/>
        <v>0</v>
      </c>
      <c r="AC59" s="92"/>
      <c r="AD59" s="92">
        <v>0</v>
      </c>
      <c r="AE59" s="92">
        <f t="shared" si="4"/>
        <v>0</v>
      </c>
      <c r="AF59" s="93">
        <v>0</v>
      </c>
      <c r="AG59" s="89"/>
      <c r="AH59" s="94"/>
      <c r="AI59" s="102" t="s">
        <v>4336</v>
      </c>
      <c r="AJ59" s="96" t="s">
        <v>4337</v>
      </c>
      <c r="AK59" s="97"/>
      <c r="AL59" s="89"/>
      <c r="AM59" s="100" t="s">
        <v>3530</v>
      </c>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114"/>
      <c r="CQ59" s="115"/>
      <c r="CR59" s="114"/>
      <c r="CS59" s="115"/>
      <c r="CT59" s="114"/>
      <c r="CU59" s="115"/>
      <c r="CV59" s="99">
        <f t="shared" si="5"/>
        <v>0</v>
      </c>
      <c r="CW59" s="114"/>
      <c r="CX59" s="115"/>
      <c r="CY59" s="114"/>
      <c r="CZ59" s="115"/>
      <c r="DA59" s="115"/>
      <c r="DB59" s="115"/>
      <c r="DC59" s="114"/>
      <c r="DD59" s="115"/>
      <c r="DE59" s="97"/>
      <c r="DF59" s="269"/>
    </row>
    <row r="60" spans="1:110" s="270" customFormat="1" ht="24" x14ac:dyDescent="0.2">
      <c r="A60" s="89">
        <v>40576</v>
      </c>
      <c r="B60" s="90" t="s">
        <v>1116</v>
      </c>
      <c r="C60" s="90" t="s">
        <v>1116</v>
      </c>
      <c r="D60" s="90" t="s">
        <v>4298</v>
      </c>
      <c r="E60" s="90" t="str">
        <f>VLOOKUP(B60&amp;C60,Divipola!$C$2:$F$1138,4,FALSE)</f>
        <v>11001</v>
      </c>
      <c r="F60" s="90"/>
      <c r="G60" s="101"/>
      <c r="H60" s="101"/>
      <c r="I60" s="101"/>
      <c r="J60" s="101">
        <v>5</v>
      </c>
      <c r="K60" s="101">
        <v>1</v>
      </c>
      <c r="L60" s="101"/>
      <c r="M60" s="101">
        <v>1</v>
      </c>
      <c r="N60" s="101"/>
      <c r="O60" s="101"/>
      <c r="P60" s="101"/>
      <c r="Q60" s="101"/>
      <c r="R60" s="101"/>
      <c r="S60" s="101"/>
      <c r="T60" s="101"/>
      <c r="U60" s="101"/>
      <c r="V60" s="101"/>
      <c r="W60" s="91"/>
      <c r="X60" s="89"/>
      <c r="Y60" s="92">
        <f t="shared" si="0"/>
        <v>0</v>
      </c>
      <c r="Z60" s="92">
        <f t="shared" si="1"/>
        <v>0</v>
      </c>
      <c r="AA60" s="92">
        <f t="shared" si="2"/>
        <v>0</v>
      </c>
      <c r="AB60" s="92">
        <f t="shared" si="3"/>
        <v>0</v>
      </c>
      <c r="AC60" s="92"/>
      <c r="AD60" s="92">
        <v>0</v>
      </c>
      <c r="AE60" s="92">
        <f t="shared" si="4"/>
        <v>0</v>
      </c>
      <c r="AF60" s="93">
        <v>0</v>
      </c>
      <c r="AG60" s="89">
        <v>40581</v>
      </c>
      <c r="AH60" s="94"/>
      <c r="AI60" s="95" t="s">
        <v>4336</v>
      </c>
      <c r="AJ60" s="96" t="s">
        <v>4337</v>
      </c>
      <c r="AK60" s="97"/>
      <c r="AL60" s="89"/>
      <c r="AM60" s="100" t="s">
        <v>941</v>
      </c>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114"/>
      <c r="CQ60" s="115"/>
      <c r="CR60" s="114"/>
      <c r="CS60" s="115"/>
      <c r="CT60" s="114"/>
      <c r="CU60" s="115"/>
      <c r="CV60" s="99">
        <f t="shared" si="5"/>
        <v>0</v>
      </c>
      <c r="CW60" s="114"/>
      <c r="CX60" s="115"/>
      <c r="CY60" s="114"/>
      <c r="CZ60" s="115"/>
      <c r="DA60" s="115"/>
      <c r="DB60" s="115"/>
      <c r="DC60" s="114"/>
      <c r="DD60" s="115"/>
      <c r="DE60" s="97"/>
      <c r="DF60" s="269"/>
    </row>
    <row r="61" spans="1:110" s="270" customFormat="1" ht="22.5" x14ac:dyDescent="0.2">
      <c r="A61" s="89">
        <v>40576</v>
      </c>
      <c r="B61" s="90" t="s">
        <v>4348</v>
      </c>
      <c r="C61" s="90" t="s">
        <v>4313</v>
      </c>
      <c r="D61" s="90" t="s">
        <v>2362</v>
      </c>
      <c r="E61" s="90" t="str">
        <f>VLOOKUP(B61&amp;C61,Divipola!$C$2:$F$1138,4,FALSE)</f>
        <v>66318</v>
      </c>
      <c r="F61" s="101"/>
      <c r="G61" s="101"/>
      <c r="H61" s="101"/>
      <c r="I61" s="101"/>
      <c r="J61" s="101">
        <v>20</v>
      </c>
      <c r="K61" s="101">
        <v>4</v>
      </c>
      <c r="L61" s="101">
        <v>2</v>
      </c>
      <c r="M61" s="101">
        <v>2</v>
      </c>
      <c r="N61" s="101"/>
      <c r="O61" s="101"/>
      <c r="P61" s="101"/>
      <c r="Q61" s="101"/>
      <c r="R61" s="101"/>
      <c r="S61" s="101"/>
      <c r="T61" s="101"/>
      <c r="U61" s="91"/>
      <c r="V61" s="89"/>
      <c r="W61" s="92"/>
      <c r="X61" s="92"/>
      <c r="Y61" s="92">
        <f t="shared" si="0"/>
        <v>0</v>
      </c>
      <c r="Z61" s="92">
        <f t="shared" si="1"/>
        <v>0</v>
      </c>
      <c r="AA61" s="92">
        <f t="shared" si="2"/>
        <v>0</v>
      </c>
      <c r="AB61" s="92">
        <f t="shared" si="3"/>
        <v>0</v>
      </c>
      <c r="AC61" s="92"/>
      <c r="AD61" s="92">
        <v>0</v>
      </c>
      <c r="AE61" s="92">
        <f t="shared" si="4"/>
        <v>0</v>
      </c>
      <c r="AF61" s="93">
        <v>0</v>
      </c>
      <c r="AG61" s="89"/>
      <c r="AH61" s="96"/>
      <c r="AI61" s="102" t="s">
        <v>4336</v>
      </c>
      <c r="AJ61" s="96" t="s">
        <v>4337</v>
      </c>
      <c r="AK61" s="100"/>
      <c r="AL61" s="89"/>
      <c r="AM61" s="90" t="s">
        <v>879</v>
      </c>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114"/>
      <c r="CQ61" s="115"/>
      <c r="CR61" s="114"/>
      <c r="CS61" s="115"/>
      <c r="CT61" s="114"/>
      <c r="CU61" s="115"/>
      <c r="CV61" s="99">
        <f t="shared" si="5"/>
        <v>0</v>
      </c>
      <c r="CW61" s="114"/>
      <c r="CX61" s="115"/>
      <c r="CY61" s="114"/>
      <c r="CZ61" s="115"/>
      <c r="DA61" s="115"/>
      <c r="DB61" s="115"/>
      <c r="DC61" s="114"/>
      <c r="DD61" s="115"/>
      <c r="DE61" s="97"/>
      <c r="DF61" s="269"/>
    </row>
    <row r="62" spans="1:110" s="270" customFormat="1" ht="24" x14ac:dyDescent="0.2">
      <c r="A62" s="89">
        <v>40577</v>
      </c>
      <c r="B62" s="16" t="s">
        <v>4296</v>
      </c>
      <c r="C62" s="16" t="s">
        <v>4352</v>
      </c>
      <c r="D62" s="90" t="s">
        <v>2362</v>
      </c>
      <c r="E62" s="90" t="str">
        <f>VLOOKUP(B62&amp;C62,Divipola!$C$2:$F$1138,4,FALSE)</f>
        <v>19100</v>
      </c>
      <c r="F62" s="4"/>
      <c r="G62" s="208"/>
      <c r="H62" s="208"/>
      <c r="I62" s="208"/>
      <c r="J62" s="208">
        <f>318*5</f>
        <v>1590</v>
      </c>
      <c r="K62" s="208">
        <v>318</v>
      </c>
      <c r="L62" s="208"/>
      <c r="M62" s="208">
        <v>318</v>
      </c>
      <c r="N62" s="208"/>
      <c r="O62" s="208"/>
      <c r="P62" s="208"/>
      <c r="Q62" s="208"/>
      <c r="R62" s="208"/>
      <c r="S62" s="208"/>
      <c r="T62" s="208"/>
      <c r="U62" s="208"/>
      <c r="V62" s="208"/>
      <c r="W62" s="19"/>
      <c r="X62" s="17"/>
      <c r="Y62" s="5">
        <f t="shared" si="0"/>
        <v>0</v>
      </c>
      <c r="Z62" s="5">
        <f t="shared" si="1"/>
        <v>0</v>
      </c>
      <c r="AA62" s="5">
        <f t="shared" si="2"/>
        <v>0</v>
      </c>
      <c r="AB62" s="5">
        <f t="shared" si="3"/>
        <v>0</v>
      </c>
      <c r="AC62" s="5"/>
      <c r="AD62" s="5">
        <v>0</v>
      </c>
      <c r="AE62" s="5">
        <f t="shared" si="4"/>
        <v>0</v>
      </c>
      <c r="AF62" s="70">
        <v>0</v>
      </c>
      <c r="AG62" s="17"/>
      <c r="AH62" s="18"/>
      <c r="AI62" s="47" t="s">
        <v>4336</v>
      </c>
      <c r="AJ62" s="73" t="s">
        <v>4337</v>
      </c>
      <c r="AK62" s="45"/>
      <c r="AL62" s="17"/>
      <c r="AM62" s="20" t="s">
        <v>15</v>
      </c>
      <c r="AN62" s="19"/>
      <c r="AO62" s="19"/>
      <c r="AP62" s="19"/>
      <c r="AQ62" s="19"/>
      <c r="AR62" s="19"/>
      <c r="AS62" s="19"/>
      <c r="AT62" s="19"/>
      <c r="AU62" s="19"/>
      <c r="AV62" s="19"/>
      <c r="AW62" s="19"/>
      <c r="AX62" s="107"/>
      <c r="AY62" s="107"/>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39"/>
      <c r="CO62" s="138"/>
      <c r="CP62" s="139"/>
      <c r="CQ62" s="138"/>
      <c r="CR62" s="139"/>
      <c r="CS62" s="138"/>
      <c r="CT62" s="72"/>
      <c r="CU62" s="139"/>
      <c r="CV62" s="99">
        <f t="shared" si="5"/>
        <v>0</v>
      </c>
      <c r="CW62" s="139"/>
      <c r="CX62" s="138"/>
      <c r="CY62" s="138"/>
      <c r="CZ62" s="138"/>
      <c r="DA62" s="139"/>
      <c r="DB62" s="138"/>
      <c r="DC62" s="45"/>
      <c r="DD62" s="138"/>
      <c r="DE62" s="45"/>
      <c r="DF62" s="269"/>
    </row>
    <row r="63" spans="1:110" s="270" customFormat="1" ht="22.5" x14ac:dyDescent="0.2">
      <c r="A63" s="89">
        <v>40577</v>
      </c>
      <c r="B63" s="90" t="s">
        <v>4219</v>
      </c>
      <c r="C63" s="90" t="s">
        <v>3467</v>
      </c>
      <c r="D63" s="90" t="s">
        <v>4298</v>
      </c>
      <c r="E63" s="90" t="str">
        <f>VLOOKUP(B63&amp;C63,Divipola!$C$2:$F$1138,4,FALSE)</f>
        <v>41016</v>
      </c>
      <c r="F63" s="90"/>
      <c r="G63" s="101"/>
      <c r="H63" s="101"/>
      <c r="I63" s="101"/>
      <c r="J63" s="101">
        <v>5</v>
      </c>
      <c r="K63" s="101">
        <v>1</v>
      </c>
      <c r="L63" s="101"/>
      <c r="M63" s="101">
        <v>1</v>
      </c>
      <c r="N63" s="101"/>
      <c r="O63" s="101"/>
      <c r="P63" s="101"/>
      <c r="Q63" s="101"/>
      <c r="R63" s="101"/>
      <c r="S63" s="101"/>
      <c r="T63" s="101"/>
      <c r="U63" s="101"/>
      <c r="V63" s="101"/>
      <c r="W63" s="91"/>
      <c r="X63" s="89"/>
      <c r="Y63" s="92">
        <f t="shared" si="0"/>
        <v>0</v>
      </c>
      <c r="Z63" s="92">
        <f t="shared" si="1"/>
        <v>0</v>
      </c>
      <c r="AA63" s="92">
        <f t="shared" si="2"/>
        <v>0</v>
      </c>
      <c r="AB63" s="92">
        <f t="shared" si="3"/>
        <v>0</v>
      </c>
      <c r="AC63" s="92"/>
      <c r="AD63" s="92">
        <v>0</v>
      </c>
      <c r="AE63" s="92">
        <f t="shared" si="4"/>
        <v>0</v>
      </c>
      <c r="AF63" s="93">
        <v>0</v>
      </c>
      <c r="AG63" s="89">
        <v>40581</v>
      </c>
      <c r="AH63" s="94"/>
      <c r="AI63" s="95" t="s">
        <v>4336</v>
      </c>
      <c r="AJ63" s="96" t="s">
        <v>4337</v>
      </c>
      <c r="AK63" s="97"/>
      <c r="AL63" s="89"/>
      <c r="AM63" s="100" t="s">
        <v>944</v>
      </c>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114"/>
      <c r="CQ63" s="115"/>
      <c r="CR63" s="114"/>
      <c r="CS63" s="115"/>
      <c r="CT63" s="114"/>
      <c r="CU63" s="115"/>
      <c r="CV63" s="99">
        <f t="shared" si="5"/>
        <v>0</v>
      </c>
      <c r="CW63" s="114"/>
      <c r="CX63" s="115"/>
      <c r="CY63" s="114"/>
      <c r="CZ63" s="115"/>
      <c r="DA63" s="115"/>
      <c r="DB63" s="115"/>
      <c r="DC63" s="114"/>
      <c r="DD63" s="115"/>
      <c r="DE63" s="97"/>
      <c r="DF63" s="269"/>
    </row>
    <row r="64" spans="1:110" s="270" customFormat="1" ht="22.5" x14ac:dyDescent="0.2">
      <c r="A64" s="89">
        <v>40577</v>
      </c>
      <c r="B64" s="90" t="s">
        <v>4387</v>
      </c>
      <c r="C64" s="90" t="s">
        <v>848</v>
      </c>
      <c r="D64" s="90" t="s">
        <v>2362</v>
      </c>
      <c r="E64" s="90" t="str">
        <f>VLOOKUP(B64&amp;C64,Divipola!$C$2:$F$1138,4,FALSE)</f>
        <v>52019</v>
      </c>
      <c r="F64" s="90"/>
      <c r="G64" s="101"/>
      <c r="H64" s="101"/>
      <c r="I64" s="101"/>
      <c r="J64" s="101">
        <v>1441</v>
      </c>
      <c r="K64" s="101">
        <v>1441</v>
      </c>
      <c r="L64" s="101"/>
      <c r="M64" s="101"/>
      <c r="N64" s="101"/>
      <c r="O64" s="101"/>
      <c r="P64" s="101"/>
      <c r="Q64" s="101"/>
      <c r="R64" s="101"/>
      <c r="S64" s="101"/>
      <c r="T64" s="101"/>
      <c r="U64" s="101"/>
      <c r="V64" s="101">
        <v>3301.4</v>
      </c>
      <c r="W64" s="91"/>
      <c r="X64" s="105"/>
      <c r="Y64" s="92">
        <f t="shared" si="0"/>
        <v>0</v>
      </c>
      <c r="Z64" s="92">
        <f t="shared" si="1"/>
        <v>0</v>
      </c>
      <c r="AA64" s="92">
        <f t="shared" si="2"/>
        <v>0</v>
      </c>
      <c r="AB64" s="92">
        <f t="shared" si="3"/>
        <v>0</v>
      </c>
      <c r="AC64" s="92"/>
      <c r="AD64" s="92">
        <v>0</v>
      </c>
      <c r="AE64" s="92">
        <f t="shared" si="4"/>
        <v>0</v>
      </c>
      <c r="AF64" s="93">
        <v>0</v>
      </c>
      <c r="AG64" s="105"/>
      <c r="AH64" s="108"/>
      <c r="AI64" s="109" t="s">
        <v>4336</v>
      </c>
      <c r="AJ64" s="110" t="s">
        <v>4337</v>
      </c>
      <c r="AK64" s="111"/>
      <c r="AL64" s="105" t="s">
        <v>1069</v>
      </c>
      <c r="AM64" s="100" t="s">
        <v>2904</v>
      </c>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18"/>
      <c r="CO64" s="119"/>
      <c r="CP64" s="118"/>
      <c r="CQ64" s="119"/>
      <c r="CR64" s="118"/>
      <c r="CS64" s="119"/>
      <c r="CT64" s="113"/>
      <c r="CU64" s="118"/>
      <c r="CV64" s="99">
        <f t="shared" si="5"/>
        <v>0</v>
      </c>
      <c r="CW64" s="118"/>
      <c r="CX64" s="119"/>
      <c r="CY64" s="119"/>
      <c r="CZ64" s="119"/>
      <c r="DA64" s="118"/>
      <c r="DB64" s="119"/>
      <c r="DC64" s="111"/>
      <c r="DD64" s="119"/>
      <c r="DE64" s="111"/>
      <c r="DF64" s="269"/>
    </row>
    <row r="65" spans="1:110" s="270" customFormat="1" ht="22.5" x14ac:dyDescent="0.2">
      <c r="A65" s="89">
        <v>40577</v>
      </c>
      <c r="B65" s="90" t="s">
        <v>4387</v>
      </c>
      <c r="C65" s="90" t="s">
        <v>441</v>
      </c>
      <c r="D65" s="90" t="s">
        <v>2362</v>
      </c>
      <c r="E65" s="90" t="str">
        <f>VLOOKUP(B65&amp;C65,Divipola!$C$2:$F$1138,4,FALSE)</f>
        <v>52036</v>
      </c>
      <c r="F65" s="90"/>
      <c r="G65" s="101"/>
      <c r="H65" s="101"/>
      <c r="I65" s="101"/>
      <c r="J65" s="101">
        <v>296</v>
      </c>
      <c r="K65" s="101">
        <v>296</v>
      </c>
      <c r="L65" s="101"/>
      <c r="M65" s="101"/>
      <c r="N65" s="101"/>
      <c r="O65" s="101"/>
      <c r="P65" s="101"/>
      <c r="Q65" s="101"/>
      <c r="R65" s="101"/>
      <c r="S65" s="101"/>
      <c r="T65" s="101"/>
      <c r="U65" s="101"/>
      <c r="V65" s="101">
        <v>375.95</v>
      </c>
      <c r="W65" s="91"/>
      <c r="X65" s="105"/>
      <c r="Y65" s="92">
        <f t="shared" si="0"/>
        <v>0</v>
      </c>
      <c r="Z65" s="92">
        <f t="shared" si="1"/>
        <v>0</v>
      </c>
      <c r="AA65" s="92">
        <f t="shared" si="2"/>
        <v>0</v>
      </c>
      <c r="AB65" s="92">
        <f t="shared" si="3"/>
        <v>0</v>
      </c>
      <c r="AC65" s="92"/>
      <c r="AD65" s="92">
        <v>0</v>
      </c>
      <c r="AE65" s="92">
        <f t="shared" si="4"/>
        <v>0</v>
      </c>
      <c r="AF65" s="93">
        <v>0</v>
      </c>
      <c r="AG65" s="105"/>
      <c r="AH65" s="108"/>
      <c r="AI65" s="109" t="s">
        <v>4336</v>
      </c>
      <c r="AJ65" s="110" t="s">
        <v>4337</v>
      </c>
      <c r="AK65" s="111"/>
      <c r="AL65" s="105" t="s">
        <v>1069</v>
      </c>
      <c r="AM65" s="100" t="s">
        <v>2904</v>
      </c>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18"/>
      <c r="CO65" s="119"/>
      <c r="CP65" s="118"/>
      <c r="CQ65" s="119"/>
      <c r="CR65" s="118"/>
      <c r="CS65" s="119"/>
      <c r="CT65" s="113"/>
      <c r="CU65" s="118"/>
      <c r="CV65" s="99">
        <f t="shared" si="5"/>
        <v>0</v>
      </c>
      <c r="CW65" s="118"/>
      <c r="CX65" s="119"/>
      <c r="CY65" s="119"/>
      <c r="CZ65" s="119"/>
      <c r="DA65" s="118"/>
      <c r="DB65" s="119"/>
      <c r="DC65" s="111"/>
      <c r="DD65" s="119"/>
      <c r="DE65" s="111"/>
      <c r="DF65" s="269"/>
    </row>
    <row r="66" spans="1:110" s="270" customFormat="1" ht="22.5" x14ac:dyDescent="0.2">
      <c r="A66" s="89">
        <v>40577</v>
      </c>
      <c r="B66" s="90" t="s">
        <v>4387</v>
      </c>
      <c r="C66" s="90" t="s">
        <v>3328</v>
      </c>
      <c r="D66" s="90" t="s">
        <v>2362</v>
      </c>
      <c r="E66" s="90" t="str">
        <f>VLOOKUP(B66&amp;C66,Divipola!$C$2:$F$1138,4,FALSE)</f>
        <v>52051</v>
      </c>
      <c r="F66" s="90"/>
      <c r="G66" s="101"/>
      <c r="H66" s="101"/>
      <c r="I66" s="101"/>
      <c r="J66" s="101">
        <v>1102</v>
      </c>
      <c r="K66" s="101">
        <v>1102</v>
      </c>
      <c r="L66" s="101"/>
      <c r="M66" s="101"/>
      <c r="N66" s="101"/>
      <c r="O66" s="101"/>
      <c r="P66" s="101"/>
      <c r="Q66" s="101"/>
      <c r="R66" s="101"/>
      <c r="S66" s="101"/>
      <c r="T66" s="101"/>
      <c r="U66" s="101"/>
      <c r="V66" s="101">
        <v>1684</v>
      </c>
      <c r="W66" s="91"/>
      <c r="X66" s="105"/>
      <c r="Y66" s="92">
        <f t="shared" si="0"/>
        <v>0</v>
      </c>
      <c r="Z66" s="92">
        <f t="shared" si="1"/>
        <v>0</v>
      </c>
      <c r="AA66" s="92">
        <f t="shared" si="2"/>
        <v>0</v>
      </c>
      <c r="AB66" s="92">
        <f t="shared" si="3"/>
        <v>0</v>
      </c>
      <c r="AC66" s="92"/>
      <c r="AD66" s="92">
        <v>0</v>
      </c>
      <c r="AE66" s="92">
        <f t="shared" si="4"/>
        <v>0</v>
      </c>
      <c r="AF66" s="93">
        <v>0</v>
      </c>
      <c r="AG66" s="105"/>
      <c r="AH66" s="108"/>
      <c r="AI66" s="109" t="s">
        <v>4336</v>
      </c>
      <c r="AJ66" s="110" t="s">
        <v>4337</v>
      </c>
      <c r="AK66" s="111"/>
      <c r="AL66" s="105" t="s">
        <v>1069</v>
      </c>
      <c r="AM66" s="100" t="s">
        <v>2904</v>
      </c>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18"/>
      <c r="CO66" s="119"/>
      <c r="CP66" s="118"/>
      <c r="CQ66" s="119"/>
      <c r="CR66" s="118"/>
      <c r="CS66" s="119"/>
      <c r="CT66" s="113"/>
      <c r="CU66" s="118"/>
      <c r="CV66" s="99">
        <f t="shared" si="5"/>
        <v>0</v>
      </c>
      <c r="CW66" s="118"/>
      <c r="CX66" s="119"/>
      <c r="CY66" s="119"/>
      <c r="CZ66" s="119"/>
      <c r="DA66" s="118"/>
      <c r="DB66" s="119"/>
      <c r="DC66" s="111"/>
      <c r="DD66" s="119"/>
      <c r="DE66" s="111"/>
      <c r="DF66" s="269"/>
    </row>
    <row r="67" spans="1:110" s="270" customFormat="1" ht="24" x14ac:dyDescent="0.2">
      <c r="A67" s="89">
        <v>40578</v>
      </c>
      <c r="B67" s="90" t="s">
        <v>2218</v>
      </c>
      <c r="C67" s="90" t="s">
        <v>4391</v>
      </c>
      <c r="D67" s="90" t="s">
        <v>3311</v>
      </c>
      <c r="E67" s="90" t="str">
        <f>VLOOKUP(B67&amp;C67,Divipola!$C$2:$F$1138,4,FALSE)</f>
        <v>05736</v>
      </c>
      <c r="F67" s="90"/>
      <c r="G67" s="101">
        <v>1</v>
      </c>
      <c r="H67" s="101">
        <v>1</v>
      </c>
      <c r="I67" s="101"/>
      <c r="J67" s="101"/>
      <c r="K67" s="101"/>
      <c r="L67" s="101"/>
      <c r="M67" s="101"/>
      <c r="N67" s="101"/>
      <c r="O67" s="101"/>
      <c r="P67" s="101"/>
      <c r="Q67" s="101"/>
      <c r="R67" s="101"/>
      <c r="S67" s="101"/>
      <c r="T67" s="101"/>
      <c r="U67" s="101"/>
      <c r="V67" s="101"/>
      <c r="W67" s="91"/>
      <c r="X67" s="89"/>
      <c r="Y67" s="92">
        <f t="shared" ref="Y67:Y130" si="6">CV67</f>
        <v>0</v>
      </c>
      <c r="Z67" s="92">
        <f t="shared" ref="Z67:Z130" si="7">CZ67</f>
        <v>0</v>
      </c>
      <c r="AA67" s="92">
        <f t="shared" ref="AA67:AA130" si="8">DB67+DD67</f>
        <v>0</v>
      </c>
      <c r="AB67" s="92">
        <f t="shared" ref="AB67:AB130" si="9">CX67</f>
        <v>0</v>
      </c>
      <c r="AC67" s="92"/>
      <c r="AD67" s="92">
        <v>0</v>
      </c>
      <c r="AE67" s="92">
        <f t="shared" ref="AE67:AE130" si="10">Y67+Z67+AA67+AB67+AC67+AD67</f>
        <v>0</v>
      </c>
      <c r="AF67" s="93">
        <v>0</v>
      </c>
      <c r="AG67" s="89">
        <v>40581</v>
      </c>
      <c r="AH67" s="94"/>
      <c r="AI67" s="95" t="s">
        <v>4336</v>
      </c>
      <c r="AJ67" s="96" t="s">
        <v>4337</v>
      </c>
      <c r="AK67" s="97"/>
      <c r="AL67" s="89"/>
      <c r="AM67" s="100" t="s">
        <v>945</v>
      </c>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114"/>
      <c r="CQ67" s="115"/>
      <c r="CR67" s="114"/>
      <c r="CS67" s="115"/>
      <c r="CT67" s="114"/>
      <c r="CU67" s="115"/>
      <c r="CV67" s="99">
        <f t="shared" ref="CV67:CV130" si="11">AO67+AQ67+AS67+AU67+AW67+AY67+BA67+BC67+BE67+BG67+BI67+BK67+BM67+BO67+BQ67+BS67+BU67+BW67+BY67+CA67+CC67+CE67+CG67+CI67+CK67+CM67+CO67+CQ67+CS67+CU67</f>
        <v>0</v>
      </c>
      <c r="CW67" s="114"/>
      <c r="CX67" s="115"/>
      <c r="CY67" s="114"/>
      <c r="CZ67" s="115"/>
      <c r="DA67" s="115"/>
      <c r="DB67" s="115"/>
      <c r="DC67" s="114"/>
      <c r="DD67" s="115"/>
      <c r="DE67" s="97"/>
      <c r="DF67" s="269"/>
    </row>
    <row r="68" spans="1:110" s="270" customFormat="1" ht="22.5" x14ac:dyDescent="0.2">
      <c r="A68" s="89">
        <v>40578</v>
      </c>
      <c r="B68" s="90" t="s">
        <v>4387</v>
      </c>
      <c r="C68" s="90" t="s">
        <v>848</v>
      </c>
      <c r="D68" s="90" t="s">
        <v>2362</v>
      </c>
      <c r="E68" s="90" t="str">
        <f>VLOOKUP(B68&amp;C68,Divipola!$C$2:$F$1138,4,FALSE)</f>
        <v>52019</v>
      </c>
      <c r="F68" s="90"/>
      <c r="G68" s="101"/>
      <c r="H68" s="101"/>
      <c r="I68" s="101"/>
      <c r="J68" s="101">
        <v>1816</v>
      </c>
      <c r="K68" s="101">
        <v>573</v>
      </c>
      <c r="L68" s="101">
        <v>165</v>
      </c>
      <c r="M68" s="101">
        <v>408</v>
      </c>
      <c r="N68" s="101"/>
      <c r="O68" s="101"/>
      <c r="P68" s="101"/>
      <c r="Q68" s="101"/>
      <c r="R68" s="101"/>
      <c r="S68" s="101"/>
      <c r="T68" s="101"/>
      <c r="U68" s="101"/>
      <c r="V68" s="101"/>
      <c r="W68" s="91"/>
      <c r="X68" s="105"/>
      <c r="Y68" s="92">
        <f t="shared" si="6"/>
        <v>0</v>
      </c>
      <c r="Z68" s="92">
        <f t="shared" si="7"/>
        <v>0</v>
      </c>
      <c r="AA68" s="92">
        <f t="shared" si="8"/>
        <v>0</v>
      </c>
      <c r="AB68" s="92">
        <f t="shared" si="9"/>
        <v>0</v>
      </c>
      <c r="AC68" s="92"/>
      <c r="AD68" s="92">
        <v>0</v>
      </c>
      <c r="AE68" s="92">
        <f t="shared" si="10"/>
        <v>0</v>
      </c>
      <c r="AF68" s="93">
        <v>0</v>
      </c>
      <c r="AG68" s="105"/>
      <c r="AH68" s="108"/>
      <c r="AI68" s="109" t="s">
        <v>4336</v>
      </c>
      <c r="AJ68" s="110" t="s">
        <v>4337</v>
      </c>
      <c r="AK68" s="111"/>
      <c r="AL68" s="105" t="s">
        <v>1069</v>
      </c>
      <c r="AM68" s="100"/>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18"/>
      <c r="CO68" s="119"/>
      <c r="CP68" s="118"/>
      <c r="CQ68" s="119"/>
      <c r="CR68" s="118"/>
      <c r="CS68" s="119"/>
      <c r="CT68" s="113"/>
      <c r="CU68" s="118"/>
      <c r="CV68" s="99">
        <f t="shared" si="11"/>
        <v>0</v>
      </c>
      <c r="CW68" s="118"/>
      <c r="CX68" s="119"/>
      <c r="CY68" s="119"/>
      <c r="CZ68" s="119"/>
      <c r="DA68" s="118"/>
      <c r="DB68" s="119"/>
      <c r="DC68" s="111"/>
      <c r="DD68" s="119"/>
      <c r="DE68" s="111"/>
      <c r="DF68" s="269"/>
    </row>
    <row r="69" spans="1:110" s="270" customFormat="1" ht="96" x14ac:dyDescent="0.2">
      <c r="A69" s="89">
        <v>40578</v>
      </c>
      <c r="B69" s="90" t="s">
        <v>4387</v>
      </c>
      <c r="C69" s="90" t="s">
        <v>69</v>
      </c>
      <c r="D69" s="90" t="s">
        <v>2362</v>
      </c>
      <c r="E69" s="90" t="str">
        <f>VLOOKUP(B69&amp;C69,Divipola!$C$2:$F$1138,4,FALSE)</f>
        <v>52207</v>
      </c>
      <c r="F69" s="90"/>
      <c r="G69" s="101"/>
      <c r="H69" s="101"/>
      <c r="I69" s="101"/>
      <c r="J69" s="101">
        <v>3908</v>
      </c>
      <c r="K69" s="101">
        <v>977</v>
      </c>
      <c r="L69" s="101">
        <v>19</v>
      </c>
      <c r="M69" s="101">
        <v>958</v>
      </c>
      <c r="N69" s="101">
        <v>8</v>
      </c>
      <c r="O69" s="101"/>
      <c r="P69" s="101"/>
      <c r="Q69" s="101"/>
      <c r="R69" s="101"/>
      <c r="S69" s="101"/>
      <c r="T69" s="101"/>
      <c r="U69" s="101"/>
      <c r="V69" s="101"/>
      <c r="W69" s="91"/>
      <c r="X69" s="105"/>
      <c r="Y69" s="92">
        <f t="shared" si="6"/>
        <v>0</v>
      </c>
      <c r="Z69" s="92">
        <f t="shared" si="7"/>
        <v>0</v>
      </c>
      <c r="AA69" s="92">
        <f t="shared" si="8"/>
        <v>0</v>
      </c>
      <c r="AB69" s="92">
        <f t="shared" si="9"/>
        <v>0</v>
      </c>
      <c r="AC69" s="92"/>
      <c r="AD69" s="92">
        <v>0</v>
      </c>
      <c r="AE69" s="92">
        <f t="shared" si="10"/>
        <v>0</v>
      </c>
      <c r="AF69" s="93">
        <v>0</v>
      </c>
      <c r="AG69" s="105"/>
      <c r="AH69" s="108"/>
      <c r="AI69" s="109" t="s">
        <v>4336</v>
      </c>
      <c r="AJ69" s="110" t="s">
        <v>4337</v>
      </c>
      <c r="AK69" s="111"/>
      <c r="AL69" s="105" t="s">
        <v>1069</v>
      </c>
      <c r="AM69" s="100" t="s">
        <v>2905</v>
      </c>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18"/>
      <c r="CO69" s="119"/>
      <c r="CP69" s="118"/>
      <c r="CQ69" s="119"/>
      <c r="CR69" s="118"/>
      <c r="CS69" s="119"/>
      <c r="CT69" s="113"/>
      <c r="CU69" s="118"/>
      <c r="CV69" s="99">
        <f t="shared" si="11"/>
        <v>0</v>
      </c>
      <c r="CW69" s="118"/>
      <c r="CX69" s="119"/>
      <c r="CY69" s="119"/>
      <c r="CZ69" s="119"/>
      <c r="DA69" s="118"/>
      <c r="DB69" s="119"/>
      <c r="DC69" s="111"/>
      <c r="DD69" s="119"/>
      <c r="DE69" s="111"/>
      <c r="DF69" s="269"/>
    </row>
    <row r="70" spans="1:110" s="270" customFormat="1" ht="48" x14ac:dyDescent="0.2">
      <c r="A70" s="89">
        <v>40578</v>
      </c>
      <c r="B70" s="90" t="s">
        <v>4387</v>
      </c>
      <c r="C70" s="90" t="s">
        <v>456</v>
      </c>
      <c r="D70" s="90" t="s">
        <v>2362</v>
      </c>
      <c r="E70" s="90" t="str">
        <f>VLOOKUP(B70&amp;C70,Divipola!$C$2:$F$1138,4,FALSE)</f>
        <v>52227</v>
      </c>
      <c r="F70" s="90"/>
      <c r="G70" s="101"/>
      <c r="H70" s="101"/>
      <c r="I70" s="101"/>
      <c r="J70" s="101">
        <v>142</v>
      </c>
      <c r="K70" s="101">
        <v>10</v>
      </c>
      <c r="L70" s="101">
        <v>6</v>
      </c>
      <c r="M70" s="101">
        <v>4</v>
      </c>
      <c r="N70" s="101"/>
      <c r="O70" s="101"/>
      <c r="P70" s="101"/>
      <c r="Q70" s="101"/>
      <c r="R70" s="101"/>
      <c r="S70" s="101"/>
      <c r="T70" s="101"/>
      <c r="U70" s="101"/>
      <c r="V70" s="101">
        <v>3255</v>
      </c>
      <c r="W70" s="91"/>
      <c r="X70" s="105"/>
      <c r="Y70" s="92">
        <f t="shared" si="6"/>
        <v>0</v>
      </c>
      <c r="Z70" s="92">
        <f t="shared" si="7"/>
        <v>0</v>
      </c>
      <c r="AA70" s="92">
        <f t="shared" si="8"/>
        <v>0</v>
      </c>
      <c r="AB70" s="92">
        <f t="shared" si="9"/>
        <v>0</v>
      </c>
      <c r="AC70" s="92"/>
      <c r="AD70" s="92">
        <v>0</v>
      </c>
      <c r="AE70" s="92">
        <f t="shared" si="10"/>
        <v>0</v>
      </c>
      <c r="AF70" s="93">
        <v>0</v>
      </c>
      <c r="AG70" s="105"/>
      <c r="AH70" s="108"/>
      <c r="AI70" s="109" t="s">
        <v>4336</v>
      </c>
      <c r="AJ70" s="110" t="s">
        <v>4337</v>
      </c>
      <c r="AK70" s="111"/>
      <c r="AL70" s="105" t="s">
        <v>1069</v>
      </c>
      <c r="AM70" s="100" t="s">
        <v>2906</v>
      </c>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18"/>
      <c r="CO70" s="119"/>
      <c r="CP70" s="118"/>
      <c r="CQ70" s="119"/>
      <c r="CR70" s="118"/>
      <c r="CS70" s="119"/>
      <c r="CT70" s="113"/>
      <c r="CU70" s="118"/>
      <c r="CV70" s="99">
        <f t="shared" si="11"/>
        <v>0</v>
      </c>
      <c r="CW70" s="118"/>
      <c r="CX70" s="119"/>
      <c r="CY70" s="119"/>
      <c r="CZ70" s="119"/>
      <c r="DA70" s="118"/>
      <c r="DB70" s="119"/>
      <c r="DC70" s="111"/>
      <c r="DD70" s="119"/>
      <c r="DE70" s="111"/>
      <c r="DF70" s="269"/>
    </row>
    <row r="71" spans="1:110" s="270" customFormat="1" ht="36" x14ac:dyDescent="0.2">
      <c r="A71" s="89">
        <v>40578</v>
      </c>
      <c r="B71" s="90" t="s">
        <v>4221</v>
      </c>
      <c r="C71" s="90" t="s">
        <v>2237</v>
      </c>
      <c r="D71" s="90" t="s">
        <v>3311</v>
      </c>
      <c r="E71" s="90" t="str">
        <f>VLOOKUP(B71&amp;C71,Divipola!$C$2:$F$1138,4,FALSE)</f>
        <v>54261</v>
      </c>
      <c r="F71" s="90"/>
      <c r="G71" s="101">
        <v>1</v>
      </c>
      <c r="H71" s="101"/>
      <c r="I71" s="101"/>
      <c r="J71" s="101"/>
      <c r="K71" s="101"/>
      <c r="L71" s="101"/>
      <c r="M71" s="101"/>
      <c r="N71" s="101"/>
      <c r="O71" s="101"/>
      <c r="P71" s="101"/>
      <c r="Q71" s="101"/>
      <c r="R71" s="101"/>
      <c r="S71" s="101"/>
      <c r="T71" s="101"/>
      <c r="U71" s="101"/>
      <c r="V71" s="101"/>
      <c r="W71" s="91"/>
      <c r="X71" s="89"/>
      <c r="Y71" s="92">
        <f t="shared" si="6"/>
        <v>0</v>
      </c>
      <c r="Z71" s="92">
        <f t="shared" si="7"/>
        <v>0</v>
      </c>
      <c r="AA71" s="92">
        <f t="shared" si="8"/>
        <v>0</v>
      </c>
      <c r="AB71" s="92">
        <f t="shared" si="9"/>
        <v>0</v>
      </c>
      <c r="AC71" s="92"/>
      <c r="AD71" s="92">
        <v>0</v>
      </c>
      <c r="AE71" s="92">
        <f t="shared" si="10"/>
        <v>0</v>
      </c>
      <c r="AF71" s="93">
        <v>0</v>
      </c>
      <c r="AG71" s="89">
        <v>40581</v>
      </c>
      <c r="AH71" s="94"/>
      <c r="AI71" s="102" t="s">
        <v>4336</v>
      </c>
      <c r="AJ71" s="96" t="s">
        <v>4337</v>
      </c>
      <c r="AK71" s="97"/>
      <c r="AL71" s="89"/>
      <c r="AM71" s="100" t="s">
        <v>59</v>
      </c>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114"/>
      <c r="CQ71" s="115"/>
      <c r="CR71" s="114"/>
      <c r="CS71" s="115"/>
      <c r="CT71" s="114"/>
      <c r="CU71" s="115"/>
      <c r="CV71" s="99">
        <f t="shared" si="11"/>
        <v>0</v>
      </c>
      <c r="CW71" s="114"/>
      <c r="CX71" s="115"/>
      <c r="CY71" s="114"/>
      <c r="CZ71" s="115"/>
      <c r="DA71" s="115"/>
      <c r="DB71" s="115"/>
      <c r="DC71" s="114"/>
      <c r="DD71" s="115"/>
      <c r="DE71" s="97"/>
      <c r="DF71" s="269"/>
    </row>
    <row r="72" spans="1:110" s="270" customFormat="1" ht="24" x14ac:dyDescent="0.2">
      <c r="A72" s="89">
        <v>40578</v>
      </c>
      <c r="B72" s="90" t="s">
        <v>4244</v>
      </c>
      <c r="C72" s="90" t="s">
        <v>2867</v>
      </c>
      <c r="D72" s="90" t="s">
        <v>4298</v>
      </c>
      <c r="E72" s="90" t="str">
        <f>VLOOKUP(B72&amp;C72,Divipola!$C$2:$F$1138,4,FALSE)</f>
        <v>76403</v>
      </c>
      <c r="F72" s="90"/>
      <c r="G72" s="101"/>
      <c r="H72" s="101">
        <v>1</v>
      </c>
      <c r="I72" s="101"/>
      <c r="J72" s="101">
        <v>5</v>
      </c>
      <c r="K72" s="101">
        <v>1</v>
      </c>
      <c r="L72" s="101">
        <v>1</v>
      </c>
      <c r="M72" s="101"/>
      <c r="N72" s="101"/>
      <c r="O72" s="101"/>
      <c r="P72" s="101"/>
      <c r="Q72" s="101"/>
      <c r="R72" s="101"/>
      <c r="S72" s="101"/>
      <c r="T72" s="101"/>
      <c r="U72" s="101"/>
      <c r="V72" s="101"/>
      <c r="W72" s="91"/>
      <c r="X72" s="89"/>
      <c r="Y72" s="92">
        <f t="shared" si="6"/>
        <v>0</v>
      </c>
      <c r="Z72" s="92">
        <f t="shared" si="7"/>
        <v>0</v>
      </c>
      <c r="AA72" s="92">
        <f t="shared" si="8"/>
        <v>0</v>
      </c>
      <c r="AB72" s="92">
        <f t="shared" si="9"/>
        <v>0</v>
      </c>
      <c r="AC72" s="92"/>
      <c r="AD72" s="92">
        <v>0</v>
      </c>
      <c r="AE72" s="92">
        <f t="shared" si="10"/>
        <v>0</v>
      </c>
      <c r="AF72" s="93">
        <v>0</v>
      </c>
      <c r="AG72" s="89">
        <v>40581</v>
      </c>
      <c r="AH72" s="94"/>
      <c r="AI72" s="102" t="s">
        <v>4336</v>
      </c>
      <c r="AJ72" s="96" t="s">
        <v>4337</v>
      </c>
      <c r="AK72" s="97"/>
      <c r="AL72" s="89"/>
      <c r="AM72" s="100" t="s">
        <v>946</v>
      </c>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114"/>
      <c r="CQ72" s="115"/>
      <c r="CR72" s="114"/>
      <c r="CS72" s="115"/>
      <c r="CT72" s="114"/>
      <c r="CU72" s="115"/>
      <c r="CV72" s="99">
        <f t="shared" si="11"/>
        <v>0</v>
      </c>
      <c r="CW72" s="114"/>
      <c r="CX72" s="115"/>
      <c r="CY72" s="114"/>
      <c r="CZ72" s="115"/>
      <c r="DA72" s="115"/>
      <c r="DB72" s="115"/>
      <c r="DC72" s="114"/>
      <c r="DD72" s="115"/>
      <c r="DE72" s="97"/>
      <c r="DF72" s="269"/>
    </row>
    <row r="73" spans="1:110" s="270" customFormat="1" ht="22.5" x14ac:dyDescent="0.2">
      <c r="A73" s="89">
        <v>40579</v>
      </c>
      <c r="B73" s="90" t="s">
        <v>4348</v>
      </c>
      <c r="C73" s="90" t="s">
        <v>3302</v>
      </c>
      <c r="D73" s="90" t="s">
        <v>2362</v>
      </c>
      <c r="E73" s="90" t="str">
        <f>VLOOKUP(B73&amp;C73,Divipola!$C$2:$F$1138,4,FALSE)</f>
        <v>66045</v>
      </c>
      <c r="F73" s="101"/>
      <c r="G73" s="101"/>
      <c r="H73" s="101"/>
      <c r="I73" s="101"/>
      <c r="J73" s="101">
        <v>15</v>
      </c>
      <c r="K73" s="101">
        <v>3</v>
      </c>
      <c r="L73" s="101"/>
      <c r="M73" s="101">
        <v>3</v>
      </c>
      <c r="N73" s="101"/>
      <c r="O73" s="101"/>
      <c r="P73" s="101"/>
      <c r="Q73" s="101"/>
      <c r="R73" s="101"/>
      <c r="S73" s="101"/>
      <c r="T73" s="101"/>
      <c r="U73" s="91"/>
      <c r="V73" s="89"/>
      <c r="W73" s="92"/>
      <c r="X73" s="92"/>
      <c r="Y73" s="92">
        <f t="shared" si="6"/>
        <v>0</v>
      </c>
      <c r="Z73" s="92">
        <f t="shared" si="7"/>
        <v>0</v>
      </c>
      <c r="AA73" s="92">
        <f t="shared" si="8"/>
        <v>0</v>
      </c>
      <c r="AB73" s="92">
        <f t="shared" si="9"/>
        <v>0</v>
      </c>
      <c r="AC73" s="92"/>
      <c r="AD73" s="92">
        <v>0</v>
      </c>
      <c r="AE73" s="92">
        <f t="shared" si="10"/>
        <v>0</v>
      </c>
      <c r="AF73" s="93">
        <v>0</v>
      </c>
      <c r="AG73" s="89"/>
      <c r="AH73" s="96"/>
      <c r="AI73" s="102" t="s">
        <v>4336</v>
      </c>
      <c r="AJ73" s="96" t="s">
        <v>4337</v>
      </c>
      <c r="AK73" s="100"/>
      <c r="AL73" s="89"/>
      <c r="AM73" s="90" t="s">
        <v>876</v>
      </c>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114"/>
      <c r="CQ73" s="115"/>
      <c r="CR73" s="114"/>
      <c r="CS73" s="115"/>
      <c r="CT73" s="114"/>
      <c r="CU73" s="115"/>
      <c r="CV73" s="99">
        <f t="shared" si="11"/>
        <v>0</v>
      </c>
      <c r="CW73" s="114"/>
      <c r="CX73" s="115"/>
      <c r="CY73" s="114"/>
      <c r="CZ73" s="115"/>
      <c r="DA73" s="115"/>
      <c r="DB73" s="115"/>
      <c r="DC73" s="114"/>
      <c r="DD73" s="115"/>
      <c r="DE73" s="97"/>
      <c r="DF73" s="269"/>
    </row>
    <row r="74" spans="1:110" s="270" customFormat="1" ht="24" x14ac:dyDescent="0.2">
      <c r="A74" s="89">
        <v>40580</v>
      </c>
      <c r="B74" s="90" t="s">
        <v>4386</v>
      </c>
      <c r="C74" s="90" t="s">
        <v>4317</v>
      </c>
      <c r="D74" s="90" t="s">
        <v>4264</v>
      </c>
      <c r="E74" s="90" t="str">
        <f>VLOOKUP(B74&amp;C74,Divipola!$C$2:$F$1138,4,FALSE)</f>
        <v>20011</v>
      </c>
      <c r="F74" s="90"/>
      <c r="G74" s="101"/>
      <c r="H74" s="101"/>
      <c r="I74" s="101"/>
      <c r="J74" s="101">
        <v>60</v>
      </c>
      <c r="K74" s="101">
        <v>10</v>
      </c>
      <c r="L74" s="101">
        <v>1</v>
      </c>
      <c r="M74" s="101">
        <v>6</v>
      </c>
      <c r="N74" s="101"/>
      <c r="O74" s="101"/>
      <c r="P74" s="101"/>
      <c r="Q74" s="101"/>
      <c r="R74" s="101"/>
      <c r="S74" s="101"/>
      <c r="T74" s="101"/>
      <c r="U74" s="101"/>
      <c r="V74" s="101"/>
      <c r="W74" s="91"/>
      <c r="X74" s="89"/>
      <c r="Y74" s="92">
        <f t="shared" si="6"/>
        <v>0</v>
      </c>
      <c r="Z74" s="92">
        <f t="shared" si="7"/>
        <v>0</v>
      </c>
      <c r="AA74" s="92">
        <f t="shared" si="8"/>
        <v>0</v>
      </c>
      <c r="AB74" s="92">
        <f t="shared" si="9"/>
        <v>0</v>
      </c>
      <c r="AC74" s="92"/>
      <c r="AD74" s="92">
        <v>0</v>
      </c>
      <c r="AE74" s="92">
        <f t="shared" si="10"/>
        <v>0</v>
      </c>
      <c r="AF74" s="93">
        <v>0</v>
      </c>
      <c r="AG74" s="89">
        <v>40611</v>
      </c>
      <c r="AH74" s="94"/>
      <c r="AI74" s="102" t="s">
        <v>4346</v>
      </c>
      <c r="AJ74" s="96" t="s">
        <v>4347</v>
      </c>
      <c r="AK74" s="97"/>
      <c r="AL74" s="89" t="s">
        <v>1049</v>
      </c>
      <c r="AM74" s="100" t="s">
        <v>4218</v>
      </c>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114"/>
      <c r="CQ74" s="115"/>
      <c r="CR74" s="114"/>
      <c r="CS74" s="115"/>
      <c r="CT74" s="114"/>
      <c r="CU74" s="115"/>
      <c r="CV74" s="99">
        <f t="shared" si="11"/>
        <v>0</v>
      </c>
      <c r="CW74" s="114"/>
      <c r="CX74" s="115"/>
      <c r="CY74" s="114"/>
      <c r="CZ74" s="115"/>
      <c r="DA74" s="115"/>
      <c r="DB74" s="115"/>
      <c r="DC74" s="114"/>
      <c r="DD74" s="115"/>
      <c r="DE74" s="97"/>
      <c r="DF74" s="269"/>
    </row>
    <row r="75" spans="1:110" s="270" customFormat="1" ht="36" x14ac:dyDescent="0.2">
      <c r="A75" s="89">
        <v>40580</v>
      </c>
      <c r="B75" s="90" t="s">
        <v>4344</v>
      </c>
      <c r="C75" s="90" t="s">
        <v>3326</v>
      </c>
      <c r="D75" s="90" t="s">
        <v>4264</v>
      </c>
      <c r="E75" s="90" t="str">
        <f>VLOOKUP(B75&amp;C75,Divipola!$C$2:$F$1138,4,FALSE)</f>
        <v>25845</v>
      </c>
      <c r="F75" s="90"/>
      <c r="G75" s="101"/>
      <c r="H75" s="101"/>
      <c r="I75" s="101"/>
      <c r="J75" s="101">
        <v>498</v>
      </c>
      <c r="K75" s="101">
        <v>198</v>
      </c>
      <c r="L75" s="101"/>
      <c r="M75" s="101"/>
      <c r="N75" s="101">
        <v>3</v>
      </c>
      <c r="O75" s="101"/>
      <c r="P75" s="101"/>
      <c r="Q75" s="101">
        <v>1</v>
      </c>
      <c r="R75" s="101"/>
      <c r="S75" s="101"/>
      <c r="T75" s="101"/>
      <c r="U75" s="101"/>
      <c r="V75" s="101"/>
      <c r="W75" s="91"/>
      <c r="X75" s="89"/>
      <c r="Y75" s="92">
        <f t="shared" si="6"/>
        <v>0</v>
      </c>
      <c r="Z75" s="92">
        <f t="shared" si="7"/>
        <v>0</v>
      </c>
      <c r="AA75" s="92">
        <f t="shared" si="8"/>
        <v>0</v>
      </c>
      <c r="AB75" s="92">
        <f t="shared" si="9"/>
        <v>0</v>
      </c>
      <c r="AC75" s="92"/>
      <c r="AD75" s="92">
        <v>0</v>
      </c>
      <c r="AE75" s="92">
        <f t="shared" si="10"/>
        <v>0</v>
      </c>
      <c r="AF75" s="93">
        <v>0</v>
      </c>
      <c r="AG75" s="89">
        <v>40606</v>
      </c>
      <c r="AH75" s="94"/>
      <c r="AI75" s="102" t="s">
        <v>4336</v>
      </c>
      <c r="AJ75" s="96" t="s">
        <v>4337</v>
      </c>
      <c r="AK75" s="97"/>
      <c r="AL75" s="89"/>
      <c r="AM75" s="100" t="s">
        <v>4203</v>
      </c>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114"/>
      <c r="CQ75" s="115"/>
      <c r="CR75" s="114"/>
      <c r="CS75" s="115"/>
      <c r="CT75" s="114"/>
      <c r="CU75" s="115"/>
      <c r="CV75" s="99">
        <f t="shared" si="11"/>
        <v>0</v>
      </c>
      <c r="CW75" s="114"/>
      <c r="CX75" s="115"/>
      <c r="CY75" s="114"/>
      <c r="CZ75" s="115"/>
      <c r="DA75" s="115"/>
      <c r="DB75" s="115"/>
      <c r="DC75" s="114"/>
      <c r="DD75" s="115"/>
      <c r="DE75" s="97"/>
      <c r="DF75" s="269"/>
    </row>
    <row r="76" spans="1:110" s="270" customFormat="1" x14ac:dyDescent="0.2">
      <c r="A76" s="89">
        <v>40580</v>
      </c>
      <c r="B76" s="90" t="s">
        <v>4219</v>
      </c>
      <c r="C76" s="90" t="s">
        <v>3396</v>
      </c>
      <c r="D76" s="90" t="s">
        <v>4264</v>
      </c>
      <c r="E76" s="90" t="str">
        <f>VLOOKUP(B76&amp;C76,Divipola!$C$2:$F$1138,4,FALSE)</f>
        <v>41020</v>
      </c>
      <c r="F76" s="90"/>
      <c r="G76" s="101"/>
      <c r="H76" s="101"/>
      <c r="I76" s="101"/>
      <c r="J76" s="101">
        <f>163*5</f>
        <v>815</v>
      </c>
      <c r="K76" s="101">
        <v>163</v>
      </c>
      <c r="L76" s="101"/>
      <c r="M76" s="101">
        <v>39</v>
      </c>
      <c r="N76" s="101"/>
      <c r="O76" s="101"/>
      <c r="P76" s="101"/>
      <c r="Q76" s="101">
        <v>4</v>
      </c>
      <c r="R76" s="101"/>
      <c r="S76" s="101"/>
      <c r="T76" s="101"/>
      <c r="U76" s="101"/>
      <c r="V76" s="101">
        <v>388.83</v>
      </c>
      <c r="W76" s="91"/>
      <c r="X76" s="89"/>
      <c r="Y76" s="92">
        <f t="shared" si="6"/>
        <v>0</v>
      </c>
      <c r="Z76" s="92">
        <f t="shared" si="7"/>
        <v>0</v>
      </c>
      <c r="AA76" s="92">
        <f t="shared" si="8"/>
        <v>0</v>
      </c>
      <c r="AB76" s="92">
        <f t="shared" si="9"/>
        <v>0</v>
      </c>
      <c r="AC76" s="92"/>
      <c r="AD76" s="92">
        <v>0</v>
      </c>
      <c r="AE76" s="92">
        <f t="shared" si="10"/>
        <v>0</v>
      </c>
      <c r="AF76" s="93">
        <v>0</v>
      </c>
      <c r="AG76" s="89">
        <v>40618</v>
      </c>
      <c r="AH76" s="94"/>
      <c r="AI76" s="95" t="s">
        <v>4336</v>
      </c>
      <c r="AJ76" s="96" t="s">
        <v>4337</v>
      </c>
      <c r="AK76" s="97"/>
      <c r="AL76" s="89"/>
      <c r="AM76" s="100" t="s">
        <v>2152</v>
      </c>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114"/>
      <c r="CQ76" s="115"/>
      <c r="CR76" s="114"/>
      <c r="CS76" s="115"/>
      <c r="CT76" s="114"/>
      <c r="CU76" s="115"/>
      <c r="CV76" s="99">
        <f t="shared" si="11"/>
        <v>0</v>
      </c>
      <c r="CW76" s="114"/>
      <c r="CX76" s="115"/>
      <c r="CY76" s="114"/>
      <c r="CZ76" s="115"/>
      <c r="DA76" s="115"/>
      <c r="DB76" s="115"/>
      <c r="DC76" s="114"/>
      <c r="DD76" s="115"/>
      <c r="DE76" s="97"/>
      <c r="DF76" s="269"/>
    </row>
    <row r="77" spans="1:110" s="270" customFormat="1" x14ac:dyDescent="0.2">
      <c r="A77" s="89">
        <v>40580</v>
      </c>
      <c r="B77" s="90" t="s">
        <v>4219</v>
      </c>
      <c r="C77" s="90" t="s">
        <v>65</v>
      </c>
      <c r="D77" s="90" t="s">
        <v>4264</v>
      </c>
      <c r="E77" s="90" t="str">
        <f>VLOOKUP(B77&amp;C77,Divipola!$C$2:$F$1138,4,FALSE)</f>
        <v>41026</v>
      </c>
      <c r="F77" s="90"/>
      <c r="G77" s="101"/>
      <c r="H77" s="101"/>
      <c r="I77" s="101"/>
      <c r="J77" s="101">
        <v>16</v>
      </c>
      <c r="K77" s="101">
        <v>10</v>
      </c>
      <c r="L77" s="101"/>
      <c r="M77" s="101">
        <v>10</v>
      </c>
      <c r="N77" s="101"/>
      <c r="O77" s="101"/>
      <c r="P77" s="101"/>
      <c r="Q77" s="101"/>
      <c r="R77" s="101"/>
      <c r="S77" s="101"/>
      <c r="T77" s="101"/>
      <c r="U77" s="101"/>
      <c r="V77" s="101"/>
      <c r="W77" s="91"/>
      <c r="X77" s="89"/>
      <c r="Y77" s="92">
        <f t="shared" si="6"/>
        <v>0</v>
      </c>
      <c r="Z77" s="92">
        <f t="shared" si="7"/>
        <v>0</v>
      </c>
      <c r="AA77" s="92">
        <f t="shared" si="8"/>
        <v>0</v>
      </c>
      <c r="AB77" s="92">
        <f t="shared" si="9"/>
        <v>0</v>
      </c>
      <c r="AC77" s="92"/>
      <c r="AD77" s="92">
        <v>0</v>
      </c>
      <c r="AE77" s="92">
        <f t="shared" si="10"/>
        <v>0</v>
      </c>
      <c r="AF77" s="93">
        <v>0</v>
      </c>
      <c r="AG77" s="89">
        <v>40618</v>
      </c>
      <c r="AH77" s="94"/>
      <c r="AI77" s="95" t="s">
        <v>4336</v>
      </c>
      <c r="AJ77" s="96" t="s">
        <v>4337</v>
      </c>
      <c r="AK77" s="97"/>
      <c r="AL77" s="89"/>
      <c r="AM77" s="100" t="s">
        <v>2152</v>
      </c>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114"/>
      <c r="CQ77" s="115"/>
      <c r="CR77" s="114"/>
      <c r="CS77" s="115"/>
      <c r="CT77" s="114"/>
      <c r="CU77" s="115"/>
      <c r="CV77" s="99">
        <f t="shared" si="11"/>
        <v>0</v>
      </c>
      <c r="CW77" s="114"/>
      <c r="CX77" s="115"/>
      <c r="CY77" s="114"/>
      <c r="CZ77" s="115"/>
      <c r="DA77" s="115"/>
      <c r="DB77" s="115"/>
      <c r="DC77" s="114"/>
      <c r="DD77" s="115"/>
      <c r="DE77" s="97"/>
      <c r="DF77" s="269"/>
    </row>
    <row r="78" spans="1:110" s="270" customFormat="1" x14ac:dyDescent="0.2">
      <c r="A78" s="89">
        <v>40580</v>
      </c>
      <c r="B78" s="90" t="s">
        <v>4219</v>
      </c>
      <c r="C78" s="90" t="s">
        <v>3495</v>
      </c>
      <c r="D78" s="90" t="s">
        <v>4264</v>
      </c>
      <c r="E78" s="90" t="str">
        <f>VLOOKUP(B78&amp;C78,Divipola!$C$2:$F$1138,4,FALSE)</f>
        <v>41078</v>
      </c>
      <c r="F78" s="90"/>
      <c r="G78" s="101"/>
      <c r="H78" s="101"/>
      <c r="I78" s="101"/>
      <c r="J78" s="101">
        <f>90*5</f>
        <v>450</v>
      </c>
      <c r="K78" s="101">
        <v>90</v>
      </c>
      <c r="L78" s="101">
        <v>6</v>
      </c>
      <c r="M78" s="101">
        <v>51</v>
      </c>
      <c r="N78" s="101"/>
      <c r="O78" s="101"/>
      <c r="P78" s="101"/>
      <c r="Q78" s="101"/>
      <c r="R78" s="101">
        <v>1</v>
      </c>
      <c r="S78" s="101"/>
      <c r="T78" s="101">
        <v>1</v>
      </c>
      <c r="U78" s="101"/>
      <c r="V78" s="101">
        <v>56.5</v>
      </c>
      <c r="W78" s="91"/>
      <c r="X78" s="89"/>
      <c r="Y78" s="92">
        <f t="shared" si="6"/>
        <v>0</v>
      </c>
      <c r="Z78" s="92">
        <f t="shared" si="7"/>
        <v>0</v>
      </c>
      <c r="AA78" s="92">
        <f t="shared" si="8"/>
        <v>0</v>
      </c>
      <c r="AB78" s="92">
        <f t="shared" si="9"/>
        <v>0</v>
      </c>
      <c r="AC78" s="92"/>
      <c r="AD78" s="92">
        <v>0</v>
      </c>
      <c r="AE78" s="92">
        <f t="shared" si="10"/>
        <v>0</v>
      </c>
      <c r="AF78" s="93">
        <v>0</v>
      </c>
      <c r="AG78" s="89">
        <v>40618</v>
      </c>
      <c r="AH78" s="94"/>
      <c r="AI78" s="95" t="s">
        <v>4336</v>
      </c>
      <c r="AJ78" s="96" t="s">
        <v>4337</v>
      </c>
      <c r="AK78" s="97"/>
      <c r="AL78" s="89"/>
      <c r="AM78" s="100" t="s">
        <v>2152</v>
      </c>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114"/>
      <c r="CQ78" s="115"/>
      <c r="CR78" s="114"/>
      <c r="CS78" s="115"/>
      <c r="CT78" s="114"/>
      <c r="CU78" s="115"/>
      <c r="CV78" s="99">
        <f t="shared" si="11"/>
        <v>0</v>
      </c>
      <c r="CW78" s="114"/>
      <c r="CX78" s="115"/>
      <c r="CY78" s="114"/>
      <c r="CZ78" s="115"/>
      <c r="DA78" s="115"/>
      <c r="DB78" s="115"/>
      <c r="DC78" s="114"/>
      <c r="DD78" s="115"/>
      <c r="DE78" s="97"/>
      <c r="DF78" s="269"/>
    </row>
    <row r="79" spans="1:110" s="270" customFormat="1" x14ac:dyDescent="0.2">
      <c r="A79" s="89">
        <v>40580</v>
      </c>
      <c r="B79" s="90" t="s">
        <v>4219</v>
      </c>
      <c r="C79" s="90" t="s">
        <v>4521</v>
      </c>
      <c r="D79" s="90" t="s">
        <v>4264</v>
      </c>
      <c r="E79" s="90" t="str">
        <f>VLOOKUP(B79&amp;C79,Divipola!$C$2:$F$1138,4,FALSE)</f>
        <v>41132</v>
      </c>
      <c r="F79" s="90"/>
      <c r="G79" s="101"/>
      <c r="H79" s="101"/>
      <c r="I79" s="101"/>
      <c r="J79" s="101">
        <f>304*5</f>
        <v>1520</v>
      </c>
      <c r="K79" s="101">
        <v>304</v>
      </c>
      <c r="L79" s="101"/>
      <c r="M79" s="101">
        <v>304</v>
      </c>
      <c r="N79" s="101"/>
      <c r="O79" s="101"/>
      <c r="P79" s="101"/>
      <c r="Q79" s="101"/>
      <c r="R79" s="101"/>
      <c r="S79" s="101"/>
      <c r="T79" s="101"/>
      <c r="U79" s="101"/>
      <c r="V79" s="101"/>
      <c r="W79" s="91"/>
      <c r="X79" s="89"/>
      <c r="Y79" s="92">
        <f t="shared" si="6"/>
        <v>0</v>
      </c>
      <c r="Z79" s="92">
        <f t="shared" si="7"/>
        <v>0</v>
      </c>
      <c r="AA79" s="92">
        <f t="shared" si="8"/>
        <v>0</v>
      </c>
      <c r="AB79" s="92">
        <f t="shared" si="9"/>
        <v>0</v>
      </c>
      <c r="AC79" s="92"/>
      <c r="AD79" s="92">
        <v>0</v>
      </c>
      <c r="AE79" s="92">
        <f t="shared" si="10"/>
        <v>0</v>
      </c>
      <c r="AF79" s="93">
        <v>0</v>
      </c>
      <c r="AG79" s="89">
        <v>40618</v>
      </c>
      <c r="AH79" s="94"/>
      <c r="AI79" s="95" t="s">
        <v>4336</v>
      </c>
      <c r="AJ79" s="96" t="s">
        <v>4337</v>
      </c>
      <c r="AK79" s="97"/>
      <c r="AL79" s="89"/>
      <c r="AM79" s="100" t="s">
        <v>2152</v>
      </c>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114"/>
      <c r="CQ79" s="115"/>
      <c r="CR79" s="114"/>
      <c r="CS79" s="115"/>
      <c r="CT79" s="114"/>
      <c r="CU79" s="115"/>
      <c r="CV79" s="99">
        <f t="shared" si="11"/>
        <v>0</v>
      </c>
      <c r="CW79" s="114"/>
      <c r="CX79" s="115"/>
      <c r="CY79" s="114"/>
      <c r="CZ79" s="115"/>
      <c r="DA79" s="115"/>
      <c r="DB79" s="115"/>
      <c r="DC79" s="114"/>
      <c r="DD79" s="115"/>
      <c r="DE79" s="97"/>
      <c r="DF79" s="269"/>
    </row>
    <row r="80" spans="1:110" s="270" customFormat="1" x14ac:dyDescent="0.2">
      <c r="A80" s="89">
        <v>40580</v>
      </c>
      <c r="B80" s="90" t="s">
        <v>4219</v>
      </c>
      <c r="C80" s="90" t="s">
        <v>2278</v>
      </c>
      <c r="D80" s="90" t="s">
        <v>4264</v>
      </c>
      <c r="E80" s="90" t="str">
        <f>VLOOKUP(B80&amp;C80,Divipola!$C$2:$F$1138,4,FALSE)</f>
        <v>41306</v>
      </c>
      <c r="F80" s="90"/>
      <c r="G80" s="101"/>
      <c r="H80" s="101"/>
      <c r="I80" s="101"/>
      <c r="J80" s="101">
        <f>23*5</f>
        <v>115</v>
      </c>
      <c r="K80" s="101">
        <v>23</v>
      </c>
      <c r="L80" s="101"/>
      <c r="M80" s="101">
        <v>5</v>
      </c>
      <c r="N80" s="101"/>
      <c r="O80" s="101"/>
      <c r="P80" s="101"/>
      <c r="Q80" s="101"/>
      <c r="R80" s="101"/>
      <c r="S80" s="101"/>
      <c r="T80" s="101"/>
      <c r="U80" s="101"/>
      <c r="V80" s="101"/>
      <c r="W80" s="91"/>
      <c r="X80" s="89"/>
      <c r="Y80" s="92">
        <f t="shared" si="6"/>
        <v>0</v>
      </c>
      <c r="Z80" s="92">
        <f t="shared" si="7"/>
        <v>0</v>
      </c>
      <c r="AA80" s="92">
        <f t="shared" si="8"/>
        <v>0</v>
      </c>
      <c r="AB80" s="92">
        <f t="shared" si="9"/>
        <v>0</v>
      </c>
      <c r="AC80" s="92"/>
      <c r="AD80" s="92">
        <v>0</v>
      </c>
      <c r="AE80" s="92">
        <f t="shared" si="10"/>
        <v>0</v>
      </c>
      <c r="AF80" s="93">
        <v>0</v>
      </c>
      <c r="AG80" s="89">
        <v>40618</v>
      </c>
      <c r="AH80" s="94"/>
      <c r="AI80" s="95" t="s">
        <v>4336</v>
      </c>
      <c r="AJ80" s="96" t="s">
        <v>4337</v>
      </c>
      <c r="AK80" s="97"/>
      <c r="AL80" s="89"/>
      <c r="AM80" s="100" t="s">
        <v>2152</v>
      </c>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114"/>
      <c r="CQ80" s="115"/>
      <c r="CR80" s="114"/>
      <c r="CS80" s="115"/>
      <c r="CT80" s="114"/>
      <c r="CU80" s="115"/>
      <c r="CV80" s="99">
        <f t="shared" si="11"/>
        <v>0</v>
      </c>
      <c r="CW80" s="114"/>
      <c r="CX80" s="115"/>
      <c r="CY80" s="114"/>
      <c r="CZ80" s="115"/>
      <c r="DA80" s="115"/>
      <c r="DB80" s="115"/>
      <c r="DC80" s="114"/>
      <c r="DD80" s="115"/>
      <c r="DE80" s="97"/>
      <c r="DF80" s="269"/>
    </row>
    <row r="81" spans="1:110" s="270" customFormat="1" x14ac:dyDescent="0.2">
      <c r="A81" s="89">
        <v>40580</v>
      </c>
      <c r="B81" s="90" t="s">
        <v>4219</v>
      </c>
      <c r="C81" s="90" t="s">
        <v>3322</v>
      </c>
      <c r="D81" s="90" t="s">
        <v>2362</v>
      </c>
      <c r="E81" s="90" t="str">
        <f>VLOOKUP(B81&amp;C81,Divipola!$C$2:$F$1138,4,FALSE)</f>
        <v>41319</v>
      </c>
      <c r="F81" s="90"/>
      <c r="G81" s="101"/>
      <c r="H81" s="101"/>
      <c r="I81" s="101"/>
      <c r="J81" s="101">
        <v>45</v>
      </c>
      <c r="K81" s="101">
        <v>9</v>
      </c>
      <c r="L81" s="101"/>
      <c r="M81" s="101">
        <v>9</v>
      </c>
      <c r="N81" s="101"/>
      <c r="O81" s="101"/>
      <c r="P81" s="101">
        <v>4</v>
      </c>
      <c r="Q81" s="101"/>
      <c r="R81" s="101"/>
      <c r="S81" s="101"/>
      <c r="T81" s="101"/>
      <c r="U81" s="101"/>
      <c r="V81" s="101"/>
      <c r="W81" s="91"/>
      <c r="X81" s="89"/>
      <c r="Y81" s="92">
        <f t="shared" si="6"/>
        <v>0</v>
      </c>
      <c r="Z81" s="92">
        <f t="shared" si="7"/>
        <v>0</v>
      </c>
      <c r="AA81" s="92">
        <f t="shared" si="8"/>
        <v>0</v>
      </c>
      <c r="AB81" s="92">
        <f t="shared" si="9"/>
        <v>0</v>
      </c>
      <c r="AC81" s="92"/>
      <c r="AD81" s="92">
        <v>0</v>
      </c>
      <c r="AE81" s="92">
        <f t="shared" si="10"/>
        <v>0</v>
      </c>
      <c r="AF81" s="93">
        <v>0</v>
      </c>
      <c r="AG81" s="89">
        <v>40618</v>
      </c>
      <c r="AH81" s="94"/>
      <c r="AI81" s="95" t="s">
        <v>4336</v>
      </c>
      <c r="AJ81" s="96" t="s">
        <v>4337</v>
      </c>
      <c r="AK81" s="97"/>
      <c r="AL81" s="89"/>
      <c r="AM81" s="100" t="s">
        <v>2152</v>
      </c>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114"/>
      <c r="CQ81" s="115"/>
      <c r="CR81" s="114"/>
      <c r="CS81" s="115"/>
      <c r="CT81" s="114"/>
      <c r="CU81" s="115"/>
      <c r="CV81" s="99">
        <f t="shared" si="11"/>
        <v>0</v>
      </c>
      <c r="CW81" s="114"/>
      <c r="CX81" s="115"/>
      <c r="CY81" s="114"/>
      <c r="CZ81" s="115"/>
      <c r="DA81" s="115"/>
      <c r="DB81" s="115"/>
      <c r="DC81" s="114"/>
      <c r="DD81" s="115"/>
      <c r="DE81" s="97"/>
      <c r="DF81" s="277"/>
    </row>
    <row r="82" spans="1:110" s="270" customFormat="1" x14ac:dyDescent="0.2">
      <c r="A82" s="89">
        <v>40580</v>
      </c>
      <c r="B82" s="90" t="s">
        <v>4219</v>
      </c>
      <c r="C82" s="90" t="s">
        <v>3353</v>
      </c>
      <c r="D82" s="90" t="s">
        <v>4264</v>
      </c>
      <c r="E82" s="90" t="str">
        <f>VLOOKUP(B82&amp;C82,Divipola!$C$2:$F$1138,4,FALSE)</f>
        <v>41357</v>
      </c>
      <c r="F82" s="90"/>
      <c r="G82" s="101"/>
      <c r="H82" s="101"/>
      <c r="I82" s="101"/>
      <c r="J82" s="101">
        <f>42*5</f>
        <v>210</v>
      </c>
      <c r="K82" s="101">
        <v>42</v>
      </c>
      <c r="L82" s="101"/>
      <c r="M82" s="101">
        <v>42</v>
      </c>
      <c r="N82" s="101"/>
      <c r="O82" s="101"/>
      <c r="P82" s="101"/>
      <c r="Q82" s="101"/>
      <c r="R82" s="101"/>
      <c r="S82" s="101"/>
      <c r="T82" s="101"/>
      <c r="U82" s="101"/>
      <c r="V82" s="101">
        <v>890</v>
      </c>
      <c r="W82" s="91"/>
      <c r="X82" s="89"/>
      <c r="Y82" s="92">
        <f t="shared" si="6"/>
        <v>0</v>
      </c>
      <c r="Z82" s="92">
        <f t="shared" si="7"/>
        <v>0</v>
      </c>
      <c r="AA82" s="92">
        <f t="shared" si="8"/>
        <v>0</v>
      </c>
      <c r="AB82" s="92">
        <f t="shared" si="9"/>
        <v>0</v>
      </c>
      <c r="AC82" s="92"/>
      <c r="AD82" s="92">
        <v>0</v>
      </c>
      <c r="AE82" s="92">
        <f t="shared" si="10"/>
        <v>0</v>
      </c>
      <c r="AF82" s="93">
        <v>0</v>
      </c>
      <c r="AG82" s="89">
        <v>40618</v>
      </c>
      <c r="AH82" s="94"/>
      <c r="AI82" s="95" t="s">
        <v>4336</v>
      </c>
      <c r="AJ82" s="96" t="s">
        <v>4337</v>
      </c>
      <c r="AK82" s="97"/>
      <c r="AL82" s="89"/>
      <c r="AM82" s="100" t="s">
        <v>2152</v>
      </c>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114"/>
      <c r="CQ82" s="115"/>
      <c r="CR82" s="114"/>
      <c r="CS82" s="115"/>
      <c r="CT82" s="114"/>
      <c r="CU82" s="115"/>
      <c r="CV82" s="99">
        <f t="shared" si="11"/>
        <v>0</v>
      </c>
      <c r="CW82" s="114"/>
      <c r="CX82" s="115"/>
      <c r="CY82" s="114"/>
      <c r="CZ82" s="115"/>
      <c r="DA82" s="115"/>
      <c r="DB82" s="115"/>
      <c r="DC82" s="114"/>
      <c r="DD82" s="115"/>
      <c r="DE82" s="97"/>
      <c r="DF82" s="269"/>
    </row>
    <row r="83" spans="1:110" s="270" customFormat="1" x14ac:dyDescent="0.2">
      <c r="A83" s="89">
        <v>40580</v>
      </c>
      <c r="B83" s="90" t="s">
        <v>4219</v>
      </c>
      <c r="C83" s="90" t="s">
        <v>2246</v>
      </c>
      <c r="D83" s="90" t="s">
        <v>4264</v>
      </c>
      <c r="E83" s="90" t="str">
        <f>VLOOKUP(B83&amp;C83,Divipola!$C$2:$F$1138,4,FALSE)</f>
        <v>41378</v>
      </c>
      <c r="F83" s="90"/>
      <c r="G83" s="101"/>
      <c r="H83" s="101"/>
      <c r="I83" s="101"/>
      <c r="J83" s="101">
        <f>334*5</f>
        <v>1670</v>
      </c>
      <c r="K83" s="101">
        <f>102+232</f>
        <v>334</v>
      </c>
      <c r="L83" s="101"/>
      <c r="M83" s="101">
        <v>334</v>
      </c>
      <c r="N83" s="101">
        <v>6</v>
      </c>
      <c r="O83" s="101"/>
      <c r="P83" s="101"/>
      <c r="Q83" s="101"/>
      <c r="R83" s="101"/>
      <c r="S83" s="101"/>
      <c r="T83" s="101"/>
      <c r="U83" s="101"/>
      <c r="V83" s="101"/>
      <c r="W83" s="91"/>
      <c r="X83" s="89"/>
      <c r="Y83" s="92">
        <f t="shared" si="6"/>
        <v>0</v>
      </c>
      <c r="Z83" s="92">
        <f t="shared" si="7"/>
        <v>0</v>
      </c>
      <c r="AA83" s="92">
        <f t="shared" si="8"/>
        <v>0</v>
      </c>
      <c r="AB83" s="92">
        <f t="shared" si="9"/>
        <v>0</v>
      </c>
      <c r="AC83" s="92"/>
      <c r="AD83" s="92">
        <v>0</v>
      </c>
      <c r="AE83" s="92">
        <f t="shared" si="10"/>
        <v>0</v>
      </c>
      <c r="AF83" s="93">
        <v>0</v>
      </c>
      <c r="AG83" s="89">
        <v>40605</v>
      </c>
      <c r="AH83" s="94"/>
      <c r="AI83" s="95" t="s">
        <v>4336</v>
      </c>
      <c r="AJ83" s="96" t="s">
        <v>4337</v>
      </c>
      <c r="AK83" s="97"/>
      <c r="AL83" s="89"/>
      <c r="AM83" s="100" t="s">
        <v>3238</v>
      </c>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114"/>
      <c r="CQ83" s="115"/>
      <c r="CR83" s="114"/>
      <c r="CS83" s="115"/>
      <c r="CT83" s="114"/>
      <c r="CU83" s="115"/>
      <c r="CV83" s="99">
        <f t="shared" si="11"/>
        <v>0</v>
      </c>
      <c r="CW83" s="114"/>
      <c r="CX83" s="115"/>
      <c r="CY83" s="114"/>
      <c r="CZ83" s="115"/>
      <c r="DA83" s="115"/>
      <c r="DB83" s="115"/>
      <c r="DC83" s="114"/>
      <c r="DD83" s="115"/>
      <c r="DE83" s="97"/>
      <c r="DF83" s="269"/>
    </row>
    <row r="84" spans="1:110" s="270" customFormat="1" x14ac:dyDescent="0.2">
      <c r="A84" s="89">
        <v>40580</v>
      </c>
      <c r="B84" s="90" t="s">
        <v>4219</v>
      </c>
      <c r="C84" s="90" t="s">
        <v>3383</v>
      </c>
      <c r="D84" s="90" t="s">
        <v>4264</v>
      </c>
      <c r="E84" s="90" t="str">
        <f>VLOOKUP(B84&amp;C84,Divipola!$C$2:$F$1138,4,FALSE)</f>
        <v>41530</v>
      </c>
      <c r="F84" s="90"/>
      <c r="G84" s="101"/>
      <c r="H84" s="101"/>
      <c r="I84" s="101"/>
      <c r="J84" s="101">
        <f>90*5</f>
        <v>450</v>
      </c>
      <c r="K84" s="101">
        <v>90</v>
      </c>
      <c r="L84" s="101"/>
      <c r="M84" s="101">
        <v>90</v>
      </c>
      <c r="N84" s="101"/>
      <c r="O84" s="101"/>
      <c r="P84" s="101"/>
      <c r="Q84" s="101"/>
      <c r="R84" s="101"/>
      <c r="S84" s="101"/>
      <c r="T84" s="101"/>
      <c r="U84" s="101"/>
      <c r="V84" s="101"/>
      <c r="W84" s="91"/>
      <c r="X84" s="89"/>
      <c r="Y84" s="92">
        <f t="shared" si="6"/>
        <v>0</v>
      </c>
      <c r="Z84" s="92">
        <f t="shared" si="7"/>
        <v>0</v>
      </c>
      <c r="AA84" s="92">
        <f t="shared" si="8"/>
        <v>0</v>
      </c>
      <c r="AB84" s="92">
        <f t="shared" si="9"/>
        <v>0</v>
      </c>
      <c r="AC84" s="92"/>
      <c r="AD84" s="92">
        <v>0</v>
      </c>
      <c r="AE84" s="92">
        <f t="shared" si="10"/>
        <v>0</v>
      </c>
      <c r="AF84" s="93">
        <v>0</v>
      </c>
      <c r="AG84" s="89">
        <v>40618</v>
      </c>
      <c r="AH84" s="94"/>
      <c r="AI84" s="95" t="s">
        <v>4336</v>
      </c>
      <c r="AJ84" s="96" t="s">
        <v>4337</v>
      </c>
      <c r="AK84" s="97"/>
      <c r="AL84" s="89"/>
      <c r="AM84" s="100" t="s">
        <v>2152</v>
      </c>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114"/>
      <c r="CQ84" s="115"/>
      <c r="CR84" s="114"/>
      <c r="CS84" s="115"/>
      <c r="CT84" s="114"/>
      <c r="CU84" s="115"/>
      <c r="CV84" s="99">
        <f t="shared" si="11"/>
        <v>0</v>
      </c>
      <c r="CW84" s="114"/>
      <c r="CX84" s="115"/>
      <c r="CY84" s="114"/>
      <c r="CZ84" s="115"/>
      <c r="DA84" s="115"/>
      <c r="DB84" s="115"/>
      <c r="DC84" s="114"/>
      <c r="DD84" s="115"/>
      <c r="DE84" s="97"/>
      <c r="DF84" s="269"/>
    </row>
    <row r="85" spans="1:110" s="270" customFormat="1" x14ac:dyDescent="0.2">
      <c r="A85" s="89">
        <v>40580</v>
      </c>
      <c r="B85" s="90" t="s">
        <v>4219</v>
      </c>
      <c r="C85" s="90" t="s">
        <v>2250</v>
      </c>
      <c r="D85" s="90" t="s">
        <v>4264</v>
      </c>
      <c r="E85" s="90" t="str">
        <f>VLOOKUP(B85&amp;C85,Divipola!$C$2:$F$1138,4,FALSE)</f>
        <v>41797</v>
      </c>
      <c r="F85" s="90"/>
      <c r="G85" s="101"/>
      <c r="H85" s="101"/>
      <c r="I85" s="101"/>
      <c r="J85" s="101">
        <f>24*5</f>
        <v>120</v>
      </c>
      <c r="K85" s="101">
        <v>24</v>
      </c>
      <c r="L85" s="101"/>
      <c r="M85" s="101">
        <v>16</v>
      </c>
      <c r="N85" s="101"/>
      <c r="O85" s="101"/>
      <c r="P85" s="101"/>
      <c r="Q85" s="101"/>
      <c r="R85" s="101"/>
      <c r="S85" s="101"/>
      <c r="T85" s="101"/>
      <c r="U85" s="101"/>
      <c r="V85" s="101"/>
      <c r="W85" s="91"/>
      <c r="X85" s="89"/>
      <c r="Y85" s="92">
        <f t="shared" si="6"/>
        <v>0</v>
      </c>
      <c r="Z85" s="92">
        <f t="shared" si="7"/>
        <v>0</v>
      </c>
      <c r="AA85" s="92">
        <f t="shared" si="8"/>
        <v>0</v>
      </c>
      <c r="AB85" s="92">
        <f t="shared" si="9"/>
        <v>0</v>
      </c>
      <c r="AC85" s="92"/>
      <c r="AD85" s="92">
        <v>0</v>
      </c>
      <c r="AE85" s="92">
        <f t="shared" si="10"/>
        <v>0</v>
      </c>
      <c r="AF85" s="93">
        <v>0</v>
      </c>
      <c r="AG85" s="89">
        <v>40618</v>
      </c>
      <c r="AH85" s="94"/>
      <c r="AI85" s="95" t="s">
        <v>4336</v>
      </c>
      <c r="AJ85" s="96" t="s">
        <v>4337</v>
      </c>
      <c r="AK85" s="97"/>
      <c r="AL85" s="89"/>
      <c r="AM85" s="100" t="s">
        <v>2152</v>
      </c>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114"/>
      <c r="CQ85" s="115"/>
      <c r="CR85" s="114"/>
      <c r="CS85" s="115"/>
      <c r="CT85" s="114"/>
      <c r="CU85" s="115"/>
      <c r="CV85" s="99">
        <f t="shared" si="11"/>
        <v>0</v>
      </c>
      <c r="CW85" s="114"/>
      <c r="CX85" s="115"/>
      <c r="CY85" s="114"/>
      <c r="CZ85" s="115"/>
      <c r="DA85" s="115"/>
      <c r="DB85" s="115"/>
      <c r="DC85" s="114"/>
      <c r="DD85" s="115"/>
      <c r="DE85" s="97"/>
      <c r="DF85" s="269"/>
    </row>
    <row r="86" spans="1:110" s="270" customFormat="1" x14ac:dyDescent="0.2">
      <c r="A86" s="89">
        <v>40580</v>
      </c>
      <c r="B86" s="90" t="s">
        <v>4219</v>
      </c>
      <c r="C86" s="90" t="s">
        <v>4228</v>
      </c>
      <c r="D86" s="90" t="s">
        <v>2362</v>
      </c>
      <c r="E86" s="90" t="str">
        <f>VLOOKUP(B86&amp;C86,Divipola!$C$2:$F$1138,4,FALSE)</f>
        <v>41885</v>
      </c>
      <c r="F86" s="90"/>
      <c r="G86" s="101"/>
      <c r="H86" s="101"/>
      <c r="I86" s="101"/>
      <c r="J86" s="101">
        <f>31*5</f>
        <v>155</v>
      </c>
      <c r="K86" s="101">
        <v>31</v>
      </c>
      <c r="L86" s="101"/>
      <c r="M86" s="101">
        <v>31</v>
      </c>
      <c r="N86" s="101">
        <v>13</v>
      </c>
      <c r="O86" s="101"/>
      <c r="P86" s="101"/>
      <c r="Q86" s="101"/>
      <c r="R86" s="101"/>
      <c r="S86" s="101"/>
      <c r="T86" s="101">
        <v>7</v>
      </c>
      <c r="U86" s="101"/>
      <c r="V86" s="101">
        <v>2.25</v>
      </c>
      <c r="W86" s="91"/>
      <c r="X86" s="89"/>
      <c r="Y86" s="92">
        <f t="shared" si="6"/>
        <v>0</v>
      </c>
      <c r="Z86" s="92">
        <f t="shared" si="7"/>
        <v>0</v>
      </c>
      <c r="AA86" s="92">
        <f t="shared" si="8"/>
        <v>0</v>
      </c>
      <c r="AB86" s="92">
        <f t="shared" si="9"/>
        <v>0</v>
      </c>
      <c r="AC86" s="92"/>
      <c r="AD86" s="92">
        <v>0</v>
      </c>
      <c r="AE86" s="92">
        <f t="shared" si="10"/>
        <v>0</v>
      </c>
      <c r="AF86" s="93">
        <v>0</v>
      </c>
      <c r="AG86" s="89">
        <v>40618</v>
      </c>
      <c r="AH86" s="94"/>
      <c r="AI86" s="95" t="s">
        <v>4336</v>
      </c>
      <c r="AJ86" s="96" t="s">
        <v>4337</v>
      </c>
      <c r="AK86" s="97"/>
      <c r="AL86" s="89"/>
      <c r="AM86" s="100" t="s">
        <v>2152</v>
      </c>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114"/>
      <c r="CQ86" s="115"/>
      <c r="CR86" s="114"/>
      <c r="CS86" s="115"/>
      <c r="CT86" s="114"/>
      <c r="CU86" s="115"/>
      <c r="CV86" s="99">
        <f t="shared" si="11"/>
        <v>0</v>
      </c>
      <c r="CW86" s="114"/>
      <c r="CX86" s="115"/>
      <c r="CY86" s="114"/>
      <c r="CZ86" s="115"/>
      <c r="DA86" s="115"/>
      <c r="DB86" s="115"/>
      <c r="DC86" s="114"/>
      <c r="DD86" s="115"/>
      <c r="DE86" s="97"/>
      <c r="DF86" s="269"/>
    </row>
    <row r="87" spans="1:110" s="270" customFormat="1" ht="24" x14ac:dyDescent="0.2">
      <c r="A87" s="89">
        <v>40580</v>
      </c>
      <c r="B87" s="90" t="s">
        <v>4244</v>
      </c>
      <c r="C87" s="104" t="s">
        <v>2768</v>
      </c>
      <c r="D87" s="90" t="s">
        <v>4298</v>
      </c>
      <c r="E87" s="90" t="str">
        <f>VLOOKUP(B87&amp;C87,Divipola!$C$2:$F$1138,4,FALSE)</f>
        <v>76001</v>
      </c>
      <c r="F87" s="90"/>
      <c r="G87" s="101"/>
      <c r="H87" s="101"/>
      <c r="I87" s="101"/>
      <c r="J87" s="101"/>
      <c r="K87" s="101"/>
      <c r="L87" s="101"/>
      <c r="M87" s="101"/>
      <c r="N87" s="101"/>
      <c r="O87" s="101"/>
      <c r="P87" s="101"/>
      <c r="Q87" s="101"/>
      <c r="R87" s="101"/>
      <c r="S87" s="101"/>
      <c r="T87" s="101"/>
      <c r="U87" s="101"/>
      <c r="V87" s="101"/>
      <c r="W87" s="91" t="s">
        <v>4249</v>
      </c>
      <c r="X87" s="89"/>
      <c r="Y87" s="92">
        <f t="shared" si="6"/>
        <v>0</v>
      </c>
      <c r="Z87" s="92">
        <f t="shared" si="7"/>
        <v>0</v>
      </c>
      <c r="AA87" s="92">
        <f t="shared" si="8"/>
        <v>0</v>
      </c>
      <c r="AB87" s="92">
        <f t="shared" si="9"/>
        <v>0</v>
      </c>
      <c r="AC87" s="92"/>
      <c r="AD87" s="92">
        <v>0</v>
      </c>
      <c r="AE87" s="92">
        <f t="shared" si="10"/>
        <v>0</v>
      </c>
      <c r="AF87" s="93">
        <v>0</v>
      </c>
      <c r="AG87" s="89">
        <v>40581</v>
      </c>
      <c r="AH87" s="94"/>
      <c r="AI87" s="102" t="s">
        <v>4336</v>
      </c>
      <c r="AJ87" s="96" t="s">
        <v>4337</v>
      </c>
      <c r="AK87" s="97"/>
      <c r="AL87" s="89"/>
      <c r="AM87" s="100" t="s">
        <v>60</v>
      </c>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114"/>
      <c r="CQ87" s="115"/>
      <c r="CR87" s="114"/>
      <c r="CS87" s="115"/>
      <c r="CT87" s="114"/>
      <c r="CU87" s="115"/>
      <c r="CV87" s="99">
        <f t="shared" si="11"/>
        <v>0</v>
      </c>
      <c r="CW87" s="114"/>
      <c r="CX87" s="115"/>
      <c r="CY87" s="114"/>
      <c r="CZ87" s="115"/>
      <c r="DA87" s="115"/>
      <c r="DB87" s="115"/>
      <c r="DC87" s="114"/>
      <c r="DD87" s="115"/>
      <c r="DE87" s="97"/>
      <c r="DF87" s="269"/>
    </row>
    <row r="88" spans="1:110" s="270" customFormat="1" ht="24" x14ac:dyDescent="0.2">
      <c r="A88" s="89">
        <v>40581</v>
      </c>
      <c r="B88" s="90" t="s">
        <v>4344</v>
      </c>
      <c r="C88" s="90" t="s">
        <v>4231</v>
      </c>
      <c r="D88" s="90" t="s">
        <v>2362</v>
      </c>
      <c r="E88" s="90" t="str">
        <f>VLOOKUP(B88&amp;C88,Divipola!$C$2:$F$1138,4,FALSE)</f>
        <v>25290</v>
      </c>
      <c r="F88" s="90"/>
      <c r="G88" s="101"/>
      <c r="H88" s="101">
        <v>2</v>
      </c>
      <c r="I88" s="101"/>
      <c r="J88" s="101">
        <f>182-55-15-8</f>
        <v>104</v>
      </c>
      <c r="K88" s="101">
        <f>55-11-3-2</f>
        <v>39</v>
      </c>
      <c r="L88" s="101">
        <v>10</v>
      </c>
      <c r="M88" s="101">
        <f>43-11-3-2</f>
        <v>27</v>
      </c>
      <c r="N88" s="101"/>
      <c r="O88" s="101"/>
      <c r="P88" s="101"/>
      <c r="Q88" s="101"/>
      <c r="R88" s="101"/>
      <c r="S88" s="101"/>
      <c r="T88" s="101"/>
      <c r="U88" s="101"/>
      <c r="V88" s="101"/>
      <c r="W88" s="91"/>
      <c r="X88" s="89"/>
      <c r="Y88" s="92">
        <f t="shared" si="6"/>
        <v>0</v>
      </c>
      <c r="Z88" s="92">
        <f t="shared" si="7"/>
        <v>0</v>
      </c>
      <c r="AA88" s="92">
        <f t="shared" si="8"/>
        <v>0</v>
      </c>
      <c r="AB88" s="92">
        <f t="shared" si="9"/>
        <v>0</v>
      </c>
      <c r="AC88" s="92"/>
      <c r="AD88" s="92">
        <v>0</v>
      </c>
      <c r="AE88" s="92">
        <f t="shared" si="10"/>
        <v>0</v>
      </c>
      <c r="AF88" s="93">
        <v>0</v>
      </c>
      <c r="AG88" s="89">
        <v>40589</v>
      </c>
      <c r="AH88" s="94"/>
      <c r="AI88" s="102" t="s">
        <v>4336</v>
      </c>
      <c r="AJ88" s="96" t="s">
        <v>4337</v>
      </c>
      <c r="AK88" s="97"/>
      <c r="AL88" s="89"/>
      <c r="AM88" s="100" t="s">
        <v>1028</v>
      </c>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114"/>
      <c r="CQ88" s="115"/>
      <c r="CR88" s="114"/>
      <c r="CS88" s="115"/>
      <c r="CT88" s="114"/>
      <c r="CU88" s="115"/>
      <c r="CV88" s="99">
        <f t="shared" si="11"/>
        <v>0</v>
      </c>
      <c r="CW88" s="114"/>
      <c r="CX88" s="115"/>
      <c r="CY88" s="114"/>
      <c r="CZ88" s="115"/>
      <c r="DA88" s="115"/>
      <c r="DB88" s="115"/>
      <c r="DC88" s="114"/>
      <c r="DD88" s="115"/>
      <c r="DE88" s="97"/>
      <c r="DF88" s="269"/>
    </row>
    <row r="89" spans="1:110" s="270" customFormat="1" ht="24" x14ac:dyDescent="0.2">
      <c r="A89" s="89">
        <v>40581</v>
      </c>
      <c r="B89" s="90" t="s">
        <v>4344</v>
      </c>
      <c r="C89" s="90" t="s">
        <v>3473</v>
      </c>
      <c r="D89" s="90" t="s">
        <v>4264</v>
      </c>
      <c r="E89" s="90" t="str">
        <f>VLOOKUP(B89&amp;C89,Divipola!$C$2:$F$1138,4,FALSE)</f>
        <v>25878</v>
      </c>
      <c r="F89" s="90"/>
      <c r="G89" s="101">
        <v>2</v>
      </c>
      <c r="H89" s="101"/>
      <c r="I89" s="101"/>
      <c r="J89" s="101"/>
      <c r="K89" s="101"/>
      <c r="L89" s="101"/>
      <c r="M89" s="101"/>
      <c r="N89" s="101"/>
      <c r="O89" s="101"/>
      <c r="P89" s="101"/>
      <c r="Q89" s="101"/>
      <c r="R89" s="101"/>
      <c r="S89" s="101"/>
      <c r="T89" s="101"/>
      <c r="U89" s="101"/>
      <c r="V89" s="101"/>
      <c r="W89" s="91"/>
      <c r="X89" s="89"/>
      <c r="Y89" s="92">
        <f t="shared" si="6"/>
        <v>0</v>
      </c>
      <c r="Z89" s="92">
        <f t="shared" si="7"/>
        <v>0</v>
      </c>
      <c r="AA89" s="92">
        <f t="shared" si="8"/>
        <v>0</v>
      </c>
      <c r="AB89" s="92">
        <f t="shared" si="9"/>
        <v>0</v>
      </c>
      <c r="AC89" s="92"/>
      <c r="AD89" s="92">
        <v>0</v>
      </c>
      <c r="AE89" s="92">
        <f t="shared" si="10"/>
        <v>0</v>
      </c>
      <c r="AF89" s="93">
        <v>0</v>
      </c>
      <c r="AG89" s="89">
        <v>40589</v>
      </c>
      <c r="AH89" s="94"/>
      <c r="AI89" s="102" t="s">
        <v>4336</v>
      </c>
      <c r="AJ89" s="96" t="s">
        <v>4337</v>
      </c>
      <c r="AK89" s="97"/>
      <c r="AL89" s="89"/>
      <c r="AM89" s="100" t="s">
        <v>1019</v>
      </c>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114"/>
      <c r="CQ89" s="115"/>
      <c r="CR89" s="114"/>
      <c r="CS89" s="115"/>
      <c r="CT89" s="114"/>
      <c r="CU89" s="115"/>
      <c r="CV89" s="99">
        <f t="shared" si="11"/>
        <v>0</v>
      </c>
      <c r="CW89" s="114"/>
      <c r="CX89" s="115"/>
      <c r="CY89" s="114"/>
      <c r="CZ89" s="115"/>
      <c r="DA89" s="115"/>
      <c r="DB89" s="115"/>
      <c r="DC89" s="114"/>
      <c r="DD89" s="115"/>
      <c r="DE89" s="97"/>
      <c r="DF89" s="269"/>
    </row>
    <row r="90" spans="1:110" s="270" customFormat="1" ht="24" x14ac:dyDescent="0.2">
      <c r="A90" s="89">
        <v>40582</v>
      </c>
      <c r="B90" s="90" t="s">
        <v>4387</v>
      </c>
      <c r="C90" s="90" t="s">
        <v>3382</v>
      </c>
      <c r="D90" s="90" t="s">
        <v>4298</v>
      </c>
      <c r="E90" s="90" t="str">
        <f>VLOOKUP(B90&amp;C90,Divipola!$C$2:$F$1138,4,FALSE)</f>
        <v>52490</v>
      </c>
      <c r="F90" s="90"/>
      <c r="G90" s="101"/>
      <c r="H90" s="101"/>
      <c r="I90" s="101"/>
      <c r="J90" s="101">
        <v>25</v>
      </c>
      <c r="K90" s="101">
        <v>5</v>
      </c>
      <c r="L90" s="101">
        <v>3</v>
      </c>
      <c r="M90" s="101">
        <v>2</v>
      </c>
      <c r="N90" s="101"/>
      <c r="O90" s="101"/>
      <c r="P90" s="101"/>
      <c r="Q90" s="101"/>
      <c r="R90" s="101"/>
      <c r="S90" s="101"/>
      <c r="T90" s="101"/>
      <c r="U90" s="101"/>
      <c r="V90" s="101"/>
      <c r="W90" s="91"/>
      <c r="X90" s="89"/>
      <c r="Y90" s="92">
        <f t="shared" si="6"/>
        <v>0</v>
      </c>
      <c r="Z90" s="92">
        <f t="shared" si="7"/>
        <v>0</v>
      </c>
      <c r="AA90" s="92">
        <f t="shared" si="8"/>
        <v>0</v>
      </c>
      <c r="AB90" s="92">
        <f t="shared" si="9"/>
        <v>0</v>
      </c>
      <c r="AC90" s="92"/>
      <c r="AD90" s="92">
        <v>0</v>
      </c>
      <c r="AE90" s="92">
        <f t="shared" si="10"/>
        <v>0</v>
      </c>
      <c r="AF90" s="93">
        <v>0</v>
      </c>
      <c r="AG90" s="89">
        <v>40589</v>
      </c>
      <c r="AH90" s="94"/>
      <c r="AI90" s="95" t="s">
        <v>4336</v>
      </c>
      <c r="AJ90" s="96" t="s">
        <v>4337</v>
      </c>
      <c r="AK90" s="97"/>
      <c r="AL90" s="89"/>
      <c r="AM90" s="100" t="s">
        <v>1012</v>
      </c>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114"/>
      <c r="CQ90" s="115"/>
      <c r="CR90" s="114"/>
      <c r="CS90" s="115"/>
      <c r="CT90" s="114"/>
      <c r="CU90" s="115"/>
      <c r="CV90" s="99">
        <f t="shared" si="11"/>
        <v>0</v>
      </c>
      <c r="CW90" s="114"/>
      <c r="CX90" s="115"/>
      <c r="CY90" s="114"/>
      <c r="CZ90" s="115"/>
      <c r="DA90" s="115"/>
      <c r="DB90" s="115"/>
      <c r="DC90" s="114"/>
      <c r="DD90" s="115"/>
      <c r="DE90" s="97"/>
      <c r="DF90" s="269"/>
    </row>
    <row r="91" spans="1:110" s="270" customFormat="1" ht="22.5" x14ac:dyDescent="0.2">
      <c r="A91" s="89">
        <v>40582</v>
      </c>
      <c r="B91" s="90" t="s">
        <v>4350</v>
      </c>
      <c r="C91" s="90" t="s">
        <v>4351</v>
      </c>
      <c r="D91" s="90" t="s">
        <v>4298</v>
      </c>
      <c r="E91" s="90" t="str">
        <f>VLOOKUP(B91&amp;C91,Divipola!$C$2:$F$1138,4,FALSE)</f>
        <v>63001</v>
      </c>
      <c r="F91" s="90"/>
      <c r="G91" s="101"/>
      <c r="H91" s="101"/>
      <c r="I91" s="101"/>
      <c r="J91" s="101">
        <v>4</v>
      </c>
      <c r="K91" s="101">
        <v>1</v>
      </c>
      <c r="L91" s="101"/>
      <c r="M91" s="101">
        <v>1</v>
      </c>
      <c r="N91" s="101"/>
      <c r="O91" s="101"/>
      <c r="P91" s="101"/>
      <c r="Q91" s="101"/>
      <c r="R91" s="101"/>
      <c r="S91" s="101"/>
      <c r="T91" s="101"/>
      <c r="U91" s="101"/>
      <c r="V91" s="101"/>
      <c r="W91" s="91"/>
      <c r="X91" s="89"/>
      <c r="Y91" s="92">
        <f t="shared" si="6"/>
        <v>0</v>
      </c>
      <c r="Z91" s="92">
        <f t="shared" si="7"/>
        <v>0</v>
      </c>
      <c r="AA91" s="92">
        <f t="shared" si="8"/>
        <v>0</v>
      </c>
      <c r="AB91" s="92">
        <f t="shared" si="9"/>
        <v>0</v>
      </c>
      <c r="AC91" s="92"/>
      <c r="AD91" s="92">
        <v>0</v>
      </c>
      <c r="AE91" s="92">
        <f t="shared" si="10"/>
        <v>0</v>
      </c>
      <c r="AF91" s="93">
        <v>0</v>
      </c>
      <c r="AG91" s="89">
        <v>40589</v>
      </c>
      <c r="AH91" s="94"/>
      <c r="AI91" s="95" t="s">
        <v>4336</v>
      </c>
      <c r="AJ91" s="96" t="s">
        <v>4337</v>
      </c>
      <c r="AK91" s="97"/>
      <c r="AL91" s="89"/>
      <c r="AM91" s="100" t="s">
        <v>1013</v>
      </c>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114"/>
      <c r="CQ91" s="115"/>
      <c r="CR91" s="114"/>
      <c r="CS91" s="115"/>
      <c r="CT91" s="114"/>
      <c r="CU91" s="115"/>
      <c r="CV91" s="99">
        <f t="shared" si="11"/>
        <v>0</v>
      </c>
      <c r="CW91" s="114"/>
      <c r="CX91" s="115"/>
      <c r="CY91" s="114"/>
      <c r="CZ91" s="115"/>
      <c r="DA91" s="115"/>
      <c r="DB91" s="115"/>
      <c r="DC91" s="114"/>
      <c r="DD91" s="115"/>
      <c r="DE91" s="97"/>
      <c r="DF91" s="269"/>
    </row>
    <row r="92" spans="1:110" s="270" customFormat="1" ht="24" x14ac:dyDescent="0.2">
      <c r="A92" s="89">
        <v>40583</v>
      </c>
      <c r="B92" s="90" t="s">
        <v>4296</v>
      </c>
      <c r="C92" s="90" t="s">
        <v>804</v>
      </c>
      <c r="D92" s="90" t="s">
        <v>2865</v>
      </c>
      <c r="E92" s="90" t="str">
        <f>VLOOKUP(B92&amp;C92,Divipola!$C$2:$F$1138,4,FALSE)</f>
        <v>19110</v>
      </c>
      <c r="F92" s="90"/>
      <c r="G92" s="101"/>
      <c r="H92" s="101">
        <v>1</v>
      </c>
      <c r="I92" s="101"/>
      <c r="J92" s="101"/>
      <c r="K92" s="101"/>
      <c r="L92" s="101"/>
      <c r="M92" s="101"/>
      <c r="N92" s="101"/>
      <c r="O92" s="101"/>
      <c r="P92" s="101"/>
      <c r="Q92" s="101"/>
      <c r="R92" s="101"/>
      <c r="S92" s="101"/>
      <c r="T92" s="101"/>
      <c r="U92" s="101"/>
      <c r="V92" s="101"/>
      <c r="W92" s="91"/>
      <c r="X92" s="89"/>
      <c r="Y92" s="92">
        <f t="shared" si="6"/>
        <v>0</v>
      </c>
      <c r="Z92" s="92">
        <f t="shared" si="7"/>
        <v>0</v>
      </c>
      <c r="AA92" s="92">
        <f t="shared" si="8"/>
        <v>0</v>
      </c>
      <c r="AB92" s="92">
        <f t="shared" si="9"/>
        <v>0</v>
      </c>
      <c r="AC92" s="92"/>
      <c r="AD92" s="92">
        <v>0</v>
      </c>
      <c r="AE92" s="92">
        <f t="shared" si="10"/>
        <v>0</v>
      </c>
      <c r="AF92" s="93">
        <v>0</v>
      </c>
      <c r="AG92" s="89">
        <v>40589</v>
      </c>
      <c r="AH92" s="94"/>
      <c r="AI92" s="95" t="s">
        <v>4336</v>
      </c>
      <c r="AJ92" s="96" t="s">
        <v>4337</v>
      </c>
      <c r="AK92" s="97"/>
      <c r="AL92" s="89"/>
      <c r="AM92" s="100" t="s">
        <v>1014</v>
      </c>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114"/>
      <c r="CQ92" s="115"/>
      <c r="CR92" s="114"/>
      <c r="CS92" s="115"/>
      <c r="CT92" s="114"/>
      <c r="CU92" s="115"/>
      <c r="CV92" s="99">
        <f t="shared" si="11"/>
        <v>0</v>
      </c>
      <c r="CW92" s="114"/>
      <c r="CX92" s="115"/>
      <c r="CY92" s="114"/>
      <c r="CZ92" s="115"/>
      <c r="DA92" s="115"/>
      <c r="DB92" s="115"/>
      <c r="DC92" s="114"/>
      <c r="DD92" s="115"/>
      <c r="DE92" s="97"/>
      <c r="DF92" s="269"/>
    </row>
    <row r="93" spans="1:110" s="270" customFormat="1" ht="96" x14ac:dyDescent="0.2">
      <c r="A93" s="89">
        <v>40583</v>
      </c>
      <c r="B93" s="90" t="s">
        <v>4387</v>
      </c>
      <c r="C93" s="90" t="s">
        <v>2900</v>
      </c>
      <c r="D93" s="90" t="s">
        <v>2362</v>
      </c>
      <c r="E93" s="90" t="str">
        <f>VLOOKUP(B93&amp;C93,Divipola!$C$2:$F$1138,4,FALSE)</f>
        <v>52210</v>
      </c>
      <c r="F93" s="90"/>
      <c r="G93" s="101"/>
      <c r="H93" s="101"/>
      <c r="I93" s="101"/>
      <c r="J93" s="101">
        <v>268</v>
      </c>
      <c r="K93" s="101">
        <v>72</v>
      </c>
      <c r="L93" s="101">
        <v>27</v>
      </c>
      <c r="M93" s="101">
        <v>45</v>
      </c>
      <c r="N93" s="101"/>
      <c r="O93" s="101"/>
      <c r="P93" s="101"/>
      <c r="Q93" s="101">
        <v>3</v>
      </c>
      <c r="R93" s="101"/>
      <c r="S93" s="101"/>
      <c r="T93" s="101"/>
      <c r="U93" s="101"/>
      <c r="V93" s="101"/>
      <c r="W93" s="91"/>
      <c r="X93" s="105"/>
      <c r="Y93" s="92">
        <f t="shared" si="6"/>
        <v>0</v>
      </c>
      <c r="Z93" s="92">
        <f t="shared" si="7"/>
        <v>0</v>
      </c>
      <c r="AA93" s="92">
        <f t="shared" si="8"/>
        <v>0</v>
      </c>
      <c r="AB93" s="92">
        <f t="shared" si="9"/>
        <v>0</v>
      </c>
      <c r="AC93" s="92"/>
      <c r="AD93" s="92">
        <v>0</v>
      </c>
      <c r="AE93" s="92">
        <f t="shared" si="10"/>
        <v>0</v>
      </c>
      <c r="AF93" s="93">
        <v>0</v>
      </c>
      <c r="AG93" s="105"/>
      <c r="AH93" s="108"/>
      <c r="AI93" s="109" t="s">
        <v>4336</v>
      </c>
      <c r="AJ93" s="110" t="s">
        <v>4337</v>
      </c>
      <c r="AK93" s="111"/>
      <c r="AL93" s="105" t="s">
        <v>1069</v>
      </c>
      <c r="AM93" s="100" t="s">
        <v>2062</v>
      </c>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18"/>
      <c r="CO93" s="119"/>
      <c r="CP93" s="118"/>
      <c r="CQ93" s="119"/>
      <c r="CR93" s="118"/>
      <c r="CS93" s="119"/>
      <c r="CT93" s="113"/>
      <c r="CU93" s="118"/>
      <c r="CV93" s="99">
        <f t="shared" si="11"/>
        <v>0</v>
      </c>
      <c r="CW93" s="118"/>
      <c r="CX93" s="119"/>
      <c r="CY93" s="119"/>
      <c r="CZ93" s="119"/>
      <c r="DA93" s="118"/>
      <c r="DB93" s="119"/>
      <c r="DC93" s="111"/>
      <c r="DD93" s="119"/>
      <c r="DE93" s="111"/>
      <c r="DF93" s="269"/>
    </row>
    <row r="94" spans="1:110" s="270" customFormat="1" ht="24" x14ac:dyDescent="0.2">
      <c r="A94" s="89">
        <v>40583</v>
      </c>
      <c r="B94" s="90" t="s">
        <v>4244</v>
      </c>
      <c r="C94" s="90" t="s">
        <v>4227</v>
      </c>
      <c r="D94" s="90" t="s">
        <v>4264</v>
      </c>
      <c r="E94" s="90" t="str">
        <f>VLOOKUP(B94&amp;C94,Divipola!$C$2:$F$1138,4,FALSE)</f>
        <v>76520</v>
      </c>
      <c r="F94" s="90"/>
      <c r="G94" s="101"/>
      <c r="H94" s="101"/>
      <c r="I94" s="101"/>
      <c r="J94" s="101"/>
      <c r="K94" s="101"/>
      <c r="L94" s="101"/>
      <c r="M94" s="101"/>
      <c r="N94" s="101"/>
      <c r="O94" s="101"/>
      <c r="P94" s="101"/>
      <c r="Q94" s="101"/>
      <c r="R94" s="101"/>
      <c r="S94" s="101"/>
      <c r="T94" s="101"/>
      <c r="U94" s="101"/>
      <c r="V94" s="101">
        <v>60</v>
      </c>
      <c r="W94" s="91"/>
      <c r="X94" s="89"/>
      <c r="Y94" s="92">
        <f t="shared" si="6"/>
        <v>0</v>
      </c>
      <c r="Z94" s="92">
        <f t="shared" si="7"/>
        <v>0</v>
      </c>
      <c r="AA94" s="92">
        <f t="shared" si="8"/>
        <v>0</v>
      </c>
      <c r="AB94" s="92">
        <f t="shared" si="9"/>
        <v>0</v>
      </c>
      <c r="AC94" s="92"/>
      <c r="AD94" s="92">
        <v>0</v>
      </c>
      <c r="AE94" s="92">
        <f t="shared" si="10"/>
        <v>0</v>
      </c>
      <c r="AF94" s="93">
        <v>0</v>
      </c>
      <c r="AG94" s="89">
        <v>40589</v>
      </c>
      <c r="AH94" s="94"/>
      <c r="AI94" s="95" t="s">
        <v>4336</v>
      </c>
      <c r="AJ94" s="96" t="s">
        <v>4337</v>
      </c>
      <c r="AK94" s="97"/>
      <c r="AL94" s="89"/>
      <c r="AM94" s="100" t="s">
        <v>1015</v>
      </c>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114"/>
      <c r="CQ94" s="115"/>
      <c r="CR94" s="114"/>
      <c r="CS94" s="115"/>
      <c r="CT94" s="114"/>
      <c r="CU94" s="115"/>
      <c r="CV94" s="99">
        <f t="shared" si="11"/>
        <v>0</v>
      </c>
      <c r="CW94" s="114"/>
      <c r="CX94" s="115"/>
      <c r="CY94" s="114"/>
      <c r="CZ94" s="115"/>
      <c r="DA94" s="115"/>
      <c r="DB94" s="115"/>
      <c r="DC94" s="114"/>
      <c r="DD94" s="115"/>
      <c r="DE94" s="97"/>
      <c r="DF94" s="269"/>
    </row>
    <row r="95" spans="1:110" s="270" customFormat="1" ht="24" x14ac:dyDescent="0.2">
      <c r="A95" s="89">
        <v>40584</v>
      </c>
      <c r="B95" s="90" t="s">
        <v>2218</v>
      </c>
      <c r="C95" s="90" t="s">
        <v>3297</v>
      </c>
      <c r="D95" s="90" t="s">
        <v>2362</v>
      </c>
      <c r="E95" s="90" t="str">
        <f>VLOOKUP(B95&amp;C95,Divipola!$C$2:$F$1138,4,FALSE)</f>
        <v>05001</v>
      </c>
      <c r="F95" s="90"/>
      <c r="G95" s="101"/>
      <c r="H95" s="101"/>
      <c r="I95" s="101">
        <v>1</v>
      </c>
      <c r="J95" s="101">
        <v>15</v>
      </c>
      <c r="K95" s="101">
        <v>3</v>
      </c>
      <c r="L95" s="101">
        <v>3</v>
      </c>
      <c r="M95" s="101"/>
      <c r="N95" s="101"/>
      <c r="O95" s="101"/>
      <c r="P95" s="101"/>
      <c r="Q95" s="101"/>
      <c r="R95" s="101"/>
      <c r="S95" s="101"/>
      <c r="T95" s="101"/>
      <c r="U95" s="101"/>
      <c r="V95" s="101"/>
      <c r="W95" s="91"/>
      <c r="X95" s="89"/>
      <c r="Y95" s="92">
        <f t="shared" si="6"/>
        <v>0</v>
      </c>
      <c r="Z95" s="92">
        <f t="shared" si="7"/>
        <v>0</v>
      </c>
      <c r="AA95" s="92">
        <f t="shared" si="8"/>
        <v>0</v>
      </c>
      <c r="AB95" s="92">
        <f t="shared" si="9"/>
        <v>0</v>
      </c>
      <c r="AC95" s="92"/>
      <c r="AD95" s="92">
        <v>0</v>
      </c>
      <c r="AE95" s="92">
        <f t="shared" si="10"/>
        <v>0</v>
      </c>
      <c r="AF95" s="93">
        <v>0</v>
      </c>
      <c r="AG95" s="89">
        <v>40589</v>
      </c>
      <c r="AH95" s="94"/>
      <c r="AI95" s="95" t="s">
        <v>4336</v>
      </c>
      <c r="AJ95" s="96" t="s">
        <v>4337</v>
      </c>
      <c r="AK95" s="97"/>
      <c r="AL95" s="89"/>
      <c r="AM95" s="100" t="s">
        <v>1020</v>
      </c>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114"/>
      <c r="CQ95" s="115"/>
      <c r="CR95" s="114"/>
      <c r="CS95" s="115"/>
      <c r="CT95" s="114"/>
      <c r="CU95" s="115"/>
      <c r="CV95" s="99">
        <f t="shared" si="11"/>
        <v>0</v>
      </c>
      <c r="CW95" s="114"/>
      <c r="CX95" s="115"/>
      <c r="CY95" s="114"/>
      <c r="CZ95" s="115"/>
      <c r="DA95" s="115"/>
      <c r="DB95" s="115"/>
      <c r="DC95" s="114"/>
      <c r="DD95" s="115"/>
      <c r="DE95" s="97"/>
      <c r="DF95" s="269"/>
    </row>
    <row r="96" spans="1:110" s="270" customFormat="1" ht="96" x14ac:dyDescent="0.2">
      <c r="A96" s="89">
        <v>40584</v>
      </c>
      <c r="B96" s="90" t="s">
        <v>4387</v>
      </c>
      <c r="C96" s="90" t="s">
        <v>446</v>
      </c>
      <c r="D96" s="90" t="s">
        <v>2362</v>
      </c>
      <c r="E96" s="90" t="str">
        <f>VLOOKUP(B96&amp;C96,Divipola!$C$2:$F$1138,4,FALSE)</f>
        <v>52203</v>
      </c>
      <c r="F96" s="90"/>
      <c r="G96" s="101"/>
      <c r="H96" s="101"/>
      <c r="I96" s="101"/>
      <c r="J96" s="101">
        <v>257</v>
      </c>
      <c r="K96" s="101">
        <v>76</v>
      </c>
      <c r="L96" s="101"/>
      <c r="M96" s="101">
        <v>76</v>
      </c>
      <c r="N96" s="101">
        <v>10</v>
      </c>
      <c r="O96" s="101"/>
      <c r="P96" s="101"/>
      <c r="Q96" s="101"/>
      <c r="R96" s="101"/>
      <c r="S96" s="101"/>
      <c r="T96" s="101"/>
      <c r="U96" s="101"/>
      <c r="V96" s="101">
        <v>5570</v>
      </c>
      <c r="W96" s="91"/>
      <c r="X96" s="105"/>
      <c r="Y96" s="92">
        <f t="shared" si="6"/>
        <v>0</v>
      </c>
      <c r="Z96" s="92">
        <f t="shared" si="7"/>
        <v>0</v>
      </c>
      <c r="AA96" s="92">
        <f t="shared" si="8"/>
        <v>0</v>
      </c>
      <c r="AB96" s="92">
        <f t="shared" si="9"/>
        <v>0</v>
      </c>
      <c r="AC96" s="92"/>
      <c r="AD96" s="92">
        <v>0</v>
      </c>
      <c r="AE96" s="92">
        <f t="shared" si="10"/>
        <v>0</v>
      </c>
      <c r="AF96" s="93">
        <v>0</v>
      </c>
      <c r="AG96" s="105"/>
      <c r="AH96" s="108"/>
      <c r="AI96" s="109" t="s">
        <v>4336</v>
      </c>
      <c r="AJ96" s="110" t="s">
        <v>4337</v>
      </c>
      <c r="AK96" s="111"/>
      <c r="AL96" s="105" t="s">
        <v>1069</v>
      </c>
      <c r="AM96" s="100" t="s">
        <v>2063</v>
      </c>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18"/>
      <c r="CO96" s="119"/>
      <c r="CP96" s="118"/>
      <c r="CQ96" s="119"/>
      <c r="CR96" s="118"/>
      <c r="CS96" s="119"/>
      <c r="CT96" s="113"/>
      <c r="CU96" s="118"/>
      <c r="CV96" s="99">
        <f t="shared" si="11"/>
        <v>0</v>
      </c>
      <c r="CW96" s="118"/>
      <c r="CX96" s="119"/>
      <c r="CY96" s="119"/>
      <c r="CZ96" s="119"/>
      <c r="DA96" s="118"/>
      <c r="DB96" s="119"/>
      <c r="DC96" s="111"/>
      <c r="DD96" s="119"/>
      <c r="DE96" s="111"/>
      <c r="DF96" s="269"/>
    </row>
    <row r="97" spans="1:110" s="270" customFormat="1" ht="24" x14ac:dyDescent="0.2">
      <c r="A97" s="89">
        <v>40584</v>
      </c>
      <c r="B97" s="90" t="s">
        <v>4350</v>
      </c>
      <c r="C97" s="90" t="s">
        <v>4351</v>
      </c>
      <c r="D97" s="90" t="s">
        <v>4298</v>
      </c>
      <c r="E97" s="90" t="str">
        <f>VLOOKUP(B97&amp;C97,Divipola!$C$2:$F$1138,4,FALSE)</f>
        <v>63001</v>
      </c>
      <c r="F97" s="90"/>
      <c r="G97" s="101"/>
      <c r="H97" s="101"/>
      <c r="I97" s="101"/>
      <c r="J97" s="101">
        <v>1</v>
      </c>
      <c r="K97" s="101">
        <v>1</v>
      </c>
      <c r="L97" s="101">
        <v>1</v>
      </c>
      <c r="M97" s="101"/>
      <c r="N97" s="101"/>
      <c r="O97" s="101"/>
      <c r="P97" s="101"/>
      <c r="Q97" s="101"/>
      <c r="R97" s="101"/>
      <c r="S97" s="101"/>
      <c r="T97" s="101"/>
      <c r="U97" s="101"/>
      <c r="V97" s="101"/>
      <c r="W97" s="91"/>
      <c r="X97" s="89"/>
      <c r="Y97" s="92">
        <f t="shared" si="6"/>
        <v>0</v>
      </c>
      <c r="Z97" s="92">
        <f t="shared" si="7"/>
        <v>0</v>
      </c>
      <c r="AA97" s="92">
        <f t="shared" si="8"/>
        <v>0</v>
      </c>
      <c r="AB97" s="92">
        <f t="shared" si="9"/>
        <v>0</v>
      </c>
      <c r="AC97" s="92"/>
      <c r="AD97" s="92">
        <v>0</v>
      </c>
      <c r="AE97" s="92">
        <f t="shared" si="10"/>
        <v>0</v>
      </c>
      <c r="AF97" s="93">
        <v>0</v>
      </c>
      <c r="AG97" s="89">
        <v>40589</v>
      </c>
      <c r="AH97" s="94"/>
      <c r="AI97" s="95" t="s">
        <v>4336</v>
      </c>
      <c r="AJ97" s="96" t="s">
        <v>4337</v>
      </c>
      <c r="AK97" s="97"/>
      <c r="AL97" s="89"/>
      <c r="AM97" s="100" t="s">
        <v>1022</v>
      </c>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114"/>
      <c r="CQ97" s="115"/>
      <c r="CR97" s="114"/>
      <c r="CS97" s="115"/>
      <c r="CT97" s="114"/>
      <c r="CU97" s="115"/>
      <c r="CV97" s="99">
        <f t="shared" si="11"/>
        <v>0</v>
      </c>
      <c r="CW97" s="114"/>
      <c r="CX97" s="115"/>
      <c r="CY97" s="114"/>
      <c r="CZ97" s="115"/>
      <c r="DA97" s="115"/>
      <c r="DB97" s="115"/>
      <c r="DC97" s="114"/>
      <c r="DD97" s="115"/>
      <c r="DE97" s="97"/>
      <c r="DF97" s="269"/>
    </row>
    <row r="98" spans="1:110" s="270" customFormat="1" ht="24" x14ac:dyDescent="0.2">
      <c r="A98" s="89">
        <v>40584</v>
      </c>
      <c r="B98" s="90" t="s">
        <v>4350</v>
      </c>
      <c r="C98" s="90" t="s">
        <v>4333</v>
      </c>
      <c r="D98" s="90" t="s">
        <v>3346</v>
      </c>
      <c r="E98" s="90" t="str">
        <f>VLOOKUP(B98&amp;C98,Divipola!$C$2:$F$1138,4,FALSE)</f>
        <v>63594</v>
      </c>
      <c r="F98" s="90"/>
      <c r="G98" s="101"/>
      <c r="H98" s="101"/>
      <c r="I98" s="101"/>
      <c r="J98" s="101">
        <f>85*5</f>
        <v>425</v>
      </c>
      <c r="K98" s="101">
        <v>85</v>
      </c>
      <c r="L98" s="101"/>
      <c r="M98" s="101">
        <v>8</v>
      </c>
      <c r="N98" s="101"/>
      <c r="O98" s="101"/>
      <c r="P98" s="101"/>
      <c r="Q98" s="101"/>
      <c r="R98" s="101"/>
      <c r="S98" s="101"/>
      <c r="T98" s="101">
        <v>1</v>
      </c>
      <c r="U98" s="101"/>
      <c r="V98" s="101"/>
      <c r="W98" s="91"/>
      <c r="X98" s="89"/>
      <c r="Y98" s="92">
        <f t="shared" si="6"/>
        <v>0</v>
      </c>
      <c r="Z98" s="92">
        <f t="shared" si="7"/>
        <v>0</v>
      </c>
      <c r="AA98" s="92">
        <f t="shared" si="8"/>
        <v>0</v>
      </c>
      <c r="AB98" s="92">
        <f t="shared" si="9"/>
        <v>0</v>
      </c>
      <c r="AC98" s="92"/>
      <c r="AD98" s="92">
        <v>0</v>
      </c>
      <c r="AE98" s="92">
        <f t="shared" si="10"/>
        <v>0</v>
      </c>
      <c r="AF98" s="93">
        <v>0</v>
      </c>
      <c r="AG98" s="89">
        <v>40589</v>
      </c>
      <c r="AH98" s="94"/>
      <c r="AI98" s="95" t="s">
        <v>4336</v>
      </c>
      <c r="AJ98" s="96" t="s">
        <v>4337</v>
      </c>
      <c r="AK98" s="97"/>
      <c r="AL98" s="89"/>
      <c r="AM98" s="100" t="s">
        <v>1021</v>
      </c>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114"/>
      <c r="CQ98" s="115"/>
      <c r="CR98" s="114"/>
      <c r="CS98" s="115"/>
      <c r="CT98" s="114"/>
      <c r="CU98" s="115"/>
      <c r="CV98" s="99">
        <f t="shared" si="11"/>
        <v>0</v>
      </c>
      <c r="CW98" s="114"/>
      <c r="CX98" s="115"/>
      <c r="CY98" s="114"/>
      <c r="CZ98" s="115"/>
      <c r="DA98" s="115"/>
      <c r="DB98" s="115"/>
      <c r="DC98" s="114"/>
      <c r="DD98" s="115"/>
      <c r="DE98" s="97"/>
      <c r="DF98" s="269"/>
    </row>
    <row r="99" spans="1:110" s="270" customFormat="1" x14ac:dyDescent="0.2">
      <c r="A99" s="89">
        <v>40584</v>
      </c>
      <c r="B99" s="16" t="s">
        <v>2226</v>
      </c>
      <c r="C99" s="16" t="s">
        <v>665</v>
      </c>
      <c r="D99" s="90" t="s">
        <v>2362</v>
      </c>
      <c r="E99" s="90" t="str">
        <f>VLOOKUP(B99&amp;C99,Divipola!$C$2:$F$1138,4,FALSE)</f>
        <v>68264</v>
      </c>
      <c r="F99" s="4"/>
      <c r="G99" s="208"/>
      <c r="H99" s="208"/>
      <c r="I99" s="208"/>
      <c r="J99" s="208">
        <v>300</v>
      </c>
      <c r="K99" s="208">
        <v>60</v>
      </c>
      <c r="L99" s="208"/>
      <c r="M99" s="208"/>
      <c r="N99" s="208"/>
      <c r="O99" s="208"/>
      <c r="P99" s="208"/>
      <c r="Q99" s="208"/>
      <c r="R99" s="208"/>
      <c r="S99" s="208"/>
      <c r="T99" s="208"/>
      <c r="U99" s="208"/>
      <c r="V99" s="208"/>
      <c r="W99" s="19"/>
      <c r="X99" s="17"/>
      <c r="Y99" s="5">
        <f t="shared" si="6"/>
        <v>0</v>
      </c>
      <c r="Z99" s="5">
        <f t="shared" si="7"/>
        <v>0</v>
      </c>
      <c r="AA99" s="5">
        <f t="shared" si="8"/>
        <v>0</v>
      </c>
      <c r="AB99" s="5">
        <f t="shared" si="9"/>
        <v>0</v>
      </c>
      <c r="AC99" s="5"/>
      <c r="AD99" s="5">
        <v>0</v>
      </c>
      <c r="AE99" s="5">
        <f t="shared" si="10"/>
        <v>0</v>
      </c>
      <c r="AF99" s="70">
        <v>0</v>
      </c>
      <c r="AG99" s="17"/>
      <c r="AH99" s="18"/>
      <c r="AI99" s="47" t="s">
        <v>4336</v>
      </c>
      <c r="AJ99" s="73" t="s">
        <v>4337</v>
      </c>
      <c r="AK99" s="45"/>
      <c r="AL99" s="17"/>
      <c r="AM99" s="20" t="s">
        <v>3764</v>
      </c>
      <c r="AN99" s="19"/>
      <c r="AO99" s="19"/>
      <c r="AP99" s="19"/>
      <c r="AQ99" s="19"/>
      <c r="AR99" s="19"/>
      <c r="AS99" s="19"/>
      <c r="AT99" s="19"/>
      <c r="AU99" s="19"/>
      <c r="AV99" s="19"/>
      <c r="AW99" s="19"/>
      <c r="AX99" s="107"/>
      <c r="AY99" s="107"/>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39"/>
      <c r="CO99" s="138"/>
      <c r="CP99" s="139"/>
      <c r="CQ99" s="138"/>
      <c r="CR99" s="139"/>
      <c r="CS99" s="138"/>
      <c r="CT99" s="72"/>
      <c r="CU99" s="139"/>
      <c r="CV99" s="99">
        <f t="shared" si="11"/>
        <v>0</v>
      </c>
      <c r="CW99" s="139"/>
      <c r="CX99" s="138"/>
      <c r="CY99" s="138"/>
      <c r="CZ99" s="138"/>
      <c r="DA99" s="139"/>
      <c r="DB99" s="138"/>
      <c r="DC99" s="45"/>
      <c r="DD99" s="138"/>
      <c r="DE99" s="45"/>
      <c r="DF99" s="269"/>
    </row>
    <row r="100" spans="1:110" s="270" customFormat="1" ht="36" x14ac:dyDescent="0.2">
      <c r="A100" s="89">
        <v>40585</v>
      </c>
      <c r="B100" s="106" t="s">
        <v>2218</v>
      </c>
      <c r="C100" s="106" t="s">
        <v>3980</v>
      </c>
      <c r="D100" s="90" t="s">
        <v>4264</v>
      </c>
      <c r="E100" s="90" t="str">
        <f>VLOOKUP(B100&amp;C100,Divipola!$C$2:$F$1138,4,FALSE)</f>
        <v>05490</v>
      </c>
      <c r="F100" s="90"/>
      <c r="G100" s="129"/>
      <c r="H100" s="129"/>
      <c r="I100" s="129"/>
      <c r="J100" s="129">
        <f>1240*4</f>
        <v>4960</v>
      </c>
      <c r="K100" s="129">
        <v>1240</v>
      </c>
      <c r="L100" s="129">
        <v>305</v>
      </c>
      <c r="M100" s="129"/>
      <c r="N100" s="129">
        <v>15</v>
      </c>
      <c r="O100" s="129"/>
      <c r="P100" s="129"/>
      <c r="Q100" s="129"/>
      <c r="R100" s="129"/>
      <c r="S100" s="129"/>
      <c r="T100" s="129">
        <v>1</v>
      </c>
      <c r="U100" s="129"/>
      <c r="V100" s="129"/>
      <c r="W100" s="107"/>
      <c r="X100" s="105"/>
      <c r="Y100" s="92">
        <f t="shared" si="6"/>
        <v>0</v>
      </c>
      <c r="Z100" s="92">
        <f t="shared" si="7"/>
        <v>0</v>
      </c>
      <c r="AA100" s="92">
        <f t="shared" si="8"/>
        <v>0</v>
      </c>
      <c r="AB100" s="92">
        <f t="shared" si="9"/>
        <v>0</v>
      </c>
      <c r="AC100" s="92"/>
      <c r="AD100" s="92">
        <v>0</v>
      </c>
      <c r="AE100" s="92">
        <f t="shared" si="10"/>
        <v>0</v>
      </c>
      <c r="AF100" s="93">
        <v>0</v>
      </c>
      <c r="AG100" s="105"/>
      <c r="AH100" s="108"/>
      <c r="AI100" s="109" t="s">
        <v>4336</v>
      </c>
      <c r="AJ100" s="110" t="s">
        <v>4337</v>
      </c>
      <c r="AK100" s="111"/>
      <c r="AL100" s="105"/>
      <c r="AM100" s="112" t="s">
        <v>1983</v>
      </c>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18"/>
      <c r="CO100" s="119"/>
      <c r="CP100" s="118"/>
      <c r="CQ100" s="119"/>
      <c r="CR100" s="118"/>
      <c r="CS100" s="119"/>
      <c r="CT100" s="113"/>
      <c r="CU100" s="118"/>
      <c r="CV100" s="99">
        <f t="shared" si="11"/>
        <v>0</v>
      </c>
      <c r="CW100" s="118"/>
      <c r="CX100" s="119"/>
      <c r="CY100" s="119"/>
      <c r="CZ100" s="119"/>
      <c r="DA100" s="118"/>
      <c r="DB100" s="119"/>
      <c r="DC100" s="111"/>
      <c r="DD100" s="119"/>
      <c r="DE100" s="111"/>
      <c r="DF100" s="269"/>
    </row>
    <row r="101" spans="1:110" s="270" customFormat="1" ht="22.5" x14ac:dyDescent="0.2">
      <c r="A101" s="89">
        <v>40585</v>
      </c>
      <c r="B101" s="90" t="s">
        <v>4244</v>
      </c>
      <c r="C101" s="90" t="s">
        <v>3373</v>
      </c>
      <c r="D101" s="90" t="s">
        <v>3346</v>
      </c>
      <c r="E101" s="90" t="str">
        <f>VLOOKUP(B101&amp;C101,Divipola!$C$2:$F$1138,4,FALSE)</f>
        <v>76248</v>
      </c>
      <c r="F101" s="90"/>
      <c r="G101" s="101"/>
      <c r="H101" s="101"/>
      <c r="I101" s="101"/>
      <c r="J101" s="101">
        <v>100</v>
      </c>
      <c r="K101" s="101">
        <v>20</v>
      </c>
      <c r="L101" s="101"/>
      <c r="M101" s="101">
        <v>3</v>
      </c>
      <c r="N101" s="101"/>
      <c r="O101" s="101"/>
      <c r="P101" s="101"/>
      <c r="Q101" s="101"/>
      <c r="R101" s="101"/>
      <c r="S101" s="101"/>
      <c r="T101" s="101"/>
      <c r="U101" s="101"/>
      <c r="V101" s="101"/>
      <c r="W101" s="91"/>
      <c r="X101" s="89"/>
      <c r="Y101" s="92">
        <f t="shared" si="6"/>
        <v>0</v>
      </c>
      <c r="Z101" s="92">
        <f t="shared" si="7"/>
        <v>0</v>
      </c>
      <c r="AA101" s="92">
        <f t="shared" si="8"/>
        <v>0</v>
      </c>
      <c r="AB101" s="92">
        <f t="shared" si="9"/>
        <v>0</v>
      </c>
      <c r="AC101" s="92"/>
      <c r="AD101" s="92">
        <v>0</v>
      </c>
      <c r="AE101" s="92">
        <f t="shared" si="10"/>
        <v>0</v>
      </c>
      <c r="AF101" s="93">
        <v>0</v>
      </c>
      <c r="AG101" s="89">
        <v>40589</v>
      </c>
      <c r="AH101" s="94"/>
      <c r="AI101" s="102" t="s">
        <v>4336</v>
      </c>
      <c r="AJ101" s="96" t="s">
        <v>4337</v>
      </c>
      <c r="AK101" s="97"/>
      <c r="AL101" s="89"/>
      <c r="AM101" s="100" t="s">
        <v>3452</v>
      </c>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114"/>
      <c r="CQ101" s="115"/>
      <c r="CR101" s="114"/>
      <c r="CS101" s="115"/>
      <c r="CT101" s="114"/>
      <c r="CU101" s="115"/>
      <c r="CV101" s="99">
        <f t="shared" si="11"/>
        <v>0</v>
      </c>
      <c r="CW101" s="114"/>
      <c r="CX101" s="115"/>
      <c r="CY101" s="114"/>
      <c r="CZ101" s="115"/>
      <c r="DA101" s="115"/>
      <c r="DB101" s="115"/>
      <c r="DC101" s="114"/>
      <c r="DD101" s="115"/>
      <c r="DE101" s="97"/>
      <c r="DF101" s="269"/>
    </row>
    <row r="102" spans="1:110" s="270" customFormat="1" ht="48" x14ac:dyDescent="0.2">
      <c r="A102" s="89">
        <v>40586</v>
      </c>
      <c r="B102" s="90" t="s">
        <v>4261</v>
      </c>
      <c r="C102" s="90" t="s">
        <v>3449</v>
      </c>
      <c r="D102" s="90" t="s">
        <v>2362</v>
      </c>
      <c r="E102" s="90" t="str">
        <f>VLOOKUP(B102&amp;C102,Divipola!$C$2:$F$1138,4,FALSE)</f>
        <v>15681</v>
      </c>
      <c r="F102" s="90"/>
      <c r="G102" s="101"/>
      <c r="H102" s="101"/>
      <c r="I102" s="101"/>
      <c r="J102" s="101">
        <v>85</v>
      </c>
      <c r="K102" s="101">
        <v>14</v>
      </c>
      <c r="L102" s="101"/>
      <c r="M102" s="101">
        <v>14</v>
      </c>
      <c r="N102" s="101"/>
      <c r="O102" s="101"/>
      <c r="P102" s="101"/>
      <c r="Q102" s="101"/>
      <c r="R102" s="101"/>
      <c r="S102" s="101"/>
      <c r="T102" s="101"/>
      <c r="U102" s="101"/>
      <c r="V102" s="101"/>
      <c r="W102" s="91"/>
      <c r="X102" s="89"/>
      <c r="Y102" s="92">
        <f t="shared" si="6"/>
        <v>0</v>
      </c>
      <c r="Z102" s="92">
        <f t="shared" si="7"/>
        <v>0</v>
      </c>
      <c r="AA102" s="92">
        <f t="shared" si="8"/>
        <v>0</v>
      </c>
      <c r="AB102" s="92">
        <f t="shared" si="9"/>
        <v>0</v>
      </c>
      <c r="AC102" s="92"/>
      <c r="AD102" s="92">
        <v>50000000</v>
      </c>
      <c r="AE102" s="92">
        <f t="shared" si="10"/>
        <v>50000000</v>
      </c>
      <c r="AF102" s="93">
        <v>0</v>
      </c>
      <c r="AG102" s="89">
        <v>40589</v>
      </c>
      <c r="AH102" s="94"/>
      <c r="AI102" s="102" t="s">
        <v>4346</v>
      </c>
      <c r="AJ102" s="96" t="s">
        <v>4347</v>
      </c>
      <c r="AK102" s="97"/>
      <c r="AL102" s="89"/>
      <c r="AM102" s="100" t="s">
        <v>2897</v>
      </c>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114"/>
      <c r="CQ102" s="115"/>
      <c r="CR102" s="114"/>
      <c r="CS102" s="115"/>
      <c r="CT102" s="114"/>
      <c r="CU102" s="115"/>
      <c r="CV102" s="99">
        <f t="shared" si="11"/>
        <v>0</v>
      </c>
      <c r="CW102" s="114"/>
      <c r="CX102" s="115"/>
      <c r="CY102" s="114"/>
      <c r="CZ102" s="115"/>
      <c r="DA102" s="115"/>
      <c r="DB102" s="115"/>
      <c r="DC102" s="114"/>
      <c r="DD102" s="115"/>
      <c r="DE102" s="97"/>
      <c r="DF102" s="269"/>
    </row>
    <row r="103" spans="1:110" s="270" customFormat="1" ht="24" x14ac:dyDescent="0.2">
      <c r="A103" s="89">
        <v>40586</v>
      </c>
      <c r="B103" s="90" t="s">
        <v>4296</v>
      </c>
      <c r="C103" s="90" t="s">
        <v>4341</v>
      </c>
      <c r="D103" s="90" t="s">
        <v>2362</v>
      </c>
      <c r="E103" s="90" t="str">
        <f>VLOOKUP(B103&amp;C103,Divipola!$C$2:$F$1138,4,FALSE)</f>
        <v>19824</v>
      </c>
      <c r="F103" s="90"/>
      <c r="G103" s="101"/>
      <c r="H103" s="101"/>
      <c r="I103" s="101"/>
      <c r="J103" s="101">
        <f>82*5</f>
        <v>410</v>
      </c>
      <c r="K103" s="101">
        <v>82</v>
      </c>
      <c r="L103" s="101"/>
      <c r="M103" s="101">
        <v>82</v>
      </c>
      <c r="N103" s="101"/>
      <c r="O103" s="101"/>
      <c r="P103" s="101"/>
      <c r="Q103" s="101"/>
      <c r="R103" s="101"/>
      <c r="S103" s="101"/>
      <c r="T103" s="101"/>
      <c r="U103" s="101"/>
      <c r="V103" s="101"/>
      <c r="W103" s="91"/>
      <c r="X103" s="89"/>
      <c r="Y103" s="92">
        <f t="shared" si="6"/>
        <v>0</v>
      </c>
      <c r="Z103" s="92">
        <f t="shared" si="7"/>
        <v>0</v>
      </c>
      <c r="AA103" s="92">
        <f t="shared" si="8"/>
        <v>0</v>
      </c>
      <c r="AB103" s="92">
        <f t="shared" si="9"/>
        <v>0</v>
      </c>
      <c r="AC103" s="92"/>
      <c r="AD103" s="92">
        <v>0</v>
      </c>
      <c r="AE103" s="92">
        <f t="shared" si="10"/>
        <v>0</v>
      </c>
      <c r="AF103" s="93">
        <v>0</v>
      </c>
      <c r="AG103" s="89">
        <v>40589</v>
      </c>
      <c r="AH103" s="94"/>
      <c r="AI103" s="95" t="s">
        <v>4336</v>
      </c>
      <c r="AJ103" s="96" t="s">
        <v>4337</v>
      </c>
      <c r="AK103" s="97"/>
      <c r="AL103" s="89"/>
      <c r="AM103" s="100" t="s">
        <v>1024</v>
      </c>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114"/>
      <c r="CQ103" s="115"/>
      <c r="CR103" s="114"/>
      <c r="CS103" s="115"/>
      <c r="CT103" s="114"/>
      <c r="CU103" s="115"/>
      <c r="CV103" s="99">
        <f t="shared" si="11"/>
        <v>0</v>
      </c>
      <c r="CW103" s="114"/>
      <c r="CX103" s="115"/>
      <c r="CY103" s="114"/>
      <c r="CZ103" s="115"/>
      <c r="DA103" s="115"/>
      <c r="DB103" s="115"/>
      <c r="DC103" s="114"/>
      <c r="DD103" s="115"/>
      <c r="DE103" s="97"/>
      <c r="DF103" s="269"/>
    </row>
    <row r="104" spans="1:110" s="270" customFormat="1" ht="24" x14ac:dyDescent="0.2">
      <c r="A104" s="89">
        <v>40586</v>
      </c>
      <c r="B104" s="90" t="s">
        <v>4244</v>
      </c>
      <c r="C104" s="90" t="s">
        <v>2239</v>
      </c>
      <c r="D104" s="90" t="s">
        <v>4264</v>
      </c>
      <c r="E104" s="90" t="str">
        <f>VLOOKUP(B104&amp;C104,Divipola!$C$2:$F$1138,4,FALSE)</f>
        <v>76890</v>
      </c>
      <c r="F104" s="90"/>
      <c r="G104" s="101">
        <v>2</v>
      </c>
      <c r="H104" s="101"/>
      <c r="I104" s="101"/>
      <c r="J104" s="101"/>
      <c r="K104" s="101"/>
      <c r="L104" s="101"/>
      <c r="M104" s="101"/>
      <c r="N104" s="101"/>
      <c r="O104" s="101"/>
      <c r="P104" s="101"/>
      <c r="Q104" s="101"/>
      <c r="R104" s="101"/>
      <c r="S104" s="101"/>
      <c r="T104" s="101"/>
      <c r="U104" s="101"/>
      <c r="V104" s="101"/>
      <c r="W104" s="91"/>
      <c r="X104" s="89"/>
      <c r="Y104" s="92">
        <f t="shared" si="6"/>
        <v>0</v>
      </c>
      <c r="Z104" s="92">
        <f t="shared" si="7"/>
        <v>0</v>
      </c>
      <c r="AA104" s="92">
        <f t="shared" si="8"/>
        <v>0</v>
      </c>
      <c r="AB104" s="92">
        <f t="shared" si="9"/>
        <v>0</v>
      </c>
      <c r="AC104" s="92"/>
      <c r="AD104" s="92">
        <v>0</v>
      </c>
      <c r="AE104" s="92">
        <f t="shared" si="10"/>
        <v>0</v>
      </c>
      <c r="AF104" s="93">
        <v>0</v>
      </c>
      <c r="AG104" s="89">
        <v>40589</v>
      </c>
      <c r="AH104" s="94"/>
      <c r="AI104" s="95" t="s">
        <v>4336</v>
      </c>
      <c r="AJ104" s="96" t="s">
        <v>4337</v>
      </c>
      <c r="AK104" s="97"/>
      <c r="AL104" s="89"/>
      <c r="AM104" s="100" t="s">
        <v>1023</v>
      </c>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114"/>
      <c r="CQ104" s="115"/>
      <c r="CR104" s="114"/>
      <c r="CS104" s="115"/>
      <c r="CT104" s="114"/>
      <c r="CU104" s="115"/>
      <c r="CV104" s="99">
        <f t="shared" si="11"/>
        <v>0</v>
      </c>
      <c r="CW104" s="114"/>
      <c r="CX104" s="115"/>
      <c r="CY104" s="114"/>
      <c r="CZ104" s="115"/>
      <c r="DA104" s="115"/>
      <c r="DB104" s="115"/>
      <c r="DC104" s="114"/>
      <c r="DD104" s="115"/>
      <c r="DE104" s="97"/>
      <c r="DF104" s="269"/>
    </row>
    <row r="105" spans="1:110" s="270" customFormat="1" ht="24" x14ac:dyDescent="0.2">
      <c r="A105" s="89">
        <v>40587</v>
      </c>
      <c r="B105" s="90" t="s">
        <v>4261</v>
      </c>
      <c r="C105" s="90" t="s">
        <v>1231</v>
      </c>
      <c r="D105" s="90" t="s">
        <v>2362</v>
      </c>
      <c r="E105" s="90" t="str">
        <f>VLOOKUP(B105&amp;C105,Divipola!$C$2:$F$1138,4,FALSE)</f>
        <v>15507</v>
      </c>
      <c r="F105" s="4"/>
      <c r="G105" s="274"/>
      <c r="H105" s="274"/>
      <c r="I105" s="274"/>
      <c r="J105" s="124">
        <v>60</v>
      </c>
      <c r="K105" s="124">
        <v>15</v>
      </c>
      <c r="L105" s="124"/>
      <c r="M105" s="124">
        <v>15</v>
      </c>
      <c r="N105" s="208"/>
      <c r="O105" s="208"/>
      <c r="P105" s="208"/>
      <c r="Q105" s="208"/>
      <c r="R105" s="208"/>
      <c r="S105" s="208"/>
      <c r="T105" s="208"/>
      <c r="U105" s="208"/>
      <c r="V105" s="208"/>
      <c r="W105" s="19"/>
      <c r="X105" s="17"/>
      <c r="Y105" s="5">
        <f t="shared" si="6"/>
        <v>0</v>
      </c>
      <c r="Z105" s="5">
        <f t="shared" si="7"/>
        <v>0</v>
      </c>
      <c r="AA105" s="5">
        <f t="shared" si="8"/>
        <v>0</v>
      </c>
      <c r="AB105" s="5">
        <f t="shared" si="9"/>
        <v>0</v>
      </c>
      <c r="AC105" s="5"/>
      <c r="AD105" s="5">
        <v>0</v>
      </c>
      <c r="AE105" s="5">
        <f t="shared" si="10"/>
        <v>0</v>
      </c>
      <c r="AF105" s="70">
        <v>0</v>
      </c>
      <c r="AG105" s="17"/>
      <c r="AH105" s="18"/>
      <c r="AI105" s="47" t="s">
        <v>4336</v>
      </c>
      <c r="AJ105" s="73" t="s">
        <v>4337</v>
      </c>
      <c r="AK105" s="275"/>
      <c r="AL105" s="276"/>
      <c r="AM105" s="100" t="s">
        <v>1904</v>
      </c>
      <c r="AN105" s="19"/>
      <c r="AO105" s="19"/>
      <c r="AP105" s="19"/>
      <c r="AQ105" s="19"/>
      <c r="AR105" s="19"/>
      <c r="AS105" s="19"/>
      <c r="AT105" s="19"/>
      <c r="AU105" s="19"/>
      <c r="AV105" s="19"/>
      <c r="AW105" s="19"/>
      <c r="AX105" s="107"/>
      <c r="AY105" s="107"/>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39"/>
      <c r="CO105" s="138"/>
      <c r="CP105" s="139"/>
      <c r="CQ105" s="138"/>
      <c r="CR105" s="139"/>
      <c r="CS105" s="138"/>
      <c r="CT105" s="72"/>
      <c r="CU105" s="139"/>
      <c r="CV105" s="99">
        <f t="shared" si="11"/>
        <v>0</v>
      </c>
      <c r="CW105" s="139"/>
      <c r="CX105" s="138"/>
      <c r="CY105" s="138"/>
      <c r="CZ105" s="138"/>
      <c r="DA105" s="139"/>
      <c r="DB105" s="138"/>
      <c r="DC105" s="45"/>
      <c r="DD105" s="138"/>
      <c r="DE105" s="45"/>
      <c r="DF105" s="269"/>
    </row>
    <row r="106" spans="1:110" s="270" customFormat="1" ht="48" x14ac:dyDescent="0.2">
      <c r="A106" s="89">
        <v>40587</v>
      </c>
      <c r="B106" s="90" t="s">
        <v>4261</v>
      </c>
      <c r="C106" s="90" t="s">
        <v>3449</v>
      </c>
      <c r="D106" s="90" t="s">
        <v>2362</v>
      </c>
      <c r="E106" s="90" t="str">
        <f>VLOOKUP(B106&amp;C106,Divipola!$C$2:$F$1138,4,FALSE)</f>
        <v>15681</v>
      </c>
      <c r="F106" s="4"/>
      <c r="G106" s="274"/>
      <c r="H106" s="274"/>
      <c r="I106" s="274"/>
      <c r="J106" s="124">
        <v>1090</v>
      </c>
      <c r="K106" s="124">
        <v>218</v>
      </c>
      <c r="L106" s="124"/>
      <c r="M106" s="124">
        <v>109</v>
      </c>
      <c r="N106" s="208"/>
      <c r="O106" s="208"/>
      <c r="P106" s="208"/>
      <c r="Q106" s="208"/>
      <c r="R106" s="208"/>
      <c r="S106" s="208"/>
      <c r="T106" s="208"/>
      <c r="U106" s="208"/>
      <c r="V106" s="208"/>
      <c r="W106" s="19"/>
      <c r="X106" s="17"/>
      <c r="Y106" s="5">
        <f t="shared" si="6"/>
        <v>0</v>
      </c>
      <c r="Z106" s="5">
        <f t="shared" si="7"/>
        <v>0</v>
      </c>
      <c r="AA106" s="5">
        <f t="shared" si="8"/>
        <v>0</v>
      </c>
      <c r="AB106" s="5">
        <f t="shared" si="9"/>
        <v>0</v>
      </c>
      <c r="AC106" s="5"/>
      <c r="AD106" s="5">
        <v>0</v>
      </c>
      <c r="AE106" s="5">
        <f t="shared" si="10"/>
        <v>0</v>
      </c>
      <c r="AF106" s="70">
        <v>0</v>
      </c>
      <c r="AG106" s="17"/>
      <c r="AH106" s="18"/>
      <c r="AI106" s="47" t="s">
        <v>4336</v>
      </c>
      <c r="AJ106" s="73" t="s">
        <v>4337</v>
      </c>
      <c r="AK106" s="275"/>
      <c r="AL106" s="276"/>
      <c r="AM106" s="100" t="s">
        <v>1903</v>
      </c>
      <c r="AN106" s="19"/>
      <c r="AO106" s="19"/>
      <c r="AP106" s="19"/>
      <c r="AQ106" s="19"/>
      <c r="AR106" s="19"/>
      <c r="AS106" s="19"/>
      <c r="AT106" s="19"/>
      <c r="AU106" s="19"/>
      <c r="AV106" s="19"/>
      <c r="AW106" s="19"/>
      <c r="AX106" s="107"/>
      <c r="AY106" s="107"/>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39"/>
      <c r="CO106" s="138"/>
      <c r="CP106" s="139"/>
      <c r="CQ106" s="138"/>
      <c r="CR106" s="139"/>
      <c r="CS106" s="138"/>
      <c r="CT106" s="72"/>
      <c r="CU106" s="139"/>
      <c r="CV106" s="99">
        <f t="shared" si="11"/>
        <v>0</v>
      </c>
      <c r="CW106" s="139"/>
      <c r="CX106" s="138"/>
      <c r="CY106" s="138"/>
      <c r="CZ106" s="138"/>
      <c r="DA106" s="139"/>
      <c r="DB106" s="138"/>
      <c r="DC106" s="45"/>
      <c r="DD106" s="138"/>
      <c r="DE106" s="45"/>
      <c r="DF106" s="269"/>
    </row>
    <row r="107" spans="1:110" s="270" customFormat="1" ht="60" x14ac:dyDescent="0.2">
      <c r="A107" s="89">
        <v>40587</v>
      </c>
      <c r="B107" s="90" t="s">
        <v>4296</v>
      </c>
      <c r="C107" s="90" t="s">
        <v>3395</v>
      </c>
      <c r="D107" s="90" t="s">
        <v>2362</v>
      </c>
      <c r="E107" s="90" t="str">
        <f>VLOOKUP(B107&amp;C107,Divipola!$C$2:$F$1138,4,FALSE)</f>
        <v>19548</v>
      </c>
      <c r="F107" s="90"/>
      <c r="G107" s="101"/>
      <c r="H107" s="101"/>
      <c r="I107" s="101"/>
      <c r="J107" s="101">
        <f>44*5</f>
        <v>220</v>
      </c>
      <c r="K107" s="101">
        <v>44</v>
      </c>
      <c r="L107" s="101"/>
      <c r="M107" s="101"/>
      <c r="N107" s="101"/>
      <c r="O107" s="101"/>
      <c r="P107" s="101"/>
      <c r="Q107" s="101">
        <v>1</v>
      </c>
      <c r="R107" s="101"/>
      <c r="S107" s="101"/>
      <c r="T107" s="101"/>
      <c r="U107" s="101"/>
      <c r="V107" s="101"/>
      <c r="W107" s="91"/>
      <c r="X107" s="89"/>
      <c r="Y107" s="92">
        <f t="shared" si="6"/>
        <v>0</v>
      </c>
      <c r="Z107" s="92">
        <f t="shared" si="7"/>
        <v>0</v>
      </c>
      <c r="AA107" s="92">
        <f t="shared" si="8"/>
        <v>0</v>
      </c>
      <c r="AB107" s="92">
        <f t="shared" si="9"/>
        <v>0</v>
      </c>
      <c r="AC107" s="92"/>
      <c r="AD107" s="92">
        <v>0</v>
      </c>
      <c r="AE107" s="92">
        <f t="shared" si="10"/>
        <v>0</v>
      </c>
      <c r="AF107" s="93">
        <v>0</v>
      </c>
      <c r="AG107" s="89">
        <v>40589</v>
      </c>
      <c r="AH107" s="94"/>
      <c r="AI107" s="95" t="s">
        <v>4336</v>
      </c>
      <c r="AJ107" s="96" t="s">
        <v>4337</v>
      </c>
      <c r="AK107" s="97"/>
      <c r="AL107" s="89"/>
      <c r="AM107" s="100" t="s">
        <v>4411</v>
      </c>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114"/>
      <c r="CQ107" s="115"/>
      <c r="CR107" s="114"/>
      <c r="CS107" s="115"/>
      <c r="CT107" s="114"/>
      <c r="CU107" s="115"/>
      <c r="CV107" s="99">
        <f t="shared" si="11"/>
        <v>0</v>
      </c>
      <c r="CW107" s="114"/>
      <c r="CX107" s="115"/>
      <c r="CY107" s="114"/>
      <c r="CZ107" s="115"/>
      <c r="DA107" s="115"/>
      <c r="DB107" s="115"/>
      <c r="DC107" s="114"/>
      <c r="DD107" s="115"/>
      <c r="DE107" s="97"/>
      <c r="DF107" s="269"/>
    </row>
    <row r="108" spans="1:110" s="270" customFormat="1" ht="36" x14ac:dyDescent="0.2">
      <c r="A108" s="89">
        <v>40587</v>
      </c>
      <c r="B108" s="90" t="s">
        <v>4344</v>
      </c>
      <c r="C108" s="90" t="s">
        <v>1027</v>
      </c>
      <c r="D108" s="90" t="s">
        <v>4264</v>
      </c>
      <c r="E108" s="90" t="str">
        <f>VLOOKUP(B108&amp;C108,Divipola!$C$2:$F$1138,4,FALSE)</f>
        <v>25224</v>
      </c>
      <c r="F108" s="90"/>
      <c r="G108" s="101">
        <v>1</v>
      </c>
      <c r="H108" s="101"/>
      <c r="I108" s="101"/>
      <c r="J108" s="101">
        <f>22*5</f>
        <v>110</v>
      </c>
      <c r="K108" s="101">
        <v>22</v>
      </c>
      <c r="L108" s="101"/>
      <c r="M108" s="101">
        <v>4</v>
      </c>
      <c r="N108" s="101"/>
      <c r="O108" s="101"/>
      <c r="P108" s="101"/>
      <c r="Q108" s="101"/>
      <c r="R108" s="101"/>
      <c r="S108" s="101"/>
      <c r="T108" s="101"/>
      <c r="U108" s="101"/>
      <c r="V108" s="101"/>
      <c r="W108" s="91"/>
      <c r="X108" s="89"/>
      <c r="Y108" s="92">
        <f t="shared" si="6"/>
        <v>0</v>
      </c>
      <c r="Z108" s="92">
        <f t="shared" si="7"/>
        <v>0</v>
      </c>
      <c r="AA108" s="92">
        <f t="shared" si="8"/>
        <v>0</v>
      </c>
      <c r="AB108" s="92">
        <f t="shared" si="9"/>
        <v>0</v>
      </c>
      <c r="AC108" s="92"/>
      <c r="AD108" s="92">
        <v>0</v>
      </c>
      <c r="AE108" s="92">
        <f t="shared" si="10"/>
        <v>0</v>
      </c>
      <c r="AF108" s="93">
        <v>0</v>
      </c>
      <c r="AG108" s="89">
        <v>40589</v>
      </c>
      <c r="AH108" s="94"/>
      <c r="AI108" s="102" t="s">
        <v>4336</v>
      </c>
      <c r="AJ108" s="96" t="s">
        <v>4337</v>
      </c>
      <c r="AK108" s="97"/>
      <c r="AL108" s="89"/>
      <c r="AM108" s="100" t="s">
        <v>839</v>
      </c>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114"/>
      <c r="CQ108" s="115"/>
      <c r="CR108" s="114"/>
      <c r="CS108" s="115"/>
      <c r="CT108" s="114"/>
      <c r="CU108" s="115"/>
      <c r="CV108" s="99">
        <f t="shared" si="11"/>
        <v>0</v>
      </c>
      <c r="CW108" s="114"/>
      <c r="CX108" s="115"/>
      <c r="CY108" s="114"/>
      <c r="CZ108" s="115"/>
      <c r="DA108" s="115"/>
      <c r="DB108" s="115"/>
      <c r="DC108" s="114"/>
      <c r="DD108" s="115"/>
      <c r="DE108" s="97"/>
      <c r="DF108" s="269"/>
    </row>
    <row r="109" spans="1:110" s="270" customFormat="1" ht="22.5" x14ac:dyDescent="0.2">
      <c r="A109" s="89">
        <v>40587</v>
      </c>
      <c r="B109" s="90" t="s">
        <v>2857</v>
      </c>
      <c r="C109" s="90" t="s">
        <v>2858</v>
      </c>
      <c r="D109" s="90" t="s">
        <v>3346</v>
      </c>
      <c r="E109" s="90" t="str">
        <f>VLOOKUP(B109&amp;C109,Divipola!$C$2:$F$1138,4,FALSE)</f>
        <v>95001</v>
      </c>
      <c r="F109" s="90"/>
      <c r="G109" s="101"/>
      <c r="H109" s="101"/>
      <c r="I109" s="101"/>
      <c r="J109" s="101">
        <f>309-35</f>
        <v>274</v>
      </c>
      <c r="K109" s="101">
        <f>68-7</f>
        <v>61</v>
      </c>
      <c r="L109" s="101"/>
      <c r="M109" s="101">
        <v>61</v>
      </c>
      <c r="N109" s="101"/>
      <c r="O109" s="101"/>
      <c r="P109" s="101"/>
      <c r="Q109" s="101"/>
      <c r="R109" s="101"/>
      <c r="S109" s="101"/>
      <c r="T109" s="101"/>
      <c r="U109" s="101"/>
      <c r="V109" s="101"/>
      <c r="W109" s="91"/>
      <c r="X109" s="89"/>
      <c r="Y109" s="92">
        <f t="shared" si="6"/>
        <v>0</v>
      </c>
      <c r="Z109" s="92">
        <f t="shared" si="7"/>
        <v>0</v>
      </c>
      <c r="AA109" s="92">
        <f t="shared" si="8"/>
        <v>0</v>
      </c>
      <c r="AB109" s="92">
        <f t="shared" si="9"/>
        <v>0</v>
      </c>
      <c r="AC109" s="92"/>
      <c r="AD109" s="92">
        <v>0</v>
      </c>
      <c r="AE109" s="92">
        <f t="shared" si="10"/>
        <v>0</v>
      </c>
      <c r="AF109" s="93">
        <v>0</v>
      </c>
      <c r="AG109" s="89">
        <v>40589</v>
      </c>
      <c r="AH109" s="94"/>
      <c r="AI109" s="102" t="s">
        <v>4336</v>
      </c>
      <c r="AJ109" s="96" t="s">
        <v>4337</v>
      </c>
      <c r="AK109" s="97"/>
      <c r="AL109" s="89"/>
      <c r="AM109" s="100" t="s">
        <v>1026</v>
      </c>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114"/>
      <c r="CQ109" s="115"/>
      <c r="CR109" s="114"/>
      <c r="CS109" s="115"/>
      <c r="CT109" s="114"/>
      <c r="CU109" s="115"/>
      <c r="CV109" s="99">
        <f t="shared" si="11"/>
        <v>0</v>
      </c>
      <c r="CW109" s="114"/>
      <c r="CX109" s="115"/>
      <c r="CY109" s="114"/>
      <c r="CZ109" s="115"/>
      <c r="DA109" s="115"/>
      <c r="DB109" s="115"/>
      <c r="DC109" s="114"/>
      <c r="DD109" s="115"/>
      <c r="DE109" s="97"/>
      <c r="DF109" s="269"/>
    </row>
    <row r="110" spans="1:110" s="270" customFormat="1" ht="36" x14ac:dyDescent="0.2">
      <c r="A110" s="89">
        <v>40587</v>
      </c>
      <c r="B110" s="90" t="s">
        <v>4219</v>
      </c>
      <c r="C110" s="90" t="s">
        <v>3503</v>
      </c>
      <c r="D110" s="90" t="s">
        <v>4264</v>
      </c>
      <c r="E110" s="90" t="str">
        <f>VLOOKUP(B110&amp;C110,Divipola!$C$2:$F$1138,4,FALSE)</f>
        <v>41001</v>
      </c>
      <c r="F110" s="90"/>
      <c r="G110" s="101"/>
      <c r="H110" s="101"/>
      <c r="I110" s="101"/>
      <c r="J110" s="101">
        <f>302*4</f>
        <v>1208</v>
      </c>
      <c r="K110" s="101">
        <f>40+262</f>
        <v>302</v>
      </c>
      <c r="L110" s="101"/>
      <c r="M110" s="101">
        <v>40</v>
      </c>
      <c r="N110" s="101"/>
      <c r="O110" s="101"/>
      <c r="P110" s="101"/>
      <c r="Q110" s="101"/>
      <c r="R110" s="101"/>
      <c r="S110" s="101"/>
      <c r="T110" s="101"/>
      <c r="U110" s="101"/>
      <c r="V110" s="101"/>
      <c r="W110" s="91"/>
      <c r="X110" s="89"/>
      <c r="Y110" s="92">
        <f t="shared" si="6"/>
        <v>0</v>
      </c>
      <c r="Z110" s="92">
        <f t="shared" si="7"/>
        <v>0</v>
      </c>
      <c r="AA110" s="92">
        <f t="shared" si="8"/>
        <v>0</v>
      </c>
      <c r="AB110" s="92">
        <f t="shared" si="9"/>
        <v>0</v>
      </c>
      <c r="AC110" s="92"/>
      <c r="AD110" s="92">
        <v>0</v>
      </c>
      <c r="AE110" s="92">
        <f t="shared" si="10"/>
        <v>0</v>
      </c>
      <c r="AF110" s="93">
        <v>0</v>
      </c>
      <c r="AG110" s="89">
        <v>40589</v>
      </c>
      <c r="AH110" s="94"/>
      <c r="AI110" s="95" t="s">
        <v>4336</v>
      </c>
      <c r="AJ110" s="96" t="s">
        <v>4337</v>
      </c>
      <c r="AK110" s="97"/>
      <c r="AL110" s="89"/>
      <c r="AM110" s="100" t="s">
        <v>1029</v>
      </c>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114"/>
      <c r="CQ110" s="115"/>
      <c r="CR110" s="114"/>
      <c r="CS110" s="115"/>
      <c r="CT110" s="114"/>
      <c r="CU110" s="115"/>
      <c r="CV110" s="99">
        <f t="shared" si="11"/>
        <v>0</v>
      </c>
      <c r="CW110" s="114"/>
      <c r="CX110" s="115"/>
      <c r="CY110" s="114"/>
      <c r="CZ110" s="115"/>
      <c r="DA110" s="115"/>
      <c r="DB110" s="115"/>
      <c r="DC110" s="114"/>
      <c r="DD110" s="115"/>
      <c r="DE110" s="97"/>
      <c r="DF110" s="269"/>
    </row>
    <row r="111" spans="1:110" s="270" customFormat="1" x14ac:dyDescent="0.2">
      <c r="A111" s="89">
        <v>40587</v>
      </c>
      <c r="B111" s="90" t="s">
        <v>4387</v>
      </c>
      <c r="C111" s="90" t="s">
        <v>852</v>
      </c>
      <c r="D111" s="90" t="s">
        <v>2362</v>
      </c>
      <c r="E111" s="90" t="str">
        <f>VLOOKUP(B111&amp;C111,Divipola!$C$2:$F$1138,4,FALSE)</f>
        <v>52233</v>
      </c>
      <c r="F111" s="90"/>
      <c r="G111" s="101"/>
      <c r="H111" s="101"/>
      <c r="I111" s="101"/>
      <c r="J111" s="101">
        <v>663</v>
      </c>
      <c r="K111" s="101">
        <v>158</v>
      </c>
      <c r="L111" s="101">
        <v>10</v>
      </c>
      <c r="M111" s="101">
        <v>58</v>
      </c>
      <c r="N111" s="101">
        <v>3</v>
      </c>
      <c r="O111" s="101">
        <v>1</v>
      </c>
      <c r="P111" s="101"/>
      <c r="Q111" s="101"/>
      <c r="R111" s="101"/>
      <c r="S111" s="101"/>
      <c r="T111" s="101"/>
      <c r="U111" s="101"/>
      <c r="V111" s="101"/>
      <c r="W111" s="91"/>
      <c r="X111" s="89"/>
      <c r="Y111" s="92">
        <f t="shared" si="6"/>
        <v>0</v>
      </c>
      <c r="Z111" s="92">
        <f t="shared" si="7"/>
        <v>0</v>
      </c>
      <c r="AA111" s="92">
        <f t="shared" si="8"/>
        <v>0</v>
      </c>
      <c r="AB111" s="92">
        <f t="shared" si="9"/>
        <v>0</v>
      </c>
      <c r="AC111" s="92"/>
      <c r="AD111" s="92">
        <v>0</v>
      </c>
      <c r="AE111" s="92">
        <f t="shared" si="10"/>
        <v>0</v>
      </c>
      <c r="AF111" s="93">
        <v>0</v>
      </c>
      <c r="AG111" s="89">
        <v>40589</v>
      </c>
      <c r="AH111" s="94"/>
      <c r="AI111" s="95" t="s">
        <v>4336</v>
      </c>
      <c r="AJ111" s="96" t="s">
        <v>4337</v>
      </c>
      <c r="AK111" s="97"/>
      <c r="AL111" s="89"/>
      <c r="AM111" s="100" t="s">
        <v>3452</v>
      </c>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114"/>
      <c r="CQ111" s="115"/>
      <c r="CR111" s="114"/>
      <c r="CS111" s="115"/>
      <c r="CT111" s="114"/>
      <c r="CU111" s="115"/>
      <c r="CV111" s="99">
        <f t="shared" si="11"/>
        <v>0</v>
      </c>
      <c r="CW111" s="114"/>
      <c r="CX111" s="115"/>
      <c r="CY111" s="114"/>
      <c r="CZ111" s="115"/>
      <c r="DA111" s="115"/>
      <c r="DB111" s="115"/>
      <c r="DC111" s="114"/>
      <c r="DD111" s="115"/>
      <c r="DE111" s="97"/>
      <c r="DF111" s="269"/>
    </row>
    <row r="112" spans="1:110" s="270" customFormat="1" x14ac:dyDescent="0.2">
      <c r="A112" s="89">
        <v>40587</v>
      </c>
      <c r="B112" s="90" t="s">
        <v>4350</v>
      </c>
      <c r="C112" s="90" t="s">
        <v>4351</v>
      </c>
      <c r="D112" s="90" t="s">
        <v>3346</v>
      </c>
      <c r="E112" s="90" t="str">
        <f>VLOOKUP(B112&amp;C112,Divipola!$C$2:$F$1138,4,FALSE)</f>
        <v>63001</v>
      </c>
      <c r="F112" s="90"/>
      <c r="G112" s="101"/>
      <c r="H112" s="101"/>
      <c r="I112" s="101"/>
      <c r="J112" s="101">
        <v>5</v>
      </c>
      <c r="K112" s="101">
        <v>1</v>
      </c>
      <c r="L112" s="101"/>
      <c r="M112" s="101">
        <v>1</v>
      </c>
      <c r="N112" s="101"/>
      <c r="O112" s="101"/>
      <c r="P112" s="101"/>
      <c r="Q112" s="101"/>
      <c r="R112" s="101"/>
      <c r="S112" s="101"/>
      <c r="T112" s="101"/>
      <c r="U112" s="101"/>
      <c r="V112" s="101"/>
      <c r="W112" s="91"/>
      <c r="X112" s="89"/>
      <c r="Y112" s="92">
        <f t="shared" si="6"/>
        <v>0</v>
      </c>
      <c r="Z112" s="92">
        <f t="shared" si="7"/>
        <v>0</v>
      </c>
      <c r="AA112" s="92">
        <f t="shared" si="8"/>
        <v>0</v>
      </c>
      <c r="AB112" s="92">
        <f t="shared" si="9"/>
        <v>0</v>
      </c>
      <c r="AC112" s="92"/>
      <c r="AD112" s="92">
        <v>0</v>
      </c>
      <c r="AE112" s="92">
        <f t="shared" si="10"/>
        <v>0</v>
      </c>
      <c r="AF112" s="93">
        <v>0</v>
      </c>
      <c r="AG112" s="89">
        <v>40589</v>
      </c>
      <c r="AH112" s="94"/>
      <c r="AI112" s="95" t="s">
        <v>4336</v>
      </c>
      <c r="AJ112" s="96" t="s">
        <v>4337</v>
      </c>
      <c r="AK112" s="97"/>
      <c r="AL112" s="89"/>
      <c r="AM112" s="100" t="s">
        <v>1032</v>
      </c>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114"/>
      <c r="CQ112" s="115"/>
      <c r="CR112" s="114"/>
      <c r="CS112" s="115"/>
      <c r="CT112" s="114"/>
      <c r="CU112" s="115"/>
      <c r="CV112" s="99">
        <f t="shared" si="11"/>
        <v>0</v>
      </c>
      <c r="CW112" s="114"/>
      <c r="CX112" s="115"/>
      <c r="CY112" s="114"/>
      <c r="CZ112" s="115"/>
      <c r="DA112" s="115"/>
      <c r="DB112" s="115"/>
      <c r="DC112" s="114"/>
      <c r="DD112" s="115"/>
      <c r="DE112" s="97"/>
      <c r="DF112" s="269"/>
    </row>
    <row r="113" spans="1:110" s="270" customFormat="1" x14ac:dyDescent="0.2">
      <c r="A113" s="89">
        <v>40587</v>
      </c>
      <c r="B113" s="90" t="s">
        <v>3316</v>
      </c>
      <c r="C113" s="90" t="s">
        <v>4323</v>
      </c>
      <c r="D113" s="90" t="s">
        <v>2865</v>
      </c>
      <c r="E113" s="90" t="str">
        <f>VLOOKUP(B113&amp;C113,Divipola!$C$2:$F$1138,4,FALSE)</f>
        <v>73001</v>
      </c>
      <c r="F113" s="90"/>
      <c r="G113" s="101"/>
      <c r="H113" s="101"/>
      <c r="I113" s="101"/>
      <c r="J113" s="101">
        <v>10</v>
      </c>
      <c r="K113" s="101">
        <v>2</v>
      </c>
      <c r="L113" s="101">
        <v>2</v>
      </c>
      <c r="M113" s="101"/>
      <c r="N113" s="101"/>
      <c r="O113" s="101"/>
      <c r="P113" s="101"/>
      <c r="Q113" s="101"/>
      <c r="R113" s="101"/>
      <c r="S113" s="101"/>
      <c r="T113" s="101"/>
      <c r="U113" s="101"/>
      <c r="V113" s="101"/>
      <c r="W113" s="91"/>
      <c r="X113" s="89"/>
      <c r="Y113" s="92">
        <f t="shared" si="6"/>
        <v>0</v>
      </c>
      <c r="Z113" s="92">
        <f t="shared" si="7"/>
        <v>0</v>
      </c>
      <c r="AA113" s="92">
        <f t="shared" si="8"/>
        <v>0</v>
      </c>
      <c r="AB113" s="92">
        <f t="shared" si="9"/>
        <v>0</v>
      </c>
      <c r="AC113" s="92"/>
      <c r="AD113" s="92">
        <v>0</v>
      </c>
      <c r="AE113" s="92">
        <f t="shared" si="10"/>
        <v>0</v>
      </c>
      <c r="AF113" s="93">
        <v>0</v>
      </c>
      <c r="AG113" s="89">
        <v>40589</v>
      </c>
      <c r="AH113" s="94"/>
      <c r="AI113" s="102" t="s">
        <v>4336</v>
      </c>
      <c r="AJ113" s="96" t="s">
        <v>4337</v>
      </c>
      <c r="AK113" s="97"/>
      <c r="AL113" s="89"/>
      <c r="AM113" s="100" t="s">
        <v>1030</v>
      </c>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114"/>
      <c r="CQ113" s="115"/>
      <c r="CR113" s="114"/>
      <c r="CS113" s="115"/>
      <c r="CT113" s="114"/>
      <c r="CU113" s="115"/>
      <c r="CV113" s="99">
        <f t="shared" si="11"/>
        <v>0</v>
      </c>
      <c r="CW113" s="114"/>
      <c r="CX113" s="115"/>
      <c r="CY113" s="114"/>
      <c r="CZ113" s="115"/>
      <c r="DA113" s="115"/>
      <c r="DB113" s="115"/>
      <c r="DC113" s="114"/>
      <c r="DD113" s="115"/>
      <c r="DE113" s="97"/>
      <c r="DF113" s="269"/>
    </row>
    <row r="114" spans="1:110" s="270" customFormat="1" ht="22.5" x14ac:dyDescent="0.2">
      <c r="A114" s="89">
        <v>40587</v>
      </c>
      <c r="B114" s="90" t="s">
        <v>4244</v>
      </c>
      <c r="C114" s="90" t="s">
        <v>4332</v>
      </c>
      <c r="D114" s="90" t="s">
        <v>2362</v>
      </c>
      <c r="E114" s="90" t="str">
        <f>VLOOKUP(B114&amp;C114,Divipola!$C$2:$F$1138,4,FALSE)</f>
        <v>76306</v>
      </c>
      <c r="F114" s="90"/>
      <c r="G114" s="101"/>
      <c r="H114" s="101"/>
      <c r="I114" s="101"/>
      <c r="J114" s="101">
        <v>20</v>
      </c>
      <c r="K114" s="101">
        <v>4</v>
      </c>
      <c r="L114" s="101"/>
      <c r="M114" s="101">
        <v>4</v>
      </c>
      <c r="N114" s="101"/>
      <c r="O114" s="101"/>
      <c r="P114" s="101"/>
      <c r="Q114" s="101"/>
      <c r="R114" s="101"/>
      <c r="S114" s="101"/>
      <c r="T114" s="101"/>
      <c r="U114" s="101"/>
      <c r="V114" s="101"/>
      <c r="W114" s="91"/>
      <c r="X114" s="89"/>
      <c r="Y114" s="92">
        <f t="shared" si="6"/>
        <v>0</v>
      </c>
      <c r="Z114" s="92">
        <f t="shared" si="7"/>
        <v>0</v>
      </c>
      <c r="AA114" s="92">
        <f t="shared" si="8"/>
        <v>0</v>
      </c>
      <c r="AB114" s="92">
        <f t="shared" si="9"/>
        <v>0</v>
      </c>
      <c r="AC114" s="92"/>
      <c r="AD114" s="92">
        <v>0</v>
      </c>
      <c r="AE114" s="92">
        <f t="shared" si="10"/>
        <v>0</v>
      </c>
      <c r="AF114" s="93">
        <v>0</v>
      </c>
      <c r="AG114" s="89">
        <v>40589</v>
      </c>
      <c r="AH114" s="94"/>
      <c r="AI114" s="95" t="s">
        <v>4336</v>
      </c>
      <c r="AJ114" s="96" t="s">
        <v>4337</v>
      </c>
      <c r="AK114" s="97"/>
      <c r="AL114" s="89"/>
      <c r="AM114" s="100" t="s">
        <v>1025</v>
      </c>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114"/>
      <c r="CQ114" s="115"/>
      <c r="CR114" s="114"/>
      <c r="CS114" s="115"/>
      <c r="CT114" s="114"/>
      <c r="CU114" s="115"/>
      <c r="CV114" s="99">
        <f t="shared" si="11"/>
        <v>0</v>
      </c>
      <c r="CW114" s="114"/>
      <c r="CX114" s="115"/>
      <c r="CY114" s="114"/>
      <c r="CZ114" s="115"/>
      <c r="DA114" s="115"/>
      <c r="DB114" s="115"/>
      <c r="DC114" s="114"/>
      <c r="DD114" s="115"/>
      <c r="DE114" s="97"/>
      <c r="DF114" s="269"/>
    </row>
    <row r="115" spans="1:110" s="270" customFormat="1" x14ac:dyDescent="0.2">
      <c r="A115" s="89">
        <v>40588</v>
      </c>
      <c r="B115" s="90" t="s">
        <v>2218</v>
      </c>
      <c r="C115" s="90" t="s">
        <v>3390</v>
      </c>
      <c r="D115" s="90" t="s">
        <v>2362</v>
      </c>
      <c r="E115" s="90" t="str">
        <f>VLOOKUP(B115&amp;C115,Divipola!$C$2:$F$1138,4,FALSE)</f>
        <v>05380</v>
      </c>
      <c r="F115" s="90"/>
      <c r="G115" s="101"/>
      <c r="H115" s="101"/>
      <c r="I115" s="101"/>
      <c r="J115" s="101">
        <v>110</v>
      </c>
      <c r="K115" s="101">
        <v>30</v>
      </c>
      <c r="L115" s="101"/>
      <c r="M115" s="101">
        <v>30</v>
      </c>
      <c r="N115" s="101"/>
      <c r="O115" s="101"/>
      <c r="P115" s="101"/>
      <c r="Q115" s="101"/>
      <c r="R115" s="101"/>
      <c r="S115" s="101"/>
      <c r="T115" s="101"/>
      <c r="U115" s="101"/>
      <c r="V115" s="101"/>
      <c r="W115" s="91"/>
      <c r="X115" s="89"/>
      <c r="Y115" s="92">
        <f t="shared" si="6"/>
        <v>0</v>
      </c>
      <c r="Z115" s="92">
        <f t="shared" si="7"/>
        <v>0</v>
      </c>
      <c r="AA115" s="92">
        <f t="shared" si="8"/>
        <v>0</v>
      </c>
      <c r="AB115" s="92">
        <f t="shared" si="9"/>
        <v>0</v>
      </c>
      <c r="AC115" s="92"/>
      <c r="AD115" s="92">
        <v>0</v>
      </c>
      <c r="AE115" s="92">
        <f t="shared" si="10"/>
        <v>0</v>
      </c>
      <c r="AF115" s="93">
        <v>0</v>
      </c>
      <c r="AG115" s="89">
        <v>40595</v>
      </c>
      <c r="AH115" s="94"/>
      <c r="AI115" s="95" t="s">
        <v>4336</v>
      </c>
      <c r="AJ115" s="96" t="s">
        <v>4337</v>
      </c>
      <c r="AK115" s="97"/>
      <c r="AL115" s="89"/>
      <c r="AM115" s="100" t="s">
        <v>3347</v>
      </c>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114"/>
      <c r="CQ115" s="115"/>
      <c r="CR115" s="114"/>
      <c r="CS115" s="115"/>
      <c r="CT115" s="114"/>
      <c r="CU115" s="115"/>
      <c r="CV115" s="99">
        <f t="shared" si="11"/>
        <v>0</v>
      </c>
      <c r="CW115" s="114"/>
      <c r="CX115" s="115"/>
      <c r="CY115" s="114"/>
      <c r="CZ115" s="115"/>
      <c r="DA115" s="115"/>
      <c r="DB115" s="115"/>
      <c r="DC115" s="114"/>
      <c r="DD115" s="115"/>
      <c r="DE115" s="97"/>
      <c r="DF115" s="269"/>
    </row>
    <row r="116" spans="1:110" s="270" customFormat="1" ht="22.5" x14ac:dyDescent="0.2">
      <c r="A116" s="89">
        <v>40588</v>
      </c>
      <c r="B116" s="90" t="s">
        <v>4386</v>
      </c>
      <c r="C116" s="90" t="s">
        <v>857</v>
      </c>
      <c r="D116" s="90" t="s">
        <v>4298</v>
      </c>
      <c r="E116" s="90" t="str">
        <f>VLOOKUP(B116&amp;C116,Divipola!$C$2:$F$1138,4,FALSE)</f>
        <v>20175</v>
      </c>
      <c r="F116" s="90"/>
      <c r="G116" s="101"/>
      <c r="H116" s="101"/>
      <c r="I116" s="101"/>
      <c r="J116" s="101">
        <v>45</v>
      </c>
      <c r="K116" s="101">
        <v>9</v>
      </c>
      <c r="L116" s="101">
        <v>9</v>
      </c>
      <c r="M116" s="101"/>
      <c r="N116" s="101"/>
      <c r="O116" s="101"/>
      <c r="P116" s="101"/>
      <c r="Q116" s="101"/>
      <c r="R116" s="101"/>
      <c r="S116" s="101"/>
      <c r="T116" s="101"/>
      <c r="U116" s="101"/>
      <c r="V116" s="101"/>
      <c r="W116" s="91"/>
      <c r="X116" s="89"/>
      <c r="Y116" s="92">
        <f t="shared" si="6"/>
        <v>0</v>
      </c>
      <c r="Z116" s="92">
        <f t="shared" si="7"/>
        <v>0</v>
      </c>
      <c r="AA116" s="92">
        <f t="shared" si="8"/>
        <v>0</v>
      </c>
      <c r="AB116" s="92">
        <f t="shared" si="9"/>
        <v>0</v>
      </c>
      <c r="AC116" s="92"/>
      <c r="AD116" s="92">
        <v>0</v>
      </c>
      <c r="AE116" s="92">
        <f t="shared" si="10"/>
        <v>0</v>
      </c>
      <c r="AF116" s="93">
        <v>0</v>
      </c>
      <c r="AG116" s="89">
        <v>40589</v>
      </c>
      <c r="AH116" s="94"/>
      <c r="AI116" s="102" t="s">
        <v>4346</v>
      </c>
      <c r="AJ116" s="96" t="s">
        <v>4347</v>
      </c>
      <c r="AK116" s="97"/>
      <c r="AL116" s="89" t="s">
        <v>1049</v>
      </c>
      <c r="AM116" s="100" t="s">
        <v>1033</v>
      </c>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114"/>
      <c r="CQ116" s="115"/>
      <c r="CR116" s="114"/>
      <c r="CS116" s="115"/>
      <c r="CT116" s="114"/>
      <c r="CU116" s="115"/>
      <c r="CV116" s="99">
        <f t="shared" si="11"/>
        <v>0</v>
      </c>
      <c r="CW116" s="114"/>
      <c r="CX116" s="115"/>
      <c r="CY116" s="114"/>
      <c r="CZ116" s="115"/>
      <c r="DA116" s="115"/>
      <c r="DB116" s="115"/>
      <c r="DC116" s="114"/>
      <c r="DD116" s="115"/>
      <c r="DE116" s="97"/>
      <c r="DF116" s="269"/>
    </row>
    <row r="117" spans="1:110" s="270" customFormat="1" ht="45" x14ac:dyDescent="0.2">
      <c r="A117" s="89">
        <v>40588</v>
      </c>
      <c r="B117" s="90" t="s">
        <v>4219</v>
      </c>
      <c r="C117" s="90" t="s">
        <v>2232</v>
      </c>
      <c r="D117" s="90" t="s">
        <v>4298</v>
      </c>
      <c r="E117" s="90" t="str">
        <f>VLOOKUP(B117&amp;C117,Divipola!$C$2:$F$1138,4,FALSE)</f>
        <v>41551</v>
      </c>
      <c r="F117" s="90"/>
      <c r="G117" s="101"/>
      <c r="H117" s="101"/>
      <c r="I117" s="101"/>
      <c r="J117" s="101"/>
      <c r="K117" s="101"/>
      <c r="L117" s="101"/>
      <c r="M117" s="101"/>
      <c r="N117" s="101"/>
      <c r="O117" s="101"/>
      <c r="P117" s="101"/>
      <c r="Q117" s="101"/>
      <c r="R117" s="101"/>
      <c r="S117" s="101"/>
      <c r="T117" s="101"/>
      <c r="U117" s="101"/>
      <c r="V117" s="101"/>
      <c r="W117" s="91" t="s">
        <v>1035</v>
      </c>
      <c r="X117" s="89"/>
      <c r="Y117" s="92">
        <f t="shared" si="6"/>
        <v>0</v>
      </c>
      <c r="Z117" s="92">
        <f t="shared" si="7"/>
        <v>0</v>
      </c>
      <c r="AA117" s="92">
        <f t="shared" si="8"/>
        <v>0</v>
      </c>
      <c r="AB117" s="92">
        <f t="shared" si="9"/>
        <v>0</v>
      </c>
      <c r="AC117" s="92"/>
      <c r="AD117" s="92">
        <v>0</v>
      </c>
      <c r="AE117" s="92">
        <f t="shared" si="10"/>
        <v>0</v>
      </c>
      <c r="AF117" s="93">
        <v>0</v>
      </c>
      <c r="AG117" s="89">
        <v>40595</v>
      </c>
      <c r="AH117" s="94"/>
      <c r="AI117" s="95" t="s">
        <v>4336</v>
      </c>
      <c r="AJ117" s="96" t="s">
        <v>4337</v>
      </c>
      <c r="AK117" s="97"/>
      <c r="AL117" s="89"/>
      <c r="AM117" s="100" t="s">
        <v>1034</v>
      </c>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114"/>
      <c r="CQ117" s="115"/>
      <c r="CR117" s="114"/>
      <c r="CS117" s="115"/>
      <c r="CT117" s="114"/>
      <c r="CU117" s="115"/>
      <c r="CV117" s="99">
        <f t="shared" si="11"/>
        <v>0</v>
      </c>
      <c r="CW117" s="114"/>
      <c r="CX117" s="115"/>
      <c r="CY117" s="114"/>
      <c r="CZ117" s="115"/>
      <c r="DA117" s="115"/>
      <c r="DB117" s="115"/>
      <c r="DC117" s="114"/>
      <c r="DD117" s="115"/>
      <c r="DE117" s="97"/>
      <c r="DF117" s="269"/>
    </row>
    <row r="118" spans="1:110" s="270" customFormat="1" ht="72" x14ac:dyDescent="0.2">
      <c r="A118" s="89">
        <v>40588</v>
      </c>
      <c r="B118" s="90" t="s">
        <v>4387</v>
      </c>
      <c r="C118" s="90" t="s">
        <v>4282</v>
      </c>
      <c r="D118" s="90" t="s">
        <v>2362</v>
      </c>
      <c r="E118" s="90" t="str">
        <f>VLOOKUP(B118&amp;C118,Divipola!$C$2:$F$1138,4,FALSE)</f>
        <v>52215</v>
      </c>
      <c r="F118" s="90"/>
      <c r="G118" s="101"/>
      <c r="H118" s="101"/>
      <c r="I118" s="101"/>
      <c r="J118" s="101">
        <v>30</v>
      </c>
      <c r="K118" s="101">
        <v>6</v>
      </c>
      <c r="L118" s="101"/>
      <c r="M118" s="101">
        <v>6</v>
      </c>
      <c r="N118" s="101"/>
      <c r="O118" s="101"/>
      <c r="P118" s="101"/>
      <c r="Q118" s="101"/>
      <c r="R118" s="101"/>
      <c r="S118" s="101"/>
      <c r="T118" s="101"/>
      <c r="U118" s="101"/>
      <c r="V118" s="101">
        <v>174</v>
      </c>
      <c r="W118" s="91"/>
      <c r="X118" s="105"/>
      <c r="Y118" s="92">
        <f t="shared" si="6"/>
        <v>0</v>
      </c>
      <c r="Z118" s="92">
        <f t="shared" si="7"/>
        <v>0</v>
      </c>
      <c r="AA118" s="92">
        <f t="shared" si="8"/>
        <v>0</v>
      </c>
      <c r="AB118" s="92">
        <f t="shared" si="9"/>
        <v>0</v>
      </c>
      <c r="AC118" s="92"/>
      <c r="AD118" s="92">
        <v>0</v>
      </c>
      <c r="AE118" s="92">
        <f t="shared" si="10"/>
        <v>0</v>
      </c>
      <c r="AF118" s="93">
        <v>0</v>
      </c>
      <c r="AG118" s="105"/>
      <c r="AH118" s="108"/>
      <c r="AI118" s="109" t="s">
        <v>4336</v>
      </c>
      <c r="AJ118" s="110" t="s">
        <v>4337</v>
      </c>
      <c r="AK118" s="111"/>
      <c r="AL118" s="105" t="s">
        <v>1069</v>
      </c>
      <c r="AM118" s="100" t="s">
        <v>2064</v>
      </c>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18"/>
      <c r="CO118" s="119"/>
      <c r="CP118" s="118"/>
      <c r="CQ118" s="119"/>
      <c r="CR118" s="118"/>
      <c r="CS118" s="119"/>
      <c r="CT118" s="113"/>
      <c r="CU118" s="118"/>
      <c r="CV118" s="99">
        <f t="shared" si="11"/>
        <v>0</v>
      </c>
      <c r="CW118" s="118"/>
      <c r="CX118" s="119"/>
      <c r="CY118" s="119"/>
      <c r="CZ118" s="119"/>
      <c r="DA118" s="118"/>
      <c r="DB118" s="119"/>
      <c r="DC118" s="111"/>
      <c r="DD118" s="119"/>
      <c r="DE118" s="111"/>
      <c r="DF118" s="269"/>
    </row>
    <row r="119" spans="1:110" s="270" customFormat="1" ht="24" x14ac:dyDescent="0.2">
      <c r="A119" s="89">
        <v>40588</v>
      </c>
      <c r="B119" s="90" t="s">
        <v>4350</v>
      </c>
      <c r="C119" s="90" t="s">
        <v>4339</v>
      </c>
      <c r="D119" s="90" t="s">
        <v>4298</v>
      </c>
      <c r="E119" s="90" t="str">
        <f>VLOOKUP(B119&amp;C119,Divipola!$C$2:$F$1138,4,FALSE)</f>
        <v>63401</v>
      </c>
      <c r="F119" s="90"/>
      <c r="G119" s="101"/>
      <c r="H119" s="101"/>
      <c r="I119" s="101"/>
      <c r="J119" s="101">
        <v>13</v>
      </c>
      <c r="K119" s="101">
        <v>1</v>
      </c>
      <c r="L119" s="101">
        <v>1</v>
      </c>
      <c r="M119" s="101"/>
      <c r="N119" s="101"/>
      <c r="O119" s="101"/>
      <c r="P119" s="101"/>
      <c r="Q119" s="101"/>
      <c r="R119" s="101"/>
      <c r="S119" s="101"/>
      <c r="T119" s="101"/>
      <c r="U119" s="101"/>
      <c r="V119" s="101"/>
      <c r="W119" s="91"/>
      <c r="X119" s="89"/>
      <c r="Y119" s="92">
        <f t="shared" si="6"/>
        <v>0</v>
      </c>
      <c r="Z119" s="92">
        <f t="shared" si="7"/>
        <v>0</v>
      </c>
      <c r="AA119" s="92">
        <f t="shared" si="8"/>
        <v>0</v>
      </c>
      <c r="AB119" s="92">
        <f t="shared" si="9"/>
        <v>0</v>
      </c>
      <c r="AC119" s="92"/>
      <c r="AD119" s="92">
        <v>0</v>
      </c>
      <c r="AE119" s="92">
        <f t="shared" si="10"/>
        <v>0</v>
      </c>
      <c r="AF119" s="93">
        <v>0</v>
      </c>
      <c r="AG119" s="89">
        <v>40589</v>
      </c>
      <c r="AH119" s="94"/>
      <c r="AI119" s="95" t="s">
        <v>4336</v>
      </c>
      <c r="AJ119" s="96" t="s">
        <v>4337</v>
      </c>
      <c r="AK119" s="97"/>
      <c r="AL119" s="89"/>
      <c r="AM119" s="100" t="s">
        <v>1031</v>
      </c>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114"/>
      <c r="CQ119" s="115"/>
      <c r="CR119" s="114"/>
      <c r="CS119" s="115"/>
      <c r="CT119" s="114"/>
      <c r="CU119" s="115"/>
      <c r="CV119" s="99">
        <f t="shared" si="11"/>
        <v>0</v>
      </c>
      <c r="CW119" s="114"/>
      <c r="CX119" s="115"/>
      <c r="CY119" s="114"/>
      <c r="CZ119" s="115"/>
      <c r="DA119" s="115"/>
      <c r="DB119" s="115"/>
      <c r="DC119" s="114"/>
      <c r="DD119" s="115"/>
      <c r="DE119" s="97"/>
      <c r="DF119" s="269"/>
    </row>
    <row r="120" spans="1:110" s="270" customFormat="1" ht="48" x14ac:dyDescent="0.2">
      <c r="A120" s="89">
        <v>40588</v>
      </c>
      <c r="B120" s="90" t="s">
        <v>3316</v>
      </c>
      <c r="C120" s="90" t="s">
        <v>3299</v>
      </c>
      <c r="D120" s="90" t="s">
        <v>4264</v>
      </c>
      <c r="E120" s="90" t="str">
        <f>VLOOKUP(B120&amp;C120,Divipola!$C$2:$F$1138,4,FALSE)</f>
        <v>73449</v>
      </c>
      <c r="F120" s="90"/>
      <c r="G120" s="101"/>
      <c r="H120" s="101"/>
      <c r="I120" s="101"/>
      <c r="J120" s="101">
        <v>626</v>
      </c>
      <c r="K120" s="101">
        <v>139</v>
      </c>
      <c r="L120" s="101"/>
      <c r="M120" s="101"/>
      <c r="N120" s="101"/>
      <c r="O120" s="101"/>
      <c r="P120" s="101"/>
      <c r="Q120" s="101"/>
      <c r="R120" s="101"/>
      <c r="S120" s="101"/>
      <c r="T120" s="101"/>
      <c r="U120" s="101"/>
      <c r="V120" s="101"/>
      <c r="W120" s="91"/>
      <c r="X120" s="89"/>
      <c r="Y120" s="92">
        <f t="shared" si="6"/>
        <v>0</v>
      </c>
      <c r="Z120" s="92">
        <f t="shared" si="7"/>
        <v>0</v>
      </c>
      <c r="AA120" s="92">
        <f t="shared" si="8"/>
        <v>0</v>
      </c>
      <c r="AB120" s="92">
        <f t="shared" si="9"/>
        <v>0</v>
      </c>
      <c r="AC120" s="92"/>
      <c r="AD120" s="92">
        <v>0</v>
      </c>
      <c r="AE120" s="92">
        <f t="shared" si="10"/>
        <v>0</v>
      </c>
      <c r="AF120" s="93">
        <v>0</v>
      </c>
      <c r="AG120" s="89">
        <v>40595</v>
      </c>
      <c r="AH120" s="94"/>
      <c r="AI120" s="102" t="s">
        <v>4336</v>
      </c>
      <c r="AJ120" s="96" t="s">
        <v>4337</v>
      </c>
      <c r="AK120" s="97"/>
      <c r="AL120" s="89"/>
      <c r="AM120" s="100" t="s">
        <v>1038</v>
      </c>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114"/>
      <c r="CQ120" s="115"/>
      <c r="CR120" s="114"/>
      <c r="CS120" s="115"/>
      <c r="CT120" s="114"/>
      <c r="CU120" s="115"/>
      <c r="CV120" s="99">
        <f t="shared" si="11"/>
        <v>0</v>
      </c>
      <c r="CW120" s="114"/>
      <c r="CX120" s="115"/>
      <c r="CY120" s="114"/>
      <c r="CZ120" s="115"/>
      <c r="DA120" s="115"/>
      <c r="DB120" s="115"/>
      <c r="DC120" s="114"/>
      <c r="DD120" s="115"/>
      <c r="DE120" s="97"/>
      <c r="DF120" s="269"/>
    </row>
    <row r="121" spans="1:110" s="270" customFormat="1" x14ac:dyDescent="0.2">
      <c r="A121" s="89">
        <v>40589</v>
      </c>
      <c r="B121" s="90" t="s">
        <v>3533</v>
      </c>
      <c r="C121" s="90" t="s">
        <v>3370</v>
      </c>
      <c r="D121" s="90" t="s">
        <v>3346</v>
      </c>
      <c r="E121" s="90" t="str">
        <f>VLOOKUP(B121&amp;C121,Divipola!$C$2:$F$1138,4,FALSE)</f>
        <v>17388</v>
      </c>
      <c r="F121" s="90"/>
      <c r="G121" s="101"/>
      <c r="H121" s="101"/>
      <c r="I121" s="101"/>
      <c r="J121" s="101">
        <v>205</v>
      </c>
      <c r="K121" s="101">
        <v>41</v>
      </c>
      <c r="L121" s="101"/>
      <c r="M121" s="101">
        <v>41</v>
      </c>
      <c r="N121" s="101"/>
      <c r="O121" s="101"/>
      <c r="P121" s="101"/>
      <c r="Q121" s="101"/>
      <c r="R121" s="101"/>
      <c r="S121" s="101"/>
      <c r="T121" s="101"/>
      <c r="U121" s="101"/>
      <c r="V121" s="101"/>
      <c r="W121" s="91"/>
      <c r="X121" s="89"/>
      <c r="Y121" s="92">
        <f t="shared" si="6"/>
        <v>0</v>
      </c>
      <c r="Z121" s="92">
        <f t="shared" si="7"/>
        <v>0</v>
      </c>
      <c r="AA121" s="92">
        <f t="shared" si="8"/>
        <v>0</v>
      </c>
      <c r="AB121" s="92">
        <f t="shared" si="9"/>
        <v>0</v>
      </c>
      <c r="AC121" s="92"/>
      <c r="AD121" s="92">
        <v>0</v>
      </c>
      <c r="AE121" s="92">
        <f t="shared" si="10"/>
        <v>0</v>
      </c>
      <c r="AF121" s="93">
        <v>0</v>
      </c>
      <c r="AG121" s="89">
        <v>40602</v>
      </c>
      <c r="AH121" s="94"/>
      <c r="AI121" s="95" t="s">
        <v>4336</v>
      </c>
      <c r="AJ121" s="96" t="s">
        <v>4337</v>
      </c>
      <c r="AK121" s="97"/>
      <c r="AL121" s="89"/>
      <c r="AM121" s="100" t="s">
        <v>3530</v>
      </c>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114"/>
      <c r="CQ121" s="115"/>
      <c r="CR121" s="114"/>
      <c r="CS121" s="115"/>
      <c r="CT121" s="114"/>
      <c r="CU121" s="115"/>
      <c r="CV121" s="99">
        <f t="shared" si="11"/>
        <v>0</v>
      </c>
      <c r="CW121" s="114"/>
      <c r="CX121" s="115"/>
      <c r="CY121" s="114"/>
      <c r="CZ121" s="115"/>
      <c r="DA121" s="115"/>
      <c r="DB121" s="115"/>
      <c r="DC121" s="114"/>
      <c r="DD121" s="115"/>
      <c r="DE121" s="97"/>
      <c r="DF121" s="269"/>
    </row>
    <row r="122" spans="1:110" s="270" customFormat="1" ht="24" x14ac:dyDescent="0.2">
      <c r="A122" s="89">
        <v>40589</v>
      </c>
      <c r="B122" s="90" t="s">
        <v>3316</v>
      </c>
      <c r="C122" s="90" t="s">
        <v>4323</v>
      </c>
      <c r="D122" s="90" t="s">
        <v>4264</v>
      </c>
      <c r="E122" s="90" t="str">
        <f>VLOOKUP(B122&amp;C122,Divipola!$C$2:$F$1138,4,FALSE)</f>
        <v>73001</v>
      </c>
      <c r="F122" s="90"/>
      <c r="G122" s="101"/>
      <c r="H122" s="101"/>
      <c r="I122" s="101"/>
      <c r="J122" s="101">
        <v>57</v>
      </c>
      <c r="K122" s="101">
        <v>11</v>
      </c>
      <c r="L122" s="101"/>
      <c r="M122" s="101">
        <v>11</v>
      </c>
      <c r="N122" s="101"/>
      <c r="O122" s="101"/>
      <c r="P122" s="101"/>
      <c r="Q122" s="101"/>
      <c r="R122" s="101"/>
      <c r="S122" s="101"/>
      <c r="T122" s="101"/>
      <c r="U122" s="101"/>
      <c r="V122" s="101"/>
      <c r="W122" s="91"/>
      <c r="X122" s="89"/>
      <c r="Y122" s="92">
        <f t="shared" si="6"/>
        <v>0</v>
      </c>
      <c r="Z122" s="92">
        <f t="shared" si="7"/>
        <v>0</v>
      </c>
      <c r="AA122" s="92">
        <f t="shared" si="8"/>
        <v>0</v>
      </c>
      <c r="AB122" s="92">
        <f t="shared" si="9"/>
        <v>0</v>
      </c>
      <c r="AC122" s="92"/>
      <c r="AD122" s="92">
        <v>0</v>
      </c>
      <c r="AE122" s="92">
        <f t="shared" si="10"/>
        <v>0</v>
      </c>
      <c r="AF122" s="93">
        <v>0</v>
      </c>
      <c r="AG122" s="89">
        <v>40595</v>
      </c>
      <c r="AH122" s="94"/>
      <c r="AI122" s="102" t="s">
        <v>4336</v>
      </c>
      <c r="AJ122" s="96" t="s">
        <v>4337</v>
      </c>
      <c r="AK122" s="97"/>
      <c r="AL122" s="89"/>
      <c r="AM122" s="100" t="s">
        <v>1039</v>
      </c>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114"/>
      <c r="CQ122" s="115"/>
      <c r="CR122" s="114"/>
      <c r="CS122" s="115"/>
      <c r="CT122" s="114"/>
      <c r="CU122" s="115"/>
      <c r="CV122" s="99">
        <f t="shared" si="11"/>
        <v>0</v>
      </c>
      <c r="CW122" s="114"/>
      <c r="CX122" s="115"/>
      <c r="CY122" s="114"/>
      <c r="CZ122" s="115"/>
      <c r="DA122" s="115"/>
      <c r="DB122" s="115"/>
      <c r="DC122" s="114"/>
      <c r="DD122" s="115"/>
      <c r="DE122" s="97"/>
      <c r="DF122" s="269"/>
    </row>
    <row r="123" spans="1:110" s="270" customFormat="1" x14ac:dyDescent="0.2">
      <c r="A123" s="89">
        <v>40590</v>
      </c>
      <c r="B123" s="90" t="s">
        <v>1116</v>
      </c>
      <c r="C123" s="90" t="s">
        <v>1116</v>
      </c>
      <c r="D123" s="90" t="s">
        <v>3514</v>
      </c>
      <c r="E123" s="90" t="str">
        <f>VLOOKUP(B123&amp;C123,Divipola!$C$2:$F$1138,4,FALSE)</f>
        <v>11001</v>
      </c>
      <c r="F123" s="90"/>
      <c r="G123" s="101"/>
      <c r="H123" s="101"/>
      <c r="I123" s="101"/>
      <c r="J123" s="101"/>
      <c r="K123" s="278"/>
      <c r="L123" s="101"/>
      <c r="M123" s="101"/>
      <c r="N123" s="101"/>
      <c r="O123" s="101"/>
      <c r="P123" s="101"/>
      <c r="Q123" s="101"/>
      <c r="R123" s="101"/>
      <c r="S123" s="101"/>
      <c r="T123" s="101"/>
      <c r="U123" s="101"/>
      <c r="V123" s="101"/>
      <c r="W123" s="91"/>
      <c r="X123" s="89"/>
      <c r="Y123" s="92">
        <f t="shared" si="6"/>
        <v>0</v>
      </c>
      <c r="Z123" s="92">
        <f t="shared" si="7"/>
        <v>0</v>
      </c>
      <c r="AA123" s="92">
        <f t="shared" si="8"/>
        <v>0</v>
      </c>
      <c r="AB123" s="92">
        <f t="shared" si="9"/>
        <v>0</v>
      </c>
      <c r="AC123" s="92"/>
      <c r="AD123" s="92">
        <v>0</v>
      </c>
      <c r="AE123" s="92">
        <f t="shared" si="10"/>
        <v>0</v>
      </c>
      <c r="AF123" s="93">
        <v>0</v>
      </c>
      <c r="AG123" s="89">
        <v>40624</v>
      </c>
      <c r="AH123" s="94"/>
      <c r="AI123" s="95" t="s">
        <v>4336</v>
      </c>
      <c r="AJ123" s="96" t="s">
        <v>4337</v>
      </c>
      <c r="AK123" s="97"/>
      <c r="AL123" s="89"/>
      <c r="AM123" s="103" t="s">
        <v>2178</v>
      </c>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114"/>
      <c r="CQ123" s="115"/>
      <c r="CR123" s="114"/>
      <c r="CS123" s="115"/>
      <c r="CT123" s="114"/>
      <c r="CU123" s="115"/>
      <c r="CV123" s="99">
        <f t="shared" si="11"/>
        <v>0</v>
      </c>
      <c r="CW123" s="114"/>
      <c r="CX123" s="115"/>
      <c r="CY123" s="114"/>
      <c r="CZ123" s="115"/>
      <c r="DA123" s="115"/>
      <c r="DB123" s="115"/>
      <c r="DC123" s="114"/>
      <c r="DD123" s="115"/>
      <c r="DE123" s="97"/>
      <c r="DF123" s="269"/>
    </row>
    <row r="124" spans="1:110" s="270" customFormat="1" ht="24" x14ac:dyDescent="0.2">
      <c r="A124" s="89">
        <v>40590</v>
      </c>
      <c r="B124" s="90" t="s">
        <v>4344</v>
      </c>
      <c r="C124" s="90" t="s">
        <v>3468</v>
      </c>
      <c r="D124" s="90" t="s">
        <v>2362</v>
      </c>
      <c r="E124" s="90" t="str">
        <f>VLOOKUP(B124&amp;C124,Divipola!$C$2:$F$1138,4,FALSE)</f>
        <v>25524</v>
      </c>
      <c r="F124" s="90"/>
      <c r="G124" s="101"/>
      <c r="H124" s="101"/>
      <c r="I124" s="101"/>
      <c r="J124" s="101">
        <v>6</v>
      </c>
      <c r="K124" s="101">
        <v>1</v>
      </c>
      <c r="L124" s="101">
        <v>1</v>
      </c>
      <c r="M124" s="101"/>
      <c r="N124" s="101"/>
      <c r="O124" s="101"/>
      <c r="P124" s="101"/>
      <c r="Q124" s="101"/>
      <c r="R124" s="101"/>
      <c r="S124" s="101"/>
      <c r="T124" s="101"/>
      <c r="U124" s="101"/>
      <c r="V124" s="101"/>
      <c r="W124" s="91"/>
      <c r="X124" s="89"/>
      <c r="Y124" s="92">
        <f t="shared" si="6"/>
        <v>0</v>
      </c>
      <c r="Z124" s="92">
        <f t="shared" si="7"/>
        <v>0</v>
      </c>
      <c r="AA124" s="92">
        <f t="shared" si="8"/>
        <v>0</v>
      </c>
      <c r="AB124" s="92">
        <f t="shared" si="9"/>
        <v>0</v>
      </c>
      <c r="AC124" s="92"/>
      <c r="AD124" s="92">
        <v>0</v>
      </c>
      <c r="AE124" s="92">
        <f t="shared" si="10"/>
        <v>0</v>
      </c>
      <c r="AF124" s="93">
        <v>0</v>
      </c>
      <c r="AG124" s="89">
        <v>40595</v>
      </c>
      <c r="AH124" s="94"/>
      <c r="AI124" s="102" t="s">
        <v>4336</v>
      </c>
      <c r="AJ124" s="96" t="s">
        <v>4337</v>
      </c>
      <c r="AK124" s="97"/>
      <c r="AL124" s="89"/>
      <c r="AM124" s="100" t="s">
        <v>1041</v>
      </c>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114"/>
      <c r="CQ124" s="115"/>
      <c r="CR124" s="114"/>
      <c r="CS124" s="115"/>
      <c r="CT124" s="114"/>
      <c r="CU124" s="115"/>
      <c r="CV124" s="99">
        <f t="shared" si="11"/>
        <v>0</v>
      </c>
      <c r="CW124" s="114"/>
      <c r="CX124" s="115"/>
      <c r="CY124" s="114"/>
      <c r="CZ124" s="115"/>
      <c r="DA124" s="115"/>
      <c r="DB124" s="115"/>
      <c r="DC124" s="114"/>
      <c r="DD124" s="115"/>
      <c r="DE124" s="97"/>
      <c r="DF124" s="269"/>
    </row>
    <row r="125" spans="1:110" s="270" customFormat="1" ht="96" x14ac:dyDescent="0.2">
      <c r="A125" s="89">
        <v>40590</v>
      </c>
      <c r="B125" s="90" t="s">
        <v>4387</v>
      </c>
      <c r="C125" s="90" t="s">
        <v>466</v>
      </c>
      <c r="D125" s="90" t="s">
        <v>2362</v>
      </c>
      <c r="E125" s="90" t="str">
        <f>VLOOKUP(B125&amp;C125,Divipola!$C$2:$F$1138,4,FALSE)</f>
        <v>52256</v>
      </c>
      <c r="F125" s="90"/>
      <c r="G125" s="101"/>
      <c r="H125" s="101"/>
      <c r="I125" s="101"/>
      <c r="J125" s="101">
        <v>295</v>
      </c>
      <c r="K125" s="101">
        <v>59</v>
      </c>
      <c r="L125" s="101">
        <v>25</v>
      </c>
      <c r="M125" s="101">
        <v>34</v>
      </c>
      <c r="N125" s="101">
        <v>7</v>
      </c>
      <c r="O125" s="101"/>
      <c r="P125" s="101"/>
      <c r="Q125" s="101">
        <v>1</v>
      </c>
      <c r="R125" s="101">
        <v>1</v>
      </c>
      <c r="S125" s="101"/>
      <c r="T125" s="101"/>
      <c r="U125" s="101"/>
      <c r="V125" s="101"/>
      <c r="W125" s="91"/>
      <c r="X125" s="105"/>
      <c r="Y125" s="92">
        <f t="shared" si="6"/>
        <v>0</v>
      </c>
      <c r="Z125" s="92">
        <f t="shared" si="7"/>
        <v>0</v>
      </c>
      <c r="AA125" s="92">
        <f t="shared" si="8"/>
        <v>0</v>
      </c>
      <c r="AB125" s="92">
        <f t="shared" si="9"/>
        <v>0</v>
      </c>
      <c r="AC125" s="92"/>
      <c r="AD125" s="92">
        <v>0</v>
      </c>
      <c r="AE125" s="92">
        <f t="shared" si="10"/>
        <v>0</v>
      </c>
      <c r="AF125" s="93">
        <v>0</v>
      </c>
      <c r="AG125" s="105"/>
      <c r="AH125" s="108"/>
      <c r="AI125" s="109" t="s">
        <v>4336</v>
      </c>
      <c r="AJ125" s="110" t="s">
        <v>4337</v>
      </c>
      <c r="AK125" s="111"/>
      <c r="AL125" s="105" t="s">
        <v>1069</v>
      </c>
      <c r="AM125" s="100" t="s">
        <v>2924</v>
      </c>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18"/>
      <c r="CO125" s="119"/>
      <c r="CP125" s="118"/>
      <c r="CQ125" s="119"/>
      <c r="CR125" s="118"/>
      <c r="CS125" s="119"/>
      <c r="CT125" s="113"/>
      <c r="CU125" s="118"/>
      <c r="CV125" s="99">
        <f t="shared" si="11"/>
        <v>0</v>
      </c>
      <c r="CW125" s="118"/>
      <c r="CX125" s="119"/>
      <c r="CY125" s="119"/>
      <c r="CZ125" s="119"/>
      <c r="DA125" s="118"/>
      <c r="DB125" s="119"/>
      <c r="DC125" s="111"/>
      <c r="DD125" s="119"/>
      <c r="DE125" s="111"/>
      <c r="DF125" s="269"/>
    </row>
    <row r="126" spans="1:110" s="270" customFormat="1" ht="48" x14ac:dyDescent="0.2">
      <c r="A126" s="89">
        <v>40590</v>
      </c>
      <c r="B126" s="90" t="s">
        <v>4387</v>
      </c>
      <c r="C126" s="90" t="s">
        <v>3446</v>
      </c>
      <c r="D126" s="90" t="s">
        <v>4264</v>
      </c>
      <c r="E126" s="90" t="str">
        <f>VLOOKUP(B126&amp;C126,Divipola!$C$2:$F$1138,4,FALSE)</f>
        <v>52001</v>
      </c>
      <c r="F126" s="90"/>
      <c r="G126" s="101"/>
      <c r="H126" s="101"/>
      <c r="I126" s="101"/>
      <c r="J126" s="101">
        <v>15</v>
      </c>
      <c r="K126" s="101">
        <v>3</v>
      </c>
      <c r="L126" s="101"/>
      <c r="M126" s="101">
        <v>3</v>
      </c>
      <c r="N126" s="101"/>
      <c r="O126" s="101"/>
      <c r="P126" s="101"/>
      <c r="Q126" s="101"/>
      <c r="R126" s="101"/>
      <c r="S126" s="101"/>
      <c r="T126" s="101"/>
      <c r="U126" s="101"/>
      <c r="V126" s="101"/>
      <c r="W126" s="91"/>
      <c r="X126" s="89"/>
      <c r="Y126" s="92">
        <f t="shared" si="6"/>
        <v>0</v>
      </c>
      <c r="Z126" s="92">
        <f t="shared" si="7"/>
        <v>0</v>
      </c>
      <c r="AA126" s="92">
        <f t="shared" si="8"/>
        <v>0</v>
      </c>
      <c r="AB126" s="92">
        <f t="shared" si="9"/>
        <v>0</v>
      </c>
      <c r="AC126" s="92"/>
      <c r="AD126" s="92">
        <v>0</v>
      </c>
      <c r="AE126" s="92">
        <f t="shared" si="10"/>
        <v>0</v>
      </c>
      <c r="AF126" s="93">
        <v>0</v>
      </c>
      <c r="AG126" s="89">
        <v>40595</v>
      </c>
      <c r="AH126" s="94"/>
      <c r="AI126" s="95" t="s">
        <v>4336</v>
      </c>
      <c r="AJ126" s="96" t="s">
        <v>4337</v>
      </c>
      <c r="AK126" s="97"/>
      <c r="AL126" s="89"/>
      <c r="AM126" s="100" t="s">
        <v>1040</v>
      </c>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114"/>
      <c r="CQ126" s="115"/>
      <c r="CR126" s="114"/>
      <c r="CS126" s="115"/>
      <c r="CT126" s="114"/>
      <c r="CU126" s="115"/>
      <c r="CV126" s="99">
        <f t="shared" si="11"/>
        <v>0</v>
      </c>
      <c r="CW126" s="114"/>
      <c r="CX126" s="115"/>
      <c r="CY126" s="114"/>
      <c r="CZ126" s="115"/>
      <c r="DA126" s="115"/>
      <c r="DB126" s="115"/>
      <c r="DC126" s="114"/>
      <c r="DD126" s="115"/>
      <c r="DE126" s="97"/>
      <c r="DF126" s="269"/>
    </row>
    <row r="127" spans="1:110" s="270" customFormat="1" ht="48" x14ac:dyDescent="0.2">
      <c r="A127" s="89">
        <v>40591</v>
      </c>
      <c r="B127" s="90" t="s">
        <v>4219</v>
      </c>
      <c r="C127" s="90" t="s">
        <v>3496</v>
      </c>
      <c r="D127" s="90" t="s">
        <v>4264</v>
      </c>
      <c r="E127" s="90" t="str">
        <f>VLOOKUP(B127&amp;C127,Divipola!$C$2:$F$1138,4,FALSE)</f>
        <v>41518</v>
      </c>
      <c r="F127" s="90"/>
      <c r="G127" s="101"/>
      <c r="H127" s="101"/>
      <c r="I127" s="101"/>
      <c r="J127" s="101">
        <v>20</v>
      </c>
      <c r="K127" s="101">
        <v>4</v>
      </c>
      <c r="L127" s="101"/>
      <c r="M127" s="101"/>
      <c r="N127" s="101">
        <v>2</v>
      </c>
      <c r="O127" s="101"/>
      <c r="P127" s="101"/>
      <c r="Q127" s="101"/>
      <c r="R127" s="101"/>
      <c r="S127" s="101"/>
      <c r="T127" s="101"/>
      <c r="U127" s="101"/>
      <c r="V127" s="101"/>
      <c r="W127" s="91"/>
      <c r="X127" s="89"/>
      <c r="Y127" s="92">
        <f t="shared" si="6"/>
        <v>0</v>
      </c>
      <c r="Z127" s="92">
        <f t="shared" si="7"/>
        <v>0</v>
      </c>
      <c r="AA127" s="92">
        <f t="shared" si="8"/>
        <v>0</v>
      </c>
      <c r="AB127" s="92">
        <f t="shared" si="9"/>
        <v>0</v>
      </c>
      <c r="AC127" s="92"/>
      <c r="AD127" s="92">
        <v>0</v>
      </c>
      <c r="AE127" s="92">
        <f t="shared" si="10"/>
        <v>0</v>
      </c>
      <c r="AF127" s="93">
        <v>0</v>
      </c>
      <c r="AG127" s="89">
        <v>40595</v>
      </c>
      <c r="AH127" s="94"/>
      <c r="AI127" s="95" t="s">
        <v>4336</v>
      </c>
      <c r="AJ127" s="96" t="s">
        <v>4337</v>
      </c>
      <c r="AK127" s="97"/>
      <c r="AL127" s="89"/>
      <c r="AM127" s="100" t="s">
        <v>4412</v>
      </c>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114"/>
      <c r="CQ127" s="115"/>
      <c r="CR127" s="114"/>
      <c r="CS127" s="115"/>
      <c r="CT127" s="114"/>
      <c r="CU127" s="115"/>
      <c r="CV127" s="99">
        <f t="shared" si="11"/>
        <v>0</v>
      </c>
      <c r="CW127" s="114"/>
      <c r="CX127" s="115"/>
      <c r="CY127" s="114"/>
      <c r="CZ127" s="115"/>
      <c r="DA127" s="115"/>
      <c r="DB127" s="115"/>
      <c r="DC127" s="114"/>
      <c r="DD127" s="115"/>
      <c r="DE127" s="97"/>
      <c r="DF127" s="269">
        <v>1707</v>
      </c>
    </row>
    <row r="128" spans="1:110" s="270" customFormat="1" ht="36" x14ac:dyDescent="0.2">
      <c r="A128" s="89">
        <v>40591</v>
      </c>
      <c r="B128" s="90" t="s">
        <v>4219</v>
      </c>
      <c r="C128" s="90" t="s">
        <v>2232</v>
      </c>
      <c r="D128" s="90" t="s">
        <v>2362</v>
      </c>
      <c r="E128" s="90" t="str">
        <f>VLOOKUP(B128&amp;C128,Divipola!$C$2:$F$1138,4,FALSE)</f>
        <v>41551</v>
      </c>
      <c r="F128" s="90"/>
      <c r="G128" s="101"/>
      <c r="H128" s="101"/>
      <c r="I128" s="101"/>
      <c r="J128" s="101">
        <v>20</v>
      </c>
      <c r="K128" s="101">
        <v>4</v>
      </c>
      <c r="L128" s="101"/>
      <c r="M128" s="101"/>
      <c r="N128" s="101">
        <v>4</v>
      </c>
      <c r="O128" s="101"/>
      <c r="P128" s="101"/>
      <c r="Q128" s="101"/>
      <c r="R128" s="101"/>
      <c r="S128" s="101"/>
      <c r="T128" s="101"/>
      <c r="U128" s="101"/>
      <c r="V128" s="101"/>
      <c r="W128" s="91"/>
      <c r="X128" s="89"/>
      <c r="Y128" s="92">
        <f t="shared" si="6"/>
        <v>0</v>
      </c>
      <c r="Z128" s="92">
        <f t="shared" si="7"/>
        <v>0</v>
      </c>
      <c r="AA128" s="92">
        <f t="shared" si="8"/>
        <v>0</v>
      </c>
      <c r="AB128" s="92">
        <f t="shared" si="9"/>
        <v>0</v>
      </c>
      <c r="AC128" s="92"/>
      <c r="AD128" s="92">
        <v>0</v>
      </c>
      <c r="AE128" s="92">
        <f t="shared" si="10"/>
        <v>0</v>
      </c>
      <c r="AF128" s="93">
        <v>0</v>
      </c>
      <c r="AG128" s="89">
        <v>40595</v>
      </c>
      <c r="AH128" s="94"/>
      <c r="AI128" s="95" t="s">
        <v>4336</v>
      </c>
      <c r="AJ128" s="96" t="s">
        <v>4337</v>
      </c>
      <c r="AK128" s="97"/>
      <c r="AL128" s="89"/>
      <c r="AM128" s="100" t="s">
        <v>1044</v>
      </c>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114"/>
      <c r="CQ128" s="115"/>
      <c r="CR128" s="114"/>
      <c r="CS128" s="115"/>
      <c r="CT128" s="114"/>
      <c r="CU128" s="115"/>
      <c r="CV128" s="99">
        <f t="shared" si="11"/>
        <v>0</v>
      </c>
      <c r="CW128" s="114"/>
      <c r="CX128" s="115"/>
      <c r="CY128" s="114"/>
      <c r="CZ128" s="115"/>
      <c r="DA128" s="115"/>
      <c r="DB128" s="115"/>
      <c r="DC128" s="114"/>
      <c r="DD128" s="115"/>
      <c r="DE128" s="97"/>
      <c r="DF128" s="269"/>
    </row>
    <row r="129" spans="1:110" s="270" customFormat="1" ht="48" x14ac:dyDescent="0.2">
      <c r="A129" s="89">
        <v>40592</v>
      </c>
      <c r="B129" s="90" t="s">
        <v>2218</v>
      </c>
      <c r="C129" s="90" t="s">
        <v>4254</v>
      </c>
      <c r="D129" s="90" t="s">
        <v>4264</v>
      </c>
      <c r="E129" s="90" t="str">
        <f>VLOOKUP(B129&amp;C129,Divipola!$C$2:$F$1138,4,FALSE)</f>
        <v>05679</v>
      </c>
      <c r="F129" s="90"/>
      <c r="G129" s="101"/>
      <c r="H129" s="101"/>
      <c r="I129" s="101"/>
      <c r="J129" s="101">
        <f>35*5</f>
        <v>175</v>
      </c>
      <c r="K129" s="101">
        <f>23+12</f>
        <v>35</v>
      </c>
      <c r="L129" s="101">
        <v>12</v>
      </c>
      <c r="M129" s="101">
        <v>23</v>
      </c>
      <c r="N129" s="101"/>
      <c r="O129" s="101"/>
      <c r="P129" s="101"/>
      <c r="Q129" s="101"/>
      <c r="R129" s="101"/>
      <c r="S129" s="101"/>
      <c r="T129" s="101"/>
      <c r="U129" s="101"/>
      <c r="V129" s="101"/>
      <c r="W129" s="91"/>
      <c r="X129" s="89"/>
      <c r="Y129" s="92">
        <f t="shared" si="6"/>
        <v>0</v>
      </c>
      <c r="Z129" s="92">
        <f t="shared" si="7"/>
        <v>0</v>
      </c>
      <c r="AA129" s="92">
        <f t="shared" si="8"/>
        <v>0</v>
      </c>
      <c r="AB129" s="92">
        <f t="shared" si="9"/>
        <v>0</v>
      </c>
      <c r="AC129" s="92"/>
      <c r="AD129" s="92">
        <v>150000000</v>
      </c>
      <c r="AE129" s="92">
        <f t="shared" si="10"/>
        <v>150000000</v>
      </c>
      <c r="AF129" s="93">
        <v>0</v>
      </c>
      <c r="AG129" s="89"/>
      <c r="AH129" s="94"/>
      <c r="AI129" s="95" t="s">
        <v>4346</v>
      </c>
      <c r="AJ129" s="96" t="s">
        <v>4347</v>
      </c>
      <c r="AK129" s="97"/>
      <c r="AL129" s="89"/>
      <c r="AM129" s="98" t="s">
        <v>1008</v>
      </c>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114"/>
      <c r="CQ129" s="115"/>
      <c r="CR129" s="114"/>
      <c r="CS129" s="115"/>
      <c r="CT129" s="114"/>
      <c r="CU129" s="115"/>
      <c r="CV129" s="99">
        <f t="shared" si="11"/>
        <v>0</v>
      </c>
      <c r="CW129" s="114"/>
      <c r="CX129" s="115"/>
      <c r="CY129" s="114"/>
      <c r="CZ129" s="115"/>
      <c r="DA129" s="115"/>
      <c r="DB129" s="115"/>
      <c r="DC129" s="114"/>
      <c r="DD129" s="115"/>
      <c r="DE129" s="97">
        <v>8</v>
      </c>
      <c r="DF129" s="269"/>
    </row>
    <row r="130" spans="1:110" s="270" customFormat="1" ht="24" x14ac:dyDescent="0.2">
      <c r="A130" s="89">
        <v>40592</v>
      </c>
      <c r="B130" s="90" t="s">
        <v>4308</v>
      </c>
      <c r="C130" s="90" t="s">
        <v>4306</v>
      </c>
      <c r="D130" s="90" t="s">
        <v>4298</v>
      </c>
      <c r="E130" s="90" t="str">
        <f>VLOOKUP(B130&amp;C130,Divipola!$C$2:$F$1138,4,FALSE)</f>
        <v>47001</v>
      </c>
      <c r="F130" s="90"/>
      <c r="G130" s="101"/>
      <c r="H130" s="101"/>
      <c r="I130" s="101"/>
      <c r="J130" s="101"/>
      <c r="K130" s="101"/>
      <c r="L130" s="101"/>
      <c r="M130" s="101"/>
      <c r="N130" s="101"/>
      <c r="O130" s="101"/>
      <c r="P130" s="101"/>
      <c r="Q130" s="101"/>
      <c r="R130" s="101"/>
      <c r="S130" s="101">
        <v>1</v>
      </c>
      <c r="T130" s="101"/>
      <c r="U130" s="101"/>
      <c r="V130" s="101"/>
      <c r="W130" s="91" t="s">
        <v>1042</v>
      </c>
      <c r="X130" s="89"/>
      <c r="Y130" s="92">
        <f t="shared" si="6"/>
        <v>0</v>
      </c>
      <c r="Z130" s="92">
        <f t="shared" si="7"/>
        <v>0</v>
      </c>
      <c r="AA130" s="92">
        <f t="shared" si="8"/>
        <v>0</v>
      </c>
      <c r="AB130" s="92">
        <f t="shared" si="9"/>
        <v>0</v>
      </c>
      <c r="AC130" s="92"/>
      <c r="AD130" s="92">
        <v>0</v>
      </c>
      <c r="AE130" s="92">
        <f t="shared" si="10"/>
        <v>0</v>
      </c>
      <c r="AF130" s="93">
        <v>0</v>
      </c>
      <c r="AG130" s="89">
        <v>40595</v>
      </c>
      <c r="AH130" s="94"/>
      <c r="AI130" s="95" t="s">
        <v>4336</v>
      </c>
      <c r="AJ130" s="96" t="s">
        <v>4337</v>
      </c>
      <c r="AK130" s="97"/>
      <c r="AL130" s="89"/>
      <c r="AM130" s="100" t="s">
        <v>1043</v>
      </c>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114"/>
      <c r="CQ130" s="115"/>
      <c r="CR130" s="114"/>
      <c r="CS130" s="115"/>
      <c r="CT130" s="114"/>
      <c r="CU130" s="115"/>
      <c r="CV130" s="99">
        <f t="shared" si="11"/>
        <v>0</v>
      </c>
      <c r="CW130" s="114"/>
      <c r="CX130" s="115"/>
      <c r="CY130" s="114"/>
      <c r="CZ130" s="115"/>
      <c r="DA130" s="115"/>
      <c r="DB130" s="115"/>
      <c r="DC130" s="114"/>
      <c r="DD130" s="115"/>
      <c r="DE130" s="97"/>
      <c r="DF130" s="269"/>
    </row>
    <row r="131" spans="1:110" s="270" customFormat="1" x14ac:dyDescent="0.2">
      <c r="A131" s="89">
        <v>40594</v>
      </c>
      <c r="B131" s="90" t="s">
        <v>4344</v>
      </c>
      <c r="C131" s="90" t="s">
        <v>841</v>
      </c>
      <c r="D131" s="90" t="s">
        <v>4264</v>
      </c>
      <c r="E131" s="90" t="str">
        <f>VLOOKUP(B131&amp;C131,Divipola!$C$2:$F$1138,4,FALSE)</f>
        <v>25777</v>
      </c>
      <c r="F131" s="90"/>
      <c r="G131" s="101"/>
      <c r="H131" s="101"/>
      <c r="I131" s="101"/>
      <c r="J131" s="101">
        <v>142</v>
      </c>
      <c r="K131" s="101">
        <v>52</v>
      </c>
      <c r="L131" s="101"/>
      <c r="M131" s="101"/>
      <c r="N131" s="101"/>
      <c r="O131" s="101"/>
      <c r="P131" s="101"/>
      <c r="Q131" s="101"/>
      <c r="R131" s="101"/>
      <c r="S131" s="101"/>
      <c r="T131" s="101"/>
      <c r="U131" s="101"/>
      <c r="V131" s="101"/>
      <c r="W131" s="91"/>
      <c r="X131" s="89"/>
      <c r="Y131" s="92">
        <f t="shared" ref="Y131:Y194" si="12">CV131</f>
        <v>0</v>
      </c>
      <c r="Z131" s="92">
        <f t="shared" ref="Z131:Z194" si="13">CZ131</f>
        <v>0</v>
      </c>
      <c r="AA131" s="92">
        <f t="shared" ref="AA131:AA194" si="14">DB131+DD131</f>
        <v>0</v>
      </c>
      <c r="AB131" s="92">
        <f t="shared" ref="AB131:AB194" si="15">CX131</f>
        <v>0</v>
      </c>
      <c r="AC131" s="92"/>
      <c r="AD131" s="92">
        <v>0</v>
      </c>
      <c r="AE131" s="92">
        <f t="shared" ref="AE131:AE194" si="16">Y131+Z131+AA131+AB131+AC131+AD131</f>
        <v>0</v>
      </c>
      <c r="AF131" s="93">
        <v>0</v>
      </c>
      <c r="AG131" s="89">
        <v>40612</v>
      </c>
      <c r="AH131" s="94"/>
      <c r="AI131" s="102" t="s">
        <v>4336</v>
      </c>
      <c r="AJ131" s="96" t="s">
        <v>4337</v>
      </c>
      <c r="AK131" s="97"/>
      <c r="AL131" s="89"/>
      <c r="AM131" s="100" t="s">
        <v>3238</v>
      </c>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114"/>
      <c r="CQ131" s="115"/>
      <c r="CR131" s="114"/>
      <c r="CS131" s="115"/>
      <c r="CT131" s="114"/>
      <c r="CU131" s="115"/>
      <c r="CV131" s="99">
        <f t="shared" ref="CV131:CV194" si="17">AO131+AQ131+AS131+AU131+AW131+AY131+BA131+BC131+BE131+BG131+BI131+BK131+BM131+BO131+BQ131+BS131+BU131+BW131+BY131+CA131+CC131+CE131+CG131+CI131+CK131+CM131+CO131+CQ131+CS131+CU131</f>
        <v>0</v>
      </c>
      <c r="CW131" s="114"/>
      <c r="CX131" s="115"/>
      <c r="CY131" s="114"/>
      <c r="CZ131" s="115"/>
      <c r="DA131" s="115"/>
      <c r="DB131" s="115"/>
      <c r="DC131" s="114"/>
      <c r="DD131" s="115"/>
      <c r="DE131" s="97"/>
      <c r="DF131" s="269"/>
    </row>
    <row r="132" spans="1:110" s="270" customFormat="1" ht="22.5" x14ac:dyDescent="0.2">
      <c r="A132" s="89">
        <v>40594</v>
      </c>
      <c r="B132" s="90" t="s">
        <v>4219</v>
      </c>
      <c r="C132" s="90" t="s">
        <v>3467</v>
      </c>
      <c r="D132" s="90" t="s">
        <v>4298</v>
      </c>
      <c r="E132" s="90" t="str">
        <f>VLOOKUP(B132&amp;C132,Divipola!$C$2:$F$1138,4,FALSE)</f>
        <v>41016</v>
      </c>
      <c r="F132" s="90"/>
      <c r="G132" s="101"/>
      <c r="H132" s="101"/>
      <c r="I132" s="101"/>
      <c r="J132" s="101">
        <v>5</v>
      </c>
      <c r="K132" s="101">
        <v>1</v>
      </c>
      <c r="L132" s="101"/>
      <c r="M132" s="101">
        <v>1</v>
      </c>
      <c r="N132" s="101"/>
      <c r="O132" s="101"/>
      <c r="P132" s="101"/>
      <c r="Q132" s="101"/>
      <c r="R132" s="101"/>
      <c r="S132" s="101"/>
      <c r="T132" s="101"/>
      <c r="U132" s="101"/>
      <c r="V132" s="101"/>
      <c r="W132" s="91"/>
      <c r="X132" s="89"/>
      <c r="Y132" s="92">
        <f t="shared" si="12"/>
        <v>0</v>
      </c>
      <c r="Z132" s="92">
        <f t="shared" si="13"/>
        <v>0</v>
      </c>
      <c r="AA132" s="92">
        <f t="shared" si="14"/>
        <v>0</v>
      </c>
      <c r="AB132" s="92">
        <f t="shared" si="15"/>
        <v>0</v>
      </c>
      <c r="AC132" s="92"/>
      <c r="AD132" s="92">
        <v>0</v>
      </c>
      <c r="AE132" s="92">
        <f t="shared" si="16"/>
        <v>0</v>
      </c>
      <c r="AF132" s="93">
        <v>0</v>
      </c>
      <c r="AG132" s="89">
        <v>40602</v>
      </c>
      <c r="AH132" s="94"/>
      <c r="AI132" s="95" t="s">
        <v>4336</v>
      </c>
      <c r="AJ132" s="96" t="s">
        <v>4337</v>
      </c>
      <c r="AK132" s="97"/>
      <c r="AL132" s="89"/>
      <c r="AM132" s="100" t="s">
        <v>3452</v>
      </c>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114"/>
      <c r="CQ132" s="115"/>
      <c r="CR132" s="114"/>
      <c r="CS132" s="115"/>
      <c r="CT132" s="114"/>
      <c r="CU132" s="115"/>
      <c r="CV132" s="99">
        <f t="shared" si="17"/>
        <v>0</v>
      </c>
      <c r="CW132" s="114"/>
      <c r="CX132" s="115"/>
      <c r="CY132" s="114"/>
      <c r="CZ132" s="115"/>
      <c r="DA132" s="115"/>
      <c r="DB132" s="115"/>
      <c r="DC132" s="114"/>
      <c r="DD132" s="115"/>
      <c r="DE132" s="97"/>
      <c r="DF132" s="269"/>
    </row>
    <row r="133" spans="1:110" s="270" customFormat="1" ht="36" x14ac:dyDescent="0.2">
      <c r="A133" s="89">
        <v>40594</v>
      </c>
      <c r="B133" s="106" t="s">
        <v>2226</v>
      </c>
      <c r="C133" s="106" t="s">
        <v>2990</v>
      </c>
      <c r="D133" s="90" t="s">
        <v>4264</v>
      </c>
      <c r="E133" s="90" t="str">
        <f>VLOOKUP(B133&amp;C133,Divipola!$C$2:$F$1138,4,FALSE)</f>
        <v>68682</v>
      </c>
      <c r="F133" s="90"/>
      <c r="G133" s="129"/>
      <c r="H133" s="129"/>
      <c r="I133" s="129"/>
      <c r="J133" s="129">
        <v>1010</v>
      </c>
      <c r="K133" s="129">
        <v>202</v>
      </c>
      <c r="L133" s="129">
        <v>20</v>
      </c>
      <c r="M133" s="129">
        <f>202-20</f>
        <v>182</v>
      </c>
      <c r="N133" s="129">
        <v>3</v>
      </c>
      <c r="O133" s="129">
        <v>2</v>
      </c>
      <c r="P133" s="129"/>
      <c r="Q133" s="129"/>
      <c r="R133" s="129"/>
      <c r="S133" s="129"/>
      <c r="T133" s="129"/>
      <c r="U133" s="129"/>
      <c r="V133" s="129">
        <v>20</v>
      </c>
      <c r="W133" s="107"/>
      <c r="X133" s="105"/>
      <c r="Y133" s="92">
        <f t="shared" si="12"/>
        <v>0</v>
      </c>
      <c r="Z133" s="92">
        <f t="shared" si="13"/>
        <v>0</v>
      </c>
      <c r="AA133" s="92">
        <f t="shared" si="14"/>
        <v>0</v>
      </c>
      <c r="AB133" s="92">
        <f t="shared" si="15"/>
        <v>0</v>
      </c>
      <c r="AC133" s="92"/>
      <c r="AD133" s="92">
        <v>0</v>
      </c>
      <c r="AE133" s="92">
        <f t="shared" si="16"/>
        <v>0</v>
      </c>
      <c r="AF133" s="93">
        <v>0</v>
      </c>
      <c r="AG133" s="105"/>
      <c r="AH133" s="108"/>
      <c r="AI133" s="109" t="s">
        <v>4336</v>
      </c>
      <c r="AJ133" s="110" t="s">
        <v>4337</v>
      </c>
      <c r="AK133" s="111"/>
      <c r="AL133" s="105"/>
      <c r="AM133" s="112" t="s">
        <v>2020</v>
      </c>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18"/>
      <c r="CO133" s="119"/>
      <c r="CP133" s="118"/>
      <c r="CQ133" s="119"/>
      <c r="CR133" s="118"/>
      <c r="CS133" s="119"/>
      <c r="CT133" s="113"/>
      <c r="CU133" s="118"/>
      <c r="CV133" s="99">
        <f t="shared" si="17"/>
        <v>0</v>
      </c>
      <c r="CW133" s="118"/>
      <c r="CX133" s="119"/>
      <c r="CY133" s="119"/>
      <c r="CZ133" s="119"/>
      <c r="DA133" s="118"/>
      <c r="DB133" s="119"/>
      <c r="DC133" s="111"/>
      <c r="DD133" s="119"/>
      <c r="DE133" s="111"/>
      <c r="DF133" s="269"/>
    </row>
    <row r="134" spans="1:110" s="270" customFormat="1" ht="24" x14ac:dyDescent="0.2">
      <c r="A134" s="89">
        <v>40595</v>
      </c>
      <c r="B134" s="90" t="s">
        <v>3505</v>
      </c>
      <c r="C134" s="90" t="s">
        <v>3506</v>
      </c>
      <c r="D134" s="90" t="s">
        <v>4264</v>
      </c>
      <c r="E134" s="90" t="str">
        <f>VLOOKUP(B134&amp;C134,Divipola!$C$2:$F$1138,4,FALSE)</f>
        <v>91001</v>
      </c>
      <c r="F134" s="90"/>
      <c r="G134" s="101"/>
      <c r="H134" s="101"/>
      <c r="I134" s="101"/>
      <c r="J134" s="101">
        <v>25</v>
      </c>
      <c r="K134" s="101">
        <v>5</v>
      </c>
      <c r="L134" s="101"/>
      <c r="M134" s="101">
        <v>5</v>
      </c>
      <c r="N134" s="101"/>
      <c r="O134" s="101"/>
      <c r="P134" s="101"/>
      <c r="Q134" s="101"/>
      <c r="R134" s="101"/>
      <c r="S134" s="101"/>
      <c r="T134" s="101"/>
      <c r="U134" s="101"/>
      <c r="V134" s="101"/>
      <c r="W134" s="91"/>
      <c r="X134" s="89"/>
      <c r="Y134" s="92">
        <f t="shared" si="12"/>
        <v>0</v>
      </c>
      <c r="Z134" s="92">
        <f t="shared" si="13"/>
        <v>0</v>
      </c>
      <c r="AA134" s="92">
        <f t="shared" si="14"/>
        <v>0</v>
      </c>
      <c r="AB134" s="92">
        <f t="shared" si="15"/>
        <v>0</v>
      </c>
      <c r="AC134" s="92"/>
      <c r="AD134" s="92">
        <v>0</v>
      </c>
      <c r="AE134" s="92">
        <f t="shared" si="16"/>
        <v>0</v>
      </c>
      <c r="AF134" s="93">
        <v>0</v>
      </c>
      <c r="AG134" s="89">
        <v>40602</v>
      </c>
      <c r="AH134" s="94"/>
      <c r="AI134" s="95" t="s">
        <v>4336</v>
      </c>
      <c r="AJ134" s="96" t="s">
        <v>4337</v>
      </c>
      <c r="AK134" s="97"/>
      <c r="AL134" s="89"/>
      <c r="AM134" s="100" t="s">
        <v>4542</v>
      </c>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114"/>
      <c r="CQ134" s="115"/>
      <c r="CR134" s="114"/>
      <c r="CS134" s="115"/>
      <c r="CT134" s="114"/>
      <c r="CU134" s="115"/>
      <c r="CV134" s="99">
        <f t="shared" si="17"/>
        <v>0</v>
      </c>
      <c r="CW134" s="114"/>
      <c r="CX134" s="115"/>
      <c r="CY134" s="114"/>
      <c r="CZ134" s="115"/>
      <c r="DA134" s="115"/>
      <c r="DB134" s="115"/>
      <c r="DC134" s="114"/>
      <c r="DD134" s="115"/>
      <c r="DE134" s="97"/>
      <c r="DF134" s="269"/>
    </row>
    <row r="135" spans="1:110" s="270" customFormat="1" ht="22.5" x14ac:dyDescent="0.2">
      <c r="A135" s="89">
        <v>40595</v>
      </c>
      <c r="B135" s="90" t="s">
        <v>2218</v>
      </c>
      <c r="C135" s="90" t="s">
        <v>3297</v>
      </c>
      <c r="D135" s="90" t="s">
        <v>4298</v>
      </c>
      <c r="E135" s="90" t="str">
        <f>VLOOKUP(B135&amp;C135,Divipola!$C$2:$F$1138,4,FALSE)</f>
        <v>05001</v>
      </c>
      <c r="F135" s="90"/>
      <c r="G135" s="101"/>
      <c r="H135" s="101"/>
      <c r="I135" s="101"/>
      <c r="J135" s="101">
        <v>65</v>
      </c>
      <c r="K135" s="101">
        <v>13</v>
      </c>
      <c r="L135" s="101">
        <v>5</v>
      </c>
      <c r="M135" s="101">
        <v>8</v>
      </c>
      <c r="N135" s="101"/>
      <c r="O135" s="101"/>
      <c r="P135" s="101"/>
      <c r="Q135" s="101"/>
      <c r="R135" s="101"/>
      <c r="S135" s="101"/>
      <c r="T135" s="101"/>
      <c r="U135" s="101"/>
      <c r="V135" s="101"/>
      <c r="W135" s="91"/>
      <c r="X135" s="89"/>
      <c r="Y135" s="92">
        <f t="shared" si="12"/>
        <v>0</v>
      </c>
      <c r="Z135" s="92">
        <f t="shared" si="13"/>
        <v>0</v>
      </c>
      <c r="AA135" s="92">
        <f t="shared" si="14"/>
        <v>0</v>
      </c>
      <c r="AB135" s="92">
        <f t="shared" si="15"/>
        <v>0</v>
      </c>
      <c r="AC135" s="92"/>
      <c r="AD135" s="92">
        <v>0</v>
      </c>
      <c r="AE135" s="92">
        <f t="shared" si="16"/>
        <v>0</v>
      </c>
      <c r="AF135" s="93">
        <v>0</v>
      </c>
      <c r="AG135" s="89">
        <v>40602</v>
      </c>
      <c r="AH135" s="94"/>
      <c r="AI135" s="95" t="s">
        <v>4336</v>
      </c>
      <c r="AJ135" s="96" t="s">
        <v>4337</v>
      </c>
      <c r="AK135" s="97"/>
      <c r="AL135" s="89"/>
      <c r="AM135" s="100" t="s">
        <v>4543</v>
      </c>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114"/>
      <c r="CQ135" s="115"/>
      <c r="CR135" s="114"/>
      <c r="CS135" s="115"/>
      <c r="CT135" s="114"/>
      <c r="CU135" s="115"/>
      <c r="CV135" s="99">
        <f t="shared" si="17"/>
        <v>0</v>
      </c>
      <c r="CW135" s="114"/>
      <c r="CX135" s="115"/>
      <c r="CY135" s="114"/>
      <c r="CZ135" s="115"/>
      <c r="DA135" s="115"/>
      <c r="DB135" s="115"/>
      <c r="DC135" s="114"/>
      <c r="DD135" s="115"/>
      <c r="DE135" s="97"/>
      <c r="DF135" s="269"/>
    </row>
    <row r="136" spans="1:110" s="270" customFormat="1" ht="24" x14ac:dyDescent="0.2">
      <c r="A136" s="89">
        <v>40595</v>
      </c>
      <c r="B136" s="90" t="s">
        <v>4261</v>
      </c>
      <c r="C136" s="90" t="s">
        <v>1289</v>
      </c>
      <c r="D136" s="90" t="s">
        <v>4264</v>
      </c>
      <c r="E136" s="90" t="str">
        <f>VLOOKUP(B136&amp;C136,Divipola!$C$2:$F$1138,4,FALSE)</f>
        <v>15693</v>
      </c>
      <c r="F136" s="4"/>
      <c r="G136" s="274"/>
      <c r="H136" s="274"/>
      <c r="I136" s="274"/>
      <c r="J136" s="124">
        <v>180</v>
      </c>
      <c r="K136" s="124">
        <v>36</v>
      </c>
      <c r="L136" s="124"/>
      <c r="M136" s="124">
        <v>36</v>
      </c>
      <c r="N136" s="208"/>
      <c r="O136" s="208"/>
      <c r="P136" s="208"/>
      <c r="Q136" s="208"/>
      <c r="R136" s="208"/>
      <c r="S136" s="208"/>
      <c r="T136" s="208"/>
      <c r="U136" s="208"/>
      <c r="V136" s="208"/>
      <c r="W136" s="19"/>
      <c r="X136" s="17"/>
      <c r="Y136" s="5">
        <f t="shared" si="12"/>
        <v>0</v>
      </c>
      <c r="Z136" s="5">
        <f t="shared" si="13"/>
        <v>0</v>
      </c>
      <c r="AA136" s="5">
        <f t="shared" si="14"/>
        <v>0</v>
      </c>
      <c r="AB136" s="5">
        <f t="shared" si="15"/>
        <v>0</v>
      </c>
      <c r="AC136" s="5"/>
      <c r="AD136" s="5">
        <v>0</v>
      </c>
      <c r="AE136" s="5">
        <f t="shared" si="16"/>
        <v>0</v>
      </c>
      <c r="AF136" s="70">
        <v>0</v>
      </c>
      <c r="AG136" s="17"/>
      <c r="AH136" s="18"/>
      <c r="AI136" s="47" t="s">
        <v>4336</v>
      </c>
      <c r="AJ136" s="73" t="s">
        <v>4337</v>
      </c>
      <c r="AK136" s="275"/>
      <c r="AL136" s="276"/>
      <c r="AM136" s="100" t="s">
        <v>1902</v>
      </c>
      <c r="AN136" s="19"/>
      <c r="AO136" s="19"/>
      <c r="AP136" s="19"/>
      <c r="AQ136" s="19"/>
      <c r="AR136" s="19"/>
      <c r="AS136" s="19"/>
      <c r="AT136" s="19"/>
      <c r="AU136" s="19"/>
      <c r="AV136" s="19"/>
      <c r="AW136" s="19"/>
      <c r="AX136" s="107"/>
      <c r="AY136" s="107"/>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39"/>
      <c r="CO136" s="138"/>
      <c r="CP136" s="139"/>
      <c r="CQ136" s="138"/>
      <c r="CR136" s="139"/>
      <c r="CS136" s="138"/>
      <c r="CT136" s="72"/>
      <c r="CU136" s="139"/>
      <c r="CV136" s="99">
        <f t="shared" si="17"/>
        <v>0</v>
      </c>
      <c r="CW136" s="139"/>
      <c r="CX136" s="138"/>
      <c r="CY136" s="138"/>
      <c r="CZ136" s="138"/>
      <c r="DA136" s="139"/>
      <c r="DB136" s="138"/>
      <c r="DC136" s="45"/>
      <c r="DD136" s="138"/>
      <c r="DE136" s="45"/>
      <c r="DF136" s="269">
        <v>1613</v>
      </c>
    </row>
    <row r="137" spans="1:110" s="270" customFormat="1" ht="36" x14ac:dyDescent="0.2">
      <c r="A137" s="89">
        <v>40595</v>
      </c>
      <c r="B137" s="90" t="s">
        <v>4353</v>
      </c>
      <c r="C137" s="90" t="s">
        <v>3531</v>
      </c>
      <c r="D137" s="90" t="s">
        <v>4298</v>
      </c>
      <c r="E137" s="90" t="str">
        <f>VLOOKUP(B137&amp;C137,Divipola!$C$2:$F$1138,4,FALSE)</f>
        <v>85010</v>
      </c>
      <c r="F137" s="90"/>
      <c r="G137" s="101"/>
      <c r="H137" s="101"/>
      <c r="I137" s="101"/>
      <c r="J137" s="101"/>
      <c r="K137" s="101"/>
      <c r="L137" s="101"/>
      <c r="M137" s="101"/>
      <c r="N137" s="101"/>
      <c r="O137" s="101"/>
      <c r="P137" s="101"/>
      <c r="Q137" s="101"/>
      <c r="R137" s="101"/>
      <c r="S137" s="101"/>
      <c r="T137" s="101">
        <v>1</v>
      </c>
      <c r="U137" s="101"/>
      <c r="V137" s="101"/>
      <c r="W137" s="91"/>
      <c r="X137" s="89"/>
      <c r="Y137" s="92">
        <f t="shared" si="12"/>
        <v>0</v>
      </c>
      <c r="Z137" s="92">
        <f t="shared" si="13"/>
        <v>0</v>
      </c>
      <c r="AA137" s="92">
        <f t="shared" si="14"/>
        <v>0</v>
      </c>
      <c r="AB137" s="92">
        <f t="shared" si="15"/>
        <v>0</v>
      </c>
      <c r="AC137" s="92"/>
      <c r="AD137" s="92">
        <v>0</v>
      </c>
      <c r="AE137" s="92">
        <f t="shared" si="16"/>
        <v>0</v>
      </c>
      <c r="AF137" s="93">
        <v>0</v>
      </c>
      <c r="AG137" s="89">
        <v>40602</v>
      </c>
      <c r="AH137" s="94"/>
      <c r="AI137" s="95" t="s">
        <v>4336</v>
      </c>
      <c r="AJ137" s="96" t="s">
        <v>4337</v>
      </c>
      <c r="AK137" s="97"/>
      <c r="AL137" s="89"/>
      <c r="AM137" s="100" t="s">
        <v>4541</v>
      </c>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114"/>
      <c r="CQ137" s="115"/>
      <c r="CR137" s="114"/>
      <c r="CS137" s="115"/>
      <c r="CT137" s="114"/>
      <c r="CU137" s="115"/>
      <c r="CV137" s="99">
        <f t="shared" si="17"/>
        <v>0</v>
      </c>
      <c r="CW137" s="114"/>
      <c r="CX137" s="115"/>
      <c r="CY137" s="114"/>
      <c r="CZ137" s="115"/>
      <c r="DA137" s="115"/>
      <c r="DB137" s="115"/>
      <c r="DC137" s="114"/>
      <c r="DD137" s="115"/>
      <c r="DE137" s="97"/>
      <c r="DF137" s="269"/>
    </row>
    <row r="138" spans="1:110" s="270" customFormat="1" ht="24" x14ac:dyDescent="0.2">
      <c r="A138" s="89">
        <v>40595</v>
      </c>
      <c r="B138" s="90" t="s">
        <v>4387</v>
      </c>
      <c r="C138" s="90" t="s">
        <v>852</v>
      </c>
      <c r="D138" s="90" t="s">
        <v>2362</v>
      </c>
      <c r="E138" s="90" t="str">
        <f>VLOOKUP(B138&amp;C138,Divipola!$C$2:$F$1138,4,FALSE)</f>
        <v>52233</v>
      </c>
      <c r="F138" s="90"/>
      <c r="G138" s="101">
        <v>1</v>
      </c>
      <c r="H138" s="101"/>
      <c r="I138" s="101"/>
      <c r="J138" s="101">
        <v>42</v>
      </c>
      <c r="K138" s="101">
        <v>13</v>
      </c>
      <c r="L138" s="101">
        <v>1</v>
      </c>
      <c r="M138" s="101">
        <v>12</v>
      </c>
      <c r="N138" s="101">
        <v>1</v>
      </c>
      <c r="O138" s="101"/>
      <c r="P138" s="101"/>
      <c r="Q138" s="101"/>
      <c r="R138" s="101"/>
      <c r="S138" s="101"/>
      <c r="T138" s="101"/>
      <c r="U138" s="101"/>
      <c r="V138" s="101"/>
      <c r="W138" s="91"/>
      <c r="X138" s="89"/>
      <c r="Y138" s="92">
        <f t="shared" si="12"/>
        <v>0</v>
      </c>
      <c r="Z138" s="92">
        <f t="shared" si="13"/>
        <v>0</v>
      </c>
      <c r="AA138" s="92">
        <f t="shared" si="14"/>
        <v>0</v>
      </c>
      <c r="AB138" s="92">
        <f t="shared" si="15"/>
        <v>0</v>
      </c>
      <c r="AC138" s="92"/>
      <c r="AD138" s="92">
        <v>0</v>
      </c>
      <c r="AE138" s="92">
        <f t="shared" si="16"/>
        <v>0</v>
      </c>
      <c r="AF138" s="93">
        <v>0</v>
      </c>
      <c r="AG138" s="89">
        <v>40602</v>
      </c>
      <c r="AH138" s="94"/>
      <c r="AI138" s="95" t="s">
        <v>4336</v>
      </c>
      <c r="AJ138" s="96" t="s">
        <v>4337</v>
      </c>
      <c r="AK138" s="97"/>
      <c r="AL138" s="89"/>
      <c r="AM138" s="100" t="s">
        <v>4418</v>
      </c>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114"/>
      <c r="CQ138" s="115"/>
      <c r="CR138" s="114"/>
      <c r="CS138" s="115"/>
      <c r="CT138" s="114"/>
      <c r="CU138" s="115"/>
      <c r="CV138" s="99">
        <f t="shared" si="17"/>
        <v>0</v>
      </c>
      <c r="CW138" s="114"/>
      <c r="CX138" s="115"/>
      <c r="CY138" s="114"/>
      <c r="CZ138" s="115"/>
      <c r="DA138" s="115"/>
      <c r="DB138" s="115"/>
      <c r="DC138" s="114"/>
      <c r="DD138" s="115"/>
      <c r="DE138" s="97"/>
      <c r="DF138" s="269"/>
    </row>
    <row r="139" spans="1:110" s="270" customFormat="1" ht="60" x14ac:dyDescent="0.2">
      <c r="A139" s="89">
        <v>40595</v>
      </c>
      <c r="B139" s="90" t="s">
        <v>4387</v>
      </c>
      <c r="C139" s="90" t="s">
        <v>476</v>
      </c>
      <c r="D139" s="90" t="s">
        <v>2362</v>
      </c>
      <c r="E139" s="90" t="str">
        <f>VLOOKUP(B139&amp;C139,Divipola!$C$2:$F$1138,4,FALSE)</f>
        <v>52323</v>
      </c>
      <c r="F139" s="90"/>
      <c r="G139" s="101"/>
      <c r="H139" s="101"/>
      <c r="I139" s="101"/>
      <c r="J139" s="101">
        <v>455</v>
      </c>
      <c r="K139" s="101">
        <v>109</v>
      </c>
      <c r="L139" s="101">
        <v>57</v>
      </c>
      <c r="M139" s="101">
        <v>52</v>
      </c>
      <c r="N139" s="101">
        <v>9</v>
      </c>
      <c r="O139" s="101"/>
      <c r="P139" s="101"/>
      <c r="Q139" s="101">
        <v>2</v>
      </c>
      <c r="R139" s="101"/>
      <c r="S139" s="101"/>
      <c r="T139" s="101"/>
      <c r="U139" s="101"/>
      <c r="V139" s="101"/>
      <c r="W139" s="91"/>
      <c r="X139" s="105"/>
      <c r="Y139" s="92">
        <f t="shared" si="12"/>
        <v>0</v>
      </c>
      <c r="Z139" s="92">
        <f t="shared" si="13"/>
        <v>0</v>
      </c>
      <c r="AA139" s="92">
        <f t="shared" si="14"/>
        <v>0</v>
      </c>
      <c r="AB139" s="92">
        <f t="shared" si="15"/>
        <v>0</v>
      </c>
      <c r="AC139" s="92"/>
      <c r="AD139" s="92">
        <v>0</v>
      </c>
      <c r="AE139" s="92">
        <f t="shared" si="16"/>
        <v>0</v>
      </c>
      <c r="AF139" s="93">
        <v>0</v>
      </c>
      <c r="AG139" s="105"/>
      <c r="AH139" s="108"/>
      <c r="AI139" s="109" t="s">
        <v>4336</v>
      </c>
      <c r="AJ139" s="110" t="s">
        <v>4337</v>
      </c>
      <c r="AK139" s="111"/>
      <c r="AL139" s="105" t="s">
        <v>1069</v>
      </c>
      <c r="AM139" s="100" t="s">
        <v>2925</v>
      </c>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18"/>
      <c r="CO139" s="119"/>
      <c r="CP139" s="118"/>
      <c r="CQ139" s="119"/>
      <c r="CR139" s="118"/>
      <c r="CS139" s="119"/>
      <c r="CT139" s="113"/>
      <c r="CU139" s="118"/>
      <c r="CV139" s="99">
        <f t="shared" si="17"/>
        <v>0</v>
      </c>
      <c r="CW139" s="118"/>
      <c r="CX139" s="119"/>
      <c r="CY139" s="119"/>
      <c r="CZ139" s="119"/>
      <c r="DA139" s="118"/>
      <c r="DB139" s="119"/>
      <c r="DC139" s="111"/>
      <c r="DD139" s="119"/>
      <c r="DE139" s="111"/>
      <c r="DF139" s="269"/>
    </row>
    <row r="140" spans="1:110" s="270" customFormat="1" ht="48" x14ac:dyDescent="0.2">
      <c r="A140" s="89">
        <v>40596</v>
      </c>
      <c r="B140" s="90" t="s">
        <v>4261</v>
      </c>
      <c r="C140" s="90" t="s">
        <v>2620</v>
      </c>
      <c r="D140" s="90" t="s">
        <v>4264</v>
      </c>
      <c r="E140" s="90" t="str">
        <f>VLOOKUP(B140&amp;C140,Divipola!$C$2:$F$1138,4,FALSE)</f>
        <v>15183</v>
      </c>
      <c r="F140" s="4"/>
      <c r="G140" s="274"/>
      <c r="H140" s="274"/>
      <c r="I140" s="274"/>
      <c r="J140" s="124">
        <v>1230</v>
      </c>
      <c r="K140" s="124">
        <v>246</v>
      </c>
      <c r="L140" s="124"/>
      <c r="M140" s="124">
        <v>246</v>
      </c>
      <c r="N140" s="208"/>
      <c r="O140" s="208"/>
      <c r="P140" s="208"/>
      <c r="Q140" s="208"/>
      <c r="R140" s="208"/>
      <c r="S140" s="208"/>
      <c r="T140" s="208"/>
      <c r="U140" s="208"/>
      <c r="V140" s="208"/>
      <c r="W140" s="19"/>
      <c r="X140" s="17"/>
      <c r="Y140" s="5">
        <f t="shared" si="12"/>
        <v>0</v>
      </c>
      <c r="Z140" s="5">
        <f t="shared" si="13"/>
        <v>0</v>
      </c>
      <c r="AA140" s="5">
        <f t="shared" si="14"/>
        <v>0</v>
      </c>
      <c r="AB140" s="5">
        <f t="shared" si="15"/>
        <v>0</v>
      </c>
      <c r="AC140" s="5"/>
      <c r="AD140" s="5">
        <v>0</v>
      </c>
      <c r="AE140" s="5">
        <f t="shared" si="16"/>
        <v>0</v>
      </c>
      <c r="AF140" s="70">
        <v>0</v>
      </c>
      <c r="AG140" s="17"/>
      <c r="AH140" s="18"/>
      <c r="AI140" s="47" t="s">
        <v>4336</v>
      </c>
      <c r="AJ140" s="73" t="s">
        <v>4337</v>
      </c>
      <c r="AK140" s="275"/>
      <c r="AL140" s="276"/>
      <c r="AM140" s="100" t="s">
        <v>1901</v>
      </c>
      <c r="AN140" s="19"/>
      <c r="AO140" s="19"/>
      <c r="AP140" s="19"/>
      <c r="AQ140" s="19"/>
      <c r="AR140" s="19"/>
      <c r="AS140" s="19"/>
      <c r="AT140" s="19"/>
      <c r="AU140" s="19"/>
      <c r="AV140" s="19"/>
      <c r="AW140" s="19"/>
      <c r="AX140" s="107"/>
      <c r="AY140" s="107"/>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39"/>
      <c r="CO140" s="138"/>
      <c r="CP140" s="139"/>
      <c r="CQ140" s="138"/>
      <c r="CR140" s="139"/>
      <c r="CS140" s="138"/>
      <c r="CT140" s="72"/>
      <c r="CU140" s="139"/>
      <c r="CV140" s="99">
        <f t="shared" si="17"/>
        <v>0</v>
      </c>
      <c r="CW140" s="139"/>
      <c r="CX140" s="138"/>
      <c r="CY140" s="138"/>
      <c r="CZ140" s="138"/>
      <c r="DA140" s="139"/>
      <c r="DB140" s="138"/>
      <c r="DC140" s="45"/>
      <c r="DD140" s="138"/>
      <c r="DE140" s="45"/>
      <c r="DF140" s="269"/>
    </row>
    <row r="141" spans="1:110" s="270" customFormat="1" x14ac:dyDescent="0.2">
      <c r="A141" s="89">
        <v>40597</v>
      </c>
      <c r="B141" s="90" t="s">
        <v>3358</v>
      </c>
      <c r="C141" s="90" t="s">
        <v>2233</v>
      </c>
      <c r="D141" s="90" t="s">
        <v>3346</v>
      </c>
      <c r="E141" s="90" t="str">
        <f>VLOOKUP(B141&amp;C141,Divipola!$C$2:$F$1138,4,FALSE)</f>
        <v>18785</v>
      </c>
      <c r="F141" s="90"/>
      <c r="G141" s="101"/>
      <c r="H141" s="101"/>
      <c r="I141" s="101"/>
      <c r="J141" s="101">
        <f>25*5</f>
        <v>125</v>
      </c>
      <c r="K141" s="101">
        <v>25</v>
      </c>
      <c r="L141" s="101"/>
      <c r="M141" s="101">
        <v>25</v>
      </c>
      <c r="N141" s="101"/>
      <c r="O141" s="101"/>
      <c r="P141" s="101"/>
      <c r="Q141" s="101"/>
      <c r="R141" s="101"/>
      <c r="S141" s="101"/>
      <c r="T141" s="101"/>
      <c r="U141" s="101"/>
      <c r="V141" s="101"/>
      <c r="W141" s="91"/>
      <c r="X141" s="89"/>
      <c r="Y141" s="92">
        <f t="shared" si="12"/>
        <v>0</v>
      </c>
      <c r="Z141" s="92">
        <f t="shared" si="13"/>
        <v>0</v>
      </c>
      <c r="AA141" s="92">
        <f t="shared" si="14"/>
        <v>0</v>
      </c>
      <c r="AB141" s="92">
        <f t="shared" si="15"/>
        <v>0</v>
      </c>
      <c r="AC141" s="92"/>
      <c r="AD141" s="92">
        <v>0</v>
      </c>
      <c r="AE141" s="92">
        <f t="shared" si="16"/>
        <v>0</v>
      </c>
      <c r="AF141" s="93">
        <v>0</v>
      </c>
      <c r="AG141" s="89">
        <v>40617</v>
      </c>
      <c r="AH141" s="94"/>
      <c r="AI141" s="95" t="s">
        <v>4336</v>
      </c>
      <c r="AJ141" s="96" t="s">
        <v>4337</v>
      </c>
      <c r="AK141" s="97"/>
      <c r="AL141" s="89"/>
      <c r="AM141" s="100" t="s">
        <v>3238</v>
      </c>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114"/>
      <c r="CQ141" s="115"/>
      <c r="CR141" s="114"/>
      <c r="CS141" s="115"/>
      <c r="CT141" s="114"/>
      <c r="CU141" s="115"/>
      <c r="CV141" s="99">
        <f t="shared" si="17"/>
        <v>0</v>
      </c>
      <c r="CW141" s="114"/>
      <c r="CX141" s="115"/>
      <c r="CY141" s="114"/>
      <c r="CZ141" s="115"/>
      <c r="DA141" s="115"/>
      <c r="DB141" s="115"/>
      <c r="DC141" s="114"/>
      <c r="DD141" s="115"/>
      <c r="DE141" s="97"/>
      <c r="DF141" s="269"/>
    </row>
    <row r="142" spans="1:110" s="270" customFormat="1" ht="36" x14ac:dyDescent="0.2">
      <c r="A142" s="89">
        <v>40597</v>
      </c>
      <c r="B142" s="90" t="s">
        <v>4353</v>
      </c>
      <c r="C142" s="90" t="s">
        <v>2222</v>
      </c>
      <c r="D142" s="90" t="s">
        <v>2865</v>
      </c>
      <c r="E142" s="90" t="str">
        <f>VLOOKUP(B142&amp;C142,Divipola!$C$2:$F$1138,4,FALSE)</f>
        <v>85139</v>
      </c>
      <c r="F142" s="90"/>
      <c r="G142" s="101">
        <v>1</v>
      </c>
      <c r="H142" s="101">
        <v>3</v>
      </c>
      <c r="I142" s="101"/>
      <c r="J142" s="101"/>
      <c r="K142" s="101"/>
      <c r="L142" s="101"/>
      <c r="M142" s="101"/>
      <c r="N142" s="101"/>
      <c r="O142" s="101"/>
      <c r="P142" s="101"/>
      <c r="Q142" s="101"/>
      <c r="R142" s="101"/>
      <c r="S142" s="101"/>
      <c r="T142" s="101"/>
      <c r="U142" s="101"/>
      <c r="V142" s="101"/>
      <c r="W142" s="91"/>
      <c r="X142" s="89"/>
      <c r="Y142" s="92">
        <f t="shared" si="12"/>
        <v>0</v>
      </c>
      <c r="Z142" s="92">
        <f t="shared" si="13"/>
        <v>0</v>
      </c>
      <c r="AA142" s="92">
        <f t="shared" si="14"/>
        <v>0</v>
      </c>
      <c r="AB142" s="92">
        <f t="shared" si="15"/>
        <v>0</v>
      </c>
      <c r="AC142" s="92"/>
      <c r="AD142" s="92">
        <v>0</v>
      </c>
      <c r="AE142" s="92">
        <f t="shared" si="16"/>
        <v>0</v>
      </c>
      <c r="AF142" s="93">
        <v>0</v>
      </c>
      <c r="AG142" s="89">
        <v>40602</v>
      </c>
      <c r="AH142" s="94"/>
      <c r="AI142" s="95" t="s">
        <v>4336</v>
      </c>
      <c r="AJ142" s="96" t="s">
        <v>4337</v>
      </c>
      <c r="AK142" s="97"/>
      <c r="AL142" s="89"/>
      <c r="AM142" s="100" t="s">
        <v>4544</v>
      </c>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114"/>
      <c r="CQ142" s="115"/>
      <c r="CR142" s="114"/>
      <c r="CS142" s="115"/>
      <c r="CT142" s="114"/>
      <c r="CU142" s="115"/>
      <c r="CV142" s="99">
        <f t="shared" si="17"/>
        <v>0</v>
      </c>
      <c r="CW142" s="114"/>
      <c r="CX142" s="115"/>
      <c r="CY142" s="114"/>
      <c r="CZ142" s="115"/>
      <c r="DA142" s="115"/>
      <c r="DB142" s="115"/>
      <c r="DC142" s="114"/>
      <c r="DD142" s="115"/>
      <c r="DE142" s="97"/>
      <c r="DF142" s="269"/>
    </row>
    <row r="143" spans="1:110" s="270" customFormat="1" ht="24" x14ac:dyDescent="0.2">
      <c r="A143" s="89">
        <v>40597</v>
      </c>
      <c r="B143" s="90" t="s">
        <v>4219</v>
      </c>
      <c r="C143" s="90" t="s">
        <v>3503</v>
      </c>
      <c r="D143" s="90" t="s">
        <v>4298</v>
      </c>
      <c r="E143" s="90" t="str">
        <f>VLOOKUP(B143&amp;C143,Divipola!$C$2:$F$1138,4,FALSE)</f>
        <v>41001</v>
      </c>
      <c r="F143" s="90"/>
      <c r="G143" s="101"/>
      <c r="H143" s="101"/>
      <c r="I143" s="101"/>
      <c r="J143" s="101">
        <v>5</v>
      </c>
      <c r="K143" s="101">
        <v>1</v>
      </c>
      <c r="L143" s="101">
        <v>1</v>
      </c>
      <c r="M143" s="101"/>
      <c r="N143" s="101"/>
      <c r="O143" s="101"/>
      <c r="P143" s="101"/>
      <c r="Q143" s="101"/>
      <c r="R143" s="101"/>
      <c r="S143" s="101"/>
      <c r="T143" s="101"/>
      <c r="U143" s="101"/>
      <c r="V143" s="101"/>
      <c r="W143" s="91"/>
      <c r="X143" s="89"/>
      <c r="Y143" s="92">
        <f t="shared" si="12"/>
        <v>0</v>
      </c>
      <c r="Z143" s="92">
        <f t="shared" si="13"/>
        <v>0</v>
      </c>
      <c r="AA143" s="92">
        <f t="shared" si="14"/>
        <v>0</v>
      </c>
      <c r="AB143" s="92">
        <f t="shared" si="15"/>
        <v>0</v>
      </c>
      <c r="AC143" s="92"/>
      <c r="AD143" s="92">
        <v>0</v>
      </c>
      <c r="AE143" s="92">
        <f t="shared" si="16"/>
        <v>0</v>
      </c>
      <c r="AF143" s="93">
        <v>0</v>
      </c>
      <c r="AG143" s="89">
        <v>40602</v>
      </c>
      <c r="AH143" s="94"/>
      <c r="AI143" s="95" t="s">
        <v>4336</v>
      </c>
      <c r="AJ143" s="96" t="s">
        <v>4337</v>
      </c>
      <c r="AK143" s="97"/>
      <c r="AL143" s="89"/>
      <c r="AM143" s="100" t="s">
        <v>4556</v>
      </c>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114"/>
      <c r="CQ143" s="115"/>
      <c r="CR143" s="114"/>
      <c r="CS143" s="115"/>
      <c r="CT143" s="114"/>
      <c r="CU143" s="115"/>
      <c r="CV143" s="99">
        <f t="shared" si="17"/>
        <v>0</v>
      </c>
      <c r="CW143" s="114"/>
      <c r="CX143" s="115"/>
      <c r="CY143" s="114"/>
      <c r="CZ143" s="115"/>
      <c r="DA143" s="115"/>
      <c r="DB143" s="115"/>
      <c r="DC143" s="114"/>
      <c r="DD143" s="115"/>
      <c r="DE143" s="97"/>
      <c r="DF143" s="269"/>
    </row>
    <row r="144" spans="1:110" s="270" customFormat="1" ht="36" x14ac:dyDescent="0.2">
      <c r="A144" s="89">
        <v>40597</v>
      </c>
      <c r="B144" s="90" t="s">
        <v>4350</v>
      </c>
      <c r="C144" s="90" t="s">
        <v>3535</v>
      </c>
      <c r="D144" s="90" t="s">
        <v>4264</v>
      </c>
      <c r="E144" s="90" t="str">
        <f>VLOOKUP(B144&amp;C144,Divipola!$C$2:$F$1138,4,FALSE)</f>
        <v>63130</v>
      </c>
      <c r="F144" s="90"/>
      <c r="G144" s="101"/>
      <c r="H144" s="101"/>
      <c r="I144" s="101"/>
      <c r="J144" s="101"/>
      <c r="K144" s="101"/>
      <c r="L144" s="101"/>
      <c r="M144" s="101"/>
      <c r="N144" s="101">
        <v>1</v>
      </c>
      <c r="O144" s="101"/>
      <c r="P144" s="101"/>
      <c r="Q144" s="101"/>
      <c r="R144" s="101">
        <v>1</v>
      </c>
      <c r="S144" s="101"/>
      <c r="T144" s="101"/>
      <c r="U144" s="101"/>
      <c r="V144" s="101"/>
      <c r="W144" s="91"/>
      <c r="X144" s="89"/>
      <c r="Y144" s="92">
        <f t="shared" si="12"/>
        <v>0</v>
      </c>
      <c r="Z144" s="92">
        <f t="shared" si="13"/>
        <v>0</v>
      </c>
      <c r="AA144" s="92">
        <f t="shared" si="14"/>
        <v>0</v>
      </c>
      <c r="AB144" s="92">
        <f t="shared" si="15"/>
        <v>0</v>
      </c>
      <c r="AC144" s="92"/>
      <c r="AD144" s="92">
        <v>0</v>
      </c>
      <c r="AE144" s="92">
        <f t="shared" si="16"/>
        <v>0</v>
      </c>
      <c r="AF144" s="93">
        <v>0</v>
      </c>
      <c r="AG144" s="89">
        <v>40602</v>
      </c>
      <c r="AH144" s="94"/>
      <c r="AI144" s="95" t="s">
        <v>4336</v>
      </c>
      <c r="AJ144" s="96" t="s">
        <v>4337</v>
      </c>
      <c r="AK144" s="97"/>
      <c r="AL144" s="89"/>
      <c r="AM144" s="100" t="s">
        <v>4545</v>
      </c>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114"/>
      <c r="CQ144" s="115"/>
      <c r="CR144" s="114"/>
      <c r="CS144" s="115"/>
      <c r="CT144" s="114"/>
      <c r="CU144" s="115"/>
      <c r="CV144" s="99">
        <f t="shared" si="17"/>
        <v>0</v>
      </c>
      <c r="CW144" s="114"/>
      <c r="CX144" s="115"/>
      <c r="CY144" s="114"/>
      <c r="CZ144" s="115"/>
      <c r="DA144" s="115"/>
      <c r="DB144" s="115"/>
      <c r="DC144" s="114"/>
      <c r="DD144" s="115"/>
      <c r="DE144" s="97"/>
      <c r="DF144" s="269"/>
    </row>
    <row r="145" spans="1:255" s="270" customFormat="1" x14ac:dyDescent="0.2">
      <c r="A145" s="89">
        <v>40597</v>
      </c>
      <c r="B145" s="90" t="s">
        <v>4348</v>
      </c>
      <c r="C145" s="90" t="s">
        <v>3304</v>
      </c>
      <c r="D145" s="90" t="s">
        <v>3346</v>
      </c>
      <c r="E145" s="90" t="str">
        <f>VLOOKUP(B145&amp;C145,Divipola!$C$2:$F$1138,4,FALSE)</f>
        <v>66440</v>
      </c>
      <c r="F145" s="90"/>
      <c r="G145" s="101"/>
      <c r="H145" s="101"/>
      <c r="I145" s="101"/>
      <c r="J145" s="101">
        <v>140</v>
      </c>
      <c r="K145" s="101">
        <v>51</v>
      </c>
      <c r="L145" s="101"/>
      <c r="M145" s="101"/>
      <c r="N145" s="101"/>
      <c r="O145" s="101"/>
      <c r="P145" s="101"/>
      <c r="Q145" s="101"/>
      <c r="R145" s="101"/>
      <c r="S145" s="101"/>
      <c r="T145" s="101"/>
      <c r="U145" s="101"/>
      <c r="V145" s="101"/>
      <c r="W145" s="91"/>
      <c r="X145" s="89"/>
      <c r="Y145" s="92">
        <f t="shared" si="12"/>
        <v>0</v>
      </c>
      <c r="Z145" s="92">
        <f t="shared" si="13"/>
        <v>0</v>
      </c>
      <c r="AA145" s="92">
        <f t="shared" si="14"/>
        <v>0</v>
      </c>
      <c r="AB145" s="92">
        <f t="shared" si="15"/>
        <v>0</v>
      </c>
      <c r="AC145" s="92"/>
      <c r="AD145" s="92">
        <v>0</v>
      </c>
      <c r="AE145" s="92">
        <f t="shared" si="16"/>
        <v>0</v>
      </c>
      <c r="AF145" s="93">
        <v>0</v>
      </c>
      <c r="AG145" s="89">
        <v>40624</v>
      </c>
      <c r="AH145" s="94"/>
      <c r="AI145" s="95" t="s">
        <v>4336</v>
      </c>
      <c r="AJ145" s="96" t="s">
        <v>4337</v>
      </c>
      <c r="AK145" s="97"/>
      <c r="AL145" s="89"/>
      <c r="AM145" s="100" t="s">
        <v>3238</v>
      </c>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114"/>
      <c r="CQ145" s="115"/>
      <c r="CR145" s="114"/>
      <c r="CS145" s="115"/>
      <c r="CT145" s="114"/>
      <c r="CU145" s="115"/>
      <c r="CV145" s="99">
        <f t="shared" si="17"/>
        <v>0</v>
      </c>
      <c r="CW145" s="114"/>
      <c r="CX145" s="115"/>
      <c r="CY145" s="114"/>
      <c r="CZ145" s="115"/>
      <c r="DA145" s="115"/>
      <c r="DB145" s="115"/>
      <c r="DC145" s="114"/>
      <c r="DD145" s="115"/>
      <c r="DE145" s="97"/>
      <c r="DF145" s="269"/>
    </row>
    <row r="146" spans="1:255" s="270" customFormat="1" ht="48" x14ac:dyDescent="0.2">
      <c r="A146" s="89">
        <v>40597</v>
      </c>
      <c r="B146" s="90" t="s">
        <v>4348</v>
      </c>
      <c r="C146" s="90" t="s">
        <v>4365</v>
      </c>
      <c r="D146" s="90" t="s">
        <v>2860</v>
      </c>
      <c r="E146" s="90" t="str">
        <f>VLOOKUP(B146&amp;C146,Divipola!$C$2:$F$1138,4,FALSE)</f>
        <v>66682</v>
      </c>
      <c r="F146" s="90"/>
      <c r="G146" s="101">
        <v>2</v>
      </c>
      <c r="H146" s="101"/>
      <c r="I146" s="101"/>
      <c r="J146" s="101"/>
      <c r="K146" s="101"/>
      <c r="L146" s="101"/>
      <c r="M146" s="101"/>
      <c r="N146" s="101"/>
      <c r="O146" s="101"/>
      <c r="P146" s="101"/>
      <c r="Q146" s="101"/>
      <c r="R146" s="101"/>
      <c r="S146" s="101"/>
      <c r="T146" s="101"/>
      <c r="U146" s="101"/>
      <c r="V146" s="101"/>
      <c r="W146" s="91"/>
      <c r="X146" s="89"/>
      <c r="Y146" s="92">
        <f t="shared" si="12"/>
        <v>0</v>
      </c>
      <c r="Z146" s="92">
        <f t="shared" si="13"/>
        <v>0</v>
      </c>
      <c r="AA146" s="92">
        <f t="shared" si="14"/>
        <v>0</v>
      </c>
      <c r="AB146" s="92">
        <f t="shared" si="15"/>
        <v>0</v>
      </c>
      <c r="AC146" s="92"/>
      <c r="AD146" s="92">
        <v>0</v>
      </c>
      <c r="AE146" s="92">
        <f t="shared" si="16"/>
        <v>0</v>
      </c>
      <c r="AF146" s="93">
        <v>0</v>
      </c>
      <c r="AG146" s="89">
        <v>40602</v>
      </c>
      <c r="AH146" s="94"/>
      <c r="AI146" s="95" t="s">
        <v>4336</v>
      </c>
      <c r="AJ146" s="96" t="s">
        <v>4337</v>
      </c>
      <c r="AK146" s="97"/>
      <c r="AL146" s="89"/>
      <c r="AM146" s="100" t="s">
        <v>4206</v>
      </c>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114"/>
      <c r="CQ146" s="115"/>
      <c r="CR146" s="114"/>
      <c r="CS146" s="115"/>
      <c r="CT146" s="114"/>
      <c r="CU146" s="115"/>
      <c r="CV146" s="99">
        <f t="shared" si="17"/>
        <v>0</v>
      </c>
      <c r="CW146" s="114"/>
      <c r="CX146" s="115"/>
      <c r="CY146" s="114"/>
      <c r="CZ146" s="115"/>
      <c r="DA146" s="115"/>
      <c r="DB146" s="115"/>
      <c r="DC146" s="114"/>
      <c r="DD146" s="115"/>
      <c r="DE146" s="97"/>
      <c r="DF146" s="269"/>
    </row>
    <row r="147" spans="1:255" s="270" customFormat="1" ht="24" x14ac:dyDescent="0.2">
      <c r="A147" s="89">
        <v>40597</v>
      </c>
      <c r="B147" s="90" t="s">
        <v>4244</v>
      </c>
      <c r="C147" s="90" t="s">
        <v>4325</v>
      </c>
      <c r="D147" s="90" t="s">
        <v>4264</v>
      </c>
      <c r="E147" s="90" t="str">
        <f>VLOOKUP(B147&amp;C147,Divipola!$C$2:$F$1138,4,FALSE)</f>
        <v>76130</v>
      </c>
      <c r="F147" s="90"/>
      <c r="G147" s="101"/>
      <c r="H147" s="101"/>
      <c r="I147" s="101"/>
      <c r="J147" s="101">
        <v>70</v>
      </c>
      <c r="K147" s="101">
        <v>14</v>
      </c>
      <c r="L147" s="101"/>
      <c r="M147" s="101">
        <v>14</v>
      </c>
      <c r="N147" s="101"/>
      <c r="O147" s="101"/>
      <c r="P147" s="101"/>
      <c r="Q147" s="101"/>
      <c r="R147" s="101"/>
      <c r="S147" s="101"/>
      <c r="T147" s="101"/>
      <c r="U147" s="101"/>
      <c r="V147" s="101"/>
      <c r="W147" s="91"/>
      <c r="X147" s="89"/>
      <c r="Y147" s="92">
        <f t="shared" si="12"/>
        <v>0</v>
      </c>
      <c r="Z147" s="92">
        <f t="shared" si="13"/>
        <v>0</v>
      </c>
      <c r="AA147" s="92">
        <f t="shared" si="14"/>
        <v>0</v>
      </c>
      <c r="AB147" s="92">
        <f t="shared" si="15"/>
        <v>0</v>
      </c>
      <c r="AC147" s="92"/>
      <c r="AD147" s="92">
        <v>0</v>
      </c>
      <c r="AE147" s="92">
        <f t="shared" si="16"/>
        <v>0</v>
      </c>
      <c r="AF147" s="93">
        <v>0</v>
      </c>
      <c r="AG147" s="89">
        <v>40602</v>
      </c>
      <c r="AH147" s="94"/>
      <c r="AI147" s="95" t="s">
        <v>4336</v>
      </c>
      <c r="AJ147" s="96" t="s">
        <v>4337</v>
      </c>
      <c r="AK147" s="97"/>
      <c r="AL147" s="89"/>
      <c r="AM147" s="100" t="s">
        <v>4560</v>
      </c>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114"/>
      <c r="CQ147" s="115"/>
      <c r="CR147" s="114"/>
      <c r="CS147" s="115"/>
      <c r="CT147" s="114"/>
      <c r="CU147" s="115"/>
      <c r="CV147" s="99">
        <f t="shared" si="17"/>
        <v>0</v>
      </c>
      <c r="CW147" s="114"/>
      <c r="CX147" s="115"/>
      <c r="CY147" s="114"/>
      <c r="CZ147" s="115"/>
      <c r="DA147" s="115"/>
      <c r="DB147" s="115"/>
      <c r="DC147" s="114"/>
      <c r="DD147" s="115"/>
      <c r="DE147" s="97"/>
      <c r="DF147" s="269"/>
    </row>
    <row r="148" spans="1:255" s="270" customFormat="1" ht="33.75" x14ac:dyDescent="0.2">
      <c r="A148" s="89">
        <v>40598</v>
      </c>
      <c r="B148" s="90" t="s">
        <v>2218</v>
      </c>
      <c r="C148" s="90" t="s">
        <v>3297</v>
      </c>
      <c r="D148" s="90" t="s">
        <v>4298</v>
      </c>
      <c r="E148" s="90" t="str">
        <f>VLOOKUP(B148&amp;C148,Divipola!$C$2:$F$1138,4,FALSE)</f>
        <v>05001</v>
      </c>
      <c r="F148" s="90"/>
      <c r="G148" s="101"/>
      <c r="H148" s="101"/>
      <c r="I148" s="101"/>
      <c r="J148" s="101"/>
      <c r="K148" s="101"/>
      <c r="L148" s="101"/>
      <c r="M148" s="101"/>
      <c r="N148" s="101"/>
      <c r="O148" s="101"/>
      <c r="P148" s="101"/>
      <c r="Q148" s="101"/>
      <c r="R148" s="101"/>
      <c r="S148" s="101"/>
      <c r="T148" s="101"/>
      <c r="U148" s="101"/>
      <c r="V148" s="101"/>
      <c r="W148" s="91" t="s">
        <v>4550</v>
      </c>
      <c r="X148" s="89"/>
      <c r="Y148" s="92">
        <f t="shared" si="12"/>
        <v>0</v>
      </c>
      <c r="Z148" s="92">
        <f t="shared" si="13"/>
        <v>0</v>
      </c>
      <c r="AA148" s="92">
        <f t="shared" si="14"/>
        <v>0</v>
      </c>
      <c r="AB148" s="92">
        <f t="shared" si="15"/>
        <v>0</v>
      </c>
      <c r="AC148" s="92"/>
      <c r="AD148" s="92">
        <v>0</v>
      </c>
      <c r="AE148" s="92">
        <f t="shared" si="16"/>
        <v>0</v>
      </c>
      <c r="AF148" s="93">
        <v>0</v>
      </c>
      <c r="AG148" s="89">
        <v>40602</v>
      </c>
      <c r="AH148" s="94"/>
      <c r="AI148" s="95" t="s">
        <v>4336</v>
      </c>
      <c r="AJ148" s="96" t="s">
        <v>4337</v>
      </c>
      <c r="AK148" s="97"/>
      <c r="AL148" s="89"/>
      <c r="AM148" s="100" t="s">
        <v>4549</v>
      </c>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114"/>
      <c r="CQ148" s="115"/>
      <c r="CR148" s="114"/>
      <c r="CS148" s="115"/>
      <c r="CT148" s="114"/>
      <c r="CU148" s="115"/>
      <c r="CV148" s="99">
        <f t="shared" si="17"/>
        <v>0</v>
      </c>
      <c r="CW148" s="114"/>
      <c r="CX148" s="115"/>
      <c r="CY148" s="114"/>
      <c r="CZ148" s="115"/>
      <c r="DA148" s="115"/>
      <c r="DB148" s="115"/>
      <c r="DC148" s="114"/>
      <c r="DD148" s="115"/>
      <c r="DE148" s="97"/>
      <c r="DF148" s="269"/>
    </row>
    <row r="149" spans="1:255" s="270" customFormat="1" ht="24" x14ac:dyDescent="0.2">
      <c r="A149" s="89">
        <v>40598</v>
      </c>
      <c r="B149" s="90" t="s">
        <v>4296</v>
      </c>
      <c r="C149" s="90" t="s">
        <v>3371</v>
      </c>
      <c r="D149" s="90" t="s">
        <v>2362</v>
      </c>
      <c r="E149" s="90" t="str">
        <f>VLOOKUP(B149&amp;C149,Divipola!$C$2:$F$1138,4,FALSE)</f>
        <v>19397</v>
      </c>
      <c r="F149" s="90"/>
      <c r="G149" s="101"/>
      <c r="H149" s="101"/>
      <c r="I149" s="101"/>
      <c r="J149" s="101">
        <v>3</v>
      </c>
      <c r="K149" s="101">
        <v>1</v>
      </c>
      <c r="L149" s="101"/>
      <c r="M149" s="101">
        <v>1</v>
      </c>
      <c r="N149" s="101"/>
      <c r="O149" s="101"/>
      <c r="P149" s="101"/>
      <c r="Q149" s="101"/>
      <c r="R149" s="101"/>
      <c r="S149" s="101"/>
      <c r="T149" s="101"/>
      <c r="U149" s="101"/>
      <c r="V149" s="101"/>
      <c r="W149" s="91"/>
      <c r="X149" s="89"/>
      <c r="Y149" s="92">
        <f t="shared" si="12"/>
        <v>0</v>
      </c>
      <c r="Z149" s="92">
        <f t="shared" si="13"/>
        <v>0</v>
      </c>
      <c r="AA149" s="92">
        <f t="shared" si="14"/>
        <v>0</v>
      </c>
      <c r="AB149" s="92">
        <f t="shared" si="15"/>
        <v>0</v>
      </c>
      <c r="AC149" s="92"/>
      <c r="AD149" s="92">
        <v>0</v>
      </c>
      <c r="AE149" s="92">
        <f t="shared" si="16"/>
        <v>0</v>
      </c>
      <c r="AF149" s="93">
        <v>0</v>
      </c>
      <c r="AG149" s="89">
        <v>40602</v>
      </c>
      <c r="AH149" s="94"/>
      <c r="AI149" s="95" t="s">
        <v>4336</v>
      </c>
      <c r="AJ149" s="96" t="s">
        <v>4337</v>
      </c>
      <c r="AK149" s="97"/>
      <c r="AL149" s="89"/>
      <c r="AM149" s="100" t="s">
        <v>4547</v>
      </c>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114"/>
      <c r="CQ149" s="115"/>
      <c r="CR149" s="114"/>
      <c r="CS149" s="115"/>
      <c r="CT149" s="114"/>
      <c r="CU149" s="115"/>
      <c r="CV149" s="99">
        <f t="shared" si="17"/>
        <v>0</v>
      </c>
      <c r="CW149" s="114"/>
      <c r="CX149" s="115"/>
      <c r="CY149" s="114"/>
      <c r="CZ149" s="115"/>
      <c r="DA149" s="115"/>
      <c r="DB149" s="115"/>
      <c r="DC149" s="114"/>
      <c r="DD149" s="115"/>
      <c r="DE149" s="97"/>
      <c r="DF149" s="269"/>
    </row>
    <row r="150" spans="1:255" s="270" customFormat="1" ht="24" x14ac:dyDescent="0.2">
      <c r="A150" s="89">
        <v>40598</v>
      </c>
      <c r="B150" s="90" t="s">
        <v>4344</v>
      </c>
      <c r="C150" s="90" t="s">
        <v>4508</v>
      </c>
      <c r="D150" s="90" t="s">
        <v>2362</v>
      </c>
      <c r="E150" s="90" t="str">
        <f>VLOOKUP(B150&amp;C150,Divipola!$C$2:$F$1138,4,FALSE)</f>
        <v>25053</v>
      </c>
      <c r="F150" s="90"/>
      <c r="G150" s="101"/>
      <c r="H150" s="101"/>
      <c r="I150" s="101"/>
      <c r="J150" s="101">
        <v>72</v>
      </c>
      <c r="K150" s="101">
        <v>40</v>
      </c>
      <c r="L150" s="101"/>
      <c r="M150" s="101">
        <v>20</v>
      </c>
      <c r="N150" s="101"/>
      <c r="O150" s="101"/>
      <c r="P150" s="101"/>
      <c r="Q150" s="101"/>
      <c r="R150" s="101"/>
      <c r="S150" s="101"/>
      <c r="T150" s="101"/>
      <c r="U150" s="101"/>
      <c r="V150" s="101"/>
      <c r="W150" s="91"/>
      <c r="X150" s="89"/>
      <c r="Y150" s="92">
        <f t="shared" si="12"/>
        <v>0</v>
      </c>
      <c r="Z150" s="92">
        <f t="shared" si="13"/>
        <v>0</v>
      </c>
      <c r="AA150" s="92">
        <f t="shared" si="14"/>
        <v>0</v>
      </c>
      <c r="AB150" s="92">
        <f t="shared" si="15"/>
        <v>0</v>
      </c>
      <c r="AC150" s="92"/>
      <c r="AD150" s="92">
        <v>0</v>
      </c>
      <c r="AE150" s="92">
        <f t="shared" si="16"/>
        <v>0</v>
      </c>
      <c r="AF150" s="93">
        <v>0</v>
      </c>
      <c r="AG150" s="89">
        <v>40602</v>
      </c>
      <c r="AH150" s="94"/>
      <c r="AI150" s="102" t="s">
        <v>4336</v>
      </c>
      <c r="AJ150" s="96" t="s">
        <v>4337</v>
      </c>
      <c r="AK150" s="97"/>
      <c r="AL150" s="89"/>
      <c r="AM150" s="100" t="s">
        <v>4548</v>
      </c>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114"/>
      <c r="CQ150" s="115"/>
      <c r="CR150" s="114"/>
      <c r="CS150" s="115"/>
      <c r="CT150" s="114"/>
      <c r="CU150" s="115"/>
      <c r="CV150" s="99">
        <f t="shared" si="17"/>
        <v>0</v>
      </c>
      <c r="CW150" s="114"/>
      <c r="CX150" s="115"/>
      <c r="CY150" s="114"/>
      <c r="CZ150" s="115"/>
      <c r="DA150" s="115"/>
      <c r="DB150" s="115"/>
      <c r="DC150" s="114"/>
      <c r="DD150" s="115"/>
      <c r="DE150" s="97"/>
      <c r="DF150" s="269"/>
    </row>
    <row r="151" spans="1:255" s="273" customFormat="1" ht="24" x14ac:dyDescent="0.2">
      <c r="A151" s="89">
        <v>40598</v>
      </c>
      <c r="B151" s="90" t="s">
        <v>4344</v>
      </c>
      <c r="C151" s="90" t="s">
        <v>4374</v>
      </c>
      <c r="D151" s="90" t="s">
        <v>4264</v>
      </c>
      <c r="E151" s="90" t="str">
        <f>VLOOKUP(B151&amp;C151,Divipola!$C$2:$F$1138,4,FALSE)</f>
        <v>25120</v>
      </c>
      <c r="F151" s="90"/>
      <c r="G151" s="101"/>
      <c r="H151" s="101"/>
      <c r="I151" s="101"/>
      <c r="J151" s="101">
        <v>559</v>
      </c>
      <c r="K151" s="101">
        <v>151</v>
      </c>
      <c r="L151" s="101">
        <v>10</v>
      </c>
      <c r="M151" s="101">
        <f>27+7</f>
        <v>34</v>
      </c>
      <c r="N151" s="101"/>
      <c r="O151" s="101"/>
      <c r="P151" s="101"/>
      <c r="Q151" s="101"/>
      <c r="R151" s="101"/>
      <c r="S151" s="101"/>
      <c r="T151" s="101"/>
      <c r="U151" s="101"/>
      <c r="V151" s="101"/>
      <c r="W151" s="91"/>
      <c r="X151" s="89"/>
      <c r="Y151" s="92">
        <f t="shared" si="12"/>
        <v>0</v>
      </c>
      <c r="Z151" s="92">
        <f t="shared" si="13"/>
        <v>0</v>
      </c>
      <c r="AA151" s="92">
        <f t="shared" si="14"/>
        <v>0</v>
      </c>
      <c r="AB151" s="92">
        <f t="shared" si="15"/>
        <v>0</v>
      </c>
      <c r="AC151" s="92"/>
      <c r="AD151" s="92">
        <v>0</v>
      </c>
      <c r="AE151" s="92">
        <f t="shared" si="16"/>
        <v>0</v>
      </c>
      <c r="AF151" s="93">
        <v>0</v>
      </c>
      <c r="AG151" s="89">
        <v>40602</v>
      </c>
      <c r="AH151" s="94"/>
      <c r="AI151" s="102" t="s">
        <v>4336</v>
      </c>
      <c r="AJ151" s="96" t="s">
        <v>4337</v>
      </c>
      <c r="AK151" s="97"/>
      <c r="AL151" s="89"/>
      <c r="AM151" s="100" t="s">
        <v>4546</v>
      </c>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114"/>
      <c r="CQ151" s="115"/>
      <c r="CR151" s="114"/>
      <c r="CS151" s="115"/>
      <c r="CT151" s="114"/>
      <c r="CU151" s="115"/>
      <c r="CV151" s="99">
        <f t="shared" si="17"/>
        <v>0</v>
      </c>
      <c r="CW151" s="114"/>
      <c r="CX151" s="115"/>
      <c r="CY151" s="114"/>
      <c r="CZ151" s="115"/>
      <c r="DA151" s="115"/>
      <c r="DB151" s="115"/>
      <c r="DC151" s="114"/>
      <c r="DD151" s="115"/>
      <c r="DE151" s="97"/>
      <c r="DF151" s="269"/>
      <c r="DG151" s="270"/>
      <c r="DH151" s="270"/>
      <c r="DI151" s="270"/>
      <c r="DJ151" s="270"/>
      <c r="DK151" s="270"/>
      <c r="DL151" s="270"/>
      <c r="DM151" s="270"/>
      <c r="DN151" s="270"/>
      <c r="DO151" s="270"/>
      <c r="DP151" s="270"/>
      <c r="DQ151" s="270"/>
      <c r="DR151" s="270"/>
      <c r="DS151" s="270"/>
      <c r="DT151" s="270"/>
      <c r="DU151" s="270"/>
      <c r="DV151" s="270"/>
      <c r="DW151" s="270"/>
      <c r="DX151" s="270"/>
      <c r="DY151" s="270"/>
      <c r="DZ151" s="270"/>
      <c r="EA151" s="270"/>
      <c r="EB151" s="270"/>
      <c r="EC151" s="270"/>
      <c r="ED151" s="270"/>
      <c r="EE151" s="270"/>
      <c r="EF151" s="270"/>
      <c r="EG151" s="270"/>
      <c r="EH151" s="270"/>
      <c r="EI151" s="270"/>
      <c r="EJ151" s="270"/>
      <c r="EK151" s="270"/>
      <c r="EL151" s="270"/>
      <c r="EM151" s="270"/>
      <c r="EN151" s="270"/>
      <c r="EO151" s="270"/>
      <c r="EP151" s="270"/>
      <c r="EQ151" s="270"/>
      <c r="ER151" s="270"/>
      <c r="ES151" s="270"/>
      <c r="ET151" s="270"/>
      <c r="EU151" s="270"/>
      <c r="EV151" s="270"/>
      <c r="EW151" s="270"/>
      <c r="EX151" s="270"/>
      <c r="EY151" s="270"/>
      <c r="EZ151" s="270"/>
      <c r="FA151" s="270"/>
      <c r="FB151" s="270"/>
      <c r="FC151" s="270"/>
      <c r="FD151" s="270"/>
      <c r="FE151" s="270"/>
      <c r="FF151" s="270"/>
      <c r="FG151" s="270"/>
      <c r="FH151" s="270"/>
      <c r="FI151" s="270"/>
      <c r="FJ151" s="270"/>
      <c r="FK151" s="270"/>
      <c r="FL151" s="270"/>
      <c r="FM151" s="270"/>
      <c r="FN151" s="270"/>
      <c r="FO151" s="270"/>
      <c r="FP151" s="270"/>
      <c r="FQ151" s="270"/>
      <c r="FR151" s="270"/>
      <c r="FS151" s="270"/>
      <c r="FT151" s="270"/>
      <c r="FU151" s="270"/>
      <c r="FV151" s="270"/>
      <c r="FW151" s="270"/>
      <c r="FX151" s="270"/>
      <c r="FY151" s="270"/>
      <c r="FZ151" s="270"/>
      <c r="GA151" s="270"/>
      <c r="GB151" s="270"/>
      <c r="GC151" s="270"/>
      <c r="GD151" s="270"/>
      <c r="GE151" s="270"/>
      <c r="GF151" s="270"/>
      <c r="GG151" s="270"/>
      <c r="GH151" s="270"/>
      <c r="GI151" s="270"/>
      <c r="GJ151" s="270"/>
      <c r="GK151" s="270"/>
      <c r="GL151" s="270"/>
      <c r="GM151" s="270"/>
      <c r="GN151" s="270"/>
      <c r="GO151" s="270"/>
      <c r="GP151" s="270"/>
      <c r="GQ151" s="270"/>
      <c r="GR151" s="270"/>
      <c r="GS151" s="270"/>
      <c r="GT151" s="270"/>
      <c r="GU151" s="270"/>
      <c r="GV151" s="270"/>
      <c r="GW151" s="270"/>
      <c r="GX151" s="270"/>
      <c r="GY151" s="270"/>
      <c r="GZ151" s="270"/>
      <c r="HA151" s="270"/>
      <c r="HB151" s="270"/>
      <c r="HC151" s="270"/>
      <c r="HD151" s="270"/>
      <c r="HE151" s="270"/>
      <c r="HF151" s="270"/>
      <c r="HG151" s="270"/>
      <c r="HH151" s="270"/>
      <c r="HI151" s="270"/>
      <c r="HJ151" s="270"/>
      <c r="HK151" s="270"/>
      <c r="HL151" s="270"/>
      <c r="HM151" s="270"/>
      <c r="HN151" s="270"/>
      <c r="HO151" s="270"/>
      <c r="HP151" s="270"/>
      <c r="HQ151" s="270"/>
      <c r="HR151" s="270"/>
      <c r="HS151" s="270"/>
      <c r="HT151" s="270"/>
      <c r="HU151" s="270"/>
      <c r="HV151" s="270"/>
      <c r="HW151" s="270"/>
      <c r="HX151" s="270"/>
      <c r="HY151" s="270"/>
      <c r="HZ151" s="270"/>
      <c r="IA151" s="270"/>
      <c r="IB151" s="270"/>
      <c r="IC151" s="270"/>
      <c r="ID151" s="270"/>
      <c r="IE151" s="270"/>
      <c r="IF151" s="270"/>
      <c r="IG151" s="270"/>
      <c r="IH151" s="270"/>
      <c r="II151" s="270"/>
      <c r="IJ151" s="270"/>
      <c r="IK151" s="270"/>
      <c r="IL151" s="270"/>
      <c r="IM151" s="270"/>
      <c r="IN151" s="270"/>
      <c r="IO151" s="270"/>
      <c r="IP151" s="270"/>
      <c r="IQ151" s="270"/>
      <c r="IR151" s="270"/>
      <c r="IS151" s="270"/>
      <c r="IT151" s="270"/>
      <c r="IU151" s="270"/>
    </row>
    <row r="152" spans="1:255" s="270" customFormat="1" ht="45" x14ac:dyDescent="0.2">
      <c r="A152" s="89">
        <v>40598</v>
      </c>
      <c r="B152" s="90" t="s">
        <v>4344</v>
      </c>
      <c r="C152" s="90" t="s">
        <v>2209</v>
      </c>
      <c r="D152" s="90" t="s">
        <v>4298</v>
      </c>
      <c r="E152" s="90" t="str">
        <f>VLOOKUP(B152&amp;C152,Divipola!$C$2:$F$1138,4,FALSE)</f>
        <v>25214</v>
      </c>
      <c r="F152" s="90"/>
      <c r="G152" s="101"/>
      <c r="H152" s="101"/>
      <c r="I152" s="101"/>
      <c r="J152" s="101"/>
      <c r="K152" s="101"/>
      <c r="L152" s="101"/>
      <c r="M152" s="101"/>
      <c r="N152" s="101"/>
      <c r="O152" s="101"/>
      <c r="P152" s="101"/>
      <c r="Q152" s="101"/>
      <c r="R152" s="101"/>
      <c r="S152" s="101"/>
      <c r="T152" s="101"/>
      <c r="U152" s="101"/>
      <c r="V152" s="101"/>
      <c r="W152" s="91" t="s">
        <v>4552</v>
      </c>
      <c r="X152" s="89"/>
      <c r="Y152" s="92">
        <f t="shared" si="12"/>
        <v>0</v>
      </c>
      <c r="Z152" s="92">
        <f t="shared" si="13"/>
        <v>0</v>
      </c>
      <c r="AA152" s="92">
        <f t="shared" si="14"/>
        <v>0</v>
      </c>
      <c r="AB152" s="92">
        <f t="shared" si="15"/>
        <v>0</v>
      </c>
      <c r="AC152" s="92"/>
      <c r="AD152" s="92">
        <v>0</v>
      </c>
      <c r="AE152" s="92">
        <f t="shared" si="16"/>
        <v>0</v>
      </c>
      <c r="AF152" s="93">
        <v>0</v>
      </c>
      <c r="AG152" s="89">
        <v>40602</v>
      </c>
      <c r="AH152" s="94"/>
      <c r="AI152" s="102" t="s">
        <v>4336</v>
      </c>
      <c r="AJ152" s="96" t="s">
        <v>4337</v>
      </c>
      <c r="AK152" s="97"/>
      <c r="AL152" s="89"/>
      <c r="AM152" s="100" t="s">
        <v>4551</v>
      </c>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114"/>
      <c r="CQ152" s="115"/>
      <c r="CR152" s="114"/>
      <c r="CS152" s="115"/>
      <c r="CT152" s="114"/>
      <c r="CU152" s="115"/>
      <c r="CV152" s="99">
        <f t="shared" si="17"/>
        <v>0</v>
      </c>
      <c r="CW152" s="114"/>
      <c r="CX152" s="115"/>
      <c r="CY152" s="114"/>
      <c r="CZ152" s="115"/>
      <c r="DA152" s="115"/>
      <c r="DB152" s="115"/>
      <c r="DC152" s="114"/>
      <c r="DD152" s="115"/>
      <c r="DE152" s="97"/>
      <c r="DF152" s="269"/>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row>
    <row r="153" spans="1:255" s="270" customFormat="1" ht="56.25" x14ac:dyDescent="0.2">
      <c r="A153" s="89">
        <v>40598</v>
      </c>
      <c r="B153" s="90" t="s">
        <v>4219</v>
      </c>
      <c r="C153" s="90" t="s">
        <v>3376</v>
      </c>
      <c r="D153" s="90" t="s">
        <v>3346</v>
      </c>
      <c r="E153" s="90" t="str">
        <f>VLOOKUP(B153&amp;C153,Divipola!$C$2:$F$1138,4,FALSE)</f>
        <v>41615</v>
      </c>
      <c r="F153" s="90"/>
      <c r="G153" s="101"/>
      <c r="H153" s="101"/>
      <c r="I153" s="101"/>
      <c r="J153" s="101">
        <f>99*5</f>
        <v>495</v>
      </c>
      <c r="K153" s="101">
        <v>99</v>
      </c>
      <c r="L153" s="101"/>
      <c r="M153" s="101"/>
      <c r="N153" s="101"/>
      <c r="O153" s="101"/>
      <c r="P153" s="101"/>
      <c r="Q153" s="101"/>
      <c r="R153" s="101"/>
      <c r="S153" s="101"/>
      <c r="T153" s="101"/>
      <c r="U153" s="101"/>
      <c r="V153" s="101"/>
      <c r="W153" s="91" t="s">
        <v>4555</v>
      </c>
      <c r="X153" s="89"/>
      <c r="Y153" s="92">
        <f t="shared" si="12"/>
        <v>0</v>
      </c>
      <c r="Z153" s="92">
        <f t="shared" si="13"/>
        <v>0</v>
      </c>
      <c r="AA153" s="92">
        <f t="shared" si="14"/>
        <v>0</v>
      </c>
      <c r="AB153" s="92">
        <f t="shared" si="15"/>
        <v>0</v>
      </c>
      <c r="AC153" s="92"/>
      <c r="AD153" s="92">
        <v>0</v>
      </c>
      <c r="AE153" s="92">
        <f t="shared" si="16"/>
        <v>0</v>
      </c>
      <c r="AF153" s="93">
        <v>0</v>
      </c>
      <c r="AG153" s="89">
        <v>40602</v>
      </c>
      <c r="AH153" s="94"/>
      <c r="AI153" s="95" t="s">
        <v>4336</v>
      </c>
      <c r="AJ153" s="96" t="s">
        <v>4337</v>
      </c>
      <c r="AK153" s="97"/>
      <c r="AL153" s="89"/>
      <c r="AM153" s="100" t="s">
        <v>4554</v>
      </c>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114"/>
      <c r="CQ153" s="115"/>
      <c r="CR153" s="114"/>
      <c r="CS153" s="115"/>
      <c r="CT153" s="114"/>
      <c r="CU153" s="115"/>
      <c r="CV153" s="99">
        <f t="shared" si="17"/>
        <v>0</v>
      </c>
      <c r="CW153" s="114"/>
      <c r="CX153" s="115"/>
      <c r="CY153" s="114"/>
      <c r="CZ153" s="115"/>
      <c r="DA153" s="115"/>
      <c r="DB153" s="115"/>
      <c r="DC153" s="114"/>
      <c r="DD153" s="115"/>
      <c r="DE153" s="97"/>
      <c r="DF153" s="269"/>
    </row>
    <row r="154" spans="1:255" s="270" customFormat="1" ht="60" x14ac:dyDescent="0.2">
      <c r="A154" s="89">
        <v>40598</v>
      </c>
      <c r="B154" s="90" t="s">
        <v>4387</v>
      </c>
      <c r="C154" s="90" t="s">
        <v>459</v>
      </c>
      <c r="D154" s="90" t="s">
        <v>2362</v>
      </c>
      <c r="E154" s="90" t="str">
        <f>VLOOKUP(B154&amp;C154,Divipola!$C$2:$F$1138,4,FALSE)</f>
        <v>52240</v>
      </c>
      <c r="F154" s="90"/>
      <c r="G154" s="101"/>
      <c r="H154" s="101"/>
      <c r="I154" s="101"/>
      <c r="J154" s="101">
        <v>286</v>
      </c>
      <c r="K154" s="101">
        <v>134</v>
      </c>
      <c r="L154" s="101">
        <v>1</v>
      </c>
      <c r="M154" s="101">
        <v>34</v>
      </c>
      <c r="N154" s="101">
        <v>3</v>
      </c>
      <c r="O154" s="101"/>
      <c r="P154" s="101"/>
      <c r="Q154" s="101"/>
      <c r="R154" s="101">
        <v>1</v>
      </c>
      <c r="S154" s="101"/>
      <c r="T154" s="101"/>
      <c r="U154" s="101"/>
      <c r="V154" s="101"/>
      <c r="W154" s="91"/>
      <c r="X154" s="105"/>
      <c r="Y154" s="92">
        <f t="shared" si="12"/>
        <v>0</v>
      </c>
      <c r="Z154" s="92">
        <f t="shared" si="13"/>
        <v>0</v>
      </c>
      <c r="AA154" s="92">
        <f t="shared" si="14"/>
        <v>0</v>
      </c>
      <c r="AB154" s="92">
        <f t="shared" si="15"/>
        <v>0</v>
      </c>
      <c r="AC154" s="92"/>
      <c r="AD154" s="92">
        <v>0</v>
      </c>
      <c r="AE154" s="92">
        <f t="shared" si="16"/>
        <v>0</v>
      </c>
      <c r="AF154" s="93">
        <v>0</v>
      </c>
      <c r="AG154" s="105"/>
      <c r="AH154" s="108"/>
      <c r="AI154" s="109" t="s">
        <v>4336</v>
      </c>
      <c r="AJ154" s="110" t="s">
        <v>4337</v>
      </c>
      <c r="AK154" s="111"/>
      <c r="AL154" s="105" t="s">
        <v>1069</v>
      </c>
      <c r="AM154" s="100" t="s">
        <v>4489</v>
      </c>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18"/>
      <c r="CO154" s="119"/>
      <c r="CP154" s="118"/>
      <c r="CQ154" s="119"/>
      <c r="CR154" s="118"/>
      <c r="CS154" s="119"/>
      <c r="CT154" s="113"/>
      <c r="CU154" s="118"/>
      <c r="CV154" s="99">
        <f t="shared" si="17"/>
        <v>0</v>
      </c>
      <c r="CW154" s="118"/>
      <c r="CX154" s="119"/>
      <c r="CY154" s="119"/>
      <c r="CZ154" s="119"/>
      <c r="DA154" s="118"/>
      <c r="DB154" s="119"/>
      <c r="DC154" s="111"/>
      <c r="DD154" s="119"/>
      <c r="DE154" s="111"/>
      <c r="DF154" s="269"/>
    </row>
    <row r="155" spans="1:255" s="270" customFormat="1" ht="24" x14ac:dyDescent="0.2">
      <c r="A155" s="89">
        <v>40599</v>
      </c>
      <c r="B155" s="90" t="s">
        <v>1116</v>
      </c>
      <c r="C155" s="90" t="s">
        <v>1116</v>
      </c>
      <c r="D155" s="90" t="s">
        <v>2362</v>
      </c>
      <c r="E155" s="90" t="str">
        <f>VLOOKUP(B155&amp;C155,Divipola!$C$2:$F$1138,4,FALSE)</f>
        <v>11001</v>
      </c>
      <c r="F155" s="90"/>
      <c r="G155" s="101"/>
      <c r="H155" s="101">
        <v>5</v>
      </c>
      <c r="I155" s="101"/>
      <c r="J155" s="101">
        <v>8</v>
      </c>
      <c r="K155" s="278">
        <v>3</v>
      </c>
      <c r="L155" s="101"/>
      <c r="M155" s="101"/>
      <c r="N155" s="101"/>
      <c r="O155" s="101"/>
      <c r="P155" s="101"/>
      <c r="Q155" s="101"/>
      <c r="R155" s="101"/>
      <c r="S155" s="101"/>
      <c r="T155" s="101"/>
      <c r="U155" s="101"/>
      <c r="V155" s="101"/>
      <c r="W155" s="91"/>
      <c r="X155" s="89"/>
      <c r="Y155" s="92">
        <f t="shared" si="12"/>
        <v>0</v>
      </c>
      <c r="Z155" s="92">
        <f t="shared" si="13"/>
        <v>0</v>
      </c>
      <c r="AA155" s="92">
        <f t="shared" si="14"/>
        <v>0</v>
      </c>
      <c r="AB155" s="92">
        <f t="shared" si="15"/>
        <v>0</v>
      </c>
      <c r="AC155" s="92"/>
      <c r="AD155" s="92">
        <v>0</v>
      </c>
      <c r="AE155" s="92">
        <f t="shared" si="16"/>
        <v>0</v>
      </c>
      <c r="AF155" s="93">
        <v>0</v>
      </c>
      <c r="AG155" s="89">
        <v>40624</v>
      </c>
      <c r="AH155" s="94"/>
      <c r="AI155" s="95" t="s">
        <v>4336</v>
      </c>
      <c r="AJ155" s="96" t="s">
        <v>4337</v>
      </c>
      <c r="AK155" s="97"/>
      <c r="AL155" s="89"/>
      <c r="AM155" s="103" t="s">
        <v>2179</v>
      </c>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114"/>
      <c r="CQ155" s="115"/>
      <c r="CR155" s="114"/>
      <c r="CS155" s="115"/>
      <c r="CT155" s="114"/>
      <c r="CU155" s="115"/>
      <c r="CV155" s="99">
        <f t="shared" si="17"/>
        <v>0</v>
      </c>
      <c r="CW155" s="114"/>
      <c r="CX155" s="115"/>
      <c r="CY155" s="114"/>
      <c r="CZ155" s="115"/>
      <c r="DA155" s="115"/>
      <c r="DB155" s="115"/>
      <c r="DC155" s="114"/>
      <c r="DD155" s="115"/>
      <c r="DE155" s="97"/>
      <c r="DF155" s="269"/>
    </row>
    <row r="156" spans="1:255" s="270" customFormat="1" ht="24" x14ac:dyDescent="0.2">
      <c r="A156" s="89">
        <v>40599</v>
      </c>
      <c r="B156" s="90" t="s">
        <v>2225</v>
      </c>
      <c r="C156" s="90" t="s">
        <v>3365</v>
      </c>
      <c r="D156" s="90" t="s">
        <v>4298</v>
      </c>
      <c r="E156" s="90" t="str">
        <f>VLOOKUP(B156&amp;C156,Divipola!$C$2:$F$1138,4,FALSE)</f>
        <v>27413</v>
      </c>
      <c r="F156" s="90"/>
      <c r="G156" s="101"/>
      <c r="H156" s="101"/>
      <c r="I156" s="101"/>
      <c r="J156" s="101">
        <v>25</v>
      </c>
      <c r="K156" s="101">
        <v>5</v>
      </c>
      <c r="L156" s="101">
        <v>5</v>
      </c>
      <c r="M156" s="101"/>
      <c r="N156" s="101"/>
      <c r="O156" s="101"/>
      <c r="P156" s="101"/>
      <c r="Q156" s="101"/>
      <c r="R156" s="101"/>
      <c r="S156" s="101"/>
      <c r="T156" s="101"/>
      <c r="U156" s="101">
        <v>1</v>
      </c>
      <c r="V156" s="101"/>
      <c r="W156" s="91"/>
      <c r="X156" s="89"/>
      <c r="Y156" s="92">
        <f t="shared" si="12"/>
        <v>0</v>
      </c>
      <c r="Z156" s="92">
        <f t="shared" si="13"/>
        <v>0</v>
      </c>
      <c r="AA156" s="92">
        <f t="shared" si="14"/>
        <v>0</v>
      </c>
      <c r="AB156" s="92">
        <f t="shared" si="15"/>
        <v>0</v>
      </c>
      <c r="AC156" s="92"/>
      <c r="AD156" s="92">
        <v>0</v>
      </c>
      <c r="AE156" s="92">
        <f t="shared" si="16"/>
        <v>0</v>
      </c>
      <c r="AF156" s="93">
        <v>0</v>
      </c>
      <c r="AG156" s="89">
        <v>40602</v>
      </c>
      <c r="AH156" s="94"/>
      <c r="AI156" s="95" t="s">
        <v>4336</v>
      </c>
      <c r="AJ156" s="96" t="s">
        <v>4337</v>
      </c>
      <c r="AK156" s="97"/>
      <c r="AL156" s="89"/>
      <c r="AM156" s="100" t="s">
        <v>4557</v>
      </c>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114"/>
      <c r="CQ156" s="115"/>
      <c r="CR156" s="114"/>
      <c r="CS156" s="115"/>
      <c r="CT156" s="114"/>
      <c r="CU156" s="115"/>
      <c r="CV156" s="99">
        <f t="shared" si="17"/>
        <v>0</v>
      </c>
      <c r="CW156" s="114"/>
      <c r="CX156" s="115"/>
      <c r="CY156" s="114"/>
      <c r="CZ156" s="115"/>
      <c r="DA156" s="115"/>
      <c r="DB156" s="115"/>
      <c r="DC156" s="114"/>
      <c r="DD156" s="115"/>
      <c r="DE156" s="97"/>
      <c r="DF156" s="269"/>
    </row>
    <row r="157" spans="1:255" s="270" customFormat="1" ht="36" x14ac:dyDescent="0.2">
      <c r="A157" s="89">
        <v>40599</v>
      </c>
      <c r="B157" s="90" t="s">
        <v>4344</v>
      </c>
      <c r="C157" s="90" t="s">
        <v>3468</v>
      </c>
      <c r="D157" s="90" t="s">
        <v>3346</v>
      </c>
      <c r="E157" s="90" t="str">
        <f>VLOOKUP(B157&amp;C157,Divipola!$C$2:$F$1138,4,FALSE)</f>
        <v>25524</v>
      </c>
      <c r="F157" s="90"/>
      <c r="G157" s="101"/>
      <c r="H157" s="101"/>
      <c r="I157" s="101"/>
      <c r="J157" s="101">
        <f>433-20-6</f>
        <v>407</v>
      </c>
      <c r="K157" s="101">
        <f>127-5</f>
        <v>122</v>
      </c>
      <c r="L157" s="101"/>
      <c r="M157" s="101">
        <v>122</v>
      </c>
      <c r="N157" s="101"/>
      <c r="O157" s="101"/>
      <c r="P157" s="101"/>
      <c r="Q157" s="101"/>
      <c r="R157" s="101"/>
      <c r="S157" s="101"/>
      <c r="T157" s="101"/>
      <c r="U157" s="101"/>
      <c r="V157" s="101"/>
      <c r="W157" s="91"/>
      <c r="X157" s="89"/>
      <c r="Y157" s="92">
        <f t="shared" si="12"/>
        <v>0</v>
      </c>
      <c r="Z157" s="92">
        <f t="shared" si="13"/>
        <v>0</v>
      </c>
      <c r="AA157" s="92">
        <f t="shared" si="14"/>
        <v>0</v>
      </c>
      <c r="AB157" s="92">
        <f t="shared" si="15"/>
        <v>0</v>
      </c>
      <c r="AC157" s="92"/>
      <c r="AD157" s="92">
        <v>0</v>
      </c>
      <c r="AE157" s="92">
        <f t="shared" si="16"/>
        <v>0</v>
      </c>
      <c r="AF157" s="93">
        <v>0</v>
      </c>
      <c r="AG157" s="89">
        <v>40602</v>
      </c>
      <c r="AH157" s="94"/>
      <c r="AI157" s="102" t="s">
        <v>4336</v>
      </c>
      <c r="AJ157" s="96" t="s">
        <v>4337</v>
      </c>
      <c r="AK157" s="97"/>
      <c r="AL157" s="89"/>
      <c r="AM157" s="100" t="s">
        <v>4553</v>
      </c>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114"/>
      <c r="CQ157" s="115"/>
      <c r="CR157" s="114"/>
      <c r="CS157" s="115"/>
      <c r="CT157" s="114"/>
      <c r="CU157" s="115"/>
      <c r="CV157" s="99">
        <f t="shared" si="17"/>
        <v>0</v>
      </c>
      <c r="CW157" s="114"/>
      <c r="CX157" s="115"/>
      <c r="CY157" s="114"/>
      <c r="CZ157" s="115"/>
      <c r="DA157" s="115"/>
      <c r="DB157" s="115"/>
      <c r="DC157" s="114"/>
      <c r="DD157" s="115"/>
      <c r="DE157" s="97"/>
      <c r="DF157" s="269"/>
    </row>
    <row r="158" spans="1:255" s="270" customFormat="1" ht="24" x14ac:dyDescent="0.2">
      <c r="A158" s="89">
        <v>40600</v>
      </c>
      <c r="B158" s="90" t="s">
        <v>3301</v>
      </c>
      <c r="C158" s="90" t="s">
        <v>4321</v>
      </c>
      <c r="D158" s="90" t="s">
        <v>4264</v>
      </c>
      <c r="E158" s="90" t="str">
        <f>VLOOKUP(B158&amp;C158,Divipola!$C$2:$F$1138,4,FALSE)</f>
        <v>81736</v>
      </c>
      <c r="F158" s="90"/>
      <c r="G158" s="101"/>
      <c r="H158" s="101"/>
      <c r="I158" s="101"/>
      <c r="J158" s="101">
        <f>420*5</f>
        <v>2100</v>
      </c>
      <c r="K158" s="101">
        <v>420</v>
      </c>
      <c r="L158" s="101">
        <v>10</v>
      </c>
      <c r="M158" s="101">
        <v>222</v>
      </c>
      <c r="N158" s="101">
        <v>4</v>
      </c>
      <c r="O158" s="101">
        <v>3</v>
      </c>
      <c r="P158" s="101"/>
      <c r="Q158" s="101"/>
      <c r="R158" s="101"/>
      <c r="S158" s="101"/>
      <c r="T158" s="101"/>
      <c r="U158" s="101"/>
      <c r="V158" s="101"/>
      <c r="W158" s="91"/>
      <c r="X158" s="89"/>
      <c r="Y158" s="92">
        <f t="shared" si="12"/>
        <v>0</v>
      </c>
      <c r="Z158" s="92">
        <f t="shared" si="13"/>
        <v>0</v>
      </c>
      <c r="AA158" s="92">
        <f t="shared" si="14"/>
        <v>0</v>
      </c>
      <c r="AB158" s="92">
        <f t="shared" si="15"/>
        <v>0</v>
      </c>
      <c r="AC158" s="92"/>
      <c r="AD158" s="92">
        <v>0</v>
      </c>
      <c r="AE158" s="92">
        <f t="shared" si="16"/>
        <v>0</v>
      </c>
      <c r="AF158" s="93">
        <v>0</v>
      </c>
      <c r="AG158" s="89">
        <v>40602</v>
      </c>
      <c r="AH158" s="94"/>
      <c r="AI158" s="95" t="s">
        <v>4346</v>
      </c>
      <c r="AJ158" s="96" t="s">
        <v>4347</v>
      </c>
      <c r="AK158" s="97"/>
      <c r="AL158" s="105" t="s">
        <v>2798</v>
      </c>
      <c r="AM158" s="100" t="s">
        <v>4559</v>
      </c>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114"/>
      <c r="CQ158" s="115"/>
      <c r="CR158" s="114"/>
      <c r="CS158" s="115"/>
      <c r="CT158" s="114"/>
      <c r="CU158" s="115"/>
      <c r="CV158" s="99">
        <f t="shared" si="17"/>
        <v>0</v>
      </c>
      <c r="CW158" s="114"/>
      <c r="CX158" s="115"/>
      <c r="CY158" s="114"/>
      <c r="CZ158" s="115"/>
      <c r="DA158" s="115"/>
      <c r="DB158" s="115"/>
      <c r="DC158" s="114"/>
      <c r="DD158" s="115"/>
      <c r="DE158" s="97"/>
      <c r="DF158" s="269"/>
    </row>
    <row r="159" spans="1:255" s="270" customFormat="1" x14ac:dyDescent="0.2">
      <c r="A159" s="89">
        <v>40600</v>
      </c>
      <c r="B159" s="90" t="s">
        <v>3533</v>
      </c>
      <c r="C159" s="90" t="s">
        <v>2244</v>
      </c>
      <c r="D159" s="90" t="s">
        <v>3346</v>
      </c>
      <c r="E159" s="90" t="str">
        <f>VLOOKUP(B159&amp;C159,Divipola!$C$2:$F$1138,4,FALSE)</f>
        <v>17042</v>
      </c>
      <c r="F159" s="90"/>
      <c r="G159" s="101"/>
      <c r="H159" s="101"/>
      <c r="I159" s="101"/>
      <c r="J159" s="101">
        <v>250</v>
      </c>
      <c r="K159" s="101">
        <v>50</v>
      </c>
      <c r="L159" s="101"/>
      <c r="M159" s="101">
        <v>50</v>
      </c>
      <c r="N159" s="101"/>
      <c r="O159" s="101"/>
      <c r="P159" s="101"/>
      <c r="Q159" s="101"/>
      <c r="R159" s="101"/>
      <c r="S159" s="101"/>
      <c r="T159" s="101"/>
      <c r="U159" s="101"/>
      <c r="V159" s="101"/>
      <c r="W159" s="91"/>
      <c r="X159" s="89"/>
      <c r="Y159" s="92">
        <f t="shared" si="12"/>
        <v>0</v>
      </c>
      <c r="Z159" s="92">
        <f t="shared" si="13"/>
        <v>0</v>
      </c>
      <c r="AA159" s="92">
        <f t="shared" si="14"/>
        <v>0</v>
      </c>
      <c r="AB159" s="92">
        <f t="shared" si="15"/>
        <v>0</v>
      </c>
      <c r="AC159" s="92"/>
      <c r="AD159" s="92">
        <v>0</v>
      </c>
      <c r="AE159" s="92">
        <f t="shared" si="16"/>
        <v>0</v>
      </c>
      <c r="AF159" s="93">
        <v>0</v>
      </c>
      <c r="AG159" s="89">
        <v>40602</v>
      </c>
      <c r="AH159" s="94"/>
      <c r="AI159" s="95" t="s">
        <v>4336</v>
      </c>
      <c r="AJ159" s="96" t="s">
        <v>4337</v>
      </c>
      <c r="AK159" s="97"/>
      <c r="AL159" s="89"/>
      <c r="AM159" s="100" t="s">
        <v>3452</v>
      </c>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114"/>
      <c r="CQ159" s="115"/>
      <c r="CR159" s="114"/>
      <c r="CS159" s="115"/>
      <c r="CT159" s="114"/>
      <c r="CU159" s="115"/>
      <c r="CV159" s="99">
        <f t="shared" si="17"/>
        <v>0</v>
      </c>
      <c r="CW159" s="114"/>
      <c r="CX159" s="115"/>
      <c r="CY159" s="114"/>
      <c r="CZ159" s="115"/>
      <c r="DA159" s="115"/>
      <c r="DB159" s="115"/>
      <c r="DC159" s="114"/>
      <c r="DD159" s="115"/>
      <c r="DE159" s="97"/>
      <c r="DF159" s="269"/>
    </row>
    <row r="160" spans="1:255" s="270" customFormat="1" ht="36" x14ac:dyDescent="0.2">
      <c r="A160" s="89">
        <v>40600</v>
      </c>
      <c r="B160" s="90" t="s">
        <v>3533</v>
      </c>
      <c r="C160" s="90" t="s">
        <v>862</v>
      </c>
      <c r="D160" s="90" t="s">
        <v>4264</v>
      </c>
      <c r="E160" s="90" t="str">
        <f>VLOOKUP(B160&amp;C160,Divipola!$C$2:$F$1138,4,FALSE)</f>
        <v>17001</v>
      </c>
      <c r="F160" s="90"/>
      <c r="G160" s="101">
        <v>1</v>
      </c>
      <c r="H160" s="101"/>
      <c r="I160" s="101">
        <v>1</v>
      </c>
      <c r="J160" s="101">
        <f>92*5</f>
        <v>460</v>
      </c>
      <c r="K160" s="101">
        <f>23+69</f>
        <v>92</v>
      </c>
      <c r="L160" s="101"/>
      <c r="M160" s="101">
        <v>23</v>
      </c>
      <c r="N160" s="101"/>
      <c r="O160" s="101"/>
      <c r="P160" s="101"/>
      <c r="Q160" s="101"/>
      <c r="R160" s="101"/>
      <c r="S160" s="101"/>
      <c r="T160" s="101"/>
      <c r="U160" s="101"/>
      <c r="V160" s="101"/>
      <c r="W160" s="91"/>
      <c r="X160" s="89"/>
      <c r="Y160" s="92">
        <f t="shared" si="12"/>
        <v>0</v>
      </c>
      <c r="Z160" s="92">
        <f t="shared" si="13"/>
        <v>0</v>
      </c>
      <c r="AA160" s="92">
        <f t="shared" si="14"/>
        <v>0</v>
      </c>
      <c r="AB160" s="92">
        <f t="shared" si="15"/>
        <v>0</v>
      </c>
      <c r="AC160" s="92"/>
      <c r="AD160" s="92">
        <v>0</v>
      </c>
      <c r="AE160" s="92">
        <f t="shared" si="16"/>
        <v>0</v>
      </c>
      <c r="AF160" s="93">
        <v>0</v>
      </c>
      <c r="AG160" s="89">
        <v>40602</v>
      </c>
      <c r="AH160" s="94"/>
      <c r="AI160" s="95" t="s">
        <v>4336</v>
      </c>
      <c r="AJ160" s="96" t="s">
        <v>4337</v>
      </c>
      <c r="AK160" s="97"/>
      <c r="AL160" s="89"/>
      <c r="AM160" s="100" t="s">
        <v>4561</v>
      </c>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114"/>
      <c r="CQ160" s="115"/>
      <c r="CR160" s="114"/>
      <c r="CS160" s="115"/>
      <c r="CT160" s="114"/>
      <c r="CU160" s="115"/>
      <c r="CV160" s="99">
        <f t="shared" si="17"/>
        <v>0</v>
      </c>
      <c r="CW160" s="114"/>
      <c r="CX160" s="115"/>
      <c r="CY160" s="114"/>
      <c r="CZ160" s="115"/>
      <c r="DA160" s="115"/>
      <c r="DB160" s="115"/>
      <c r="DC160" s="114"/>
      <c r="DD160" s="115"/>
      <c r="DE160" s="97"/>
      <c r="DF160" s="269"/>
    </row>
    <row r="161" spans="1:110" s="270" customFormat="1" x14ac:dyDescent="0.2">
      <c r="A161" s="89">
        <v>40600</v>
      </c>
      <c r="B161" s="90" t="s">
        <v>4387</v>
      </c>
      <c r="C161" s="90" t="s">
        <v>847</v>
      </c>
      <c r="D161" s="90" t="s">
        <v>2362</v>
      </c>
      <c r="E161" s="90" t="str">
        <f>VLOOKUP(B161&amp;C161,Divipola!$C$2:$F$1138,4,FALSE)</f>
        <v>52110</v>
      </c>
      <c r="F161" s="90"/>
      <c r="G161" s="101"/>
      <c r="H161" s="101">
        <v>1</v>
      </c>
      <c r="I161" s="101"/>
      <c r="J161" s="101">
        <v>1810</v>
      </c>
      <c r="K161" s="101">
        <v>887</v>
      </c>
      <c r="L161" s="101">
        <v>100</v>
      </c>
      <c r="M161" s="101">
        <v>787</v>
      </c>
      <c r="N161" s="101"/>
      <c r="O161" s="101"/>
      <c r="P161" s="101"/>
      <c r="Q161" s="101"/>
      <c r="R161" s="101"/>
      <c r="S161" s="101"/>
      <c r="T161" s="101"/>
      <c r="U161" s="101"/>
      <c r="V161" s="101"/>
      <c r="W161" s="91"/>
      <c r="X161" s="89"/>
      <c r="Y161" s="92">
        <f t="shared" si="12"/>
        <v>0</v>
      </c>
      <c r="Z161" s="92">
        <f t="shared" si="13"/>
        <v>0</v>
      </c>
      <c r="AA161" s="92">
        <f t="shared" si="14"/>
        <v>0</v>
      </c>
      <c r="AB161" s="92">
        <f t="shared" si="15"/>
        <v>0</v>
      </c>
      <c r="AC161" s="92"/>
      <c r="AD161" s="92">
        <v>0</v>
      </c>
      <c r="AE161" s="92">
        <f t="shared" si="16"/>
        <v>0</v>
      </c>
      <c r="AF161" s="93">
        <v>0</v>
      </c>
      <c r="AG161" s="89">
        <v>40606</v>
      </c>
      <c r="AH161" s="94"/>
      <c r="AI161" s="95" t="s">
        <v>4336</v>
      </c>
      <c r="AJ161" s="96" t="s">
        <v>4337</v>
      </c>
      <c r="AK161" s="97"/>
      <c r="AL161" s="89"/>
      <c r="AM161" s="100" t="s">
        <v>3235</v>
      </c>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114"/>
      <c r="CQ161" s="115"/>
      <c r="CR161" s="114"/>
      <c r="CS161" s="115"/>
      <c r="CT161" s="114"/>
      <c r="CU161" s="115"/>
      <c r="CV161" s="99">
        <f t="shared" si="17"/>
        <v>0</v>
      </c>
      <c r="CW161" s="114"/>
      <c r="CX161" s="115"/>
      <c r="CY161" s="114"/>
      <c r="CZ161" s="115"/>
      <c r="DA161" s="115"/>
      <c r="DB161" s="115"/>
      <c r="DC161" s="114"/>
      <c r="DD161" s="115"/>
      <c r="DE161" s="97"/>
      <c r="DF161" s="269"/>
    </row>
    <row r="162" spans="1:110" s="270" customFormat="1" ht="36" x14ac:dyDescent="0.2">
      <c r="A162" s="89">
        <v>40600</v>
      </c>
      <c r="B162" s="90" t="s">
        <v>4350</v>
      </c>
      <c r="C162" s="90" t="s">
        <v>4351</v>
      </c>
      <c r="D162" s="90" t="s">
        <v>4298</v>
      </c>
      <c r="E162" s="90" t="str">
        <f>VLOOKUP(B162&amp;C162,Divipola!$C$2:$F$1138,4,FALSE)</f>
        <v>63001</v>
      </c>
      <c r="F162" s="90"/>
      <c r="G162" s="101"/>
      <c r="H162" s="101">
        <v>2</v>
      </c>
      <c r="I162" s="101"/>
      <c r="J162" s="101"/>
      <c r="K162" s="101"/>
      <c r="L162" s="101"/>
      <c r="M162" s="101"/>
      <c r="N162" s="101"/>
      <c r="O162" s="101"/>
      <c r="P162" s="101"/>
      <c r="Q162" s="101"/>
      <c r="R162" s="101"/>
      <c r="S162" s="101"/>
      <c r="T162" s="101"/>
      <c r="U162" s="101">
        <v>1</v>
      </c>
      <c r="V162" s="101"/>
      <c r="W162" s="91"/>
      <c r="X162" s="89"/>
      <c r="Y162" s="92">
        <f t="shared" si="12"/>
        <v>0</v>
      </c>
      <c r="Z162" s="92">
        <f t="shared" si="13"/>
        <v>0</v>
      </c>
      <c r="AA162" s="92">
        <f t="shared" si="14"/>
        <v>0</v>
      </c>
      <c r="AB162" s="92">
        <f t="shared" si="15"/>
        <v>0</v>
      </c>
      <c r="AC162" s="92"/>
      <c r="AD162" s="92">
        <v>0</v>
      </c>
      <c r="AE162" s="92">
        <f t="shared" si="16"/>
        <v>0</v>
      </c>
      <c r="AF162" s="93">
        <v>0</v>
      </c>
      <c r="AG162" s="89">
        <v>40602</v>
      </c>
      <c r="AH162" s="94"/>
      <c r="AI162" s="95" t="s">
        <v>4336</v>
      </c>
      <c r="AJ162" s="96" t="s">
        <v>4337</v>
      </c>
      <c r="AK162" s="97"/>
      <c r="AL162" s="89"/>
      <c r="AM162" s="100" t="s">
        <v>4558</v>
      </c>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114"/>
      <c r="CQ162" s="115"/>
      <c r="CR162" s="114"/>
      <c r="CS162" s="115"/>
      <c r="CT162" s="114"/>
      <c r="CU162" s="115"/>
      <c r="CV162" s="99">
        <f t="shared" si="17"/>
        <v>0</v>
      </c>
      <c r="CW162" s="114"/>
      <c r="CX162" s="115"/>
      <c r="CY162" s="114"/>
      <c r="CZ162" s="115"/>
      <c r="DA162" s="115"/>
      <c r="DB162" s="115"/>
      <c r="DC162" s="114"/>
      <c r="DD162" s="115"/>
      <c r="DE162" s="97"/>
      <c r="DF162" s="269"/>
    </row>
    <row r="163" spans="1:110" s="270" customFormat="1" ht="36" x14ac:dyDescent="0.2">
      <c r="A163" s="89">
        <v>40601</v>
      </c>
      <c r="B163" s="90" t="s">
        <v>4352</v>
      </c>
      <c r="C163" s="90" t="s">
        <v>4329</v>
      </c>
      <c r="D163" s="90" t="s">
        <v>3346</v>
      </c>
      <c r="E163" s="90" t="str">
        <f>VLOOKUP(B163&amp;C163,Divipola!$C$2:$F$1138,4,FALSE)</f>
        <v>13430</v>
      </c>
      <c r="F163" s="90"/>
      <c r="G163" s="101"/>
      <c r="H163" s="101"/>
      <c r="I163" s="101"/>
      <c r="J163" s="101">
        <f>1077*5</f>
        <v>5385</v>
      </c>
      <c r="K163" s="101">
        <v>1077</v>
      </c>
      <c r="L163" s="101">
        <v>5</v>
      </c>
      <c r="M163" s="101">
        <v>122</v>
      </c>
      <c r="N163" s="101"/>
      <c r="O163" s="101"/>
      <c r="P163" s="101"/>
      <c r="Q163" s="101"/>
      <c r="R163" s="101"/>
      <c r="S163" s="101"/>
      <c r="T163" s="101"/>
      <c r="U163" s="101"/>
      <c r="V163" s="101"/>
      <c r="W163" s="91"/>
      <c r="X163" s="89"/>
      <c r="Y163" s="92">
        <f t="shared" si="12"/>
        <v>0</v>
      </c>
      <c r="Z163" s="92">
        <f t="shared" si="13"/>
        <v>0</v>
      </c>
      <c r="AA163" s="92">
        <f t="shared" si="14"/>
        <v>0</v>
      </c>
      <c r="AB163" s="92">
        <f t="shared" si="15"/>
        <v>0</v>
      </c>
      <c r="AC163" s="92"/>
      <c r="AD163" s="92">
        <v>0</v>
      </c>
      <c r="AE163" s="92">
        <f t="shared" si="16"/>
        <v>0</v>
      </c>
      <c r="AF163" s="93">
        <v>0</v>
      </c>
      <c r="AG163" s="89">
        <v>40606</v>
      </c>
      <c r="AH163" s="94"/>
      <c r="AI163" s="95" t="s">
        <v>4336</v>
      </c>
      <c r="AJ163" s="96" t="s">
        <v>4337</v>
      </c>
      <c r="AK163" s="97"/>
      <c r="AL163" s="89"/>
      <c r="AM163" s="100" t="s">
        <v>3231</v>
      </c>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114"/>
      <c r="CQ163" s="115"/>
      <c r="CR163" s="114"/>
      <c r="CS163" s="115"/>
      <c r="CT163" s="114"/>
      <c r="CU163" s="115"/>
      <c r="CV163" s="99">
        <f t="shared" si="17"/>
        <v>0</v>
      </c>
      <c r="CW163" s="114"/>
      <c r="CX163" s="115"/>
      <c r="CY163" s="114"/>
      <c r="CZ163" s="115"/>
      <c r="DA163" s="115"/>
      <c r="DB163" s="115"/>
      <c r="DC163" s="114"/>
      <c r="DD163" s="115"/>
      <c r="DE163" s="97"/>
      <c r="DF163" s="269"/>
    </row>
    <row r="164" spans="1:110" s="270" customFormat="1" ht="22.5" x14ac:dyDescent="0.2">
      <c r="A164" s="89">
        <v>40601</v>
      </c>
      <c r="B164" s="90" t="s">
        <v>4263</v>
      </c>
      <c r="C164" s="90" t="s">
        <v>123</v>
      </c>
      <c r="D164" s="90" t="s">
        <v>3346</v>
      </c>
      <c r="E164" s="90" t="str">
        <f>VLOOKUP(B164&amp;C164,Divipola!$C$2:$F$1138,4,FALSE)</f>
        <v>86573</v>
      </c>
      <c r="F164" s="90"/>
      <c r="G164" s="101"/>
      <c r="H164" s="101"/>
      <c r="I164" s="101"/>
      <c r="J164" s="101">
        <v>20</v>
      </c>
      <c r="K164" s="101">
        <v>4</v>
      </c>
      <c r="L164" s="101"/>
      <c r="M164" s="101">
        <v>4</v>
      </c>
      <c r="N164" s="101"/>
      <c r="O164" s="101"/>
      <c r="P164" s="101"/>
      <c r="Q164" s="101"/>
      <c r="R164" s="101"/>
      <c r="S164" s="101"/>
      <c r="T164" s="101"/>
      <c r="U164" s="101"/>
      <c r="V164" s="101"/>
      <c r="W164" s="91"/>
      <c r="X164" s="89"/>
      <c r="Y164" s="92">
        <f t="shared" si="12"/>
        <v>0</v>
      </c>
      <c r="Z164" s="92">
        <f t="shared" si="13"/>
        <v>0</v>
      </c>
      <c r="AA164" s="92">
        <f t="shared" si="14"/>
        <v>0</v>
      </c>
      <c r="AB164" s="92">
        <f t="shared" si="15"/>
        <v>0</v>
      </c>
      <c r="AC164" s="92"/>
      <c r="AD164" s="92">
        <v>0</v>
      </c>
      <c r="AE164" s="92">
        <f t="shared" si="16"/>
        <v>0</v>
      </c>
      <c r="AF164" s="93">
        <v>0</v>
      </c>
      <c r="AG164" s="89">
        <v>40602</v>
      </c>
      <c r="AH164" s="94"/>
      <c r="AI164" s="95" t="s">
        <v>4336</v>
      </c>
      <c r="AJ164" s="96" t="s">
        <v>4337</v>
      </c>
      <c r="AK164" s="97"/>
      <c r="AL164" s="89"/>
      <c r="AM164" s="100" t="s">
        <v>3228</v>
      </c>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114"/>
      <c r="CQ164" s="115"/>
      <c r="CR164" s="114"/>
      <c r="CS164" s="115"/>
      <c r="CT164" s="114"/>
      <c r="CU164" s="115"/>
      <c r="CV164" s="99">
        <f t="shared" si="17"/>
        <v>0</v>
      </c>
      <c r="CW164" s="114"/>
      <c r="CX164" s="115"/>
      <c r="CY164" s="114"/>
      <c r="CZ164" s="115"/>
      <c r="DA164" s="115"/>
      <c r="DB164" s="115"/>
      <c r="DC164" s="114"/>
      <c r="DD164" s="115"/>
      <c r="DE164" s="97"/>
      <c r="DF164" s="269"/>
    </row>
    <row r="165" spans="1:110" s="270" customFormat="1" ht="24" x14ac:dyDescent="0.2">
      <c r="A165" s="89">
        <v>40601</v>
      </c>
      <c r="B165" s="90" t="s">
        <v>4350</v>
      </c>
      <c r="C165" s="90" t="s">
        <v>3535</v>
      </c>
      <c r="D165" s="90" t="s">
        <v>4264</v>
      </c>
      <c r="E165" s="90" t="str">
        <f>VLOOKUP(B165&amp;C165,Divipola!$C$2:$F$1138,4,FALSE)</f>
        <v>63130</v>
      </c>
      <c r="F165" s="90"/>
      <c r="G165" s="101">
        <v>1</v>
      </c>
      <c r="H165" s="101"/>
      <c r="I165" s="101"/>
      <c r="J165" s="101"/>
      <c r="K165" s="101"/>
      <c r="L165" s="101"/>
      <c r="M165" s="101"/>
      <c r="N165" s="101"/>
      <c r="O165" s="101"/>
      <c r="P165" s="101"/>
      <c r="Q165" s="101"/>
      <c r="R165" s="101"/>
      <c r="S165" s="101"/>
      <c r="T165" s="101"/>
      <c r="U165" s="101"/>
      <c r="V165" s="101"/>
      <c r="W165" s="91"/>
      <c r="X165" s="89"/>
      <c r="Y165" s="92">
        <f t="shared" si="12"/>
        <v>0</v>
      </c>
      <c r="Z165" s="92">
        <f t="shared" si="13"/>
        <v>0</v>
      </c>
      <c r="AA165" s="92">
        <f t="shared" si="14"/>
        <v>0</v>
      </c>
      <c r="AB165" s="92">
        <f t="shared" si="15"/>
        <v>0</v>
      </c>
      <c r="AC165" s="92"/>
      <c r="AD165" s="92">
        <v>0</v>
      </c>
      <c r="AE165" s="92">
        <f t="shared" si="16"/>
        <v>0</v>
      </c>
      <c r="AF165" s="93">
        <v>0</v>
      </c>
      <c r="AG165" s="89"/>
      <c r="AH165" s="94"/>
      <c r="AI165" s="95" t="s">
        <v>4336</v>
      </c>
      <c r="AJ165" s="96" t="s">
        <v>4337</v>
      </c>
      <c r="AK165" s="97"/>
      <c r="AL165" s="89"/>
      <c r="AM165" s="100" t="s">
        <v>3561</v>
      </c>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114"/>
      <c r="CQ165" s="115"/>
      <c r="CR165" s="114"/>
      <c r="CS165" s="115"/>
      <c r="CT165" s="114"/>
      <c r="CU165" s="115"/>
      <c r="CV165" s="99">
        <f t="shared" si="17"/>
        <v>0</v>
      </c>
      <c r="CW165" s="114"/>
      <c r="CX165" s="115"/>
      <c r="CY165" s="114"/>
      <c r="CZ165" s="115"/>
      <c r="DA165" s="115"/>
      <c r="DB165" s="115"/>
      <c r="DC165" s="114"/>
      <c r="DD165" s="115"/>
      <c r="DE165" s="97"/>
      <c r="DF165" s="269"/>
    </row>
    <row r="166" spans="1:110" s="270" customFormat="1" x14ac:dyDescent="0.2">
      <c r="A166" s="89">
        <v>40601</v>
      </c>
      <c r="B166" s="90" t="s">
        <v>4348</v>
      </c>
      <c r="C166" s="90" t="s">
        <v>3304</v>
      </c>
      <c r="D166" s="90" t="s">
        <v>3346</v>
      </c>
      <c r="E166" s="90" t="str">
        <f>VLOOKUP(B166&amp;C166,Divipola!$C$2:$F$1138,4,FALSE)</f>
        <v>66440</v>
      </c>
      <c r="F166" s="90"/>
      <c r="G166" s="101"/>
      <c r="H166" s="101"/>
      <c r="I166" s="101"/>
      <c r="J166" s="101">
        <v>225</v>
      </c>
      <c r="K166" s="101">
        <v>45</v>
      </c>
      <c r="L166" s="101"/>
      <c r="M166" s="101">
        <v>45</v>
      </c>
      <c r="N166" s="101"/>
      <c r="O166" s="101"/>
      <c r="P166" s="101"/>
      <c r="Q166" s="101"/>
      <c r="R166" s="101"/>
      <c r="S166" s="101"/>
      <c r="T166" s="101"/>
      <c r="U166" s="101"/>
      <c r="V166" s="101"/>
      <c r="W166" s="91"/>
      <c r="X166" s="89"/>
      <c r="Y166" s="92">
        <f t="shared" si="12"/>
        <v>0</v>
      </c>
      <c r="Z166" s="92">
        <f t="shared" si="13"/>
        <v>0</v>
      </c>
      <c r="AA166" s="92">
        <f t="shared" si="14"/>
        <v>0</v>
      </c>
      <c r="AB166" s="92">
        <f t="shared" si="15"/>
        <v>0</v>
      </c>
      <c r="AC166" s="92"/>
      <c r="AD166" s="92">
        <v>0</v>
      </c>
      <c r="AE166" s="92">
        <f t="shared" si="16"/>
        <v>0</v>
      </c>
      <c r="AF166" s="93">
        <v>0</v>
      </c>
      <c r="AG166" s="89">
        <v>40606</v>
      </c>
      <c r="AH166" s="94"/>
      <c r="AI166" s="95" t="s">
        <v>4336</v>
      </c>
      <c r="AJ166" s="96" t="s">
        <v>4337</v>
      </c>
      <c r="AK166" s="97"/>
      <c r="AL166" s="89"/>
      <c r="AM166" s="100" t="s">
        <v>3452</v>
      </c>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114"/>
      <c r="CQ166" s="115"/>
      <c r="CR166" s="114"/>
      <c r="CS166" s="115"/>
      <c r="CT166" s="114"/>
      <c r="CU166" s="115"/>
      <c r="CV166" s="99">
        <f t="shared" si="17"/>
        <v>0</v>
      </c>
      <c r="CW166" s="114"/>
      <c r="CX166" s="115"/>
      <c r="CY166" s="114"/>
      <c r="CZ166" s="115"/>
      <c r="DA166" s="115"/>
      <c r="DB166" s="115"/>
      <c r="DC166" s="114"/>
      <c r="DD166" s="115"/>
      <c r="DE166" s="97"/>
      <c r="DF166" s="269"/>
    </row>
    <row r="167" spans="1:110" s="270" customFormat="1" ht="22.5" x14ac:dyDescent="0.2">
      <c r="A167" s="89">
        <v>40602</v>
      </c>
      <c r="B167" s="90" t="s">
        <v>4387</v>
      </c>
      <c r="C167" s="90" t="s">
        <v>848</v>
      </c>
      <c r="D167" s="90" t="s">
        <v>2362</v>
      </c>
      <c r="E167" s="90" t="str">
        <f>VLOOKUP(B167&amp;C167,Divipola!$C$2:$F$1138,4,FALSE)</f>
        <v>52019</v>
      </c>
      <c r="F167" s="90"/>
      <c r="G167" s="101"/>
      <c r="H167" s="101"/>
      <c r="I167" s="101"/>
      <c r="J167" s="101">
        <v>522</v>
      </c>
      <c r="K167" s="101">
        <v>161</v>
      </c>
      <c r="L167" s="101">
        <v>63</v>
      </c>
      <c r="M167" s="101">
        <v>98</v>
      </c>
      <c r="N167" s="101"/>
      <c r="O167" s="101"/>
      <c r="P167" s="101"/>
      <c r="Q167" s="101"/>
      <c r="R167" s="101"/>
      <c r="S167" s="101"/>
      <c r="T167" s="101"/>
      <c r="U167" s="101"/>
      <c r="V167" s="101"/>
      <c r="W167" s="91"/>
      <c r="X167" s="105"/>
      <c r="Y167" s="92">
        <f t="shared" si="12"/>
        <v>0</v>
      </c>
      <c r="Z167" s="92">
        <f t="shared" si="13"/>
        <v>0</v>
      </c>
      <c r="AA167" s="92">
        <f t="shared" si="14"/>
        <v>0</v>
      </c>
      <c r="AB167" s="92">
        <f t="shared" si="15"/>
        <v>0</v>
      </c>
      <c r="AC167" s="92"/>
      <c r="AD167" s="92">
        <v>0</v>
      </c>
      <c r="AE167" s="92">
        <f t="shared" si="16"/>
        <v>0</v>
      </c>
      <c r="AF167" s="93">
        <v>0</v>
      </c>
      <c r="AG167" s="105"/>
      <c r="AH167" s="108"/>
      <c r="AI167" s="109" t="s">
        <v>4336</v>
      </c>
      <c r="AJ167" s="110" t="s">
        <v>4337</v>
      </c>
      <c r="AK167" s="111"/>
      <c r="AL167" s="105" t="s">
        <v>1069</v>
      </c>
      <c r="AM167" s="100"/>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18"/>
      <c r="CO167" s="119"/>
      <c r="CP167" s="118"/>
      <c r="CQ167" s="119"/>
      <c r="CR167" s="118"/>
      <c r="CS167" s="119"/>
      <c r="CT167" s="113"/>
      <c r="CU167" s="118"/>
      <c r="CV167" s="99">
        <f t="shared" si="17"/>
        <v>0</v>
      </c>
      <c r="CW167" s="118"/>
      <c r="CX167" s="119"/>
      <c r="CY167" s="119"/>
      <c r="CZ167" s="119"/>
      <c r="DA167" s="118"/>
      <c r="DB167" s="119"/>
      <c r="DC167" s="111"/>
      <c r="DD167" s="119"/>
      <c r="DE167" s="111"/>
      <c r="DF167" s="269"/>
    </row>
    <row r="168" spans="1:110" s="270" customFormat="1" ht="22.5" x14ac:dyDescent="0.2">
      <c r="A168" s="89">
        <v>40602</v>
      </c>
      <c r="B168" s="90" t="s">
        <v>4387</v>
      </c>
      <c r="C168" s="90" t="s">
        <v>464</v>
      </c>
      <c r="D168" s="90" t="s">
        <v>2362</v>
      </c>
      <c r="E168" s="90" t="str">
        <f>VLOOKUP(B168&amp;C168,Divipola!$C$2:$F$1138,4,FALSE)</f>
        <v>52254</v>
      </c>
      <c r="F168" s="90"/>
      <c r="G168" s="101"/>
      <c r="H168" s="101"/>
      <c r="I168" s="101"/>
      <c r="J168" s="101">
        <v>709</v>
      </c>
      <c r="K168" s="101">
        <v>197</v>
      </c>
      <c r="L168" s="101">
        <v>1</v>
      </c>
      <c r="M168" s="101">
        <v>136</v>
      </c>
      <c r="N168" s="101"/>
      <c r="O168" s="101"/>
      <c r="P168" s="101"/>
      <c r="Q168" s="101"/>
      <c r="R168" s="101"/>
      <c r="S168" s="101"/>
      <c r="T168" s="101"/>
      <c r="U168" s="101"/>
      <c r="V168" s="101">
        <v>530</v>
      </c>
      <c r="W168" s="91"/>
      <c r="X168" s="105"/>
      <c r="Y168" s="92">
        <f t="shared" si="12"/>
        <v>0</v>
      </c>
      <c r="Z168" s="92">
        <f t="shared" si="13"/>
        <v>0</v>
      </c>
      <c r="AA168" s="92">
        <f t="shared" si="14"/>
        <v>0</v>
      </c>
      <c r="AB168" s="92">
        <f t="shared" si="15"/>
        <v>0</v>
      </c>
      <c r="AC168" s="92"/>
      <c r="AD168" s="92">
        <v>0</v>
      </c>
      <c r="AE168" s="92">
        <f t="shared" si="16"/>
        <v>0</v>
      </c>
      <c r="AF168" s="93">
        <v>0</v>
      </c>
      <c r="AG168" s="105"/>
      <c r="AH168" s="108"/>
      <c r="AI168" s="109" t="s">
        <v>4336</v>
      </c>
      <c r="AJ168" s="110" t="s">
        <v>4337</v>
      </c>
      <c r="AK168" s="111"/>
      <c r="AL168" s="105" t="s">
        <v>1069</v>
      </c>
      <c r="AM168" s="100" t="s">
        <v>4493</v>
      </c>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18"/>
      <c r="CO168" s="119"/>
      <c r="CP168" s="118"/>
      <c r="CQ168" s="119"/>
      <c r="CR168" s="118"/>
      <c r="CS168" s="119"/>
      <c r="CT168" s="113"/>
      <c r="CU168" s="118"/>
      <c r="CV168" s="99">
        <f t="shared" si="17"/>
        <v>0</v>
      </c>
      <c r="CW168" s="118"/>
      <c r="CX168" s="119"/>
      <c r="CY168" s="119"/>
      <c r="CZ168" s="119"/>
      <c r="DA168" s="118"/>
      <c r="DB168" s="119"/>
      <c r="DC168" s="111"/>
      <c r="DD168" s="119"/>
      <c r="DE168" s="111"/>
      <c r="DF168" s="269"/>
    </row>
    <row r="169" spans="1:110" s="270" customFormat="1" ht="108" x14ac:dyDescent="0.2">
      <c r="A169" s="89">
        <v>40602</v>
      </c>
      <c r="B169" s="90" t="s">
        <v>4387</v>
      </c>
      <c r="C169" s="90" t="s">
        <v>482</v>
      </c>
      <c r="D169" s="90" t="s">
        <v>2362</v>
      </c>
      <c r="E169" s="90" t="str">
        <f>VLOOKUP(B169&amp;C169,Divipola!$C$2:$F$1138,4,FALSE)</f>
        <v>52354</v>
      </c>
      <c r="F169" s="90"/>
      <c r="G169" s="101"/>
      <c r="H169" s="101"/>
      <c r="I169" s="101"/>
      <c r="J169" s="101">
        <v>10</v>
      </c>
      <c r="K169" s="101">
        <v>2</v>
      </c>
      <c r="L169" s="101"/>
      <c r="M169" s="101">
        <v>2</v>
      </c>
      <c r="N169" s="101">
        <v>12</v>
      </c>
      <c r="O169" s="101"/>
      <c r="P169" s="101"/>
      <c r="Q169" s="101">
        <v>1</v>
      </c>
      <c r="R169" s="101">
        <v>1</v>
      </c>
      <c r="S169" s="101"/>
      <c r="T169" s="101">
        <v>2</v>
      </c>
      <c r="U169" s="101"/>
      <c r="V169" s="101"/>
      <c r="W169" s="91"/>
      <c r="X169" s="105"/>
      <c r="Y169" s="92">
        <f t="shared" si="12"/>
        <v>0</v>
      </c>
      <c r="Z169" s="92">
        <f t="shared" si="13"/>
        <v>0</v>
      </c>
      <c r="AA169" s="92">
        <f t="shared" si="14"/>
        <v>0</v>
      </c>
      <c r="AB169" s="92">
        <f t="shared" si="15"/>
        <v>0</v>
      </c>
      <c r="AC169" s="92"/>
      <c r="AD169" s="92">
        <v>0</v>
      </c>
      <c r="AE169" s="92">
        <f t="shared" si="16"/>
        <v>0</v>
      </c>
      <c r="AF169" s="93">
        <v>0</v>
      </c>
      <c r="AG169" s="105"/>
      <c r="AH169" s="108"/>
      <c r="AI169" s="109" t="s">
        <v>4336</v>
      </c>
      <c r="AJ169" s="110" t="s">
        <v>4337</v>
      </c>
      <c r="AK169" s="111"/>
      <c r="AL169" s="105" t="s">
        <v>1069</v>
      </c>
      <c r="AM169" s="100" t="s">
        <v>4490</v>
      </c>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18"/>
      <c r="CO169" s="119"/>
      <c r="CP169" s="118"/>
      <c r="CQ169" s="119"/>
      <c r="CR169" s="118"/>
      <c r="CS169" s="119"/>
      <c r="CT169" s="113"/>
      <c r="CU169" s="118"/>
      <c r="CV169" s="99">
        <f t="shared" si="17"/>
        <v>0</v>
      </c>
      <c r="CW169" s="118"/>
      <c r="CX169" s="119"/>
      <c r="CY169" s="119"/>
      <c r="CZ169" s="119"/>
      <c r="DA169" s="118"/>
      <c r="DB169" s="119"/>
      <c r="DC169" s="111"/>
      <c r="DD169" s="119"/>
      <c r="DE169" s="111"/>
      <c r="DF169" s="269"/>
    </row>
    <row r="170" spans="1:110" s="270" customFormat="1" ht="132" x14ac:dyDescent="0.2">
      <c r="A170" s="89">
        <v>40602</v>
      </c>
      <c r="B170" s="90" t="s">
        <v>4387</v>
      </c>
      <c r="C170" s="90" t="s">
        <v>492</v>
      </c>
      <c r="D170" s="90" t="s">
        <v>2362</v>
      </c>
      <c r="E170" s="90" t="str">
        <f>VLOOKUP(B170&amp;C170,Divipola!$C$2:$F$1138,4,FALSE)</f>
        <v>52385</v>
      </c>
      <c r="F170" s="90"/>
      <c r="G170" s="101"/>
      <c r="H170" s="101"/>
      <c r="I170" s="101"/>
      <c r="J170" s="101">
        <v>345</v>
      </c>
      <c r="K170" s="101">
        <v>88</v>
      </c>
      <c r="L170" s="101">
        <v>8</v>
      </c>
      <c r="M170" s="101">
        <v>80</v>
      </c>
      <c r="N170" s="101">
        <v>3</v>
      </c>
      <c r="O170" s="101"/>
      <c r="P170" s="101"/>
      <c r="Q170" s="101">
        <v>1</v>
      </c>
      <c r="R170" s="101">
        <v>1</v>
      </c>
      <c r="S170" s="101">
        <v>1</v>
      </c>
      <c r="T170" s="101"/>
      <c r="U170" s="101"/>
      <c r="V170" s="101">
        <v>85.5</v>
      </c>
      <c r="W170" s="91"/>
      <c r="X170" s="105"/>
      <c r="Y170" s="92">
        <f t="shared" si="12"/>
        <v>0</v>
      </c>
      <c r="Z170" s="92">
        <f t="shared" si="13"/>
        <v>0</v>
      </c>
      <c r="AA170" s="92">
        <f t="shared" si="14"/>
        <v>0</v>
      </c>
      <c r="AB170" s="92">
        <f t="shared" si="15"/>
        <v>0</v>
      </c>
      <c r="AC170" s="92"/>
      <c r="AD170" s="92">
        <v>0</v>
      </c>
      <c r="AE170" s="92">
        <f t="shared" si="16"/>
        <v>0</v>
      </c>
      <c r="AF170" s="93">
        <v>0</v>
      </c>
      <c r="AG170" s="105"/>
      <c r="AH170" s="108"/>
      <c r="AI170" s="109" t="s">
        <v>4336</v>
      </c>
      <c r="AJ170" s="110" t="s">
        <v>4337</v>
      </c>
      <c r="AK170" s="111"/>
      <c r="AL170" s="105" t="s">
        <v>1069</v>
      </c>
      <c r="AM170" s="100" t="s">
        <v>4491</v>
      </c>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18"/>
      <c r="CO170" s="119"/>
      <c r="CP170" s="118"/>
      <c r="CQ170" s="119"/>
      <c r="CR170" s="118"/>
      <c r="CS170" s="119"/>
      <c r="CT170" s="113"/>
      <c r="CU170" s="118"/>
      <c r="CV170" s="99">
        <f t="shared" si="17"/>
        <v>0</v>
      </c>
      <c r="CW170" s="118"/>
      <c r="CX170" s="119"/>
      <c r="CY170" s="119"/>
      <c r="CZ170" s="119"/>
      <c r="DA170" s="118"/>
      <c r="DB170" s="119"/>
      <c r="DC170" s="111"/>
      <c r="DD170" s="119"/>
      <c r="DE170" s="111"/>
      <c r="DF170" s="269"/>
    </row>
    <row r="171" spans="1:110" s="270" customFormat="1" ht="84" x14ac:dyDescent="0.2">
      <c r="A171" s="89">
        <v>40602</v>
      </c>
      <c r="B171" s="90" t="s">
        <v>4387</v>
      </c>
      <c r="C171" s="90" t="s">
        <v>2224</v>
      </c>
      <c r="D171" s="90" t="s">
        <v>2362</v>
      </c>
      <c r="E171" s="90" t="str">
        <f>VLOOKUP(B171&amp;C171,Divipola!$C$2:$F$1138,4,FALSE)</f>
        <v>52565</v>
      </c>
      <c r="F171" s="90"/>
      <c r="G171" s="101"/>
      <c r="H171" s="101"/>
      <c r="I171" s="101"/>
      <c r="J171" s="101">
        <v>235</v>
      </c>
      <c r="K171" s="101">
        <v>40</v>
      </c>
      <c r="L171" s="101">
        <v>5</v>
      </c>
      <c r="M171" s="101">
        <v>35</v>
      </c>
      <c r="N171" s="101">
        <v>2</v>
      </c>
      <c r="O171" s="101"/>
      <c r="P171" s="101"/>
      <c r="Q171" s="101">
        <v>2</v>
      </c>
      <c r="R171" s="101">
        <v>1</v>
      </c>
      <c r="S171" s="101"/>
      <c r="T171" s="101">
        <v>2</v>
      </c>
      <c r="U171" s="101"/>
      <c r="V171" s="101"/>
      <c r="W171" s="91"/>
      <c r="X171" s="105"/>
      <c r="Y171" s="92">
        <f t="shared" si="12"/>
        <v>0</v>
      </c>
      <c r="Z171" s="92">
        <f t="shared" si="13"/>
        <v>0</v>
      </c>
      <c r="AA171" s="92">
        <f t="shared" si="14"/>
        <v>0</v>
      </c>
      <c r="AB171" s="92">
        <f t="shared" si="15"/>
        <v>0</v>
      </c>
      <c r="AC171" s="92"/>
      <c r="AD171" s="92">
        <v>0</v>
      </c>
      <c r="AE171" s="92">
        <f t="shared" si="16"/>
        <v>0</v>
      </c>
      <c r="AF171" s="93">
        <v>0</v>
      </c>
      <c r="AG171" s="105"/>
      <c r="AH171" s="108"/>
      <c r="AI171" s="109" t="s">
        <v>4336</v>
      </c>
      <c r="AJ171" s="110" t="s">
        <v>4337</v>
      </c>
      <c r="AK171" s="111"/>
      <c r="AL171" s="105" t="s">
        <v>1069</v>
      </c>
      <c r="AM171" s="100" t="s">
        <v>4492</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18"/>
      <c r="CO171" s="119"/>
      <c r="CP171" s="118"/>
      <c r="CQ171" s="119"/>
      <c r="CR171" s="118"/>
      <c r="CS171" s="119"/>
      <c r="CT171" s="113"/>
      <c r="CU171" s="118"/>
      <c r="CV171" s="99">
        <f t="shared" si="17"/>
        <v>0</v>
      </c>
      <c r="CW171" s="118"/>
      <c r="CX171" s="119"/>
      <c r="CY171" s="119"/>
      <c r="CZ171" s="119"/>
      <c r="DA171" s="118"/>
      <c r="DB171" s="119"/>
      <c r="DC171" s="111"/>
      <c r="DD171" s="119"/>
      <c r="DE171" s="111"/>
      <c r="DF171" s="269"/>
    </row>
    <row r="172" spans="1:110" s="270" customFormat="1" ht="36" x14ac:dyDescent="0.2">
      <c r="A172" s="89">
        <v>40602</v>
      </c>
      <c r="B172" s="90" t="s">
        <v>4387</v>
      </c>
      <c r="C172" s="90" t="s">
        <v>3233</v>
      </c>
      <c r="D172" s="90" t="s">
        <v>2362</v>
      </c>
      <c r="E172" s="90" t="str">
        <f>VLOOKUP(B172&amp;C172,Divipola!$C$2:$F$1138,4,FALSE)</f>
        <v>52838</v>
      </c>
      <c r="F172" s="90"/>
      <c r="G172" s="101"/>
      <c r="H172" s="101"/>
      <c r="I172" s="101"/>
      <c r="J172" s="101">
        <v>1420</v>
      </c>
      <c r="K172" s="101">
        <v>584</v>
      </c>
      <c r="L172" s="101"/>
      <c r="M172" s="101">
        <v>302</v>
      </c>
      <c r="N172" s="101">
        <v>2</v>
      </c>
      <c r="O172" s="101">
        <v>2</v>
      </c>
      <c r="P172" s="101"/>
      <c r="Q172" s="101">
        <v>3</v>
      </c>
      <c r="R172" s="101"/>
      <c r="S172" s="101"/>
      <c r="T172" s="101">
        <v>1</v>
      </c>
      <c r="U172" s="101"/>
      <c r="V172" s="101"/>
      <c r="W172" s="91"/>
      <c r="X172" s="89"/>
      <c r="Y172" s="92">
        <f t="shared" si="12"/>
        <v>0</v>
      </c>
      <c r="Z172" s="92">
        <f t="shared" si="13"/>
        <v>0</v>
      </c>
      <c r="AA172" s="92">
        <f t="shared" si="14"/>
        <v>0</v>
      </c>
      <c r="AB172" s="92">
        <f t="shared" si="15"/>
        <v>0</v>
      </c>
      <c r="AC172" s="92"/>
      <c r="AD172" s="92">
        <v>0</v>
      </c>
      <c r="AE172" s="92">
        <f t="shared" si="16"/>
        <v>0</v>
      </c>
      <c r="AF172" s="93">
        <v>0</v>
      </c>
      <c r="AG172" s="89">
        <v>40606</v>
      </c>
      <c r="AH172" s="94"/>
      <c r="AI172" s="95" t="s">
        <v>4336</v>
      </c>
      <c r="AJ172" s="96" t="s">
        <v>4337</v>
      </c>
      <c r="AK172" s="97"/>
      <c r="AL172" s="89"/>
      <c r="AM172" s="100" t="s">
        <v>3234</v>
      </c>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114"/>
      <c r="CQ172" s="115"/>
      <c r="CR172" s="114"/>
      <c r="CS172" s="115"/>
      <c r="CT172" s="114"/>
      <c r="CU172" s="115"/>
      <c r="CV172" s="99">
        <f t="shared" si="17"/>
        <v>0</v>
      </c>
      <c r="CW172" s="114"/>
      <c r="CX172" s="115"/>
      <c r="CY172" s="114"/>
      <c r="CZ172" s="115"/>
      <c r="DA172" s="115"/>
      <c r="DB172" s="115"/>
      <c r="DC172" s="114"/>
      <c r="DD172" s="115"/>
      <c r="DE172" s="97"/>
      <c r="DF172" s="269"/>
    </row>
    <row r="173" spans="1:110" s="270" customFormat="1" ht="22.5" x14ac:dyDescent="0.2">
      <c r="A173" s="89">
        <v>40603</v>
      </c>
      <c r="B173" s="90" t="s">
        <v>3358</v>
      </c>
      <c r="C173" s="90" t="s">
        <v>3341</v>
      </c>
      <c r="D173" s="90" t="s">
        <v>3346</v>
      </c>
      <c r="E173" s="90" t="str">
        <f>VLOOKUP(B173&amp;C173,Divipola!$C$2:$F$1138,4,FALSE)</f>
        <v>18094</v>
      </c>
      <c r="F173" s="90"/>
      <c r="G173" s="101"/>
      <c r="H173" s="101"/>
      <c r="I173" s="101"/>
      <c r="J173" s="101">
        <f>75*5</f>
        <v>375</v>
      </c>
      <c r="K173" s="101">
        <v>75</v>
      </c>
      <c r="L173" s="101"/>
      <c r="M173" s="101">
        <v>62</v>
      </c>
      <c r="N173" s="101"/>
      <c r="O173" s="101"/>
      <c r="P173" s="101"/>
      <c r="Q173" s="101"/>
      <c r="R173" s="101"/>
      <c r="S173" s="101"/>
      <c r="T173" s="101"/>
      <c r="U173" s="101"/>
      <c r="V173" s="101"/>
      <c r="W173" s="91"/>
      <c r="X173" s="89"/>
      <c r="Y173" s="92">
        <f t="shared" si="12"/>
        <v>0</v>
      </c>
      <c r="Z173" s="92">
        <f t="shared" si="13"/>
        <v>0</v>
      </c>
      <c r="AA173" s="92">
        <f t="shared" si="14"/>
        <v>0</v>
      </c>
      <c r="AB173" s="92">
        <f t="shared" si="15"/>
        <v>0</v>
      </c>
      <c r="AC173" s="92"/>
      <c r="AD173" s="92">
        <v>0</v>
      </c>
      <c r="AE173" s="92">
        <f t="shared" si="16"/>
        <v>0</v>
      </c>
      <c r="AF173" s="93">
        <v>0</v>
      </c>
      <c r="AG173" s="89">
        <v>40617</v>
      </c>
      <c r="AH173" s="94"/>
      <c r="AI173" s="95" t="s">
        <v>4336</v>
      </c>
      <c r="AJ173" s="96" t="s">
        <v>4337</v>
      </c>
      <c r="AK173" s="97"/>
      <c r="AL173" s="89"/>
      <c r="AM173" s="100" t="s">
        <v>3238</v>
      </c>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114"/>
      <c r="CQ173" s="115"/>
      <c r="CR173" s="114"/>
      <c r="CS173" s="115"/>
      <c r="CT173" s="114"/>
      <c r="CU173" s="115"/>
      <c r="CV173" s="99">
        <f t="shared" si="17"/>
        <v>0</v>
      </c>
      <c r="CW173" s="114"/>
      <c r="CX173" s="115"/>
      <c r="CY173" s="114"/>
      <c r="CZ173" s="115"/>
      <c r="DA173" s="115"/>
      <c r="DB173" s="115"/>
      <c r="DC173" s="114"/>
      <c r="DD173" s="115"/>
      <c r="DE173" s="97"/>
      <c r="DF173" s="269"/>
    </row>
    <row r="174" spans="1:110" s="270" customFormat="1" ht="24" x14ac:dyDescent="0.2">
      <c r="A174" s="89">
        <v>40603</v>
      </c>
      <c r="B174" s="90" t="s">
        <v>3358</v>
      </c>
      <c r="C174" s="90" t="s">
        <v>4253</v>
      </c>
      <c r="D174" s="90" t="s">
        <v>3346</v>
      </c>
      <c r="E174" s="90" t="str">
        <f>VLOOKUP(B174&amp;C174,Divipola!$C$2:$F$1138,4,FALSE)</f>
        <v>18001</v>
      </c>
      <c r="F174" s="90"/>
      <c r="G174" s="101"/>
      <c r="H174" s="101"/>
      <c r="I174" s="101"/>
      <c r="J174" s="101">
        <f>15*5</f>
        <v>75</v>
      </c>
      <c r="K174" s="101">
        <v>15</v>
      </c>
      <c r="L174" s="101"/>
      <c r="M174" s="101">
        <v>15</v>
      </c>
      <c r="N174" s="101"/>
      <c r="O174" s="101"/>
      <c r="P174" s="101"/>
      <c r="Q174" s="101"/>
      <c r="R174" s="101"/>
      <c r="S174" s="101"/>
      <c r="T174" s="101"/>
      <c r="U174" s="101"/>
      <c r="V174" s="101"/>
      <c r="W174" s="91"/>
      <c r="X174" s="89"/>
      <c r="Y174" s="92">
        <f t="shared" si="12"/>
        <v>0</v>
      </c>
      <c r="Z174" s="92">
        <f t="shared" si="13"/>
        <v>0</v>
      </c>
      <c r="AA174" s="92">
        <f t="shared" si="14"/>
        <v>0</v>
      </c>
      <c r="AB174" s="92">
        <f t="shared" si="15"/>
        <v>0</v>
      </c>
      <c r="AC174" s="92"/>
      <c r="AD174" s="92">
        <v>0</v>
      </c>
      <c r="AE174" s="92">
        <f t="shared" si="16"/>
        <v>0</v>
      </c>
      <c r="AF174" s="93">
        <v>0</v>
      </c>
      <c r="AG174" s="89">
        <v>40617</v>
      </c>
      <c r="AH174" s="94"/>
      <c r="AI174" s="95" t="s">
        <v>4336</v>
      </c>
      <c r="AJ174" s="96" t="s">
        <v>4337</v>
      </c>
      <c r="AK174" s="97"/>
      <c r="AL174" s="89"/>
      <c r="AM174" s="100" t="s">
        <v>806</v>
      </c>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114"/>
      <c r="CQ174" s="115"/>
      <c r="CR174" s="114"/>
      <c r="CS174" s="115"/>
      <c r="CT174" s="114"/>
      <c r="CU174" s="115"/>
      <c r="CV174" s="99">
        <f t="shared" si="17"/>
        <v>0</v>
      </c>
      <c r="CW174" s="114"/>
      <c r="CX174" s="115"/>
      <c r="CY174" s="114"/>
      <c r="CZ174" s="115"/>
      <c r="DA174" s="115"/>
      <c r="DB174" s="115"/>
      <c r="DC174" s="114"/>
      <c r="DD174" s="115"/>
      <c r="DE174" s="97"/>
      <c r="DF174" s="269">
        <v>1692</v>
      </c>
    </row>
    <row r="175" spans="1:110" s="270" customFormat="1" ht="22.5" x14ac:dyDescent="0.2">
      <c r="A175" s="89">
        <v>40603</v>
      </c>
      <c r="B175" s="90" t="s">
        <v>4387</v>
      </c>
      <c r="C175" s="90" t="s">
        <v>3328</v>
      </c>
      <c r="D175" s="90" t="s">
        <v>2362</v>
      </c>
      <c r="E175" s="90" t="str">
        <f>VLOOKUP(B175&amp;C175,Divipola!$C$2:$F$1138,4,FALSE)</f>
        <v>52051</v>
      </c>
      <c r="F175" s="90"/>
      <c r="G175" s="101"/>
      <c r="H175" s="101"/>
      <c r="I175" s="101"/>
      <c r="J175" s="101">
        <v>268</v>
      </c>
      <c r="K175" s="101">
        <v>67</v>
      </c>
      <c r="L175" s="101"/>
      <c r="M175" s="101">
        <v>67</v>
      </c>
      <c r="N175" s="101"/>
      <c r="O175" s="101"/>
      <c r="P175" s="101"/>
      <c r="Q175" s="101"/>
      <c r="R175" s="101"/>
      <c r="S175" s="101"/>
      <c r="T175" s="101"/>
      <c r="U175" s="101"/>
      <c r="V175" s="101"/>
      <c r="W175" s="91"/>
      <c r="X175" s="105"/>
      <c r="Y175" s="92">
        <f t="shared" si="12"/>
        <v>0</v>
      </c>
      <c r="Z175" s="92">
        <f t="shared" si="13"/>
        <v>0</v>
      </c>
      <c r="AA175" s="92">
        <f t="shared" si="14"/>
        <v>0</v>
      </c>
      <c r="AB175" s="92">
        <f t="shared" si="15"/>
        <v>0</v>
      </c>
      <c r="AC175" s="92"/>
      <c r="AD175" s="92">
        <v>0</v>
      </c>
      <c r="AE175" s="92">
        <f t="shared" si="16"/>
        <v>0</v>
      </c>
      <c r="AF175" s="93">
        <v>0</v>
      </c>
      <c r="AG175" s="105"/>
      <c r="AH175" s="108"/>
      <c r="AI175" s="109" t="s">
        <v>4336</v>
      </c>
      <c r="AJ175" s="110" t="s">
        <v>4337</v>
      </c>
      <c r="AK175" s="111"/>
      <c r="AL175" s="105" t="s">
        <v>1069</v>
      </c>
      <c r="AM175" s="100"/>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18"/>
      <c r="CO175" s="119"/>
      <c r="CP175" s="118"/>
      <c r="CQ175" s="119"/>
      <c r="CR175" s="118"/>
      <c r="CS175" s="119"/>
      <c r="CT175" s="113"/>
      <c r="CU175" s="118"/>
      <c r="CV175" s="99">
        <f t="shared" si="17"/>
        <v>0</v>
      </c>
      <c r="CW175" s="118"/>
      <c r="CX175" s="119"/>
      <c r="CY175" s="119"/>
      <c r="CZ175" s="119"/>
      <c r="DA175" s="118"/>
      <c r="DB175" s="119"/>
      <c r="DC175" s="111"/>
      <c r="DD175" s="119"/>
      <c r="DE175" s="111"/>
      <c r="DF175" s="269"/>
    </row>
    <row r="176" spans="1:110" s="270" customFormat="1" ht="24" x14ac:dyDescent="0.2">
      <c r="A176" s="89">
        <v>40603</v>
      </c>
      <c r="B176" s="90" t="s">
        <v>4348</v>
      </c>
      <c r="C176" s="90" t="s">
        <v>2228</v>
      </c>
      <c r="D176" s="90" t="s">
        <v>3346</v>
      </c>
      <c r="E176" s="90" t="str">
        <f>VLOOKUP(B176&amp;C176,Divipola!$C$2:$F$1138,4,FALSE)</f>
        <v>66001</v>
      </c>
      <c r="F176" s="90"/>
      <c r="G176" s="101"/>
      <c r="H176" s="101"/>
      <c r="I176" s="101"/>
      <c r="J176" s="101">
        <v>50</v>
      </c>
      <c r="K176" s="101">
        <v>10</v>
      </c>
      <c r="L176" s="101"/>
      <c r="M176" s="101">
        <v>10</v>
      </c>
      <c r="N176" s="101"/>
      <c r="O176" s="101"/>
      <c r="P176" s="101"/>
      <c r="Q176" s="101"/>
      <c r="R176" s="101"/>
      <c r="S176" s="101"/>
      <c r="T176" s="101">
        <v>1</v>
      </c>
      <c r="U176" s="101"/>
      <c r="V176" s="101"/>
      <c r="W176" s="91"/>
      <c r="X176" s="89"/>
      <c r="Y176" s="92">
        <f t="shared" si="12"/>
        <v>0</v>
      </c>
      <c r="Z176" s="92">
        <f t="shared" si="13"/>
        <v>0</v>
      </c>
      <c r="AA176" s="92">
        <f t="shared" si="14"/>
        <v>0</v>
      </c>
      <c r="AB176" s="92">
        <f t="shared" si="15"/>
        <v>0</v>
      </c>
      <c r="AC176" s="92"/>
      <c r="AD176" s="92">
        <v>0</v>
      </c>
      <c r="AE176" s="92">
        <f t="shared" si="16"/>
        <v>0</v>
      </c>
      <c r="AF176" s="93">
        <v>0</v>
      </c>
      <c r="AG176" s="89">
        <v>40606</v>
      </c>
      <c r="AH176" s="94"/>
      <c r="AI176" s="95" t="s">
        <v>4336</v>
      </c>
      <c r="AJ176" s="96" t="s">
        <v>4337</v>
      </c>
      <c r="AK176" s="97"/>
      <c r="AL176" s="89"/>
      <c r="AM176" s="100" t="s">
        <v>3237</v>
      </c>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114"/>
      <c r="CQ176" s="115"/>
      <c r="CR176" s="114"/>
      <c r="CS176" s="115"/>
      <c r="CT176" s="114"/>
      <c r="CU176" s="115"/>
      <c r="CV176" s="99">
        <f t="shared" si="17"/>
        <v>0</v>
      </c>
      <c r="CW176" s="114"/>
      <c r="CX176" s="115"/>
      <c r="CY176" s="114"/>
      <c r="CZ176" s="115"/>
      <c r="DA176" s="115"/>
      <c r="DB176" s="115"/>
      <c r="DC176" s="114"/>
      <c r="DD176" s="115"/>
      <c r="DE176" s="97"/>
      <c r="DF176" s="269"/>
    </row>
    <row r="177" spans="1:110" s="270" customFormat="1" x14ac:dyDescent="0.2">
      <c r="A177" s="89">
        <v>40603</v>
      </c>
      <c r="B177" s="90" t="s">
        <v>3316</v>
      </c>
      <c r="C177" s="90" t="s">
        <v>3321</v>
      </c>
      <c r="D177" s="90" t="s">
        <v>3346</v>
      </c>
      <c r="E177" s="90" t="str">
        <f>VLOOKUP(B177&amp;C177,Divipola!$C$2:$F$1138,4,FALSE)</f>
        <v>73026</v>
      </c>
      <c r="F177" s="90"/>
      <c r="G177" s="101"/>
      <c r="H177" s="101"/>
      <c r="I177" s="101"/>
      <c r="J177" s="101">
        <v>113</v>
      </c>
      <c r="K177" s="101">
        <v>25</v>
      </c>
      <c r="L177" s="101"/>
      <c r="M177" s="101"/>
      <c r="N177" s="101"/>
      <c r="O177" s="101"/>
      <c r="P177" s="101"/>
      <c r="Q177" s="101"/>
      <c r="R177" s="101"/>
      <c r="S177" s="101"/>
      <c r="T177" s="101"/>
      <c r="U177" s="101"/>
      <c r="V177" s="101">
        <v>3.25</v>
      </c>
      <c r="W177" s="91"/>
      <c r="X177" s="89"/>
      <c r="Y177" s="92">
        <f t="shared" si="12"/>
        <v>0</v>
      </c>
      <c r="Z177" s="92">
        <f t="shared" si="13"/>
        <v>0</v>
      </c>
      <c r="AA177" s="92">
        <f t="shared" si="14"/>
        <v>0</v>
      </c>
      <c r="AB177" s="92">
        <f t="shared" si="15"/>
        <v>0</v>
      </c>
      <c r="AC177" s="92"/>
      <c r="AD177" s="92">
        <v>0</v>
      </c>
      <c r="AE177" s="92">
        <f t="shared" si="16"/>
        <v>0</v>
      </c>
      <c r="AF177" s="93">
        <v>0</v>
      </c>
      <c r="AG177" s="89"/>
      <c r="AH177" s="94"/>
      <c r="AI177" s="102" t="s">
        <v>4336</v>
      </c>
      <c r="AJ177" s="96" t="s">
        <v>4337</v>
      </c>
      <c r="AK177" s="97"/>
      <c r="AL177" s="89"/>
      <c r="AM177" s="100" t="s">
        <v>3238</v>
      </c>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114"/>
      <c r="CQ177" s="115"/>
      <c r="CR177" s="114"/>
      <c r="CS177" s="115"/>
      <c r="CT177" s="114"/>
      <c r="CU177" s="115"/>
      <c r="CV177" s="99">
        <f t="shared" si="17"/>
        <v>0</v>
      </c>
      <c r="CW177" s="114"/>
      <c r="CX177" s="115"/>
      <c r="CY177" s="114"/>
      <c r="CZ177" s="115"/>
      <c r="DA177" s="115"/>
      <c r="DB177" s="115"/>
      <c r="DC177" s="114"/>
      <c r="DD177" s="115"/>
      <c r="DE177" s="97"/>
      <c r="DF177" s="269"/>
    </row>
    <row r="178" spans="1:110" s="270" customFormat="1" ht="24" x14ac:dyDescent="0.2">
      <c r="A178" s="89">
        <v>40603</v>
      </c>
      <c r="B178" s="90" t="s">
        <v>3316</v>
      </c>
      <c r="C178" s="90" t="s">
        <v>4323</v>
      </c>
      <c r="D178" s="90" t="s">
        <v>4298</v>
      </c>
      <c r="E178" s="90" t="str">
        <f>VLOOKUP(B178&amp;C178,Divipola!$C$2:$F$1138,4,FALSE)</f>
        <v>73001</v>
      </c>
      <c r="F178" s="90"/>
      <c r="G178" s="101"/>
      <c r="H178" s="101"/>
      <c r="I178" s="101"/>
      <c r="J178" s="101"/>
      <c r="K178" s="101"/>
      <c r="L178" s="101"/>
      <c r="M178" s="101"/>
      <c r="N178" s="101"/>
      <c r="O178" s="101"/>
      <c r="P178" s="101"/>
      <c r="Q178" s="101"/>
      <c r="R178" s="101"/>
      <c r="S178" s="101">
        <v>1</v>
      </c>
      <c r="T178" s="101"/>
      <c r="U178" s="101"/>
      <c r="V178" s="101"/>
      <c r="W178" s="91"/>
      <c r="X178" s="89"/>
      <c r="Y178" s="92">
        <f t="shared" si="12"/>
        <v>0</v>
      </c>
      <c r="Z178" s="92">
        <f t="shared" si="13"/>
        <v>0</v>
      </c>
      <c r="AA178" s="92">
        <f t="shared" si="14"/>
        <v>0</v>
      </c>
      <c r="AB178" s="92">
        <f t="shared" si="15"/>
        <v>0</v>
      </c>
      <c r="AC178" s="92"/>
      <c r="AD178" s="92">
        <v>0</v>
      </c>
      <c r="AE178" s="92">
        <f t="shared" si="16"/>
        <v>0</v>
      </c>
      <c r="AF178" s="93">
        <v>0</v>
      </c>
      <c r="AG178" s="89">
        <v>40606</v>
      </c>
      <c r="AH178" s="94"/>
      <c r="AI178" s="102" t="s">
        <v>4336</v>
      </c>
      <c r="AJ178" s="96" t="s">
        <v>4337</v>
      </c>
      <c r="AK178" s="97"/>
      <c r="AL178" s="89"/>
      <c r="AM178" s="100" t="s">
        <v>3229</v>
      </c>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114"/>
      <c r="CQ178" s="115"/>
      <c r="CR178" s="114"/>
      <c r="CS178" s="115"/>
      <c r="CT178" s="114"/>
      <c r="CU178" s="115"/>
      <c r="CV178" s="99">
        <f t="shared" si="17"/>
        <v>0</v>
      </c>
      <c r="CW178" s="114"/>
      <c r="CX178" s="115"/>
      <c r="CY178" s="114"/>
      <c r="CZ178" s="115"/>
      <c r="DA178" s="115"/>
      <c r="DB178" s="115"/>
      <c r="DC178" s="114"/>
      <c r="DD178" s="115"/>
      <c r="DE178" s="97"/>
      <c r="DF178" s="269"/>
    </row>
    <row r="179" spans="1:110" s="270" customFormat="1" x14ac:dyDescent="0.2">
      <c r="A179" s="89">
        <v>40603</v>
      </c>
      <c r="B179" s="90" t="s">
        <v>3316</v>
      </c>
      <c r="C179" s="90" t="s">
        <v>4323</v>
      </c>
      <c r="D179" s="90" t="s">
        <v>2362</v>
      </c>
      <c r="E179" s="90" t="str">
        <f>VLOOKUP(B179&amp;C179,Divipola!$C$2:$F$1138,4,FALSE)</f>
        <v>73001</v>
      </c>
      <c r="F179" s="90"/>
      <c r="G179" s="101"/>
      <c r="H179" s="101"/>
      <c r="I179" s="101"/>
      <c r="J179" s="101">
        <v>10</v>
      </c>
      <c r="K179" s="101">
        <v>2</v>
      </c>
      <c r="L179" s="101"/>
      <c r="M179" s="101">
        <v>2</v>
      </c>
      <c r="N179" s="101"/>
      <c r="O179" s="101"/>
      <c r="P179" s="101"/>
      <c r="Q179" s="101"/>
      <c r="R179" s="101"/>
      <c r="S179" s="101"/>
      <c r="T179" s="101"/>
      <c r="U179" s="101"/>
      <c r="V179" s="101"/>
      <c r="W179" s="91"/>
      <c r="X179" s="89"/>
      <c r="Y179" s="92">
        <f t="shared" si="12"/>
        <v>0</v>
      </c>
      <c r="Z179" s="92">
        <f t="shared" si="13"/>
        <v>0</v>
      </c>
      <c r="AA179" s="92">
        <f t="shared" si="14"/>
        <v>0</v>
      </c>
      <c r="AB179" s="92">
        <f t="shared" si="15"/>
        <v>0</v>
      </c>
      <c r="AC179" s="92"/>
      <c r="AD179" s="92">
        <v>0</v>
      </c>
      <c r="AE179" s="92">
        <f t="shared" si="16"/>
        <v>0</v>
      </c>
      <c r="AF179" s="93">
        <v>0</v>
      </c>
      <c r="AG179" s="89">
        <v>40606</v>
      </c>
      <c r="AH179" s="94"/>
      <c r="AI179" s="102" t="s">
        <v>4336</v>
      </c>
      <c r="AJ179" s="96" t="s">
        <v>4337</v>
      </c>
      <c r="AK179" s="97"/>
      <c r="AL179" s="89"/>
      <c r="AM179" s="100" t="s">
        <v>3230</v>
      </c>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114"/>
      <c r="CQ179" s="115"/>
      <c r="CR179" s="114"/>
      <c r="CS179" s="115"/>
      <c r="CT179" s="114"/>
      <c r="CU179" s="115"/>
      <c r="CV179" s="99">
        <f t="shared" si="17"/>
        <v>0</v>
      </c>
      <c r="CW179" s="114"/>
      <c r="CX179" s="115"/>
      <c r="CY179" s="114"/>
      <c r="CZ179" s="115"/>
      <c r="DA179" s="115"/>
      <c r="DB179" s="115"/>
      <c r="DC179" s="114"/>
      <c r="DD179" s="115"/>
      <c r="DE179" s="97"/>
      <c r="DF179" s="269"/>
    </row>
    <row r="180" spans="1:110" s="270" customFormat="1" ht="24" x14ac:dyDescent="0.2">
      <c r="A180" s="89">
        <v>40604</v>
      </c>
      <c r="B180" s="90" t="s">
        <v>4326</v>
      </c>
      <c r="C180" s="90" t="s">
        <v>844</v>
      </c>
      <c r="D180" s="90" t="s">
        <v>4264</v>
      </c>
      <c r="E180" s="90" t="str">
        <f>VLOOKUP(B180&amp;C180,Divipola!$C$2:$F$1138,4,FALSE)</f>
        <v>08606</v>
      </c>
      <c r="F180" s="90"/>
      <c r="G180" s="101"/>
      <c r="H180" s="101"/>
      <c r="I180" s="101"/>
      <c r="J180" s="101">
        <f>110*3.7</f>
        <v>407</v>
      </c>
      <c r="K180" s="101">
        <v>110</v>
      </c>
      <c r="L180" s="101"/>
      <c r="M180" s="101"/>
      <c r="N180" s="101"/>
      <c r="O180" s="101"/>
      <c r="P180" s="101"/>
      <c r="Q180" s="101"/>
      <c r="R180" s="101"/>
      <c r="S180" s="101"/>
      <c r="T180" s="101"/>
      <c r="U180" s="101"/>
      <c r="V180" s="101"/>
      <c r="W180" s="91"/>
      <c r="X180" s="89"/>
      <c r="Y180" s="92">
        <f t="shared" si="12"/>
        <v>0</v>
      </c>
      <c r="Z180" s="92">
        <f t="shared" si="13"/>
        <v>0</v>
      </c>
      <c r="AA180" s="92">
        <f t="shared" si="14"/>
        <v>0</v>
      </c>
      <c r="AB180" s="92">
        <f t="shared" si="15"/>
        <v>0</v>
      </c>
      <c r="AC180" s="92"/>
      <c r="AD180" s="92">
        <v>0</v>
      </c>
      <c r="AE180" s="92">
        <f t="shared" si="16"/>
        <v>0</v>
      </c>
      <c r="AF180" s="93">
        <v>0</v>
      </c>
      <c r="AG180" s="89">
        <v>40606</v>
      </c>
      <c r="AH180" s="94"/>
      <c r="AI180" s="95" t="s">
        <v>4336</v>
      </c>
      <c r="AJ180" s="96" t="s">
        <v>4337</v>
      </c>
      <c r="AK180" s="97"/>
      <c r="AL180" s="89"/>
      <c r="AM180" s="100" t="s">
        <v>815</v>
      </c>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114"/>
      <c r="CQ180" s="115"/>
      <c r="CR180" s="114"/>
      <c r="CS180" s="115"/>
      <c r="CT180" s="114"/>
      <c r="CU180" s="115"/>
      <c r="CV180" s="99">
        <f t="shared" si="17"/>
        <v>0</v>
      </c>
      <c r="CW180" s="114"/>
      <c r="CX180" s="115"/>
      <c r="CY180" s="114"/>
      <c r="CZ180" s="115"/>
      <c r="DA180" s="115"/>
      <c r="DB180" s="115"/>
      <c r="DC180" s="114"/>
      <c r="DD180" s="115"/>
      <c r="DE180" s="97"/>
      <c r="DF180" s="269"/>
    </row>
    <row r="181" spans="1:110" s="270" customFormat="1" ht="48" x14ac:dyDescent="0.2">
      <c r="A181" s="89">
        <v>40604</v>
      </c>
      <c r="B181" s="90" t="s">
        <v>4352</v>
      </c>
      <c r="C181" s="90" t="s">
        <v>2236</v>
      </c>
      <c r="D181" s="90" t="s">
        <v>4264</v>
      </c>
      <c r="E181" s="90" t="str">
        <f>VLOOKUP(B181&amp;C181,Divipola!$C$2:$F$1138,4,FALSE)</f>
        <v>13657</v>
      </c>
      <c r="F181" s="90"/>
      <c r="G181" s="101"/>
      <c r="H181" s="101"/>
      <c r="I181" s="101"/>
      <c r="J181" s="101">
        <v>310</v>
      </c>
      <c r="K181" s="101">
        <v>62</v>
      </c>
      <c r="L181" s="101"/>
      <c r="M181" s="101">
        <v>62</v>
      </c>
      <c r="N181" s="101"/>
      <c r="O181" s="101"/>
      <c r="P181" s="101"/>
      <c r="Q181" s="101"/>
      <c r="R181" s="101"/>
      <c r="S181" s="101"/>
      <c r="T181" s="101"/>
      <c r="U181" s="101"/>
      <c r="V181" s="101"/>
      <c r="W181" s="91"/>
      <c r="X181" s="89"/>
      <c r="Y181" s="92">
        <f t="shared" si="12"/>
        <v>0</v>
      </c>
      <c r="Z181" s="92">
        <f t="shared" si="13"/>
        <v>0</v>
      </c>
      <c r="AA181" s="92">
        <f t="shared" si="14"/>
        <v>0</v>
      </c>
      <c r="AB181" s="92">
        <f t="shared" si="15"/>
        <v>0</v>
      </c>
      <c r="AC181" s="92"/>
      <c r="AD181" s="92">
        <v>0</v>
      </c>
      <c r="AE181" s="92">
        <f t="shared" si="16"/>
        <v>0</v>
      </c>
      <c r="AF181" s="93">
        <v>0</v>
      </c>
      <c r="AG181" s="89">
        <v>40606</v>
      </c>
      <c r="AH181" s="94"/>
      <c r="AI181" s="95" t="s">
        <v>4336</v>
      </c>
      <c r="AJ181" s="96" t="s">
        <v>4337</v>
      </c>
      <c r="AK181" s="97"/>
      <c r="AL181" s="89"/>
      <c r="AM181" s="100" t="s">
        <v>4161</v>
      </c>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114"/>
      <c r="CQ181" s="115"/>
      <c r="CR181" s="114"/>
      <c r="CS181" s="115"/>
      <c r="CT181" s="114"/>
      <c r="CU181" s="115"/>
      <c r="CV181" s="99">
        <f t="shared" si="17"/>
        <v>0</v>
      </c>
      <c r="CW181" s="114"/>
      <c r="CX181" s="115"/>
      <c r="CY181" s="114"/>
      <c r="CZ181" s="115"/>
      <c r="DA181" s="115"/>
      <c r="DB181" s="115"/>
      <c r="DC181" s="114"/>
      <c r="DD181" s="115"/>
      <c r="DE181" s="97"/>
      <c r="DF181" s="269"/>
    </row>
    <row r="182" spans="1:110" s="270" customFormat="1" ht="22.5" x14ac:dyDescent="0.2">
      <c r="A182" s="89">
        <v>40604</v>
      </c>
      <c r="B182" s="90" t="s">
        <v>4282</v>
      </c>
      <c r="C182" s="90" t="s">
        <v>846</v>
      </c>
      <c r="D182" s="90" t="s">
        <v>4298</v>
      </c>
      <c r="E182" s="90" t="str">
        <f>VLOOKUP(B182&amp;C182,Divipola!$C$2:$F$1138,4,FALSE)</f>
        <v>23419</v>
      </c>
      <c r="F182" s="90"/>
      <c r="G182" s="101"/>
      <c r="H182" s="101"/>
      <c r="I182" s="101"/>
      <c r="J182" s="101">
        <v>10</v>
      </c>
      <c r="K182" s="101">
        <v>2</v>
      </c>
      <c r="L182" s="101"/>
      <c r="M182" s="101">
        <v>2</v>
      </c>
      <c r="N182" s="101"/>
      <c r="O182" s="101"/>
      <c r="P182" s="101"/>
      <c r="Q182" s="101"/>
      <c r="R182" s="101"/>
      <c r="S182" s="101"/>
      <c r="T182" s="101"/>
      <c r="U182" s="101"/>
      <c r="V182" s="101"/>
      <c r="W182" s="91"/>
      <c r="X182" s="89"/>
      <c r="Y182" s="92">
        <f t="shared" si="12"/>
        <v>0</v>
      </c>
      <c r="Z182" s="92">
        <f t="shared" si="13"/>
        <v>0</v>
      </c>
      <c r="AA182" s="92">
        <f t="shared" si="14"/>
        <v>0</v>
      </c>
      <c r="AB182" s="92">
        <f t="shared" si="15"/>
        <v>0</v>
      </c>
      <c r="AC182" s="92"/>
      <c r="AD182" s="92">
        <v>0</v>
      </c>
      <c r="AE182" s="92">
        <f t="shared" si="16"/>
        <v>0</v>
      </c>
      <c r="AF182" s="93">
        <v>0</v>
      </c>
      <c r="AG182" s="89">
        <v>40606</v>
      </c>
      <c r="AH182" s="94"/>
      <c r="AI182" s="95" t="s">
        <v>4336</v>
      </c>
      <c r="AJ182" s="96" t="s">
        <v>4337</v>
      </c>
      <c r="AK182" s="97"/>
      <c r="AL182" s="89"/>
      <c r="AM182" s="100" t="s">
        <v>3447</v>
      </c>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114"/>
      <c r="CQ182" s="115"/>
      <c r="CR182" s="114"/>
      <c r="CS182" s="115"/>
      <c r="CT182" s="114"/>
      <c r="CU182" s="115"/>
      <c r="CV182" s="99">
        <f t="shared" si="17"/>
        <v>0</v>
      </c>
      <c r="CW182" s="114"/>
      <c r="CX182" s="115"/>
      <c r="CY182" s="114"/>
      <c r="CZ182" s="115"/>
      <c r="DA182" s="115"/>
      <c r="DB182" s="115"/>
      <c r="DC182" s="114"/>
      <c r="DD182" s="115"/>
      <c r="DE182" s="97"/>
      <c r="DF182" s="269"/>
    </row>
    <row r="183" spans="1:110" s="270" customFormat="1" ht="24" x14ac:dyDescent="0.2">
      <c r="A183" s="89">
        <v>40604</v>
      </c>
      <c r="B183" s="90" t="s">
        <v>4344</v>
      </c>
      <c r="C183" s="90" t="s">
        <v>2208</v>
      </c>
      <c r="D183" s="90" t="s">
        <v>3311</v>
      </c>
      <c r="E183" s="90" t="str">
        <f>VLOOKUP(B183&amp;C183,Divipola!$C$2:$F$1138,4,FALSE)</f>
        <v>25200</v>
      </c>
      <c r="F183" s="90"/>
      <c r="G183" s="101">
        <v>1</v>
      </c>
      <c r="H183" s="101">
        <v>1</v>
      </c>
      <c r="I183" s="101"/>
      <c r="J183" s="101"/>
      <c r="K183" s="101"/>
      <c r="L183" s="101"/>
      <c r="M183" s="101"/>
      <c r="N183" s="101"/>
      <c r="O183" s="101"/>
      <c r="P183" s="101"/>
      <c r="Q183" s="101"/>
      <c r="R183" s="101"/>
      <c r="S183" s="101"/>
      <c r="T183" s="101"/>
      <c r="U183" s="101"/>
      <c r="V183" s="101"/>
      <c r="W183" s="91"/>
      <c r="X183" s="89"/>
      <c r="Y183" s="92">
        <f t="shared" si="12"/>
        <v>0</v>
      </c>
      <c r="Z183" s="92">
        <f t="shared" si="13"/>
        <v>0</v>
      </c>
      <c r="AA183" s="92">
        <f t="shared" si="14"/>
        <v>0</v>
      </c>
      <c r="AB183" s="92">
        <f t="shared" si="15"/>
        <v>0</v>
      </c>
      <c r="AC183" s="92"/>
      <c r="AD183" s="92">
        <v>0</v>
      </c>
      <c r="AE183" s="92">
        <f t="shared" si="16"/>
        <v>0</v>
      </c>
      <c r="AF183" s="93">
        <v>0</v>
      </c>
      <c r="AG183" s="89">
        <v>40606</v>
      </c>
      <c r="AH183" s="94"/>
      <c r="AI183" s="102" t="s">
        <v>4336</v>
      </c>
      <c r="AJ183" s="96" t="s">
        <v>4337</v>
      </c>
      <c r="AK183" s="97"/>
      <c r="AL183" s="89"/>
      <c r="AM183" s="100" t="s">
        <v>3239</v>
      </c>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114"/>
      <c r="CQ183" s="115"/>
      <c r="CR183" s="114"/>
      <c r="CS183" s="115"/>
      <c r="CT183" s="114"/>
      <c r="CU183" s="115"/>
      <c r="CV183" s="99">
        <f t="shared" si="17"/>
        <v>0</v>
      </c>
      <c r="CW183" s="114"/>
      <c r="CX183" s="115"/>
      <c r="CY183" s="114"/>
      <c r="CZ183" s="115"/>
      <c r="DA183" s="115"/>
      <c r="DB183" s="115"/>
      <c r="DC183" s="114"/>
      <c r="DD183" s="115"/>
      <c r="DE183" s="97"/>
      <c r="DF183" s="269"/>
    </row>
    <row r="184" spans="1:110" s="270" customFormat="1" ht="24" x14ac:dyDescent="0.2">
      <c r="A184" s="89">
        <v>40604</v>
      </c>
      <c r="B184" s="90" t="s">
        <v>4350</v>
      </c>
      <c r="C184" s="90" t="s">
        <v>4339</v>
      </c>
      <c r="D184" s="90" t="s">
        <v>4298</v>
      </c>
      <c r="E184" s="90" t="str">
        <f>VLOOKUP(B184&amp;C184,Divipola!$C$2:$F$1138,4,FALSE)</f>
        <v>63401</v>
      </c>
      <c r="F184" s="90"/>
      <c r="G184" s="101"/>
      <c r="H184" s="101"/>
      <c r="I184" s="101"/>
      <c r="J184" s="101">
        <v>4</v>
      </c>
      <c r="K184" s="101">
        <v>1</v>
      </c>
      <c r="L184" s="101"/>
      <c r="M184" s="101">
        <v>1</v>
      </c>
      <c r="N184" s="101"/>
      <c r="O184" s="101"/>
      <c r="P184" s="101"/>
      <c r="Q184" s="101"/>
      <c r="R184" s="101"/>
      <c r="S184" s="101"/>
      <c r="T184" s="101"/>
      <c r="U184" s="101"/>
      <c r="V184" s="101"/>
      <c r="W184" s="91"/>
      <c r="X184" s="89"/>
      <c r="Y184" s="92">
        <f t="shared" si="12"/>
        <v>0</v>
      </c>
      <c r="Z184" s="92">
        <f t="shared" si="13"/>
        <v>0</v>
      </c>
      <c r="AA184" s="92">
        <f t="shared" si="14"/>
        <v>0</v>
      </c>
      <c r="AB184" s="92">
        <f t="shared" si="15"/>
        <v>0</v>
      </c>
      <c r="AC184" s="92"/>
      <c r="AD184" s="92">
        <v>0</v>
      </c>
      <c r="AE184" s="92">
        <f t="shared" si="16"/>
        <v>0</v>
      </c>
      <c r="AF184" s="93">
        <v>0</v>
      </c>
      <c r="AG184" s="89">
        <v>40606</v>
      </c>
      <c r="AH184" s="94"/>
      <c r="AI184" s="95" t="s">
        <v>4336</v>
      </c>
      <c r="AJ184" s="96" t="s">
        <v>4337</v>
      </c>
      <c r="AK184" s="97"/>
      <c r="AL184" s="89"/>
      <c r="AM184" s="100" t="s">
        <v>3232</v>
      </c>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114"/>
      <c r="CQ184" s="115"/>
      <c r="CR184" s="114"/>
      <c r="CS184" s="115"/>
      <c r="CT184" s="114"/>
      <c r="CU184" s="115"/>
      <c r="CV184" s="99">
        <f t="shared" si="17"/>
        <v>0</v>
      </c>
      <c r="CW184" s="114"/>
      <c r="CX184" s="115"/>
      <c r="CY184" s="114"/>
      <c r="CZ184" s="115"/>
      <c r="DA184" s="115"/>
      <c r="DB184" s="115"/>
      <c r="DC184" s="114"/>
      <c r="DD184" s="115"/>
      <c r="DE184" s="97"/>
      <c r="DF184" s="269"/>
    </row>
    <row r="185" spans="1:110" s="270" customFormat="1" ht="24" x14ac:dyDescent="0.2">
      <c r="A185" s="89">
        <v>40604</v>
      </c>
      <c r="B185" s="90" t="s">
        <v>2226</v>
      </c>
      <c r="C185" s="90" t="s">
        <v>4256</v>
      </c>
      <c r="D185" s="90" t="s">
        <v>2865</v>
      </c>
      <c r="E185" s="90" t="str">
        <f>VLOOKUP(B185&amp;C185,Divipola!$C$2:$F$1138,4,FALSE)</f>
        <v>68092</v>
      </c>
      <c r="F185" s="90"/>
      <c r="G185" s="101">
        <v>3</v>
      </c>
      <c r="H185" s="101">
        <v>2</v>
      </c>
      <c r="I185" s="101">
        <v>1</v>
      </c>
      <c r="J185" s="101"/>
      <c r="K185" s="101"/>
      <c r="L185" s="101"/>
      <c r="M185" s="101"/>
      <c r="N185" s="101"/>
      <c r="O185" s="101">
        <v>1</v>
      </c>
      <c r="P185" s="101"/>
      <c r="Q185" s="101"/>
      <c r="R185" s="101"/>
      <c r="S185" s="101"/>
      <c r="T185" s="101"/>
      <c r="U185" s="101"/>
      <c r="V185" s="101"/>
      <c r="W185" s="91"/>
      <c r="X185" s="89"/>
      <c r="Y185" s="92">
        <f t="shared" si="12"/>
        <v>0</v>
      </c>
      <c r="Z185" s="92">
        <f t="shared" si="13"/>
        <v>0</v>
      </c>
      <c r="AA185" s="92">
        <f t="shared" si="14"/>
        <v>0</v>
      </c>
      <c r="AB185" s="92">
        <f t="shared" si="15"/>
        <v>0</v>
      </c>
      <c r="AC185" s="92"/>
      <c r="AD185" s="92">
        <v>0</v>
      </c>
      <c r="AE185" s="92">
        <f t="shared" si="16"/>
        <v>0</v>
      </c>
      <c r="AF185" s="93">
        <v>0</v>
      </c>
      <c r="AG185" s="89">
        <v>40606</v>
      </c>
      <c r="AH185" s="94"/>
      <c r="AI185" s="95" t="s">
        <v>4336</v>
      </c>
      <c r="AJ185" s="96" t="s">
        <v>4337</v>
      </c>
      <c r="AK185" s="97"/>
      <c r="AL185" s="89"/>
      <c r="AM185" s="100" t="s">
        <v>386</v>
      </c>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114"/>
      <c r="CQ185" s="115"/>
      <c r="CR185" s="114"/>
      <c r="CS185" s="115"/>
      <c r="CT185" s="114"/>
      <c r="CU185" s="115"/>
      <c r="CV185" s="99">
        <f t="shared" si="17"/>
        <v>0</v>
      </c>
      <c r="CW185" s="114"/>
      <c r="CX185" s="115"/>
      <c r="CY185" s="114"/>
      <c r="CZ185" s="115"/>
      <c r="DA185" s="115"/>
      <c r="DB185" s="115"/>
      <c r="DC185" s="114"/>
      <c r="DD185" s="115"/>
      <c r="DE185" s="97"/>
      <c r="DF185" s="269"/>
    </row>
    <row r="186" spans="1:110" s="270" customFormat="1" x14ac:dyDescent="0.2">
      <c r="A186" s="89">
        <v>40604</v>
      </c>
      <c r="B186" s="16" t="s">
        <v>2226</v>
      </c>
      <c r="C186" s="16" t="s">
        <v>665</v>
      </c>
      <c r="D186" s="90" t="s">
        <v>2362</v>
      </c>
      <c r="E186" s="90" t="str">
        <f>VLOOKUP(B186&amp;C186,Divipola!$C$2:$F$1138,4,FALSE)</f>
        <v>68264</v>
      </c>
      <c r="F186" s="4"/>
      <c r="G186" s="208"/>
      <c r="H186" s="208"/>
      <c r="I186" s="208"/>
      <c r="J186" s="208">
        <v>200</v>
      </c>
      <c r="K186" s="208">
        <v>40</v>
      </c>
      <c r="L186" s="208"/>
      <c r="M186" s="208"/>
      <c r="N186" s="208"/>
      <c r="O186" s="208"/>
      <c r="P186" s="208"/>
      <c r="Q186" s="208"/>
      <c r="R186" s="208"/>
      <c r="S186" s="208"/>
      <c r="T186" s="208"/>
      <c r="U186" s="208"/>
      <c r="V186" s="208"/>
      <c r="W186" s="19"/>
      <c r="X186" s="17"/>
      <c r="Y186" s="5">
        <f t="shared" si="12"/>
        <v>0</v>
      </c>
      <c r="Z186" s="5">
        <f t="shared" si="13"/>
        <v>0</v>
      </c>
      <c r="AA186" s="5">
        <f t="shared" si="14"/>
        <v>0</v>
      </c>
      <c r="AB186" s="5">
        <f t="shared" si="15"/>
        <v>0</v>
      </c>
      <c r="AC186" s="5"/>
      <c r="AD186" s="5">
        <v>0</v>
      </c>
      <c r="AE186" s="5">
        <f t="shared" si="16"/>
        <v>0</v>
      </c>
      <c r="AF186" s="70">
        <v>0</v>
      </c>
      <c r="AG186" s="17"/>
      <c r="AH186" s="18"/>
      <c r="AI186" s="47" t="s">
        <v>4336</v>
      </c>
      <c r="AJ186" s="73" t="s">
        <v>4337</v>
      </c>
      <c r="AK186" s="45"/>
      <c r="AL186" s="17"/>
      <c r="AM186" s="20" t="s">
        <v>3764</v>
      </c>
      <c r="AN186" s="19"/>
      <c r="AO186" s="19"/>
      <c r="AP186" s="19"/>
      <c r="AQ186" s="19"/>
      <c r="AR186" s="19"/>
      <c r="AS186" s="19"/>
      <c r="AT186" s="19"/>
      <c r="AU186" s="19"/>
      <c r="AV186" s="19"/>
      <c r="AW186" s="19"/>
      <c r="AX186" s="107"/>
      <c r="AY186" s="107"/>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39"/>
      <c r="CO186" s="138"/>
      <c r="CP186" s="139"/>
      <c r="CQ186" s="138"/>
      <c r="CR186" s="139"/>
      <c r="CS186" s="138"/>
      <c r="CT186" s="72"/>
      <c r="CU186" s="139"/>
      <c r="CV186" s="99">
        <f t="shared" si="17"/>
        <v>0</v>
      </c>
      <c r="CW186" s="139"/>
      <c r="CX186" s="138"/>
      <c r="CY186" s="138"/>
      <c r="CZ186" s="138"/>
      <c r="DA186" s="139"/>
      <c r="DB186" s="138"/>
      <c r="DC186" s="45"/>
      <c r="DD186" s="138"/>
      <c r="DE186" s="45"/>
      <c r="DF186" s="6"/>
    </row>
    <row r="187" spans="1:110" s="270" customFormat="1" ht="36" x14ac:dyDescent="0.2">
      <c r="A187" s="89">
        <v>40604</v>
      </c>
      <c r="B187" s="90" t="s">
        <v>2226</v>
      </c>
      <c r="C187" s="90" t="s">
        <v>2261</v>
      </c>
      <c r="D187" s="90" t="s">
        <v>4264</v>
      </c>
      <c r="E187" s="90" t="str">
        <f>VLOOKUP(B187&amp;C187,Divipola!$C$2:$F$1138,4,FALSE)</f>
        <v>68615</v>
      </c>
      <c r="F187" s="90"/>
      <c r="G187" s="101"/>
      <c r="H187" s="101"/>
      <c r="I187" s="101"/>
      <c r="J187" s="101">
        <v>10</v>
      </c>
      <c r="K187" s="101">
        <v>2</v>
      </c>
      <c r="L187" s="101">
        <v>2</v>
      </c>
      <c r="M187" s="101"/>
      <c r="N187" s="101"/>
      <c r="O187" s="101"/>
      <c r="P187" s="101"/>
      <c r="Q187" s="101"/>
      <c r="R187" s="101"/>
      <c r="S187" s="101"/>
      <c r="T187" s="101"/>
      <c r="U187" s="101"/>
      <c r="V187" s="101"/>
      <c r="W187" s="91"/>
      <c r="X187" s="89"/>
      <c r="Y187" s="92">
        <f t="shared" si="12"/>
        <v>0</v>
      </c>
      <c r="Z187" s="92">
        <f t="shared" si="13"/>
        <v>0</v>
      </c>
      <c r="AA187" s="92">
        <f t="shared" si="14"/>
        <v>0</v>
      </c>
      <c r="AB187" s="92">
        <f t="shared" si="15"/>
        <v>0</v>
      </c>
      <c r="AC187" s="92"/>
      <c r="AD187" s="92">
        <v>0</v>
      </c>
      <c r="AE187" s="92">
        <f t="shared" si="16"/>
        <v>0</v>
      </c>
      <c r="AF187" s="93">
        <v>0</v>
      </c>
      <c r="AG187" s="89">
        <v>40606</v>
      </c>
      <c r="AH187" s="94"/>
      <c r="AI187" s="95" t="s">
        <v>4346</v>
      </c>
      <c r="AJ187" s="96" t="s">
        <v>4347</v>
      </c>
      <c r="AK187" s="97"/>
      <c r="AL187" s="89" t="s">
        <v>1049</v>
      </c>
      <c r="AM187" s="100" t="s">
        <v>4199</v>
      </c>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114"/>
      <c r="CQ187" s="115"/>
      <c r="CR187" s="114"/>
      <c r="CS187" s="115"/>
      <c r="CT187" s="114"/>
      <c r="CU187" s="115"/>
      <c r="CV187" s="99">
        <f t="shared" si="17"/>
        <v>0</v>
      </c>
      <c r="CW187" s="114"/>
      <c r="CX187" s="115"/>
      <c r="CY187" s="114"/>
      <c r="CZ187" s="115"/>
      <c r="DA187" s="115"/>
      <c r="DB187" s="115"/>
      <c r="DC187" s="114"/>
      <c r="DD187" s="115"/>
      <c r="DE187" s="97"/>
      <c r="DF187" s="269"/>
    </row>
    <row r="188" spans="1:110" s="270" customFormat="1" ht="36" x14ac:dyDescent="0.2">
      <c r="A188" s="89">
        <v>40604</v>
      </c>
      <c r="B188" s="90" t="s">
        <v>4244</v>
      </c>
      <c r="C188" s="90" t="s">
        <v>4325</v>
      </c>
      <c r="D188" s="90" t="s">
        <v>4264</v>
      </c>
      <c r="E188" s="90" t="str">
        <f>VLOOKUP(B188&amp;C188,Divipola!$C$2:$F$1138,4,FALSE)</f>
        <v>76130</v>
      </c>
      <c r="F188" s="90"/>
      <c r="G188" s="101"/>
      <c r="H188" s="101"/>
      <c r="I188" s="101"/>
      <c r="J188" s="101">
        <f>175*5</f>
        <v>875</v>
      </c>
      <c r="K188" s="101">
        <f>489-300-14</f>
        <v>175</v>
      </c>
      <c r="L188" s="101"/>
      <c r="M188" s="101">
        <v>175</v>
      </c>
      <c r="N188" s="101"/>
      <c r="O188" s="101"/>
      <c r="P188" s="101"/>
      <c r="Q188" s="101"/>
      <c r="R188" s="101"/>
      <c r="S188" s="101"/>
      <c r="T188" s="101"/>
      <c r="U188" s="101"/>
      <c r="V188" s="101"/>
      <c r="W188" s="91"/>
      <c r="X188" s="89"/>
      <c r="Y188" s="92">
        <f t="shared" si="12"/>
        <v>119897540.8</v>
      </c>
      <c r="Z188" s="92">
        <f t="shared" si="13"/>
        <v>42499230</v>
      </c>
      <c r="AA188" s="92">
        <f t="shared" si="14"/>
        <v>0</v>
      </c>
      <c r="AB188" s="92">
        <f t="shared" si="15"/>
        <v>0</v>
      </c>
      <c r="AC188" s="92"/>
      <c r="AD188" s="92">
        <v>0</v>
      </c>
      <c r="AE188" s="92">
        <f t="shared" si="16"/>
        <v>162396770.80000001</v>
      </c>
      <c r="AF188" s="93">
        <v>0</v>
      </c>
      <c r="AG188" s="89">
        <v>40606</v>
      </c>
      <c r="AH188" s="94"/>
      <c r="AI188" s="95" t="s">
        <v>4346</v>
      </c>
      <c r="AJ188" s="96" t="s">
        <v>4347</v>
      </c>
      <c r="AK188" s="97"/>
      <c r="AL188" s="89"/>
      <c r="AM188" s="100" t="s">
        <v>3240</v>
      </c>
      <c r="AN188" s="91"/>
      <c r="AO188" s="91"/>
      <c r="AP188" s="91"/>
      <c r="AQ188" s="91"/>
      <c r="AR188" s="91"/>
      <c r="AS188" s="91"/>
      <c r="AT188" s="91"/>
      <c r="AU188" s="91"/>
      <c r="AV188" s="91"/>
      <c r="AW188" s="91"/>
      <c r="AX188" s="91"/>
      <c r="AY188" s="91"/>
      <c r="AZ188" s="91">
        <v>1000</v>
      </c>
      <c r="BA188" s="91">
        <f>1000*56999.58</f>
        <v>56999580</v>
      </c>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v>10</v>
      </c>
      <c r="CA188" s="91">
        <f>10*489999.08</f>
        <v>4899990.8</v>
      </c>
      <c r="CB188" s="91"/>
      <c r="CC188" s="91"/>
      <c r="CD188" s="91"/>
      <c r="CE188" s="91"/>
      <c r="CF188" s="91"/>
      <c r="CG188" s="91"/>
      <c r="CH188" s="91"/>
      <c r="CI188" s="91"/>
      <c r="CJ188" s="91">
        <v>1000</v>
      </c>
      <c r="CK188" s="91">
        <f>1000*20998.32</f>
        <v>20998320</v>
      </c>
      <c r="CL188" s="91"/>
      <c r="CM188" s="91"/>
      <c r="CN188" s="91"/>
      <c r="CO188" s="91"/>
      <c r="CP188" s="114">
        <v>500</v>
      </c>
      <c r="CQ188" s="115">
        <f>500*37999.86</f>
        <v>18999930</v>
      </c>
      <c r="CR188" s="114">
        <v>500</v>
      </c>
      <c r="CS188" s="115">
        <f>500*35999.44</f>
        <v>17999720</v>
      </c>
      <c r="CT188" s="114"/>
      <c r="CU188" s="115"/>
      <c r="CV188" s="99">
        <f t="shared" si="17"/>
        <v>119897540.8</v>
      </c>
      <c r="CW188" s="114"/>
      <c r="CX188" s="115"/>
      <c r="CY188" s="114">
        <v>500</v>
      </c>
      <c r="CZ188" s="115">
        <f>500*84998.46</f>
        <v>42499230</v>
      </c>
      <c r="DA188" s="115"/>
      <c r="DB188" s="115"/>
      <c r="DC188" s="114"/>
      <c r="DD188" s="115"/>
      <c r="DE188" s="97"/>
      <c r="DF188" s="269"/>
    </row>
    <row r="189" spans="1:110" s="270" customFormat="1" ht="24" x14ac:dyDescent="0.2">
      <c r="A189" s="89">
        <v>40604</v>
      </c>
      <c r="B189" s="90" t="s">
        <v>4244</v>
      </c>
      <c r="C189" s="90" t="s">
        <v>3332</v>
      </c>
      <c r="D189" s="90" t="s">
        <v>2362</v>
      </c>
      <c r="E189" s="90" t="str">
        <f>VLOOKUP(B189&amp;C189,Divipola!$C$2:$F$1138,4,FALSE)</f>
        <v>76233</v>
      </c>
      <c r="F189" s="90"/>
      <c r="G189" s="101"/>
      <c r="H189" s="101"/>
      <c r="I189" s="101"/>
      <c r="J189" s="101">
        <v>15</v>
      </c>
      <c r="K189" s="101">
        <v>3</v>
      </c>
      <c r="L189" s="101"/>
      <c r="M189" s="101">
        <v>3</v>
      </c>
      <c r="N189" s="101"/>
      <c r="O189" s="101"/>
      <c r="P189" s="101"/>
      <c r="Q189" s="101"/>
      <c r="R189" s="101"/>
      <c r="S189" s="101"/>
      <c r="T189" s="101"/>
      <c r="U189" s="101"/>
      <c r="V189" s="101"/>
      <c r="W189" s="91"/>
      <c r="X189" s="89"/>
      <c r="Y189" s="92">
        <f t="shared" si="12"/>
        <v>0</v>
      </c>
      <c r="Z189" s="92">
        <f t="shared" si="13"/>
        <v>0</v>
      </c>
      <c r="AA189" s="92">
        <f t="shared" si="14"/>
        <v>0</v>
      </c>
      <c r="AB189" s="92">
        <f t="shared" si="15"/>
        <v>0</v>
      </c>
      <c r="AC189" s="92"/>
      <c r="AD189" s="92">
        <v>0</v>
      </c>
      <c r="AE189" s="92">
        <f t="shared" si="16"/>
        <v>0</v>
      </c>
      <c r="AF189" s="93">
        <v>0</v>
      </c>
      <c r="AG189" s="89">
        <v>40606</v>
      </c>
      <c r="AH189" s="94"/>
      <c r="AI189" s="95" t="s">
        <v>4336</v>
      </c>
      <c r="AJ189" s="96" t="s">
        <v>4337</v>
      </c>
      <c r="AK189" s="97"/>
      <c r="AL189" s="89"/>
      <c r="AM189" s="100" t="s">
        <v>3236</v>
      </c>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114"/>
      <c r="CQ189" s="115"/>
      <c r="CR189" s="114"/>
      <c r="CS189" s="115"/>
      <c r="CT189" s="114"/>
      <c r="CU189" s="115"/>
      <c r="CV189" s="99">
        <f t="shared" si="17"/>
        <v>0</v>
      </c>
      <c r="CW189" s="114"/>
      <c r="CX189" s="115"/>
      <c r="CY189" s="114"/>
      <c r="CZ189" s="115"/>
      <c r="DA189" s="115"/>
      <c r="DB189" s="115"/>
      <c r="DC189" s="114"/>
      <c r="DD189" s="115"/>
      <c r="DE189" s="97"/>
      <c r="DF189" s="269"/>
    </row>
    <row r="190" spans="1:110" s="270" customFormat="1" ht="48" x14ac:dyDescent="0.2">
      <c r="A190" s="89">
        <v>40605</v>
      </c>
      <c r="B190" s="90" t="s">
        <v>3533</v>
      </c>
      <c r="C190" s="90" t="s">
        <v>862</v>
      </c>
      <c r="D190" s="90" t="s">
        <v>2362</v>
      </c>
      <c r="E190" s="90" t="str">
        <f>VLOOKUP(B190&amp;C190,Divipola!$C$2:$F$1138,4,FALSE)</f>
        <v>17001</v>
      </c>
      <c r="F190" s="90"/>
      <c r="G190" s="101"/>
      <c r="H190" s="101"/>
      <c r="I190" s="101"/>
      <c r="J190" s="101">
        <f>117*5</f>
        <v>585</v>
      </c>
      <c r="K190" s="101">
        <f>144-4-23</f>
        <v>117</v>
      </c>
      <c r="L190" s="101"/>
      <c r="M190" s="101">
        <v>117</v>
      </c>
      <c r="N190" s="101">
        <v>3</v>
      </c>
      <c r="O190" s="101"/>
      <c r="P190" s="101"/>
      <c r="Q190" s="101"/>
      <c r="R190" s="101"/>
      <c r="S190" s="101"/>
      <c r="T190" s="101"/>
      <c r="U190" s="101"/>
      <c r="V190" s="101"/>
      <c r="W190" s="91"/>
      <c r="X190" s="89"/>
      <c r="Y190" s="92">
        <f t="shared" si="12"/>
        <v>0</v>
      </c>
      <c r="Z190" s="92">
        <f t="shared" si="13"/>
        <v>0</v>
      </c>
      <c r="AA190" s="92">
        <f t="shared" si="14"/>
        <v>0</v>
      </c>
      <c r="AB190" s="92">
        <f t="shared" si="15"/>
        <v>0</v>
      </c>
      <c r="AC190" s="92"/>
      <c r="AD190" s="92">
        <v>0</v>
      </c>
      <c r="AE190" s="92">
        <f t="shared" si="16"/>
        <v>0</v>
      </c>
      <c r="AF190" s="93">
        <v>0</v>
      </c>
      <c r="AG190" s="89">
        <v>40606</v>
      </c>
      <c r="AH190" s="94"/>
      <c r="AI190" s="95" t="s">
        <v>4336</v>
      </c>
      <c r="AJ190" s="96" t="s">
        <v>4337</v>
      </c>
      <c r="AK190" s="97"/>
      <c r="AL190" s="89"/>
      <c r="AM190" s="100" t="s">
        <v>3243</v>
      </c>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114"/>
      <c r="CQ190" s="115"/>
      <c r="CR190" s="114"/>
      <c r="CS190" s="115"/>
      <c r="CT190" s="114"/>
      <c r="CU190" s="115"/>
      <c r="CV190" s="99">
        <f t="shared" si="17"/>
        <v>0</v>
      </c>
      <c r="CW190" s="114"/>
      <c r="CX190" s="115"/>
      <c r="CY190" s="114"/>
      <c r="CZ190" s="115"/>
      <c r="DA190" s="115"/>
      <c r="DB190" s="115"/>
      <c r="DC190" s="114"/>
      <c r="DD190" s="115"/>
      <c r="DE190" s="97"/>
      <c r="DF190" s="269"/>
    </row>
    <row r="191" spans="1:110" s="270" customFormat="1" x14ac:dyDescent="0.2">
      <c r="A191" s="89">
        <v>40605</v>
      </c>
      <c r="B191" s="90" t="s">
        <v>3533</v>
      </c>
      <c r="C191" s="90" t="s">
        <v>969</v>
      </c>
      <c r="D191" s="90" t="s">
        <v>4264</v>
      </c>
      <c r="E191" s="90" t="str">
        <f>VLOOKUP(B191&amp;C191,Divipola!$C$2:$F$1138,4,FALSE)</f>
        <v>17495</v>
      </c>
      <c r="F191" s="90"/>
      <c r="G191" s="101"/>
      <c r="H191" s="101"/>
      <c r="I191" s="101"/>
      <c r="J191" s="101">
        <f>50*5</f>
        <v>250</v>
      </c>
      <c r="K191" s="101">
        <v>50</v>
      </c>
      <c r="L191" s="101"/>
      <c r="M191" s="101">
        <v>50</v>
      </c>
      <c r="N191" s="101"/>
      <c r="O191" s="101"/>
      <c r="P191" s="101"/>
      <c r="Q191" s="101"/>
      <c r="R191" s="101"/>
      <c r="S191" s="101"/>
      <c r="T191" s="101"/>
      <c r="U191" s="101"/>
      <c r="V191" s="101"/>
      <c r="W191" s="91"/>
      <c r="X191" s="89"/>
      <c r="Y191" s="92">
        <f t="shared" si="12"/>
        <v>0</v>
      </c>
      <c r="Z191" s="92">
        <f t="shared" si="13"/>
        <v>0</v>
      </c>
      <c r="AA191" s="92">
        <f t="shared" si="14"/>
        <v>0</v>
      </c>
      <c r="AB191" s="92">
        <f t="shared" si="15"/>
        <v>0</v>
      </c>
      <c r="AC191" s="92"/>
      <c r="AD191" s="92">
        <v>0</v>
      </c>
      <c r="AE191" s="92">
        <f t="shared" si="16"/>
        <v>0</v>
      </c>
      <c r="AF191" s="93">
        <v>0</v>
      </c>
      <c r="AG191" s="89">
        <v>40613</v>
      </c>
      <c r="AH191" s="94"/>
      <c r="AI191" s="95" t="s">
        <v>4336</v>
      </c>
      <c r="AJ191" s="96" t="s">
        <v>4337</v>
      </c>
      <c r="AK191" s="97"/>
      <c r="AL191" s="89"/>
      <c r="AM191" s="100" t="s">
        <v>3452</v>
      </c>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114"/>
      <c r="CQ191" s="115"/>
      <c r="CR191" s="114"/>
      <c r="CS191" s="115"/>
      <c r="CT191" s="114"/>
      <c r="CU191" s="115"/>
      <c r="CV191" s="99">
        <f t="shared" si="17"/>
        <v>0</v>
      </c>
      <c r="CW191" s="114"/>
      <c r="CX191" s="115"/>
      <c r="CY191" s="114"/>
      <c r="CZ191" s="115"/>
      <c r="DA191" s="115"/>
      <c r="DB191" s="115"/>
      <c r="DC191" s="114"/>
      <c r="DD191" s="115"/>
      <c r="DE191" s="97"/>
      <c r="DF191" s="269">
        <v>1727</v>
      </c>
    </row>
    <row r="192" spans="1:110" s="270" customFormat="1" ht="24" x14ac:dyDescent="0.2">
      <c r="A192" s="89">
        <v>40605</v>
      </c>
      <c r="B192" s="90" t="s">
        <v>4387</v>
      </c>
      <c r="C192" s="90" t="s">
        <v>441</v>
      </c>
      <c r="D192" s="90" t="s">
        <v>2362</v>
      </c>
      <c r="E192" s="90" t="str">
        <f>VLOOKUP(B192&amp;C192,Divipola!$C$2:$F$1138,4,FALSE)</f>
        <v>52036</v>
      </c>
      <c r="F192" s="90"/>
      <c r="G192" s="101"/>
      <c r="H192" s="101"/>
      <c r="I192" s="101"/>
      <c r="J192" s="101">
        <v>856</v>
      </c>
      <c r="K192" s="101">
        <v>214</v>
      </c>
      <c r="L192" s="101"/>
      <c r="M192" s="101">
        <v>214</v>
      </c>
      <c r="N192" s="101"/>
      <c r="O192" s="101"/>
      <c r="P192" s="101"/>
      <c r="Q192" s="101"/>
      <c r="R192" s="101"/>
      <c r="S192" s="101"/>
      <c r="T192" s="101">
        <v>2</v>
      </c>
      <c r="U192" s="101"/>
      <c r="V192" s="101">
        <v>37.5</v>
      </c>
      <c r="W192" s="91"/>
      <c r="X192" s="105"/>
      <c r="Y192" s="92">
        <f t="shared" si="12"/>
        <v>0</v>
      </c>
      <c r="Z192" s="92">
        <f t="shared" si="13"/>
        <v>0</v>
      </c>
      <c r="AA192" s="92">
        <f t="shared" si="14"/>
        <v>0</v>
      </c>
      <c r="AB192" s="92">
        <f t="shared" si="15"/>
        <v>0</v>
      </c>
      <c r="AC192" s="92"/>
      <c r="AD192" s="92">
        <v>0</v>
      </c>
      <c r="AE192" s="92">
        <f t="shared" si="16"/>
        <v>0</v>
      </c>
      <c r="AF192" s="93">
        <v>0</v>
      </c>
      <c r="AG192" s="105"/>
      <c r="AH192" s="108"/>
      <c r="AI192" s="109" t="s">
        <v>4336</v>
      </c>
      <c r="AJ192" s="110" t="s">
        <v>4337</v>
      </c>
      <c r="AK192" s="111"/>
      <c r="AL192" s="105" t="s">
        <v>1069</v>
      </c>
      <c r="AM192" s="100" t="s">
        <v>4495</v>
      </c>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18"/>
      <c r="CO192" s="119"/>
      <c r="CP192" s="118"/>
      <c r="CQ192" s="119"/>
      <c r="CR192" s="118"/>
      <c r="CS192" s="119"/>
      <c r="CT192" s="113"/>
      <c r="CU192" s="118"/>
      <c r="CV192" s="99">
        <f t="shared" si="17"/>
        <v>0</v>
      </c>
      <c r="CW192" s="118"/>
      <c r="CX192" s="119"/>
      <c r="CY192" s="119"/>
      <c r="CZ192" s="119"/>
      <c r="DA192" s="118"/>
      <c r="DB192" s="119"/>
      <c r="DC192" s="111"/>
      <c r="DD192" s="119"/>
      <c r="DE192" s="111"/>
      <c r="DF192" s="269"/>
    </row>
    <row r="193" spans="1:110" s="270" customFormat="1" ht="22.5" x14ac:dyDescent="0.2">
      <c r="A193" s="89">
        <v>40605</v>
      </c>
      <c r="B193" s="90" t="s">
        <v>4387</v>
      </c>
      <c r="C193" s="90" t="s">
        <v>499</v>
      </c>
      <c r="D193" s="90" t="s">
        <v>2362</v>
      </c>
      <c r="E193" s="90" t="str">
        <f>VLOOKUP(B193&amp;C193,Divipola!$C$2:$F$1138,4,FALSE)</f>
        <v>52405</v>
      </c>
      <c r="F193" s="90"/>
      <c r="G193" s="101"/>
      <c r="H193" s="101"/>
      <c r="I193" s="101"/>
      <c r="J193" s="101"/>
      <c r="K193" s="101"/>
      <c r="L193" s="101"/>
      <c r="M193" s="101"/>
      <c r="N193" s="101"/>
      <c r="O193" s="101"/>
      <c r="P193" s="101"/>
      <c r="Q193" s="101"/>
      <c r="R193" s="101"/>
      <c r="S193" s="101"/>
      <c r="T193" s="101"/>
      <c r="U193" s="101"/>
      <c r="V193" s="101">
        <v>2453.5</v>
      </c>
      <c r="W193" s="91"/>
      <c r="X193" s="105"/>
      <c r="Y193" s="92">
        <f t="shared" si="12"/>
        <v>0</v>
      </c>
      <c r="Z193" s="92">
        <f t="shared" si="13"/>
        <v>0</v>
      </c>
      <c r="AA193" s="92">
        <f t="shared" si="14"/>
        <v>0</v>
      </c>
      <c r="AB193" s="92">
        <f t="shared" si="15"/>
        <v>0</v>
      </c>
      <c r="AC193" s="92"/>
      <c r="AD193" s="92">
        <v>0</v>
      </c>
      <c r="AE193" s="92">
        <f t="shared" si="16"/>
        <v>0</v>
      </c>
      <c r="AF193" s="93">
        <v>0</v>
      </c>
      <c r="AG193" s="105"/>
      <c r="AH193" s="108"/>
      <c r="AI193" s="109" t="s">
        <v>4336</v>
      </c>
      <c r="AJ193" s="110" t="s">
        <v>4337</v>
      </c>
      <c r="AK193" s="111"/>
      <c r="AL193" s="105" t="s">
        <v>1069</v>
      </c>
      <c r="AM193" s="100" t="s">
        <v>4494</v>
      </c>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18"/>
      <c r="CO193" s="119"/>
      <c r="CP193" s="118"/>
      <c r="CQ193" s="119"/>
      <c r="CR193" s="118"/>
      <c r="CS193" s="119"/>
      <c r="CT193" s="113"/>
      <c r="CU193" s="118"/>
      <c r="CV193" s="99">
        <f t="shared" si="17"/>
        <v>0</v>
      </c>
      <c r="CW193" s="118"/>
      <c r="CX193" s="119"/>
      <c r="CY193" s="119"/>
      <c r="CZ193" s="119"/>
      <c r="DA193" s="118"/>
      <c r="DB193" s="119"/>
      <c r="DC193" s="111"/>
      <c r="DD193" s="119"/>
      <c r="DE193" s="111"/>
      <c r="DF193" s="269"/>
    </row>
    <row r="194" spans="1:110" s="270" customFormat="1" ht="48" x14ac:dyDescent="0.2">
      <c r="A194" s="89">
        <v>40605</v>
      </c>
      <c r="B194" s="90" t="s">
        <v>4221</v>
      </c>
      <c r="C194" s="90" t="s">
        <v>3357</v>
      </c>
      <c r="D194" s="90" t="s">
        <v>2362</v>
      </c>
      <c r="E194" s="90" t="str">
        <f>VLOOKUP(B194&amp;C194,Divipola!$C$2:$F$1138,4,FALSE)</f>
        <v>54518</v>
      </c>
      <c r="F194" s="90"/>
      <c r="G194" s="101"/>
      <c r="H194" s="101"/>
      <c r="I194" s="101"/>
      <c r="J194" s="101"/>
      <c r="K194" s="101"/>
      <c r="L194" s="101"/>
      <c r="M194" s="101"/>
      <c r="N194" s="101">
        <v>1</v>
      </c>
      <c r="O194" s="101"/>
      <c r="P194" s="101"/>
      <c r="Q194" s="101"/>
      <c r="R194" s="101"/>
      <c r="S194" s="101"/>
      <c r="T194" s="101"/>
      <c r="U194" s="101"/>
      <c r="V194" s="101"/>
      <c r="W194" s="91"/>
      <c r="X194" s="89"/>
      <c r="Y194" s="92">
        <f t="shared" si="12"/>
        <v>0</v>
      </c>
      <c r="Z194" s="92">
        <f t="shared" si="13"/>
        <v>0</v>
      </c>
      <c r="AA194" s="92">
        <f t="shared" si="14"/>
        <v>0</v>
      </c>
      <c r="AB194" s="92">
        <f t="shared" si="15"/>
        <v>0</v>
      </c>
      <c r="AC194" s="92"/>
      <c r="AD194" s="92">
        <v>0</v>
      </c>
      <c r="AE194" s="92">
        <f t="shared" si="16"/>
        <v>0</v>
      </c>
      <c r="AF194" s="93">
        <v>0</v>
      </c>
      <c r="AG194" s="89">
        <v>40606</v>
      </c>
      <c r="AH194" s="94"/>
      <c r="AI194" s="102" t="s">
        <v>4336</v>
      </c>
      <c r="AJ194" s="96" t="s">
        <v>4337</v>
      </c>
      <c r="AK194" s="97"/>
      <c r="AL194" s="89"/>
      <c r="AM194" s="100" t="s">
        <v>3241</v>
      </c>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114"/>
      <c r="CQ194" s="115"/>
      <c r="CR194" s="114"/>
      <c r="CS194" s="115"/>
      <c r="CT194" s="114"/>
      <c r="CU194" s="115"/>
      <c r="CV194" s="99">
        <f t="shared" si="17"/>
        <v>0</v>
      </c>
      <c r="CW194" s="114"/>
      <c r="CX194" s="115"/>
      <c r="CY194" s="114"/>
      <c r="CZ194" s="115"/>
      <c r="DA194" s="115"/>
      <c r="DB194" s="115"/>
      <c r="DC194" s="114"/>
      <c r="DD194" s="115"/>
      <c r="DE194" s="97"/>
      <c r="DF194" s="269"/>
    </row>
    <row r="195" spans="1:110" s="270" customFormat="1" ht="60" x14ac:dyDescent="0.2">
      <c r="A195" s="89">
        <v>40605</v>
      </c>
      <c r="B195" s="90" t="s">
        <v>4221</v>
      </c>
      <c r="C195" s="90" t="s">
        <v>4300</v>
      </c>
      <c r="D195" s="90" t="s">
        <v>4264</v>
      </c>
      <c r="E195" s="90" t="str">
        <f>VLOOKUP(B195&amp;C195,Divipola!$C$2:$F$1138,4,FALSE)</f>
        <v>54874</v>
      </c>
      <c r="F195" s="90"/>
      <c r="G195" s="101"/>
      <c r="H195" s="101"/>
      <c r="I195" s="101"/>
      <c r="J195" s="101">
        <v>400</v>
      </c>
      <c r="K195" s="101">
        <v>100</v>
      </c>
      <c r="L195" s="101"/>
      <c r="M195" s="101">
        <v>100</v>
      </c>
      <c r="N195" s="101"/>
      <c r="O195" s="101">
        <v>1</v>
      </c>
      <c r="P195" s="101"/>
      <c r="Q195" s="101"/>
      <c r="R195" s="101"/>
      <c r="S195" s="101"/>
      <c r="T195" s="101"/>
      <c r="U195" s="101"/>
      <c r="V195" s="101"/>
      <c r="W195" s="91"/>
      <c r="X195" s="89"/>
      <c r="Y195" s="92">
        <f t="shared" ref="Y195:Y258" si="18">CV195</f>
        <v>0</v>
      </c>
      <c r="Z195" s="92">
        <f t="shared" ref="Z195:Z258" si="19">CZ195</f>
        <v>0</v>
      </c>
      <c r="AA195" s="92">
        <f t="shared" ref="AA195:AA258" si="20">DB195+DD195</f>
        <v>0</v>
      </c>
      <c r="AB195" s="92">
        <f t="shared" ref="AB195:AB258" si="21">CX195</f>
        <v>0</v>
      </c>
      <c r="AC195" s="92"/>
      <c r="AD195" s="92">
        <v>0</v>
      </c>
      <c r="AE195" s="92">
        <f t="shared" ref="AE195:AE258" si="22">Y195+Z195+AA195+AB195+AC195+AD195</f>
        <v>0</v>
      </c>
      <c r="AF195" s="93">
        <v>0</v>
      </c>
      <c r="AG195" s="89">
        <v>40606</v>
      </c>
      <c r="AH195" s="94"/>
      <c r="AI195" s="102" t="s">
        <v>4336</v>
      </c>
      <c r="AJ195" s="96" t="s">
        <v>4337</v>
      </c>
      <c r="AK195" s="97"/>
      <c r="AL195" s="89"/>
      <c r="AM195" s="100" t="s">
        <v>53</v>
      </c>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114"/>
      <c r="CQ195" s="115"/>
      <c r="CR195" s="114"/>
      <c r="CS195" s="115"/>
      <c r="CT195" s="114"/>
      <c r="CU195" s="115"/>
      <c r="CV195" s="99">
        <f t="shared" ref="CV195:CV258" si="23">AO195+AQ195+AS195+AU195+AW195+AY195+BA195+BC195+BE195+BG195+BI195+BK195+BM195+BO195+BQ195+BS195+BU195+BW195+BY195+CA195+CC195+CE195+CG195+CI195+CK195+CM195+CO195+CQ195+CS195+CU195</f>
        <v>0</v>
      </c>
      <c r="CW195" s="114"/>
      <c r="CX195" s="115"/>
      <c r="CY195" s="114"/>
      <c r="CZ195" s="115"/>
      <c r="DA195" s="115"/>
      <c r="DB195" s="115"/>
      <c r="DC195" s="114"/>
      <c r="DD195" s="115"/>
      <c r="DE195" s="97"/>
      <c r="DF195" s="269"/>
    </row>
    <row r="196" spans="1:110" s="270" customFormat="1" x14ac:dyDescent="0.2">
      <c r="A196" s="89">
        <v>40605</v>
      </c>
      <c r="B196" s="90" t="s">
        <v>4348</v>
      </c>
      <c r="C196" s="90" t="s">
        <v>3302</v>
      </c>
      <c r="D196" s="90" t="s">
        <v>4264</v>
      </c>
      <c r="E196" s="90" t="str">
        <f>VLOOKUP(B196&amp;C196,Divipola!$C$2:$F$1138,4,FALSE)</f>
        <v>66045</v>
      </c>
      <c r="F196" s="90"/>
      <c r="G196" s="101"/>
      <c r="H196" s="101"/>
      <c r="I196" s="101"/>
      <c r="J196" s="101">
        <v>60</v>
      </c>
      <c r="K196" s="101">
        <v>12</v>
      </c>
      <c r="L196" s="101"/>
      <c r="M196" s="101"/>
      <c r="N196" s="101"/>
      <c r="O196" s="101"/>
      <c r="P196" s="101"/>
      <c r="Q196" s="101"/>
      <c r="R196" s="101"/>
      <c r="S196" s="101"/>
      <c r="T196" s="101"/>
      <c r="U196" s="101"/>
      <c r="V196" s="101"/>
      <c r="W196" s="91"/>
      <c r="X196" s="89"/>
      <c r="Y196" s="92">
        <f t="shared" si="18"/>
        <v>0</v>
      </c>
      <c r="Z196" s="92">
        <f t="shared" si="19"/>
        <v>0</v>
      </c>
      <c r="AA196" s="92">
        <f t="shared" si="20"/>
        <v>0</v>
      </c>
      <c r="AB196" s="92">
        <f t="shared" si="21"/>
        <v>0</v>
      </c>
      <c r="AC196" s="92"/>
      <c r="AD196" s="92">
        <v>0</v>
      </c>
      <c r="AE196" s="92">
        <f t="shared" si="22"/>
        <v>0</v>
      </c>
      <c r="AF196" s="93">
        <v>0</v>
      </c>
      <c r="AG196" s="89">
        <v>40624</v>
      </c>
      <c r="AH196" s="94"/>
      <c r="AI196" s="95" t="s">
        <v>4336</v>
      </c>
      <c r="AJ196" s="96" t="s">
        <v>4337</v>
      </c>
      <c r="AK196" s="97"/>
      <c r="AL196" s="89"/>
      <c r="AM196" s="100" t="s">
        <v>3238</v>
      </c>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114"/>
      <c r="CQ196" s="115"/>
      <c r="CR196" s="114"/>
      <c r="CS196" s="115"/>
      <c r="CT196" s="114"/>
      <c r="CU196" s="115"/>
      <c r="CV196" s="99">
        <f t="shared" si="23"/>
        <v>0</v>
      </c>
      <c r="CW196" s="114"/>
      <c r="CX196" s="115"/>
      <c r="CY196" s="114"/>
      <c r="CZ196" s="115"/>
      <c r="DA196" s="115"/>
      <c r="DB196" s="115"/>
      <c r="DC196" s="114"/>
      <c r="DD196" s="115"/>
      <c r="DE196" s="97"/>
      <c r="DF196" s="269"/>
    </row>
    <row r="197" spans="1:110" s="270" customFormat="1" ht="24" x14ac:dyDescent="0.2">
      <c r="A197" s="89">
        <v>40605</v>
      </c>
      <c r="B197" s="90" t="s">
        <v>4348</v>
      </c>
      <c r="C197" s="90" t="s">
        <v>2228</v>
      </c>
      <c r="D197" s="90" t="s">
        <v>2865</v>
      </c>
      <c r="E197" s="90" t="str">
        <f>VLOOKUP(B197&amp;C197,Divipola!$C$2:$F$1138,4,FALSE)</f>
        <v>66001</v>
      </c>
      <c r="F197" s="90"/>
      <c r="G197" s="101"/>
      <c r="H197" s="101"/>
      <c r="I197" s="101"/>
      <c r="J197" s="101">
        <v>5</v>
      </c>
      <c r="K197" s="101">
        <v>1</v>
      </c>
      <c r="L197" s="101"/>
      <c r="M197" s="101">
        <v>1</v>
      </c>
      <c r="N197" s="101"/>
      <c r="O197" s="101"/>
      <c r="P197" s="101"/>
      <c r="Q197" s="101"/>
      <c r="R197" s="101"/>
      <c r="S197" s="101"/>
      <c r="T197" s="101"/>
      <c r="U197" s="101"/>
      <c r="V197" s="101"/>
      <c r="W197" s="91"/>
      <c r="X197" s="89"/>
      <c r="Y197" s="92">
        <f t="shared" si="18"/>
        <v>0</v>
      </c>
      <c r="Z197" s="92">
        <f t="shared" si="19"/>
        <v>0</v>
      </c>
      <c r="AA197" s="92">
        <f t="shared" si="20"/>
        <v>0</v>
      </c>
      <c r="AB197" s="92">
        <f t="shared" si="21"/>
        <v>0</v>
      </c>
      <c r="AC197" s="92"/>
      <c r="AD197" s="92">
        <v>0</v>
      </c>
      <c r="AE197" s="92">
        <f t="shared" si="22"/>
        <v>0</v>
      </c>
      <c r="AF197" s="93">
        <v>0</v>
      </c>
      <c r="AG197" s="89">
        <v>40606</v>
      </c>
      <c r="AH197" s="94"/>
      <c r="AI197" s="102" t="s">
        <v>4336</v>
      </c>
      <c r="AJ197" s="96" t="s">
        <v>4337</v>
      </c>
      <c r="AK197" s="97"/>
      <c r="AL197" s="89"/>
      <c r="AM197" s="100" t="s">
        <v>4200</v>
      </c>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114"/>
      <c r="CQ197" s="115"/>
      <c r="CR197" s="114"/>
      <c r="CS197" s="115"/>
      <c r="CT197" s="114"/>
      <c r="CU197" s="115"/>
      <c r="CV197" s="99">
        <f t="shared" si="23"/>
        <v>0</v>
      </c>
      <c r="CW197" s="114"/>
      <c r="CX197" s="115"/>
      <c r="CY197" s="114"/>
      <c r="CZ197" s="115"/>
      <c r="DA197" s="115"/>
      <c r="DB197" s="115"/>
      <c r="DC197" s="114"/>
      <c r="DD197" s="115"/>
      <c r="DE197" s="97"/>
      <c r="DF197" s="269"/>
    </row>
    <row r="198" spans="1:110" s="270" customFormat="1" x14ac:dyDescent="0.2">
      <c r="A198" s="89">
        <v>40605</v>
      </c>
      <c r="B198" s="90" t="s">
        <v>4348</v>
      </c>
      <c r="C198" s="90" t="s">
        <v>2251</v>
      </c>
      <c r="D198" s="90" t="s">
        <v>2362</v>
      </c>
      <c r="E198" s="90" t="str">
        <f>VLOOKUP(B198&amp;C198,Divipola!$C$2:$F$1138,4,FALSE)</f>
        <v>66594</v>
      </c>
      <c r="F198" s="90"/>
      <c r="G198" s="101"/>
      <c r="H198" s="101"/>
      <c r="I198" s="101"/>
      <c r="J198" s="101">
        <v>60</v>
      </c>
      <c r="K198" s="101">
        <v>12</v>
      </c>
      <c r="L198" s="101"/>
      <c r="M198" s="101"/>
      <c r="N198" s="101"/>
      <c r="O198" s="101"/>
      <c r="P198" s="101"/>
      <c r="Q198" s="101"/>
      <c r="R198" s="101"/>
      <c r="S198" s="101"/>
      <c r="T198" s="101"/>
      <c r="U198" s="101"/>
      <c r="V198" s="101"/>
      <c r="W198" s="91"/>
      <c r="X198" s="89"/>
      <c r="Y198" s="92">
        <f t="shared" si="18"/>
        <v>0</v>
      </c>
      <c r="Z198" s="92">
        <f t="shared" si="19"/>
        <v>0</v>
      </c>
      <c r="AA198" s="92">
        <f t="shared" si="20"/>
        <v>0</v>
      </c>
      <c r="AB198" s="92">
        <f t="shared" si="21"/>
        <v>0</v>
      </c>
      <c r="AC198" s="92"/>
      <c r="AD198" s="92">
        <v>0</v>
      </c>
      <c r="AE198" s="92">
        <f t="shared" si="22"/>
        <v>0</v>
      </c>
      <c r="AF198" s="93">
        <v>0</v>
      </c>
      <c r="AG198" s="89">
        <v>40624</v>
      </c>
      <c r="AH198" s="94"/>
      <c r="AI198" s="95" t="s">
        <v>4336</v>
      </c>
      <c r="AJ198" s="96" t="s">
        <v>4337</v>
      </c>
      <c r="AK198" s="97"/>
      <c r="AL198" s="89"/>
      <c r="AM198" s="100" t="s">
        <v>3238</v>
      </c>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114"/>
      <c r="CQ198" s="115"/>
      <c r="CR198" s="114"/>
      <c r="CS198" s="115"/>
      <c r="CT198" s="114"/>
      <c r="CU198" s="115"/>
      <c r="CV198" s="99">
        <f t="shared" si="23"/>
        <v>0</v>
      </c>
      <c r="CW198" s="114"/>
      <c r="CX198" s="115"/>
      <c r="CY198" s="114"/>
      <c r="CZ198" s="115"/>
      <c r="DA198" s="115"/>
      <c r="DB198" s="115"/>
      <c r="DC198" s="114"/>
      <c r="DD198" s="115"/>
      <c r="DE198" s="97"/>
      <c r="DF198" s="269"/>
    </row>
    <row r="199" spans="1:110" s="270" customFormat="1" ht="60" x14ac:dyDescent="0.2">
      <c r="A199" s="89">
        <v>40605</v>
      </c>
      <c r="B199" s="90" t="s">
        <v>2226</v>
      </c>
      <c r="C199" s="90" t="s">
        <v>967</v>
      </c>
      <c r="D199" s="90" t="s">
        <v>2860</v>
      </c>
      <c r="E199" s="90" t="str">
        <f>VLOOKUP(B199&amp;C199,Divipola!$C$2:$F$1138,4,FALSE)</f>
        <v>68132</v>
      </c>
      <c r="F199" s="90"/>
      <c r="G199" s="101">
        <v>3</v>
      </c>
      <c r="H199" s="101"/>
      <c r="I199" s="101"/>
      <c r="J199" s="101">
        <f>58*4.5</f>
        <v>261</v>
      </c>
      <c r="K199" s="101">
        <v>58</v>
      </c>
      <c r="L199" s="101"/>
      <c r="M199" s="101">
        <v>30</v>
      </c>
      <c r="N199" s="101"/>
      <c r="O199" s="101"/>
      <c r="P199" s="101"/>
      <c r="Q199" s="101"/>
      <c r="R199" s="101"/>
      <c r="S199" s="101"/>
      <c r="T199" s="101"/>
      <c r="U199" s="101"/>
      <c r="V199" s="101"/>
      <c r="W199" s="91" t="s">
        <v>4201</v>
      </c>
      <c r="X199" s="89"/>
      <c r="Y199" s="92">
        <f t="shared" si="18"/>
        <v>0</v>
      </c>
      <c r="Z199" s="92">
        <f t="shared" si="19"/>
        <v>0</v>
      </c>
      <c r="AA199" s="92">
        <f t="shared" si="20"/>
        <v>0</v>
      </c>
      <c r="AB199" s="92">
        <f t="shared" si="21"/>
        <v>0</v>
      </c>
      <c r="AC199" s="92"/>
      <c r="AD199" s="92">
        <v>0</v>
      </c>
      <c r="AE199" s="92">
        <f t="shared" si="22"/>
        <v>0</v>
      </c>
      <c r="AF199" s="93">
        <v>0</v>
      </c>
      <c r="AG199" s="89">
        <v>40606</v>
      </c>
      <c r="AH199" s="94"/>
      <c r="AI199" s="95" t="s">
        <v>4346</v>
      </c>
      <c r="AJ199" s="96" t="s">
        <v>4347</v>
      </c>
      <c r="AK199" s="97"/>
      <c r="AL199" s="89" t="s">
        <v>1049</v>
      </c>
      <c r="AM199" s="100" t="s">
        <v>4202</v>
      </c>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114"/>
      <c r="CQ199" s="115"/>
      <c r="CR199" s="114"/>
      <c r="CS199" s="115"/>
      <c r="CT199" s="114"/>
      <c r="CU199" s="115"/>
      <c r="CV199" s="99">
        <f t="shared" si="23"/>
        <v>0</v>
      </c>
      <c r="CW199" s="114"/>
      <c r="CX199" s="115"/>
      <c r="CY199" s="114"/>
      <c r="CZ199" s="115"/>
      <c r="DA199" s="115"/>
      <c r="DB199" s="115"/>
      <c r="DC199" s="114"/>
      <c r="DD199" s="115"/>
      <c r="DE199" s="97"/>
      <c r="DF199" s="269"/>
    </row>
    <row r="200" spans="1:110" s="270" customFormat="1" ht="24" x14ac:dyDescent="0.2">
      <c r="A200" s="89">
        <v>40605</v>
      </c>
      <c r="B200" s="90" t="s">
        <v>2204</v>
      </c>
      <c r="C200" s="90" t="s">
        <v>2217</v>
      </c>
      <c r="D200" s="90" t="s">
        <v>4298</v>
      </c>
      <c r="E200" s="90" t="str">
        <f>VLOOKUP(B200&amp;C200,Divipola!$C$2:$F$1138,4,FALSE)</f>
        <v>70713</v>
      </c>
      <c r="F200" s="90"/>
      <c r="G200" s="101"/>
      <c r="H200" s="101"/>
      <c r="I200" s="101"/>
      <c r="J200" s="101">
        <v>456</v>
      </c>
      <c r="K200" s="101">
        <v>114</v>
      </c>
      <c r="L200" s="101">
        <v>38</v>
      </c>
      <c r="M200" s="101"/>
      <c r="N200" s="101"/>
      <c r="O200" s="101"/>
      <c r="P200" s="101"/>
      <c r="Q200" s="101"/>
      <c r="R200" s="101"/>
      <c r="S200" s="101"/>
      <c r="T200" s="101"/>
      <c r="U200" s="101"/>
      <c r="V200" s="101"/>
      <c r="W200" s="91" t="s">
        <v>816</v>
      </c>
      <c r="X200" s="89"/>
      <c r="Y200" s="92">
        <f t="shared" si="18"/>
        <v>0</v>
      </c>
      <c r="Z200" s="92">
        <f t="shared" si="19"/>
        <v>0</v>
      </c>
      <c r="AA200" s="92">
        <f t="shared" si="20"/>
        <v>0</v>
      </c>
      <c r="AB200" s="92">
        <f t="shared" si="21"/>
        <v>0</v>
      </c>
      <c r="AC200" s="92"/>
      <c r="AD200" s="92">
        <v>0</v>
      </c>
      <c r="AE200" s="92">
        <f t="shared" si="22"/>
        <v>0</v>
      </c>
      <c r="AF200" s="93">
        <v>0</v>
      </c>
      <c r="AG200" s="89">
        <v>40606</v>
      </c>
      <c r="AH200" s="94"/>
      <c r="AI200" s="102" t="s">
        <v>4336</v>
      </c>
      <c r="AJ200" s="96" t="s">
        <v>4337</v>
      </c>
      <c r="AK200" s="97"/>
      <c r="AL200" s="89"/>
      <c r="AM200" s="100" t="s">
        <v>817</v>
      </c>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114"/>
      <c r="CQ200" s="115"/>
      <c r="CR200" s="114"/>
      <c r="CS200" s="115"/>
      <c r="CT200" s="114"/>
      <c r="CU200" s="115"/>
      <c r="CV200" s="99">
        <f t="shared" si="23"/>
        <v>0</v>
      </c>
      <c r="CW200" s="114"/>
      <c r="CX200" s="115"/>
      <c r="CY200" s="114"/>
      <c r="CZ200" s="115"/>
      <c r="DA200" s="115"/>
      <c r="DB200" s="115"/>
      <c r="DC200" s="114"/>
      <c r="DD200" s="115"/>
      <c r="DE200" s="97"/>
      <c r="DF200" s="277"/>
    </row>
    <row r="201" spans="1:110" s="270" customFormat="1" ht="36" x14ac:dyDescent="0.2">
      <c r="A201" s="89">
        <v>40605</v>
      </c>
      <c r="B201" s="90" t="s">
        <v>3316</v>
      </c>
      <c r="C201" s="90" t="s">
        <v>2766</v>
      </c>
      <c r="D201" s="90" t="s">
        <v>4264</v>
      </c>
      <c r="E201" s="90" t="str">
        <f>VLOOKUP(B201&amp;C201,Divipola!$C$2:$F$1138,4,FALSE)</f>
        <v>73055</v>
      </c>
      <c r="F201" s="90"/>
      <c r="G201" s="101"/>
      <c r="H201" s="101"/>
      <c r="I201" s="101"/>
      <c r="J201" s="101">
        <v>144</v>
      </c>
      <c r="K201" s="101">
        <v>32</v>
      </c>
      <c r="L201" s="101"/>
      <c r="M201" s="101">
        <v>32</v>
      </c>
      <c r="N201" s="101"/>
      <c r="O201" s="101"/>
      <c r="P201" s="101"/>
      <c r="Q201" s="101"/>
      <c r="R201" s="101"/>
      <c r="S201" s="101"/>
      <c r="T201" s="101"/>
      <c r="U201" s="101"/>
      <c r="V201" s="101"/>
      <c r="W201" s="91"/>
      <c r="X201" s="89"/>
      <c r="Y201" s="92">
        <f t="shared" si="18"/>
        <v>0</v>
      </c>
      <c r="Z201" s="92">
        <f t="shared" si="19"/>
        <v>0</v>
      </c>
      <c r="AA201" s="92">
        <f t="shared" si="20"/>
        <v>0</v>
      </c>
      <c r="AB201" s="92">
        <f t="shared" si="21"/>
        <v>0</v>
      </c>
      <c r="AC201" s="92"/>
      <c r="AD201" s="92">
        <v>0</v>
      </c>
      <c r="AE201" s="92">
        <f t="shared" si="22"/>
        <v>0</v>
      </c>
      <c r="AF201" s="93">
        <v>0</v>
      </c>
      <c r="AG201" s="89">
        <v>40606</v>
      </c>
      <c r="AH201" s="94"/>
      <c r="AI201" s="102" t="s">
        <v>4336</v>
      </c>
      <c r="AJ201" s="96" t="s">
        <v>4337</v>
      </c>
      <c r="AK201" s="97"/>
      <c r="AL201" s="89"/>
      <c r="AM201" s="100" t="s">
        <v>814</v>
      </c>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114"/>
      <c r="CQ201" s="115"/>
      <c r="CR201" s="114"/>
      <c r="CS201" s="115"/>
      <c r="CT201" s="114"/>
      <c r="CU201" s="115"/>
      <c r="CV201" s="99">
        <f t="shared" si="23"/>
        <v>0</v>
      </c>
      <c r="CW201" s="114"/>
      <c r="CX201" s="115"/>
      <c r="CY201" s="114"/>
      <c r="CZ201" s="115"/>
      <c r="DA201" s="115"/>
      <c r="DB201" s="115"/>
      <c r="DC201" s="114"/>
      <c r="DD201" s="115"/>
      <c r="DE201" s="97"/>
      <c r="DF201" s="269"/>
    </row>
    <row r="202" spans="1:110" s="270" customFormat="1" ht="36" x14ac:dyDescent="0.2">
      <c r="A202" s="89">
        <v>40606</v>
      </c>
      <c r="B202" s="90" t="s">
        <v>3505</v>
      </c>
      <c r="C202" s="90" t="s">
        <v>3506</v>
      </c>
      <c r="D202" s="90" t="s">
        <v>2362</v>
      </c>
      <c r="E202" s="90" t="str">
        <f>VLOOKUP(B202&amp;C202,Divipola!$C$2:$F$1138,4,FALSE)</f>
        <v>91001</v>
      </c>
      <c r="F202" s="90"/>
      <c r="G202" s="101"/>
      <c r="H202" s="101"/>
      <c r="I202" s="101"/>
      <c r="J202" s="101">
        <v>20</v>
      </c>
      <c r="K202" s="101">
        <v>5</v>
      </c>
      <c r="L202" s="101"/>
      <c r="M202" s="101">
        <v>5</v>
      </c>
      <c r="N202" s="101"/>
      <c r="O202" s="101"/>
      <c r="P202" s="101"/>
      <c r="Q202" s="101"/>
      <c r="R202" s="101"/>
      <c r="S202" s="101"/>
      <c r="T202" s="101"/>
      <c r="U202" s="101"/>
      <c r="V202" s="101"/>
      <c r="W202" s="91"/>
      <c r="X202" s="89"/>
      <c r="Y202" s="92">
        <f t="shared" si="18"/>
        <v>0</v>
      </c>
      <c r="Z202" s="92">
        <f t="shared" si="19"/>
        <v>0</v>
      </c>
      <c r="AA202" s="92">
        <f t="shared" si="20"/>
        <v>0</v>
      </c>
      <c r="AB202" s="92">
        <f t="shared" si="21"/>
        <v>0</v>
      </c>
      <c r="AC202" s="92"/>
      <c r="AD202" s="92">
        <v>0</v>
      </c>
      <c r="AE202" s="92">
        <f t="shared" si="22"/>
        <v>0</v>
      </c>
      <c r="AF202" s="93">
        <v>0</v>
      </c>
      <c r="AG202" s="89">
        <v>40611</v>
      </c>
      <c r="AH202" s="94"/>
      <c r="AI202" s="95" t="s">
        <v>4336</v>
      </c>
      <c r="AJ202" s="96" t="s">
        <v>4337</v>
      </c>
      <c r="AK202" s="97"/>
      <c r="AL202" s="89"/>
      <c r="AM202" s="100" t="s">
        <v>4217</v>
      </c>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114"/>
      <c r="CQ202" s="115"/>
      <c r="CR202" s="114"/>
      <c r="CS202" s="115"/>
      <c r="CT202" s="114"/>
      <c r="CU202" s="115"/>
      <c r="CV202" s="99">
        <f t="shared" si="23"/>
        <v>0</v>
      </c>
      <c r="CW202" s="114"/>
      <c r="CX202" s="115"/>
      <c r="CY202" s="114"/>
      <c r="CZ202" s="115"/>
      <c r="DA202" s="115"/>
      <c r="DB202" s="115"/>
      <c r="DC202" s="114"/>
      <c r="DD202" s="115"/>
      <c r="DE202" s="97"/>
      <c r="DF202" s="269"/>
    </row>
    <row r="203" spans="1:110" s="270" customFormat="1" ht="36" x14ac:dyDescent="0.2">
      <c r="A203" s="89">
        <v>40606</v>
      </c>
      <c r="B203" s="90" t="s">
        <v>4261</v>
      </c>
      <c r="C203" s="90" t="s">
        <v>1276</v>
      </c>
      <c r="D203" s="90" t="s">
        <v>4264</v>
      </c>
      <c r="E203" s="90" t="str">
        <f>VLOOKUP(B203&amp;C203,Divipola!$C$2:$F$1138,4,FALSE)</f>
        <v>15660</v>
      </c>
      <c r="F203" s="4"/>
      <c r="G203" s="274"/>
      <c r="H203" s="274"/>
      <c r="I203" s="274"/>
      <c r="J203" s="124">
        <v>350</v>
      </c>
      <c r="K203" s="124">
        <v>70</v>
      </c>
      <c r="L203" s="124">
        <v>1</v>
      </c>
      <c r="M203" s="124">
        <v>69</v>
      </c>
      <c r="N203" s="208"/>
      <c r="O203" s="208"/>
      <c r="P203" s="208"/>
      <c r="Q203" s="208"/>
      <c r="R203" s="208"/>
      <c r="S203" s="208"/>
      <c r="T203" s="208"/>
      <c r="U203" s="208"/>
      <c r="V203" s="208"/>
      <c r="W203" s="19"/>
      <c r="X203" s="17"/>
      <c r="Y203" s="5">
        <f t="shared" si="18"/>
        <v>0</v>
      </c>
      <c r="Z203" s="5">
        <f t="shared" si="19"/>
        <v>0</v>
      </c>
      <c r="AA203" s="5">
        <f t="shared" si="20"/>
        <v>0</v>
      </c>
      <c r="AB203" s="5">
        <f t="shared" si="21"/>
        <v>0</v>
      </c>
      <c r="AC203" s="5"/>
      <c r="AD203" s="5">
        <v>0</v>
      </c>
      <c r="AE203" s="5">
        <f t="shared" si="22"/>
        <v>0</v>
      </c>
      <c r="AF203" s="70">
        <v>0</v>
      </c>
      <c r="AG203" s="17"/>
      <c r="AH203" s="18"/>
      <c r="AI203" s="47" t="s">
        <v>4346</v>
      </c>
      <c r="AJ203" s="73" t="s">
        <v>4347</v>
      </c>
      <c r="AK203" s="275"/>
      <c r="AL203" s="100" t="s">
        <v>2090</v>
      </c>
      <c r="AM203" s="100" t="s">
        <v>1900</v>
      </c>
      <c r="AN203" s="19"/>
      <c r="AO203" s="19"/>
      <c r="AP203" s="19"/>
      <c r="AQ203" s="19"/>
      <c r="AR203" s="19"/>
      <c r="AS203" s="19"/>
      <c r="AT203" s="19"/>
      <c r="AU203" s="19"/>
      <c r="AV203" s="19"/>
      <c r="AW203" s="19"/>
      <c r="AX203" s="107"/>
      <c r="AY203" s="107"/>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39"/>
      <c r="CO203" s="138"/>
      <c r="CP203" s="139"/>
      <c r="CQ203" s="138"/>
      <c r="CR203" s="139"/>
      <c r="CS203" s="138"/>
      <c r="CT203" s="72"/>
      <c r="CU203" s="139"/>
      <c r="CV203" s="99">
        <f t="shared" si="23"/>
        <v>0</v>
      </c>
      <c r="CW203" s="139"/>
      <c r="CX203" s="138"/>
      <c r="CY203" s="138"/>
      <c r="CZ203" s="138"/>
      <c r="DA203" s="139"/>
      <c r="DB203" s="138"/>
      <c r="DC203" s="45"/>
      <c r="DD203" s="138"/>
      <c r="DE203" s="45"/>
      <c r="DF203" s="269"/>
    </row>
    <row r="204" spans="1:110" s="270" customFormat="1" ht="22.5" x14ac:dyDescent="0.2">
      <c r="A204" s="89">
        <v>40606</v>
      </c>
      <c r="B204" s="90" t="s">
        <v>4386</v>
      </c>
      <c r="C204" s="90" t="s">
        <v>4345</v>
      </c>
      <c r="D204" s="90" t="s">
        <v>4264</v>
      </c>
      <c r="E204" s="90">
        <f>VLOOKUP(B204&amp;C204,Divipola!$C$2:$F$1138,4,FALSE)</f>
        <v>20</v>
      </c>
      <c r="F204" s="90"/>
      <c r="G204" s="101"/>
      <c r="H204" s="101"/>
      <c r="I204" s="101"/>
      <c r="J204" s="101"/>
      <c r="K204" s="101"/>
      <c r="L204" s="101"/>
      <c r="M204" s="101"/>
      <c r="N204" s="101"/>
      <c r="O204" s="101"/>
      <c r="P204" s="101"/>
      <c r="Q204" s="101"/>
      <c r="R204" s="101"/>
      <c r="S204" s="101"/>
      <c r="T204" s="101"/>
      <c r="U204" s="101"/>
      <c r="V204" s="101"/>
      <c r="W204" s="91"/>
      <c r="X204" s="89"/>
      <c r="Y204" s="92">
        <f t="shared" si="18"/>
        <v>0</v>
      </c>
      <c r="Z204" s="92">
        <f t="shared" si="19"/>
        <v>0</v>
      </c>
      <c r="AA204" s="92">
        <f t="shared" si="20"/>
        <v>0</v>
      </c>
      <c r="AB204" s="92">
        <f t="shared" si="21"/>
        <v>90016000</v>
      </c>
      <c r="AC204" s="92"/>
      <c r="AD204" s="92">
        <v>0</v>
      </c>
      <c r="AE204" s="92">
        <f t="shared" si="22"/>
        <v>90016000</v>
      </c>
      <c r="AF204" s="93">
        <v>0</v>
      </c>
      <c r="AG204" s="89"/>
      <c r="AH204" s="94"/>
      <c r="AI204" s="102" t="s">
        <v>4346</v>
      </c>
      <c r="AJ204" s="96" t="s">
        <v>4347</v>
      </c>
      <c r="AK204" s="97"/>
      <c r="AL204" s="89" t="s">
        <v>1049</v>
      </c>
      <c r="AM204" s="100"/>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114"/>
      <c r="CQ204" s="115"/>
      <c r="CR204" s="114"/>
      <c r="CS204" s="115"/>
      <c r="CT204" s="114"/>
      <c r="CU204" s="115"/>
      <c r="CV204" s="99">
        <f t="shared" si="23"/>
        <v>0</v>
      </c>
      <c r="CW204" s="114">
        <v>100000</v>
      </c>
      <c r="CX204" s="115">
        <f>100000*900.16</f>
        <v>90016000</v>
      </c>
      <c r="CY204" s="114"/>
      <c r="CZ204" s="115"/>
      <c r="DA204" s="115"/>
      <c r="DB204" s="115"/>
      <c r="DC204" s="114"/>
      <c r="DD204" s="115"/>
      <c r="DE204" s="97"/>
      <c r="DF204" s="269"/>
    </row>
    <row r="205" spans="1:110" s="270" customFormat="1" ht="24" x14ac:dyDescent="0.2">
      <c r="A205" s="89">
        <v>40606</v>
      </c>
      <c r="B205" s="90" t="s">
        <v>4263</v>
      </c>
      <c r="C205" s="90" t="s">
        <v>123</v>
      </c>
      <c r="D205" s="90" t="s">
        <v>4298</v>
      </c>
      <c r="E205" s="90" t="str">
        <f>VLOOKUP(B205&amp;C205,Divipola!$C$2:$F$1138,4,FALSE)</f>
        <v>86573</v>
      </c>
      <c r="F205" s="90"/>
      <c r="G205" s="101"/>
      <c r="H205" s="101"/>
      <c r="I205" s="101"/>
      <c r="J205" s="101">
        <v>5</v>
      </c>
      <c r="K205" s="101">
        <v>1</v>
      </c>
      <c r="L205" s="101">
        <v>1</v>
      </c>
      <c r="M205" s="101"/>
      <c r="N205" s="101"/>
      <c r="O205" s="101"/>
      <c r="P205" s="101"/>
      <c r="Q205" s="101"/>
      <c r="R205" s="101"/>
      <c r="S205" s="101"/>
      <c r="T205" s="101"/>
      <c r="U205" s="101"/>
      <c r="V205" s="101"/>
      <c r="W205" s="91"/>
      <c r="X205" s="89"/>
      <c r="Y205" s="92">
        <f t="shared" si="18"/>
        <v>0</v>
      </c>
      <c r="Z205" s="92">
        <f t="shared" si="19"/>
        <v>0</v>
      </c>
      <c r="AA205" s="92">
        <f t="shared" si="20"/>
        <v>0</v>
      </c>
      <c r="AB205" s="92">
        <f t="shared" si="21"/>
        <v>0</v>
      </c>
      <c r="AC205" s="92"/>
      <c r="AD205" s="92">
        <v>0</v>
      </c>
      <c r="AE205" s="92">
        <f t="shared" si="22"/>
        <v>0</v>
      </c>
      <c r="AF205" s="93">
        <v>0</v>
      </c>
      <c r="AG205" s="89">
        <v>40611</v>
      </c>
      <c r="AH205" s="94"/>
      <c r="AI205" s="95" t="s">
        <v>4336</v>
      </c>
      <c r="AJ205" s="96" t="s">
        <v>4337</v>
      </c>
      <c r="AK205" s="97"/>
      <c r="AL205" s="89"/>
      <c r="AM205" s="100" t="s">
        <v>4209</v>
      </c>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114"/>
      <c r="CQ205" s="115"/>
      <c r="CR205" s="114"/>
      <c r="CS205" s="115"/>
      <c r="CT205" s="114"/>
      <c r="CU205" s="115"/>
      <c r="CV205" s="99">
        <f t="shared" si="23"/>
        <v>0</v>
      </c>
      <c r="CW205" s="114"/>
      <c r="CX205" s="115"/>
      <c r="CY205" s="114"/>
      <c r="CZ205" s="115"/>
      <c r="DA205" s="115"/>
      <c r="DB205" s="115"/>
      <c r="DC205" s="114"/>
      <c r="DD205" s="115"/>
      <c r="DE205" s="97"/>
      <c r="DF205" s="269"/>
    </row>
    <row r="206" spans="1:110" s="270" customFormat="1" ht="24" x14ac:dyDescent="0.2">
      <c r="A206" s="89">
        <v>40606</v>
      </c>
      <c r="B206" s="90" t="s">
        <v>4350</v>
      </c>
      <c r="C206" s="90" t="s">
        <v>3535</v>
      </c>
      <c r="D206" s="90" t="s">
        <v>4264</v>
      </c>
      <c r="E206" s="90" t="str">
        <f>VLOOKUP(B206&amp;C206,Divipola!$C$2:$F$1138,4,FALSE)</f>
        <v>63130</v>
      </c>
      <c r="F206" s="90"/>
      <c r="G206" s="101"/>
      <c r="H206" s="101"/>
      <c r="I206" s="101"/>
      <c r="J206" s="101">
        <v>25</v>
      </c>
      <c r="K206" s="101">
        <v>5</v>
      </c>
      <c r="L206" s="101"/>
      <c r="M206" s="101">
        <v>5</v>
      </c>
      <c r="N206" s="101"/>
      <c r="O206" s="101"/>
      <c r="P206" s="101"/>
      <c r="Q206" s="101"/>
      <c r="R206" s="101"/>
      <c r="S206" s="101"/>
      <c r="T206" s="101"/>
      <c r="U206" s="101"/>
      <c r="V206" s="101"/>
      <c r="W206" s="91"/>
      <c r="X206" s="89"/>
      <c r="Y206" s="92">
        <f t="shared" si="18"/>
        <v>0</v>
      </c>
      <c r="Z206" s="92">
        <f t="shared" si="19"/>
        <v>0</v>
      </c>
      <c r="AA206" s="92">
        <f t="shared" si="20"/>
        <v>0</v>
      </c>
      <c r="AB206" s="92">
        <f t="shared" si="21"/>
        <v>0</v>
      </c>
      <c r="AC206" s="92"/>
      <c r="AD206" s="92">
        <v>0</v>
      </c>
      <c r="AE206" s="92">
        <f t="shared" si="22"/>
        <v>0</v>
      </c>
      <c r="AF206" s="93">
        <v>0</v>
      </c>
      <c r="AG206" s="89">
        <v>40611</v>
      </c>
      <c r="AH206" s="94"/>
      <c r="AI206" s="95" t="s">
        <v>4336</v>
      </c>
      <c r="AJ206" s="96" t="s">
        <v>4337</v>
      </c>
      <c r="AK206" s="97"/>
      <c r="AL206" s="89"/>
      <c r="AM206" s="100" t="s">
        <v>4214</v>
      </c>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114"/>
      <c r="CQ206" s="115"/>
      <c r="CR206" s="114"/>
      <c r="CS206" s="115"/>
      <c r="CT206" s="114"/>
      <c r="CU206" s="115"/>
      <c r="CV206" s="99">
        <f t="shared" si="23"/>
        <v>0</v>
      </c>
      <c r="CW206" s="114"/>
      <c r="CX206" s="115"/>
      <c r="CY206" s="114"/>
      <c r="CZ206" s="115"/>
      <c r="DA206" s="115"/>
      <c r="DB206" s="115"/>
      <c r="DC206" s="114"/>
      <c r="DD206" s="115"/>
      <c r="DE206" s="97"/>
      <c r="DF206" s="269"/>
    </row>
    <row r="207" spans="1:110" s="270" customFormat="1" ht="33.75" x14ac:dyDescent="0.2">
      <c r="A207" s="89">
        <v>40606</v>
      </c>
      <c r="B207" s="90" t="s">
        <v>4348</v>
      </c>
      <c r="C207" s="90" t="s">
        <v>4313</v>
      </c>
      <c r="D207" s="90" t="s">
        <v>2362</v>
      </c>
      <c r="E207" s="90" t="str">
        <f>VLOOKUP(B207&amp;C207,Divipola!$C$2:$F$1138,4,FALSE)</f>
        <v>66318</v>
      </c>
      <c r="F207" s="101"/>
      <c r="G207" s="101"/>
      <c r="H207" s="101"/>
      <c r="I207" s="101"/>
      <c r="J207" s="101">
        <v>60</v>
      </c>
      <c r="K207" s="101">
        <v>12</v>
      </c>
      <c r="L207" s="101"/>
      <c r="M207" s="101">
        <v>12</v>
      </c>
      <c r="N207" s="101"/>
      <c r="O207" s="101"/>
      <c r="P207" s="101"/>
      <c r="Q207" s="101"/>
      <c r="R207" s="101"/>
      <c r="S207" s="101"/>
      <c r="T207" s="101"/>
      <c r="U207" s="91"/>
      <c r="V207" s="89"/>
      <c r="W207" s="92"/>
      <c r="X207" s="92"/>
      <c r="Y207" s="92">
        <f t="shared" si="18"/>
        <v>0</v>
      </c>
      <c r="Z207" s="92">
        <f t="shared" si="19"/>
        <v>0</v>
      </c>
      <c r="AA207" s="92">
        <f t="shared" si="20"/>
        <v>0</v>
      </c>
      <c r="AB207" s="92">
        <f t="shared" si="21"/>
        <v>0</v>
      </c>
      <c r="AC207" s="92"/>
      <c r="AD207" s="92">
        <v>0</v>
      </c>
      <c r="AE207" s="92">
        <f t="shared" si="22"/>
        <v>0</v>
      </c>
      <c r="AF207" s="93">
        <v>0</v>
      </c>
      <c r="AG207" s="89"/>
      <c r="AH207" s="96"/>
      <c r="AI207" s="102" t="s">
        <v>4336</v>
      </c>
      <c r="AJ207" s="96" t="s">
        <v>4337</v>
      </c>
      <c r="AK207" s="100"/>
      <c r="AL207" s="89"/>
      <c r="AM207" s="90" t="s">
        <v>883</v>
      </c>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114"/>
      <c r="CQ207" s="115"/>
      <c r="CR207" s="114"/>
      <c r="CS207" s="115"/>
      <c r="CT207" s="114"/>
      <c r="CU207" s="115"/>
      <c r="CV207" s="99">
        <f t="shared" si="23"/>
        <v>0</v>
      </c>
      <c r="CW207" s="114"/>
      <c r="CX207" s="115"/>
      <c r="CY207" s="114"/>
      <c r="CZ207" s="115"/>
      <c r="DA207" s="115"/>
      <c r="DB207" s="115"/>
      <c r="DC207" s="114"/>
      <c r="DD207" s="115"/>
      <c r="DE207" s="97"/>
      <c r="DF207" s="269"/>
    </row>
    <row r="208" spans="1:110" s="270" customFormat="1" x14ac:dyDescent="0.2">
      <c r="A208" s="89">
        <v>40606</v>
      </c>
      <c r="B208" s="106" t="s">
        <v>4348</v>
      </c>
      <c r="C208" s="106" t="s">
        <v>4313</v>
      </c>
      <c r="D208" s="90" t="s">
        <v>2362</v>
      </c>
      <c r="E208" s="90" t="str">
        <f>VLOOKUP(B208&amp;C208,Divipola!$C$2:$F$1138,4,FALSE)</f>
        <v>66318</v>
      </c>
      <c r="F208" s="90"/>
      <c r="G208" s="279"/>
      <c r="H208" s="279"/>
      <c r="I208" s="279"/>
      <c r="J208" s="129">
        <v>20</v>
      </c>
      <c r="K208" s="129">
        <v>4</v>
      </c>
      <c r="L208" s="129"/>
      <c r="M208" s="129">
        <v>4</v>
      </c>
      <c r="N208" s="129"/>
      <c r="O208" s="129"/>
      <c r="P208" s="129"/>
      <c r="Q208" s="129"/>
      <c r="R208" s="129"/>
      <c r="S208" s="129"/>
      <c r="T208" s="129"/>
      <c r="U208" s="129"/>
      <c r="V208" s="129"/>
      <c r="W208" s="107"/>
      <c r="X208" s="105"/>
      <c r="Y208" s="92">
        <f t="shared" si="18"/>
        <v>0</v>
      </c>
      <c r="Z208" s="92">
        <f t="shared" si="19"/>
        <v>0</v>
      </c>
      <c r="AA208" s="92">
        <f t="shared" si="20"/>
        <v>0</v>
      </c>
      <c r="AB208" s="92">
        <f t="shared" si="21"/>
        <v>0</v>
      </c>
      <c r="AC208" s="92"/>
      <c r="AD208" s="92">
        <v>0</v>
      </c>
      <c r="AE208" s="92">
        <f t="shared" si="22"/>
        <v>0</v>
      </c>
      <c r="AF208" s="93">
        <v>0</v>
      </c>
      <c r="AG208" s="105"/>
      <c r="AH208" s="108"/>
      <c r="AI208" s="109" t="s">
        <v>4336</v>
      </c>
      <c r="AJ208" s="110" t="s">
        <v>4337</v>
      </c>
      <c r="AK208" s="280"/>
      <c r="AL208" s="281"/>
      <c r="AM208" s="112" t="s">
        <v>2003</v>
      </c>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18"/>
      <c r="CO208" s="119"/>
      <c r="CP208" s="118"/>
      <c r="CQ208" s="119"/>
      <c r="CR208" s="118"/>
      <c r="CS208" s="119"/>
      <c r="CT208" s="113"/>
      <c r="CU208" s="118"/>
      <c r="CV208" s="99">
        <f t="shared" si="23"/>
        <v>0</v>
      </c>
      <c r="CW208" s="118"/>
      <c r="CX208" s="119"/>
      <c r="CY208" s="119"/>
      <c r="CZ208" s="119"/>
      <c r="DA208" s="118"/>
      <c r="DB208" s="119"/>
      <c r="DC208" s="111"/>
      <c r="DD208" s="119"/>
      <c r="DE208" s="111"/>
      <c r="DF208" s="269"/>
    </row>
    <row r="209" spans="1:110" s="270" customFormat="1" x14ac:dyDescent="0.2">
      <c r="A209" s="89">
        <v>40606</v>
      </c>
      <c r="B209" s="90" t="s">
        <v>4348</v>
      </c>
      <c r="C209" s="90" t="s">
        <v>3342</v>
      </c>
      <c r="D209" s="90" t="s">
        <v>3346</v>
      </c>
      <c r="E209" s="90" t="str">
        <f>VLOOKUP(B209&amp;C209,Divipola!$C$2:$F$1138,4,FALSE)</f>
        <v>66383</v>
      </c>
      <c r="F209" s="90"/>
      <c r="G209" s="101"/>
      <c r="H209" s="101"/>
      <c r="I209" s="101"/>
      <c r="J209" s="101">
        <v>75</v>
      </c>
      <c r="K209" s="101">
        <v>15</v>
      </c>
      <c r="L209" s="101"/>
      <c r="M209" s="101">
        <v>15</v>
      </c>
      <c r="N209" s="101"/>
      <c r="O209" s="101"/>
      <c r="P209" s="101"/>
      <c r="Q209" s="101"/>
      <c r="R209" s="101"/>
      <c r="S209" s="101"/>
      <c r="T209" s="101"/>
      <c r="U209" s="101"/>
      <c r="V209" s="101"/>
      <c r="W209" s="91"/>
      <c r="X209" s="89"/>
      <c r="Y209" s="92">
        <f t="shared" si="18"/>
        <v>0</v>
      </c>
      <c r="Z209" s="92">
        <f t="shared" si="19"/>
        <v>0</v>
      </c>
      <c r="AA209" s="92">
        <f t="shared" si="20"/>
        <v>0</v>
      </c>
      <c r="AB209" s="92">
        <f t="shared" si="21"/>
        <v>0</v>
      </c>
      <c r="AC209" s="92"/>
      <c r="AD209" s="92">
        <v>0</v>
      </c>
      <c r="AE209" s="92">
        <f t="shared" si="22"/>
        <v>0</v>
      </c>
      <c r="AF209" s="93">
        <v>0</v>
      </c>
      <c r="AG209" s="89">
        <v>40611</v>
      </c>
      <c r="AH209" s="94"/>
      <c r="AI209" s="102" t="s">
        <v>4336</v>
      </c>
      <c r="AJ209" s="96" t="s">
        <v>4337</v>
      </c>
      <c r="AK209" s="97"/>
      <c r="AL209" s="89"/>
      <c r="AM209" s="100" t="s">
        <v>4210</v>
      </c>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114"/>
      <c r="CQ209" s="115"/>
      <c r="CR209" s="114"/>
      <c r="CS209" s="115"/>
      <c r="CT209" s="114"/>
      <c r="CU209" s="115"/>
      <c r="CV209" s="99">
        <f t="shared" si="23"/>
        <v>0</v>
      </c>
      <c r="CW209" s="114"/>
      <c r="CX209" s="115"/>
      <c r="CY209" s="114"/>
      <c r="CZ209" s="115"/>
      <c r="DA209" s="115"/>
      <c r="DB209" s="115"/>
      <c r="DC209" s="114"/>
      <c r="DD209" s="115"/>
      <c r="DE209" s="97"/>
      <c r="DF209" s="269"/>
    </row>
    <row r="210" spans="1:110" s="270" customFormat="1" ht="24" x14ac:dyDescent="0.2">
      <c r="A210" s="89">
        <v>40607</v>
      </c>
      <c r="B210" s="90" t="s">
        <v>4344</v>
      </c>
      <c r="C210" s="90" t="s">
        <v>3295</v>
      </c>
      <c r="D210" s="90" t="s">
        <v>2362</v>
      </c>
      <c r="E210" s="90" t="str">
        <f>VLOOKUP(B210&amp;C210,Divipola!$C$2:$F$1138,4,FALSE)</f>
        <v>25754</v>
      </c>
      <c r="F210" s="90"/>
      <c r="G210" s="101"/>
      <c r="H210" s="101"/>
      <c r="I210" s="101"/>
      <c r="J210" s="101">
        <v>60</v>
      </c>
      <c r="K210" s="101">
        <v>12</v>
      </c>
      <c r="L210" s="101">
        <v>4</v>
      </c>
      <c r="M210" s="101">
        <v>8</v>
      </c>
      <c r="N210" s="101"/>
      <c r="O210" s="101"/>
      <c r="P210" s="101"/>
      <c r="Q210" s="101"/>
      <c r="R210" s="101"/>
      <c r="S210" s="101"/>
      <c r="T210" s="101"/>
      <c r="U210" s="101"/>
      <c r="V210" s="101"/>
      <c r="W210" s="91"/>
      <c r="X210" s="89"/>
      <c r="Y210" s="92">
        <f t="shared" si="18"/>
        <v>0</v>
      </c>
      <c r="Z210" s="92">
        <f t="shared" si="19"/>
        <v>0</v>
      </c>
      <c r="AA210" s="92">
        <f t="shared" si="20"/>
        <v>0</v>
      </c>
      <c r="AB210" s="92">
        <f t="shared" si="21"/>
        <v>0</v>
      </c>
      <c r="AC210" s="92"/>
      <c r="AD210" s="92">
        <v>0</v>
      </c>
      <c r="AE210" s="92">
        <f t="shared" si="22"/>
        <v>0</v>
      </c>
      <c r="AF210" s="93">
        <v>0</v>
      </c>
      <c r="AG210" s="89">
        <v>40611</v>
      </c>
      <c r="AH210" s="94"/>
      <c r="AI210" s="102" t="s">
        <v>4336</v>
      </c>
      <c r="AJ210" s="96" t="s">
        <v>4337</v>
      </c>
      <c r="AK210" s="97"/>
      <c r="AL210" s="89"/>
      <c r="AM210" s="100" t="s">
        <v>4215</v>
      </c>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114"/>
      <c r="CQ210" s="115"/>
      <c r="CR210" s="114"/>
      <c r="CS210" s="115"/>
      <c r="CT210" s="114"/>
      <c r="CU210" s="115"/>
      <c r="CV210" s="99">
        <f t="shared" si="23"/>
        <v>0</v>
      </c>
      <c r="CW210" s="114"/>
      <c r="CX210" s="115"/>
      <c r="CY210" s="114"/>
      <c r="CZ210" s="115"/>
      <c r="DA210" s="115"/>
      <c r="DB210" s="115"/>
      <c r="DC210" s="114"/>
      <c r="DD210" s="115"/>
      <c r="DE210" s="97"/>
      <c r="DF210" s="269"/>
    </row>
    <row r="211" spans="1:110" s="270" customFormat="1" x14ac:dyDescent="0.2">
      <c r="A211" s="89">
        <v>40607</v>
      </c>
      <c r="B211" s="116" t="s">
        <v>4344</v>
      </c>
      <c r="C211" s="116" t="s">
        <v>3472</v>
      </c>
      <c r="D211" s="90" t="s">
        <v>2362</v>
      </c>
      <c r="E211" s="90" t="str">
        <f>VLOOKUP(B211&amp;C211,Divipola!$C$2:$F$1138,4,FALSE)</f>
        <v>25875</v>
      </c>
      <c r="F211" s="104"/>
      <c r="G211" s="101"/>
      <c r="H211" s="101"/>
      <c r="I211" s="101"/>
      <c r="J211" s="101">
        <v>908</v>
      </c>
      <c r="K211" s="101">
        <v>195</v>
      </c>
      <c r="L211" s="101"/>
      <c r="M211" s="101">
        <v>2</v>
      </c>
      <c r="N211" s="101"/>
      <c r="O211" s="101"/>
      <c r="P211" s="101"/>
      <c r="Q211" s="101"/>
      <c r="R211" s="101"/>
      <c r="S211" s="101"/>
      <c r="T211" s="101"/>
      <c r="U211" s="101"/>
      <c r="V211" s="101"/>
      <c r="W211" s="91"/>
      <c r="X211" s="89"/>
      <c r="Y211" s="92">
        <f t="shared" si="18"/>
        <v>0</v>
      </c>
      <c r="Z211" s="92">
        <f t="shared" si="19"/>
        <v>0</v>
      </c>
      <c r="AA211" s="92">
        <f t="shared" si="20"/>
        <v>0</v>
      </c>
      <c r="AB211" s="92">
        <f t="shared" si="21"/>
        <v>0</v>
      </c>
      <c r="AC211" s="92"/>
      <c r="AD211" s="92">
        <v>0</v>
      </c>
      <c r="AE211" s="92">
        <f t="shared" si="22"/>
        <v>0</v>
      </c>
      <c r="AF211" s="93">
        <v>0</v>
      </c>
      <c r="AG211" s="89">
        <v>40428</v>
      </c>
      <c r="AH211" s="94"/>
      <c r="AI211" s="102" t="s">
        <v>4336</v>
      </c>
      <c r="AJ211" s="96" t="s">
        <v>4337</v>
      </c>
      <c r="AK211" s="97"/>
      <c r="AL211" s="89"/>
      <c r="AM211" s="100" t="s">
        <v>3530</v>
      </c>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114"/>
      <c r="CQ211" s="115"/>
      <c r="CR211" s="114"/>
      <c r="CS211" s="115"/>
      <c r="CT211" s="114"/>
      <c r="CU211" s="115"/>
      <c r="CV211" s="99">
        <f t="shared" si="23"/>
        <v>0</v>
      </c>
      <c r="CW211" s="114"/>
      <c r="CX211" s="115"/>
      <c r="CY211" s="114"/>
      <c r="CZ211" s="115"/>
      <c r="DA211" s="115"/>
      <c r="DB211" s="115"/>
      <c r="DC211" s="114"/>
      <c r="DD211" s="115"/>
      <c r="DE211" s="97"/>
      <c r="DF211" s="269"/>
    </row>
    <row r="212" spans="1:110" s="270" customFormat="1" ht="24" x14ac:dyDescent="0.2">
      <c r="A212" s="89">
        <v>40607</v>
      </c>
      <c r="B212" s="90" t="s">
        <v>4219</v>
      </c>
      <c r="C212" s="90" t="s">
        <v>3503</v>
      </c>
      <c r="D212" s="90" t="s">
        <v>4298</v>
      </c>
      <c r="E212" s="90" t="str">
        <f>VLOOKUP(B212&amp;C212,Divipola!$C$2:$F$1138,4,FALSE)</f>
        <v>41001</v>
      </c>
      <c r="F212" s="90"/>
      <c r="G212" s="101"/>
      <c r="H212" s="101"/>
      <c r="I212" s="101"/>
      <c r="J212" s="101">
        <v>10</v>
      </c>
      <c r="K212" s="101">
        <v>2</v>
      </c>
      <c r="L212" s="101">
        <v>2</v>
      </c>
      <c r="M212" s="101"/>
      <c r="N212" s="101"/>
      <c r="O212" s="101"/>
      <c r="P212" s="101"/>
      <c r="Q212" s="101"/>
      <c r="R212" s="101"/>
      <c r="S212" s="101"/>
      <c r="T212" s="101"/>
      <c r="U212" s="101"/>
      <c r="V212" s="101"/>
      <c r="W212" s="91"/>
      <c r="X212" s="89"/>
      <c r="Y212" s="92">
        <f t="shared" si="18"/>
        <v>0</v>
      </c>
      <c r="Z212" s="92">
        <f t="shared" si="19"/>
        <v>0</v>
      </c>
      <c r="AA212" s="92">
        <f t="shared" si="20"/>
        <v>0</v>
      </c>
      <c r="AB212" s="92">
        <f t="shared" si="21"/>
        <v>0</v>
      </c>
      <c r="AC212" s="92"/>
      <c r="AD212" s="92">
        <v>0</v>
      </c>
      <c r="AE212" s="92">
        <f t="shared" si="22"/>
        <v>0</v>
      </c>
      <c r="AF212" s="93">
        <v>0</v>
      </c>
      <c r="AG212" s="89">
        <v>40611</v>
      </c>
      <c r="AH212" s="94"/>
      <c r="AI212" s="95" t="s">
        <v>4336</v>
      </c>
      <c r="AJ212" s="96" t="s">
        <v>4337</v>
      </c>
      <c r="AK212" s="97"/>
      <c r="AL212" s="89"/>
      <c r="AM212" s="100" t="s">
        <v>4212</v>
      </c>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114"/>
      <c r="CQ212" s="115"/>
      <c r="CR212" s="114"/>
      <c r="CS212" s="115"/>
      <c r="CT212" s="114"/>
      <c r="CU212" s="115"/>
      <c r="CV212" s="99">
        <f t="shared" si="23"/>
        <v>0</v>
      </c>
      <c r="CW212" s="114"/>
      <c r="CX212" s="115"/>
      <c r="CY212" s="114"/>
      <c r="CZ212" s="115"/>
      <c r="DA212" s="115"/>
      <c r="DB212" s="115"/>
      <c r="DC212" s="114"/>
      <c r="DD212" s="115"/>
      <c r="DE212" s="97"/>
      <c r="DF212" s="269">
        <v>1650</v>
      </c>
    </row>
    <row r="213" spans="1:110" s="270" customFormat="1" ht="24" x14ac:dyDescent="0.2">
      <c r="A213" s="89">
        <v>40607</v>
      </c>
      <c r="B213" s="90" t="s">
        <v>4219</v>
      </c>
      <c r="C213" s="90" t="s">
        <v>3503</v>
      </c>
      <c r="D213" s="90" t="s">
        <v>2362</v>
      </c>
      <c r="E213" s="90" t="str">
        <f>VLOOKUP(B213&amp;C213,Divipola!$C$2:$F$1138,4,FALSE)</f>
        <v>41001</v>
      </c>
      <c r="F213" s="90"/>
      <c r="G213" s="101"/>
      <c r="H213" s="101"/>
      <c r="I213" s="101"/>
      <c r="J213" s="101">
        <v>5</v>
      </c>
      <c r="K213" s="101">
        <v>1</v>
      </c>
      <c r="L213" s="101"/>
      <c r="M213" s="101">
        <v>1</v>
      </c>
      <c r="N213" s="101"/>
      <c r="O213" s="101"/>
      <c r="P213" s="101"/>
      <c r="Q213" s="101"/>
      <c r="R213" s="101"/>
      <c r="S213" s="101"/>
      <c r="T213" s="101"/>
      <c r="U213" s="101"/>
      <c r="V213" s="101"/>
      <c r="W213" s="91"/>
      <c r="X213" s="89"/>
      <c r="Y213" s="92">
        <f t="shared" si="18"/>
        <v>0</v>
      </c>
      <c r="Z213" s="92">
        <f t="shared" si="19"/>
        <v>0</v>
      </c>
      <c r="AA213" s="92">
        <f t="shared" si="20"/>
        <v>0</v>
      </c>
      <c r="AB213" s="92">
        <f t="shared" si="21"/>
        <v>0</v>
      </c>
      <c r="AC213" s="92"/>
      <c r="AD213" s="92">
        <v>0</v>
      </c>
      <c r="AE213" s="92">
        <f t="shared" si="22"/>
        <v>0</v>
      </c>
      <c r="AF213" s="93">
        <v>0</v>
      </c>
      <c r="AG213" s="89">
        <v>40611</v>
      </c>
      <c r="AH213" s="94"/>
      <c r="AI213" s="95" t="s">
        <v>4336</v>
      </c>
      <c r="AJ213" s="96" t="s">
        <v>4337</v>
      </c>
      <c r="AK213" s="97"/>
      <c r="AL213" s="89"/>
      <c r="AM213" s="100" t="s">
        <v>4213</v>
      </c>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114"/>
      <c r="CQ213" s="115"/>
      <c r="CR213" s="114"/>
      <c r="CS213" s="115"/>
      <c r="CT213" s="114"/>
      <c r="CU213" s="115"/>
      <c r="CV213" s="99">
        <f t="shared" si="23"/>
        <v>0</v>
      </c>
      <c r="CW213" s="114"/>
      <c r="CX213" s="115"/>
      <c r="CY213" s="114"/>
      <c r="CZ213" s="115"/>
      <c r="DA213" s="115"/>
      <c r="DB213" s="115"/>
      <c r="DC213" s="114"/>
      <c r="DD213" s="115"/>
      <c r="DE213" s="97"/>
      <c r="DF213" s="269"/>
    </row>
    <row r="214" spans="1:110" s="270" customFormat="1" ht="24" x14ac:dyDescent="0.2">
      <c r="A214" s="89">
        <v>40607</v>
      </c>
      <c r="B214" s="90" t="s">
        <v>4350</v>
      </c>
      <c r="C214" s="90" t="s">
        <v>4351</v>
      </c>
      <c r="D214" s="90" t="s">
        <v>3346</v>
      </c>
      <c r="E214" s="90" t="str">
        <f>VLOOKUP(B214&amp;C214,Divipola!$C$2:$F$1138,4,FALSE)</f>
        <v>63001</v>
      </c>
      <c r="F214" s="90"/>
      <c r="G214" s="101"/>
      <c r="H214" s="101"/>
      <c r="I214" s="101"/>
      <c r="J214" s="101">
        <v>15</v>
      </c>
      <c r="K214" s="101">
        <v>3</v>
      </c>
      <c r="L214" s="101"/>
      <c r="M214" s="101">
        <v>3</v>
      </c>
      <c r="N214" s="101"/>
      <c r="O214" s="101"/>
      <c r="P214" s="101"/>
      <c r="Q214" s="101"/>
      <c r="R214" s="101"/>
      <c r="S214" s="101"/>
      <c r="T214" s="101"/>
      <c r="U214" s="101">
        <v>1</v>
      </c>
      <c r="V214" s="101"/>
      <c r="W214" s="91"/>
      <c r="X214" s="89"/>
      <c r="Y214" s="92">
        <f t="shared" si="18"/>
        <v>0</v>
      </c>
      <c r="Z214" s="92">
        <f t="shared" si="19"/>
        <v>0</v>
      </c>
      <c r="AA214" s="92">
        <f t="shared" si="20"/>
        <v>0</v>
      </c>
      <c r="AB214" s="92">
        <f t="shared" si="21"/>
        <v>0</v>
      </c>
      <c r="AC214" s="92"/>
      <c r="AD214" s="92">
        <v>0</v>
      </c>
      <c r="AE214" s="92">
        <f t="shared" si="22"/>
        <v>0</v>
      </c>
      <c r="AF214" s="93">
        <v>0</v>
      </c>
      <c r="AG214" s="89">
        <v>40611</v>
      </c>
      <c r="AH214" s="94"/>
      <c r="AI214" s="95" t="s">
        <v>4336</v>
      </c>
      <c r="AJ214" s="96" t="s">
        <v>4337</v>
      </c>
      <c r="AK214" s="97"/>
      <c r="AL214" s="89"/>
      <c r="AM214" s="100" t="s">
        <v>4211</v>
      </c>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114"/>
      <c r="CQ214" s="115"/>
      <c r="CR214" s="114"/>
      <c r="CS214" s="115"/>
      <c r="CT214" s="114"/>
      <c r="CU214" s="115"/>
      <c r="CV214" s="99">
        <f t="shared" si="23"/>
        <v>0</v>
      </c>
      <c r="CW214" s="114"/>
      <c r="CX214" s="115"/>
      <c r="CY214" s="114"/>
      <c r="CZ214" s="115"/>
      <c r="DA214" s="115"/>
      <c r="DB214" s="115"/>
      <c r="DC214" s="114"/>
      <c r="DD214" s="115"/>
      <c r="DE214" s="97"/>
      <c r="DF214" s="269"/>
    </row>
    <row r="215" spans="1:110" s="270" customFormat="1" ht="36" x14ac:dyDescent="0.2">
      <c r="A215" s="89">
        <v>40608</v>
      </c>
      <c r="B215" s="90" t="s">
        <v>3533</v>
      </c>
      <c r="C215" s="90" t="s">
        <v>4208</v>
      </c>
      <c r="D215" s="90" t="s">
        <v>4396</v>
      </c>
      <c r="E215" s="90" t="str">
        <f>VLOOKUP(B215&amp;C215,Divipola!$C$2:$F$1138,4,FALSE)</f>
        <v>17272</v>
      </c>
      <c r="F215" s="90"/>
      <c r="G215" s="101">
        <v>2</v>
      </c>
      <c r="H215" s="101"/>
      <c r="I215" s="101"/>
      <c r="J215" s="101"/>
      <c r="K215" s="101"/>
      <c r="L215" s="101"/>
      <c r="M215" s="101"/>
      <c r="N215" s="101"/>
      <c r="O215" s="101"/>
      <c r="P215" s="101"/>
      <c r="Q215" s="101"/>
      <c r="R215" s="101"/>
      <c r="S215" s="101"/>
      <c r="T215" s="101"/>
      <c r="U215" s="101"/>
      <c r="V215" s="101"/>
      <c r="W215" s="91"/>
      <c r="X215" s="89"/>
      <c r="Y215" s="92">
        <f t="shared" si="18"/>
        <v>0</v>
      </c>
      <c r="Z215" s="92">
        <f t="shared" si="19"/>
        <v>0</v>
      </c>
      <c r="AA215" s="92">
        <f t="shared" si="20"/>
        <v>0</v>
      </c>
      <c r="AB215" s="92">
        <f t="shared" si="21"/>
        <v>0</v>
      </c>
      <c r="AC215" s="92"/>
      <c r="AD215" s="92">
        <v>0</v>
      </c>
      <c r="AE215" s="92">
        <f t="shared" si="22"/>
        <v>0</v>
      </c>
      <c r="AF215" s="93">
        <v>0</v>
      </c>
      <c r="AG215" s="89">
        <v>40611</v>
      </c>
      <c r="AH215" s="94"/>
      <c r="AI215" s="95" t="s">
        <v>4336</v>
      </c>
      <c r="AJ215" s="96" t="s">
        <v>4337</v>
      </c>
      <c r="AK215" s="97"/>
      <c r="AL215" s="89"/>
      <c r="AM215" s="100" t="s">
        <v>4216</v>
      </c>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114"/>
      <c r="CQ215" s="115"/>
      <c r="CR215" s="114"/>
      <c r="CS215" s="115"/>
      <c r="CT215" s="114"/>
      <c r="CU215" s="115"/>
      <c r="CV215" s="99">
        <f t="shared" si="23"/>
        <v>0</v>
      </c>
      <c r="CW215" s="114"/>
      <c r="CX215" s="115"/>
      <c r="CY215" s="114"/>
      <c r="CZ215" s="115"/>
      <c r="DA215" s="115"/>
      <c r="DB215" s="115"/>
      <c r="DC215" s="114"/>
      <c r="DD215" s="115"/>
      <c r="DE215" s="97"/>
      <c r="DF215" s="269"/>
    </row>
    <row r="216" spans="1:110" s="270" customFormat="1" x14ac:dyDescent="0.2">
      <c r="A216" s="89">
        <v>40608</v>
      </c>
      <c r="B216" s="90" t="s">
        <v>4344</v>
      </c>
      <c r="C216" s="90" t="s">
        <v>3471</v>
      </c>
      <c r="D216" s="90" t="s">
        <v>4264</v>
      </c>
      <c r="E216" s="90" t="str">
        <f>VLOOKUP(B216&amp;C216,Divipola!$C$2:$F$1138,4,FALSE)</f>
        <v>25862</v>
      </c>
      <c r="F216" s="90"/>
      <c r="G216" s="101"/>
      <c r="H216" s="101"/>
      <c r="I216" s="101"/>
      <c r="J216" s="101">
        <v>2806</v>
      </c>
      <c r="K216" s="101">
        <v>1109</v>
      </c>
      <c r="L216" s="101"/>
      <c r="M216" s="101"/>
      <c r="N216" s="101"/>
      <c r="O216" s="101"/>
      <c r="P216" s="101"/>
      <c r="Q216" s="101"/>
      <c r="R216" s="101"/>
      <c r="S216" s="101"/>
      <c r="T216" s="101"/>
      <c r="U216" s="101"/>
      <c r="V216" s="101"/>
      <c r="W216" s="91"/>
      <c r="X216" s="89"/>
      <c r="Y216" s="92">
        <f t="shared" si="18"/>
        <v>0</v>
      </c>
      <c r="Z216" s="92">
        <f t="shared" si="19"/>
        <v>0</v>
      </c>
      <c r="AA216" s="92">
        <f t="shared" si="20"/>
        <v>0</v>
      </c>
      <c r="AB216" s="92">
        <f t="shared" si="21"/>
        <v>0</v>
      </c>
      <c r="AC216" s="92"/>
      <c r="AD216" s="92">
        <v>0</v>
      </c>
      <c r="AE216" s="92">
        <f t="shared" si="22"/>
        <v>0</v>
      </c>
      <c r="AF216" s="93">
        <v>0</v>
      </c>
      <c r="AG216" s="89">
        <v>40612</v>
      </c>
      <c r="AH216" s="94"/>
      <c r="AI216" s="102" t="s">
        <v>4336</v>
      </c>
      <c r="AJ216" s="96" t="s">
        <v>4337</v>
      </c>
      <c r="AK216" s="97"/>
      <c r="AL216" s="89"/>
      <c r="AM216" s="100" t="s">
        <v>3238</v>
      </c>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114"/>
      <c r="CQ216" s="115"/>
      <c r="CR216" s="114"/>
      <c r="CS216" s="115"/>
      <c r="CT216" s="114"/>
      <c r="CU216" s="115"/>
      <c r="CV216" s="99">
        <f t="shared" si="23"/>
        <v>0</v>
      </c>
      <c r="CW216" s="114"/>
      <c r="CX216" s="115"/>
      <c r="CY216" s="114"/>
      <c r="CZ216" s="115"/>
      <c r="DA216" s="115"/>
      <c r="DB216" s="115"/>
      <c r="DC216" s="114"/>
      <c r="DD216" s="115"/>
      <c r="DE216" s="97"/>
      <c r="DF216" s="269"/>
    </row>
    <row r="217" spans="1:110" s="270" customFormat="1" ht="48" x14ac:dyDescent="0.2">
      <c r="A217" s="89">
        <v>40608</v>
      </c>
      <c r="B217" s="90" t="s">
        <v>4219</v>
      </c>
      <c r="C217" s="146" t="s">
        <v>956</v>
      </c>
      <c r="D217" s="90" t="s">
        <v>4264</v>
      </c>
      <c r="E217" s="90" t="str">
        <f>VLOOKUP(B217&amp;C217,Divipola!$C$2:$F$1138,4,FALSE)</f>
        <v>41298</v>
      </c>
      <c r="F217" s="90"/>
      <c r="G217" s="101"/>
      <c r="H217" s="101"/>
      <c r="I217" s="101"/>
      <c r="J217" s="101"/>
      <c r="K217" s="101"/>
      <c r="L217" s="101"/>
      <c r="M217" s="101"/>
      <c r="N217" s="101"/>
      <c r="O217" s="101"/>
      <c r="P217" s="101"/>
      <c r="Q217" s="101">
        <v>4</v>
      </c>
      <c r="R217" s="101"/>
      <c r="S217" s="101"/>
      <c r="T217" s="101"/>
      <c r="U217" s="101"/>
      <c r="V217" s="101"/>
      <c r="W217" s="91"/>
      <c r="X217" s="89"/>
      <c r="Y217" s="92">
        <f t="shared" si="18"/>
        <v>0</v>
      </c>
      <c r="Z217" s="92">
        <f t="shared" si="19"/>
        <v>0</v>
      </c>
      <c r="AA217" s="92">
        <f t="shared" si="20"/>
        <v>0</v>
      </c>
      <c r="AB217" s="92">
        <f t="shared" si="21"/>
        <v>0</v>
      </c>
      <c r="AC217" s="92"/>
      <c r="AD217" s="92">
        <v>0</v>
      </c>
      <c r="AE217" s="92">
        <f t="shared" si="22"/>
        <v>0</v>
      </c>
      <c r="AF217" s="93">
        <v>0</v>
      </c>
      <c r="AG217" s="89">
        <v>40611</v>
      </c>
      <c r="AH217" s="94"/>
      <c r="AI217" s="95" t="s">
        <v>4336</v>
      </c>
      <c r="AJ217" s="96" t="s">
        <v>4337</v>
      </c>
      <c r="AK217" s="97"/>
      <c r="AL217" s="89"/>
      <c r="AM217" s="100" t="s">
        <v>837</v>
      </c>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114"/>
      <c r="CQ217" s="115"/>
      <c r="CR217" s="114"/>
      <c r="CS217" s="115"/>
      <c r="CT217" s="114"/>
      <c r="CU217" s="115"/>
      <c r="CV217" s="99">
        <f t="shared" si="23"/>
        <v>0</v>
      </c>
      <c r="CW217" s="114"/>
      <c r="CX217" s="115"/>
      <c r="CY217" s="114"/>
      <c r="CZ217" s="115"/>
      <c r="DA217" s="115"/>
      <c r="DB217" s="115"/>
      <c r="DC217" s="114"/>
      <c r="DD217" s="115"/>
      <c r="DE217" s="97"/>
      <c r="DF217" s="269"/>
    </row>
    <row r="218" spans="1:110" s="270" customFormat="1" ht="24" x14ac:dyDescent="0.2">
      <c r="A218" s="89">
        <v>40609</v>
      </c>
      <c r="B218" s="90" t="s">
        <v>4261</v>
      </c>
      <c r="C218" s="90" t="s">
        <v>2657</v>
      </c>
      <c r="D218" s="90" t="s">
        <v>2362</v>
      </c>
      <c r="E218" s="90" t="str">
        <f>VLOOKUP(B218&amp;C218,Divipola!$C$2:$F$1138,4,FALSE)</f>
        <v>15244</v>
      </c>
      <c r="F218" s="4"/>
      <c r="G218" s="274"/>
      <c r="H218" s="274"/>
      <c r="I218" s="274"/>
      <c r="J218" s="124">
        <v>85</v>
      </c>
      <c r="K218" s="124">
        <v>17</v>
      </c>
      <c r="L218" s="124"/>
      <c r="M218" s="124">
        <v>5</v>
      </c>
      <c r="N218" s="208"/>
      <c r="O218" s="208"/>
      <c r="P218" s="208"/>
      <c r="Q218" s="208"/>
      <c r="R218" s="208"/>
      <c r="S218" s="208"/>
      <c r="T218" s="208"/>
      <c r="U218" s="208"/>
      <c r="V218" s="208"/>
      <c r="W218" s="19"/>
      <c r="X218" s="17"/>
      <c r="Y218" s="5">
        <f t="shared" si="18"/>
        <v>0</v>
      </c>
      <c r="Z218" s="5">
        <f t="shared" si="19"/>
        <v>0</v>
      </c>
      <c r="AA218" s="5">
        <f t="shared" si="20"/>
        <v>0</v>
      </c>
      <c r="AB218" s="5">
        <f t="shared" si="21"/>
        <v>0</v>
      </c>
      <c r="AC218" s="5"/>
      <c r="AD218" s="5">
        <v>0</v>
      </c>
      <c r="AE218" s="5">
        <f t="shared" si="22"/>
        <v>0</v>
      </c>
      <c r="AF218" s="70">
        <v>0</v>
      </c>
      <c r="AG218" s="17"/>
      <c r="AH218" s="18"/>
      <c r="AI218" s="47" t="s">
        <v>4346</v>
      </c>
      <c r="AJ218" s="73" t="s">
        <v>4347</v>
      </c>
      <c r="AK218" s="275"/>
      <c r="AL218" s="100" t="s">
        <v>2090</v>
      </c>
      <c r="AM218" s="100" t="s">
        <v>1898</v>
      </c>
      <c r="AN218" s="19"/>
      <c r="AO218" s="19"/>
      <c r="AP218" s="19"/>
      <c r="AQ218" s="19"/>
      <c r="AR218" s="19"/>
      <c r="AS218" s="19"/>
      <c r="AT218" s="19"/>
      <c r="AU218" s="19"/>
      <c r="AV218" s="19"/>
      <c r="AW218" s="19"/>
      <c r="AX218" s="107"/>
      <c r="AY218" s="107"/>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39"/>
      <c r="CO218" s="138"/>
      <c r="CP218" s="139"/>
      <c r="CQ218" s="138"/>
      <c r="CR218" s="139"/>
      <c r="CS218" s="138"/>
      <c r="CT218" s="72"/>
      <c r="CU218" s="139"/>
      <c r="CV218" s="99">
        <f t="shared" si="23"/>
        <v>0</v>
      </c>
      <c r="CW218" s="139"/>
      <c r="CX218" s="138"/>
      <c r="CY218" s="138"/>
      <c r="CZ218" s="138"/>
      <c r="DA218" s="139"/>
      <c r="DB218" s="138"/>
      <c r="DC218" s="45"/>
      <c r="DD218" s="138"/>
      <c r="DE218" s="45"/>
      <c r="DF218" s="269"/>
    </row>
    <row r="219" spans="1:110" s="270" customFormat="1" ht="72" x14ac:dyDescent="0.2">
      <c r="A219" s="89">
        <v>40609</v>
      </c>
      <c r="B219" s="90" t="s">
        <v>4261</v>
      </c>
      <c r="C219" s="90" t="s">
        <v>1207</v>
      </c>
      <c r="D219" s="90" t="s">
        <v>4264</v>
      </c>
      <c r="E219" s="90" t="str">
        <f>VLOOKUP(B219&amp;C219,Divipola!$C$2:$F$1138,4,FALSE)</f>
        <v>15455</v>
      </c>
      <c r="F219" s="4"/>
      <c r="G219" s="274"/>
      <c r="H219" s="274"/>
      <c r="I219" s="274"/>
      <c r="J219" s="124">
        <v>471</v>
      </c>
      <c r="K219" s="124">
        <v>94</v>
      </c>
      <c r="L219" s="124">
        <v>3</v>
      </c>
      <c r="M219" s="124">
        <v>91</v>
      </c>
      <c r="N219" s="208"/>
      <c r="O219" s="208"/>
      <c r="P219" s="208"/>
      <c r="Q219" s="208"/>
      <c r="R219" s="208"/>
      <c r="S219" s="208"/>
      <c r="T219" s="208"/>
      <c r="U219" s="208"/>
      <c r="V219" s="208"/>
      <c r="W219" s="19"/>
      <c r="X219" s="17"/>
      <c r="Y219" s="5">
        <f t="shared" si="18"/>
        <v>0</v>
      </c>
      <c r="Z219" s="5">
        <f t="shared" si="19"/>
        <v>0</v>
      </c>
      <c r="AA219" s="5">
        <f t="shared" si="20"/>
        <v>0</v>
      </c>
      <c r="AB219" s="5">
        <f t="shared" si="21"/>
        <v>0</v>
      </c>
      <c r="AC219" s="5"/>
      <c r="AD219" s="5">
        <v>0</v>
      </c>
      <c r="AE219" s="5">
        <f t="shared" si="22"/>
        <v>0</v>
      </c>
      <c r="AF219" s="70">
        <v>0</v>
      </c>
      <c r="AG219" s="17"/>
      <c r="AH219" s="18"/>
      <c r="AI219" s="47" t="s">
        <v>4336</v>
      </c>
      <c r="AJ219" s="73" t="s">
        <v>4337</v>
      </c>
      <c r="AK219" s="275"/>
      <c r="AL219" s="276"/>
      <c r="AM219" s="100" t="s">
        <v>1899</v>
      </c>
      <c r="AN219" s="19"/>
      <c r="AO219" s="19"/>
      <c r="AP219" s="19"/>
      <c r="AQ219" s="19"/>
      <c r="AR219" s="19"/>
      <c r="AS219" s="19"/>
      <c r="AT219" s="19"/>
      <c r="AU219" s="19"/>
      <c r="AV219" s="19"/>
      <c r="AW219" s="19"/>
      <c r="AX219" s="107"/>
      <c r="AY219" s="107"/>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39"/>
      <c r="CO219" s="138"/>
      <c r="CP219" s="139"/>
      <c r="CQ219" s="138"/>
      <c r="CR219" s="139"/>
      <c r="CS219" s="138"/>
      <c r="CT219" s="72"/>
      <c r="CU219" s="139"/>
      <c r="CV219" s="99">
        <f t="shared" si="23"/>
        <v>0</v>
      </c>
      <c r="CW219" s="139"/>
      <c r="CX219" s="138"/>
      <c r="CY219" s="138"/>
      <c r="CZ219" s="138"/>
      <c r="DA219" s="139"/>
      <c r="DB219" s="138"/>
      <c r="DC219" s="45"/>
      <c r="DD219" s="138"/>
      <c r="DE219" s="45"/>
      <c r="DF219" s="269"/>
    </row>
    <row r="220" spans="1:110" s="270" customFormat="1" ht="24" x14ac:dyDescent="0.2">
      <c r="A220" s="89">
        <v>40609</v>
      </c>
      <c r="B220" s="90" t="s">
        <v>4261</v>
      </c>
      <c r="C220" s="90" t="s">
        <v>4260</v>
      </c>
      <c r="D220" s="90" t="s">
        <v>3311</v>
      </c>
      <c r="E220" s="90" t="str">
        <f>VLOOKUP(B220&amp;C220,Divipola!$C$2:$F$1138,4,FALSE)</f>
        <v>15673</v>
      </c>
      <c r="F220" s="90"/>
      <c r="G220" s="101">
        <v>2</v>
      </c>
      <c r="H220" s="101"/>
      <c r="I220" s="101"/>
      <c r="J220" s="101"/>
      <c r="K220" s="101"/>
      <c r="L220" s="101"/>
      <c r="M220" s="101"/>
      <c r="N220" s="101"/>
      <c r="O220" s="101"/>
      <c r="P220" s="101"/>
      <c r="Q220" s="101"/>
      <c r="R220" s="101"/>
      <c r="S220" s="101"/>
      <c r="T220" s="101"/>
      <c r="U220" s="101"/>
      <c r="V220" s="101"/>
      <c r="W220" s="91"/>
      <c r="X220" s="89"/>
      <c r="Y220" s="92">
        <f t="shared" si="18"/>
        <v>0</v>
      </c>
      <c r="Z220" s="92">
        <f t="shared" si="19"/>
        <v>0</v>
      </c>
      <c r="AA220" s="92">
        <f t="shared" si="20"/>
        <v>0</v>
      </c>
      <c r="AB220" s="92">
        <f t="shared" si="21"/>
        <v>0</v>
      </c>
      <c r="AC220" s="92"/>
      <c r="AD220" s="92">
        <v>0</v>
      </c>
      <c r="AE220" s="92">
        <f t="shared" si="22"/>
        <v>0</v>
      </c>
      <c r="AF220" s="93">
        <v>0</v>
      </c>
      <c r="AG220" s="89">
        <v>40611</v>
      </c>
      <c r="AH220" s="94"/>
      <c r="AI220" s="102" t="s">
        <v>4336</v>
      </c>
      <c r="AJ220" s="96" t="s">
        <v>4337</v>
      </c>
      <c r="AK220" s="97"/>
      <c r="AL220" s="89"/>
      <c r="AM220" s="100" t="s">
        <v>835</v>
      </c>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114"/>
      <c r="CQ220" s="115"/>
      <c r="CR220" s="114"/>
      <c r="CS220" s="115"/>
      <c r="CT220" s="114"/>
      <c r="CU220" s="115"/>
      <c r="CV220" s="99">
        <f t="shared" si="23"/>
        <v>0</v>
      </c>
      <c r="CW220" s="114"/>
      <c r="CX220" s="115"/>
      <c r="CY220" s="114"/>
      <c r="CZ220" s="115"/>
      <c r="DA220" s="115"/>
      <c r="DB220" s="115"/>
      <c r="DC220" s="114"/>
      <c r="DD220" s="115"/>
      <c r="DE220" s="97"/>
      <c r="DF220" s="269"/>
    </row>
    <row r="221" spans="1:110" s="270" customFormat="1" ht="36" x14ac:dyDescent="0.2">
      <c r="A221" s="89">
        <v>40609</v>
      </c>
      <c r="B221" s="90" t="s">
        <v>4261</v>
      </c>
      <c r="C221" s="90" t="s">
        <v>2260</v>
      </c>
      <c r="D221" s="90" t="s">
        <v>3311</v>
      </c>
      <c r="E221" s="90" t="str">
        <f>VLOOKUP(B221&amp;C221,Divipola!$C$2:$F$1138,4,FALSE)</f>
        <v>15790</v>
      </c>
      <c r="F221" s="90"/>
      <c r="G221" s="101">
        <v>2</v>
      </c>
      <c r="H221" s="101"/>
      <c r="I221" s="101"/>
      <c r="J221" s="101"/>
      <c r="K221" s="101"/>
      <c r="L221" s="101"/>
      <c r="M221" s="101"/>
      <c r="N221" s="101"/>
      <c r="O221" s="101"/>
      <c r="P221" s="101"/>
      <c r="Q221" s="101"/>
      <c r="R221" s="101"/>
      <c r="S221" s="101"/>
      <c r="T221" s="101"/>
      <c r="U221" s="101"/>
      <c r="V221" s="101"/>
      <c r="W221" s="91"/>
      <c r="X221" s="89"/>
      <c r="Y221" s="92">
        <f t="shared" si="18"/>
        <v>0</v>
      </c>
      <c r="Z221" s="92">
        <f t="shared" si="19"/>
        <v>0</v>
      </c>
      <c r="AA221" s="92">
        <f t="shared" si="20"/>
        <v>0</v>
      </c>
      <c r="AB221" s="92">
        <f t="shared" si="21"/>
        <v>0</v>
      </c>
      <c r="AC221" s="92"/>
      <c r="AD221" s="92">
        <v>0</v>
      </c>
      <c r="AE221" s="92">
        <f t="shared" si="22"/>
        <v>0</v>
      </c>
      <c r="AF221" s="93">
        <v>0</v>
      </c>
      <c r="AG221" s="89">
        <v>40611</v>
      </c>
      <c r="AH221" s="94"/>
      <c r="AI221" s="102" t="s">
        <v>4336</v>
      </c>
      <c r="AJ221" s="96" t="s">
        <v>4337</v>
      </c>
      <c r="AK221" s="97"/>
      <c r="AL221" s="89"/>
      <c r="AM221" s="100" t="s">
        <v>834</v>
      </c>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114"/>
      <c r="CQ221" s="115"/>
      <c r="CR221" s="114"/>
      <c r="CS221" s="115"/>
      <c r="CT221" s="114"/>
      <c r="CU221" s="115"/>
      <c r="CV221" s="99">
        <f t="shared" si="23"/>
        <v>0</v>
      </c>
      <c r="CW221" s="114"/>
      <c r="CX221" s="115"/>
      <c r="CY221" s="114"/>
      <c r="CZ221" s="115"/>
      <c r="DA221" s="115"/>
      <c r="DB221" s="115"/>
      <c r="DC221" s="114"/>
      <c r="DD221" s="115"/>
      <c r="DE221" s="97"/>
      <c r="DF221" s="269">
        <v>1623</v>
      </c>
    </row>
    <row r="222" spans="1:110" s="270" customFormat="1" ht="60" x14ac:dyDescent="0.2">
      <c r="A222" s="89">
        <v>40609</v>
      </c>
      <c r="B222" s="90" t="s">
        <v>4219</v>
      </c>
      <c r="C222" s="90" t="s">
        <v>66</v>
      </c>
      <c r="D222" s="90" t="s">
        <v>2362</v>
      </c>
      <c r="E222" s="90" t="str">
        <f>VLOOKUP(B222&amp;C222,Divipola!$C$2:$F$1138,4,FALSE)</f>
        <v>41503</v>
      </c>
      <c r="F222" s="90"/>
      <c r="G222" s="101"/>
      <c r="H222" s="101"/>
      <c r="I222" s="101"/>
      <c r="J222" s="101">
        <v>40</v>
      </c>
      <c r="K222" s="101">
        <v>8</v>
      </c>
      <c r="L222" s="101"/>
      <c r="M222" s="101"/>
      <c r="N222" s="101">
        <v>1</v>
      </c>
      <c r="O222" s="101">
        <v>1</v>
      </c>
      <c r="P222" s="101"/>
      <c r="Q222" s="101"/>
      <c r="R222" s="101"/>
      <c r="S222" s="101"/>
      <c r="T222" s="101"/>
      <c r="U222" s="101"/>
      <c r="V222" s="101"/>
      <c r="W222" s="91"/>
      <c r="X222" s="89"/>
      <c r="Y222" s="92">
        <f t="shared" si="18"/>
        <v>0</v>
      </c>
      <c r="Z222" s="92">
        <f t="shared" si="19"/>
        <v>0</v>
      </c>
      <c r="AA222" s="92">
        <f t="shared" si="20"/>
        <v>0</v>
      </c>
      <c r="AB222" s="92">
        <f t="shared" si="21"/>
        <v>0</v>
      </c>
      <c r="AC222" s="92"/>
      <c r="AD222" s="92">
        <v>0</v>
      </c>
      <c r="AE222" s="92">
        <f t="shared" si="22"/>
        <v>0</v>
      </c>
      <c r="AF222" s="93">
        <v>0</v>
      </c>
      <c r="AG222" s="89">
        <v>40611</v>
      </c>
      <c r="AH222" s="94"/>
      <c r="AI222" s="95" t="s">
        <v>4336</v>
      </c>
      <c r="AJ222" s="96" t="s">
        <v>4337</v>
      </c>
      <c r="AK222" s="97"/>
      <c r="AL222" s="89"/>
      <c r="AM222" s="100" t="s">
        <v>832</v>
      </c>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114"/>
      <c r="CQ222" s="115"/>
      <c r="CR222" s="114"/>
      <c r="CS222" s="115"/>
      <c r="CT222" s="114"/>
      <c r="CU222" s="115"/>
      <c r="CV222" s="99">
        <f t="shared" si="23"/>
        <v>0</v>
      </c>
      <c r="CW222" s="114"/>
      <c r="CX222" s="115"/>
      <c r="CY222" s="114"/>
      <c r="CZ222" s="115"/>
      <c r="DA222" s="115"/>
      <c r="DB222" s="115"/>
      <c r="DC222" s="114"/>
      <c r="DD222" s="115"/>
      <c r="DE222" s="97"/>
      <c r="DF222" s="269"/>
    </row>
    <row r="223" spans="1:110" s="270" customFormat="1" ht="22.5" x14ac:dyDescent="0.2">
      <c r="A223" s="89">
        <v>40609</v>
      </c>
      <c r="B223" s="90" t="s">
        <v>4387</v>
      </c>
      <c r="C223" s="106" t="s">
        <v>468</v>
      </c>
      <c r="D223" s="90" t="s">
        <v>2362</v>
      </c>
      <c r="E223" s="90" t="str">
        <f>VLOOKUP(B223&amp;C223,Divipola!$C$2:$F$1138,4,FALSE)</f>
        <v>52258</v>
      </c>
      <c r="F223" s="90"/>
      <c r="G223" s="101"/>
      <c r="H223" s="101"/>
      <c r="I223" s="101"/>
      <c r="J223" s="101">
        <v>165</v>
      </c>
      <c r="K223" s="101">
        <v>46</v>
      </c>
      <c r="L223" s="101"/>
      <c r="M223" s="101">
        <v>46</v>
      </c>
      <c r="N223" s="101"/>
      <c r="O223" s="101"/>
      <c r="P223" s="101"/>
      <c r="Q223" s="101"/>
      <c r="R223" s="101"/>
      <c r="S223" s="101"/>
      <c r="T223" s="101"/>
      <c r="U223" s="101"/>
      <c r="V223" s="101"/>
      <c r="W223" s="91"/>
      <c r="X223" s="105"/>
      <c r="Y223" s="92">
        <f t="shared" si="18"/>
        <v>0</v>
      </c>
      <c r="Z223" s="92">
        <f t="shared" si="19"/>
        <v>0</v>
      </c>
      <c r="AA223" s="92">
        <f t="shared" si="20"/>
        <v>0</v>
      </c>
      <c r="AB223" s="92">
        <f t="shared" si="21"/>
        <v>0</v>
      </c>
      <c r="AC223" s="92"/>
      <c r="AD223" s="92">
        <v>0</v>
      </c>
      <c r="AE223" s="92">
        <f t="shared" si="22"/>
        <v>0</v>
      </c>
      <c r="AF223" s="93">
        <v>0</v>
      </c>
      <c r="AG223" s="105"/>
      <c r="AH223" s="108"/>
      <c r="AI223" s="109" t="s">
        <v>4336</v>
      </c>
      <c r="AJ223" s="110" t="s">
        <v>4337</v>
      </c>
      <c r="AK223" s="111"/>
      <c r="AL223" s="105" t="s">
        <v>1069</v>
      </c>
      <c r="AM223" s="100"/>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18"/>
      <c r="CO223" s="119"/>
      <c r="CP223" s="118"/>
      <c r="CQ223" s="119"/>
      <c r="CR223" s="118"/>
      <c r="CS223" s="119"/>
      <c r="CT223" s="113"/>
      <c r="CU223" s="118"/>
      <c r="CV223" s="99">
        <f t="shared" si="23"/>
        <v>0</v>
      </c>
      <c r="CW223" s="118"/>
      <c r="CX223" s="119"/>
      <c r="CY223" s="119"/>
      <c r="CZ223" s="119"/>
      <c r="DA223" s="118"/>
      <c r="DB223" s="119"/>
      <c r="DC223" s="111"/>
      <c r="DD223" s="119"/>
      <c r="DE223" s="111"/>
      <c r="DF223" s="269"/>
    </row>
    <row r="224" spans="1:110" s="270" customFormat="1" ht="60" x14ac:dyDescent="0.2">
      <c r="A224" s="89">
        <v>40609</v>
      </c>
      <c r="B224" s="90" t="s">
        <v>4387</v>
      </c>
      <c r="C224" s="90" t="s">
        <v>501</v>
      </c>
      <c r="D224" s="90" t="s">
        <v>2362</v>
      </c>
      <c r="E224" s="90" t="str">
        <f>VLOOKUP(B224&amp;C224,Divipola!$C$2:$F$1138,4,FALSE)</f>
        <v>52411</v>
      </c>
      <c r="F224" s="90"/>
      <c r="G224" s="101"/>
      <c r="H224" s="101"/>
      <c r="I224" s="101"/>
      <c r="J224" s="101">
        <v>912</v>
      </c>
      <c r="K224" s="101">
        <v>228</v>
      </c>
      <c r="L224" s="101">
        <v>55</v>
      </c>
      <c r="M224" s="101">
        <v>169</v>
      </c>
      <c r="N224" s="101"/>
      <c r="O224" s="101"/>
      <c r="P224" s="101"/>
      <c r="Q224" s="101">
        <v>4</v>
      </c>
      <c r="R224" s="101"/>
      <c r="S224" s="101"/>
      <c r="T224" s="101">
        <v>3</v>
      </c>
      <c r="U224" s="101"/>
      <c r="V224" s="101">
        <v>1452</v>
      </c>
      <c r="W224" s="91"/>
      <c r="X224" s="105"/>
      <c r="Y224" s="92">
        <f t="shared" si="18"/>
        <v>0</v>
      </c>
      <c r="Z224" s="92">
        <f t="shared" si="19"/>
        <v>0</v>
      </c>
      <c r="AA224" s="92">
        <f t="shared" si="20"/>
        <v>0</v>
      </c>
      <c r="AB224" s="92">
        <f t="shared" si="21"/>
        <v>0</v>
      </c>
      <c r="AC224" s="92"/>
      <c r="AD224" s="92">
        <v>0</v>
      </c>
      <c r="AE224" s="92">
        <f t="shared" si="22"/>
        <v>0</v>
      </c>
      <c r="AF224" s="93">
        <v>0</v>
      </c>
      <c r="AG224" s="105"/>
      <c r="AH224" s="108"/>
      <c r="AI224" s="109" t="s">
        <v>4336</v>
      </c>
      <c r="AJ224" s="110" t="s">
        <v>4337</v>
      </c>
      <c r="AK224" s="111"/>
      <c r="AL224" s="105" t="s">
        <v>1069</v>
      </c>
      <c r="AM224" s="100" t="s">
        <v>4496</v>
      </c>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18"/>
      <c r="CO224" s="119"/>
      <c r="CP224" s="118"/>
      <c r="CQ224" s="119"/>
      <c r="CR224" s="118"/>
      <c r="CS224" s="119"/>
      <c r="CT224" s="113"/>
      <c r="CU224" s="118"/>
      <c r="CV224" s="99">
        <f t="shared" si="23"/>
        <v>0</v>
      </c>
      <c r="CW224" s="118"/>
      <c r="CX224" s="119"/>
      <c r="CY224" s="119"/>
      <c r="CZ224" s="119"/>
      <c r="DA224" s="118"/>
      <c r="DB224" s="119"/>
      <c r="DC224" s="111"/>
      <c r="DD224" s="119"/>
      <c r="DE224" s="111"/>
      <c r="DF224" s="269"/>
    </row>
    <row r="225" spans="1:255" s="270" customFormat="1" ht="22.5" x14ac:dyDescent="0.2">
      <c r="A225" s="89">
        <v>40609</v>
      </c>
      <c r="B225" s="90" t="s">
        <v>4387</v>
      </c>
      <c r="C225" s="90" t="s">
        <v>1756</v>
      </c>
      <c r="D225" s="90" t="s">
        <v>4264</v>
      </c>
      <c r="E225" s="90" t="str">
        <f>VLOOKUP(B225&amp;C225,Divipola!$C$2:$F$1138,4,FALSE)</f>
        <v>52473</v>
      </c>
      <c r="F225" s="90"/>
      <c r="G225" s="101"/>
      <c r="H225" s="101"/>
      <c r="I225" s="101"/>
      <c r="J225" s="101">
        <v>270</v>
      </c>
      <c r="K225" s="101">
        <v>45</v>
      </c>
      <c r="L225" s="101">
        <v>10</v>
      </c>
      <c r="M225" s="101">
        <v>35</v>
      </c>
      <c r="N225" s="101"/>
      <c r="O225" s="101"/>
      <c r="P225" s="101"/>
      <c r="Q225" s="101"/>
      <c r="R225" s="101"/>
      <c r="S225" s="101"/>
      <c r="T225" s="101"/>
      <c r="U225" s="101"/>
      <c r="V225" s="101"/>
      <c r="W225" s="91"/>
      <c r="X225" s="105"/>
      <c r="Y225" s="92">
        <f t="shared" si="18"/>
        <v>0</v>
      </c>
      <c r="Z225" s="92">
        <f t="shared" si="19"/>
        <v>0</v>
      </c>
      <c r="AA225" s="92">
        <f t="shared" si="20"/>
        <v>0</v>
      </c>
      <c r="AB225" s="92">
        <f t="shared" si="21"/>
        <v>0</v>
      </c>
      <c r="AC225" s="92"/>
      <c r="AD225" s="92">
        <v>0</v>
      </c>
      <c r="AE225" s="92">
        <f t="shared" si="22"/>
        <v>0</v>
      </c>
      <c r="AF225" s="93">
        <v>0</v>
      </c>
      <c r="AG225" s="105"/>
      <c r="AH225" s="108"/>
      <c r="AI225" s="109" t="s">
        <v>4336</v>
      </c>
      <c r="AJ225" s="110" t="s">
        <v>4337</v>
      </c>
      <c r="AK225" s="111"/>
      <c r="AL225" s="105" t="s">
        <v>1069</v>
      </c>
      <c r="AM225" s="100" t="s">
        <v>4497</v>
      </c>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18"/>
      <c r="CO225" s="119"/>
      <c r="CP225" s="118"/>
      <c r="CQ225" s="119"/>
      <c r="CR225" s="118"/>
      <c r="CS225" s="119"/>
      <c r="CT225" s="113"/>
      <c r="CU225" s="118"/>
      <c r="CV225" s="99">
        <f t="shared" si="23"/>
        <v>0</v>
      </c>
      <c r="CW225" s="118"/>
      <c r="CX225" s="119"/>
      <c r="CY225" s="119"/>
      <c r="CZ225" s="119"/>
      <c r="DA225" s="118"/>
      <c r="DB225" s="119"/>
      <c r="DC225" s="111"/>
      <c r="DD225" s="119"/>
      <c r="DE225" s="111"/>
      <c r="DF225" s="269"/>
    </row>
    <row r="226" spans="1:255" s="270" customFormat="1" ht="22.5" x14ac:dyDescent="0.2">
      <c r="A226" s="89">
        <v>40609</v>
      </c>
      <c r="B226" s="90" t="s">
        <v>4387</v>
      </c>
      <c r="C226" s="90" t="s">
        <v>3382</v>
      </c>
      <c r="D226" s="90" t="s">
        <v>4264</v>
      </c>
      <c r="E226" s="90" t="str">
        <f>VLOOKUP(B226&amp;C226,Divipola!$C$2:$F$1138,4,FALSE)</f>
        <v>52490</v>
      </c>
      <c r="F226" s="90"/>
      <c r="G226" s="101"/>
      <c r="H226" s="101"/>
      <c r="I226" s="101"/>
      <c r="J226" s="101">
        <v>2200</v>
      </c>
      <c r="K226" s="101">
        <v>550</v>
      </c>
      <c r="L226" s="101"/>
      <c r="M226" s="101">
        <v>550</v>
      </c>
      <c r="N226" s="101"/>
      <c r="O226" s="101"/>
      <c r="P226" s="101"/>
      <c r="Q226" s="101"/>
      <c r="R226" s="101"/>
      <c r="S226" s="101"/>
      <c r="T226" s="101"/>
      <c r="U226" s="101"/>
      <c r="V226" s="101"/>
      <c r="W226" s="91"/>
      <c r="X226" s="105"/>
      <c r="Y226" s="92">
        <f t="shared" si="18"/>
        <v>0</v>
      </c>
      <c r="Z226" s="92">
        <f t="shared" si="19"/>
        <v>0</v>
      </c>
      <c r="AA226" s="92">
        <f t="shared" si="20"/>
        <v>0</v>
      </c>
      <c r="AB226" s="92">
        <f t="shared" si="21"/>
        <v>0</v>
      </c>
      <c r="AC226" s="92"/>
      <c r="AD226" s="92">
        <v>0</v>
      </c>
      <c r="AE226" s="92">
        <f t="shared" si="22"/>
        <v>0</v>
      </c>
      <c r="AF226" s="93">
        <v>0</v>
      </c>
      <c r="AG226" s="105"/>
      <c r="AH226" s="108"/>
      <c r="AI226" s="109" t="s">
        <v>4336</v>
      </c>
      <c r="AJ226" s="110" t="s">
        <v>4337</v>
      </c>
      <c r="AK226" s="111"/>
      <c r="AL226" s="105" t="s">
        <v>1069</v>
      </c>
      <c r="AM226" s="100"/>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18"/>
      <c r="CO226" s="119"/>
      <c r="CP226" s="118"/>
      <c r="CQ226" s="119"/>
      <c r="CR226" s="118"/>
      <c r="CS226" s="119"/>
      <c r="CT226" s="113"/>
      <c r="CU226" s="118"/>
      <c r="CV226" s="99">
        <f t="shared" si="23"/>
        <v>0</v>
      </c>
      <c r="CW226" s="118"/>
      <c r="CX226" s="119"/>
      <c r="CY226" s="119"/>
      <c r="CZ226" s="119"/>
      <c r="DA226" s="118"/>
      <c r="DB226" s="119"/>
      <c r="DC226" s="111"/>
      <c r="DD226" s="119"/>
      <c r="DE226" s="111"/>
      <c r="DF226" s="269"/>
    </row>
    <row r="227" spans="1:255" s="270" customFormat="1" ht="24" x14ac:dyDescent="0.2">
      <c r="A227" s="89">
        <v>40609</v>
      </c>
      <c r="B227" s="90" t="s">
        <v>4221</v>
      </c>
      <c r="C227" s="90" t="s">
        <v>4299</v>
      </c>
      <c r="D227" s="90" t="s">
        <v>4264</v>
      </c>
      <c r="E227" s="90" t="str">
        <f>VLOOKUP(B227&amp;C227,Divipola!$C$2:$F$1138,4,FALSE)</f>
        <v>54001</v>
      </c>
      <c r="F227" s="90"/>
      <c r="G227" s="101"/>
      <c r="H227" s="101"/>
      <c r="I227" s="101"/>
      <c r="J227" s="101">
        <v>16</v>
      </c>
      <c r="K227" s="101">
        <v>3</v>
      </c>
      <c r="L227" s="101">
        <v>1</v>
      </c>
      <c r="M227" s="101">
        <v>2</v>
      </c>
      <c r="N227" s="101"/>
      <c r="O227" s="101"/>
      <c r="P227" s="101"/>
      <c r="Q227" s="101"/>
      <c r="R227" s="101"/>
      <c r="S227" s="101"/>
      <c r="T227" s="101"/>
      <c r="U227" s="101"/>
      <c r="V227" s="101"/>
      <c r="W227" s="91"/>
      <c r="X227" s="89"/>
      <c r="Y227" s="92">
        <f t="shared" si="18"/>
        <v>0</v>
      </c>
      <c r="Z227" s="92">
        <f t="shared" si="19"/>
        <v>0</v>
      </c>
      <c r="AA227" s="92">
        <f t="shared" si="20"/>
        <v>0</v>
      </c>
      <c r="AB227" s="92">
        <f t="shared" si="21"/>
        <v>0</v>
      </c>
      <c r="AC227" s="92"/>
      <c r="AD227" s="92">
        <v>0</v>
      </c>
      <c r="AE227" s="92">
        <f t="shared" si="22"/>
        <v>0</v>
      </c>
      <c r="AF227" s="93">
        <v>0</v>
      </c>
      <c r="AG227" s="89">
        <v>40611</v>
      </c>
      <c r="AH227" s="94"/>
      <c r="AI227" s="102" t="s">
        <v>4336</v>
      </c>
      <c r="AJ227" s="96" t="s">
        <v>4337</v>
      </c>
      <c r="AK227" s="97"/>
      <c r="AL227" s="89"/>
      <c r="AM227" s="100" t="s">
        <v>833</v>
      </c>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114"/>
      <c r="CQ227" s="115"/>
      <c r="CR227" s="114"/>
      <c r="CS227" s="115"/>
      <c r="CT227" s="114"/>
      <c r="CU227" s="115"/>
      <c r="CV227" s="99">
        <f t="shared" si="23"/>
        <v>0</v>
      </c>
      <c r="CW227" s="114"/>
      <c r="CX227" s="115"/>
      <c r="CY227" s="114"/>
      <c r="CZ227" s="115"/>
      <c r="DA227" s="115"/>
      <c r="DB227" s="115"/>
      <c r="DC227" s="114"/>
      <c r="DD227" s="115"/>
      <c r="DE227" s="97"/>
      <c r="DF227" s="269"/>
    </row>
    <row r="228" spans="1:255" s="270" customFormat="1" ht="24" x14ac:dyDescent="0.2">
      <c r="A228" s="89">
        <v>40609</v>
      </c>
      <c r="B228" s="90" t="s">
        <v>2226</v>
      </c>
      <c r="C228" s="90" t="s">
        <v>4371</v>
      </c>
      <c r="D228" s="90" t="s">
        <v>2860</v>
      </c>
      <c r="E228" s="90" t="str">
        <f>VLOOKUP(B228&amp;C228,Divipola!$C$2:$F$1138,4,FALSE)</f>
        <v>68444</v>
      </c>
      <c r="F228" s="90"/>
      <c r="G228" s="101"/>
      <c r="H228" s="101"/>
      <c r="I228" s="101"/>
      <c r="J228" s="101">
        <f>18*4.5</f>
        <v>81</v>
      </c>
      <c r="K228" s="101">
        <v>18</v>
      </c>
      <c r="L228" s="101"/>
      <c r="M228" s="101"/>
      <c r="N228" s="101"/>
      <c r="O228" s="101"/>
      <c r="P228" s="101"/>
      <c r="Q228" s="101"/>
      <c r="R228" s="101"/>
      <c r="S228" s="101"/>
      <c r="T228" s="101"/>
      <c r="U228" s="101"/>
      <c r="V228" s="101"/>
      <c r="W228" s="91"/>
      <c r="X228" s="89"/>
      <c r="Y228" s="92">
        <f t="shared" si="18"/>
        <v>0</v>
      </c>
      <c r="Z228" s="92">
        <f t="shared" si="19"/>
        <v>0</v>
      </c>
      <c r="AA228" s="92">
        <f t="shared" si="20"/>
        <v>0</v>
      </c>
      <c r="AB228" s="92">
        <f t="shared" si="21"/>
        <v>0</v>
      </c>
      <c r="AC228" s="92"/>
      <c r="AD228" s="92">
        <v>0</v>
      </c>
      <c r="AE228" s="92">
        <f t="shared" si="22"/>
        <v>0</v>
      </c>
      <c r="AF228" s="93">
        <v>0</v>
      </c>
      <c r="AG228" s="89"/>
      <c r="AH228" s="94"/>
      <c r="AI228" s="95" t="s">
        <v>4336</v>
      </c>
      <c r="AJ228" s="96" t="s">
        <v>4337</v>
      </c>
      <c r="AK228" s="97"/>
      <c r="AL228" s="89"/>
      <c r="AM228" s="100" t="s">
        <v>2727</v>
      </c>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114"/>
      <c r="CQ228" s="115"/>
      <c r="CR228" s="114"/>
      <c r="CS228" s="115"/>
      <c r="CT228" s="114"/>
      <c r="CU228" s="115"/>
      <c r="CV228" s="99">
        <f t="shared" si="23"/>
        <v>0</v>
      </c>
      <c r="CW228" s="114"/>
      <c r="CX228" s="115"/>
      <c r="CY228" s="114"/>
      <c r="CZ228" s="115"/>
      <c r="DA228" s="115"/>
      <c r="DB228" s="115"/>
      <c r="DC228" s="114"/>
      <c r="DD228" s="115"/>
      <c r="DE228" s="97"/>
      <c r="DF228" s="269"/>
    </row>
    <row r="229" spans="1:255" s="270" customFormat="1" ht="24" x14ac:dyDescent="0.2">
      <c r="A229" s="89">
        <v>40609</v>
      </c>
      <c r="B229" s="90" t="s">
        <v>2226</v>
      </c>
      <c r="C229" s="90" t="s">
        <v>2262</v>
      </c>
      <c r="D229" s="90" t="s">
        <v>4264</v>
      </c>
      <c r="E229" s="90" t="str">
        <f>VLOOKUP(B229&amp;C229,Divipola!$C$2:$F$1138,4,FALSE)</f>
        <v>68720</v>
      </c>
      <c r="F229" s="90"/>
      <c r="G229" s="101"/>
      <c r="H229" s="101"/>
      <c r="I229" s="101"/>
      <c r="J229" s="101">
        <f>218*4</f>
        <v>872</v>
      </c>
      <c r="K229" s="101">
        <v>218</v>
      </c>
      <c r="L229" s="101"/>
      <c r="M229" s="101">
        <v>218</v>
      </c>
      <c r="N229" s="101"/>
      <c r="O229" s="101"/>
      <c r="P229" s="101"/>
      <c r="Q229" s="101"/>
      <c r="R229" s="101"/>
      <c r="S229" s="101"/>
      <c r="T229" s="101"/>
      <c r="U229" s="101"/>
      <c r="V229" s="101"/>
      <c r="W229" s="91"/>
      <c r="X229" s="89"/>
      <c r="Y229" s="92">
        <f t="shared" si="18"/>
        <v>0</v>
      </c>
      <c r="Z229" s="92">
        <f t="shared" si="19"/>
        <v>0</v>
      </c>
      <c r="AA229" s="92">
        <f t="shared" si="20"/>
        <v>0</v>
      </c>
      <c r="AB229" s="92">
        <f t="shared" si="21"/>
        <v>0</v>
      </c>
      <c r="AC229" s="92"/>
      <c r="AD229" s="92">
        <v>0</v>
      </c>
      <c r="AE229" s="92">
        <f t="shared" si="22"/>
        <v>0</v>
      </c>
      <c r="AF229" s="93">
        <v>0</v>
      </c>
      <c r="AG229" s="89"/>
      <c r="AH229" s="94"/>
      <c r="AI229" s="95" t="s">
        <v>4336</v>
      </c>
      <c r="AJ229" s="96" t="s">
        <v>4337</v>
      </c>
      <c r="AK229" s="97"/>
      <c r="AL229" s="89"/>
      <c r="AM229" s="100" t="s">
        <v>2727</v>
      </c>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114"/>
      <c r="CQ229" s="115"/>
      <c r="CR229" s="114"/>
      <c r="CS229" s="115"/>
      <c r="CT229" s="114"/>
      <c r="CU229" s="115"/>
      <c r="CV229" s="99">
        <f t="shared" si="23"/>
        <v>0</v>
      </c>
      <c r="CW229" s="114"/>
      <c r="CX229" s="115"/>
      <c r="CY229" s="114"/>
      <c r="CZ229" s="115"/>
      <c r="DA229" s="115"/>
      <c r="DB229" s="115"/>
      <c r="DC229" s="114"/>
      <c r="DD229" s="115"/>
      <c r="DE229" s="97"/>
      <c r="DF229" s="269"/>
    </row>
    <row r="230" spans="1:255" s="270" customFormat="1" ht="24" x14ac:dyDescent="0.2">
      <c r="A230" s="89">
        <v>40609</v>
      </c>
      <c r="B230" s="90" t="s">
        <v>2226</v>
      </c>
      <c r="C230" s="90" t="s">
        <v>3454</v>
      </c>
      <c r="D230" s="90" t="s">
        <v>4264</v>
      </c>
      <c r="E230" s="90" t="str">
        <f>VLOOKUP(B230&amp;C230,Divipola!$C$2:$F$1138,4,FALSE)</f>
        <v>68745</v>
      </c>
      <c r="F230" s="90"/>
      <c r="G230" s="101"/>
      <c r="H230" s="101"/>
      <c r="I230" s="101"/>
      <c r="J230" s="101">
        <f>12*5</f>
        <v>60</v>
      </c>
      <c r="K230" s="101">
        <v>12</v>
      </c>
      <c r="L230" s="101"/>
      <c r="M230" s="101"/>
      <c r="N230" s="101"/>
      <c r="O230" s="101"/>
      <c r="P230" s="101"/>
      <c r="Q230" s="101"/>
      <c r="R230" s="101"/>
      <c r="S230" s="101"/>
      <c r="T230" s="101"/>
      <c r="U230" s="101"/>
      <c r="V230" s="101"/>
      <c r="W230" s="91"/>
      <c r="X230" s="89"/>
      <c r="Y230" s="92">
        <f t="shared" si="18"/>
        <v>0</v>
      </c>
      <c r="Z230" s="92">
        <f t="shared" si="19"/>
        <v>0</v>
      </c>
      <c r="AA230" s="92">
        <f t="shared" si="20"/>
        <v>0</v>
      </c>
      <c r="AB230" s="92">
        <f t="shared" si="21"/>
        <v>0</v>
      </c>
      <c r="AC230" s="92"/>
      <c r="AD230" s="92">
        <v>0</v>
      </c>
      <c r="AE230" s="92">
        <f t="shared" si="22"/>
        <v>0</v>
      </c>
      <c r="AF230" s="93">
        <v>0</v>
      </c>
      <c r="AG230" s="89"/>
      <c r="AH230" s="94"/>
      <c r="AI230" s="95" t="s">
        <v>4336</v>
      </c>
      <c r="AJ230" s="96" t="s">
        <v>4337</v>
      </c>
      <c r="AK230" s="97"/>
      <c r="AL230" s="89"/>
      <c r="AM230" s="100" t="s">
        <v>2727</v>
      </c>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114"/>
      <c r="CQ230" s="115"/>
      <c r="CR230" s="114"/>
      <c r="CS230" s="115"/>
      <c r="CT230" s="114"/>
      <c r="CU230" s="115"/>
      <c r="CV230" s="99">
        <f t="shared" si="23"/>
        <v>0</v>
      </c>
      <c r="CW230" s="114"/>
      <c r="CX230" s="115"/>
      <c r="CY230" s="114"/>
      <c r="CZ230" s="115"/>
      <c r="DA230" s="115"/>
      <c r="DB230" s="115"/>
      <c r="DC230" s="114"/>
      <c r="DD230" s="115"/>
      <c r="DE230" s="97"/>
      <c r="DF230" s="269"/>
    </row>
    <row r="231" spans="1:255" s="270" customFormat="1" x14ac:dyDescent="0.2">
      <c r="A231" s="89">
        <v>40609</v>
      </c>
      <c r="B231" s="90" t="s">
        <v>3316</v>
      </c>
      <c r="C231" s="90" t="s">
        <v>4233</v>
      </c>
      <c r="D231" s="90" t="s">
        <v>4264</v>
      </c>
      <c r="E231" s="90" t="str">
        <f>VLOOKUP(B231&amp;C231,Divipola!$C$2:$F$1138,4,FALSE)</f>
        <v>73352</v>
      </c>
      <c r="F231" s="90"/>
      <c r="G231" s="101"/>
      <c r="H231" s="101"/>
      <c r="I231" s="101"/>
      <c r="J231" s="101">
        <v>113</v>
      </c>
      <c r="K231" s="101">
        <v>25</v>
      </c>
      <c r="L231" s="101">
        <v>2</v>
      </c>
      <c r="M231" s="101">
        <v>23</v>
      </c>
      <c r="N231" s="101"/>
      <c r="O231" s="101"/>
      <c r="P231" s="101"/>
      <c r="Q231" s="101"/>
      <c r="R231" s="101"/>
      <c r="S231" s="101"/>
      <c r="T231" s="101"/>
      <c r="U231" s="101"/>
      <c r="V231" s="101">
        <v>50</v>
      </c>
      <c r="W231" s="91"/>
      <c r="X231" s="89"/>
      <c r="Y231" s="92">
        <f t="shared" si="18"/>
        <v>0</v>
      </c>
      <c r="Z231" s="92">
        <f t="shared" si="19"/>
        <v>0</v>
      </c>
      <c r="AA231" s="92">
        <f t="shared" si="20"/>
        <v>0</v>
      </c>
      <c r="AB231" s="92">
        <f t="shared" si="21"/>
        <v>0</v>
      </c>
      <c r="AC231" s="92"/>
      <c r="AD231" s="92">
        <v>0</v>
      </c>
      <c r="AE231" s="92">
        <f t="shared" si="22"/>
        <v>0</v>
      </c>
      <c r="AF231" s="93">
        <v>0</v>
      </c>
      <c r="AG231" s="89"/>
      <c r="AH231" s="94"/>
      <c r="AI231" s="102" t="s">
        <v>4336</v>
      </c>
      <c r="AJ231" s="96" t="s">
        <v>4337</v>
      </c>
      <c r="AK231" s="97"/>
      <c r="AL231" s="89"/>
      <c r="AM231" s="100" t="s">
        <v>3530</v>
      </c>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114"/>
      <c r="CQ231" s="115"/>
      <c r="CR231" s="114"/>
      <c r="CS231" s="115"/>
      <c r="CT231" s="114"/>
      <c r="CU231" s="115"/>
      <c r="CV231" s="99">
        <f t="shared" si="23"/>
        <v>0</v>
      </c>
      <c r="CW231" s="114"/>
      <c r="CX231" s="115"/>
      <c r="CY231" s="114"/>
      <c r="CZ231" s="115"/>
      <c r="DA231" s="115"/>
      <c r="DB231" s="115"/>
      <c r="DC231" s="114"/>
      <c r="DD231" s="115"/>
      <c r="DE231" s="97"/>
      <c r="DF231" s="269"/>
    </row>
    <row r="232" spans="1:255" s="270" customFormat="1" ht="36" x14ac:dyDescent="0.2">
      <c r="A232" s="89">
        <v>40610</v>
      </c>
      <c r="B232" s="90" t="s">
        <v>3533</v>
      </c>
      <c r="C232" s="90" t="s">
        <v>2219</v>
      </c>
      <c r="D232" s="90" t="s">
        <v>2362</v>
      </c>
      <c r="E232" s="90" t="str">
        <f>VLOOKUP(B232&amp;C232,Divipola!$C$2:$F$1138,4,FALSE)</f>
        <v>17433</v>
      </c>
      <c r="F232" s="90"/>
      <c r="G232" s="101"/>
      <c r="H232" s="101"/>
      <c r="I232" s="101"/>
      <c r="J232" s="101">
        <v>125</v>
      </c>
      <c r="K232" s="101">
        <v>55</v>
      </c>
      <c r="L232" s="101">
        <v>25</v>
      </c>
      <c r="M232" s="101">
        <v>32</v>
      </c>
      <c r="N232" s="101">
        <v>5</v>
      </c>
      <c r="O232" s="101"/>
      <c r="P232" s="101"/>
      <c r="Q232" s="101"/>
      <c r="R232" s="101"/>
      <c r="S232" s="101"/>
      <c r="T232" s="101"/>
      <c r="U232" s="101">
        <v>1</v>
      </c>
      <c r="V232" s="101"/>
      <c r="W232" s="91"/>
      <c r="X232" s="89"/>
      <c r="Y232" s="92">
        <f t="shared" si="18"/>
        <v>0</v>
      </c>
      <c r="Z232" s="92">
        <f t="shared" si="19"/>
        <v>0</v>
      </c>
      <c r="AA232" s="92">
        <f t="shared" si="20"/>
        <v>0</v>
      </c>
      <c r="AB232" s="92">
        <f t="shared" si="21"/>
        <v>0</v>
      </c>
      <c r="AC232" s="92"/>
      <c r="AD232" s="92">
        <v>0</v>
      </c>
      <c r="AE232" s="92">
        <f t="shared" si="22"/>
        <v>0</v>
      </c>
      <c r="AF232" s="93">
        <v>0</v>
      </c>
      <c r="AG232" s="89">
        <v>40620</v>
      </c>
      <c r="AH232" s="94"/>
      <c r="AI232" s="95" t="s">
        <v>4336</v>
      </c>
      <c r="AJ232" s="96" t="s">
        <v>4337</v>
      </c>
      <c r="AK232" s="97"/>
      <c r="AL232" s="89"/>
      <c r="AM232" s="100" t="s">
        <v>2157</v>
      </c>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114"/>
      <c r="CQ232" s="115"/>
      <c r="CR232" s="114"/>
      <c r="CS232" s="115"/>
      <c r="CT232" s="114"/>
      <c r="CU232" s="115"/>
      <c r="CV232" s="99">
        <f t="shared" si="23"/>
        <v>0</v>
      </c>
      <c r="CW232" s="114"/>
      <c r="CX232" s="115"/>
      <c r="CY232" s="114"/>
      <c r="CZ232" s="115"/>
      <c r="DA232" s="115"/>
      <c r="DB232" s="115"/>
      <c r="DC232" s="114"/>
      <c r="DD232" s="115"/>
      <c r="DE232" s="97"/>
      <c r="DF232" s="269"/>
    </row>
    <row r="233" spans="1:255" s="270" customFormat="1" ht="24" x14ac:dyDescent="0.2">
      <c r="A233" s="89">
        <v>40610</v>
      </c>
      <c r="B233" s="90" t="s">
        <v>4219</v>
      </c>
      <c r="C233" s="90" t="s">
        <v>3351</v>
      </c>
      <c r="D233" s="90" t="s">
        <v>3346</v>
      </c>
      <c r="E233" s="90" t="str">
        <f>VLOOKUP(B233&amp;C233,Divipola!$C$2:$F$1138,4,FALSE)</f>
        <v>41349</v>
      </c>
      <c r="F233" s="90"/>
      <c r="G233" s="101"/>
      <c r="H233" s="101"/>
      <c r="I233" s="101"/>
      <c r="J233" s="101">
        <v>10</v>
      </c>
      <c r="K233" s="101">
        <v>2</v>
      </c>
      <c r="L233" s="101"/>
      <c r="M233" s="101">
        <v>2</v>
      </c>
      <c r="N233" s="101"/>
      <c r="O233" s="101"/>
      <c r="P233" s="101"/>
      <c r="Q233" s="101"/>
      <c r="R233" s="101"/>
      <c r="S233" s="101"/>
      <c r="T233" s="101"/>
      <c r="U233" s="101"/>
      <c r="V233" s="101"/>
      <c r="W233" s="91"/>
      <c r="X233" s="89"/>
      <c r="Y233" s="92">
        <f t="shared" si="18"/>
        <v>0</v>
      </c>
      <c r="Z233" s="92">
        <f t="shared" si="19"/>
        <v>0</v>
      </c>
      <c r="AA233" s="92">
        <f t="shared" si="20"/>
        <v>0</v>
      </c>
      <c r="AB233" s="92">
        <f t="shared" si="21"/>
        <v>0</v>
      </c>
      <c r="AC233" s="92"/>
      <c r="AD233" s="92">
        <v>0</v>
      </c>
      <c r="AE233" s="92">
        <f t="shared" si="22"/>
        <v>0</v>
      </c>
      <c r="AF233" s="93">
        <v>0</v>
      </c>
      <c r="AG233" s="89">
        <v>40620</v>
      </c>
      <c r="AH233" s="94"/>
      <c r="AI233" s="95" t="s">
        <v>4336</v>
      </c>
      <c r="AJ233" s="96" t="s">
        <v>4337</v>
      </c>
      <c r="AK233" s="97"/>
      <c r="AL233" s="89"/>
      <c r="AM233" s="100" t="s">
        <v>2171</v>
      </c>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114"/>
      <c r="CQ233" s="115"/>
      <c r="CR233" s="114"/>
      <c r="CS233" s="115"/>
      <c r="CT233" s="114"/>
      <c r="CU233" s="115"/>
      <c r="CV233" s="99">
        <f t="shared" si="23"/>
        <v>0</v>
      </c>
      <c r="CW233" s="114"/>
      <c r="CX233" s="115"/>
      <c r="CY233" s="114"/>
      <c r="CZ233" s="115"/>
      <c r="DA233" s="115"/>
      <c r="DB233" s="115"/>
      <c r="DC233" s="114"/>
      <c r="DD233" s="115"/>
      <c r="DE233" s="97"/>
      <c r="DF233" s="269"/>
    </row>
    <row r="234" spans="1:255" s="270" customFormat="1" ht="36" x14ac:dyDescent="0.2">
      <c r="A234" s="89">
        <v>40610</v>
      </c>
      <c r="B234" s="90" t="s">
        <v>4219</v>
      </c>
      <c r="C234" s="90" t="s">
        <v>3498</v>
      </c>
      <c r="D234" s="90" t="s">
        <v>2362</v>
      </c>
      <c r="E234" s="90" t="str">
        <f>VLOOKUP(B234&amp;C234,Divipola!$C$2:$F$1138,4,FALSE)</f>
        <v>41799</v>
      </c>
      <c r="F234" s="90"/>
      <c r="G234" s="101"/>
      <c r="H234" s="101"/>
      <c r="I234" s="101"/>
      <c r="J234" s="101">
        <v>40</v>
      </c>
      <c r="K234" s="101">
        <v>8</v>
      </c>
      <c r="L234" s="101"/>
      <c r="M234" s="101">
        <v>8</v>
      </c>
      <c r="N234" s="101">
        <v>12</v>
      </c>
      <c r="O234" s="101"/>
      <c r="P234" s="101"/>
      <c r="Q234" s="101"/>
      <c r="R234" s="101"/>
      <c r="S234" s="101"/>
      <c r="T234" s="101"/>
      <c r="U234" s="101"/>
      <c r="V234" s="101">
        <v>81</v>
      </c>
      <c r="W234" s="91"/>
      <c r="X234" s="89"/>
      <c r="Y234" s="92">
        <f t="shared" si="18"/>
        <v>0</v>
      </c>
      <c r="Z234" s="92">
        <f t="shared" si="19"/>
        <v>0</v>
      </c>
      <c r="AA234" s="92">
        <f t="shared" si="20"/>
        <v>0</v>
      </c>
      <c r="AB234" s="92">
        <f t="shared" si="21"/>
        <v>0</v>
      </c>
      <c r="AC234" s="92"/>
      <c r="AD234" s="92">
        <v>0</v>
      </c>
      <c r="AE234" s="92">
        <f t="shared" si="22"/>
        <v>0</v>
      </c>
      <c r="AF234" s="93">
        <v>0</v>
      </c>
      <c r="AG234" s="89">
        <v>40611</v>
      </c>
      <c r="AH234" s="94"/>
      <c r="AI234" s="95" t="s">
        <v>4336</v>
      </c>
      <c r="AJ234" s="96" t="s">
        <v>4337</v>
      </c>
      <c r="AK234" s="97"/>
      <c r="AL234" s="89"/>
      <c r="AM234" s="100" t="s">
        <v>836</v>
      </c>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114"/>
      <c r="CQ234" s="115"/>
      <c r="CR234" s="114"/>
      <c r="CS234" s="115"/>
      <c r="CT234" s="114"/>
      <c r="CU234" s="115"/>
      <c r="CV234" s="99">
        <f t="shared" si="23"/>
        <v>0</v>
      </c>
      <c r="CW234" s="114"/>
      <c r="CX234" s="115"/>
      <c r="CY234" s="114"/>
      <c r="CZ234" s="115"/>
      <c r="DA234" s="115"/>
      <c r="DB234" s="115"/>
      <c r="DC234" s="114"/>
      <c r="DD234" s="115"/>
      <c r="DE234" s="97"/>
      <c r="DF234" s="269"/>
    </row>
    <row r="235" spans="1:255" s="270" customFormat="1" ht="24" x14ac:dyDescent="0.2">
      <c r="A235" s="89">
        <v>40610</v>
      </c>
      <c r="B235" s="90" t="s">
        <v>4387</v>
      </c>
      <c r="C235" s="90" t="s">
        <v>3385</v>
      </c>
      <c r="D235" s="90" t="s">
        <v>2362</v>
      </c>
      <c r="E235" s="90" t="str">
        <f>VLOOKUP(B235&amp;C235,Divipola!$C$2:$F$1138,4,FALSE)</f>
        <v>52720</v>
      </c>
      <c r="F235" s="90"/>
      <c r="G235" s="101"/>
      <c r="H235" s="101"/>
      <c r="I235" s="101"/>
      <c r="J235" s="101">
        <v>150</v>
      </c>
      <c r="K235" s="101">
        <v>35</v>
      </c>
      <c r="L235" s="101"/>
      <c r="M235" s="101">
        <v>31</v>
      </c>
      <c r="N235" s="101"/>
      <c r="O235" s="101"/>
      <c r="P235" s="101"/>
      <c r="Q235" s="101"/>
      <c r="R235" s="101"/>
      <c r="S235" s="101"/>
      <c r="T235" s="101"/>
      <c r="U235" s="101"/>
      <c r="V235" s="101"/>
      <c r="W235" s="91"/>
      <c r="X235" s="89"/>
      <c r="Y235" s="92">
        <f t="shared" si="18"/>
        <v>0</v>
      </c>
      <c r="Z235" s="92">
        <f t="shared" si="19"/>
        <v>0</v>
      </c>
      <c r="AA235" s="92">
        <f t="shared" si="20"/>
        <v>0</v>
      </c>
      <c r="AB235" s="92">
        <f t="shared" si="21"/>
        <v>0</v>
      </c>
      <c r="AC235" s="92"/>
      <c r="AD235" s="92">
        <v>0</v>
      </c>
      <c r="AE235" s="92">
        <f t="shared" si="22"/>
        <v>0</v>
      </c>
      <c r="AF235" s="93">
        <v>0</v>
      </c>
      <c r="AG235" s="89"/>
      <c r="AH235" s="94"/>
      <c r="AI235" s="95" t="s">
        <v>4336</v>
      </c>
      <c r="AJ235" s="96" t="s">
        <v>4337</v>
      </c>
      <c r="AK235" s="97"/>
      <c r="AL235" s="89"/>
      <c r="AM235" s="100" t="s">
        <v>2727</v>
      </c>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114"/>
      <c r="CQ235" s="115"/>
      <c r="CR235" s="114"/>
      <c r="CS235" s="115"/>
      <c r="CT235" s="114"/>
      <c r="CU235" s="115"/>
      <c r="CV235" s="99">
        <f t="shared" si="23"/>
        <v>0</v>
      </c>
      <c r="CW235" s="114"/>
      <c r="CX235" s="115"/>
      <c r="CY235" s="114"/>
      <c r="CZ235" s="115"/>
      <c r="DA235" s="115"/>
      <c r="DB235" s="115"/>
      <c r="DC235" s="114"/>
      <c r="DD235" s="115"/>
      <c r="DE235" s="97"/>
      <c r="DF235" s="269"/>
    </row>
    <row r="236" spans="1:255" s="270" customFormat="1" x14ac:dyDescent="0.2">
      <c r="A236" s="89">
        <v>40610</v>
      </c>
      <c r="B236" s="90" t="s">
        <v>4348</v>
      </c>
      <c r="C236" s="90" t="s">
        <v>3342</v>
      </c>
      <c r="D236" s="90" t="s">
        <v>2362</v>
      </c>
      <c r="E236" s="90" t="str">
        <f>VLOOKUP(B236&amp;C236,Divipola!$C$2:$F$1138,4,FALSE)</f>
        <v>66383</v>
      </c>
      <c r="F236" s="90"/>
      <c r="G236" s="101"/>
      <c r="H236" s="101"/>
      <c r="I236" s="101"/>
      <c r="J236" s="101">
        <v>20</v>
      </c>
      <c r="K236" s="101">
        <v>4</v>
      </c>
      <c r="L236" s="101"/>
      <c r="M236" s="101">
        <v>4</v>
      </c>
      <c r="N236" s="101"/>
      <c r="O236" s="101"/>
      <c r="P236" s="101"/>
      <c r="Q236" s="101"/>
      <c r="R236" s="101"/>
      <c r="S236" s="101"/>
      <c r="T236" s="101"/>
      <c r="U236" s="101"/>
      <c r="V236" s="101"/>
      <c r="W236" s="91"/>
      <c r="X236" s="89"/>
      <c r="Y236" s="92">
        <f t="shared" si="18"/>
        <v>0</v>
      </c>
      <c r="Z236" s="92">
        <f t="shared" si="19"/>
        <v>0</v>
      </c>
      <c r="AA236" s="92">
        <f t="shared" si="20"/>
        <v>0</v>
      </c>
      <c r="AB236" s="92">
        <f t="shared" si="21"/>
        <v>0</v>
      </c>
      <c r="AC236" s="92"/>
      <c r="AD236" s="92">
        <v>0</v>
      </c>
      <c r="AE236" s="92">
        <f t="shared" si="22"/>
        <v>0</v>
      </c>
      <c r="AF236" s="93">
        <v>0</v>
      </c>
      <c r="AG236" s="89">
        <v>40624</v>
      </c>
      <c r="AH236" s="94"/>
      <c r="AI236" s="95" t="s">
        <v>4336</v>
      </c>
      <c r="AJ236" s="96" t="s">
        <v>4337</v>
      </c>
      <c r="AK236" s="97"/>
      <c r="AL236" s="89"/>
      <c r="AM236" s="100" t="s">
        <v>3238</v>
      </c>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114"/>
      <c r="CQ236" s="115"/>
      <c r="CR236" s="114"/>
      <c r="CS236" s="115"/>
      <c r="CT236" s="114"/>
      <c r="CU236" s="115"/>
      <c r="CV236" s="99">
        <f t="shared" si="23"/>
        <v>0</v>
      </c>
      <c r="CW236" s="114"/>
      <c r="CX236" s="115"/>
      <c r="CY236" s="114"/>
      <c r="CZ236" s="115"/>
      <c r="DA236" s="115"/>
      <c r="DB236" s="115"/>
      <c r="DC236" s="114"/>
      <c r="DD236" s="115"/>
      <c r="DE236" s="97"/>
      <c r="DF236" s="269"/>
    </row>
    <row r="237" spans="1:255" s="270" customFormat="1" x14ac:dyDescent="0.2">
      <c r="A237" s="89">
        <v>40610</v>
      </c>
      <c r="B237" s="90" t="s">
        <v>3316</v>
      </c>
      <c r="C237" s="90" t="s">
        <v>62</v>
      </c>
      <c r="D237" s="90" t="s">
        <v>4264</v>
      </c>
      <c r="E237" s="90" t="str">
        <f>VLOOKUP(B237&amp;C237,Divipola!$C$2:$F$1138,4,FALSE)</f>
        <v>73236</v>
      </c>
      <c r="F237" s="90"/>
      <c r="G237" s="101"/>
      <c r="H237" s="101"/>
      <c r="I237" s="101"/>
      <c r="J237" s="101">
        <v>2700</v>
      </c>
      <c r="K237" s="101">
        <v>600</v>
      </c>
      <c r="L237" s="101"/>
      <c r="M237" s="101">
        <v>600</v>
      </c>
      <c r="N237" s="101"/>
      <c r="O237" s="101"/>
      <c r="P237" s="101"/>
      <c r="Q237" s="101"/>
      <c r="R237" s="101"/>
      <c r="S237" s="101"/>
      <c r="T237" s="101"/>
      <c r="U237" s="101"/>
      <c r="V237" s="101"/>
      <c r="W237" s="91"/>
      <c r="X237" s="89"/>
      <c r="Y237" s="92">
        <f t="shared" si="18"/>
        <v>0</v>
      </c>
      <c r="Z237" s="92">
        <f t="shared" si="19"/>
        <v>0</v>
      </c>
      <c r="AA237" s="92">
        <f t="shared" si="20"/>
        <v>0</v>
      </c>
      <c r="AB237" s="92">
        <f t="shared" si="21"/>
        <v>0</v>
      </c>
      <c r="AC237" s="92"/>
      <c r="AD237" s="92">
        <v>0</v>
      </c>
      <c r="AE237" s="92">
        <f t="shared" si="22"/>
        <v>0</v>
      </c>
      <c r="AF237" s="93">
        <v>0</v>
      </c>
      <c r="AG237" s="89">
        <v>40620</v>
      </c>
      <c r="AH237" s="94"/>
      <c r="AI237" s="102" t="s">
        <v>4336</v>
      </c>
      <c r="AJ237" s="96" t="s">
        <v>4337</v>
      </c>
      <c r="AK237" s="97"/>
      <c r="AL237" s="89"/>
      <c r="AM237" s="100" t="s">
        <v>2166</v>
      </c>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114"/>
      <c r="CQ237" s="115"/>
      <c r="CR237" s="114"/>
      <c r="CS237" s="115"/>
      <c r="CT237" s="114"/>
      <c r="CU237" s="115"/>
      <c r="CV237" s="99">
        <f t="shared" si="23"/>
        <v>0</v>
      </c>
      <c r="CW237" s="114"/>
      <c r="CX237" s="115"/>
      <c r="CY237" s="114"/>
      <c r="CZ237" s="115"/>
      <c r="DA237" s="115"/>
      <c r="DB237" s="115"/>
      <c r="DC237" s="114"/>
      <c r="DD237" s="115"/>
      <c r="DE237" s="97"/>
      <c r="DF237" s="269"/>
    </row>
    <row r="238" spans="1:255" s="42" customFormat="1" ht="48" x14ac:dyDescent="0.2">
      <c r="A238" s="89">
        <v>40611</v>
      </c>
      <c r="B238" s="90" t="s">
        <v>4261</v>
      </c>
      <c r="C238" s="90" t="s">
        <v>2866</v>
      </c>
      <c r="D238" s="90" t="s">
        <v>2362</v>
      </c>
      <c r="E238" s="90" t="str">
        <f>VLOOKUP(B238&amp;C238,Divipola!$C$2:$F$1138,4,FALSE)</f>
        <v>15368</v>
      </c>
      <c r="F238" s="90"/>
      <c r="G238" s="101">
        <v>1</v>
      </c>
      <c r="H238" s="101"/>
      <c r="I238" s="101"/>
      <c r="J238" s="101"/>
      <c r="K238" s="101"/>
      <c r="L238" s="101"/>
      <c r="M238" s="101"/>
      <c r="N238" s="101">
        <v>1</v>
      </c>
      <c r="O238" s="101"/>
      <c r="P238" s="101"/>
      <c r="Q238" s="101"/>
      <c r="R238" s="101"/>
      <c r="S238" s="101"/>
      <c r="T238" s="101"/>
      <c r="U238" s="101"/>
      <c r="V238" s="101"/>
      <c r="W238" s="91"/>
      <c r="X238" s="89"/>
      <c r="Y238" s="92">
        <f t="shared" si="18"/>
        <v>0</v>
      </c>
      <c r="Z238" s="92">
        <f t="shared" si="19"/>
        <v>0</v>
      </c>
      <c r="AA238" s="92">
        <f t="shared" si="20"/>
        <v>0</v>
      </c>
      <c r="AB238" s="92">
        <f t="shared" si="21"/>
        <v>0</v>
      </c>
      <c r="AC238" s="92"/>
      <c r="AD238" s="92">
        <v>0</v>
      </c>
      <c r="AE238" s="92">
        <f t="shared" si="22"/>
        <v>0</v>
      </c>
      <c r="AF238" s="93">
        <v>0</v>
      </c>
      <c r="AG238" s="89">
        <v>40620</v>
      </c>
      <c r="AH238" s="94"/>
      <c r="AI238" s="102" t="s">
        <v>4336</v>
      </c>
      <c r="AJ238" s="96" t="s">
        <v>4337</v>
      </c>
      <c r="AK238" s="97"/>
      <c r="AL238" s="89"/>
      <c r="AM238" s="100" t="s">
        <v>2156</v>
      </c>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114"/>
      <c r="CQ238" s="115"/>
      <c r="CR238" s="114"/>
      <c r="CS238" s="115"/>
      <c r="CT238" s="114"/>
      <c r="CU238" s="115"/>
      <c r="CV238" s="99">
        <f t="shared" si="23"/>
        <v>0</v>
      </c>
      <c r="CW238" s="114"/>
      <c r="CX238" s="115"/>
      <c r="CY238" s="114"/>
      <c r="CZ238" s="115"/>
      <c r="DA238" s="115"/>
      <c r="DB238" s="115"/>
      <c r="DC238" s="114"/>
      <c r="DD238" s="115"/>
      <c r="DE238" s="97"/>
      <c r="DF238" s="269"/>
      <c r="DG238" s="270"/>
      <c r="DH238" s="270"/>
      <c r="DI238" s="270"/>
      <c r="DJ238" s="270"/>
      <c r="DK238" s="270"/>
      <c r="DL238" s="270"/>
      <c r="DM238" s="270"/>
      <c r="DN238" s="270"/>
      <c r="DO238" s="270"/>
      <c r="DP238" s="270"/>
      <c r="DQ238" s="270"/>
      <c r="DR238" s="270"/>
      <c r="DS238" s="270"/>
      <c r="DT238" s="270"/>
      <c r="DU238" s="270"/>
      <c r="DV238" s="270"/>
      <c r="DW238" s="270"/>
      <c r="DX238" s="270"/>
      <c r="DY238" s="270"/>
      <c r="DZ238" s="270"/>
      <c r="EA238" s="270"/>
      <c r="EB238" s="270"/>
      <c r="EC238" s="270"/>
      <c r="ED238" s="270"/>
      <c r="EE238" s="270"/>
      <c r="EF238" s="270"/>
      <c r="EG238" s="270"/>
      <c r="EH238" s="270"/>
      <c r="EI238" s="270"/>
      <c r="EJ238" s="270"/>
      <c r="EK238" s="270"/>
      <c r="EL238" s="270"/>
      <c r="EM238" s="270"/>
      <c r="EN238" s="270"/>
      <c r="EO238" s="270"/>
      <c r="EP238" s="270"/>
      <c r="EQ238" s="270"/>
      <c r="ER238" s="270"/>
      <c r="ES238" s="270"/>
      <c r="ET238" s="270"/>
      <c r="EU238" s="270"/>
      <c r="EV238" s="270"/>
      <c r="EW238" s="270"/>
      <c r="EX238" s="270"/>
      <c r="EY238" s="270"/>
      <c r="EZ238" s="270"/>
      <c r="FA238" s="270"/>
      <c r="FB238" s="270"/>
      <c r="FC238" s="270"/>
      <c r="FD238" s="270"/>
      <c r="FE238" s="270"/>
      <c r="FF238" s="270"/>
      <c r="FG238" s="270"/>
      <c r="FH238" s="270"/>
      <c r="FI238" s="270"/>
      <c r="FJ238" s="270"/>
      <c r="FK238" s="270"/>
      <c r="FL238" s="270"/>
      <c r="FM238" s="270"/>
      <c r="FN238" s="270"/>
      <c r="FO238" s="270"/>
      <c r="FP238" s="270"/>
      <c r="FQ238" s="270"/>
      <c r="FR238" s="270"/>
      <c r="FS238" s="270"/>
      <c r="FT238" s="270"/>
      <c r="FU238" s="270"/>
      <c r="FV238" s="270"/>
      <c r="FW238" s="270"/>
      <c r="FX238" s="270"/>
      <c r="FY238" s="270"/>
      <c r="FZ238" s="270"/>
      <c r="GA238" s="270"/>
      <c r="GB238" s="270"/>
      <c r="GC238" s="270"/>
      <c r="GD238" s="270"/>
      <c r="GE238" s="270"/>
      <c r="GF238" s="270"/>
      <c r="GG238" s="270"/>
      <c r="GH238" s="270"/>
      <c r="GI238" s="270"/>
      <c r="GJ238" s="270"/>
      <c r="GK238" s="270"/>
      <c r="GL238" s="270"/>
      <c r="GM238" s="270"/>
      <c r="GN238" s="270"/>
      <c r="GO238" s="270"/>
      <c r="GP238" s="270"/>
      <c r="GQ238" s="270"/>
      <c r="GR238" s="270"/>
      <c r="GS238" s="270"/>
      <c r="GT238" s="270"/>
      <c r="GU238" s="270"/>
      <c r="GV238" s="270"/>
      <c r="GW238" s="270"/>
      <c r="GX238" s="270"/>
      <c r="GY238" s="270"/>
      <c r="GZ238" s="270"/>
      <c r="HA238" s="270"/>
      <c r="HB238" s="270"/>
      <c r="HC238" s="270"/>
      <c r="HD238" s="270"/>
      <c r="HE238" s="270"/>
      <c r="HF238" s="270"/>
      <c r="HG238" s="270"/>
      <c r="HH238" s="270"/>
      <c r="HI238" s="270"/>
      <c r="HJ238" s="270"/>
      <c r="HK238" s="270"/>
      <c r="HL238" s="270"/>
      <c r="HM238" s="270"/>
      <c r="HN238" s="270"/>
      <c r="HO238" s="270"/>
      <c r="HP238" s="270"/>
      <c r="HQ238" s="270"/>
      <c r="HR238" s="270"/>
      <c r="HS238" s="270"/>
      <c r="HT238" s="270"/>
      <c r="HU238" s="270"/>
      <c r="HV238" s="270"/>
      <c r="HW238" s="270"/>
      <c r="HX238" s="270"/>
      <c r="HY238" s="270"/>
      <c r="HZ238" s="270"/>
      <c r="IA238" s="270"/>
      <c r="IB238" s="270"/>
      <c r="IC238" s="270"/>
      <c r="ID238" s="270"/>
      <c r="IE238" s="270"/>
      <c r="IF238" s="270"/>
      <c r="IG238" s="270"/>
      <c r="IH238" s="270"/>
      <c r="II238" s="270"/>
      <c r="IJ238" s="270"/>
      <c r="IK238" s="270"/>
      <c r="IL238" s="270"/>
      <c r="IM238" s="270"/>
      <c r="IN238" s="270"/>
      <c r="IO238" s="270"/>
      <c r="IP238" s="270"/>
      <c r="IQ238" s="270"/>
      <c r="IR238" s="270"/>
      <c r="IS238" s="270"/>
      <c r="IT238" s="270"/>
      <c r="IU238" s="270"/>
    </row>
    <row r="239" spans="1:255" s="270" customFormat="1" x14ac:dyDescent="0.2">
      <c r="A239" s="89">
        <v>40611</v>
      </c>
      <c r="B239" s="90" t="s">
        <v>3533</v>
      </c>
      <c r="C239" s="90" t="s">
        <v>3558</v>
      </c>
      <c r="D239" s="90" t="s">
        <v>2362</v>
      </c>
      <c r="E239" s="90" t="str">
        <f>VLOOKUP(B239&amp;C239,Divipola!$C$2:$F$1138,4,FALSE)</f>
        <v>17513</v>
      </c>
      <c r="F239" s="90"/>
      <c r="G239" s="101">
        <v>2</v>
      </c>
      <c r="H239" s="101"/>
      <c r="I239" s="101">
        <v>2</v>
      </c>
      <c r="J239" s="101">
        <v>240</v>
      </c>
      <c r="K239" s="101">
        <v>48</v>
      </c>
      <c r="L239" s="101">
        <v>1</v>
      </c>
      <c r="M239" s="101">
        <v>47</v>
      </c>
      <c r="N239" s="101"/>
      <c r="O239" s="101"/>
      <c r="P239" s="101"/>
      <c r="Q239" s="101"/>
      <c r="R239" s="101"/>
      <c r="S239" s="101"/>
      <c r="T239" s="101"/>
      <c r="U239" s="101"/>
      <c r="V239" s="101"/>
      <c r="W239" s="91"/>
      <c r="X239" s="89"/>
      <c r="Y239" s="92">
        <f t="shared" si="18"/>
        <v>0</v>
      </c>
      <c r="Z239" s="92">
        <f t="shared" si="19"/>
        <v>0</v>
      </c>
      <c r="AA239" s="92">
        <f t="shared" si="20"/>
        <v>0</v>
      </c>
      <c r="AB239" s="92">
        <f t="shared" si="21"/>
        <v>0</v>
      </c>
      <c r="AC239" s="92"/>
      <c r="AD239" s="92">
        <v>0</v>
      </c>
      <c r="AE239" s="92">
        <f t="shared" si="22"/>
        <v>0</v>
      </c>
      <c r="AF239" s="93">
        <v>0</v>
      </c>
      <c r="AG239" s="89">
        <v>40620</v>
      </c>
      <c r="AH239" s="94"/>
      <c r="AI239" s="95" t="s">
        <v>4336</v>
      </c>
      <c r="AJ239" s="96" t="s">
        <v>4337</v>
      </c>
      <c r="AK239" s="97"/>
      <c r="AL239" s="89"/>
      <c r="AM239" s="100" t="s">
        <v>2165</v>
      </c>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114"/>
      <c r="CQ239" s="115"/>
      <c r="CR239" s="114"/>
      <c r="CS239" s="115"/>
      <c r="CT239" s="114"/>
      <c r="CU239" s="115"/>
      <c r="CV239" s="99">
        <f t="shared" si="23"/>
        <v>0</v>
      </c>
      <c r="CW239" s="114"/>
      <c r="CX239" s="115"/>
      <c r="CY239" s="114"/>
      <c r="CZ239" s="115"/>
      <c r="DA239" s="115"/>
      <c r="DB239" s="115"/>
      <c r="DC239" s="114"/>
      <c r="DD239" s="115"/>
      <c r="DE239" s="97"/>
      <c r="DF239" s="269"/>
    </row>
    <row r="240" spans="1:255" s="270" customFormat="1" ht="24" x14ac:dyDescent="0.2">
      <c r="A240" s="89">
        <v>40611</v>
      </c>
      <c r="B240" s="90" t="s">
        <v>4344</v>
      </c>
      <c r="C240" s="90" t="s">
        <v>2207</v>
      </c>
      <c r="D240" s="90" t="s">
        <v>4264</v>
      </c>
      <c r="E240" s="90" t="str">
        <f>VLOOKUP(B240&amp;C240,Divipola!$C$2:$F$1138,4,FALSE)</f>
        <v>25095</v>
      </c>
      <c r="F240" s="90"/>
      <c r="G240" s="101"/>
      <c r="H240" s="101"/>
      <c r="I240" s="101"/>
      <c r="J240" s="101">
        <f>24*5</f>
        <v>120</v>
      </c>
      <c r="K240" s="101">
        <v>24</v>
      </c>
      <c r="L240" s="101"/>
      <c r="M240" s="101">
        <v>24</v>
      </c>
      <c r="N240" s="101"/>
      <c r="O240" s="101"/>
      <c r="P240" s="101"/>
      <c r="Q240" s="101"/>
      <c r="R240" s="101"/>
      <c r="S240" s="101"/>
      <c r="T240" s="101"/>
      <c r="U240" s="101"/>
      <c r="V240" s="101"/>
      <c r="W240" s="91"/>
      <c r="X240" s="89"/>
      <c r="Y240" s="92">
        <f t="shared" si="18"/>
        <v>0</v>
      </c>
      <c r="Z240" s="92">
        <f t="shared" si="19"/>
        <v>0</v>
      </c>
      <c r="AA240" s="92">
        <f t="shared" si="20"/>
        <v>0</v>
      </c>
      <c r="AB240" s="92">
        <f t="shared" si="21"/>
        <v>0</v>
      </c>
      <c r="AC240" s="92"/>
      <c r="AD240" s="92">
        <v>0</v>
      </c>
      <c r="AE240" s="92">
        <f t="shared" si="22"/>
        <v>0</v>
      </c>
      <c r="AF240" s="93">
        <v>0</v>
      </c>
      <c r="AG240" s="89">
        <v>40620</v>
      </c>
      <c r="AH240" s="94"/>
      <c r="AI240" s="102" t="s">
        <v>4336</v>
      </c>
      <c r="AJ240" s="96" t="s">
        <v>4337</v>
      </c>
      <c r="AK240" s="97"/>
      <c r="AL240" s="89"/>
      <c r="AM240" s="100" t="s">
        <v>2161</v>
      </c>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114"/>
      <c r="CQ240" s="115"/>
      <c r="CR240" s="114"/>
      <c r="CS240" s="115"/>
      <c r="CT240" s="114"/>
      <c r="CU240" s="115"/>
      <c r="CV240" s="99">
        <f t="shared" si="23"/>
        <v>0</v>
      </c>
      <c r="CW240" s="114"/>
      <c r="CX240" s="115"/>
      <c r="CY240" s="114"/>
      <c r="CZ240" s="115"/>
      <c r="DA240" s="115"/>
      <c r="DB240" s="115"/>
      <c r="DC240" s="114"/>
      <c r="DD240" s="115"/>
      <c r="DE240" s="97"/>
      <c r="DF240" s="269"/>
    </row>
    <row r="241" spans="1:110" s="270" customFormat="1" ht="24" x14ac:dyDescent="0.2">
      <c r="A241" s="89">
        <v>40611</v>
      </c>
      <c r="B241" s="90" t="s">
        <v>4344</v>
      </c>
      <c r="C241" s="90" t="s">
        <v>851</v>
      </c>
      <c r="D241" s="90" t="s">
        <v>2362</v>
      </c>
      <c r="E241" s="90" t="str">
        <f>VLOOKUP(B241&amp;C241,Divipola!$C$2:$F$1138,4,FALSE)</f>
        <v>25518</v>
      </c>
      <c r="F241" s="90"/>
      <c r="G241" s="101"/>
      <c r="H241" s="101"/>
      <c r="I241" s="101"/>
      <c r="J241" s="101">
        <f>16*5</f>
        <v>80</v>
      </c>
      <c r="K241" s="101">
        <v>16</v>
      </c>
      <c r="L241" s="101"/>
      <c r="M241" s="101">
        <v>2</v>
      </c>
      <c r="N241" s="101">
        <v>1</v>
      </c>
      <c r="O241" s="101"/>
      <c r="P241" s="101"/>
      <c r="Q241" s="101"/>
      <c r="R241" s="101"/>
      <c r="S241" s="101"/>
      <c r="T241" s="101"/>
      <c r="U241" s="101"/>
      <c r="V241" s="101"/>
      <c r="W241" s="91"/>
      <c r="X241" s="89"/>
      <c r="Y241" s="92">
        <f t="shared" si="18"/>
        <v>0</v>
      </c>
      <c r="Z241" s="92">
        <f t="shared" si="19"/>
        <v>0</v>
      </c>
      <c r="AA241" s="92">
        <f t="shared" si="20"/>
        <v>0</v>
      </c>
      <c r="AB241" s="92">
        <f t="shared" si="21"/>
        <v>0</v>
      </c>
      <c r="AC241" s="92"/>
      <c r="AD241" s="92">
        <v>0</v>
      </c>
      <c r="AE241" s="92">
        <f t="shared" si="22"/>
        <v>0</v>
      </c>
      <c r="AF241" s="93">
        <v>0</v>
      </c>
      <c r="AG241" s="89">
        <v>40620</v>
      </c>
      <c r="AH241" s="94"/>
      <c r="AI241" s="102" t="s">
        <v>4336</v>
      </c>
      <c r="AJ241" s="96" t="s">
        <v>4337</v>
      </c>
      <c r="AK241" s="97"/>
      <c r="AL241" s="89"/>
      <c r="AM241" s="100" t="s">
        <v>2162</v>
      </c>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114"/>
      <c r="CQ241" s="115"/>
      <c r="CR241" s="114"/>
      <c r="CS241" s="115"/>
      <c r="CT241" s="114"/>
      <c r="CU241" s="115"/>
      <c r="CV241" s="99">
        <f t="shared" si="23"/>
        <v>0</v>
      </c>
      <c r="CW241" s="114"/>
      <c r="CX241" s="115"/>
      <c r="CY241" s="114"/>
      <c r="CZ241" s="115"/>
      <c r="DA241" s="115"/>
      <c r="DB241" s="115"/>
      <c r="DC241" s="114"/>
      <c r="DD241" s="115"/>
      <c r="DE241" s="97"/>
      <c r="DF241" s="269">
        <v>1688</v>
      </c>
    </row>
    <row r="242" spans="1:110" s="270" customFormat="1" ht="36" x14ac:dyDescent="0.2">
      <c r="A242" s="89">
        <v>40611</v>
      </c>
      <c r="B242" s="90" t="s">
        <v>4344</v>
      </c>
      <c r="C242" s="90" t="s">
        <v>3472</v>
      </c>
      <c r="D242" s="90" t="s">
        <v>4264</v>
      </c>
      <c r="E242" s="90" t="str">
        <f>VLOOKUP(B242&amp;C242,Divipola!$C$2:$F$1138,4,FALSE)</f>
        <v>25875</v>
      </c>
      <c r="F242" s="90"/>
      <c r="G242" s="101"/>
      <c r="H242" s="101"/>
      <c r="I242" s="101"/>
      <c r="J242" s="101">
        <v>7</v>
      </c>
      <c r="K242" s="101">
        <v>1</v>
      </c>
      <c r="L242" s="101">
        <v>1</v>
      </c>
      <c r="M242" s="101"/>
      <c r="N242" s="101"/>
      <c r="O242" s="101"/>
      <c r="P242" s="101"/>
      <c r="Q242" s="101"/>
      <c r="R242" s="101"/>
      <c r="S242" s="101"/>
      <c r="T242" s="101"/>
      <c r="U242" s="101"/>
      <c r="V242" s="101"/>
      <c r="W242" s="91"/>
      <c r="X242" s="89"/>
      <c r="Y242" s="92">
        <f t="shared" si="18"/>
        <v>0</v>
      </c>
      <c r="Z242" s="92">
        <f t="shared" si="19"/>
        <v>0</v>
      </c>
      <c r="AA242" s="92">
        <f t="shared" si="20"/>
        <v>0</v>
      </c>
      <c r="AB242" s="92">
        <f t="shared" si="21"/>
        <v>0</v>
      </c>
      <c r="AC242" s="92"/>
      <c r="AD242" s="92">
        <v>0</v>
      </c>
      <c r="AE242" s="92">
        <f t="shared" si="22"/>
        <v>0</v>
      </c>
      <c r="AF242" s="93">
        <v>0</v>
      </c>
      <c r="AG242" s="89">
        <v>40620</v>
      </c>
      <c r="AH242" s="94"/>
      <c r="AI242" s="102" t="s">
        <v>4336</v>
      </c>
      <c r="AJ242" s="96" t="s">
        <v>4337</v>
      </c>
      <c r="AK242" s="97"/>
      <c r="AL242" s="89"/>
      <c r="AM242" s="100" t="s">
        <v>2163</v>
      </c>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114"/>
      <c r="CQ242" s="115"/>
      <c r="CR242" s="114"/>
      <c r="CS242" s="115"/>
      <c r="CT242" s="114"/>
      <c r="CU242" s="115"/>
      <c r="CV242" s="99">
        <f t="shared" si="23"/>
        <v>0</v>
      </c>
      <c r="CW242" s="114"/>
      <c r="CX242" s="115"/>
      <c r="CY242" s="114"/>
      <c r="CZ242" s="115"/>
      <c r="DA242" s="115"/>
      <c r="DB242" s="115"/>
      <c r="DC242" s="114"/>
      <c r="DD242" s="115"/>
      <c r="DE242" s="97"/>
      <c r="DF242" s="269"/>
    </row>
    <row r="243" spans="1:110" s="270" customFormat="1" ht="24" x14ac:dyDescent="0.2">
      <c r="A243" s="89">
        <v>40611</v>
      </c>
      <c r="B243" s="90" t="s">
        <v>4219</v>
      </c>
      <c r="C243" s="90" t="s">
        <v>796</v>
      </c>
      <c r="D243" s="90" t="s">
        <v>2362</v>
      </c>
      <c r="E243" s="90" t="str">
        <f>VLOOKUP(B243&amp;C243,Divipola!$C$2:$F$1138,4,FALSE)</f>
        <v>41006</v>
      </c>
      <c r="F243" s="90"/>
      <c r="G243" s="101"/>
      <c r="H243" s="101"/>
      <c r="I243" s="101"/>
      <c r="J243" s="101">
        <v>7</v>
      </c>
      <c r="K243" s="101">
        <v>1</v>
      </c>
      <c r="L243" s="101"/>
      <c r="M243" s="101">
        <v>1</v>
      </c>
      <c r="N243" s="101"/>
      <c r="O243" s="101"/>
      <c r="P243" s="101"/>
      <c r="Q243" s="101"/>
      <c r="R243" s="101"/>
      <c r="S243" s="101"/>
      <c r="T243" s="101"/>
      <c r="U243" s="101"/>
      <c r="V243" s="101"/>
      <c r="W243" s="91"/>
      <c r="X243" s="89"/>
      <c r="Y243" s="92">
        <f t="shared" si="18"/>
        <v>0</v>
      </c>
      <c r="Z243" s="92">
        <f t="shared" si="19"/>
        <v>0</v>
      </c>
      <c r="AA243" s="92">
        <f t="shared" si="20"/>
        <v>0</v>
      </c>
      <c r="AB243" s="92">
        <f t="shared" si="21"/>
        <v>0</v>
      </c>
      <c r="AC243" s="92"/>
      <c r="AD243" s="92">
        <v>0</v>
      </c>
      <c r="AE243" s="92">
        <f t="shared" si="22"/>
        <v>0</v>
      </c>
      <c r="AF243" s="93">
        <v>0</v>
      </c>
      <c r="AG243" s="89">
        <v>40620</v>
      </c>
      <c r="AH243" s="94"/>
      <c r="AI243" s="95" t="s">
        <v>4336</v>
      </c>
      <c r="AJ243" s="96" t="s">
        <v>4337</v>
      </c>
      <c r="AK243" s="97"/>
      <c r="AL243" s="89"/>
      <c r="AM243" s="100" t="s">
        <v>2167</v>
      </c>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114"/>
      <c r="CQ243" s="115"/>
      <c r="CR243" s="114"/>
      <c r="CS243" s="115"/>
      <c r="CT243" s="114"/>
      <c r="CU243" s="115"/>
      <c r="CV243" s="99">
        <f t="shared" si="23"/>
        <v>0</v>
      </c>
      <c r="CW243" s="114"/>
      <c r="CX243" s="115"/>
      <c r="CY243" s="114"/>
      <c r="CZ243" s="115"/>
      <c r="DA243" s="115"/>
      <c r="DB243" s="115"/>
      <c r="DC243" s="114"/>
      <c r="DD243" s="115"/>
      <c r="DE243" s="97"/>
      <c r="DF243" s="269">
        <v>1691</v>
      </c>
    </row>
    <row r="244" spans="1:110" s="270" customFormat="1" ht="36" x14ac:dyDescent="0.2">
      <c r="A244" s="89">
        <v>40611</v>
      </c>
      <c r="B244" s="90" t="s">
        <v>4219</v>
      </c>
      <c r="C244" s="90" t="s">
        <v>4255</v>
      </c>
      <c r="D244" s="90" t="s">
        <v>4264</v>
      </c>
      <c r="E244" s="90" t="str">
        <f>VLOOKUP(B244&amp;C244,Divipola!$C$2:$F$1138,4,FALSE)</f>
        <v>41396</v>
      </c>
      <c r="F244" s="90"/>
      <c r="G244" s="101"/>
      <c r="H244" s="101"/>
      <c r="I244" s="101"/>
      <c r="J244" s="101">
        <f>337*5</f>
        <v>1685</v>
      </c>
      <c r="K244" s="101">
        <f>12+325</f>
        <v>337</v>
      </c>
      <c r="L244" s="101"/>
      <c r="M244" s="101">
        <v>337</v>
      </c>
      <c r="N244" s="101"/>
      <c r="O244" s="101"/>
      <c r="P244" s="101"/>
      <c r="Q244" s="101"/>
      <c r="R244" s="101"/>
      <c r="S244" s="101"/>
      <c r="T244" s="101"/>
      <c r="U244" s="101"/>
      <c r="V244" s="101"/>
      <c r="W244" s="91"/>
      <c r="X244" s="89"/>
      <c r="Y244" s="92">
        <f t="shared" si="18"/>
        <v>0</v>
      </c>
      <c r="Z244" s="92">
        <f t="shared" si="19"/>
        <v>0</v>
      </c>
      <c r="AA244" s="92">
        <f t="shared" si="20"/>
        <v>0</v>
      </c>
      <c r="AB244" s="92">
        <f t="shared" si="21"/>
        <v>0</v>
      </c>
      <c r="AC244" s="92"/>
      <c r="AD244" s="92">
        <v>0</v>
      </c>
      <c r="AE244" s="92">
        <f t="shared" si="22"/>
        <v>0</v>
      </c>
      <c r="AF244" s="93">
        <v>0</v>
      </c>
      <c r="AG244" s="89">
        <v>40620</v>
      </c>
      <c r="AH244" s="94"/>
      <c r="AI244" s="95" t="s">
        <v>4336</v>
      </c>
      <c r="AJ244" s="96" t="s">
        <v>4337</v>
      </c>
      <c r="AK244" s="97"/>
      <c r="AL244" s="89"/>
      <c r="AM244" s="100" t="s">
        <v>2168</v>
      </c>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114"/>
      <c r="CQ244" s="115"/>
      <c r="CR244" s="114"/>
      <c r="CS244" s="115"/>
      <c r="CT244" s="114"/>
      <c r="CU244" s="115"/>
      <c r="CV244" s="99">
        <f t="shared" si="23"/>
        <v>0</v>
      </c>
      <c r="CW244" s="114"/>
      <c r="CX244" s="115"/>
      <c r="CY244" s="114"/>
      <c r="CZ244" s="115"/>
      <c r="DA244" s="115"/>
      <c r="DB244" s="115"/>
      <c r="DC244" s="114"/>
      <c r="DD244" s="115"/>
      <c r="DE244" s="97"/>
      <c r="DF244" s="269"/>
    </row>
    <row r="245" spans="1:110" s="270" customFormat="1" ht="24" x14ac:dyDescent="0.2">
      <c r="A245" s="89">
        <v>40611</v>
      </c>
      <c r="B245" s="90" t="s">
        <v>4219</v>
      </c>
      <c r="C245" s="90" t="s">
        <v>2249</v>
      </c>
      <c r="D245" s="90" t="s">
        <v>2362</v>
      </c>
      <c r="E245" s="90" t="str">
        <f>VLOOKUP(B245&amp;C245,Divipola!$C$2:$F$1138,4,FALSE)</f>
        <v>41770</v>
      </c>
      <c r="F245" s="90"/>
      <c r="G245" s="101"/>
      <c r="H245" s="101"/>
      <c r="I245" s="101"/>
      <c r="J245" s="101"/>
      <c r="K245" s="101"/>
      <c r="L245" s="101"/>
      <c r="M245" s="101"/>
      <c r="N245" s="101">
        <v>1</v>
      </c>
      <c r="O245" s="101"/>
      <c r="P245" s="101"/>
      <c r="Q245" s="101"/>
      <c r="R245" s="101"/>
      <c r="S245" s="101"/>
      <c r="T245" s="101"/>
      <c r="U245" s="101"/>
      <c r="V245" s="101"/>
      <c r="W245" s="91"/>
      <c r="X245" s="89"/>
      <c r="Y245" s="92">
        <f t="shared" si="18"/>
        <v>0</v>
      </c>
      <c r="Z245" s="92">
        <f t="shared" si="19"/>
        <v>0</v>
      </c>
      <c r="AA245" s="92">
        <f t="shared" si="20"/>
        <v>0</v>
      </c>
      <c r="AB245" s="92">
        <f t="shared" si="21"/>
        <v>0</v>
      </c>
      <c r="AC245" s="92"/>
      <c r="AD245" s="92">
        <v>0</v>
      </c>
      <c r="AE245" s="92">
        <f t="shared" si="22"/>
        <v>0</v>
      </c>
      <c r="AF245" s="93">
        <v>0</v>
      </c>
      <c r="AG245" s="89">
        <v>40620</v>
      </c>
      <c r="AH245" s="94"/>
      <c r="AI245" s="95" t="s">
        <v>4336</v>
      </c>
      <c r="AJ245" s="96" t="s">
        <v>4337</v>
      </c>
      <c r="AK245" s="97"/>
      <c r="AL245" s="89"/>
      <c r="AM245" s="100" t="s">
        <v>2169</v>
      </c>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114"/>
      <c r="CQ245" s="115"/>
      <c r="CR245" s="114"/>
      <c r="CS245" s="115"/>
      <c r="CT245" s="114"/>
      <c r="CU245" s="115"/>
      <c r="CV245" s="99">
        <f t="shared" si="23"/>
        <v>0</v>
      </c>
      <c r="CW245" s="114"/>
      <c r="CX245" s="115"/>
      <c r="CY245" s="114"/>
      <c r="CZ245" s="115"/>
      <c r="DA245" s="115"/>
      <c r="DB245" s="115"/>
      <c r="DC245" s="114"/>
      <c r="DD245" s="115"/>
      <c r="DE245" s="97"/>
      <c r="DF245" s="269"/>
    </row>
    <row r="246" spans="1:110" s="270" customFormat="1" ht="60" x14ac:dyDescent="0.2">
      <c r="A246" s="89">
        <v>40611</v>
      </c>
      <c r="B246" s="90" t="s">
        <v>4387</v>
      </c>
      <c r="C246" s="90" t="s">
        <v>487</v>
      </c>
      <c r="D246" s="90" t="s">
        <v>2362</v>
      </c>
      <c r="E246" s="90" t="str">
        <f>VLOOKUP(B246&amp;C246,Divipola!$C$2:$F$1138,4,FALSE)</f>
        <v>52378</v>
      </c>
      <c r="F246" s="90"/>
      <c r="G246" s="101"/>
      <c r="H246" s="101"/>
      <c r="I246" s="101"/>
      <c r="J246" s="101"/>
      <c r="K246" s="101"/>
      <c r="L246" s="101"/>
      <c r="M246" s="101"/>
      <c r="N246" s="101">
        <v>9</v>
      </c>
      <c r="O246" s="101"/>
      <c r="P246" s="101"/>
      <c r="Q246" s="101"/>
      <c r="R246" s="101"/>
      <c r="S246" s="101"/>
      <c r="T246" s="101"/>
      <c r="U246" s="101"/>
      <c r="V246" s="101"/>
      <c r="W246" s="91"/>
      <c r="X246" s="105"/>
      <c r="Y246" s="92">
        <f t="shared" si="18"/>
        <v>0</v>
      </c>
      <c r="Z246" s="92">
        <f t="shared" si="19"/>
        <v>0</v>
      </c>
      <c r="AA246" s="92">
        <f t="shared" si="20"/>
        <v>0</v>
      </c>
      <c r="AB246" s="92">
        <f t="shared" si="21"/>
        <v>0</v>
      </c>
      <c r="AC246" s="92"/>
      <c r="AD246" s="92">
        <v>0</v>
      </c>
      <c r="AE246" s="92">
        <f t="shared" si="22"/>
        <v>0</v>
      </c>
      <c r="AF246" s="93">
        <v>0</v>
      </c>
      <c r="AG246" s="105"/>
      <c r="AH246" s="108"/>
      <c r="AI246" s="109" t="s">
        <v>4336</v>
      </c>
      <c r="AJ246" s="110" t="s">
        <v>4337</v>
      </c>
      <c r="AK246" s="111"/>
      <c r="AL246" s="105" t="s">
        <v>1069</v>
      </c>
      <c r="AM246" s="100" t="s">
        <v>4498</v>
      </c>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18"/>
      <c r="CO246" s="119"/>
      <c r="CP246" s="118"/>
      <c r="CQ246" s="119"/>
      <c r="CR246" s="118"/>
      <c r="CS246" s="119"/>
      <c r="CT246" s="113"/>
      <c r="CU246" s="118"/>
      <c r="CV246" s="99">
        <f t="shared" si="23"/>
        <v>0</v>
      </c>
      <c r="CW246" s="118"/>
      <c r="CX246" s="119"/>
      <c r="CY246" s="119"/>
      <c r="CZ246" s="119"/>
      <c r="DA246" s="118"/>
      <c r="DB246" s="119"/>
      <c r="DC246" s="111"/>
      <c r="DD246" s="119"/>
      <c r="DE246" s="111"/>
      <c r="DF246" s="269"/>
    </row>
    <row r="247" spans="1:110" s="270" customFormat="1" ht="24" x14ac:dyDescent="0.2">
      <c r="A247" s="89">
        <v>40611</v>
      </c>
      <c r="B247" s="90" t="s">
        <v>4221</v>
      </c>
      <c r="C247" s="90" t="s">
        <v>68</v>
      </c>
      <c r="D247" s="90" t="s">
        <v>2362</v>
      </c>
      <c r="E247" s="90" t="str">
        <f>VLOOKUP(B247&amp;C247,Divipola!$C$2:$F$1138,4,FALSE)</f>
        <v>54385</v>
      </c>
      <c r="F247" s="90"/>
      <c r="G247" s="101">
        <v>2</v>
      </c>
      <c r="H247" s="101">
        <v>1</v>
      </c>
      <c r="I247" s="101"/>
      <c r="J247" s="101">
        <v>500</v>
      </c>
      <c r="K247" s="101">
        <v>100</v>
      </c>
      <c r="L247" s="101">
        <v>1</v>
      </c>
      <c r="M247" s="101">
        <v>99</v>
      </c>
      <c r="N247" s="101"/>
      <c r="O247" s="101"/>
      <c r="P247" s="101"/>
      <c r="Q247" s="101"/>
      <c r="R247" s="101"/>
      <c r="S247" s="101"/>
      <c r="T247" s="101"/>
      <c r="U247" s="101"/>
      <c r="V247" s="101"/>
      <c r="W247" s="91"/>
      <c r="X247" s="89"/>
      <c r="Y247" s="92">
        <f t="shared" si="18"/>
        <v>0</v>
      </c>
      <c r="Z247" s="92">
        <f t="shared" si="19"/>
        <v>0</v>
      </c>
      <c r="AA247" s="92">
        <f t="shared" si="20"/>
        <v>0</v>
      </c>
      <c r="AB247" s="92">
        <f t="shared" si="21"/>
        <v>0</v>
      </c>
      <c r="AC247" s="92"/>
      <c r="AD247" s="92">
        <v>0</v>
      </c>
      <c r="AE247" s="92">
        <f t="shared" si="22"/>
        <v>0</v>
      </c>
      <c r="AF247" s="93">
        <v>0</v>
      </c>
      <c r="AG247" s="89">
        <v>40620</v>
      </c>
      <c r="AH247" s="94"/>
      <c r="AI247" s="102" t="s">
        <v>4336</v>
      </c>
      <c r="AJ247" s="96" t="s">
        <v>4337</v>
      </c>
      <c r="AK247" s="97"/>
      <c r="AL247" s="89"/>
      <c r="AM247" s="100" t="s">
        <v>2159</v>
      </c>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114"/>
      <c r="CQ247" s="115"/>
      <c r="CR247" s="114"/>
      <c r="CS247" s="115"/>
      <c r="CT247" s="114"/>
      <c r="CU247" s="115"/>
      <c r="CV247" s="99">
        <f t="shared" si="23"/>
        <v>0</v>
      </c>
      <c r="CW247" s="114"/>
      <c r="CX247" s="115"/>
      <c r="CY247" s="114"/>
      <c r="CZ247" s="115"/>
      <c r="DA247" s="115"/>
      <c r="DB247" s="115"/>
      <c r="DC247" s="114"/>
      <c r="DD247" s="115"/>
      <c r="DE247" s="97"/>
      <c r="DF247" s="269"/>
    </row>
    <row r="248" spans="1:110" s="270" customFormat="1" x14ac:dyDescent="0.2">
      <c r="A248" s="89">
        <v>40611</v>
      </c>
      <c r="B248" s="90" t="s">
        <v>4350</v>
      </c>
      <c r="C248" s="90" t="s">
        <v>4351</v>
      </c>
      <c r="D248" s="90" t="s">
        <v>2362</v>
      </c>
      <c r="E248" s="90" t="str">
        <f>VLOOKUP(B248&amp;C248,Divipola!$C$2:$F$1138,4,FALSE)</f>
        <v>63001</v>
      </c>
      <c r="F248" s="90"/>
      <c r="G248" s="101"/>
      <c r="H248" s="101"/>
      <c r="I248" s="101"/>
      <c r="J248" s="101">
        <v>9</v>
      </c>
      <c r="K248" s="101">
        <v>1</v>
      </c>
      <c r="L248" s="101"/>
      <c r="M248" s="101">
        <v>1</v>
      </c>
      <c r="N248" s="101"/>
      <c r="O248" s="101"/>
      <c r="P248" s="101"/>
      <c r="Q248" s="101"/>
      <c r="R248" s="101"/>
      <c r="S248" s="101"/>
      <c r="T248" s="101"/>
      <c r="U248" s="101"/>
      <c r="V248" s="101"/>
      <c r="W248" s="91"/>
      <c r="X248" s="89"/>
      <c r="Y248" s="92">
        <f t="shared" si="18"/>
        <v>0</v>
      </c>
      <c r="Z248" s="92">
        <f t="shared" si="19"/>
        <v>0</v>
      </c>
      <c r="AA248" s="92">
        <f t="shared" si="20"/>
        <v>0</v>
      </c>
      <c r="AB248" s="92">
        <f t="shared" si="21"/>
        <v>0</v>
      </c>
      <c r="AC248" s="92"/>
      <c r="AD248" s="92">
        <v>0</v>
      </c>
      <c r="AE248" s="92">
        <f t="shared" si="22"/>
        <v>0</v>
      </c>
      <c r="AF248" s="93">
        <v>0</v>
      </c>
      <c r="AG248" s="89">
        <v>40620</v>
      </c>
      <c r="AH248" s="94"/>
      <c r="AI248" s="95" t="s">
        <v>4336</v>
      </c>
      <c r="AJ248" s="96" t="s">
        <v>4337</v>
      </c>
      <c r="AK248" s="97"/>
      <c r="AL248" s="89"/>
      <c r="AM248" s="100" t="s">
        <v>2158</v>
      </c>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114"/>
      <c r="CQ248" s="115"/>
      <c r="CR248" s="114"/>
      <c r="CS248" s="115"/>
      <c r="CT248" s="114"/>
      <c r="CU248" s="115"/>
      <c r="CV248" s="99">
        <f t="shared" si="23"/>
        <v>0</v>
      </c>
      <c r="CW248" s="114"/>
      <c r="CX248" s="115"/>
      <c r="CY248" s="114"/>
      <c r="CZ248" s="115"/>
      <c r="DA248" s="115"/>
      <c r="DB248" s="115"/>
      <c r="DC248" s="114"/>
      <c r="DD248" s="115"/>
      <c r="DE248" s="97"/>
      <c r="DF248" s="269"/>
    </row>
    <row r="249" spans="1:110" s="270" customFormat="1" x14ac:dyDescent="0.2">
      <c r="A249" s="89">
        <v>40611</v>
      </c>
      <c r="B249" s="90" t="s">
        <v>4348</v>
      </c>
      <c r="C249" s="90" t="s">
        <v>2228</v>
      </c>
      <c r="D249" s="90" t="s">
        <v>2362</v>
      </c>
      <c r="E249" s="90" t="str">
        <f>VLOOKUP(B249&amp;C249,Divipola!$C$2:$F$1138,4,FALSE)</f>
        <v>66001</v>
      </c>
      <c r="F249" s="90"/>
      <c r="G249" s="101"/>
      <c r="H249" s="101"/>
      <c r="I249" s="101"/>
      <c r="J249" s="101">
        <v>10</v>
      </c>
      <c r="K249" s="101">
        <v>2</v>
      </c>
      <c r="L249" s="101"/>
      <c r="M249" s="101">
        <v>2</v>
      </c>
      <c r="N249" s="101"/>
      <c r="O249" s="101"/>
      <c r="P249" s="101"/>
      <c r="Q249" s="101"/>
      <c r="R249" s="101"/>
      <c r="S249" s="101"/>
      <c r="T249" s="101"/>
      <c r="U249" s="101"/>
      <c r="V249" s="101"/>
      <c r="W249" s="91"/>
      <c r="X249" s="89"/>
      <c r="Y249" s="92">
        <f t="shared" si="18"/>
        <v>0</v>
      </c>
      <c r="Z249" s="92">
        <f t="shared" si="19"/>
        <v>0</v>
      </c>
      <c r="AA249" s="92">
        <f t="shared" si="20"/>
        <v>0</v>
      </c>
      <c r="AB249" s="92">
        <f t="shared" si="21"/>
        <v>0</v>
      </c>
      <c r="AC249" s="92"/>
      <c r="AD249" s="92">
        <v>0</v>
      </c>
      <c r="AE249" s="92">
        <f t="shared" si="22"/>
        <v>0</v>
      </c>
      <c r="AF249" s="93">
        <v>0</v>
      </c>
      <c r="AG249" s="89">
        <v>40620</v>
      </c>
      <c r="AH249" s="94"/>
      <c r="AI249" s="95" t="s">
        <v>4336</v>
      </c>
      <c r="AJ249" s="96" t="s">
        <v>4337</v>
      </c>
      <c r="AK249" s="97"/>
      <c r="AL249" s="89"/>
      <c r="AM249" s="100" t="s">
        <v>2160</v>
      </c>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114"/>
      <c r="CQ249" s="115"/>
      <c r="CR249" s="114"/>
      <c r="CS249" s="115"/>
      <c r="CT249" s="114"/>
      <c r="CU249" s="115"/>
      <c r="CV249" s="99">
        <f t="shared" si="23"/>
        <v>0</v>
      </c>
      <c r="CW249" s="114"/>
      <c r="CX249" s="115"/>
      <c r="CY249" s="114"/>
      <c r="CZ249" s="115"/>
      <c r="DA249" s="115"/>
      <c r="DB249" s="115"/>
      <c r="DC249" s="114"/>
      <c r="DD249" s="115"/>
      <c r="DE249" s="97"/>
      <c r="DF249" s="269"/>
    </row>
    <row r="250" spans="1:110" s="270" customFormat="1" ht="24" x14ac:dyDescent="0.2">
      <c r="A250" s="89">
        <v>40611</v>
      </c>
      <c r="B250" s="90" t="s">
        <v>4348</v>
      </c>
      <c r="C250" s="90" t="s">
        <v>2228</v>
      </c>
      <c r="D250" s="90" t="s">
        <v>4298</v>
      </c>
      <c r="E250" s="90" t="str">
        <f>VLOOKUP(B250&amp;C250,Divipola!$C$2:$F$1138,4,FALSE)</f>
        <v>66001</v>
      </c>
      <c r="F250" s="90"/>
      <c r="G250" s="101"/>
      <c r="H250" s="101"/>
      <c r="I250" s="101"/>
      <c r="J250" s="101">
        <v>23</v>
      </c>
      <c r="K250" s="101">
        <v>3</v>
      </c>
      <c r="L250" s="101">
        <v>1</v>
      </c>
      <c r="M250" s="101">
        <v>2</v>
      </c>
      <c r="N250" s="101"/>
      <c r="O250" s="101"/>
      <c r="P250" s="101"/>
      <c r="Q250" s="101"/>
      <c r="R250" s="101"/>
      <c r="S250" s="101"/>
      <c r="T250" s="101"/>
      <c r="U250" s="101"/>
      <c r="V250" s="101"/>
      <c r="W250" s="91"/>
      <c r="X250" s="89"/>
      <c r="Y250" s="92">
        <f t="shared" si="18"/>
        <v>0</v>
      </c>
      <c r="Z250" s="92">
        <f t="shared" si="19"/>
        <v>0</v>
      </c>
      <c r="AA250" s="92">
        <f t="shared" si="20"/>
        <v>0</v>
      </c>
      <c r="AB250" s="92">
        <f t="shared" si="21"/>
        <v>0</v>
      </c>
      <c r="AC250" s="92"/>
      <c r="AD250" s="92">
        <v>0</v>
      </c>
      <c r="AE250" s="92">
        <f t="shared" si="22"/>
        <v>0</v>
      </c>
      <c r="AF250" s="93">
        <v>0</v>
      </c>
      <c r="AG250" s="89">
        <v>40620</v>
      </c>
      <c r="AH250" s="94"/>
      <c r="AI250" s="102" t="s">
        <v>4336</v>
      </c>
      <c r="AJ250" s="96" t="s">
        <v>4337</v>
      </c>
      <c r="AK250" s="97"/>
      <c r="AL250" s="89"/>
      <c r="AM250" s="100" t="s">
        <v>2173</v>
      </c>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114"/>
      <c r="CQ250" s="115"/>
      <c r="CR250" s="114"/>
      <c r="CS250" s="115"/>
      <c r="CT250" s="114"/>
      <c r="CU250" s="115"/>
      <c r="CV250" s="99">
        <f t="shared" si="23"/>
        <v>0</v>
      </c>
      <c r="CW250" s="114"/>
      <c r="CX250" s="115"/>
      <c r="CY250" s="114"/>
      <c r="CZ250" s="115"/>
      <c r="DA250" s="115"/>
      <c r="DB250" s="115"/>
      <c r="DC250" s="114"/>
      <c r="DD250" s="115"/>
      <c r="DE250" s="97"/>
      <c r="DF250" s="269"/>
    </row>
    <row r="251" spans="1:110" s="270" customFormat="1" ht="22.5" x14ac:dyDescent="0.2">
      <c r="A251" s="89">
        <v>40611</v>
      </c>
      <c r="B251" s="90" t="s">
        <v>4348</v>
      </c>
      <c r="C251" s="90" t="s">
        <v>4365</v>
      </c>
      <c r="D251" s="90" t="s">
        <v>3346</v>
      </c>
      <c r="E251" s="90" t="str">
        <f>VLOOKUP(B251&amp;C251,Divipola!$C$2:$F$1138,4,FALSE)</f>
        <v>66682</v>
      </c>
      <c r="F251" s="101"/>
      <c r="G251" s="101"/>
      <c r="H251" s="101"/>
      <c r="I251" s="101"/>
      <c r="J251" s="101">
        <v>200</v>
      </c>
      <c r="K251" s="101">
        <v>40</v>
      </c>
      <c r="L251" s="101"/>
      <c r="M251" s="101">
        <v>40</v>
      </c>
      <c r="N251" s="101"/>
      <c r="O251" s="101"/>
      <c r="P251" s="101"/>
      <c r="Q251" s="101"/>
      <c r="R251" s="101"/>
      <c r="S251" s="101"/>
      <c r="T251" s="101"/>
      <c r="U251" s="91"/>
      <c r="V251" s="89"/>
      <c r="W251" s="92"/>
      <c r="X251" s="92"/>
      <c r="Y251" s="92">
        <f t="shared" si="18"/>
        <v>0</v>
      </c>
      <c r="Z251" s="92">
        <f t="shared" si="19"/>
        <v>0</v>
      </c>
      <c r="AA251" s="92">
        <f t="shared" si="20"/>
        <v>0</v>
      </c>
      <c r="AB251" s="92">
        <f t="shared" si="21"/>
        <v>0</v>
      </c>
      <c r="AC251" s="92"/>
      <c r="AD251" s="92">
        <v>0</v>
      </c>
      <c r="AE251" s="92">
        <f t="shared" si="22"/>
        <v>0</v>
      </c>
      <c r="AF251" s="93">
        <v>0</v>
      </c>
      <c r="AG251" s="89"/>
      <c r="AH251" s="96"/>
      <c r="AI251" s="102" t="s">
        <v>4336</v>
      </c>
      <c r="AJ251" s="96" t="s">
        <v>4337</v>
      </c>
      <c r="AK251" s="100"/>
      <c r="AL251" s="89"/>
      <c r="AM251" s="90" t="s">
        <v>249</v>
      </c>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114"/>
      <c r="CQ251" s="115"/>
      <c r="CR251" s="114"/>
      <c r="CS251" s="115"/>
      <c r="CT251" s="114"/>
      <c r="CU251" s="115"/>
      <c r="CV251" s="99">
        <f t="shared" si="23"/>
        <v>0</v>
      </c>
      <c r="CW251" s="114"/>
      <c r="CX251" s="115"/>
      <c r="CY251" s="114"/>
      <c r="CZ251" s="115"/>
      <c r="DA251" s="115"/>
      <c r="DB251" s="115"/>
      <c r="DC251" s="114"/>
      <c r="DD251" s="115"/>
      <c r="DE251" s="97"/>
      <c r="DF251" s="269"/>
    </row>
    <row r="252" spans="1:110" s="270" customFormat="1" x14ac:dyDescent="0.2">
      <c r="A252" s="89">
        <v>40611</v>
      </c>
      <c r="B252" s="16" t="s">
        <v>2226</v>
      </c>
      <c r="C252" s="16" t="s">
        <v>665</v>
      </c>
      <c r="D252" s="90" t="s">
        <v>2362</v>
      </c>
      <c r="E252" s="90" t="str">
        <f>VLOOKUP(B252&amp;C252,Divipola!$C$2:$F$1138,4,FALSE)</f>
        <v>68264</v>
      </c>
      <c r="F252" s="4"/>
      <c r="G252" s="208"/>
      <c r="H252" s="208"/>
      <c r="I252" s="208"/>
      <c r="J252" s="208">
        <v>400</v>
      </c>
      <c r="K252" s="208">
        <v>80</v>
      </c>
      <c r="L252" s="208"/>
      <c r="M252" s="208"/>
      <c r="N252" s="208"/>
      <c r="O252" s="208"/>
      <c r="P252" s="208"/>
      <c r="Q252" s="208"/>
      <c r="R252" s="208"/>
      <c r="S252" s="208"/>
      <c r="T252" s="208"/>
      <c r="U252" s="208"/>
      <c r="V252" s="208"/>
      <c r="W252" s="19"/>
      <c r="X252" s="17"/>
      <c r="Y252" s="5">
        <f t="shared" si="18"/>
        <v>0</v>
      </c>
      <c r="Z252" s="5">
        <f t="shared" si="19"/>
        <v>0</v>
      </c>
      <c r="AA252" s="5">
        <f t="shared" si="20"/>
        <v>0</v>
      </c>
      <c r="AB252" s="5">
        <f t="shared" si="21"/>
        <v>0</v>
      </c>
      <c r="AC252" s="5"/>
      <c r="AD252" s="5">
        <v>0</v>
      </c>
      <c r="AE252" s="5">
        <f t="shared" si="22"/>
        <v>0</v>
      </c>
      <c r="AF252" s="70">
        <v>0</v>
      </c>
      <c r="AG252" s="17"/>
      <c r="AH252" s="18"/>
      <c r="AI252" s="47" t="s">
        <v>4336</v>
      </c>
      <c r="AJ252" s="73" t="s">
        <v>4337</v>
      </c>
      <c r="AK252" s="45"/>
      <c r="AL252" s="17"/>
      <c r="AM252" s="20" t="s">
        <v>3764</v>
      </c>
      <c r="AN252" s="19"/>
      <c r="AO252" s="19"/>
      <c r="AP252" s="19"/>
      <c r="AQ252" s="19"/>
      <c r="AR252" s="19"/>
      <c r="AS252" s="19"/>
      <c r="AT252" s="19"/>
      <c r="AU252" s="19"/>
      <c r="AV252" s="19"/>
      <c r="AW252" s="19"/>
      <c r="AX252" s="107"/>
      <c r="AY252" s="107"/>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39"/>
      <c r="CO252" s="138"/>
      <c r="CP252" s="139"/>
      <c r="CQ252" s="138"/>
      <c r="CR252" s="139"/>
      <c r="CS252" s="138"/>
      <c r="CT252" s="72"/>
      <c r="CU252" s="139"/>
      <c r="CV252" s="99">
        <f t="shared" si="23"/>
        <v>0</v>
      </c>
      <c r="CW252" s="139"/>
      <c r="CX252" s="138"/>
      <c r="CY252" s="138"/>
      <c r="CZ252" s="138"/>
      <c r="DA252" s="139"/>
      <c r="DB252" s="138"/>
      <c r="DC252" s="45"/>
      <c r="DD252" s="138"/>
      <c r="DE252" s="45"/>
      <c r="DF252" s="269"/>
    </row>
    <row r="253" spans="1:110" s="270" customFormat="1" ht="36" x14ac:dyDescent="0.2">
      <c r="A253" s="89">
        <v>40611</v>
      </c>
      <c r="B253" s="90" t="s">
        <v>4244</v>
      </c>
      <c r="C253" s="90" t="s">
        <v>4226</v>
      </c>
      <c r="D253" s="90" t="s">
        <v>3346</v>
      </c>
      <c r="E253" s="90" t="str">
        <f>VLOOKUP(B253&amp;C253,Divipola!$C$2:$F$1138,4,FALSE)</f>
        <v>76364</v>
      </c>
      <c r="F253" s="90"/>
      <c r="G253" s="101"/>
      <c r="H253" s="101"/>
      <c r="I253" s="101"/>
      <c r="J253" s="101">
        <v>390</v>
      </c>
      <c r="K253" s="101">
        <v>78</v>
      </c>
      <c r="L253" s="101"/>
      <c r="M253" s="101">
        <v>78</v>
      </c>
      <c r="N253" s="101"/>
      <c r="O253" s="101"/>
      <c r="P253" s="101"/>
      <c r="Q253" s="101"/>
      <c r="R253" s="101"/>
      <c r="S253" s="101"/>
      <c r="T253" s="101"/>
      <c r="U253" s="101"/>
      <c r="V253" s="101"/>
      <c r="W253" s="91"/>
      <c r="X253" s="89"/>
      <c r="Y253" s="92">
        <f t="shared" si="18"/>
        <v>0</v>
      </c>
      <c r="Z253" s="92">
        <f t="shared" si="19"/>
        <v>0</v>
      </c>
      <c r="AA253" s="92">
        <f t="shared" si="20"/>
        <v>0</v>
      </c>
      <c r="AB253" s="92">
        <f t="shared" si="21"/>
        <v>0</v>
      </c>
      <c r="AC253" s="92"/>
      <c r="AD253" s="92">
        <v>0</v>
      </c>
      <c r="AE253" s="92">
        <f t="shared" si="22"/>
        <v>0</v>
      </c>
      <c r="AF253" s="93">
        <v>0</v>
      </c>
      <c r="AG253" s="89">
        <v>40620</v>
      </c>
      <c r="AH253" s="94"/>
      <c r="AI253" s="102" t="s">
        <v>4336</v>
      </c>
      <c r="AJ253" s="96" t="s">
        <v>4337</v>
      </c>
      <c r="AK253" s="97"/>
      <c r="AL253" s="89"/>
      <c r="AM253" s="100" t="s">
        <v>2164</v>
      </c>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114"/>
      <c r="CQ253" s="115"/>
      <c r="CR253" s="114"/>
      <c r="CS253" s="115"/>
      <c r="CT253" s="114"/>
      <c r="CU253" s="115"/>
      <c r="CV253" s="99">
        <f t="shared" si="23"/>
        <v>0</v>
      </c>
      <c r="CW253" s="114"/>
      <c r="CX253" s="115"/>
      <c r="CY253" s="114"/>
      <c r="CZ253" s="115"/>
      <c r="DA253" s="115"/>
      <c r="DB253" s="115"/>
      <c r="DC253" s="114"/>
      <c r="DD253" s="115"/>
      <c r="DE253" s="97"/>
      <c r="DF253" s="269"/>
    </row>
    <row r="254" spans="1:110" s="270" customFormat="1" ht="36" x14ac:dyDescent="0.2">
      <c r="A254" s="89">
        <v>40612</v>
      </c>
      <c r="B254" s="90" t="s">
        <v>4219</v>
      </c>
      <c r="C254" s="90" t="s">
        <v>3351</v>
      </c>
      <c r="D254" s="90" t="s">
        <v>2362</v>
      </c>
      <c r="E254" s="90" t="str">
        <f>VLOOKUP(B254&amp;C254,Divipola!$C$2:$F$1138,4,FALSE)</f>
        <v>41349</v>
      </c>
      <c r="F254" s="90"/>
      <c r="G254" s="101"/>
      <c r="H254" s="101"/>
      <c r="I254" s="101"/>
      <c r="J254" s="101">
        <v>15</v>
      </c>
      <c r="K254" s="101">
        <v>3</v>
      </c>
      <c r="L254" s="101"/>
      <c r="M254" s="101"/>
      <c r="N254" s="101">
        <v>1</v>
      </c>
      <c r="O254" s="101"/>
      <c r="P254" s="101"/>
      <c r="Q254" s="101"/>
      <c r="R254" s="101"/>
      <c r="S254" s="101"/>
      <c r="T254" s="101"/>
      <c r="U254" s="101"/>
      <c r="V254" s="101">
        <v>3.5</v>
      </c>
      <c r="W254" s="91"/>
      <c r="X254" s="89"/>
      <c r="Y254" s="92">
        <f t="shared" si="18"/>
        <v>0</v>
      </c>
      <c r="Z254" s="92">
        <f t="shared" si="19"/>
        <v>0</v>
      </c>
      <c r="AA254" s="92">
        <f t="shared" si="20"/>
        <v>0</v>
      </c>
      <c r="AB254" s="92">
        <f t="shared" si="21"/>
        <v>0</v>
      </c>
      <c r="AC254" s="92"/>
      <c r="AD254" s="92">
        <v>0</v>
      </c>
      <c r="AE254" s="92">
        <f t="shared" si="22"/>
        <v>0</v>
      </c>
      <c r="AF254" s="93">
        <v>0</v>
      </c>
      <c r="AG254" s="89">
        <v>40620</v>
      </c>
      <c r="AH254" s="94"/>
      <c r="AI254" s="95" t="s">
        <v>4336</v>
      </c>
      <c r="AJ254" s="96" t="s">
        <v>4337</v>
      </c>
      <c r="AK254" s="97"/>
      <c r="AL254" s="89"/>
      <c r="AM254" s="100" t="s">
        <v>2170</v>
      </c>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114"/>
      <c r="CQ254" s="115"/>
      <c r="CR254" s="114"/>
      <c r="CS254" s="115"/>
      <c r="CT254" s="114"/>
      <c r="CU254" s="115"/>
      <c r="CV254" s="99">
        <f t="shared" si="23"/>
        <v>0</v>
      </c>
      <c r="CW254" s="114"/>
      <c r="CX254" s="115"/>
      <c r="CY254" s="114"/>
      <c r="CZ254" s="115"/>
      <c r="DA254" s="115"/>
      <c r="DB254" s="115"/>
      <c r="DC254" s="114"/>
      <c r="DD254" s="115"/>
      <c r="DE254" s="97"/>
      <c r="DF254" s="269"/>
    </row>
    <row r="255" spans="1:110" s="270" customFormat="1" x14ac:dyDescent="0.2">
      <c r="A255" s="89">
        <v>40613</v>
      </c>
      <c r="B255" s="90" t="s">
        <v>4344</v>
      </c>
      <c r="C255" s="90" t="s">
        <v>848</v>
      </c>
      <c r="D255" s="90" t="s">
        <v>2362</v>
      </c>
      <c r="E255" s="90" t="str">
        <f>VLOOKUP(B255&amp;C255,Divipola!$C$2:$F$1138,4,FALSE)</f>
        <v>25019</v>
      </c>
      <c r="F255" s="90"/>
      <c r="G255" s="101"/>
      <c r="H255" s="101"/>
      <c r="I255" s="101"/>
      <c r="J255" s="101">
        <f>27*4</f>
        <v>108</v>
      </c>
      <c r="K255" s="101">
        <v>27</v>
      </c>
      <c r="L255" s="101"/>
      <c r="M255" s="101">
        <v>3</v>
      </c>
      <c r="N255" s="101"/>
      <c r="O255" s="101"/>
      <c r="P255" s="101"/>
      <c r="Q255" s="101"/>
      <c r="R255" s="101"/>
      <c r="S255" s="101"/>
      <c r="T255" s="101"/>
      <c r="U255" s="101"/>
      <c r="V255" s="101"/>
      <c r="W255" s="91"/>
      <c r="X255" s="89"/>
      <c r="Y255" s="92">
        <f t="shared" si="18"/>
        <v>0</v>
      </c>
      <c r="Z255" s="92">
        <f t="shared" si="19"/>
        <v>0</v>
      </c>
      <c r="AA255" s="92">
        <f t="shared" si="20"/>
        <v>0</v>
      </c>
      <c r="AB255" s="92">
        <f t="shared" si="21"/>
        <v>0</v>
      </c>
      <c r="AC255" s="92"/>
      <c r="AD255" s="92">
        <v>0</v>
      </c>
      <c r="AE255" s="92">
        <f t="shared" si="22"/>
        <v>0</v>
      </c>
      <c r="AF255" s="93">
        <v>0</v>
      </c>
      <c r="AG255" s="89">
        <v>40515</v>
      </c>
      <c r="AH255" s="94"/>
      <c r="AI255" s="102" t="s">
        <v>4336</v>
      </c>
      <c r="AJ255" s="96" t="s">
        <v>4337</v>
      </c>
      <c r="AK255" s="97"/>
      <c r="AL255" s="89"/>
      <c r="AM255" s="100" t="s">
        <v>3347</v>
      </c>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114"/>
      <c r="CQ255" s="115"/>
      <c r="CR255" s="114"/>
      <c r="CS255" s="115"/>
      <c r="CT255" s="114"/>
      <c r="CU255" s="115"/>
      <c r="CV255" s="99">
        <f t="shared" si="23"/>
        <v>0</v>
      </c>
      <c r="CW255" s="114"/>
      <c r="CX255" s="115"/>
      <c r="CY255" s="114"/>
      <c r="CZ255" s="115"/>
      <c r="DA255" s="115"/>
      <c r="DB255" s="115"/>
      <c r="DC255" s="114"/>
      <c r="DD255" s="115"/>
      <c r="DE255" s="97"/>
      <c r="DF255" s="269"/>
    </row>
    <row r="256" spans="1:110" s="270" customFormat="1" ht="36" x14ac:dyDescent="0.2">
      <c r="A256" s="89">
        <v>40613</v>
      </c>
      <c r="B256" s="90" t="s">
        <v>4344</v>
      </c>
      <c r="C256" s="90" t="s">
        <v>4231</v>
      </c>
      <c r="D256" s="90" t="s">
        <v>4264</v>
      </c>
      <c r="E256" s="90" t="str">
        <f>VLOOKUP(B256&amp;C256,Divipola!$C$2:$F$1138,4,FALSE)</f>
        <v>25290</v>
      </c>
      <c r="F256" s="90"/>
      <c r="G256" s="101">
        <v>1</v>
      </c>
      <c r="H256" s="101"/>
      <c r="I256" s="101"/>
      <c r="J256" s="101"/>
      <c r="K256" s="101"/>
      <c r="L256" s="101"/>
      <c r="M256" s="101"/>
      <c r="N256" s="101"/>
      <c r="O256" s="101"/>
      <c r="P256" s="101"/>
      <c r="Q256" s="101"/>
      <c r="R256" s="101"/>
      <c r="S256" s="101"/>
      <c r="T256" s="101"/>
      <c r="U256" s="101"/>
      <c r="V256" s="101"/>
      <c r="W256" s="91"/>
      <c r="X256" s="89"/>
      <c r="Y256" s="92">
        <f t="shared" si="18"/>
        <v>0</v>
      </c>
      <c r="Z256" s="92">
        <f t="shared" si="19"/>
        <v>0</v>
      </c>
      <c r="AA256" s="92">
        <f t="shared" si="20"/>
        <v>0</v>
      </c>
      <c r="AB256" s="92">
        <f t="shared" si="21"/>
        <v>0</v>
      </c>
      <c r="AC256" s="92"/>
      <c r="AD256" s="92">
        <v>0</v>
      </c>
      <c r="AE256" s="92">
        <f t="shared" si="22"/>
        <v>0</v>
      </c>
      <c r="AF256" s="93">
        <v>0</v>
      </c>
      <c r="AG256" s="89"/>
      <c r="AH256" s="94"/>
      <c r="AI256" s="102" t="s">
        <v>4336</v>
      </c>
      <c r="AJ256" s="96" t="s">
        <v>4337</v>
      </c>
      <c r="AK256" s="97"/>
      <c r="AL256" s="89"/>
      <c r="AM256" s="100" t="s">
        <v>2849</v>
      </c>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114"/>
      <c r="CQ256" s="115"/>
      <c r="CR256" s="114"/>
      <c r="CS256" s="115"/>
      <c r="CT256" s="114"/>
      <c r="CU256" s="115"/>
      <c r="CV256" s="99">
        <f t="shared" si="23"/>
        <v>0</v>
      </c>
      <c r="CW256" s="114"/>
      <c r="CX256" s="115"/>
      <c r="CY256" s="114"/>
      <c r="CZ256" s="115"/>
      <c r="DA256" s="115"/>
      <c r="DB256" s="115"/>
      <c r="DC256" s="114"/>
      <c r="DD256" s="115"/>
      <c r="DE256" s="97"/>
      <c r="DF256" s="269"/>
    </row>
    <row r="257" spans="1:110" s="270" customFormat="1" ht="24" x14ac:dyDescent="0.2">
      <c r="A257" s="89">
        <v>40613</v>
      </c>
      <c r="B257" s="90" t="s">
        <v>4387</v>
      </c>
      <c r="C257" s="90" t="s">
        <v>2243</v>
      </c>
      <c r="D257" s="90" t="s">
        <v>2362</v>
      </c>
      <c r="E257" s="90" t="str">
        <f>VLOOKUP(B257&amp;C257,Divipola!$C$2:$F$1138,4,FALSE)</f>
        <v>52083</v>
      </c>
      <c r="F257" s="90"/>
      <c r="G257" s="101"/>
      <c r="H257" s="101"/>
      <c r="I257" s="101"/>
      <c r="J257" s="101">
        <v>95</v>
      </c>
      <c r="K257" s="101">
        <v>27</v>
      </c>
      <c r="L257" s="101"/>
      <c r="M257" s="101">
        <v>27</v>
      </c>
      <c r="N257" s="101"/>
      <c r="O257" s="101"/>
      <c r="P257" s="101"/>
      <c r="Q257" s="101"/>
      <c r="R257" s="101"/>
      <c r="S257" s="101"/>
      <c r="T257" s="101"/>
      <c r="U257" s="101"/>
      <c r="V257" s="101"/>
      <c r="W257" s="91"/>
      <c r="X257" s="89"/>
      <c r="Y257" s="92">
        <f t="shared" si="18"/>
        <v>0</v>
      </c>
      <c r="Z257" s="92">
        <f t="shared" si="19"/>
        <v>0</v>
      </c>
      <c r="AA257" s="92">
        <f t="shared" si="20"/>
        <v>0</v>
      </c>
      <c r="AB257" s="92">
        <f t="shared" si="21"/>
        <v>0</v>
      </c>
      <c r="AC257" s="92"/>
      <c r="AD257" s="92">
        <v>0</v>
      </c>
      <c r="AE257" s="92">
        <f t="shared" si="22"/>
        <v>0</v>
      </c>
      <c r="AF257" s="93">
        <v>0</v>
      </c>
      <c r="AG257" s="89"/>
      <c r="AH257" s="94"/>
      <c r="AI257" s="95" t="s">
        <v>4336</v>
      </c>
      <c r="AJ257" s="96" t="s">
        <v>4337</v>
      </c>
      <c r="AK257" s="97"/>
      <c r="AL257" s="89"/>
      <c r="AM257" s="100" t="s">
        <v>2727</v>
      </c>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114"/>
      <c r="CQ257" s="115"/>
      <c r="CR257" s="114"/>
      <c r="CS257" s="115"/>
      <c r="CT257" s="114"/>
      <c r="CU257" s="115"/>
      <c r="CV257" s="99">
        <f t="shared" si="23"/>
        <v>0</v>
      </c>
      <c r="CW257" s="114"/>
      <c r="CX257" s="115"/>
      <c r="CY257" s="114"/>
      <c r="CZ257" s="115"/>
      <c r="DA257" s="115"/>
      <c r="DB257" s="115"/>
      <c r="DC257" s="114"/>
      <c r="DD257" s="115"/>
      <c r="DE257" s="97"/>
      <c r="DF257" s="269"/>
    </row>
    <row r="258" spans="1:110" s="270" customFormat="1" ht="36" x14ac:dyDescent="0.2">
      <c r="A258" s="89">
        <v>40613</v>
      </c>
      <c r="B258" s="90" t="s">
        <v>4221</v>
      </c>
      <c r="C258" s="90" t="s">
        <v>4225</v>
      </c>
      <c r="D258" s="90" t="s">
        <v>2865</v>
      </c>
      <c r="E258" s="90" t="str">
        <f>VLOOKUP(B258&amp;C258,Divipola!$C$2:$F$1138,4,FALSE)</f>
        <v>54099</v>
      </c>
      <c r="F258" s="90"/>
      <c r="G258" s="101">
        <v>1</v>
      </c>
      <c r="H258" s="101"/>
      <c r="I258" s="101"/>
      <c r="J258" s="101"/>
      <c r="K258" s="101"/>
      <c r="L258" s="101"/>
      <c r="M258" s="101"/>
      <c r="N258" s="101"/>
      <c r="O258" s="101"/>
      <c r="P258" s="101"/>
      <c r="Q258" s="101"/>
      <c r="R258" s="101"/>
      <c r="S258" s="101"/>
      <c r="T258" s="101"/>
      <c r="U258" s="101"/>
      <c r="V258" s="101"/>
      <c r="W258" s="91"/>
      <c r="X258" s="89"/>
      <c r="Y258" s="92">
        <f t="shared" si="18"/>
        <v>0</v>
      </c>
      <c r="Z258" s="92">
        <f t="shared" si="19"/>
        <v>0</v>
      </c>
      <c r="AA258" s="92">
        <f t="shared" si="20"/>
        <v>0</v>
      </c>
      <c r="AB258" s="92">
        <f t="shared" si="21"/>
        <v>0</v>
      </c>
      <c r="AC258" s="92"/>
      <c r="AD258" s="92">
        <v>0</v>
      </c>
      <c r="AE258" s="92">
        <f t="shared" si="22"/>
        <v>0</v>
      </c>
      <c r="AF258" s="93">
        <v>0</v>
      </c>
      <c r="AG258" s="89">
        <v>40620</v>
      </c>
      <c r="AH258" s="94"/>
      <c r="AI258" s="102" t="s">
        <v>4336</v>
      </c>
      <c r="AJ258" s="96" t="s">
        <v>4337</v>
      </c>
      <c r="AK258" s="97"/>
      <c r="AL258" s="89"/>
      <c r="AM258" s="100" t="s">
        <v>2172</v>
      </c>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114"/>
      <c r="CQ258" s="115"/>
      <c r="CR258" s="114"/>
      <c r="CS258" s="115"/>
      <c r="CT258" s="114"/>
      <c r="CU258" s="115"/>
      <c r="CV258" s="99">
        <f t="shared" si="23"/>
        <v>0</v>
      </c>
      <c r="CW258" s="114"/>
      <c r="CX258" s="115"/>
      <c r="CY258" s="114"/>
      <c r="CZ258" s="115"/>
      <c r="DA258" s="115"/>
      <c r="DB258" s="115"/>
      <c r="DC258" s="114"/>
      <c r="DD258" s="115"/>
      <c r="DE258" s="97"/>
      <c r="DF258" s="269"/>
    </row>
    <row r="259" spans="1:110" s="270" customFormat="1" ht="24" x14ac:dyDescent="0.2">
      <c r="A259" s="89">
        <v>40615</v>
      </c>
      <c r="B259" s="90" t="s">
        <v>4344</v>
      </c>
      <c r="C259" s="90" t="s">
        <v>1027</v>
      </c>
      <c r="D259" s="90" t="s">
        <v>4264</v>
      </c>
      <c r="E259" s="90" t="str">
        <f>VLOOKUP(B259&amp;C259,Divipola!$C$2:$F$1138,4,FALSE)</f>
        <v>25224</v>
      </c>
      <c r="F259" s="90"/>
      <c r="G259" s="101"/>
      <c r="H259" s="101"/>
      <c r="I259" s="101"/>
      <c r="J259" s="101">
        <v>105</v>
      </c>
      <c r="K259" s="101">
        <v>28</v>
      </c>
      <c r="L259" s="101"/>
      <c r="M259" s="101"/>
      <c r="N259" s="101"/>
      <c r="O259" s="101"/>
      <c r="P259" s="101"/>
      <c r="Q259" s="101"/>
      <c r="R259" s="101"/>
      <c r="S259" s="101"/>
      <c r="T259" s="101"/>
      <c r="U259" s="101"/>
      <c r="V259" s="101"/>
      <c r="W259" s="91"/>
      <c r="X259" s="89"/>
      <c r="Y259" s="92">
        <f t="shared" ref="Y259:Y322" si="24">CV259</f>
        <v>0</v>
      </c>
      <c r="Z259" s="92">
        <f t="shared" ref="Z259:Z322" si="25">CZ259</f>
        <v>0</v>
      </c>
      <c r="AA259" s="92">
        <f t="shared" ref="AA259:AA322" si="26">DB259+DD259</f>
        <v>0</v>
      </c>
      <c r="AB259" s="92">
        <f t="shared" ref="AB259:AB322" si="27">CX259</f>
        <v>0</v>
      </c>
      <c r="AC259" s="92"/>
      <c r="AD259" s="92">
        <v>0</v>
      </c>
      <c r="AE259" s="92">
        <f t="shared" ref="AE259:AE322" si="28">Y259+Z259+AA259+AB259+AC259+AD259</f>
        <v>0</v>
      </c>
      <c r="AF259" s="93">
        <v>0</v>
      </c>
      <c r="AG259" s="89"/>
      <c r="AH259" s="94"/>
      <c r="AI259" s="102" t="s">
        <v>4336</v>
      </c>
      <c r="AJ259" s="96" t="s">
        <v>4337</v>
      </c>
      <c r="AK259" s="97"/>
      <c r="AL259" s="89"/>
      <c r="AM259" s="100" t="s">
        <v>2727</v>
      </c>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114"/>
      <c r="CQ259" s="115"/>
      <c r="CR259" s="114"/>
      <c r="CS259" s="115"/>
      <c r="CT259" s="114"/>
      <c r="CU259" s="115"/>
      <c r="CV259" s="99">
        <f t="shared" ref="CV259:CV322" si="29">AO259+AQ259+AS259+AU259+AW259+AY259+BA259+BC259+BE259+BG259+BI259+BK259+BM259+BO259+BQ259+BS259+BU259+BW259+BY259+CA259+CC259+CE259+CG259+CI259+CK259+CM259+CO259+CQ259+CS259+CU259</f>
        <v>0</v>
      </c>
      <c r="CW259" s="114"/>
      <c r="CX259" s="115"/>
      <c r="CY259" s="114"/>
      <c r="CZ259" s="115"/>
      <c r="DA259" s="115"/>
      <c r="DB259" s="115"/>
      <c r="DC259" s="114"/>
      <c r="DD259" s="115"/>
      <c r="DE259" s="97"/>
      <c r="DF259" s="269"/>
    </row>
    <row r="260" spans="1:110" s="270" customFormat="1" ht="36" x14ac:dyDescent="0.2">
      <c r="A260" s="89">
        <v>40616</v>
      </c>
      <c r="B260" s="90" t="s">
        <v>4261</v>
      </c>
      <c r="C260" s="90" t="s">
        <v>1198</v>
      </c>
      <c r="D260" s="90" t="s">
        <v>4264</v>
      </c>
      <c r="E260" s="90" t="str">
        <f>VLOOKUP(B260&amp;C260,Divipola!$C$2:$F$1138,4,FALSE)</f>
        <v>15403</v>
      </c>
      <c r="F260" s="4"/>
      <c r="G260" s="274"/>
      <c r="H260" s="274"/>
      <c r="I260" s="274"/>
      <c r="J260" s="124">
        <v>395</v>
      </c>
      <c r="K260" s="124">
        <v>79</v>
      </c>
      <c r="L260" s="124"/>
      <c r="M260" s="124"/>
      <c r="N260" s="208"/>
      <c r="O260" s="208"/>
      <c r="P260" s="208"/>
      <c r="Q260" s="208"/>
      <c r="R260" s="208"/>
      <c r="S260" s="208"/>
      <c r="T260" s="208"/>
      <c r="U260" s="208"/>
      <c r="V260" s="208"/>
      <c r="W260" s="19"/>
      <c r="X260" s="17"/>
      <c r="Y260" s="5">
        <f t="shared" si="24"/>
        <v>0</v>
      </c>
      <c r="Z260" s="5">
        <f t="shared" si="25"/>
        <v>0</v>
      </c>
      <c r="AA260" s="5">
        <f t="shared" si="26"/>
        <v>0</v>
      </c>
      <c r="AB260" s="5">
        <f t="shared" si="27"/>
        <v>0</v>
      </c>
      <c r="AC260" s="5"/>
      <c r="AD260" s="5">
        <v>0</v>
      </c>
      <c r="AE260" s="5">
        <f t="shared" si="28"/>
        <v>0</v>
      </c>
      <c r="AF260" s="70">
        <v>0</v>
      </c>
      <c r="AG260" s="17"/>
      <c r="AH260" s="18"/>
      <c r="AI260" s="47" t="s">
        <v>4336</v>
      </c>
      <c r="AJ260" s="73" t="s">
        <v>4337</v>
      </c>
      <c r="AK260" s="275"/>
      <c r="AL260" s="276"/>
      <c r="AM260" s="100" t="s">
        <v>1897</v>
      </c>
      <c r="AN260" s="19"/>
      <c r="AO260" s="19"/>
      <c r="AP260" s="19"/>
      <c r="AQ260" s="19"/>
      <c r="AR260" s="19"/>
      <c r="AS260" s="19"/>
      <c r="AT260" s="19"/>
      <c r="AU260" s="19"/>
      <c r="AV260" s="19"/>
      <c r="AW260" s="19"/>
      <c r="AX260" s="107"/>
      <c r="AY260" s="107"/>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39"/>
      <c r="CO260" s="138"/>
      <c r="CP260" s="139"/>
      <c r="CQ260" s="138"/>
      <c r="CR260" s="139"/>
      <c r="CS260" s="138"/>
      <c r="CT260" s="72"/>
      <c r="CU260" s="139"/>
      <c r="CV260" s="99">
        <f t="shared" si="29"/>
        <v>0</v>
      </c>
      <c r="CW260" s="139"/>
      <c r="CX260" s="138"/>
      <c r="CY260" s="138"/>
      <c r="CZ260" s="138"/>
      <c r="DA260" s="139"/>
      <c r="DB260" s="138"/>
      <c r="DC260" s="45"/>
      <c r="DD260" s="138"/>
      <c r="DE260" s="45"/>
      <c r="DF260" s="269"/>
    </row>
    <row r="261" spans="1:110" s="270" customFormat="1" ht="24" x14ac:dyDescent="0.2">
      <c r="A261" s="89">
        <v>40616</v>
      </c>
      <c r="B261" s="90" t="s">
        <v>4387</v>
      </c>
      <c r="C261" s="90" t="s">
        <v>3387</v>
      </c>
      <c r="D261" s="90" t="s">
        <v>2362</v>
      </c>
      <c r="E261" s="90" t="str">
        <f>VLOOKUP(B261&amp;C261,Divipola!$C$2:$F$1138,4,FALSE)</f>
        <v>52320</v>
      </c>
      <c r="F261" s="90"/>
      <c r="G261" s="101"/>
      <c r="H261" s="101"/>
      <c r="I261" s="101"/>
      <c r="J261" s="101">
        <v>706</v>
      </c>
      <c r="K261" s="101">
        <v>258</v>
      </c>
      <c r="L261" s="101"/>
      <c r="M261" s="101">
        <v>135</v>
      </c>
      <c r="N261" s="101"/>
      <c r="O261" s="101"/>
      <c r="P261" s="101"/>
      <c r="Q261" s="101"/>
      <c r="R261" s="101"/>
      <c r="S261" s="101"/>
      <c r="T261" s="101"/>
      <c r="U261" s="101"/>
      <c r="V261" s="101"/>
      <c r="W261" s="91"/>
      <c r="X261" s="89"/>
      <c r="Y261" s="92">
        <f t="shared" si="24"/>
        <v>0</v>
      </c>
      <c r="Z261" s="92">
        <f t="shared" si="25"/>
        <v>0</v>
      </c>
      <c r="AA261" s="92">
        <f t="shared" si="26"/>
        <v>0</v>
      </c>
      <c r="AB261" s="92">
        <f t="shared" si="27"/>
        <v>0</v>
      </c>
      <c r="AC261" s="92"/>
      <c r="AD261" s="92">
        <v>0</v>
      </c>
      <c r="AE261" s="92">
        <f t="shared" si="28"/>
        <v>0</v>
      </c>
      <c r="AF261" s="93">
        <v>0</v>
      </c>
      <c r="AG261" s="89"/>
      <c r="AH261" s="94"/>
      <c r="AI261" s="95" t="s">
        <v>4336</v>
      </c>
      <c r="AJ261" s="96" t="s">
        <v>4337</v>
      </c>
      <c r="AK261" s="97"/>
      <c r="AL261" s="89"/>
      <c r="AM261" s="100" t="s">
        <v>2727</v>
      </c>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114"/>
      <c r="CQ261" s="115"/>
      <c r="CR261" s="114"/>
      <c r="CS261" s="115"/>
      <c r="CT261" s="114"/>
      <c r="CU261" s="115"/>
      <c r="CV261" s="99">
        <f t="shared" si="29"/>
        <v>0</v>
      </c>
      <c r="CW261" s="114"/>
      <c r="CX261" s="115"/>
      <c r="CY261" s="114"/>
      <c r="CZ261" s="115"/>
      <c r="DA261" s="115"/>
      <c r="DB261" s="115"/>
      <c r="DC261" s="114"/>
      <c r="DD261" s="115"/>
      <c r="DE261" s="97"/>
      <c r="DF261" s="269"/>
    </row>
    <row r="262" spans="1:110" s="270" customFormat="1" ht="24" x14ac:dyDescent="0.2">
      <c r="A262" s="89">
        <v>40617</v>
      </c>
      <c r="B262" s="90" t="s">
        <v>4261</v>
      </c>
      <c r="C262" s="90" t="s">
        <v>1343</v>
      </c>
      <c r="D262" s="90" t="s">
        <v>4264</v>
      </c>
      <c r="E262" s="90" t="str">
        <f>VLOOKUP(B262&amp;C262,Divipola!$C$2:$F$1138,4,FALSE)</f>
        <v>15808</v>
      </c>
      <c r="F262" s="4"/>
      <c r="G262" s="274"/>
      <c r="H262" s="274"/>
      <c r="I262" s="274"/>
      <c r="J262" s="124">
        <v>115</v>
      </c>
      <c r="K262" s="124">
        <v>23</v>
      </c>
      <c r="L262" s="124"/>
      <c r="M262" s="124"/>
      <c r="N262" s="208"/>
      <c r="O262" s="208"/>
      <c r="P262" s="208"/>
      <c r="Q262" s="208"/>
      <c r="R262" s="208"/>
      <c r="S262" s="208"/>
      <c r="T262" s="208"/>
      <c r="U262" s="208"/>
      <c r="V262" s="208"/>
      <c r="W262" s="19"/>
      <c r="X262" s="17"/>
      <c r="Y262" s="5">
        <f t="shared" si="24"/>
        <v>0</v>
      </c>
      <c r="Z262" s="5">
        <f t="shared" si="25"/>
        <v>0</v>
      </c>
      <c r="AA262" s="5">
        <f t="shared" si="26"/>
        <v>0</v>
      </c>
      <c r="AB262" s="5">
        <f t="shared" si="27"/>
        <v>0</v>
      </c>
      <c r="AC262" s="5"/>
      <c r="AD262" s="5">
        <v>0</v>
      </c>
      <c r="AE262" s="5">
        <f t="shared" si="28"/>
        <v>0</v>
      </c>
      <c r="AF262" s="70">
        <v>0</v>
      </c>
      <c r="AG262" s="17"/>
      <c r="AH262" s="18"/>
      <c r="AI262" s="47" t="s">
        <v>4336</v>
      </c>
      <c r="AJ262" s="73" t="s">
        <v>4337</v>
      </c>
      <c r="AK262" s="275"/>
      <c r="AL262" s="276"/>
      <c r="AM262" s="100" t="s">
        <v>4449</v>
      </c>
      <c r="AN262" s="19"/>
      <c r="AO262" s="19"/>
      <c r="AP262" s="19"/>
      <c r="AQ262" s="19"/>
      <c r="AR262" s="19"/>
      <c r="AS262" s="19"/>
      <c r="AT262" s="19"/>
      <c r="AU262" s="19"/>
      <c r="AV262" s="19"/>
      <c r="AW262" s="19"/>
      <c r="AX262" s="107"/>
      <c r="AY262" s="107"/>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39"/>
      <c r="CO262" s="138"/>
      <c r="CP262" s="139"/>
      <c r="CQ262" s="138"/>
      <c r="CR262" s="139"/>
      <c r="CS262" s="138"/>
      <c r="CT262" s="72"/>
      <c r="CU262" s="139"/>
      <c r="CV262" s="99">
        <f t="shared" si="29"/>
        <v>0</v>
      </c>
      <c r="CW262" s="139"/>
      <c r="CX262" s="138"/>
      <c r="CY262" s="138"/>
      <c r="CZ262" s="138"/>
      <c r="DA262" s="139"/>
      <c r="DB262" s="138"/>
      <c r="DC262" s="45"/>
      <c r="DD262" s="138"/>
      <c r="DE262" s="45"/>
      <c r="DF262" s="269"/>
    </row>
    <row r="263" spans="1:110" s="270" customFormat="1" ht="22.5" x14ac:dyDescent="0.2">
      <c r="A263" s="89">
        <v>40617</v>
      </c>
      <c r="B263" s="90" t="s">
        <v>4348</v>
      </c>
      <c r="C263" s="90" t="s">
        <v>3304</v>
      </c>
      <c r="D263" s="90" t="s">
        <v>2362</v>
      </c>
      <c r="E263" s="90" t="str">
        <f>VLOOKUP(B263&amp;C263,Divipola!$C$2:$F$1138,4,FALSE)</f>
        <v>66440</v>
      </c>
      <c r="F263" s="101"/>
      <c r="G263" s="101"/>
      <c r="H263" s="101"/>
      <c r="I263" s="101"/>
      <c r="J263" s="101">
        <v>15</v>
      </c>
      <c r="K263" s="101">
        <v>3</v>
      </c>
      <c r="L263" s="101"/>
      <c r="M263" s="101">
        <v>3</v>
      </c>
      <c r="N263" s="101"/>
      <c r="O263" s="101"/>
      <c r="P263" s="101"/>
      <c r="Q263" s="101"/>
      <c r="R263" s="101"/>
      <c r="S263" s="101"/>
      <c r="T263" s="101"/>
      <c r="U263" s="91"/>
      <c r="V263" s="89"/>
      <c r="W263" s="92"/>
      <c r="X263" s="92"/>
      <c r="Y263" s="92">
        <f t="shared" si="24"/>
        <v>0</v>
      </c>
      <c r="Z263" s="92">
        <f t="shared" si="25"/>
        <v>0</v>
      </c>
      <c r="AA263" s="92">
        <f t="shared" si="26"/>
        <v>0</v>
      </c>
      <c r="AB263" s="92">
        <f t="shared" si="27"/>
        <v>0</v>
      </c>
      <c r="AC263" s="92"/>
      <c r="AD263" s="92">
        <v>0</v>
      </c>
      <c r="AE263" s="92">
        <f t="shared" si="28"/>
        <v>0</v>
      </c>
      <c r="AF263" s="93">
        <v>0</v>
      </c>
      <c r="AG263" s="89"/>
      <c r="AH263" s="96"/>
      <c r="AI263" s="102" t="s">
        <v>4336</v>
      </c>
      <c r="AJ263" s="96" t="s">
        <v>4337</v>
      </c>
      <c r="AK263" s="100"/>
      <c r="AL263" s="89"/>
      <c r="AM263" s="90" t="s">
        <v>892</v>
      </c>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114"/>
      <c r="CQ263" s="115"/>
      <c r="CR263" s="114"/>
      <c r="CS263" s="115"/>
      <c r="CT263" s="114"/>
      <c r="CU263" s="115"/>
      <c r="CV263" s="99">
        <f t="shared" si="29"/>
        <v>0</v>
      </c>
      <c r="CW263" s="114"/>
      <c r="CX263" s="115"/>
      <c r="CY263" s="114"/>
      <c r="CZ263" s="115"/>
      <c r="DA263" s="115"/>
      <c r="DB263" s="115"/>
      <c r="DC263" s="114"/>
      <c r="DD263" s="115"/>
      <c r="DE263" s="97"/>
      <c r="DF263" s="269"/>
    </row>
    <row r="264" spans="1:110" s="270" customFormat="1" x14ac:dyDescent="0.2">
      <c r="A264" s="89">
        <v>40617</v>
      </c>
      <c r="B264" s="90" t="s">
        <v>4348</v>
      </c>
      <c r="C264" s="90" t="s">
        <v>1957</v>
      </c>
      <c r="D264" s="90" t="s">
        <v>2362</v>
      </c>
      <c r="E264" s="90" t="str">
        <f>VLOOKUP(B264&amp;C264,Divipola!$C$2:$F$1138,4,FALSE)</f>
        <v>66572</v>
      </c>
      <c r="F264" s="101"/>
      <c r="G264" s="101"/>
      <c r="H264" s="101"/>
      <c r="I264" s="101"/>
      <c r="J264" s="101">
        <v>5</v>
      </c>
      <c r="K264" s="101">
        <v>1</v>
      </c>
      <c r="L264" s="101"/>
      <c r="M264" s="101">
        <v>1</v>
      </c>
      <c r="N264" s="101"/>
      <c r="O264" s="101"/>
      <c r="P264" s="101"/>
      <c r="Q264" s="101"/>
      <c r="R264" s="101"/>
      <c r="S264" s="101"/>
      <c r="T264" s="101"/>
      <c r="U264" s="91"/>
      <c r="V264" s="89"/>
      <c r="W264" s="92"/>
      <c r="X264" s="92"/>
      <c r="Y264" s="92">
        <f t="shared" si="24"/>
        <v>0</v>
      </c>
      <c r="Z264" s="92">
        <f t="shared" si="25"/>
        <v>0</v>
      </c>
      <c r="AA264" s="92">
        <f t="shared" si="26"/>
        <v>0</v>
      </c>
      <c r="AB264" s="92">
        <f t="shared" si="27"/>
        <v>0</v>
      </c>
      <c r="AC264" s="92"/>
      <c r="AD264" s="92">
        <v>0</v>
      </c>
      <c r="AE264" s="92">
        <f t="shared" si="28"/>
        <v>0</v>
      </c>
      <c r="AF264" s="93">
        <v>0</v>
      </c>
      <c r="AG264" s="89"/>
      <c r="AH264" s="96"/>
      <c r="AI264" s="102" t="s">
        <v>4336</v>
      </c>
      <c r="AJ264" s="96" t="s">
        <v>4337</v>
      </c>
      <c r="AK264" s="100"/>
      <c r="AL264" s="89"/>
      <c r="AM264" s="90" t="s">
        <v>313</v>
      </c>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114"/>
      <c r="CQ264" s="115"/>
      <c r="CR264" s="114"/>
      <c r="CS264" s="115"/>
      <c r="CT264" s="114"/>
      <c r="CU264" s="115"/>
      <c r="CV264" s="99">
        <f t="shared" si="29"/>
        <v>0</v>
      </c>
      <c r="CW264" s="114"/>
      <c r="CX264" s="115"/>
      <c r="CY264" s="114"/>
      <c r="CZ264" s="115"/>
      <c r="DA264" s="115"/>
      <c r="DB264" s="115"/>
      <c r="DC264" s="114"/>
      <c r="DD264" s="115"/>
      <c r="DE264" s="97"/>
      <c r="DF264" s="269"/>
    </row>
    <row r="265" spans="1:110" s="270" customFormat="1" x14ac:dyDescent="0.2">
      <c r="A265" s="89">
        <v>40617</v>
      </c>
      <c r="B265" s="90" t="s">
        <v>3316</v>
      </c>
      <c r="C265" s="90" t="s">
        <v>2280</v>
      </c>
      <c r="D265" s="90" t="s">
        <v>4264</v>
      </c>
      <c r="E265" s="90" t="str">
        <f>VLOOKUP(B265&amp;C265,Divipola!$C$2:$F$1138,4,FALSE)</f>
        <v>73226</v>
      </c>
      <c r="F265" s="90"/>
      <c r="G265" s="101"/>
      <c r="H265" s="101"/>
      <c r="I265" s="101"/>
      <c r="J265" s="101">
        <v>295</v>
      </c>
      <c r="K265" s="101">
        <v>109</v>
      </c>
      <c r="L265" s="101">
        <v>1</v>
      </c>
      <c r="M265" s="101">
        <v>108</v>
      </c>
      <c r="N265" s="101"/>
      <c r="O265" s="101"/>
      <c r="P265" s="101"/>
      <c r="Q265" s="101"/>
      <c r="R265" s="101"/>
      <c r="S265" s="101"/>
      <c r="T265" s="101"/>
      <c r="U265" s="101"/>
      <c r="V265" s="101"/>
      <c r="W265" s="91"/>
      <c r="X265" s="89"/>
      <c r="Y265" s="92">
        <f t="shared" si="24"/>
        <v>0</v>
      </c>
      <c r="Z265" s="92">
        <f t="shared" si="25"/>
        <v>0</v>
      </c>
      <c r="AA265" s="92">
        <f t="shared" si="26"/>
        <v>0</v>
      </c>
      <c r="AB265" s="92">
        <f t="shared" si="27"/>
        <v>0</v>
      </c>
      <c r="AC265" s="92"/>
      <c r="AD265" s="92">
        <v>0</v>
      </c>
      <c r="AE265" s="92">
        <f t="shared" si="28"/>
        <v>0</v>
      </c>
      <c r="AF265" s="93">
        <v>0</v>
      </c>
      <c r="AG265" s="89"/>
      <c r="AH265" s="94"/>
      <c r="AI265" s="102" t="s">
        <v>4336</v>
      </c>
      <c r="AJ265" s="96" t="s">
        <v>4337</v>
      </c>
      <c r="AK265" s="97"/>
      <c r="AL265" s="89"/>
      <c r="AM265" s="100" t="s">
        <v>3530</v>
      </c>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114"/>
      <c r="CQ265" s="115"/>
      <c r="CR265" s="114"/>
      <c r="CS265" s="115"/>
      <c r="CT265" s="114"/>
      <c r="CU265" s="115"/>
      <c r="CV265" s="99">
        <f t="shared" si="29"/>
        <v>0</v>
      </c>
      <c r="CW265" s="114"/>
      <c r="CX265" s="115"/>
      <c r="CY265" s="114"/>
      <c r="CZ265" s="115"/>
      <c r="DA265" s="115"/>
      <c r="DB265" s="115"/>
      <c r="DC265" s="114"/>
      <c r="DD265" s="115"/>
      <c r="DE265" s="97"/>
      <c r="DF265" s="269"/>
    </row>
    <row r="266" spans="1:110" s="270" customFormat="1" ht="36" x14ac:dyDescent="0.2">
      <c r="A266" s="89">
        <v>40619</v>
      </c>
      <c r="B266" s="90" t="s">
        <v>4261</v>
      </c>
      <c r="C266" s="90" t="s">
        <v>1295</v>
      </c>
      <c r="D266" s="90" t="s">
        <v>2362</v>
      </c>
      <c r="E266" s="90" t="str">
        <f>VLOOKUP(B266&amp;C266,Divipola!$C$2:$F$1138,4,FALSE)</f>
        <v>15720</v>
      </c>
      <c r="F266" s="4"/>
      <c r="G266" s="274"/>
      <c r="H266" s="274"/>
      <c r="I266" s="274"/>
      <c r="J266" s="124">
        <v>915</v>
      </c>
      <c r="K266" s="124">
        <v>183</v>
      </c>
      <c r="L266" s="124">
        <v>6</v>
      </c>
      <c r="M266" s="124">
        <v>23</v>
      </c>
      <c r="N266" s="208"/>
      <c r="O266" s="208"/>
      <c r="P266" s="208"/>
      <c r="Q266" s="208"/>
      <c r="R266" s="208"/>
      <c r="S266" s="208"/>
      <c r="T266" s="208"/>
      <c r="U266" s="208"/>
      <c r="V266" s="208"/>
      <c r="W266" s="19"/>
      <c r="X266" s="17"/>
      <c r="Y266" s="5">
        <f t="shared" si="24"/>
        <v>0</v>
      </c>
      <c r="Z266" s="5">
        <f t="shared" si="25"/>
        <v>0</v>
      </c>
      <c r="AA266" s="5">
        <f t="shared" si="26"/>
        <v>0</v>
      </c>
      <c r="AB266" s="5">
        <f t="shared" si="27"/>
        <v>0</v>
      </c>
      <c r="AC266" s="5"/>
      <c r="AD266" s="5">
        <v>0</v>
      </c>
      <c r="AE266" s="5">
        <f t="shared" si="28"/>
        <v>0</v>
      </c>
      <c r="AF266" s="70">
        <v>0</v>
      </c>
      <c r="AG266" s="17"/>
      <c r="AH266" s="18"/>
      <c r="AI266" s="47" t="s">
        <v>4336</v>
      </c>
      <c r="AJ266" s="73" t="s">
        <v>4337</v>
      </c>
      <c r="AK266" s="275"/>
      <c r="AL266" s="276"/>
      <c r="AM266" s="100" t="s">
        <v>4448</v>
      </c>
      <c r="AN266" s="19"/>
      <c r="AO266" s="19"/>
      <c r="AP266" s="19"/>
      <c r="AQ266" s="19"/>
      <c r="AR266" s="19"/>
      <c r="AS266" s="19"/>
      <c r="AT266" s="19"/>
      <c r="AU266" s="19"/>
      <c r="AV266" s="19"/>
      <c r="AW266" s="19"/>
      <c r="AX266" s="107"/>
      <c r="AY266" s="107"/>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39"/>
      <c r="CO266" s="138"/>
      <c r="CP266" s="139"/>
      <c r="CQ266" s="138"/>
      <c r="CR266" s="139"/>
      <c r="CS266" s="138"/>
      <c r="CT266" s="72"/>
      <c r="CU266" s="139"/>
      <c r="CV266" s="99">
        <f t="shared" si="29"/>
        <v>0</v>
      </c>
      <c r="CW266" s="139"/>
      <c r="CX266" s="138"/>
      <c r="CY266" s="138"/>
      <c r="CZ266" s="138"/>
      <c r="DA266" s="139"/>
      <c r="DB266" s="138"/>
      <c r="DC266" s="45"/>
      <c r="DD266" s="138"/>
      <c r="DE266" s="45"/>
      <c r="DF266" s="269"/>
    </row>
    <row r="267" spans="1:110" s="270" customFormat="1" ht="24" x14ac:dyDescent="0.2">
      <c r="A267" s="89">
        <v>40619</v>
      </c>
      <c r="B267" s="90" t="s">
        <v>4296</v>
      </c>
      <c r="C267" s="90" t="s">
        <v>867</v>
      </c>
      <c r="D267" s="90" t="s">
        <v>2362</v>
      </c>
      <c r="E267" s="90" t="str">
        <f>VLOOKUP(B267&amp;C267,Divipola!$C$2:$F$1138,4,FALSE)</f>
        <v>19698</v>
      </c>
      <c r="F267" s="90"/>
      <c r="G267" s="101"/>
      <c r="H267" s="101"/>
      <c r="I267" s="101"/>
      <c r="J267" s="101"/>
      <c r="K267" s="101"/>
      <c r="L267" s="101"/>
      <c r="M267" s="101"/>
      <c r="N267" s="101"/>
      <c r="O267" s="101"/>
      <c r="P267" s="101"/>
      <c r="Q267" s="101"/>
      <c r="R267" s="101"/>
      <c r="S267" s="101"/>
      <c r="T267" s="101"/>
      <c r="U267" s="101"/>
      <c r="V267" s="101"/>
      <c r="W267" s="91"/>
      <c r="X267" s="89"/>
      <c r="Y267" s="92">
        <f t="shared" si="24"/>
        <v>0</v>
      </c>
      <c r="Z267" s="92">
        <f t="shared" si="25"/>
        <v>0</v>
      </c>
      <c r="AA267" s="92">
        <f t="shared" si="26"/>
        <v>0</v>
      </c>
      <c r="AB267" s="92">
        <f t="shared" si="27"/>
        <v>0</v>
      </c>
      <c r="AC267" s="92"/>
      <c r="AD267" s="92">
        <v>0</v>
      </c>
      <c r="AE267" s="92">
        <f t="shared" si="28"/>
        <v>0</v>
      </c>
      <c r="AF267" s="93">
        <v>0</v>
      </c>
      <c r="AG267" s="89">
        <v>40620</v>
      </c>
      <c r="AH267" s="94"/>
      <c r="AI267" s="95" t="s">
        <v>4336</v>
      </c>
      <c r="AJ267" s="96" t="s">
        <v>4337</v>
      </c>
      <c r="AK267" s="97"/>
      <c r="AL267" s="89"/>
      <c r="AM267" s="100" t="s">
        <v>2175</v>
      </c>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114"/>
      <c r="CQ267" s="115"/>
      <c r="CR267" s="114"/>
      <c r="CS267" s="115"/>
      <c r="CT267" s="114"/>
      <c r="CU267" s="115"/>
      <c r="CV267" s="99">
        <f t="shared" si="29"/>
        <v>0</v>
      </c>
      <c r="CW267" s="114"/>
      <c r="CX267" s="115"/>
      <c r="CY267" s="114"/>
      <c r="CZ267" s="115"/>
      <c r="DA267" s="115"/>
      <c r="DB267" s="115"/>
      <c r="DC267" s="114"/>
      <c r="DD267" s="115"/>
      <c r="DE267" s="97"/>
      <c r="DF267" s="269"/>
    </row>
    <row r="268" spans="1:110" s="270" customFormat="1" x14ac:dyDescent="0.2">
      <c r="A268" s="89">
        <v>40619</v>
      </c>
      <c r="B268" s="90" t="s">
        <v>4219</v>
      </c>
      <c r="C268" s="90" t="s">
        <v>956</v>
      </c>
      <c r="D268" s="90" t="s">
        <v>2362</v>
      </c>
      <c r="E268" s="90" t="str">
        <f>VLOOKUP(B268&amp;C268,Divipola!$C$2:$F$1138,4,FALSE)</f>
        <v>41298</v>
      </c>
      <c r="F268" s="90"/>
      <c r="G268" s="101"/>
      <c r="H268" s="101"/>
      <c r="I268" s="101"/>
      <c r="J268" s="101">
        <v>7</v>
      </c>
      <c r="K268" s="101">
        <v>1</v>
      </c>
      <c r="L268" s="101"/>
      <c r="M268" s="101">
        <v>1</v>
      </c>
      <c r="N268" s="101"/>
      <c r="O268" s="101"/>
      <c r="P268" s="101"/>
      <c r="Q268" s="101"/>
      <c r="R268" s="101"/>
      <c r="S268" s="101"/>
      <c r="T268" s="101"/>
      <c r="U268" s="101"/>
      <c r="V268" s="101"/>
      <c r="W268" s="91"/>
      <c r="X268" s="89"/>
      <c r="Y268" s="92">
        <f t="shared" si="24"/>
        <v>0</v>
      </c>
      <c r="Z268" s="92">
        <f t="shared" si="25"/>
        <v>0</v>
      </c>
      <c r="AA268" s="92">
        <f t="shared" si="26"/>
        <v>0</v>
      </c>
      <c r="AB268" s="92">
        <f t="shared" si="27"/>
        <v>0</v>
      </c>
      <c r="AC268" s="92"/>
      <c r="AD268" s="92">
        <v>0</v>
      </c>
      <c r="AE268" s="92">
        <f t="shared" si="28"/>
        <v>0</v>
      </c>
      <c r="AF268" s="93">
        <v>0</v>
      </c>
      <c r="AG268" s="89">
        <v>40620</v>
      </c>
      <c r="AH268" s="94"/>
      <c r="AI268" s="95" t="s">
        <v>4336</v>
      </c>
      <c r="AJ268" s="96" t="s">
        <v>4337</v>
      </c>
      <c r="AK268" s="97"/>
      <c r="AL268" s="89"/>
      <c r="AM268" s="100" t="s">
        <v>2174</v>
      </c>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114"/>
      <c r="CQ268" s="115"/>
      <c r="CR268" s="114"/>
      <c r="CS268" s="115"/>
      <c r="CT268" s="114"/>
      <c r="CU268" s="115"/>
      <c r="CV268" s="99">
        <f t="shared" si="29"/>
        <v>0</v>
      </c>
      <c r="CW268" s="114"/>
      <c r="CX268" s="115"/>
      <c r="CY268" s="114"/>
      <c r="CZ268" s="115"/>
      <c r="DA268" s="115"/>
      <c r="DB268" s="115"/>
      <c r="DC268" s="114"/>
      <c r="DD268" s="115"/>
      <c r="DE268" s="97"/>
      <c r="DF268" s="269"/>
    </row>
    <row r="269" spans="1:110" s="270" customFormat="1" ht="36" x14ac:dyDescent="0.2">
      <c r="A269" s="89">
        <v>40620</v>
      </c>
      <c r="B269" s="106" t="s">
        <v>4344</v>
      </c>
      <c r="C269" s="106" t="s">
        <v>3355</v>
      </c>
      <c r="D269" s="90" t="s">
        <v>2362</v>
      </c>
      <c r="E269" s="90" t="str">
        <f>VLOOKUP(B269&amp;C269,Divipola!$C$2:$F$1138,4,FALSE)</f>
        <v>25269</v>
      </c>
      <c r="F269" s="90"/>
      <c r="G269" s="129"/>
      <c r="H269" s="129"/>
      <c r="I269" s="129"/>
      <c r="J269" s="129">
        <v>10</v>
      </c>
      <c r="K269" s="129">
        <v>2</v>
      </c>
      <c r="L269" s="129"/>
      <c r="M269" s="129">
        <v>2</v>
      </c>
      <c r="N269" s="129"/>
      <c r="O269" s="129"/>
      <c r="P269" s="129"/>
      <c r="Q269" s="129"/>
      <c r="R269" s="129"/>
      <c r="S269" s="129"/>
      <c r="T269" s="129"/>
      <c r="U269" s="129"/>
      <c r="V269" s="129"/>
      <c r="W269" s="107"/>
      <c r="X269" s="105"/>
      <c r="Y269" s="92">
        <f t="shared" si="24"/>
        <v>0</v>
      </c>
      <c r="Z269" s="92">
        <f t="shared" si="25"/>
        <v>0</v>
      </c>
      <c r="AA269" s="92">
        <f t="shared" si="26"/>
        <v>0</v>
      </c>
      <c r="AB269" s="92">
        <f t="shared" si="27"/>
        <v>0</v>
      </c>
      <c r="AC269" s="92"/>
      <c r="AD269" s="92">
        <v>0</v>
      </c>
      <c r="AE269" s="92">
        <f t="shared" si="28"/>
        <v>0</v>
      </c>
      <c r="AF269" s="93">
        <v>0</v>
      </c>
      <c r="AG269" s="105"/>
      <c r="AH269" s="108"/>
      <c r="AI269" s="102" t="s">
        <v>4336</v>
      </c>
      <c r="AJ269" s="96" t="s">
        <v>4337</v>
      </c>
      <c r="AK269" s="111"/>
      <c r="AL269" s="105"/>
      <c r="AM269" s="112" t="s">
        <v>2686</v>
      </c>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18"/>
      <c r="CO269" s="119"/>
      <c r="CP269" s="118"/>
      <c r="CQ269" s="119"/>
      <c r="CR269" s="118"/>
      <c r="CS269" s="119"/>
      <c r="CT269" s="113"/>
      <c r="CU269" s="118"/>
      <c r="CV269" s="99">
        <f t="shared" si="29"/>
        <v>0</v>
      </c>
      <c r="CW269" s="118"/>
      <c r="CX269" s="119"/>
      <c r="CY269" s="119"/>
      <c r="CZ269" s="119"/>
      <c r="DA269" s="118"/>
      <c r="DB269" s="119"/>
      <c r="DC269" s="111"/>
      <c r="DD269" s="119"/>
      <c r="DE269" s="111"/>
      <c r="DF269" s="269"/>
    </row>
    <row r="270" spans="1:110" s="270" customFormat="1" ht="36" x14ac:dyDescent="0.2">
      <c r="A270" s="89">
        <v>40621</v>
      </c>
      <c r="B270" s="90" t="s">
        <v>2218</v>
      </c>
      <c r="C270" s="90" t="s">
        <v>2227</v>
      </c>
      <c r="D270" s="90" t="s">
        <v>2362</v>
      </c>
      <c r="E270" s="90" t="str">
        <f>VLOOKUP(B270&amp;C270,Divipola!$C$2:$F$1138,4,FALSE)</f>
        <v>05055</v>
      </c>
      <c r="F270" s="90"/>
      <c r="G270" s="101">
        <v>1</v>
      </c>
      <c r="H270" s="101">
        <v>3</v>
      </c>
      <c r="I270" s="101"/>
      <c r="J270" s="101"/>
      <c r="K270" s="101"/>
      <c r="L270" s="101"/>
      <c r="M270" s="101"/>
      <c r="N270" s="101">
        <v>1</v>
      </c>
      <c r="O270" s="101"/>
      <c r="P270" s="101"/>
      <c r="Q270" s="101"/>
      <c r="R270" s="101"/>
      <c r="S270" s="101"/>
      <c r="T270" s="101"/>
      <c r="U270" s="101"/>
      <c r="V270" s="101"/>
      <c r="W270" s="91"/>
      <c r="X270" s="89"/>
      <c r="Y270" s="92">
        <f t="shared" si="24"/>
        <v>0</v>
      </c>
      <c r="Z270" s="92">
        <f t="shared" si="25"/>
        <v>0</v>
      </c>
      <c r="AA270" s="92">
        <f t="shared" si="26"/>
        <v>0</v>
      </c>
      <c r="AB270" s="92">
        <f t="shared" si="27"/>
        <v>0</v>
      </c>
      <c r="AC270" s="92"/>
      <c r="AD270" s="92">
        <v>0</v>
      </c>
      <c r="AE270" s="92">
        <f t="shared" si="28"/>
        <v>0</v>
      </c>
      <c r="AF270" s="93">
        <v>0</v>
      </c>
      <c r="AG270" s="89">
        <v>40625</v>
      </c>
      <c r="AH270" s="94"/>
      <c r="AI270" s="102" t="s">
        <v>4336</v>
      </c>
      <c r="AJ270" s="96" t="s">
        <v>4337</v>
      </c>
      <c r="AK270" s="97"/>
      <c r="AL270" s="89"/>
      <c r="AM270" s="100" t="s">
        <v>2181</v>
      </c>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114"/>
      <c r="CQ270" s="115"/>
      <c r="CR270" s="114"/>
      <c r="CS270" s="115"/>
      <c r="CT270" s="114"/>
      <c r="CU270" s="115"/>
      <c r="CV270" s="99">
        <f t="shared" si="29"/>
        <v>0</v>
      </c>
      <c r="CW270" s="114"/>
      <c r="CX270" s="115"/>
      <c r="CY270" s="114"/>
      <c r="CZ270" s="115"/>
      <c r="DA270" s="115"/>
      <c r="DB270" s="115"/>
      <c r="DC270" s="114"/>
      <c r="DD270" s="115"/>
      <c r="DE270" s="97"/>
      <c r="DF270" s="269"/>
    </row>
    <row r="271" spans="1:110" s="270" customFormat="1" ht="22.5" x14ac:dyDescent="0.2">
      <c r="A271" s="89">
        <v>40621</v>
      </c>
      <c r="B271" s="90" t="s">
        <v>4387</v>
      </c>
      <c r="C271" s="90" t="s">
        <v>798</v>
      </c>
      <c r="D271" s="90" t="s">
        <v>4340</v>
      </c>
      <c r="E271" s="90" t="str">
        <f>VLOOKUP(B271&amp;C271,Divipola!$C$2:$F$1138,4,FALSE)</f>
        <v>52621</v>
      </c>
      <c r="F271" s="90"/>
      <c r="G271" s="101"/>
      <c r="H271" s="101">
        <v>5</v>
      </c>
      <c r="I271" s="101"/>
      <c r="J271" s="101"/>
      <c r="K271" s="101"/>
      <c r="L271" s="101"/>
      <c r="M271" s="101"/>
      <c r="N271" s="101"/>
      <c r="O271" s="101"/>
      <c r="P271" s="101"/>
      <c r="Q271" s="101"/>
      <c r="R271" s="101"/>
      <c r="S271" s="101"/>
      <c r="T271" s="101"/>
      <c r="U271" s="101"/>
      <c r="V271" s="101"/>
      <c r="W271" s="91"/>
      <c r="X271" s="89"/>
      <c r="Y271" s="92">
        <f t="shared" si="24"/>
        <v>0</v>
      </c>
      <c r="Z271" s="92">
        <f t="shared" si="25"/>
        <v>0</v>
      </c>
      <c r="AA271" s="92">
        <f t="shared" si="26"/>
        <v>0</v>
      </c>
      <c r="AB271" s="92">
        <f t="shared" si="27"/>
        <v>0</v>
      </c>
      <c r="AC271" s="92"/>
      <c r="AD271" s="92">
        <v>0</v>
      </c>
      <c r="AE271" s="92">
        <f t="shared" si="28"/>
        <v>0</v>
      </c>
      <c r="AF271" s="93">
        <v>0</v>
      </c>
      <c r="AG271" s="89">
        <v>40625</v>
      </c>
      <c r="AH271" s="94"/>
      <c r="AI271" s="95" t="s">
        <v>4336</v>
      </c>
      <c r="AJ271" s="96" t="s">
        <v>4337</v>
      </c>
      <c r="AK271" s="97"/>
      <c r="AL271" s="89"/>
      <c r="AM271" s="100" t="s">
        <v>2180</v>
      </c>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114"/>
      <c r="CQ271" s="115"/>
      <c r="CR271" s="114"/>
      <c r="CS271" s="115"/>
      <c r="CT271" s="114"/>
      <c r="CU271" s="115"/>
      <c r="CV271" s="99">
        <f t="shared" si="29"/>
        <v>0</v>
      </c>
      <c r="CW271" s="114"/>
      <c r="CX271" s="115"/>
      <c r="CY271" s="114"/>
      <c r="CZ271" s="115"/>
      <c r="DA271" s="115"/>
      <c r="DB271" s="115"/>
      <c r="DC271" s="114"/>
      <c r="DD271" s="115"/>
      <c r="DE271" s="97"/>
      <c r="DF271" s="269"/>
    </row>
    <row r="272" spans="1:110" s="270" customFormat="1" ht="24" x14ac:dyDescent="0.2">
      <c r="A272" s="89">
        <v>40622</v>
      </c>
      <c r="B272" s="90" t="s">
        <v>3533</v>
      </c>
      <c r="C272" s="90" t="s">
        <v>862</v>
      </c>
      <c r="D272" s="90" t="s">
        <v>2362</v>
      </c>
      <c r="E272" s="90" t="str">
        <f>VLOOKUP(B272&amp;C272,Divipola!$C$2:$F$1138,4,FALSE)</f>
        <v>17001</v>
      </c>
      <c r="F272" s="90"/>
      <c r="G272" s="101"/>
      <c r="H272" s="101"/>
      <c r="I272" s="101"/>
      <c r="J272" s="101"/>
      <c r="K272" s="101"/>
      <c r="L272" s="101"/>
      <c r="M272" s="101"/>
      <c r="N272" s="101">
        <v>1</v>
      </c>
      <c r="O272" s="101"/>
      <c r="P272" s="101"/>
      <c r="Q272" s="101"/>
      <c r="R272" s="101"/>
      <c r="S272" s="101"/>
      <c r="T272" s="101"/>
      <c r="U272" s="101"/>
      <c r="V272" s="101"/>
      <c r="W272" s="91"/>
      <c r="X272" s="89"/>
      <c r="Y272" s="92">
        <f t="shared" si="24"/>
        <v>0</v>
      </c>
      <c r="Z272" s="92">
        <f t="shared" si="25"/>
        <v>0</v>
      </c>
      <c r="AA272" s="92">
        <f t="shared" si="26"/>
        <v>0</v>
      </c>
      <c r="AB272" s="92">
        <f t="shared" si="27"/>
        <v>0</v>
      </c>
      <c r="AC272" s="92"/>
      <c r="AD272" s="92">
        <v>0</v>
      </c>
      <c r="AE272" s="92">
        <f t="shared" si="28"/>
        <v>0</v>
      </c>
      <c r="AF272" s="93">
        <v>0</v>
      </c>
      <c r="AG272" s="89">
        <v>40625</v>
      </c>
      <c r="AH272" s="94"/>
      <c r="AI272" s="95" t="s">
        <v>4336</v>
      </c>
      <c r="AJ272" s="96" t="s">
        <v>4337</v>
      </c>
      <c r="AK272" s="97"/>
      <c r="AL272" s="89"/>
      <c r="AM272" s="100" t="s">
        <v>2183</v>
      </c>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114"/>
      <c r="CQ272" s="115"/>
      <c r="CR272" s="114"/>
      <c r="CS272" s="115"/>
      <c r="CT272" s="114"/>
      <c r="CU272" s="115"/>
      <c r="CV272" s="99">
        <f t="shared" si="29"/>
        <v>0</v>
      </c>
      <c r="CW272" s="114"/>
      <c r="CX272" s="115"/>
      <c r="CY272" s="114"/>
      <c r="CZ272" s="115"/>
      <c r="DA272" s="115"/>
      <c r="DB272" s="115"/>
      <c r="DC272" s="114"/>
      <c r="DD272" s="115"/>
      <c r="DE272" s="97"/>
      <c r="DF272" s="269"/>
    </row>
    <row r="273" spans="1:110" s="270" customFormat="1" ht="96" x14ac:dyDescent="0.2">
      <c r="A273" s="89">
        <v>40622</v>
      </c>
      <c r="B273" s="90" t="s">
        <v>2225</v>
      </c>
      <c r="C273" s="90" t="s">
        <v>4359</v>
      </c>
      <c r="D273" s="90" t="s">
        <v>4264</v>
      </c>
      <c r="E273" s="90" t="str">
        <f>VLOOKUP(B273&amp;C273,Divipola!$C$2:$F$1138,4,FALSE)</f>
        <v>27025</v>
      </c>
      <c r="F273" s="90"/>
      <c r="G273" s="101"/>
      <c r="H273" s="101"/>
      <c r="I273" s="101"/>
      <c r="J273" s="101">
        <v>5012</v>
      </c>
      <c r="K273" s="101">
        <v>1129</v>
      </c>
      <c r="L273" s="101"/>
      <c r="M273" s="101">
        <v>1129</v>
      </c>
      <c r="N273" s="101"/>
      <c r="O273" s="101"/>
      <c r="P273" s="101"/>
      <c r="Q273" s="101"/>
      <c r="R273" s="101"/>
      <c r="S273" s="101"/>
      <c r="T273" s="101"/>
      <c r="U273" s="101"/>
      <c r="V273" s="101"/>
      <c r="W273" s="91" t="s">
        <v>2197</v>
      </c>
      <c r="X273" s="89"/>
      <c r="Y273" s="92">
        <f t="shared" si="24"/>
        <v>0</v>
      </c>
      <c r="Z273" s="92">
        <f t="shared" si="25"/>
        <v>0</v>
      </c>
      <c r="AA273" s="92">
        <f t="shared" si="26"/>
        <v>0</v>
      </c>
      <c r="AB273" s="92">
        <f t="shared" si="27"/>
        <v>0</v>
      </c>
      <c r="AC273" s="92"/>
      <c r="AD273" s="92">
        <v>0</v>
      </c>
      <c r="AE273" s="92">
        <f t="shared" si="28"/>
        <v>0</v>
      </c>
      <c r="AF273" s="93">
        <v>0</v>
      </c>
      <c r="AG273" s="89"/>
      <c r="AH273" s="94"/>
      <c r="AI273" s="95" t="s">
        <v>4336</v>
      </c>
      <c r="AJ273" s="96" t="s">
        <v>4337</v>
      </c>
      <c r="AK273" s="97"/>
      <c r="AL273" s="89"/>
      <c r="AM273" s="100" t="s">
        <v>2196</v>
      </c>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114"/>
      <c r="CQ273" s="115"/>
      <c r="CR273" s="114"/>
      <c r="CS273" s="115"/>
      <c r="CT273" s="114"/>
      <c r="CU273" s="115"/>
      <c r="CV273" s="99">
        <f t="shared" si="29"/>
        <v>0</v>
      </c>
      <c r="CW273" s="114"/>
      <c r="CX273" s="115"/>
      <c r="CY273" s="114"/>
      <c r="CZ273" s="115"/>
      <c r="DA273" s="115"/>
      <c r="DB273" s="115"/>
      <c r="DC273" s="114"/>
      <c r="DD273" s="115"/>
      <c r="DE273" s="97"/>
      <c r="DF273" s="269"/>
    </row>
    <row r="274" spans="1:110" s="270" customFormat="1" ht="132" x14ac:dyDescent="0.2">
      <c r="A274" s="89">
        <v>40622</v>
      </c>
      <c r="B274" s="106" t="s">
        <v>4344</v>
      </c>
      <c r="C274" s="106" t="s">
        <v>1675</v>
      </c>
      <c r="D274" s="90" t="s">
        <v>2362</v>
      </c>
      <c r="E274" s="90" t="str">
        <f>VLOOKUP(B274&amp;C274,Divipola!$C$2:$F$1138,4,FALSE)</f>
        <v>25178</v>
      </c>
      <c r="F274" s="90"/>
      <c r="G274" s="129"/>
      <c r="H274" s="129"/>
      <c r="I274" s="129"/>
      <c r="J274" s="129">
        <v>390</v>
      </c>
      <c r="K274" s="129">
        <v>95</v>
      </c>
      <c r="L274" s="129"/>
      <c r="M274" s="129">
        <v>95</v>
      </c>
      <c r="N274" s="129">
        <v>20</v>
      </c>
      <c r="O274" s="129">
        <v>3</v>
      </c>
      <c r="P274" s="129"/>
      <c r="Q274" s="129">
        <v>2</v>
      </c>
      <c r="R274" s="129">
        <v>1</v>
      </c>
      <c r="S274" s="129"/>
      <c r="T274" s="129">
        <v>4</v>
      </c>
      <c r="U274" s="129"/>
      <c r="V274" s="129">
        <v>150</v>
      </c>
      <c r="W274" s="107" t="s">
        <v>2898</v>
      </c>
      <c r="X274" s="105"/>
      <c r="Y274" s="92">
        <f t="shared" si="24"/>
        <v>0</v>
      </c>
      <c r="Z274" s="92">
        <f t="shared" si="25"/>
        <v>0</v>
      </c>
      <c r="AA274" s="92">
        <f t="shared" si="26"/>
        <v>0</v>
      </c>
      <c r="AB274" s="92">
        <f t="shared" si="27"/>
        <v>0</v>
      </c>
      <c r="AC274" s="92"/>
      <c r="AD274" s="92">
        <v>0</v>
      </c>
      <c r="AE274" s="92">
        <f t="shared" si="28"/>
        <v>0</v>
      </c>
      <c r="AF274" s="93">
        <v>0</v>
      </c>
      <c r="AG274" s="105"/>
      <c r="AH274" s="108"/>
      <c r="AI274" s="109" t="s">
        <v>4336</v>
      </c>
      <c r="AJ274" s="110" t="s">
        <v>4337</v>
      </c>
      <c r="AK274" s="111"/>
      <c r="AL274" s="105"/>
      <c r="AM274" s="112" t="s">
        <v>3772</v>
      </c>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18"/>
      <c r="CO274" s="119"/>
      <c r="CP274" s="118"/>
      <c r="CQ274" s="119"/>
      <c r="CR274" s="118"/>
      <c r="CS274" s="119"/>
      <c r="CT274" s="113"/>
      <c r="CU274" s="118"/>
      <c r="CV274" s="99">
        <f t="shared" si="29"/>
        <v>0</v>
      </c>
      <c r="CW274" s="118"/>
      <c r="CX274" s="119"/>
      <c r="CY274" s="119"/>
      <c r="CZ274" s="119"/>
      <c r="DA274" s="118"/>
      <c r="DB274" s="119"/>
      <c r="DC274" s="111"/>
      <c r="DD274" s="119"/>
      <c r="DE274" s="111"/>
      <c r="DF274" s="269"/>
    </row>
    <row r="275" spans="1:110" s="270" customFormat="1" ht="84" x14ac:dyDescent="0.2">
      <c r="A275" s="89">
        <v>40622</v>
      </c>
      <c r="B275" s="106" t="s">
        <v>4344</v>
      </c>
      <c r="C275" s="106" t="s">
        <v>1696</v>
      </c>
      <c r="D275" s="90" t="s">
        <v>2362</v>
      </c>
      <c r="E275" s="90" t="str">
        <f>VLOOKUP(B275&amp;C275,Divipola!$C$2:$F$1138,4,FALSE)</f>
        <v>25281</v>
      </c>
      <c r="F275" s="90"/>
      <c r="G275" s="129"/>
      <c r="H275" s="129">
        <v>1</v>
      </c>
      <c r="I275" s="129"/>
      <c r="J275" s="129">
        <v>753</v>
      </c>
      <c r="K275" s="129">
        <v>176</v>
      </c>
      <c r="L275" s="129"/>
      <c r="M275" s="129">
        <v>176</v>
      </c>
      <c r="N275" s="129">
        <v>20</v>
      </c>
      <c r="O275" s="129">
        <v>3</v>
      </c>
      <c r="P275" s="129"/>
      <c r="Q275" s="129">
        <v>1</v>
      </c>
      <c r="R275" s="129"/>
      <c r="S275" s="129">
        <v>1</v>
      </c>
      <c r="T275" s="129">
        <v>2</v>
      </c>
      <c r="U275" s="129"/>
      <c r="V275" s="129">
        <v>20</v>
      </c>
      <c r="W275" s="107"/>
      <c r="X275" s="105"/>
      <c r="Y275" s="92">
        <f t="shared" si="24"/>
        <v>0</v>
      </c>
      <c r="Z275" s="92">
        <f t="shared" si="25"/>
        <v>0</v>
      </c>
      <c r="AA275" s="92">
        <f t="shared" si="26"/>
        <v>0</v>
      </c>
      <c r="AB275" s="92">
        <f t="shared" si="27"/>
        <v>0</v>
      </c>
      <c r="AC275" s="92"/>
      <c r="AD275" s="92">
        <v>0</v>
      </c>
      <c r="AE275" s="92">
        <f t="shared" si="28"/>
        <v>0</v>
      </c>
      <c r="AF275" s="93">
        <v>0</v>
      </c>
      <c r="AG275" s="105"/>
      <c r="AH275" s="108"/>
      <c r="AI275" s="109" t="s">
        <v>4336</v>
      </c>
      <c r="AJ275" s="110" t="s">
        <v>4337</v>
      </c>
      <c r="AK275" s="111"/>
      <c r="AL275" s="105"/>
      <c r="AM275" s="112" t="s">
        <v>2899</v>
      </c>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18"/>
      <c r="CO275" s="119"/>
      <c r="CP275" s="118"/>
      <c r="CQ275" s="119"/>
      <c r="CR275" s="118"/>
      <c r="CS275" s="119"/>
      <c r="CT275" s="113"/>
      <c r="CU275" s="118"/>
      <c r="CV275" s="99">
        <f t="shared" si="29"/>
        <v>0</v>
      </c>
      <c r="CW275" s="118"/>
      <c r="CX275" s="119"/>
      <c r="CY275" s="119"/>
      <c r="CZ275" s="119"/>
      <c r="DA275" s="118"/>
      <c r="DB275" s="119"/>
      <c r="DC275" s="111"/>
      <c r="DD275" s="119"/>
      <c r="DE275" s="111"/>
      <c r="DF275" s="269"/>
    </row>
    <row r="276" spans="1:110" s="270" customFormat="1" x14ac:dyDescent="0.2">
      <c r="A276" s="89">
        <v>40622</v>
      </c>
      <c r="B276" s="90" t="s">
        <v>4387</v>
      </c>
      <c r="C276" s="90" t="s">
        <v>859</v>
      </c>
      <c r="D276" s="90" t="s">
        <v>2362</v>
      </c>
      <c r="E276" s="90" t="str">
        <f>VLOOKUP(B276&amp;C276,Divipola!$C$2:$F$1138,4,FALSE)</f>
        <v>52687</v>
      </c>
      <c r="F276" s="90"/>
      <c r="G276" s="101">
        <v>2</v>
      </c>
      <c r="H276" s="101"/>
      <c r="I276" s="101"/>
      <c r="J276" s="101">
        <v>5</v>
      </c>
      <c r="K276" s="101">
        <v>1</v>
      </c>
      <c r="L276" s="101">
        <v>1</v>
      </c>
      <c r="M276" s="101"/>
      <c r="N276" s="101"/>
      <c r="O276" s="101"/>
      <c r="P276" s="101"/>
      <c r="Q276" s="101"/>
      <c r="R276" s="101"/>
      <c r="S276" s="101"/>
      <c r="T276" s="101"/>
      <c r="U276" s="101"/>
      <c r="V276" s="101"/>
      <c r="W276" s="91"/>
      <c r="X276" s="89"/>
      <c r="Y276" s="92">
        <f t="shared" si="24"/>
        <v>0</v>
      </c>
      <c r="Z276" s="92">
        <f t="shared" si="25"/>
        <v>0</v>
      </c>
      <c r="AA276" s="92">
        <f t="shared" si="26"/>
        <v>0</v>
      </c>
      <c r="AB276" s="92">
        <f t="shared" si="27"/>
        <v>0</v>
      </c>
      <c r="AC276" s="92"/>
      <c r="AD276" s="92">
        <v>0</v>
      </c>
      <c r="AE276" s="92">
        <f t="shared" si="28"/>
        <v>0</v>
      </c>
      <c r="AF276" s="93">
        <v>0</v>
      </c>
      <c r="AG276" s="89">
        <v>40625</v>
      </c>
      <c r="AH276" s="94"/>
      <c r="AI276" s="95" t="s">
        <v>4336</v>
      </c>
      <c r="AJ276" s="96" t="s">
        <v>4337</v>
      </c>
      <c r="AK276" s="97"/>
      <c r="AL276" s="89"/>
      <c r="AM276" s="100" t="s">
        <v>2184</v>
      </c>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114"/>
      <c r="CQ276" s="115"/>
      <c r="CR276" s="114"/>
      <c r="CS276" s="115"/>
      <c r="CT276" s="114"/>
      <c r="CU276" s="115"/>
      <c r="CV276" s="99">
        <f t="shared" si="29"/>
        <v>0</v>
      </c>
      <c r="CW276" s="114"/>
      <c r="CX276" s="115"/>
      <c r="CY276" s="114"/>
      <c r="CZ276" s="115"/>
      <c r="DA276" s="115"/>
      <c r="DB276" s="115"/>
      <c r="DC276" s="114"/>
      <c r="DD276" s="115"/>
      <c r="DE276" s="97"/>
      <c r="DF276" s="269"/>
    </row>
    <row r="277" spans="1:110" s="270" customFormat="1" x14ac:dyDescent="0.2">
      <c r="A277" s="89">
        <v>40622</v>
      </c>
      <c r="B277" s="106" t="s">
        <v>4348</v>
      </c>
      <c r="C277" s="106" t="s">
        <v>4313</v>
      </c>
      <c r="D277" s="90" t="s">
        <v>2362</v>
      </c>
      <c r="E277" s="90" t="str">
        <f>VLOOKUP(B277&amp;C277,Divipola!$C$2:$F$1138,4,FALSE)</f>
        <v>66318</v>
      </c>
      <c r="F277" s="90"/>
      <c r="G277" s="279"/>
      <c r="H277" s="279"/>
      <c r="I277" s="279"/>
      <c r="J277" s="129">
        <v>30</v>
      </c>
      <c r="K277" s="129">
        <v>6</v>
      </c>
      <c r="L277" s="129">
        <v>1</v>
      </c>
      <c r="M277" s="129">
        <v>5</v>
      </c>
      <c r="N277" s="129"/>
      <c r="O277" s="129"/>
      <c r="P277" s="129"/>
      <c r="Q277" s="129"/>
      <c r="R277" s="129"/>
      <c r="S277" s="129"/>
      <c r="T277" s="129"/>
      <c r="U277" s="129"/>
      <c r="V277" s="129"/>
      <c r="W277" s="107"/>
      <c r="X277" s="105"/>
      <c r="Y277" s="92">
        <f t="shared" si="24"/>
        <v>0</v>
      </c>
      <c r="Z277" s="92">
        <f t="shared" si="25"/>
        <v>0</v>
      </c>
      <c r="AA277" s="92">
        <f t="shared" si="26"/>
        <v>0</v>
      </c>
      <c r="AB277" s="92">
        <f t="shared" si="27"/>
        <v>0</v>
      </c>
      <c r="AC277" s="92"/>
      <c r="AD277" s="92">
        <v>0</v>
      </c>
      <c r="AE277" s="92">
        <f t="shared" si="28"/>
        <v>0</v>
      </c>
      <c r="AF277" s="93">
        <v>0</v>
      </c>
      <c r="AG277" s="105"/>
      <c r="AH277" s="108"/>
      <c r="AI277" s="109" t="s">
        <v>4336</v>
      </c>
      <c r="AJ277" s="110" t="s">
        <v>4337</v>
      </c>
      <c r="AK277" s="280"/>
      <c r="AL277" s="281"/>
      <c r="AM277" s="112" t="s">
        <v>2004</v>
      </c>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18"/>
      <c r="CO277" s="119"/>
      <c r="CP277" s="118"/>
      <c r="CQ277" s="119"/>
      <c r="CR277" s="118"/>
      <c r="CS277" s="119"/>
      <c r="CT277" s="113"/>
      <c r="CU277" s="118"/>
      <c r="CV277" s="99">
        <f t="shared" si="29"/>
        <v>0</v>
      </c>
      <c r="CW277" s="118"/>
      <c r="CX277" s="119"/>
      <c r="CY277" s="119"/>
      <c r="CZ277" s="119"/>
      <c r="DA277" s="118"/>
      <c r="DB277" s="119"/>
      <c r="DC277" s="111"/>
      <c r="DD277" s="119"/>
      <c r="DE277" s="111"/>
      <c r="DF277" s="269"/>
    </row>
    <row r="278" spans="1:110" s="270" customFormat="1" ht="36" x14ac:dyDescent="0.2">
      <c r="A278" s="89">
        <v>40622</v>
      </c>
      <c r="B278" s="90" t="s">
        <v>4244</v>
      </c>
      <c r="C278" s="90" t="s">
        <v>2768</v>
      </c>
      <c r="D278" s="90" t="s">
        <v>4298</v>
      </c>
      <c r="E278" s="90" t="str">
        <f>VLOOKUP(B278&amp;C278,Divipola!$C$2:$F$1138,4,FALSE)</f>
        <v>76001</v>
      </c>
      <c r="F278" s="90"/>
      <c r="G278" s="101"/>
      <c r="H278" s="101"/>
      <c r="I278" s="101"/>
      <c r="J278" s="101">
        <v>100</v>
      </c>
      <c r="K278" s="101">
        <v>20</v>
      </c>
      <c r="L278" s="101">
        <v>20</v>
      </c>
      <c r="M278" s="101"/>
      <c r="N278" s="101"/>
      <c r="O278" s="101"/>
      <c r="P278" s="101"/>
      <c r="Q278" s="101"/>
      <c r="R278" s="101"/>
      <c r="S278" s="101"/>
      <c r="T278" s="101"/>
      <c r="U278" s="101"/>
      <c r="V278" s="101"/>
      <c r="W278" s="91"/>
      <c r="X278" s="89"/>
      <c r="Y278" s="92">
        <f t="shared" si="24"/>
        <v>0</v>
      </c>
      <c r="Z278" s="92">
        <f t="shared" si="25"/>
        <v>0</v>
      </c>
      <c r="AA278" s="92">
        <f t="shared" si="26"/>
        <v>0</v>
      </c>
      <c r="AB278" s="92">
        <f t="shared" si="27"/>
        <v>0</v>
      </c>
      <c r="AC278" s="92"/>
      <c r="AD278" s="92">
        <v>0</v>
      </c>
      <c r="AE278" s="92">
        <f t="shared" si="28"/>
        <v>0</v>
      </c>
      <c r="AF278" s="93">
        <v>0</v>
      </c>
      <c r="AG278" s="89">
        <v>40625</v>
      </c>
      <c r="AH278" s="94"/>
      <c r="AI278" s="102" t="s">
        <v>4336</v>
      </c>
      <c r="AJ278" s="96" t="s">
        <v>4337</v>
      </c>
      <c r="AK278" s="97"/>
      <c r="AL278" s="89"/>
      <c r="AM278" s="100" t="s">
        <v>2182</v>
      </c>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114"/>
      <c r="CQ278" s="115"/>
      <c r="CR278" s="114"/>
      <c r="CS278" s="115"/>
      <c r="CT278" s="114"/>
      <c r="CU278" s="115"/>
      <c r="CV278" s="99">
        <f t="shared" si="29"/>
        <v>0</v>
      </c>
      <c r="CW278" s="114"/>
      <c r="CX278" s="115"/>
      <c r="CY278" s="114"/>
      <c r="CZ278" s="115"/>
      <c r="DA278" s="115"/>
      <c r="DB278" s="115"/>
      <c r="DC278" s="114"/>
      <c r="DD278" s="115"/>
      <c r="DE278" s="97"/>
      <c r="DF278" s="269"/>
    </row>
    <row r="279" spans="1:110" s="270" customFormat="1" x14ac:dyDescent="0.2">
      <c r="A279" s="89">
        <v>40623</v>
      </c>
      <c r="B279" s="90" t="s">
        <v>2218</v>
      </c>
      <c r="C279" s="90" t="s">
        <v>3528</v>
      </c>
      <c r="D279" s="90" t="s">
        <v>4264</v>
      </c>
      <c r="E279" s="90" t="str">
        <f>VLOOKUP(B279&amp;C279,Divipola!$C$2:$F$1138,4,FALSE)</f>
        <v>05030</v>
      </c>
      <c r="F279" s="90"/>
      <c r="G279" s="101"/>
      <c r="H279" s="101"/>
      <c r="I279" s="101"/>
      <c r="J279" s="101">
        <v>25</v>
      </c>
      <c r="K279" s="101">
        <v>5</v>
      </c>
      <c r="L279" s="101">
        <v>1</v>
      </c>
      <c r="M279" s="101">
        <v>4</v>
      </c>
      <c r="N279" s="101"/>
      <c r="O279" s="101"/>
      <c r="P279" s="101"/>
      <c r="Q279" s="101"/>
      <c r="R279" s="101"/>
      <c r="S279" s="101"/>
      <c r="T279" s="101"/>
      <c r="U279" s="101"/>
      <c r="V279" s="101"/>
      <c r="W279" s="91"/>
      <c r="X279" s="89"/>
      <c r="Y279" s="92">
        <f t="shared" si="24"/>
        <v>0</v>
      </c>
      <c r="Z279" s="92">
        <f t="shared" si="25"/>
        <v>0</v>
      </c>
      <c r="AA279" s="92">
        <f t="shared" si="26"/>
        <v>0</v>
      </c>
      <c r="AB279" s="92">
        <f t="shared" si="27"/>
        <v>0</v>
      </c>
      <c r="AC279" s="92"/>
      <c r="AD279" s="92">
        <v>0</v>
      </c>
      <c r="AE279" s="92">
        <f t="shared" si="28"/>
        <v>0</v>
      </c>
      <c r="AF279" s="93">
        <v>0</v>
      </c>
      <c r="AG279" s="89">
        <v>40625</v>
      </c>
      <c r="AH279" s="94"/>
      <c r="AI279" s="102" t="s">
        <v>4336</v>
      </c>
      <c r="AJ279" s="96" t="s">
        <v>4337</v>
      </c>
      <c r="AK279" s="97"/>
      <c r="AL279" s="89"/>
      <c r="AM279" s="100" t="s">
        <v>4402</v>
      </c>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114"/>
      <c r="CQ279" s="115"/>
      <c r="CR279" s="114"/>
      <c r="CS279" s="115"/>
      <c r="CT279" s="114"/>
      <c r="CU279" s="115"/>
      <c r="CV279" s="99">
        <f t="shared" si="29"/>
        <v>0</v>
      </c>
      <c r="CW279" s="114"/>
      <c r="CX279" s="115"/>
      <c r="CY279" s="114"/>
      <c r="CZ279" s="115"/>
      <c r="DA279" s="115"/>
      <c r="DB279" s="115"/>
      <c r="DC279" s="114"/>
      <c r="DD279" s="115"/>
      <c r="DE279" s="97"/>
      <c r="DF279" s="269"/>
    </row>
    <row r="280" spans="1:110" s="270" customFormat="1" ht="36" x14ac:dyDescent="0.2">
      <c r="A280" s="89">
        <v>40623</v>
      </c>
      <c r="B280" s="90" t="s">
        <v>3533</v>
      </c>
      <c r="C280" s="90" t="s">
        <v>862</v>
      </c>
      <c r="D280" s="90" t="s">
        <v>2860</v>
      </c>
      <c r="E280" s="90" t="str">
        <f>VLOOKUP(B280&amp;C280,Divipola!$C$2:$F$1138,4,FALSE)</f>
        <v>17001</v>
      </c>
      <c r="F280" s="90"/>
      <c r="G280" s="101"/>
      <c r="H280" s="101"/>
      <c r="I280" s="101"/>
      <c r="J280" s="101">
        <v>160</v>
      </c>
      <c r="K280" s="101">
        <v>32</v>
      </c>
      <c r="L280" s="101">
        <v>11</v>
      </c>
      <c r="M280" s="101">
        <v>11</v>
      </c>
      <c r="N280" s="101"/>
      <c r="O280" s="101"/>
      <c r="P280" s="101"/>
      <c r="Q280" s="101"/>
      <c r="R280" s="101"/>
      <c r="S280" s="101"/>
      <c r="T280" s="101"/>
      <c r="U280" s="101"/>
      <c r="V280" s="101"/>
      <c r="W280" s="91"/>
      <c r="X280" s="89">
        <v>40731</v>
      </c>
      <c r="Y280" s="92">
        <f t="shared" si="24"/>
        <v>0</v>
      </c>
      <c r="Z280" s="92">
        <f t="shared" si="25"/>
        <v>0</v>
      </c>
      <c r="AA280" s="92">
        <f t="shared" si="26"/>
        <v>0</v>
      </c>
      <c r="AB280" s="92">
        <f t="shared" si="27"/>
        <v>0</v>
      </c>
      <c r="AC280" s="92"/>
      <c r="AD280" s="92">
        <v>0</v>
      </c>
      <c r="AE280" s="92">
        <f t="shared" si="28"/>
        <v>0</v>
      </c>
      <c r="AF280" s="93">
        <v>0</v>
      </c>
      <c r="AG280" s="89"/>
      <c r="AH280" s="94"/>
      <c r="AI280" s="95" t="s">
        <v>4336</v>
      </c>
      <c r="AJ280" s="96" t="s">
        <v>4337</v>
      </c>
      <c r="AK280" s="97"/>
      <c r="AL280" s="89"/>
      <c r="AM280" s="100" t="s">
        <v>5017</v>
      </c>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114"/>
      <c r="CQ280" s="115"/>
      <c r="CR280" s="114"/>
      <c r="CS280" s="115"/>
      <c r="CT280" s="114"/>
      <c r="CU280" s="115"/>
      <c r="CV280" s="99">
        <f t="shared" si="29"/>
        <v>0</v>
      </c>
      <c r="CW280" s="114"/>
      <c r="CX280" s="115"/>
      <c r="CY280" s="114"/>
      <c r="CZ280" s="115"/>
      <c r="DA280" s="115"/>
      <c r="DB280" s="115"/>
      <c r="DC280" s="114"/>
      <c r="DD280" s="115"/>
      <c r="DE280" s="97"/>
      <c r="DF280" s="269"/>
    </row>
    <row r="281" spans="1:110" s="270" customFormat="1" ht="36" x14ac:dyDescent="0.2">
      <c r="A281" s="89">
        <v>40623</v>
      </c>
      <c r="B281" s="90" t="s">
        <v>2225</v>
      </c>
      <c r="C281" s="90" t="s">
        <v>2205</v>
      </c>
      <c r="D281" s="90" t="s">
        <v>2362</v>
      </c>
      <c r="E281" s="90" t="str">
        <f>VLOOKUP(B281&amp;C281,Divipola!$C$2:$F$1138,4,FALSE)</f>
        <v>27001</v>
      </c>
      <c r="F281" s="90"/>
      <c r="G281" s="101"/>
      <c r="H281" s="101"/>
      <c r="I281" s="101"/>
      <c r="J281" s="101">
        <v>6</v>
      </c>
      <c r="K281" s="101">
        <v>2</v>
      </c>
      <c r="L281" s="101"/>
      <c r="M281" s="101">
        <v>2</v>
      </c>
      <c r="N281" s="101"/>
      <c r="O281" s="101"/>
      <c r="P281" s="101"/>
      <c r="Q281" s="101"/>
      <c r="R281" s="101"/>
      <c r="S281" s="101"/>
      <c r="T281" s="101"/>
      <c r="U281" s="101"/>
      <c r="V281" s="101"/>
      <c r="W281" s="91"/>
      <c r="X281" s="89"/>
      <c r="Y281" s="92">
        <f t="shared" si="24"/>
        <v>0</v>
      </c>
      <c r="Z281" s="92">
        <f t="shared" si="25"/>
        <v>0</v>
      </c>
      <c r="AA281" s="92">
        <f t="shared" si="26"/>
        <v>0</v>
      </c>
      <c r="AB281" s="92">
        <f t="shared" si="27"/>
        <v>0</v>
      </c>
      <c r="AC281" s="92"/>
      <c r="AD281" s="92">
        <v>0</v>
      </c>
      <c r="AE281" s="92">
        <f t="shared" si="28"/>
        <v>0</v>
      </c>
      <c r="AF281" s="93">
        <v>0</v>
      </c>
      <c r="AG281" s="89">
        <v>40625</v>
      </c>
      <c r="AH281" s="94"/>
      <c r="AI281" s="95" t="s">
        <v>4336</v>
      </c>
      <c r="AJ281" s="96" t="s">
        <v>4337</v>
      </c>
      <c r="AK281" s="97"/>
      <c r="AL281" s="89"/>
      <c r="AM281" s="100" t="s">
        <v>4401</v>
      </c>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114"/>
      <c r="CQ281" s="115"/>
      <c r="CR281" s="114"/>
      <c r="CS281" s="115"/>
      <c r="CT281" s="114"/>
      <c r="CU281" s="115"/>
      <c r="CV281" s="99">
        <f t="shared" si="29"/>
        <v>0</v>
      </c>
      <c r="CW281" s="114"/>
      <c r="CX281" s="115"/>
      <c r="CY281" s="114"/>
      <c r="CZ281" s="115"/>
      <c r="DA281" s="115"/>
      <c r="DB281" s="115"/>
      <c r="DC281" s="114"/>
      <c r="DD281" s="115"/>
      <c r="DE281" s="97"/>
      <c r="DF281" s="269"/>
    </row>
    <row r="282" spans="1:110" s="270" customFormat="1" ht="36" x14ac:dyDescent="0.2">
      <c r="A282" s="89">
        <v>40623</v>
      </c>
      <c r="B282" s="90" t="s">
        <v>4219</v>
      </c>
      <c r="C282" s="90" t="s">
        <v>63</v>
      </c>
      <c r="D282" s="90" t="s">
        <v>2362</v>
      </c>
      <c r="E282" s="90" t="str">
        <f>VLOOKUP(B282&amp;C282,Divipola!$C$2:$F$1138,4,FALSE)</f>
        <v>41524</v>
      </c>
      <c r="F282" s="90"/>
      <c r="G282" s="101"/>
      <c r="H282" s="101"/>
      <c r="I282" s="101"/>
      <c r="J282" s="101"/>
      <c r="K282" s="101"/>
      <c r="L282" s="101"/>
      <c r="M282" s="101"/>
      <c r="N282" s="101">
        <v>1</v>
      </c>
      <c r="O282" s="101"/>
      <c r="P282" s="101"/>
      <c r="Q282" s="101"/>
      <c r="R282" s="101"/>
      <c r="S282" s="101"/>
      <c r="T282" s="101"/>
      <c r="U282" s="101"/>
      <c r="V282" s="101"/>
      <c r="W282" s="91"/>
      <c r="X282" s="89"/>
      <c r="Y282" s="92">
        <f t="shared" si="24"/>
        <v>0</v>
      </c>
      <c r="Z282" s="92">
        <f t="shared" si="25"/>
        <v>0</v>
      </c>
      <c r="AA282" s="92">
        <f t="shared" si="26"/>
        <v>0</v>
      </c>
      <c r="AB282" s="92">
        <f t="shared" si="27"/>
        <v>0</v>
      </c>
      <c r="AC282" s="92"/>
      <c r="AD282" s="92">
        <v>0</v>
      </c>
      <c r="AE282" s="92">
        <f t="shared" si="28"/>
        <v>0</v>
      </c>
      <c r="AF282" s="93">
        <v>0</v>
      </c>
      <c r="AG282" s="89">
        <v>40625</v>
      </c>
      <c r="AH282" s="94"/>
      <c r="AI282" s="95" t="s">
        <v>4336</v>
      </c>
      <c r="AJ282" s="96" t="s">
        <v>4337</v>
      </c>
      <c r="AK282" s="97"/>
      <c r="AL282" s="89"/>
      <c r="AM282" s="100" t="s">
        <v>4399</v>
      </c>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114"/>
      <c r="CQ282" s="115"/>
      <c r="CR282" s="114"/>
      <c r="CS282" s="115"/>
      <c r="CT282" s="114"/>
      <c r="CU282" s="115"/>
      <c r="CV282" s="99">
        <f t="shared" si="29"/>
        <v>0</v>
      </c>
      <c r="CW282" s="114"/>
      <c r="CX282" s="115"/>
      <c r="CY282" s="114"/>
      <c r="CZ282" s="115"/>
      <c r="DA282" s="115"/>
      <c r="DB282" s="115"/>
      <c r="DC282" s="114"/>
      <c r="DD282" s="115"/>
      <c r="DE282" s="97"/>
      <c r="DF282" s="269"/>
    </row>
    <row r="283" spans="1:110" s="270" customFormat="1" ht="22.5" x14ac:dyDescent="0.2">
      <c r="A283" s="89">
        <v>40623</v>
      </c>
      <c r="B283" s="90" t="s">
        <v>4219</v>
      </c>
      <c r="C283" s="90" t="s">
        <v>4382</v>
      </c>
      <c r="D283" s="90" t="s">
        <v>4298</v>
      </c>
      <c r="E283" s="90" t="str">
        <f>VLOOKUP(B283&amp;C283,Divipola!$C$2:$F$1138,4,FALSE)</f>
        <v>41807</v>
      </c>
      <c r="F283" s="90"/>
      <c r="G283" s="101"/>
      <c r="H283" s="101"/>
      <c r="I283" s="101"/>
      <c r="J283" s="101">
        <v>5</v>
      </c>
      <c r="K283" s="101">
        <v>1</v>
      </c>
      <c r="L283" s="101">
        <v>1</v>
      </c>
      <c r="M283" s="101"/>
      <c r="N283" s="101"/>
      <c r="O283" s="101"/>
      <c r="P283" s="101"/>
      <c r="Q283" s="101"/>
      <c r="R283" s="101"/>
      <c r="S283" s="101"/>
      <c r="T283" s="101"/>
      <c r="U283" s="101"/>
      <c r="V283" s="101"/>
      <c r="W283" s="91"/>
      <c r="X283" s="89"/>
      <c r="Y283" s="92">
        <f t="shared" si="24"/>
        <v>0</v>
      </c>
      <c r="Z283" s="92">
        <f t="shared" si="25"/>
        <v>0</v>
      </c>
      <c r="AA283" s="92">
        <f t="shared" si="26"/>
        <v>0</v>
      </c>
      <c r="AB283" s="92">
        <f t="shared" si="27"/>
        <v>0</v>
      </c>
      <c r="AC283" s="92"/>
      <c r="AD283" s="92">
        <v>0</v>
      </c>
      <c r="AE283" s="92">
        <f t="shared" si="28"/>
        <v>0</v>
      </c>
      <c r="AF283" s="93">
        <v>0</v>
      </c>
      <c r="AG283" s="89">
        <v>40625</v>
      </c>
      <c r="AH283" s="94"/>
      <c r="AI283" s="95" t="s">
        <v>4336</v>
      </c>
      <c r="AJ283" s="96" t="s">
        <v>4337</v>
      </c>
      <c r="AK283" s="97"/>
      <c r="AL283" s="89"/>
      <c r="AM283" s="100" t="s">
        <v>4398</v>
      </c>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114"/>
      <c r="CQ283" s="115"/>
      <c r="CR283" s="114"/>
      <c r="CS283" s="115"/>
      <c r="CT283" s="114"/>
      <c r="CU283" s="115"/>
      <c r="CV283" s="99">
        <f t="shared" si="29"/>
        <v>0</v>
      </c>
      <c r="CW283" s="114"/>
      <c r="CX283" s="115"/>
      <c r="CY283" s="114"/>
      <c r="CZ283" s="115"/>
      <c r="DA283" s="115"/>
      <c r="DB283" s="115"/>
      <c r="DC283" s="114"/>
      <c r="DD283" s="115"/>
      <c r="DE283" s="97"/>
      <c r="DF283" s="269"/>
    </row>
    <row r="284" spans="1:110" s="270" customFormat="1" ht="36" x14ac:dyDescent="0.2">
      <c r="A284" s="89">
        <v>40623</v>
      </c>
      <c r="B284" s="90" t="s">
        <v>4350</v>
      </c>
      <c r="C284" s="90" t="s">
        <v>797</v>
      </c>
      <c r="D284" s="90" t="s">
        <v>2860</v>
      </c>
      <c r="E284" s="90" t="str">
        <f>VLOOKUP(B284&amp;C284,Divipola!$C$2:$F$1138,4,FALSE)</f>
        <v>63272</v>
      </c>
      <c r="F284" s="90"/>
      <c r="G284" s="101">
        <v>1</v>
      </c>
      <c r="H284" s="101"/>
      <c r="I284" s="101"/>
      <c r="J284" s="101"/>
      <c r="K284" s="101"/>
      <c r="L284" s="101"/>
      <c r="M284" s="101"/>
      <c r="N284" s="101"/>
      <c r="O284" s="101"/>
      <c r="P284" s="101"/>
      <c r="Q284" s="101"/>
      <c r="R284" s="101"/>
      <c r="S284" s="101"/>
      <c r="T284" s="101"/>
      <c r="U284" s="101"/>
      <c r="V284" s="101"/>
      <c r="W284" s="91"/>
      <c r="X284" s="89"/>
      <c r="Y284" s="92">
        <f t="shared" si="24"/>
        <v>0</v>
      </c>
      <c r="Z284" s="92">
        <f t="shared" si="25"/>
        <v>0</v>
      </c>
      <c r="AA284" s="92">
        <f t="shared" si="26"/>
        <v>0</v>
      </c>
      <c r="AB284" s="92">
        <f t="shared" si="27"/>
        <v>0</v>
      </c>
      <c r="AC284" s="92"/>
      <c r="AD284" s="92">
        <v>0</v>
      </c>
      <c r="AE284" s="92">
        <f t="shared" si="28"/>
        <v>0</v>
      </c>
      <c r="AF284" s="93">
        <v>0</v>
      </c>
      <c r="AG284" s="89">
        <v>40625</v>
      </c>
      <c r="AH284" s="94"/>
      <c r="AI284" s="95" t="s">
        <v>4336</v>
      </c>
      <c r="AJ284" s="96" t="s">
        <v>4337</v>
      </c>
      <c r="AK284" s="97"/>
      <c r="AL284" s="89"/>
      <c r="AM284" s="100" t="s">
        <v>4400</v>
      </c>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114"/>
      <c r="CQ284" s="115"/>
      <c r="CR284" s="114"/>
      <c r="CS284" s="115"/>
      <c r="CT284" s="114"/>
      <c r="CU284" s="115"/>
      <c r="CV284" s="99">
        <f t="shared" si="29"/>
        <v>0</v>
      </c>
      <c r="CW284" s="114"/>
      <c r="CX284" s="115"/>
      <c r="CY284" s="114"/>
      <c r="CZ284" s="115"/>
      <c r="DA284" s="115"/>
      <c r="DB284" s="115"/>
      <c r="DC284" s="114"/>
      <c r="DD284" s="115"/>
      <c r="DE284" s="97"/>
      <c r="DF284" s="269"/>
    </row>
    <row r="285" spans="1:110" s="270" customFormat="1" ht="24" x14ac:dyDescent="0.2">
      <c r="A285" s="89">
        <v>40624</v>
      </c>
      <c r="B285" s="90" t="s">
        <v>4261</v>
      </c>
      <c r="C285" s="90" t="s">
        <v>1244</v>
      </c>
      <c r="D285" s="90" t="s">
        <v>4264</v>
      </c>
      <c r="E285" s="90" t="str">
        <f>VLOOKUP(B285&amp;C285,Divipola!$C$2:$F$1138,4,FALSE)</f>
        <v>15522</v>
      </c>
      <c r="F285" s="4"/>
      <c r="G285" s="274"/>
      <c r="H285" s="274"/>
      <c r="I285" s="274"/>
      <c r="J285" s="124">
        <v>480</v>
      </c>
      <c r="K285" s="124">
        <v>96</v>
      </c>
      <c r="L285" s="124"/>
      <c r="M285" s="124"/>
      <c r="N285" s="208"/>
      <c r="O285" s="208"/>
      <c r="P285" s="208"/>
      <c r="Q285" s="208"/>
      <c r="R285" s="208"/>
      <c r="S285" s="208"/>
      <c r="T285" s="208"/>
      <c r="U285" s="208"/>
      <c r="V285" s="208"/>
      <c r="W285" s="19"/>
      <c r="X285" s="17"/>
      <c r="Y285" s="5">
        <f t="shared" si="24"/>
        <v>0</v>
      </c>
      <c r="Z285" s="5">
        <f t="shared" si="25"/>
        <v>0</v>
      </c>
      <c r="AA285" s="5">
        <f t="shared" si="26"/>
        <v>0</v>
      </c>
      <c r="AB285" s="5">
        <f t="shared" si="27"/>
        <v>0</v>
      </c>
      <c r="AC285" s="5"/>
      <c r="AD285" s="5">
        <v>0</v>
      </c>
      <c r="AE285" s="5">
        <f t="shared" si="28"/>
        <v>0</v>
      </c>
      <c r="AF285" s="70">
        <v>0</v>
      </c>
      <c r="AG285" s="17"/>
      <c r="AH285" s="18"/>
      <c r="AI285" s="47" t="s">
        <v>4336</v>
      </c>
      <c r="AJ285" s="73" t="s">
        <v>4337</v>
      </c>
      <c r="AK285" s="275"/>
      <c r="AL285" s="276"/>
      <c r="AM285" s="100" t="s">
        <v>4439</v>
      </c>
      <c r="AN285" s="19"/>
      <c r="AO285" s="19"/>
      <c r="AP285" s="19"/>
      <c r="AQ285" s="19"/>
      <c r="AR285" s="19"/>
      <c r="AS285" s="19"/>
      <c r="AT285" s="19"/>
      <c r="AU285" s="19"/>
      <c r="AV285" s="19"/>
      <c r="AW285" s="19"/>
      <c r="AX285" s="107"/>
      <c r="AY285" s="107"/>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39"/>
      <c r="CO285" s="138"/>
      <c r="CP285" s="139"/>
      <c r="CQ285" s="138"/>
      <c r="CR285" s="139"/>
      <c r="CS285" s="138"/>
      <c r="CT285" s="72"/>
      <c r="CU285" s="139"/>
      <c r="CV285" s="99">
        <f t="shared" si="29"/>
        <v>0</v>
      </c>
      <c r="CW285" s="139"/>
      <c r="CX285" s="138"/>
      <c r="CY285" s="138"/>
      <c r="CZ285" s="138"/>
      <c r="DA285" s="139"/>
      <c r="DB285" s="138"/>
      <c r="DC285" s="45"/>
      <c r="DD285" s="138"/>
      <c r="DE285" s="45"/>
      <c r="DF285" s="269"/>
    </row>
    <row r="286" spans="1:110" s="270" customFormat="1" ht="24" x14ac:dyDescent="0.2">
      <c r="A286" s="89">
        <v>40624</v>
      </c>
      <c r="B286" s="90" t="s">
        <v>4219</v>
      </c>
      <c r="C286" s="90" t="s">
        <v>2249</v>
      </c>
      <c r="D286" s="90" t="s">
        <v>4264</v>
      </c>
      <c r="E286" s="90" t="str">
        <f>VLOOKUP(B286&amp;C286,Divipola!$C$2:$F$1138,4,FALSE)</f>
        <v>41770</v>
      </c>
      <c r="F286" s="90"/>
      <c r="G286" s="101"/>
      <c r="H286" s="101"/>
      <c r="I286" s="101"/>
      <c r="J286" s="101">
        <v>15</v>
      </c>
      <c r="K286" s="101">
        <v>3</v>
      </c>
      <c r="L286" s="101"/>
      <c r="M286" s="101">
        <v>3</v>
      </c>
      <c r="N286" s="101"/>
      <c r="O286" s="101"/>
      <c r="P286" s="101"/>
      <c r="Q286" s="101"/>
      <c r="R286" s="101"/>
      <c r="S286" s="101"/>
      <c r="T286" s="101"/>
      <c r="U286" s="101"/>
      <c r="V286" s="101"/>
      <c r="W286" s="91"/>
      <c r="X286" s="89"/>
      <c r="Y286" s="92">
        <f t="shared" si="24"/>
        <v>0</v>
      </c>
      <c r="Z286" s="92">
        <f t="shared" si="25"/>
        <v>0</v>
      </c>
      <c r="AA286" s="92">
        <f t="shared" si="26"/>
        <v>0</v>
      </c>
      <c r="AB286" s="92">
        <f t="shared" si="27"/>
        <v>0</v>
      </c>
      <c r="AC286" s="92"/>
      <c r="AD286" s="92">
        <v>0</v>
      </c>
      <c r="AE286" s="92">
        <f t="shared" si="28"/>
        <v>0</v>
      </c>
      <c r="AF286" s="93">
        <v>0</v>
      </c>
      <c r="AG286" s="89">
        <v>40625</v>
      </c>
      <c r="AH286" s="94"/>
      <c r="AI286" s="95" t="s">
        <v>4336</v>
      </c>
      <c r="AJ286" s="96" t="s">
        <v>4337</v>
      </c>
      <c r="AK286" s="97"/>
      <c r="AL286" s="89"/>
      <c r="AM286" s="100" t="s">
        <v>4397</v>
      </c>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114"/>
      <c r="CQ286" s="115"/>
      <c r="CR286" s="114"/>
      <c r="CS286" s="115"/>
      <c r="CT286" s="114"/>
      <c r="CU286" s="115"/>
      <c r="CV286" s="99">
        <f t="shared" si="29"/>
        <v>0</v>
      </c>
      <c r="CW286" s="114"/>
      <c r="CX286" s="115"/>
      <c r="CY286" s="114"/>
      <c r="CZ286" s="115"/>
      <c r="DA286" s="115"/>
      <c r="DB286" s="115"/>
      <c r="DC286" s="114"/>
      <c r="DD286" s="115"/>
      <c r="DE286" s="97"/>
      <c r="DF286" s="269"/>
    </row>
    <row r="287" spans="1:110" s="270" customFormat="1" ht="22.5" x14ac:dyDescent="0.2">
      <c r="A287" s="89">
        <v>40624</v>
      </c>
      <c r="B287" s="90" t="s">
        <v>4348</v>
      </c>
      <c r="C287" s="90" t="s">
        <v>4313</v>
      </c>
      <c r="D287" s="90" t="s">
        <v>2362</v>
      </c>
      <c r="E287" s="90" t="str">
        <f>VLOOKUP(B287&amp;C287,Divipola!$C$2:$F$1138,4,FALSE)</f>
        <v>66318</v>
      </c>
      <c r="F287" s="101"/>
      <c r="G287" s="101"/>
      <c r="H287" s="101"/>
      <c r="I287" s="101"/>
      <c r="J287" s="101">
        <v>50</v>
      </c>
      <c r="K287" s="101">
        <v>10</v>
      </c>
      <c r="L287" s="101">
        <v>1</v>
      </c>
      <c r="M287" s="101">
        <v>9</v>
      </c>
      <c r="N287" s="101"/>
      <c r="O287" s="101"/>
      <c r="P287" s="101"/>
      <c r="Q287" s="101"/>
      <c r="R287" s="101"/>
      <c r="S287" s="101"/>
      <c r="T287" s="101"/>
      <c r="U287" s="91"/>
      <c r="V287" s="89"/>
      <c r="W287" s="92" t="s">
        <v>878</v>
      </c>
      <c r="X287" s="92"/>
      <c r="Y287" s="92">
        <f t="shared" si="24"/>
        <v>0</v>
      </c>
      <c r="Z287" s="92">
        <f t="shared" si="25"/>
        <v>0</v>
      </c>
      <c r="AA287" s="92">
        <f t="shared" si="26"/>
        <v>0</v>
      </c>
      <c r="AB287" s="92">
        <f t="shared" si="27"/>
        <v>0</v>
      </c>
      <c r="AC287" s="92"/>
      <c r="AD287" s="92">
        <v>0</v>
      </c>
      <c r="AE287" s="92">
        <f t="shared" si="28"/>
        <v>0</v>
      </c>
      <c r="AF287" s="93">
        <v>0</v>
      </c>
      <c r="AG287" s="89"/>
      <c r="AH287" s="96"/>
      <c r="AI287" s="102" t="s">
        <v>4336</v>
      </c>
      <c r="AJ287" s="96" t="s">
        <v>4337</v>
      </c>
      <c r="AK287" s="100"/>
      <c r="AL287" s="89"/>
      <c r="AM287" s="90" t="s">
        <v>884</v>
      </c>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114"/>
      <c r="CQ287" s="115"/>
      <c r="CR287" s="114"/>
      <c r="CS287" s="115"/>
      <c r="CT287" s="114"/>
      <c r="CU287" s="115"/>
      <c r="CV287" s="99">
        <f t="shared" si="29"/>
        <v>0</v>
      </c>
      <c r="CW287" s="114"/>
      <c r="CX287" s="115"/>
      <c r="CY287" s="114"/>
      <c r="CZ287" s="115"/>
      <c r="DA287" s="115"/>
      <c r="DB287" s="115"/>
      <c r="DC287" s="114"/>
      <c r="DD287" s="115"/>
      <c r="DE287" s="97"/>
      <c r="DF287" s="269"/>
    </row>
    <row r="288" spans="1:110" s="270" customFormat="1" ht="48" x14ac:dyDescent="0.2">
      <c r="A288" s="89">
        <v>40625</v>
      </c>
      <c r="B288" s="90" t="s">
        <v>4261</v>
      </c>
      <c r="C288" s="90" t="s">
        <v>3248</v>
      </c>
      <c r="D288" s="90" t="s">
        <v>3311</v>
      </c>
      <c r="E288" s="90" t="str">
        <f>VLOOKUP(B288&amp;C288,Divipola!$C$2:$F$1138,4,FALSE)</f>
        <v>15646</v>
      </c>
      <c r="F288" s="90"/>
      <c r="G288" s="101"/>
      <c r="H288" s="101">
        <v>4</v>
      </c>
      <c r="I288" s="101"/>
      <c r="J288" s="101"/>
      <c r="K288" s="101"/>
      <c r="L288" s="101"/>
      <c r="M288" s="101"/>
      <c r="N288" s="101"/>
      <c r="O288" s="101"/>
      <c r="P288" s="101"/>
      <c r="Q288" s="101"/>
      <c r="R288" s="101"/>
      <c r="S288" s="101"/>
      <c r="T288" s="101"/>
      <c r="U288" s="101"/>
      <c r="V288" s="101"/>
      <c r="W288" s="91"/>
      <c r="X288" s="89"/>
      <c r="Y288" s="92">
        <f t="shared" si="24"/>
        <v>0</v>
      </c>
      <c r="Z288" s="92">
        <f t="shared" si="25"/>
        <v>0</v>
      </c>
      <c r="AA288" s="92">
        <f t="shared" si="26"/>
        <v>0</v>
      </c>
      <c r="AB288" s="92">
        <f t="shared" si="27"/>
        <v>0</v>
      </c>
      <c r="AC288" s="92"/>
      <c r="AD288" s="92">
        <v>0</v>
      </c>
      <c r="AE288" s="92">
        <f t="shared" si="28"/>
        <v>0</v>
      </c>
      <c r="AF288" s="93">
        <v>0</v>
      </c>
      <c r="AG288" s="89">
        <v>40625</v>
      </c>
      <c r="AH288" s="94"/>
      <c r="AI288" s="102" t="s">
        <v>4336</v>
      </c>
      <c r="AJ288" s="96" t="s">
        <v>4337</v>
      </c>
      <c r="AK288" s="97"/>
      <c r="AL288" s="89"/>
      <c r="AM288" s="100" t="s">
        <v>2187</v>
      </c>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114"/>
      <c r="CQ288" s="115"/>
      <c r="CR288" s="114"/>
      <c r="CS288" s="115"/>
      <c r="CT288" s="114"/>
      <c r="CU288" s="115"/>
      <c r="CV288" s="99">
        <f t="shared" si="29"/>
        <v>0</v>
      </c>
      <c r="CW288" s="114"/>
      <c r="CX288" s="115"/>
      <c r="CY288" s="114"/>
      <c r="CZ288" s="115"/>
      <c r="DA288" s="115"/>
      <c r="DB288" s="115"/>
      <c r="DC288" s="114"/>
      <c r="DD288" s="115"/>
      <c r="DE288" s="97"/>
      <c r="DF288" s="269"/>
    </row>
    <row r="289" spans="1:110" s="270" customFormat="1" ht="24" x14ac:dyDescent="0.2">
      <c r="A289" s="89">
        <v>40625</v>
      </c>
      <c r="B289" s="90" t="s">
        <v>4344</v>
      </c>
      <c r="C289" s="90" t="s">
        <v>2277</v>
      </c>
      <c r="D289" s="90" t="s">
        <v>4264</v>
      </c>
      <c r="E289" s="90" t="str">
        <f>VLOOKUP(B289&amp;C289,Divipola!$C$2:$F$1138,4,FALSE)</f>
        <v>25658</v>
      </c>
      <c r="F289" s="90"/>
      <c r="G289" s="101"/>
      <c r="H289" s="101"/>
      <c r="I289" s="101"/>
      <c r="J289" s="101">
        <v>10</v>
      </c>
      <c r="K289" s="101">
        <v>3</v>
      </c>
      <c r="L289" s="101"/>
      <c r="M289" s="101">
        <v>3</v>
      </c>
      <c r="N289" s="101"/>
      <c r="O289" s="101"/>
      <c r="P289" s="101"/>
      <c r="Q289" s="101"/>
      <c r="R289" s="101"/>
      <c r="S289" s="101"/>
      <c r="T289" s="101"/>
      <c r="U289" s="101"/>
      <c r="V289" s="101"/>
      <c r="W289" s="91"/>
      <c r="X289" s="89"/>
      <c r="Y289" s="92">
        <f t="shared" si="24"/>
        <v>0</v>
      </c>
      <c r="Z289" s="92">
        <f t="shared" si="25"/>
        <v>0</v>
      </c>
      <c r="AA289" s="92">
        <f t="shared" si="26"/>
        <v>0</v>
      </c>
      <c r="AB289" s="92">
        <f t="shared" si="27"/>
        <v>0</v>
      </c>
      <c r="AC289" s="92"/>
      <c r="AD289" s="92">
        <v>0</v>
      </c>
      <c r="AE289" s="92">
        <f t="shared" si="28"/>
        <v>0</v>
      </c>
      <c r="AF289" s="93">
        <v>0</v>
      </c>
      <c r="AG289" s="89">
        <v>40630</v>
      </c>
      <c r="AH289" s="94"/>
      <c r="AI289" s="102" t="s">
        <v>4336</v>
      </c>
      <c r="AJ289" s="96" t="s">
        <v>4337</v>
      </c>
      <c r="AK289" s="97"/>
      <c r="AL289" s="89"/>
      <c r="AM289" s="100" t="s">
        <v>979</v>
      </c>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114"/>
      <c r="CQ289" s="115"/>
      <c r="CR289" s="114"/>
      <c r="CS289" s="115"/>
      <c r="CT289" s="114"/>
      <c r="CU289" s="115"/>
      <c r="CV289" s="99">
        <f t="shared" si="29"/>
        <v>0</v>
      </c>
      <c r="CW289" s="114"/>
      <c r="CX289" s="115"/>
      <c r="CY289" s="114"/>
      <c r="CZ289" s="115"/>
      <c r="DA289" s="115"/>
      <c r="DB289" s="115"/>
      <c r="DC289" s="114"/>
      <c r="DD289" s="115"/>
      <c r="DE289" s="97"/>
      <c r="DF289" s="269"/>
    </row>
    <row r="290" spans="1:110" s="270" customFormat="1" x14ac:dyDescent="0.2">
      <c r="A290" s="89">
        <v>40625</v>
      </c>
      <c r="B290" s="90" t="s">
        <v>4219</v>
      </c>
      <c r="C290" s="90" t="s">
        <v>3351</v>
      </c>
      <c r="D290" s="90" t="s">
        <v>2362</v>
      </c>
      <c r="E290" s="90" t="str">
        <f>VLOOKUP(B290&amp;C290,Divipola!$C$2:$F$1138,4,FALSE)</f>
        <v>41349</v>
      </c>
      <c r="F290" s="90"/>
      <c r="G290" s="101"/>
      <c r="H290" s="101"/>
      <c r="I290" s="101"/>
      <c r="J290" s="101">
        <f>15*5</f>
        <v>75</v>
      </c>
      <c r="K290" s="101">
        <v>15</v>
      </c>
      <c r="L290" s="101"/>
      <c r="M290" s="101"/>
      <c r="N290" s="101"/>
      <c r="O290" s="101"/>
      <c r="P290" s="101"/>
      <c r="Q290" s="101"/>
      <c r="R290" s="101"/>
      <c r="S290" s="101"/>
      <c r="T290" s="101"/>
      <c r="U290" s="101"/>
      <c r="V290" s="101"/>
      <c r="W290" s="91" t="s">
        <v>3337</v>
      </c>
      <c r="X290" s="89"/>
      <c r="Y290" s="92">
        <f t="shared" si="24"/>
        <v>0</v>
      </c>
      <c r="Z290" s="92">
        <f t="shared" si="25"/>
        <v>0</v>
      </c>
      <c r="AA290" s="92">
        <f t="shared" si="26"/>
        <v>0</v>
      </c>
      <c r="AB290" s="92">
        <f t="shared" si="27"/>
        <v>0</v>
      </c>
      <c r="AC290" s="92"/>
      <c r="AD290" s="92">
        <v>0</v>
      </c>
      <c r="AE290" s="92">
        <f t="shared" si="28"/>
        <v>0</v>
      </c>
      <c r="AF290" s="93">
        <v>0</v>
      </c>
      <c r="AG290" s="89">
        <v>40625</v>
      </c>
      <c r="AH290" s="94"/>
      <c r="AI290" s="95" t="s">
        <v>4336</v>
      </c>
      <c r="AJ290" s="96" t="s">
        <v>4337</v>
      </c>
      <c r="AK290" s="97"/>
      <c r="AL290" s="89"/>
      <c r="AM290" s="100" t="s">
        <v>2188</v>
      </c>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114"/>
      <c r="CQ290" s="115"/>
      <c r="CR290" s="114"/>
      <c r="CS290" s="115"/>
      <c r="CT290" s="114"/>
      <c r="CU290" s="115"/>
      <c r="CV290" s="99">
        <f t="shared" si="29"/>
        <v>0</v>
      </c>
      <c r="CW290" s="114"/>
      <c r="CX290" s="115"/>
      <c r="CY290" s="114"/>
      <c r="CZ290" s="115"/>
      <c r="DA290" s="115"/>
      <c r="DB290" s="115"/>
      <c r="DC290" s="114"/>
      <c r="DD290" s="115"/>
      <c r="DE290" s="97"/>
      <c r="DF290" s="269"/>
    </row>
    <row r="291" spans="1:110" s="270" customFormat="1" ht="36" x14ac:dyDescent="0.2">
      <c r="A291" s="89">
        <v>40625</v>
      </c>
      <c r="B291" s="90" t="s">
        <v>4219</v>
      </c>
      <c r="C291" s="90" t="s">
        <v>3503</v>
      </c>
      <c r="D291" s="90" t="s">
        <v>4264</v>
      </c>
      <c r="E291" s="90" t="str">
        <f>VLOOKUP(B291&amp;C291,Divipola!$C$2:$F$1138,4,FALSE)</f>
        <v>41001</v>
      </c>
      <c r="F291" s="90"/>
      <c r="G291" s="101"/>
      <c r="H291" s="101"/>
      <c r="I291" s="101"/>
      <c r="J291" s="101">
        <f>820+89</f>
        <v>909</v>
      </c>
      <c r="K291" s="101">
        <v>202</v>
      </c>
      <c r="L291" s="101"/>
      <c r="M291" s="101">
        <v>202</v>
      </c>
      <c r="N291" s="101"/>
      <c r="O291" s="101"/>
      <c r="P291" s="101"/>
      <c r="Q291" s="101"/>
      <c r="R291" s="101"/>
      <c r="S291" s="101"/>
      <c r="T291" s="101"/>
      <c r="U291" s="101"/>
      <c r="V291" s="101"/>
      <c r="W291" s="91"/>
      <c r="X291" s="89"/>
      <c r="Y291" s="92">
        <f t="shared" si="24"/>
        <v>0</v>
      </c>
      <c r="Z291" s="92">
        <f t="shared" si="25"/>
        <v>0</v>
      </c>
      <c r="AA291" s="92">
        <f t="shared" si="26"/>
        <v>0</v>
      </c>
      <c r="AB291" s="92">
        <f t="shared" si="27"/>
        <v>0</v>
      </c>
      <c r="AC291" s="92"/>
      <c r="AD291" s="92">
        <v>0</v>
      </c>
      <c r="AE291" s="92">
        <f t="shared" si="28"/>
        <v>0</v>
      </c>
      <c r="AF291" s="93">
        <v>0</v>
      </c>
      <c r="AG291" s="89">
        <v>40625</v>
      </c>
      <c r="AH291" s="94"/>
      <c r="AI291" s="95" t="s">
        <v>4336</v>
      </c>
      <c r="AJ291" s="96" t="s">
        <v>4337</v>
      </c>
      <c r="AK291" s="97"/>
      <c r="AL291" s="89"/>
      <c r="AM291" s="100" t="s">
        <v>2189</v>
      </c>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114"/>
      <c r="CQ291" s="115"/>
      <c r="CR291" s="114"/>
      <c r="CS291" s="115"/>
      <c r="CT291" s="114"/>
      <c r="CU291" s="115"/>
      <c r="CV291" s="99">
        <f t="shared" si="29"/>
        <v>0</v>
      </c>
      <c r="CW291" s="114"/>
      <c r="CX291" s="115"/>
      <c r="CY291" s="114"/>
      <c r="CZ291" s="115"/>
      <c r="DA291" s="115"/>
      <c r="DB291" s="115"/>
      <c r="DC291" s="114"/>
      <c r="DD291" s="115"/>
      <c r="DE291" s="97"/>
      <c r="DF291" s="269"/>
    </row>
    <row r="292" spans="1:110" s="270" customFormat="1" ht="22.5" x14ac:dyDescent="0.2">
      <c r="A292" s="89">
        <v>40625</v>
      </c>
      <c r="B292" s="90" t="s">
        <v>4221</v>
      </c>
      <c r="C292" s="90" t="s">
        <v>3357</v>
      </c>
      <c r="D292" s="90" t="s">
        <v>2362</v>
      </c>
      <c r="E292" s="90" t="str">
        <f>VLOOKUP(B292&amp;C292,Divipola!$C$2:$F$1138,4,FALSE)</f>
        <v>54518</v>
      </c>
      <c r="F292" s="90"/>
      <c r="G292" s="101">
        <v>1</v>
      </c>
      <c r="H292" s="101"/>
      <c r="I292" s="101"/>
      <c r="J292" s="101"/>
      <c r="K292" s="101"/>
      <c r="L292" s="101"/>
      <c r="M292" s="101"/>
      <c r="N292" s="101"/>
      <c r="O292" s="101"/>
      <c r="P292" s="101"/>
      <c r="Q292" s="101"/>
      <c r="R292" s="101"/>
      <c r="S292" s="101"/>
      <c r="T292" s="101"/>
      <c r="U292" s="101"/>
      <c r="V292" s="101"/>
      <c r="W292" s="91"/>
      <c r="X292" s="89"/>
      <c r="Y292" s="92">
        <f t="shared" si="24"/>
        <v>0</v>
      </c>
      <c r="Z292" s="92">
        <f t="shared" si="25"/>
        <v>0</v>
      </c>
      <c r="AA292" s="92">
        <f t="shared" si="26"/>
        <v>0</v>
      </c>
      <c r="AB292" s="92">
        <f t="shared" si="27"/>
        <v>0</v>
      </c>
      <c r="AC292" s="92"/>
      <c r="AD292" s="92">
        <v>0</v>
      </c>
      <c r="AE292" s="92">
        <f t="shared" si="28"/>
        <v>0</v>
      </c>
      <c r="AF292" s="93">
        <v>0</v>
      </c>
      <c r="AG292" s="89"/>
      <c r="AH292" s="94"/>
      <c r="AI292" s="102" t="s">
        <v>4336</v>
      </c>
      <c r="AJ292" s="96" t="s">
        <v>4337</v>
      </c>
      <c r="AK292" s="97"/>
      <c r="AL292" s="89"/>
      <c r="AM292" s="100" t="s">
        <v>2392</v>
      </c>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114"/>
      <c r="CQ292" s="115"/>
      <c r="CR292" s="114"/>
      <c r="CS292" s="115"/>
      <c r="CT292" s="114"/>
      <c r="CU292" s="115"/>
      <c r="CV292" s="99">
        <f t="shared" si="29"/>
        <v>0</v>
      </c>
      <c r="CW292" s="114"/>
      <c r="CX292" s="115"/>
      <c r="CY292" s="114"/>
      <c r="CZ292" s="115"/>
      <c r="DA292" s="115"/>
      <c r="DB292" s="115"/>
      <c r="DC292" s="114"/>
      <c r="DD292" s="115"/>
      <c r="DE292" s="97"/>
      <c r="DF292" s="269"/>
    </row>
    <row r="293" spans="1:110" s="270" customFormat="1" x14ac:dyDescent="0.2">
      <c r="A293" s="89">
        <v>40625</v>
      </c>
      <c r="B293" s="90" t="s">
        <v>4348</v>
      </c>
      <c r="C293" s="90" t="s">
        <v>3342</v>
      </c>
      <c r="D293" s="90" t="s">
        <v>4264</v>
      </c>
      <c r="E293" s="90" t="str">
        <f>VLOOKUP(B293&amp;C293,Divipola!$C$2:$F$1138,4,FALSE)</f>
        <v>66383</v>
      </c>
      <c r="F293" s="101"/>
      <c r="G293" s="101"/>
      <c r="H293" s="101"/>
      <c r="I293" s="101"/>
      <c r="J293" s="101">
        <v>225</v>
      </c>
      <c r="K293" s="101">
        <v>60</v>
      </c>
      <c r="L293" s="101"/>
      <c r="M293" s="101">
        <v>45</v>
      </c>
      <c r="N293" s="101"/>
      <c r="O293" s="101"/>
      <c r="P293" s="101"/>
      <c r="Q293" s="101"/>
      <c r="R293" s="101"/>
      <c r="S293" s="101"/>
      <c r="T293" s="101"/>
      <c r="U293" s="91"/>
      <c r="V293" s="89"/>
      <c r="W293" s="92"/>
      <c r="X293" s="92"/>
      <c r="Y293" s="92">
        <f t="shared" si="24"/>
        <v>0</v>
      </c>
      <c r="Z293" s="92">
        <f t="shared" si="25"/>
        <v>0</v>
      </c>
      <c r="AA293" s="92">
        <f t="shared" si="26"/>
        <v>0</v>
      </c>
      <c r="AB293" s="92">
        <f t="shared" si="27"/>
        <v>0</v>
      </c>
      <c r="AC293" s="92"/>
      <c r="AD293" s="92">
        <v>0</v>
      </c>
      <c r="AE293" s="92">
        <f t="shared" si="28"/>
        <v>0</v>
      </c>
      <c r="AF293" s="93">
        <v>0</v>
      </c>
      <c r="AG293" s="89"/>
      <c r="AH293" s="96"/>
      <c r="AI293" s="102" t="s">
        <v>4336</v>
      </c>
      <c r="AJ293" s="96" t="s">
        <v>4337</v>
      </c>
      <c r="AK293" s="100"/>
      <c r="AL293" s="89"/>
      <c r="AM293" s="90" t="s">
        <v>249</v>
      </c>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114"/>
      <c r="CQ293" s="115"/>
      <c r="CR293" s="114"/>
      <c r="CS293" s="115"/>
      <c r="CT293" s="114"/>
      <c r="CU293" s="115"/>
      <c r="CV293" s="99">
        <f t="shared" si="29"/>
        <v>0</v>
      </c>
      <c r="CW293" s="114"/>
      <c r="CX293" s="115"/>
      <c r="CY293" s="114"/>
      <c r="CZ293" s="115"/>
      <c r="DA293" s="115"/>
      <c r="DB293" s="115"/>
      <c r="DC293" s="114"/>
      <c r="DD293" s="115"/>
      <c r="DE293" s="97"/>
      <c r="DF293" s="269"/>
    </row>
    <row r="294" spans="1:110" s="270" customFormat="1" ht="33.75" x14ac:dyDescent="0.2">
      <c r="A294" s="89">
        <v>40625</v>
      </c>
      <c r="B294" s="90" t="s">
        <v>4348</v>
      </c>
      <c r="C294" s="90" t="s">
        <v>1957</v>
      </c>
      <c r="D294" s="90" t="s">
        <v>2362</v>
      </c>
      <c r="E294" s="90" t="str">
        <f>VLOOKUP(B294&amp;C294,Divipola!$C$2:$F$1138,4,FALSE)</f>
        <v>66572</v>
      </c>
      <c r="F294" s="101"/>
      <c r="G294" s="101"/>
      <c r="H294" s="101"/>
      <c r="I294" s="101"/>
      <c r="J294" s="101">
        <v>300</v>
      </c>
      <c r="K294" s="101">
        <v>60</v>
      </c>
      <c r="L294" s="101">
        <v>1</v>
      </c>
      <c r="M294" s="101">
        <v>46</v>
      </c>
      <c r="N294" s="101">
        <v>1</v>
      </c>
      <c r="O294" s="101">
        <v>1</v>
      </c>
      <c r="P294" s="101"/>
      <c r="Q294" s="101"/>
      <c r="R294" s="101"/>
      <c r="S294" s="101"/>
      <c r="T294" s="101"/>
      <c r="U294" s="91"/>
      <c r="V294" s="89"/>
      <c r="W294" s="92" t="s">
        <v>878</v>
      </c>
      <c r="X294" s="92"/>
      <c r="Y294" s="92">
        <f t="shared" si="24"/>
        <v>0</v>
      </c>
      <c r="Z294" s="92">
        <f t="shared" si="25"/>
        <v>0</v>
      </c>
      <c r="AA294" s="92">
        <f t="shared" si="26"/>
        <v>0</v>
      </c>
      <c r="AB294" s="92">
        <f t="shared" si="27"/>
        <v>0</v>
      </c>
      <c r="AC294" s="92"/>
      <c r="AD294" s="92">
        <v>0</v>
      </c>
      <c r="AE294" s="92">
        <f t="shared" si="28"/>
        <v>0</v>
      </c>
      <c r="AF294" s="93">
        <v>0</v>
      </c>
      <c r="AG294" s="89"/>
      <c r="AH294" s="96"/>
      <c r="AI294" s="102" t="s">
        <v>4336</v>
      </c>
      <c r="AJ294" s="96" t="s">
        <v>4337</v>
      </c>
      <c r="AK294" s="100"/>
      <c r="AL294" s="89"/>
      <c r="AM294" s="90" t="s">
        <v>889</v>
      </c>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114"/>
      <c r="CQ294" s="115"/>
      <c r="CR294" s="114"/>
      <c r="CS294" s="115"/>
      <c r="CT294" s="114"/>
      <c r="CU294" s="115"/>
      <c r="CV294" s="99">
        <f t="shared" si="29"/>
        <v>0</v>
      </c>
      <c r="CW294" s="114"/>
      <c r="CX294" s="115"/>
      <c r="CY294" s="114"/>
      <c r="CZ294" s="115"/>
      <c r="DA294" s="115"/>
      <c r="DB294" s="115"/>
      <c r="DC294" s="114"/>
      <c r="DD294" s="115"/>
      <c r="DE294" s="97"/>
      <c r="DF294" s="269"/>
    </row>
    <row r="295" spans="1:110" s="270" customFormat="1" ht="24" x14ac:dyDescent="0.2">
      <c r="A295" s="89">
        <v>40625</v>
      </c>
      <c r="B295" s="90" t="s">
        <v>2226</v>
      </c>
      <c r="C295" s="90" t="s">
        <v>800</v>
      </c>
      <c r="D295" s="90" t="s">
        <v>4264</v>
      </c>
      <c r="E295" s="90" t="str">
        <f>VLOOKUP(B295&amp;C295,Divipola!$C$2:$F$1138,4,FALSE)</f>
        <v>68547</v>
      </c>
      <c r="F295" s="90"/>
      <c r="G295" s="101">
        <v>1</v>
      </c>
      <c r="H295" s="101"/>
      <c r="I295" s="101"/>
      <c r="J295" s="101"/>
      <c r="K295" s="101"/>
      <c r="L295" s="101"/>
      <c r="M295" s="101"/>
      <c r="N295" s="101"/>
      <c r="O295" s="101"/>
      <c r="P295" s="101"/>
      <c r="Q295" s="101"/>
      <c r="R295" s="101"/>
      <c r="S295" s="101"/>
      <c r="T295" s="101"/>
      <c r="U295" s="101"/>
      <c r="V295" s="101"/>
      <c r="W295" s="91"/>
      <c r="X295" s="89"/>
      <c r="Y295" s="92">
        <f t="shared" si="24"/>
        <v>0</v>
      </c>
      <c r="Z295" s="92">
        <f t="shared" si="25"/>
        <v>0</v>
      </c>
      <c r="AA295" s="92">
        <f t="shared" si="26"/>
        <v>0</v>
      </c>
      <c r="AB295" s="92">
        <f t="shared" si="27"/>
        <v>0</v>
      </c>
      <c r="AC295" s="92"/>
      <c r="AD295" s="92">
        <v>0</v>
      </c>
      <c r="AE295" s="92">
        <f t="shared" si="28"/>
        <v>0</v>
      </c>
      <c r="AF295" s="93">
        <v>0</v>
      </c>
      <c r="AG295" s="89">
        <v>40630</v>
      </c>
      <c r="AH295" s="94"/>
      <c r="AI295" s="95" t="s">
        <v>4336</v>
      </c>
      <c r="AJ295" s="96" t="s">
        <v>4337</v>
      </c>
      <c r="AK295" s="97"/>
      <c r="AL295" s="89"/>
      <c r="AM295" s="100" t="s">
        <v>2194</v>
      </c>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114"/>
      <c r="CQ295" s="115"/>
      <c r="CR295" s="114"/>
      <c r="CS295" s="115"/>
      <c r="CT295" s="114"/>
      <c r="CU295" s="115"/>
      <c r="CV295" s="99">
        <f t="shared" si="29"/>
        <v>0</v>
      </c>
      <c r="CW295" s="114"/>
      <c r="CX295" s="115"/>
      <c r="CY295" s="114"/>
      <c r="CZ295" s="115"/>
      <c r="DA295" s="115"/>
      <c r="DB295" s="115"/>
      <c r="DC295" s="114"/>
      <c r="DD295" s="115"/>
      <c r="DE295" s="97"/>
      <c r="DF295" s="269"/>
    </row>
    <row r="296" spans="1:110" s="270" customFormat="1" x14ac:dyDescent="0.2">
      <c r="A296" s="89">
        <v>40626</v>
      </c>
      <c r="B296" s="90" t="s">
        <v>2218</v>
      </c>
      <c r="C296" s="90" t="s">
        <v>3533</v>
      </c>
      <c r="D296" s="90" t="s">
        <v>2362</v>
      </c>
      <c r="E296" s="90" t="str">
        <f>VLOOKUP(B296&amp;C296,Divipola!$C$2:$F$1138,4,FALSE)</f>
        <v>05129</v>
      </c>
      <c r="F296" s="90"/>
      <c r="G296" s="101"/>
      <c r="H296" s="101"/>
      <c r="I296" s="101"/>
      <c r="J296" s="101">
        <v>52</v>
      </c>
      <c r="K296" s="101">
        <v>10</v>
      </c>
      <c r="L296" s="101">
        <v>3</v>
      </c>
      <c r="M296" s="101">
        <v>7</v>
      </c>
      <c r="N296" s="101"/>
      <c r="O296" s="101"/>
      <c r="P296" s="101"/>
      <c r="Q296" s="101"/>
      <c r="R296" s="101"/>
      <c r="S296" s="101"/>
      <c r="T296" s="101"/>
      <c r="U296" s="101"/>
      <c r="V296" s="101"/>
      <c r="W296" s="91"/>
      <c r="X296" s="89"/>
      <c r="Y296" s="92">
        <f t="shared" si="24"/>
        <v>0</v>
      </c>
      <c r="Z296" s="92">
        <f t="shared" si="25"/>
        <v>0</v>
      </c>
      <c r="AA296" s="92">
        <f t="shared" si="26"/>
        <v>0</v>
      </c>
      <c r="AB296" s="92">
        <f t="shared" si="27"/>
        <v>0</v>
      </c>
      <c r="AC296" s="92"/>
      <c r="AD296" s="92">
        <v>0</v>
      </c>
      <c r="AE296" s="92">
        <f t="shared" si="28"/>
        <v>0</v>
      </c>
      <c r="AF296" s="93">
        <v>0</v>
      </c>
      <c r="AG296" s="89">
        <v>40630</v>
      </c>
      <c r="AH296" s="94"/>
      <c r="AI296" s="102" t="s">
        <v>4336</v>
      </c>
      <c r="AJ296" s="96" t="s">
        <v>4337</v>
      </c>
      <c r="AK296" s="97"/>
      <c r="AL296" s="89"/>
      <c r="AM296" s="100" t="s">
        <v>2198</v>
      </c>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114"/>
      <c r="CQ296" s="115"/>
      <c r="CR296" s="114"/>
      <c r="CS296" s="115"/>
      <c r="CT296" s="114"/>
      <c r="CU296" s="115"/>
      <c r="CV296" s="99">
        <f t="shared" si="29"/>
        <v>0</v>
      </c>
      <c r="CW296" s="114"/>
      <c r="CX296" s="115"/>
      <c r="CY296" s="114"/>
      <c r="CZ296" s="115"/>
      <c r="DA296" s="115"/>
      <c r="DB296" s="115"/>
      <c r="DC296" s="114"/>
      <c r="DD296" s="115"/>
      <c r="DE296" s="97"/>
      <c r="DF296" s="269"/>
    </row>
    <row r="297" spans="1:110" s="270" customFormat="1" x14ac:dyDescent="0.2">
      <c r="A297" s="89">
        <v>40626</v>
      </c>
      <c r="B297" s="90" t="s">
        <v>4261</v>
      </c>
      <c r="C297" s="90" t="s">
        <v>3554</v>
      </c>
      <c r="D297" s="90" t="s">
        <v>3346</v>
      </c>
      <c r="E297" s="90" t="str">
        <f>VLOOKUP(B297&amp;C297,Divipola!$C$2:$F$1138,4,FALSE)</f>
        <v>15469</v>
      </c>
      <c r="F297" s="90"/>
      <c r="G297" s="101"/>
      <c r="H297" s="101"/>
      <c r="I297" s="101"/>
      <c r="J297" s="101">
        <v>128</v>
      </c>
      <c r="K297" s="101">
        <v>32</v>
      </c>
      <c r="L297" s="101"/>
      <c r="M297" s="101">
        <v>32</v>
      </c>
      <c r="N297" s="101"/>
      <c r="O297" s="101"/>
      <c r="P297" s="101"/>
      <c r="Q297" s="101"/>
      <c r="R297" s="101"/>
      <c r="S297" s="101"/>
      <c r="T297" s="101"/>
      <c r="U297" s="101"/>
      <c r="V297" s="101"/>
      <c r="W297" s="91"/>
      <c r="X297" s="89"/>
      <c r="Y297" s="92">
        <f t="shared" si="24"/>
        <v>0</v>
      </c>
      <c r="Z297" s="92">
        <f t="shared" si="25"/>
        <v>0</v>
      </c>
      <c r="AA297" s="92">
        <f t="shared" si="26"/>
        <v>0</v>
      </c>
      <c r="AB297" s="92">
        <f t="shared" si="27"/>
        <v>0</v>
      </c>
      <c r="AC297" s="92"/>
      <c r="AD297" s="92">
        <v>0</v>
      </c>
      <c r="AE297" s="92">
        <f t="shared" si="28"/>
        <v>0</v>
      </c>
      <c r="AF297" s="93">
        <v>0</v>
      </c>
      <c r="AG297" s="89">
        <v>40630</v>
      </c>
      <c r="AH297" s="94"/>
      <c r="AI297" s="102" t="s">
        <v>4336</v>
      </c>
      <c r="AJ297" s="96" t="s">
        <v>4337</v>
      </c>
      <c r="AK297" s="97"/>
      <c r="AL297" s="89"/>
      <c r="AM297" s="100" t="s">
        <v>980</v>
      </c>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114"/>
      <c r="CQ297" s="115"/>
      <c r="CR297" s="114"/>
      <c r="CS297" s="115"/>
      <c r="CT297" s="114"/>
      <c r="CU297" s="115"/>
      <c r="CV297" s="99">
        <f t="shared" si="29"/>
        <v>0</v>
      </c>
      <c r="CW297" s="114"/>
      <c r="CX297" s="115"/>
      <c r="CY297" s="114"/>
      <c r="CZ297" s="115"/>
      <c r="DA297" s="115"/>
      <c r="DB297" s="115"/>
      <c r="DC297" s="114"/>
      <c r="DD297" s="115"/>
      <c r="DE297" s="97"/>
      <c r="DF297" s="269"/>
    </row>
    <row r="298" spans="1:110" s="270" customFormat="1" x14ac:dyDescent="0.2">
      <c r="A298" s="89">
        <v>40626</v>
      </c>
      <c r="B298" s="90" t="s">
        <v>3533</v>
      </c>
      <c r="C298" s="90" t="s">
        <v>4207</v>
      </c>
      <c r="D298" s="90" t="s">
        <v>3346</v>
      </c>
      <c r="E298" s="90" t="str">
        <f>VLOOKUP(B298&amp;C298,Divipola!$C$2:$F$1138,4,FALSE)</f>
        <v>17088</v>
      </c>
      <c r="F298" s="90"/>
      <c r="G298" s="101"/>
      <c r="H298" s="101"/>
      <c r="I298" s="101"/>
      <c r="J298" s="101">
        <v>30</v>
      </c>
      <c r="K298" s="101">
        <v>6</v>
      </c>
      <c r="L298" s="101"/>
      <c r="M298" s="101">
        <v>6</v>
      </c>
      <c r="N298" s="101"/>
      <c r="O298" s="101"/>
      <c r="P298" s="101"/>
      <c r="Q298" s="101"/>
      <c r="R298" s="101"/>
      <c r="S298" s="101"/>
      <c r="T298" s="101"/>
      <c r="U298" s="101"/>
      <c r="V298" s="101"/>
      <c r="W298" s="91"/>
      <c r="X298" s="89"/>
      <c r="Y298" s="92">
        <f t="shared" si="24"/>
        <v>0</v>
      </c>
      <c r="Z298" s="92">
        <f t="shared" si="25"/>
        <v>0</v>
      </c>
      <c r="AA298" s="92">
        <f t="shared" si="26"/>
        <v>0</v>
      </c>
      <c r="AB298" s="92">
        <f t="shared" si="27"/>
        <v>0</v>
      </c>
      <c r="AC298" s="92"/>
      <c r="AD298" s="92">
        <v>0</v>
      </c>
      <c r="AE298" s="92">
        <f t="shared" si="28"/>
        <v>0</v>
      </c>
      <c r="AF298" s="93">
        <v>0</v>
      </c>
      <c r="AG298" s="89">
        <v>40630</v>
      </c>
      <c r="AH298" s="94"/>
      <c r="AI298" s="95" t="s">
        <v>4336</v>
      </c>
      <c r="AJ298" s="96" t="s">
        <v>4337</v>
      </c>
      <c r="AK298" s="97"/>
      <c r="AL298" s="89"/>
      <c r="AM298" s="100" t="s">
        <v>3452</v>
      </c>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114"/>
      <c r="CQ298" s="115"/>
      <c r="CR298" s="114"/>
      <c r="CS298" s="115"/>
      <c r="CT298" s="114"/>
      <c r="CU298" s="115"/>
      <c r="CV298" s="99">
        <f t="shared" si="29"/>
        <v>0</v>
      </c>
      <c r="CW298" s="114"/>
      <c r="CX298" s="115"/>
      <c r="CY298" s="114"/>
      <c r="CZ298" s="115"/>
      <c r="DA298" s="115"/>
      <c r="DB298" s="115"/>
      <c r="DC298" s="114"/>
      <c r="DD298" s="115"/>
      <c r="DE298" s="97"/>
      <c r="DF298" s="269"/>
    </row>
    <row r="299" spans="1:110" s="270" customFormat="1" ht="24" x14ac:dyDescent="0.2">
      <c r="A299" s="89">
        <v>40626</v>
      </c>
      <c r="B299" s="90" t="s">
        <v>4344</v>
      </c>
      <c r="C299" s="90" t="s">
        <v>848</v>
      </c>
      <c r="D299" s="90" t="s">
        <v>2362</v>
      </c>
      <c r="E299" s="90" t="str">
        <f>VLOOKUP(B299&amp;C299,Divipola!$C$2:$F$1138,4,FALSE)</f>
        <v>25019</v>
      </c>
      <c r="F299" s="90"/>
      <c r="G299" s="101"/>
      <c r="H299" s="101"/>
      <c r="I299" s="101"/>
      <c r="J299" s="101">
        <f>19*4</f>
        <v>76</v>
      </c>
      <c r="K299" s="101">
        <v>19</v>
      </c>
      <c r="L299" s="101">
        <v>1</v>
      </c>
      <c r="M299" s="101">
        <v>18</v>
      </c>
      <c r="N299" s="101"/>
      <c r="O299" s="101"/>
      <c r="P299" s="101"/>
      <c r="Q299" s="101"/>
      <c r="R299" s="101"/>
      <c r="S299" s="101"/>
      <c r="T299" s="101"/>
      <c r="U299" s="101"/>
      <c r="V299" s="101">
        <v>400</v>
      </c>
      <c r="W299" s="91" t="s">
        <v>3747</v>
      </c>
      <c r="X299" s="89"/>
      <c r="Y299" s="92">
        <f t="shared" si="24"/>
        <v>0</v>
      </c>
      <c r="Z299" s="92">
        <f t="shared" si="25"/>
        <v>0</v>
      </c>
      <c r="AA299" s="92">
        <f t="shared" si="26"/>
        <v>0</v>
      </c>
      <c r="AB299" s="92">
        <f t="shared" si="27"/>
        <v>0</v>
      </c>
      <c r="AC299" s="92"/>
      <c r="AD299" s="92">
        <v>0</v>
      </c>
      <c r="AE299" s="92">
        <f t="shared" si="28"/>
        <v>0</v>
      </c>
      <c r="AF299" s="93">
        <v>0</v>
      </c>
      <c r="AG299" s="89">
        <v>40630</v>
      </c>
      <c r="AH299" s="94"/>
      <c r="AI299" s="102" t="s">
        <v>4336</v>
      </c>
      <c r="AJ299" s="96" t="s">
        <v>4337</v>
      </c>
      <c r="AK299" s="97"/>
      <c r="AL299" s="89"/>
      <c r="AM299" s="100" t="s">
        <v>987</v>
      </c>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114"/>
      <c r="CQ299" s="115"/>
      <c r="CR299" s="114"/>
      <c r="CS299" s="115"/>
      <c r="CT299" s="114"/>
      <c r="CU299" s="115"/>
      <c r="CV299" s="99">
        <f t="shared" si="29"/>
        <v>0</v>
      </c>
      <c r="CW299" s="114"/>
      <c r="CX299" s="115"/>
      <c r="CY299" s="114"/>
      <c r="CZ299" s="115"/>
      <c r="DA299" s="115"/>
      <c r="DB299" s="115"/>
      <c r="DC299" s="114"/>
      <c r="DD299" s="115"/>
      <c r="DE299" s="97"/>
      <c r="DF299" s="269"/>
    </row>
    <row r="300" spans="1:110" s="270" customFormat="1" ht="24" x14ac:dyDescent="0.2">
      <c r="A300" s="89">
        <v>40626</v>
      </c>
      <c r="B300" s="90" t="s">
        <v>4387</v>
      </c>
      <c r="C300" s="90" t="s">
        <v>847</v>
      </c>
      <c r="D300" s="90" t="s">
        <v>4264</v>
      </c>
      <c r="E300" s="90" t="str">
        <f>VLOOKUP(B300&amp;C300,Divipola!$C$2:$F$1138,4,FALSE)</f>
        <v>52110</v>
      </c>
      <c r="F300" s="90"/>
      <c r="G300" s="101"/>
      <c r="H300" s="101"/>
      <c r="I300" s="101"/>
      <c r="J300" s="101">
        <v>121</v>
      </c>
      <c r="K300" s="101">
        <v>29</v>
      </c>
      <c r="L300" s="101"/>
      <c r="M300" s="101">
        <v>29</v>
      </c>
      <c r="N300" s="101"/>
      <c r="O300" s="101"/>
      <c r="P300" s="101"/>
      <c r="Q300" s="101"/>
      <c r="R300" s="101"/>
      <c r="S300" s="101"/>
      <c r="T300" s="101"/>
      <c r="U300" s="101"/>
      <c r="V300" s="101"/>
      <c r="W300" s="91"/>
      <c r="X300" s="89"/>
      <c r="Y300" s="92">
        <f t="shared" si="24"/>
        <v>0</v>
      </c>
      <c r="Z300" s="92">
        <f t="shared" si="25"/>
        <v>0</v>
      </c>
      <c r="AA300" s="92">
        <f t="shared" si="26"/>
        <v>0</v>
      </c>
      <c r="AB300" s="92">
        <f t="shared" si="27"/>
        <v>0</v>
      </c>
      <c r="AC300" s="92"/>
      <c r="AD300" s="92">
        <v>0</v>
      </c>
      <c r="AE300" s="92">
        <f t="shared" si="28"/>
        <v>0</v>
      </c>
      <c r="AF300" s="93">
        <v>0</v>
      </c>
      <c r="AG300" s="89">
        <v>40630</v>
      </c>
      <c r="AH300" s="94"/>
      <c r="AI300" s="95" t="s">
        <v>4336</v>
      </c>
      <c r="AJ300" s="96" t="s">
        <v>4337</v>
      </c>
      <c r="AK300" s="97"/>
      <c r="AL300" s="89"/>
      <c r="AM300" s="100" t="s">
        <v>2195</v>
      </c>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114"/>
      <c r="CQ300" s="115"/>
      <c r="CR300" s="114"/>
      <c r="CS300" s="115"/>
      <c r="CT300" s="114"/>
      <c r="CU300" s="115"/>
      <c r="CV300" s="99">
        <f t="shared" si="29"/>
        <v>0</v>
      </c>
      <c r="CW300" s="114"/>
      <c r="CX300" s="115"/>
      <c r="CY300" s="114"/>
      <c r="CZ300" s="115"/>
      <c r="DA300" s="115"/>
      <c r="DB300" s="115"/>
      <c r="DC300" s="114"/>
      <c r="DD300" s="115"/>
      <c r="DE300" s="97"/>
      <c r="DF300" s="269"/>
    </row>
    <row r="301" spans="1:110" s="270" customFormat="1" x14ac:dyDescent="0.2">
      <c r="A301" s="89">
        <v>40626</v>
      </c>
      <c r="B301" s="90" t="s">
        <v>4348</v>
      </c>
      <c r="C301" s="90" t="s">
        <v>3304</v>
      </c>
      <c r="D301" s="90" t="s">
        <v>3346</v>
      </c>
      <c r="E301" s="90" t="str">
        <f>VLOOKUP(B301&amp;C301,Divipola!$C$2:$F$1138,4,FALSE)</f>
        <v>66440</v>
      </c>
      <c r="F301" s="90"/>
      <c r="G301" s="101"/>
      <c r="H301" s="101"/>
      <c r="I301" s="101"/>
      <c r="J301" s="101">
        <v>150</v>
      </c>
      <c r="K301" s="101">
        <v>30</v>
      </c>
      <c r="L301" s="101"/>
      <c r="M301" s="101">
        <v>20</v>
      </c>
      <c r="N301" s="101"/>
      <c r="O301" s="101"/>
      <c r="P301" s="101"/>
      <c r="Q301" s="101"/>
      <c r="R301" s="101"/>
      <c r="S301" s="101"/>
      <c r="T301" s="101"/>
      <c r="U301" s="101"/>
      <c r="V301" s="101"/>
      <c r="W301" s="91"/>
      <c r="X301" s="89"/>
      <c r="Y301" s="92">
        <f t="shared" si="24"/>
        <v>0</v>
      </c>
      <c r="Z301" s="92">
        <f t="shared" si="25"/>
        <v>0</v>
      </c>
      <c r="AA301" s="92">
        <f t="shared" si="26"/>
        <v>0</v>
      </c>
      <c r="AB301" s="92">
        <f t="shared" si="27"/>
        <v>0</v>
      </c>
      <c r="AC301" s="92"/>
      <c r="AD301" s="92">
        <v>0</v>
      </c>
      <c r="AE301" s="92">
        <f t="shared" si="28"/>
        <v>0</v>
      </c>
      <c r="AF301" s="93">
        <v>0</v>
      </c>
      <c r="AG301" s="89">
        <v>40630</v>
      </c>
      <c r="AH301" s="94"/>
      <c r="AI301" s="102" t="s">
        <v>4336</v>
      </c>
      <c r="AJ301" s="96" t="s">
        <v>4337</v>
      </c>
      <c r="AK301" s="97"/>
      <c r="AL301" s="89"/>
      <c r="AM301" s="100" t="s">
        <v>3447</v>
      </c>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114"/>
      <c r="CQ301" s="115"/>
      <c r="CR301" s="114"/>
      <c r="CS301" s="115"/>
      <c r="CT301" s="114"/>
      <c r="CU301" s="115"/>
      <c r="CV301" s="99">
        <f t="shared" si="29"/>
        <v>0</v>
      </c>
      <c r="CW301" s="114"/>
      <c r="CX301" s="115"/>
      <c r="CY301" s="114"/>
      <c r="CZ301" s="115"/>
      <c r="DA301" s="115"/>
      <c r="DB301" s="115"/>
      <c r="DC301" s="114"/>
      <c r="DD301" s="115"/>
      <c r="DE301" s="97"/>
      <c r="DF301" s="269"/>
    </row>
    <row r="302" spans="1:110" s="270" customFormat="1" ht="24" x14ac:dyDescent="0.2">
      <c r="A302" s="89">
        <v>40626</v>
      </c>
      <c r="B302" s="90" t="s">
        <v>2226</v>
      </c>
      <c r="C302" s="90" t="s">
        <v>4390</v>
      </c>
      <c r="D302" s="90" t="s">
        <v>3346</v>
      </c>
      <c r="E302" s="90" t="str">
        <f>VLOOKUP(B302&amp;C302,Divipola!$C$2:$F$1138,4,FALSE)</f>
        <v>68307</v>
      </c>
      <c r="F302" s="90"/>
      <c r="G302" s="101"/>
      <c r="H302" s="101"/>
      <c r="I302" s="101"/>
      <c r="J302" s="101">
        <v>20</v>
      </c>
      <c r="K302" s="101">
        <v>4</v>
      </c>
      <c r="L302" s="101"/>
      <c r="M302" s="101">
        <v>4</v>
      </c>
      <c r="N302" s="101"/>
      <c r="O302" s="101"/>
      <c r="P302" s="101"/>
      <c r="Q302" s="101"/>
      <c r="R302" s="101"/>
      <c r="S302" s="101"/>
      <c r="T302" s="101"/>
      <c r="U302" s="101"/>
      <c r="V302" s="101"/>
      <c r="W302" s="91"/>
      <c r="X302" s="89"/>
      <c r="Y302" s="92">
        <f t="shared" si="24"/>
        <v>0</v>
      </c>
      <c r="Z302" s="92">
        <f t="shared" si="25"/>
        <v>0</v>
      </c>
      <c r="AA302" s="92">
        <f t="shared" si="26"/>
        <v>0</v>
      </c>
      <c r="AB302" s="92">
        <f t="shared" si="27"/>
        <v>0</v>
      </c>
      <c r="AC302" s="92"/>
      <c r="AD302" s="92">
        <v>0</v>
      </c>
      <c r="AE302" s="92">
        <f t="shared" si="28"/>
        <v>0</v>
      </c>
      <c r="AF302" s="93">
        <v>0</v>
      </c>
      <c r="AG302" s="89">
        <v>40630</v>
      </c>
      <c r="AH302" s="94"/>
      <c r="AI302" s="95" t="s">
        <v>4336</v>
      </c>
      <c r="AJ302" s="96" t="s">
        <v>4337</v>
      </c>
      <c r="AK302" s="97"/>
      <c r="AL302" s="89"/>
      <c r="AM302" s="100" t="s">
        <v>981</v>
      </c>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114"/>
      <c r="CQ302" s="115"/>
      <c r="CR302" s="114"/>
      <c r="CS302" s="115"/>
      <c r="CT302" s="114"/>
      <c r="CU302" s="115"/>
      <c r="CV302" s="99">
        <f t="shared" si="29"/>
        <v>0</v>
      </c>
      <c r="CW302" s="114"/>
      <c r="CX302" s="115"/>
      <c r="CY302" s="114"/>
      <c r="CZ302" s="115"/>
      <c r="DA302" s="115"/>
      <c r="DB302" s="115"/>
      <c r="DC302" s="114"/>
      <c r="DD302" s="115"/>
      <c r="DE302" s="97"/>
      <c r="DF302" s="269"/>
    </row>
    <row r="303" spans="1:110" s="270" customFormat="1" ht="24" x14ac:dyDescent="0.2">
      <c r="A303" s="89">
        <v>40626</v>
      </c>
      <c r="B303" s="90" t="s">
        <v>2226</v>
      </c>
      <c r="C303" s="90" t="s">
        <v>800</v>
      </c>
      <c r="D303" s="90" t="s">
        <v>3346</v>
      </c>
      <c r="E303" s="90" t="str">
        <f>VLOOKUP(B303&amp;C303,Divipola!$C$2:$F$1138,4,FALSE)</f>
        <v>68547</v>
      </c>
      <c r="F303" s="90"/>
      <c r="G303" s="101"/>
      <c r="H303" s="101"/>
      <c r="I303" s="101"/>
      <c r="J303" s="101">
        <v>20</v>
      </c>
      <c r="K303" s="101">
        <v>4</v>
      </c>
      <c r="L303" s="101"/>
      <c r="M303" s="101">
        <v>4</v>
      </c>
      <c r="N303" s="101"/>
      <c r="O303" s="101"/>
      <c r="P303" s="101"/>
      <c r="Q303" s="101"/>
      <c r="R303" s="101"/>
      <c r="S303" s="101"/>
      <c r="T303" s="101"/>
      <c r="U303" s="101"/>
      <c r="V303" s="101"/>
      <c r="W303" s="91"/>
      <c r="X303" s="89"/>
      <c r="Y303" s="92">
        <f t="shared" si="24"/>
        <v>0</v>
      </c>
      <c r="Z303" s="92">
        <f t="shared" si="25"/>
        <v>0</v>
      </c>
      <c r="AA303" s="92">
        <f t="shared" si="26"/>
        <v>0</v>
      </c>
      <c r="AB303" s="92">
        <f t="shared" si="27"/>
        <v>0</v>
      </c>
      <c r="AC303" s="92"/>
      <c r="AD303" s="92">
        <v>0</v>
      </c>
      <c r="AE303" s="92">
        <f t="shared" si="28"/>
        <v>0</v>
      </c>
      <c r="AF303" s="93">
        <v>0</v>
      </c>
      <c r="AG303" s="89">
        <v>40630</v>
      </c>
      <c r="AH303" s="94"/>
      <c r="AI303" s="95" t="s">
        <v>4336</v>
      </c>
      <c r="AJ303" s="96" t="s">
        <v>4337</v>
      </c>
      <c r="AK303" s="97"/>
      <c r="AL303" s="89"/>
      <c r="AM303" s="100" t="s">
        <v>982</v>
      </c>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114"/>
      <c r="CQ303" s="115"/>
      <c r="CR303" s="114"/>
      <c r="CS303" s="115"/>
      <c r="CT303" s="114"/>
      <c r="CU303" s="115"/>
      <c r="CV303" s="99">
        <f t="shared" si="29"/>
        <v>0</v>
      </c>
      <c r="CW303" s="114"/>
      <c r="CX303" s="115"/>
      <c r="CY303" s="114"/>
      <c r="CZ303" s="115"/>
      <c r="DA303" s="115"/>
      <c r="DB303" s="115"/>
      <c r="DC303" s="114"/>
      <c r="DD303" s="115"/>
      <c r="DE303" s="97"/>
      <c r="DF303" s="269"/>
    </row>
    <row r="304" spans="1:110" s="270" customFormat="1" ht="24" x14ac:dyDescent="0.2">
      <c r="A304" s="89">
        <v>40626</v>
      </c>
      <c r="B304" s="90" t="s">
        <v>4244</v>
      </c>
      <c r="C304" s="90" t="s">
        <v>4245</v>
      </c>
      <c r="D304" s="90" t="s">
        <v>4264</v>
      </c>
      <c r="E304" s="90" t="str">
        <f>VLOOKUP(B304&amp;C304,Divipola!$C$2:$F$1138,4,FALSE)</f>
        <v>76497</v>
      </c>
      <c r="F304" s="90"/>
      <c r="G304" s="101"/>
      <c r="H304" s="101"/>
      <c r="I304" s="101"/>
      <c r="J304" s="101">
        <v>20</v>
      </c>
      <c r="K304" s="101">
        <v>4</v>
      </c>
      <c r="L304" s="101"/>
      <c r="M304" s="101">
        <v>4</v>
      </c>
      <c r="N304" s="101"/>
      <c r="O304" s="101"/>
      <c r="P304" s="101"/>
      <c r="Q304" s="101"/>
      <c r="R304" s="101"/>
      <c r="S304" s="101"/>
      <c r="T304" s="101"/>
      <c r="U304" s="101"/>
      <c r="V304" s="101"/>
      <c r="W304" s="91"/>
      <c r="X304" s="89"/>
      <c r="Y304" s="92">
        <f t="shared" si="24"/>
        <v>0</v>
      </c>
      <c r="Z304" s="92">
        <f t="shared" si="25"/>
        <v>0</v>
      </c>
      <c r="AA304" s="92">
        <f t="shared" si="26"/>
        <v>0</v>
      </c>
      <c r="AB304" s="92">
        <f t="shared" si="27"/>
        <v>0</v>
      </c>
      <c r="AC304" s="92"/>
      <c r="AD304" s="92">
        <v>0</v>
      </c>
      <c r="AE304" s="92">
        <f t="shared" si="28"/>
        <v>0</v>
      </c>
      <c r="AF304" s="93">
        <v>0</v>
      </c>
      <c r="AG304" s="89">
        <v>40630</v>
      </c>
      <c r="AH304" s="94"/>
      <c r="AI304" s="95" t="s">
        <v>4336</v>
      </c>
      <c r="AJ304" s="96" t="s">
        <v>4337</v>
      </c>
      <c r="AK304" s="97"/>
      <c r="AL304" s="89"/>
      <c r="AM304" s="100" t="s">
        <v>2192</v>
      </c>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114"/>
      <c r="CQ304" s="115"/>
      <c r="CR304" s="114"/>
      <c r="CS304" s="115"/>
      <c r="CT304" s="114"/>
      <c r="CU304" s="115"/>
      <c r="CV304" s="99">
        <f t="shared" si="29"/>
        <v>0</v>
      </c>
      <c r="CW304" s="114"/>
      <c r="CX304" s="115"/>
      <c r="CY304" s="114"/>
      <c r="CZ304" s="115"/>
      <c r="DA304" s="115"/>
      <c r="DB304" s="115"/>
      <c r="DC304" s="114"/>
      <c r="DD304" s="115"/>
      <c r="DE304" s="97"/>
      <c r="DF304" s="269"/>
    </row>
    <row r="305" spans="1:110" s="270" customFormat="1" ht="24" x14ac:dyDescent="0.2">
      <c r="A305" s="89">
        <v>40626</v>
      </c>
      <c r="B305" s="90" t="s">
        <v>4244</v>
      </c>
      <c r="C305" s="90" t="s">
        <v>3492</v>
      </c>
      <c r="D305" s="90" t="s">
        <v>4264</v>
      </c>
      <c r="E305" s="90" t="str">
        <f>VLOOKUP(B305&amp;C305,Divipola!$C$2:$F$1138,4,FALSE)</f>
        <v>76670</v>
      </c>
      <c r="F305" s="90"/>
      <c r="G305" s="101"/>
      <c r="H305" s="101"/>
      <c r="I305" s="101"/>
      <c r="J305" s="101">
        <v>215</v>
      </c>
      <c r="K305" s="101">
        <v>43</v>
      </c>
      <c r="L305" s="101"/>
      <c r="M305" s="101">
        <v>43</v>
      </c>
      <c r="N305" s="101"/>
      <c r="O305" s="101"/>
      <c r="P305" s="101"/>
      <c r="Q305" s="101"/>
      <c r="R305" s="101"/>
      <c r="S305" s="101"/>
      <c r="T305" s="101"/>
      <c r="U305" s="101"/>
      <c r="V305" s="101"/>
      <c r="W305" s="91"/>
      <c r="X305" s="89"/>
      <c r="Y305" s="92">
        <f t="shared" si="24"/>
        <v>0</v>
      </c>
      <c r="Z305" s="92">
        <f t="shared" si="25"/>
        <v>0</v>
      </c>
      <c r="AA305" s="92">
        <f t="shared" si="26"/>
        <v>0</v>
      </c>
      <c r="AB305" s="92">
        <f t="shared" si="27"/>
        <v>0</v>
      </c>
      <c r="AC305" s="92"/>
      <c r="AD305" s="92">
        <v>0</v>
      </c>
      <c r="AE305" s="92">
        <f t="shared" si="28"/>
        <v>0</v>
      </c>
      <c r="AF305" s="93">
        <v>0</v>
      </c>
      <c r="AG305" s="89">
        <v>40630</v>
      </c>
      <c r="AH305" s="94"/>
      <c r="AI305" s="95" t="s">
        <v>4336</v>
      </c>
      <c r="AJ305" s="96" t="s">
        <v>4337</v>
      </c>
      <c r="AK305" s="97"/>
      <c r="AL305" s="89"/>
      <c r="AM305" s="100" t="s">
        <v>2193</v>
      </c>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114"/>
      <c r="CQ305" s="115"/>
      <c r="CR305" s="114"/>
      <c r="CS305" s="115"/>
      <c r="CT305" s="114"/>
      <c r="CU305" s="115"/>
      <c r="CV305" s="99">
        <f t="shared" si="29"/>
        <v>0</v>
      </c>
      <c r="CW305" s="114"/>
      <c r="CX305" s="115"/>
      <c r="CY305" s="114"/>
      <c r="CZ305" s="115"/>
      <c r="DA305" s="115"/>
      <c r="DB305" s="115"/>
      <c r="DC305" s="114"/>
      <c r="DD305" s="115"/>
      <c r="DE305" s="97"/>
      <c r="DF305" s="269"/>
    </row>
    <row r="306" spans="1:110" s="270" customFormat="1" ht="24" x14ac:dyDescent="0.2">
      <c r="A306" s="89">
        <v>40627</v>
      </c>
      <c r="B306" s="90" t="s">
        <v>4326</v>
      </c>
      <c r="C306" s="90" t="s">
        <v>4324</v>
      </c>
      <c r="D306" s="90" t="s">
        <v>3346</v>
      </c>
      <c r="E306" s="90" t="str">
        <f>VLOOKUP(B306&amp;C306,Divipola!$C$2:$F$1138,4,FALSE)</f>
        <v>08137</v>
      </c>
      <c r="F306" s="90"/>
      <c r="G306" s="101"/>
      <c r="H306" s="101"/>
      <c r="I306" s="101"/>
      <c r="J306" s="101">
        <v>1000</v>
      </c>
      <c r="K306" s="101">
        <v>200</v>
      </c>
      <c r="L306" s="101"/>
      <c r="M306" s="101">
        <v>200</v>
      </c>
      <c r="N306" s="101"/>
      <c r="O306" s="101"/>
      <c r="P306" s="101"/>
      <c r="Q306" s="101"/>
      <c r="R306" s="101"/>
      <c r="S306" s="101"/>
      <c r="T306" s="101"/>
      <c r="U306" s="101"/>
      <c r="V306" s="101"/>
      <c r="W306" s="91"/>
      <c r="X306" s="89"/>
      <c r="Y306" s="92">
        <f t="shared" si="24"/>
        <v>0</v>
      </c>
      <c r="Z306" s="92">
        <f t="shared" si="25"/>
        <v>0</v>
      </c>
      <c r="AA306" s="92">
        <f t="shared" si="26"/>
        <v>0</v>
      </c>
      <c r="AB306" s="92">
        <f t="shared" si="27"/>
        <v>0</v>
      </c>
      <c r="AC306" s="92"/>
      <c r="AD306" s="92">
        <v>0</v>
      </c>
      <c r="AE306" s="92">
        <f t="shared" si="28"/>
        <v>0</v>
      </c>
      <c r="AF306" s="93">
        <v>0</v>
      </c>
      <c r="AG306" s="89">
        <v>40630</v>
      </c>
      <c r="AH306" s="94"/>
      <c r="AI306" s="95" t="s">
        <v>4346</v>
      </c>
      <c r="AJ306" s="96" t="s">
        <v>4347</v>
      </c>
      <c r="AK306" s="97"/>
      <c r="AL306" s="89" t="s">
        <v>2798</v>
      </c>
      <c r="AM306" s="100" t="s">
        <v>2291</v>
      </c>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114"/>
      <c r="CQ306" s="115"/>
      <c r="CR306" s="114"/>
      <c r="CS306" s="115"/>
      <c r="CT306" s="114"/>
      <c r="CU306" s="115"/>
      <c r="CV306" s="99">
        <f t="shared" si="29"/>
        <v>0</v>
      </c>
      <c r="CW306" s="114"/>
      <c r="CX306" s="115"/>
      <c r="CY306" s="114"/>
      <c r="CZ306" s="115"/>
      <c r="DA306" s="115"/>
      <c r="DB306" s="115"/>
      <c r="DC306" s="114"/>
      <c r="DD306" s="115"/>
      <c r="DE306" s="97"/>
      <c r="DF306" s="269"/>
    </row>
    <row r="307" spans="1:110" s="270" customFormat="1" ht="24" x14ac:dyDescent="0.2">
      <c r="A307" s="89">
        <v>40627</v>
      </c>
      <c r="B307" s="106" t="s">
        <v>4296</v>
      </c>
      <c r="C307" s="106" t="s">
        <v>855</v>
      </c>
      <c r="D307" s="90" t="s">
        <v>4264</v>
      </c>
      <c r="E307" s="90" t="str">
        <f>VLOOKUP(B307&amp;C307,Divipola!$C$2:$F$1138,4,FALSE)</f>
        <v>19256</v>
      </c>
      <c r="F307" s="90"/>
      <c r="G307" s="129"/>
      <c r="H307" s="129"/>
      <c r="I307" s="129"/>
      <c r="J307" s="129">
        <f>2033*4</f>
        <v>8132</v>
      </c>
      <c r="K307" s="129">
        <f>550+1483</f>
        <v>2033</v>
      </c>
      <c r="L307" s="129"/>
      <c r="M307" s="129"/>
      <c r="N307" s="129"/>
      <c r="O307" s="129"/>
      <c r="P307" s="129"/>
      <c r="Q307" s="129"/>
      <c r="R307" s="129"/>
      <c r="S307" s="129"/>
      <c r="T307" s="129"/>
      <c r="U307" s="129"/>
      <c r="V307" s="129"/>
      <c r="W307" s="107"/>
      <c r="X307" s="105"/>
      <c r="Y307" s="117">
        <f t="shared" si="24"/>
        <v>9818000</v>
      </c>
      <c r="Z307" s="117">
        <f t="shared" si="25"/>
        <v>0</v>
      </c>
      <c r="AA307" s="117">
        <f t="shared" si="26"/>
        <v>0</v>
      </c>
      <c r="AB307" s="117">
        <f t="shared" si="27"/>
        <v>0</v>
      </c>
      <c r="AC307" s="117"/>
      <c r="AD307" s="117">
        <v>0</v>
      </c>
      <c r="AE307" s="92">
        <f t="shared" si="28"/>
        <v>9818000</v>
      </c>
      <c r="AF307" s="93">
        <v>0</v>
      </c>
      <c r="AG307" s="105"/>
      <c r="AH307" s="108"/>
      <c r="AI307" s="109" t="s">
        <v>4346</v>
      </c>
      <c r="AJ307" s="110" t="s">
        <v>4347</v>
      </c>
      <c r="AK307" s="111"/>
      <c r="AL307" s="105"/>
      <c r="AM307" s="112" t="s">
        <v>2727</v>
      </c>
      <c r="AN307" s="107"/>
      <c r="AO307" s="107"/>
      <c r="AP307" s="107"/>
      <c r="AQ307" s="107"/>
      <c r="AR307" s="107"/>
      <c r="AS307" s="107"/>
      <c r="AT307" s="107"/>
      <c r="AU307" s="107"/>
      <c r="AV307" s="91"/>
      <c r="AW307" s="91"/>
      <c r="AX307" s="107">
        <v>23</v>
      </c>
      <c r="AY307" s="107">
        <f>2*400000+7*450000+2*600000+12*389000</f>
        <v>9818000</v>
      </c>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18"/>
      <c r="CQ307" s="119"/>
      <c r="CR307" s="118"/>
      <c r="CS307" s="119"/>
      <c r="CT307" s="118"/>
      <c r="CU307" s="119"/>
      <c r="CV307" s="99">
        <f t="shared" si="29"/>
        <v>9818000</v>
      </c>
      <c r="CW307" s="118"/>
      <c r="CX307" s="119"/>
      <c r="CY307" s="118"/>
      <c r="CZ307" s="119"/>
      <c r="DA307" s="119"/>
      <c r="DB307" s="119"/>
      <c r="DC307" s="118"/>
      <c r="DD307" s="119"/>
      <c r="DE307" s="111"/>
      <c r="DF307" s="269"/>
    </row>
    <row r="308" spans="1:110" s="270" customFormat="1" ht="24" x14ac:dyDescent="0.2">
      <c r="A308" s="89">
        <v>40627</v>
      </c>
      <c r="B308" s="90" t="s">
        <v>4296</v>
      </c>
      <c r="C308" s="90" t="s">
        <v>4384</v>
      </c>
      <c r="D308" s="90" t="s">
        <v>4264</v>
      </c>
      <c r="E308" s="90" t="str">
        <f>VLOOKUP(B308&amp;C308,Divipola!$C$2:$F$1138,4,FALSE)</f>
        <v>19355</v>
      </c>
      <c r="F308" s="90"/>
      <c r="G308" s="101"/>
      <c r="H308" s="101"/>
      <c r="I308" s="101"/>
      <c r="J308" s="101">
        <f>1003*4</f>
        <v>4012</v>
      </c>
      <c r="K308" s="101">
        <f>153+850</f>
        <v>1003</v>
      </c>
      <c r="L308" s="101"/>
      <c r="M308" s="101"/>
      <c r="N308" s="101"/>
      <c r="O308" s="101"/>
      <c r="P308" s="101"/>
      <c r="Q308" s="101"/>
      <c r="R308" s="101"/>
      <c r="S308" s="101"/>
      <c r="T308" s="101"/>
      <c r="U308" s="101"/>
      <c r="V308" s="101"/>
      <c r="W308" s="91"/>
      <c r="X308" s="89"/>
      <c r="Y308" s="92">
        <f t="shared" si="24"/>
        <v>0</v>
      </c>
      <c r="Z308" s="92">
        <f t="shared" si="25"/>
        <v>0</v>
      </c>
      <c r="AA308" s="92">
        <f t="shared" si="26"/>
        <v>0</v>
      </c>
      <c r="AB308" s="92">
        <f t="shared" si="27"/>
        <v>0</v>
      </c>
      <c r="AC308" s="92"/>
      <c r="AD308" s="92">
        <v>0</v>
      </c>
      <c r="AE308" s="92">
        <f t="shared" si="28"/>
        <v>0</v>
      </c>
      <c r="AF308" s="93">
        <v>0</v>
      </c>
      <c r="AG308" s="89"/>
      <c r="AH308" s="94"/>
      <c r="AI308" s="95" t="s">
        <v>4336</v>
      </c>
      <c r="AJ308" s="96" t="s">
        <v>4337</v>
      </c>
      <c r="AK308" s="97"/>
      <c r="AL308" s="89"/>
      <c r="AM308" s="100" t="s">
        <v>2727</v>
      </c>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114"/>
      <c r="CQ308" s="115"/>
      <c r="CR308" s="114"/>
      <c r="CS308" s="115"/>
      <c r="CT308" s="114"/>
      <c r="CU308" s="115"/>
      <c r="CV308" s="99">
        <f t="shared" si="29"/>
        <v>0</v>
      </c>
      <c r="CW308" s="114"/>
      <c r="CX308" s="115"/>
      <c r="CY308" s="114"/>
      <c r="CZ308" s="115"/>
      <c r="DA308" s="115"/>
      <c r="DB308" s="115"/>
      <c r="DC308" s="114"/>
      <c r="DD308" s="115"/>
      <c r="DE308" s="97"/>
      <c r="DF308" s="277">
        <v>1554</v>
      </c>
    </row>
    <row r="309" spans="1:110" s="270" customFormat="1" ht="24" x14ac:dyDescent="0.2">
      <c r="A309" s="89">
        <v>40627</v>
      </c>
      <c r="B309" s="90" t="s">
        <v>4386</v>
      </c>
      <c r="C309" s="90" t="s">
        <v>3502</v>
      </c>
      <c r="D309" s="90" t="s">
        <v>3346</v>
      </c>
      <c r="E309" s="90" t="str">
        <f>VLOOKUP(B309&amp;C309,Divipola!$C$2:$F$1138,4,FALSE)</f>
        <v>20001</v>
      </c>
      <c r="F309" s="90"/>
      <c r="G309" s="101"/>
      <c r="H309" s="101"/>
      <c r="I309" s="101"/>
      <c r="J309" s="101">
        <v>75</v>
      </c>
      <c r="K309" s="101">
        <v>15</v>
      </c>
      <c r="L309" s="101"/>
      <c r="M309" s="101">
        <v>15</v>
      </c>
      <c r="N309" s="101"/>
      <c r="O309" s="101"/>
      <c r="P309" s="101"/>
      <c r="Q309" s="101"/>
      <c r="R309" s="101"/>
      <c r="S309" s="101"/>
      <c r="T309" s="101"/>
      <c r="U309" s="101"/>
      <c r="V309" s="101"/>
      <c r="W309" s="91"/>
      <c r="X309" s="89"/>
      <c r="Y309" s="92">
        <f t="shared" si="24"/>
        <v>0</v>
      </c>
      <c r="Z309" s="92">
        <f t="shared" si="25"/>
        <v>0</v>
      </c>
      <c r="AA309" s="92">
        <f t="shared" si="26"/>
        <v>0</v>
      </c>
      <c r="AB309" s="92">
        <f t="shared" si="27"/>
        <v>0</v>
      </c>
      <c r="AC309" s="92"/>
      <c r="AD309" s="92">
        <v>0</v>
      </c>
      <c r="AE309" s="92">
        <f t="shared" si="28"/>
        <v>0</v>
      </c>
      <c r="AF309" s="93">
        <v>0</v>
      </c>
      <c r="AG309" s="89">
        <v>40630</v>
      </c>
      <c r="AH309" s="94"/>
      <c r="AI309" s="102" t="s">
        <v>4346</v>
      </c>
      <c r="AJ309" s="96" t="s">
        <v>4347</v>
      </c>
      <c r="AK309" s="97"/>
      <c r="AL309" s="89" t="s">
        <v>1049</v>
      </c>
      <c r="AM309" s="100" t="s">
        <v>974</v>
      </c>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114"/>
      <c r="CQ309" s="115"/>
      <c r="CR309" s="114"/>
      <c r="CS309" s="115"/>
      <c r="CT309" s="114"/>
      <c r="CU309" s="115"/>
      <c r="CV309" s="99">
        <f t="shared" si="29"/>
        <v>0</v>
      </c>
      <c r="CW309" s="114"/>
      <c r="CX309" s="115"/>
      <c r="CY309" s="114"/>
      <c r="CZ309" s="115"/>
      <c r="DA309" s="115"/>
      <c r="DB309" s="115"/>
      <c r="DC309" s="114"/>
      <c r="DD309" s="115"/>
      <c r="DE309" s="97"/>
      <c r="DF309" s="269"/>
    </row>
    <row r="310" spans="1:110" s="270" customFormat="1" ht="24" x14ac:dyDescent="0.2">
      <c r="A310" s="89">
        <v>40627</v>
      </c>
      <c r="B310" s="90" t="s">
        <v>4221</v>
      </c>
      <c r="C310" s="90" t="s">
        <v>4299</v>
      </c>
      <c r="D310" s="90" t="s">
        <v>2362</v>
      </c>
      <c r="E310" s="90" t="str">
        <f>VLOOKUP(B310&amp;C310,Divipola!$C$2:$F$1138,4,FALSE)</f>
        <v>54001</v>
      </c>
      <c r="F310" s="90"/>
      <c r="G310" s="101"/>
      <c r="H310" s="101"/>
      <c r="I310" s="101"/>
      <c r="J310" s="101">
        <v>120</v>
      </c>
      <c r="K310" s="101">
        <v>27</v>
      </c>
      <c r="L310" s="101"/>
      <c r="M310" s="101">
        <v>27</v>
      </c>
      <c r="N310" s="101"/>
      <c r="O310" s="101"/>
      <c r="P310" s="101"/>
      <c r="Q310" s="101"/>
      <c r="R310" s="101"/>
      <c r="S310" s="101"/>
      <c r="T310" s="101"/>
      <c r="U310" s="101"/>
      <c r="V310" s="101"/>
      <c r="W310" s="91"/>
      <c r="X310" s="89"/>
      <c r="Y310" s="92">
        <f t="shared" si="24"/>
        <v>0</v>
      </c>
      <c r="Z310" s="92">
        <f t="shared" si="25"/>
        <v>0</v>
      </c>
      <c r="AA310" s="92">
        <f t="shared" si="26"/>
        <v>0</v>
      </c>
      <c r="AB310" s="92">
        <f t="shared" si="27"/>
        <v>0</v>
      </c>
      <c r="AC310" s="92"/>
      <c r="AD310" s="92">
        <v>0</v>
      </c>
      <c r="AE310" s="92">
        <f t="shared" si="28"/>
        <v>0</v>
      </c>
      <c r="AF310" s="93">
        <v>0</v>
      </c>
      <c r="AG310" s="89">
        <v>40630</v>
      </c>
      <c r="AH310" s="94"/>
      <c r="AI310" s="102" t="s">
        <v>4336</v>
      </c>
      <c r="AJ310" s="96" t="s">
        <v>4337</v>
      </c>
      <c r="AK310" s="97"/>
      <c r="AL310" s="89"/>
      <c r="AM310" s="100" t="s">
        <v>2289</v>
      </c>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114"/>
      <c r="CQ310" s="115"/>
      <c r="CR310" s="114"/>
      <c r="CS310" s="115"/>
      <c r="CT310" s="114"/>
      <c r="CU310" s="115"/>
      <c r="CV310" s="99">
        <f t="shared" si="29"/>
        <v>0</v>
      </c>
      <c r="CW310" s="114"/>
      <c r="CX310" s="115"/>
      <c r="CY310" s="114"/>
      <c r="CZ310" s="115"/>
      <c r="DA310" s="115"/>
      <c r="DB310" s="115"/>
      <c r="DC310" s="114"/>
      <c r="DD310" s="115"/>
      <c r="DE310" s="97"/>
      <c r="DF310" s="269"/>
    </row>
    <row r="311" spans="1:110" s="270" customFormat="1" ht="24" x14ac:dyDescent="0.2">
      <c r="A311" s="89">
        <v>40627</v>
      </c>
      <c r="B311" s="90" t="s">
        <v>4348</v>
      </c>
      <c r="C311" s="90" t="s">
        <v>2228</v>
      </c>
      <c r="D311" s="90" t="s">
        <v>3346</v>
      </c>
      <c r="E311" s="90" t="str">
        <f>VLOOKUP(B311&amp;C311,Divipola!$C$2:$F$1138,4,FALSE)</f>
        <v>66001</v>
      </c>
      <c r="F311" s="90"/>
      <c r="G311" s="101"/>
      <c r="H311" s="101"/>
      <c r="I311" s="101"/>
      <c r="J311" s="101">
        <v>95</v>
      </c>
      <c r="K311" s="101">
        <v>19</v>
      </c>
      <c r="L311" s="101"/>
      <c r="M311" s="101">
        <v>19</v>
      </c>
      <c r="N311" s="101"/>
      <c r="O311" s="101"/>
      <c r="P311" s="101"/>
      <c r="Q311" s="101"/>
      <c r="R311" s="101"/>
      <c r="S311" s="101"/>
      <c r="T311" s="101"/>
      <c r="U311" s="101"/>
      <c r="V311" s="101"/>
      <c r="W311" s="91"/>
      <c r="X311" s="89"/>
      <c r="Y311" s="92">
        <f t="shared" si="24"/>
        <v>0</v>
      </c>
      <c r="Z311" s="92">
        <f t="shared" si="25"/>
        <v>0</v>
      </c>
      <c r="AA311" s="92">
        <f t="shared" si="26"/>
        <v>0</v>
      </c>
      <c r="AB311" s="92">
        <f t="shared" si="27"/>
        <v>0</v>
      </c>
      <c r="AC311" s="92"/>
      <c r="AD311" s="92">
        <v>0</v>
      </c>
      <c r="AE311" s="92">
        <f t="shared" si="28"/>
        <v>0</v>
      </c>
      <c r="AF311" s="93">
        <v>0</v>
      </c>
      <c r="AG311" s="89">
        <v>40630</v>
      </c>
      <c r="AH311" s="94"/>
      <c r="AI311" s="102" t="s">
        <v>4336</v>
      </c>
      <c r="AJ311" s="96" t="s">
        <v>4337</v>
      </c>
      <c r="AK311" s="97"/>
      <c r="AL311" s="89"/>
      <c r="AM311" s="100" t="s">
        <v>2288</v>
      </c>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114"/>
      <c r="CQ311" s="115"/>
      <c r="CR311" s="114"/>
      <c r="CS311" s="115"/>
      <c r="CT311" s="114"/>
      <c r="CU311" s="115"/>
      <c r="CV311" s="99">
        <f t="shared" si="29"/>
        <v>0</v>
      </c>
      <c r="CW311" s="114"/>
      <c r="CX311" s="115"/>
      <c r="CY311" s="114"/>
      <c r="CZ311" s="115"/>
      <c r="DA311" s="115"/>
      <c r="DB311" s="115"/>
      <c r="DC311" s="114"/>
      <c r="DD311" s="115"/>
      <c r="DE311" s="97"/>
      <c r="DF311" s="269"/>
    </row>
    <row r="312" spans="1:110" s="270" customFormat="1" ht="48" x14ac:dyDescent="0.2">
      <c r="A312" s="89">
        <v>40627</v>
      </c>
      <c r="B312" s="90" t="s">
        <v>2226</v>
      </c>
      <c r="C312" s="90" t="s">
        <v>2259</v>
      </c>
      <c r="D312" s="90" t="s">
        <v>4264</v>
      </c>
      <c r="E312" s="90" t="str">
        <f>VLOOKUP(B312&amp;C312,Divipola!$C$2:$F$1138,4,FALSE)</f>
        <v>68077</v>
      </c>
      <c r="F312" s="90"/>
      <c r="G312" s="101"/>
      <c r="H312" s="101"/>
      <c r="I312" s="101"/>
      <c r="J312" s="101">
        <v>65</v>
      </c>
      <c r="K312" s="101">
        <v>14</v>
      </c>
      <c r="L312" s="101"/>
      <c r="M312" s="101">
        <v>14</v>
      </c>
      <c r="N312" s="101"/>
      <c r="O312" s="101"/>
      <c r="P312" s="101"/>
      <c r="Q312" s="101"/>
      <c r="R312" s="101"/>
      <c r="S312" s="101"/>
      <c r="T312" s="101"/>
      <c r="U312" s="101"/>
      <c r="V312" s="101"/>
      <c r="W312" s="91"/>
      <c r="X312" s="89"/>
      <c r="Y312" s="92">
        <f t="shared" si="24"/>
        <v>0</v>
      </c>
      <c r="Z312" s="92">
        <f t="shared" si="25"/>
        <v>0</v>
      </c>
      <c r="AA312" s="92">
        <f t="shared" si="26"/>
        <v>0</v>
      </c>
      <c r="AB312" s="92">
        <f t="shared" si="27"/>
        <v>0</v>
      </c>
      <c r="AC312" s="92"/>
      <c r="AD312" s="92">
        <v>0</v>
      </c>
      <c r="AE312" s="92">
        <f t="shared" si="28"/>
        <v>0</v>
      </c>
      <c r="AF312" s="93">
        <v>0</v>
      </c>
      <c r="AG312" s="89">
        <v>40630</v>
      </c>
      <c r="AH312" s="94"/>
      <c r="AI312" s="95" t="s">
        <v>4336</v>
      </c>
      <c r="AJ312" s="96" t="s">
        <v>4337</v>
      </c>
      <c r="AK312" s="97"/>
      <c r="AL312" s="89"/>
      <c r="AM312" s="100" t="s">
        <v>973</v>
      </c>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114"/>
      <c r="CQ312" s="115"/>
      <c r="CR312" s="114"/>
      <c r="CS312" s="115"/>
      <c r="CT312" s="114"/>
      <c r="CU312" s="115"/>
      <c r="CV312" s="99">
        <f t="shared" si="29"/>
        <v>0</v>
      </c>
      <c r="CW312" s="114"/>
      <c r="CX312" s="115"/>
      <c r="CY312" s="114"/>
      <c r="CZ312" s="115"/>
      <c r="DA312" s="115"/>
      <c r="DB312" s="115"/>
      <c r="DC312" s="114"/>
      <c r="DD312" s="115"/>
      <c r="DE312" s="97"/>
      <c r="DF312" s="269"/>
    </row>
    <row r="313" spans="1:110" s="270" customFormat="1" x14ac:dyDescent="0.2">
      <c r="A313" s="89">
        <v>40627</v>
      </c>
      <c r="B313" s="90" t="s">
        <v>3316</v>
      </c>
      <c r="C313" s="90" t="s">
        <v>3527</v>
      </c>
      <c r="D313" s="90" t="s">
        <v>4264</v>
      </c>
      <c r="E313" s="90" t="str">
        <f>VLOOKUP(B313&amp;C313,Divipola!$C$2:$F$1138,4,FALSE)</f>
        <v>73319</v>
      </c>
      <c r="F313" s="90"/>
      <c r="G313" s="101"/>
      <c r="H313" s="101"/>
      <c r="I313" s="101"/>
      <c r="J313" s="101">
        <v>351</v>
      </c>
      <c r="K313" s="101">
        <v>78</v>
      </c>
      <c r="L313" s="101"/>
      <c r="M313" s="101">
        <v>78</v>
      </c>
      <c r="N313" s="101"/>
      <c r="O313" s="101"/>
      <c r="P313" s="101"/>
      <c r="Q313" s="101"/>
      <c r="R313" s="101"/>
      <c r="S313" s="101"/>
      <c r="T313" s="101"/>
      <c r="U313" s="101"/>
      <c r="V313" s="101"/>
      <c r="W313" s="91"/>
      <c r="X313" s="89"/>
      <c r="Y313" s="92">
        <f t="shared" si="24"/>
        <v>0</v>
      </c>
      <c r="Z313" s="92">
        <f t="shared" si="25"/>
        <v>0</v>
      </c>
      <c r="AA313" s="92">
        <f t="shared" si="26"/>
        <v>0</v>
      </c>
      <c r="AB313" s="92">
        <f t="shared" si="27"/>
        <v>0</v>
      </c>
      <c r="AC313" s="92"/>
      <c r="AD313" s="92">
        <v>0</v>
      </c>
      <c r="AE313" s="92">
        <f t="shared" si="28"/>
        <v>0</v>
      </c>
      <c r="AF313" s="93">
        <v>0</v>
      </c>
      <c r="AG313" s="89"/>
      <c r="AH313" s="94"/>
      <c r="AI313" s="102" t="s">
        <v>4336</v>
      </c>
      <c r="AJ313" s="96" t="s">
        <v>4337</v>
      </c>
      <c r="AK313" s="97"/>
      <c r="AL313" s="89"/>
      <c r="AM313" s="100" t="s">
        <v>3530</v>
      </c>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114"/>
      <c r="CQ313" s="115"/>
      <c r="CR313" s="114"/>
      <c r="CS313" s="115"/>
      <c r="CT313" s="114"/>
      <c r="CU313" s="115"/>
      <c r="CV313" s="99">
        <f t="shared" si="29"/>
        <v>0</v>
      </c>
      <c r="CW313" s="114"/>
      <c r="CX313" s="115"/>
      <c r="CY313" s="114"/>
      <c r="CZ313" s="115"/>
      <c r="DA313" s="115"/>
      <c r="DB313" s="115"/>
      <c r="DC313" s="114"/>
      <c r="DD313" s="115"/>
      <c r="DE313" s="97"/>
      <c r="DF313" s="269"/>
    </row>
    <row r="314" spans="1:110" s="270" customFormat="1" ht="45" x14ac:dyDescent="0.2">
      <c r="A314" s="89">
        <v>40628</v>
      </c>
      <c r="B314" s="90" t="s">
        <v>3533</v>
      </c>
      <c r="C314" s="90" t="s">
        <v>862</v>
      </c>
      <c r="D314" s="90" t="s">
        <v>2362</v>
      </c>
      <c r="E314" s="90" t="str">
        <f>VLOOKUP(B314&amp;C314,Divipola!$C$2:$F$1138,4,FALSE)</f>
        <v>17001</v>
      </c>
      <c r="F314" s="90"/>
      <c r="G314" s="101"/>
      <c r="H314" s="101"/>
      <c r="I314" s="101"/>
      <c r="J314" s="101">
        <v>85</v>
      </c>
      <c r="K314" s="101">
        <v>17</v>
      </c>
      <c r="L314" s="101">
        <v>10</v>
      </c>
      <c r="M314" s="101"/>
      <c r="N314" s="101"/>
      <c r="O314" s="101"/>
      <c r="P314" s="101"/>
      <c r="Q314" s="101"/>
      <c r="R314" s="101"/>
      <c r="S314" s="101"/>
      <c r="T314" s="101"/>
      <c r="U314" s="101"/>
      <c r="V314" s="101"/>
      <c r="W314" s="91" t="s">
        <v>977</v>
      </c>
      <c r="X314" s="89"/>
      <c r="Y314" s="92">
        <f t="shared" si="24"/>
        <v>0</v>
      </c>
      <c r="Z314" s="92">
        <f t="shared" si="25"/>
        <v>0</v>
      </c>
      <c r="AA314" s="92">
        <f t="shared" si="26"/>
        <v>0</v>
      </c>
      <c r="AB314" s="92">
        <f t="shared" si="27"/>
        <v>0</v>
      </c>
      <c r="AC314" s="92"/>
      <c r="AD314" s="92">
        <v>0</v>
      </c>
      <c r="AE314" s="92">
        <f t="shared" si="28"/>
        <v>0</v>
      </c>
      <c r="AF314" s="93">
        <v>0</v>
      </c>
      <c r="AG314" s="89">
        <v>40630</v>
      </c>
      <c r="AH314" s="94"/>
      <c r="AI314" s="95" t="s">
        <v>4336</v>
      </c>
      <c r="AJ314" s="96" t="s">
        <v>4337</v>
      </c>
      <c r="AK314" s="97"/>
      <c r="AL314" s="89"/>
      <c r="AM314" s="100" t="s">
        <v>2907</v>
      </c>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114"/>
      <c r="CQ314" s="115"/>
      <c r="CR314" s="114"/>
      <c r="CS314" s="115"/>
      <c r="CT314" s="114"/>
      <c r="CU314" s="115"/>
      <c r="CV314" s="99">
        <f t="shared" si="29"/>
        <v>0</v>
      </c>
      <c r="CW314" s="114"/>
      <c r="CX314" s="115"/>
      <c r="CY314" s="114"/>
      <c r="CZ314" s="115"/>
      <c r="DA314" s="115"/>
      <c r="DB314" s="115"/>
      <c r="DC314" s="114"/>
      <c r="DD314" s="115"/>
      <c r="DE314" s="97"/>
      <c r="DF314" s="269"/>
    </row>
    <row r="315" spans="1:110" s="270" customFormat="1" x14ac:dyDescent="0.2">
      <c r="A315" s="89">
        <v>40628</v>
      </c>
      <c r="B315" s="90" t="s">
        <v>3533</v>
      </c>
      <c r="C315" s="90" t="s">
        <v>2248</v>
      </c>
      <c r="D315" s="90" t="s">
        <v>3346</v>
      </c>
      <c r="E315" s="90" t="str">
        <f>VLOOKUP(B315&amp;C315,Divipola!$C$2:$F$1138,4,FALSE)</f>
        <v>17653</v>
      </c>
      <c r="F315" s="90"/>
      <c r="G315" s="101"/>
      <c r="H315" s="101"/>
      <c r="I315" s="101"/>
      <c r="J315" s="101">
        <v>50</v>
      </c>
      <c r="K315" s="101">
        <v>10</v>
      </c>
      <c r="L315" s="101"/>
      <c r="M315" s="101">
        <v>10</v>
      </c>
      <c r="N315" s="101"/>
      <c r="O315" s="101"/>
      <c r="P315" s="101"/>
      <c r="Q315" s="101"/>
      <c r="R315" s="101"/>
      <c r="S315" s="101"/>
      <c r="T315" s="101"/>
      <c r="U315" s="101"/>
      <c r="V315" s="101"/>
      <c r="W315" s="91"/>
      <c r="X315" s="89"/>
      <c r="Y315" s="92">
        <f t="shared" si="24"/>
        <v>0</v>
      </c>
      <c r="Z315" s="92">
        <f t="shared" si="25"/>
        <v>0</v>
      </c>
      <c r="AA315" s="92">
        <f t="shared" si="26"/>
        <v>0</v>
      </c>
      <c r="AB315" s="92">
        <f t="shared" si="27"/>
        <v>0</v>
      </c>
      <c r="AC315" s="92"/>
      <c r="AD315" s="92">
        <v>0</v>
      </c>
      <c r="AE315" s="92">
        <f t="shared" si="28"/>
        <v>0</v>
      </c>
      <c r="AF315" s="93">
        <v>0</v>
      </c>
      <c r="AG315" s="89">
        <v>40630</v>
      </c>
      <c r="AH315" s="94"/>
      <c r="AI315" s="95" t="s">
        <v>4336</v>
      </c>
      <c r="AJ315" s="96" t="s">
        <v>4337</v>
      </c>
      <c r="AK315" s="97"/>
      <c r="AL315" s="89"/>
      <c r="AM315" s="100" t="s">
        <v>3452</v>
      </c>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114"/>
      <c r="CQ315" s="115"/>
      <c r="CR315" s="114"/>
      <c r="CS315" s="115"/>
      <c r="CT315" s="114"/>
      <c r="CU315" s="115"/>
      <c r="CV315" s="99">
        <f t="shared" si="29"/>
        <v>0</v>
      </c>
      <c r="CW315" s="114"/>
      <c r="CX315" s="115"/>
      <c r="CY315" s="114"/>
      <c r="CZ315" s="115"/>
      <c r="DA315" s="115"/>
      <c r="DB315" s="115"/>
      <c r="DC315" s="114"/>
      <c r="DD315" s="115"/>
      <c r="DE315" s="97"/>
      <c r="DF315" s="269"/>
    </row>
    <row r="316" spans="1:110" s="270" customFormat="1" ht="24" x14ac:dyDescent="0.2">
      <c r="A316" s="89">
        <v>40628</v>
      </c>
      <c r="B316" s="90" t="s">
        <v>4219</v>
      </c>
      <c r="C316" s="90" t="s">
        <v>796</v>
      </c>
      <c r="D316" s="90" t="s">
        <v>4264</v>
      </c>
      <c r="E316" s="90" t="str">
        <f>VLOOKUP(B316&amp;C316,Divipola!$C$2:$F$1138,4,FALSE)</f>
        <v>41006</v>
      </c>
      <c r="F316" s="90"/>
      <c r="G316" s="101"/>
      <c r="H316" s="101"/>
      <c r="I316" s="101"/>
      <c r="J316" s="101">
        <f>12*5</f>
        <v>60</v>
      </c>
      <c r="K316" s="101">
        <v>12</v>
      </c>
      <c r="L316" s="101"/>
      <c r="M316" s="101">
        <v>12</v>
      </c>
      <c r="N316" s="101"/>
      <c r="O316" s="101"/>
      <c r="P316" s="101"/>
      <c r="Q316" s="101"/>
      <c r="R316" s="101"/>
      <c r="S316" s="101"/>
      <c r="T316" s="101"/>
      <c r="U316" s="101"/>
      <c r="V316" s="101"/>
      <c r="W316" s="91"/>
      <c r="X316" s="89"/>
      <c r="Y316" s="92">
        <f t="shared" si="24"/>
        <v>0</v>
      </c>
      <c r="Z316" s="92">
        <f t="shared" si="25"/>
        <v>0</v>
      </c>
      <c r="AA316" s="92">
        <f t="shared" si="26"/>
        <v>0</v>
      </c>
      <c r="AB316" s="92">
        <f t="shared" si="27"/>
        <v>0</v>
      </c>
      <c r="AC316" s="92"/>
      <c r="AD316" s="92">
        <v>0</v>
      </c>
      <c r="AE316" s="92">
        <f t="shared" si="28"/>
        <v>0</v>
      </c>
      <c r="AF316" s="93">
        <v>0</v>
      </c>
      <c r="AG316" s="89">
        <v>40630</v>
      </c>
      <c r="AH316" s="94"/>
      <c r="AI316" s="95" t="s">
        <v>4336</v>
      </c>
      <c r="AJ316" s="96" t="s">
        <v>4337</v>
      </c>
      <c r="AK316" s="97"/>
      <c r="AL316" s="89"/>
      <c r="AM316" s="100" t="s">
        <v>2290</v>
      </c>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114"/>
      <c r="CQ316" s="115"/>
      <c r="CR316" s="114"/>
      <c r="CS316" s="115"/>
      <c r="CT316" s="114"/>
      <c r="CU316" s="115"/>
      <c r="CV316" s="99">
        <f t="shared" si="29"/>
        <v>0</v>
      </c>
      <c r="CW316" s="114"/>
      <c r="CX316" s="115"/>
      <c r="CY316" s="114"/>
      <c r="CZ316" s="115"/>
      <c r="DA316" s="115"/>
      <c r="DB316" s="115"/>
      <c r="DC316" s="114"/>
      <c r="DD316" s="115"/>
      <c r="DE316" s="97"/>
      <c r="DF316" s="269">
        <v>1718</v>
      </c>
    </row>
    <row r="317" spans="1:110" s="270" customFormat="1" x14ac:dyDescent="0.2">
      <c r="A317" s="89">
        <v>40628</v>
      </c>
      <c r="B317" s="90" t="s">
        <v>3316</v>
      </c>
      <c r="C317" s="90" t="s">
        <v>3550</v>
      </c>
      <c r="D317" s="90" t="s">
        <v>4264</v>
      </c>
      <c r="E317" s="90" t="str">
        <f>VLOOKUP(B317&amp;C317,Divipola!$C$2:$F$1138,4,FALSE)</f>
        <v>73152</v>
      </c>
      <c r="F317" s="90"/>
      <c r="G317" s="101"/>
      <c r="H317" s="101"/>
      <c r="I317" s="101"/>
      <c r="J317" s="101">
        <v>95</v>
      </c>
      <c r="K317" s="101">
        <v>21</v>
      </c>
      <c r="L317" s="101"/>
      <c r="M317" s="101">
        <v>21</v>
      </c>
      <c r="N317" s="101"/>
      <c r="O317" s="101"/>
      <c r="P317" s="101"/>
      <c r="Q317" s="101"/>
      <c r="R317" s="101"/>
      <c r="S317" s="101"/>
      <c r="T317" s="101"/>
      <c r="U317" s="101"/>
      <c r="V317" s="101"/>
      <c r="W317" s="91"/>
      <c r="X317" s="89"/>
      <c r="Y317" s="92">
        <f t="shared" si="24"/>
        <v>0</v>
      </c>
      <c r="Z317" s="92">
        <f t="shared" si="25"/>
        <v>0</v>
      </c>
      <c r="AA317" s="92">
        <f t="shared" si="26"/>
        <v>0</v>
      </c>
      <c r="AB317" s="92">
        <f t="shared" si="27"/>
        <v>0</v>
      </c>
      <c r="AC317" s="92"/>
      <c r="AD317" s="92">
        <v>0</v>
      </c>
      <c r="AE317" s="92">
        <f t="shared" si="28"/>
        <v>0</v>
      </c>
      <c r="AF317" s="93">
        <v>0</v>
      </c>
      <c r="AG317" s="89"/>
      <c r="AH317" s="94"/>
      <c r="AI317" s="102" t="s">
        <v>4336</v>
      </c>
      <c r="AJ317" s="96" t="s">
        <v>4337</v>
      </c>
      <c r="AK317" s="97"/>
      <c r="AL317" s="89"/>
      <c r="AM317" s="100" t="s">
        <v>3530</v>
      </c>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114"/>
      <c r="CQ317" s="115"/>
      <c r="CR317" s="114"/>
      <c r="CS317" s="115"/>
      <c r="CT317" s="114"/>
      <c r="CU317" s="115"/>
      <c r="CV317" s="99">
        <f t="shared" si="29"/>
        <v>0</v>
      </c>
      <c r="CW317" s="114"/>
      <c r="CX317" s="115"/>
      <c r="CY317" s="114"/>
      <c r="CZ317" s="115"/>
      <c r="DA317" s="115"/>
      <c r="DB317" s="115"/>
      <c r="DC317" s="114"/>
      <c r="DD317" s="115"/>
      <c r="DE317" s="97"/>
      <c r="DF317" s="269"/>
    </row>
    <row r="318" spans="1:110" s="270" customFormat="1" ht="36" x14ac:dyDescent="0.2">
      <c r="A318" s="89">
        <v>40628</v>
      </c>
      <c r="B318" s="90" t="s">
        <v>4244</v>
      </c>
      <c r="C318" s="90" t="s">
        <v>3332</v>
      </c>
      <c r="D318" s="90" t="s">
        <v>3346</v>
      </c>
      <c r="E318" s="90" t="str">
        <f>VLOOKUP(B318&amp;C318,Divipola!$C$2:$F$1138,4,FALSE)</f>
        <v>76233</v>
      </c>
      <c r="F318" s="90"/>
      <c r="G318" s="101"/>
      <c r="H318" s="101"/>
      <c r="I318" s="101"/>
      <c r="J318" s="101">
        <v>65</v>
      </c>
      <c r="K318" s="101">
        <v>13</v>
      </c>
      <c r="L318" s="101"/>
      <c r="M318" s="101">
        <v>13</v>
      </c>
      <c r="N318" s="101"/>
      <c r="O318" s="101"/>
      <c r="P318" s="101"/>
      <c r="Q318" s="101"/>
      <c r="R318" s="101"/>
      <c r="S318" s="101"/>
      <c r="T318" s="101"/>
      <c r="U318" s="101"/>
      <c r="V318" s="101"/>
      <c r="W318" s="91"/>
      <c r="X318" s="89"/>
      <c r="Y318" s="92">
        <f t="shared" si="24"/>
        <v>0</v>
      </c>
      <c r="Z318" s="92">
        <f t="shared" si="25"/>
        <v>0</v>
      </c>
      <c r="AA318" s="92">
        <f t="shared" si="26"/>
        <v>0</v>
      </c>
      <c r="AB318" s="92">
        <f t="shared" si="27"/>
        <v>0</v>
      </c>
      <c r="AC318" s="92"/>
      <c r="AD318" s="92">
        <v>0</v>
      </c>
      <c r="AE318" s="92">
        <f t="shared" si="28"/>
        <v>0</v>
      </c>
      <c r="AF318" s="93">
        <v>0</v>
      </c>
      <c r="AG318" s="89">
        <v>40630</v>
      </c>
      <c r="AH318" s="94"/>
      <c r="AI318" s="102" t="s">
        <v>4336</v>
      </c>
      <c r="AJ318" s="96" t="s">
        <v>4337</v>
      </c>
      <c r="AK318" s="97"/>
      <c r="AL318" s="89"/>
      <c r="AM318" s="100" t="s">
        <v>976</v>
      </c>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114"/>
      <c r="CQ318" s="115"/>
      <c r="CR318" s="114"/>
      <c r="CS318" s="115"/>
      <c r="CT318" s="114"/>
      <c r="CU318" s="115"/>
      <c r="CV318" s="99">
        <f t="shared" si="29"/>
        <v>0</v>
      </c>
      <c r="CW318" s="114"/>
      <c r="CX318" s="115"/>
      <c r="CY318" s="114"/>
      <c r="CZ318" s="115"/>
      <c r="DA318" s="115"/>
      <c r="DB318" s="115"/>
      <c r="DC318" s="114"/>
      <c r="DD318" s="115"/>
      <c r="DE318" s="97"/>
      <c r="DF318" s="269"/>
    </row>
    <row r="319" spans="1:110" s="270" customFormat="1" ht="36" x14ac:dyDescent="0.2">
      <c r="A319" s="89">
        <v>40629</v>
      </c>
      <c r="B319" s="90" t="s">
        <v>3301</v>
      </c>
      <c r="C319" s="90" t="s">
        <v>2255</v>
      </c>
      <c r="D319" s="90" t="s">
        <v>4264</v>
      </c>
      <c r="E319" s="90" t="str">
        <f>VLOOKUP(B319&amp;C319,Divipola!$C$2:$F$1138,4,FALSE)</f>
        <v>81065</v>
      </c>
      <c r="F319" s="90"/>
      <c r="G319" s="101"/>
      <c r="H319" s="101"/>
      <c r="I319" s="101"/>
      <c r="J319" s="101">
        <v>100</v>
      </c>
      <c r="K319" s="101">
        <v>20</v>
      </c>
      <c r="L319" s="101"/>
      <c r="M319" s="101">
        <v>20</v>
      </c>
      <c r="N319" s="101"/>
      <c r="O319" s="101"/>
      <c r="P319" s="101"/>
      <c r="Q319" s="101"/>
      <c r="R319" s="101"/>
      <c r="S319" s="101"/>
      <c r="T319" s="101"/>
      <c r="U319" s="101"/>
      <c r="V319" s="101"/>
      <c r="W319" s="91"/>
      <c r="X319" s="89"/>
      <c r="Y319" s="92">
        <f t="shared" si="24"/>
        <v>0</v>
      </c>
      <c r="Z319" s="92">
        <f t="shared" si="25"/>
        <v>0</v>
      </c>
      <c r="AA319" s="92">
        <f t="shared" si="26"/>
        <v>0</v>
      </c>
      <c r="AB319" s="92">
        <f t="shared" si="27"/>
        <v>0</v>
      </c>
      <c r="AC319" s="92"/>
      <c r="AD319" s="92">
        <v>0</v>
      </c>
      <c r="AE319" s="92">
        <f t="shared" si="28"/>
        <v>0</v>
      </c>
      <c r="AF319" s="93">
        <v>0</v>
      </c>
      <c r="AG319" s="89">
        <v>40630</v>
      </c>
      <c r="AH319" s="94"/>
      <c r="AI319" s="95" t="s">
        <v>4346</v>
      </c>
      <c r="AJ319" s="96" t="s">
        <v>4347</v>
      </c>
      <c r="AK319" s="97"/>
      <c r="AL319" s="105" t="s">
        <v>2798</v>
      </c>
      <c r="AM319" s="100" t="s">
        <v>978</v>
      </c>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114"/>
      <c r="CQ319" s="115"/>
      <c r="CR319" s="114"/>
      <c r="CS319" s="115"/>
      <c r="CT319" s="114"/>
      <c r="CU319" s="115"/>
      <c r="CV319" s="99">
        <f t="shared" si="29"/>
        <v>0</v>
      </c>
      <c r="CW319" s="114"/>
      <c r="CX319" s="115"/>
      <c r="CY319" s="114"/>
      <c r="CZ319" s="115"/>
      <c r="DA319" s="115"/>
      <c r="DB319" s="115"/>
      <c r="DC319" s="114"/>
      <c r="DD319" s="115"/>
      <c r="DE319" s="97"/>
      <c r="DF319" s="269"/>
    </row>
    <row r="320" spans="1:110" s="270" customFormat="1" ht="24" x14ac:dyDescent="0.2">
      <c r="A320" s="89">
        <v>40629</v>
      </c>
      <c r="B320" s="90" t="s">
        <v>4221</v>
      </c>
      <c r="C320" s="90" t="s">
        <v>4299</v>
      </c>
      <c r="D320" s="90" t="s">
        <v>4298</v>
      </c>
      <c r="E320" s="90" t="str">
        <f>VLOOKUP(B320&amp;C320,Divipola!$C$2:$F$1138,4,FALSE)</f>
        <v>54001</v>
      </c>
      <c r="F320" s="90"/>
      <c r="G320" s="101">
        <v>1</v>
      </c>
      <c r="H320" s="101">
        <v>2</v>
      </c>
      <c r="I320" s="101"/>
      <c r="J320" s="101">
        <v>10</v>
      </c>
      <c r="K320" s="101">
        <v>2</v>
      </c>
      <c r="L320" s="101">
        <v>2</v>
      </c>
      <c r="M320" s="101"/>
      <c r="N320" s="101"/>
      <c r="O320" s="101"/>
      <c r="P320" s="101"/>
      <c r="Q320" s="101"/>
      <c r="R320" s="101"/>
      <c r="S320" s="101"/>
      <c r="T320" s="101"/>
      <c r="U320" s="101"/>
      <c r="V320" s="101"/>
      <c r="W320" s="91"/>
      <c r="X320" s="89"/>
      <c r="Y320" s="92">
        <f t="shared" si="24"/>
        <v>0</v>
      </c>
      <c r="Z320" s="92">
        <f t="shared" si="25"/>
        <v>0</v>
      </c>
      <c r="AA320" s="92">
        <f t="shared" si="26"/>
        <v>0</v>
      </c>
      <c r="AB320" s="92">
        <f t="shared" si="27"/>
        <v>0</v>
      </c>
      <c r="AC320" s="92"/>
      <c r="AD320" s="92">
        <v>0</v>
      </c>
      <c r="AE320" s="92">
        <f t="shared" si="28"/>
        <v>0</v>
      </c>
      <c r="AF320" s="93">
        <v>0</v>
      </c>
      <c r="AG320" s="89">
        <v>40630</v>
      </c>
      <c r="AH320" s="94"/>
      <c r="AI320" s="102" t="s">
        <v>4336</v>
      </c>
      <c r="AJ320" s="96" t="s">
        <v>4337</v>
      </c>
      <c r="AK320" s="97"/>
      <c r="AL320" s="89"/>
      <c r="AM320" s="100" t="s">
        <v>975</v>
      </c>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114"/>
      <c r="CQ320" s="115"/>
      <c r="CR320" s="114"/>
      <c r="CS320" s="115"/>
      <c r="CT320" s="114"/>
      <c r="CU320" s="115"/>
      <c r="CV320" s="99">
        <f t="shared" si="29"/>
        <v>0</v>
      </c>
      <c r="CW320" s="114"/>
      <c r="CX320" s="115"/>
      <c r="CY320" s="114"/>
      <c r="CZ320" s="115"/>
      <c r="DA320" s="115"/>
      <c r="DB320" s="115"/>
      <c r="DC320" s="114"/>
      <c r="DD320" s="115"/>
      <c r="DE320" s="97"/>
      <c r="DF320" s="269"/>
    </row>
    <row r="321" spans="1:110" s="270" customFormat="1" ht="24" x14ac:dyDescent="0.2">
      <c r="A321" s="89">
        <v>40629</v>
      </c>
      <c r="B321" s="90" t="s">
        <v>4263</v>
      </c>
      <c r="C321" s="90" t="s">
        <v>4250</v>
      </c>
      <c r="D321" s="90" t="s">
        <v>4298</v>
      </c>
      <c r="E321" s="90" t="str">
        <f>VLOOKUP(B321&amp;C321,Divipola!$C$2:$F$1138,4,FALSE)</f>
        <v>86320</v>
      </c>
      <c r="F321" s="90"/>
      <c r="G321" s="101"/>
      <c r="H321" s="101"/>
      <c r="I321" s="101"/>
      <c r="J321" s="101">
        <v>10</v>
      </c>
      <c r="K321" s="101">
        <v>2</v>
      </c>
      <c r="L321" s="101"/>
      <c r="M321" s="101">
        <v>2</v>
      </c>
      <c r="N321" s="101"/>
      <c r="O321" s="101"/>
      <c r="P321" s="101"/>
      <c r="Q321" s="101"/>
      <c r="R321" s="101"/>
      <c r="S321" s="101"/>
      <c r="T321" s="101"/>
      <c r="U321" s="101"/>
      <c r="V321" s="101"/>
      <c r="W321" s="91" t="s">
        <v>985</v>
      </c>
      <c r="X321" s="89"/>
      <c r="Y321" s="92">
        <f t="shared" si="24"/>
        <v>0</v>
      </c>
      <c r="Z321" s="92">
        <f t="shared" si="25"/>
        <v>0</v>
      </c>
      <c r="AA321" s="92">
        <f t="shared" si="26"/>
        <v>0</v>
      </c>
      <c r="AB321" s="92">
        <f t="shared" si="27"/>
        <v>0</v>
      </c>
      <c r="AC321" s="92"/>
      <c r="AD321" s="92">
        <v>0</v>
      </c>
      <c r="AE321" s="92">
        <f t="shared" si="28"/>
        <v>0</v>
      </c>
      <c r="AF321" s="93">
        <v>0</v>
      </c>
      <c r="AG321" s="89">
        <v>40630</v>
      </c>
      <c r="AH321" s="94"/>
      <c r="AI321" s="95" t="s">
        <v>4336</v>
      </c>
      <c r="AJ321" s="96" t="s">
        <v>4337</v>
      </c>
      <c r="AK321" s="97"/>
      <c r="AL321" s="89"/>
      <c r="AM321" s="100" t="s">
        <v>984</v>
      </c>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114"/>
      <c r="CQ321" s="115"/>
      <c r="CR321" s="114"/>
      <c r="CS321" s="115"/>
      <c r="CT321" s="114"/>
      <c r="CU321" s="115"/>
      <c r="CV321" s="99">
        <f t="shared" si="29"/>
        <v>0</v>
      </c>
      <c r="CW321" s="114"/>
      <c r="CX321" s="115"/>
      <c r="CY321" s="114"/>
      <c r="CZ321" s="115"/>
      <c r="DA321" s="115"/>
      <c r="DB321" s="115"/>
      <c r="DC321" s="114"/>
      <c r="DD321" s="115"/>
      <c r="DE321" s="97"/>
      <c r="DF321" s="269"/>
    </row>
    <row r="322" spans="1:110" s="270" customFormat="1" ht="22.5" x14ac:dyDescent="0.2">
      <c r="A322" s="89">
        <v>40629</v>
      </c>
      <c r="B322" s="90" t="s">
        <v>4348</v>
      </c>
      <c r="C322" s="90" t="s">
        <v>4313</v>
      </c>
      <c r="D322" s="90" t="s">
        <v>2362</v>
      </c>
      <c r="E322" s="90" t="str">
        <f>VLOOKUP(B322&amp;C322,Divipola!$C$2:$F$1138,4,FALSE)</f>
        <v>66318</v>
      </c>
      <c r="F322" s="101"/>
      <c r="G322" s="101"/>
      <c r="H322" s="101"/>
      <c r="I322" s="101"/>
      <c r="J322" s="101">
        <v>36</v>
      </c>
      <c r="K322" s="101">
        <v>6</v>
      </c>
      <c r="L322" s="101"/>
      <c r="M322" s="101">
        <v>6</v>
      </c>
      <c r="N322" s="101"/>
      <c r="O322" s="101"/>
      <c r="P322" s="101"/>
      <c r="Q322" s="101"/>
      <c r="R322" s="101"/>
      <c r="S322" s="101"/>
      <c r="T322" s="101"/>
      <c r="U322" s="91"/>
      <c r="V322" s="89"/>
      <c r="W322" s="92"/>
      <c r="X322" s="92"/>
      <c r="Y322" s="92">
        <f t="shared" si="24"/>
        <v>0</v>
      </c>
      <c r="Z322" s="92">
        <f t="shared" si="25"/>
        <v>0</v>
      </c>
      <c r="AA322" s="92">
        <f t="shared" si="26"/>
        <v>0</v>
      </c>
      <c r="AB322" s="92">
        <f t="shared" si="27"/>
        <v>0</v>
      </c>
      <c r="AC322" s="92"/>
      <c r="AD322" s="92">
        <v>0</v>
      </c>
      <c r="AE322" s="92">
        <f t="shared" si="28"/>
        <v>0</v>
      </c>
      <c r="AF322" s="93">
        <v>0</v>
      </c>
      <c r="AG322" s="89"/>
      <c r="AH322" s="96"/>
      <c r="AI322" s="102" t="s">
        <v>4336</v>
      </c>
      <c r="AJ322" s="96" t="s">
        <v>4337</v>
      </c>
      <c r="AK322" s="100"/>
      <c r="AL322" s="89"/>
      <c r="AM322" s="90" t="s">
        <v>880</v>
      </c>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114"/>
      <c r="CQ322" s="115"/>
      <c r="CR322" s="114"/>
      <c r="CS322" s="115"/>
      <c r="CT322" s="114"/>
      <c r="CU322" s="115"/>
      <c r="CV322" s="99">
        <f t="shared" si="29"/>
        <v>0</v>
      </c>
      <c r="CW322" s="114"/>
      <c r="CX322" s="115"/>
      <c r="CY322" s="114"/>
      <c r="CZ322" s="115"/>
      <c r="DA322" s="115"/>
      <c r="DB322" s="115"/>
      <c r="DC322" s="114"/>
      <c r="DD322" s="115"/>
      <c r="DE322" s="97"/>
      <c r="DF322" s="269"/>
    </row>
    <row r="323" spans="1:110" s="270" customFormat="1" x14ac:dyDescent="0.2">
      <c r="A323" s="89">
        <v>40629</v>
      </c>
      <c r="B323" s="90" t="s">
        <v>4348</v>
      </c>
      <c r="C323" s="90" t="s">
        <v>3342</v>
      </c>
      <c r="D323" s="90" t="s">
        <v>2362</v>
      </c>
      <c r="E323" s="90" t="str">
        <f>VLOOKUP(B323&amp;C323,Divipola!$C$2:$F$1138,4,FALSE)</f>
        <v>66383</v>
      </c>
      <c r="F323" s="101"/>
      <c r="G323" s="101"/>
      <c r="H323" s="101"/>
      <c r="I323" s="101"/>
      <c r="J323" s="101">
        <v>30</v>
      </c>
      <c r="K323" s="101">
        <v>6</v>
      </c>
      <c r="L323" s="101"/>
      <c r="M323" s="101">
        <v>6</v>
      </c>
      <c r="N323" s="101"/>
      <c r="O323" s="101"/>
      <c r="P323" s="101"/>
      <c r="Q323" s="101"/>
      <c r="R323" s="101"/>
      <c r="S323" s="101"/>
      <c r="T323" s="101"/>
      <c r="U323" s="91"/>
      <c r="V323" s="89"/>
      <c r="W323" s="92"/>
      <c r="X323" s="92"/>
      <c r="Y323" s="92">
        <f t="shared" ref="Y323:Y386" si="30">CV323</f>
        <v>0</v>
      </c>
      <c r="Z323" s="92">
        <f t="shared" ref="Z323:Z386" si="31">CZ323</f>
        <v>0</v>
      </c>
      <c r="AA323" s="92">
        <f t="shared" ref="AA323:AA386" si="32">DB323+DD323</f>
        <v>0</v>
      </c>
      <c r="AB323" s="92">
        <f t="shared" ref="AB323:AB386" si="33">CX323</f>
        <v>0</v>
      </c>
      <c r="AC323" s="92"/>
      <c r="AD323" s="92">
        <v>0</v>
      </c>
      <c r="AE323" s="92">
        <f t="shared" ref="AE323:AE386" si="34">Y323+Z323+AA323+AB323+AC323+AD323</f>
        <v>0</v>
      </c>
      <c r="AF323" s="93">
        <v>0</v>
      </c>
      <c r="AG323" s="89"/>
      <c r="AH323" s="96"/>
      <c r="AI323" s="102" t="s">
        <v>4336</v>
      </c>
      <c r="AJ323" s="96" t="s">
        <v>4337</v>
      </c>
      <c r="AK323" s="100"/>
      <c r="AL323" s="89"/>
      <c r="AM323" s="90" t="s">
        <v>887</v>
      </c>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114"/>
      <c r="CQ323" s="115"/>
      <c r="CR323" s="114"/>
      <c r="CS323" s="115"/>
      <c r="CT323" s="114"/>
      <c r="CU323" s="115"/>
      <c r="CV323" s="99">
        <f t="shared" ref="CV323:CV386" si="35">AO323+AQ323+AS323+AU323+AW323+AY323+BA323+BC323+BE323+BG323+BI323+BK323+BM323+BO323+BQ323+BS323+BU323+BW323+BY323+CA323+CC323+CE323+CG323+CI323+CK323+CM323+CO323+CQ323+CS323+CU323</f>
        <v>0</v>
      </c>
      <c r="CW323" s="114"/>
      <c r="CX323" s="115"/>
      <c r="CY323" s="114"/>
      <c r="CZ323" s="115"/>
      <c r="DA323" s="115"/>
      <c r="DB323" s="115"/>
      <c r="DC323" s="114"/>
      <c r="DD323" s="115"/>
      <c r="DE323" s="97"/>
      <c r="DF323" s="269"/>
    </row>
    <row r="324" spans="1:110" s="270" customFormat="1" x14ac:dyDescent="0.2">
      <c r="A324" s="89">
        <v>40630</v>
      </c>
      <c r="B324" s="90" t="s">
        <v>4261</v>
      </c>
      <c r="C324" s="90" t="s">
        <v>2870</v>
      </c>
      <c r="D324" s="90" t="s">
        <v>3346</v>
      </c>
      <c r="E324" s="90" t="str">
        <f>VLOOKUP(B324&amp;C324,Divipola!$C$2:$F$1138,4,FALSE)</f>
        <v>15580</v>
      </c>
      <c r="F324" s="90"/>
      <c r="G324" s="101"/>
      <c r="H324" s="101"/>
      <c r="I324" s="101"/>
      <c r="J324" s="101">
        <f>130*5</f>
        <v>650</v>
      </c>
      <c r="K324" s="101">
        <v>130</v>
      </c>
      <c r="L324" s="101"/>
      <c r="M324" s="101">
        <v>130</v>
      </c>
      <c r="N324" s="101"/>
      <c r="O324" s="101"/>
      <c r="P324" s="101"/>
      <c r="Q324" s="101"/>
      <c r="R324" s="101"/>
      <c r="S324" s="101">
        <v>1</v>
      </c>
      <c r="T324" s="101">
        <v>1</v>
      </c>
      <c r="U324" s="101">
        <v>1</v>
      </c>
      <c r="V324" s="101"/>
      <c r="W324" s="91"/>
      <c r="X324" s="89"/>
      <c r="Y324" s="92">
        <f t="shared" si="30"/>
        <v>0</v>
      </c>
      <c r="Z324" s="92">
        <f t="shared" si="31"/>
        <v>0</v>
      </c>
      <c r="AA324" s="92">
        <f t="shared" si="32"/>
        <v>0</v>
      </c>
      <c r="AB324" s="92">
        <f t="shared" si="33"/>
        <v>0</v>
      </c>
      <c r="AC324" s="92"/>
      <c r="AD324" s="92">
        <v>0</v>
      </c>
      <c r="AE324" s="92">
        <f t="shared" si="34"/>
        <v>0</v>
      </c>
      <c r="AF324" s="93">
        <v>0</v>
      </c>
      <c r="AG324" s="89">
        <v>40630</v>
      </c>
      <c r="AH324" s="94"/>
      <c r="AI324" s="102" t="s">
        <v>4336</v>
      </c>
      <c r="AJ324" s="96" t="s">
        <v>4337</v>
      </c>
      <c r="AK324" s="97"/>
      <c r="AL324" s="89"/>
      <c r="AM324" s="100" t="s">
        <v>3734</v>
      </c>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114"/>
      <c r="CQ324" s="115"/>
      <c r="CR324" s="114"/>
      <c r="CS324" s="115"/>
      <c r="CT324" s="114"/>
      <c r="CU324" s="115"/>
      <c r="CV324" s="99">
        <f t="shared" si="35"/>
        <v>0</v>
      </c>
      <c r="CW324" s="114"/>
      <c r="CX324" s="115"/>
      <c r="CY324" s="114"/>
      <c r="CZ324" s="115"/>
      <c r="DA324" s="115"/>
      <c r="DB324" s="115"/>
      <c r="DC324" s="114"/>
      <c r="DD324" s="115"/>
      <c r="DE324" s="97"/>
      <c r="DF324" s="269"/>
    </row>
    <row r="325" spans="1:110" s="270" customFormat="1" x14ac:dyDescent="0.2">
      <c r="A325" s="89">
        <v>40630</v>
      </c>
      <c r="B325" s="90" t="s">
        <v>3533</v>
      </c>
      <c r="C325" s="90" t="s">
        <v>3394</v>
      </c>
      <c r="D325" s="90" t="s">
        <v>3346</v>
      </c>
      <c r="E325" s="90" t="str">
        <f>VLOOKUP(B325&amp;C325,Divipola!$C$2:$F$1138,4,FALSE)</f>
        <v>17662</v>
      </c>
      <c r="F325" s="90"/>
      <c r="G325" s="101"/>
      <c r="H325" s="101"/>
      <c r="I325" s="101"/>
      <c r="J325" s="101">
        <v>125</v>
      </c>
      <c r="K325" s="101">
        <v>25</v>
      </c>
      <c r="L325" s="101"/>
      <c r="M325" s="101">
        <v>5</v>
      </c>
      <c r="N325" s="101"/>
      <c r="O325" s="101"/>
      <c r="P325" s="101"/>
      <c r="Q325" s="101"/>
      <c r="R325" s="101"/>
      <c r="S325" s="101"/>
      <c r="T325" s="101"/>
      <c r="U325" s="101"/>
      <c r="V325" s="101"/>
      <c r="W325" s="91"/>
      <c r="X325" s="89"/>
      <c r="Y325" s="92">
        <f t="shared" si="30"/>
        <v>0</v>
      </c>
      <c r="Z325" s="92">
        <f t="shared" si="31"/>
        <v>0</v>
      </c>
      <c r="AA325" s="92">
        <f t="shared" si="32"/>
        <v>0</v>
      </c>
      <c r="AB325" s="92">
        <f t="shared" si="33"/>
        <v>0</v>
      </c>
      <c r="AC325" s="92"/>
      <c r="AD325" s="92">
        <v>0</v>
      </c>
      <c r="AE325" s="92">
        <f t="shared" si="34"/>
        <v>0</v>
      </c>
      <c r="AF325" s="93">
        <v>0</v>
      </c>
      <c r="AG325" s="89">
        <v>40630</v>
      </c>
      <c r="AH325" s="94"/>
      <c r="AI325" s="95" t="s">
        <v>4336</v>
      </c>
      <c r="AJ325" s="96" t="s">
        <v>4337</v>
      </c>
      <c r="AK325" s="97"/>
      <c r="AL325" s="89"/>
      <c r="AM325" s="100" t="s">
        <v>3530</v>
      </c>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114"/>
      <c r="CQ325" s="115"/>
      <c r="CR325" s="114"/>
      <c r="CS325" s="115"/>
      <c r="CT325" s="114"/>
      <c r="CU325" s="115"/>
      <c r="CV325" s="99">
        <f t="shared" si="35"/>
        <v>0</v>
      </c>
      <c r="CW325" s="114"/>
      <c r="CX325" s="115"/>
      <c r="CY325" s="114"/>
      <c r="CZ325" s="115"/>
      <c r="DA325" s="115"/>
      <c r="DB325" s="115"/>
      <c r="DC325" s="114"/>
      <c r="DD325" s="115"/>
      <c r="DE325" s="97"/>
      <c r="DF325" s="269"/>
    </row>
    <row r="326" spans="1:110" s="270" customFormat="1" ht="24" x14ac:dyDescent="0.2">
      <c r="A326" s="89">
        <v>40630</v>
      </c>
      <c r="B326" s="90" t="s">
        <v>4387</v>
      </c>
      <c r="C326" s="90" t="s">
        <v>965</v>
      </c>
      <c r="D326" s="90" t="s">
        <v>2362</v>
      </c>
      <c r="E326" s="90" t="str">
        <f>VLOOKUP(B326&amp;C326,Divipola!$C$2:$F$1138,4,FALSE)</f>
        <v>52418</v>
      </c>
      <c r="F326" s="90"/>
      <c r="G326" s="101"/>
      <c r="H326" s="101"/>
      <c r="I326" s="101"/>
      <c r="J326" s="101">
        <v>720</v>
      </c>
      <c r="K326" s="101">
        <v>183</v>
      </c>
      <c r="L326" s="101"/>
      <c r="M326" s="101">
        <v>183</v>
      </c>
      <c r="N326" s="101"/>
      <c r="O326" s="101"/>
      <c r="P326" s="101"/>
      <c r="Q326" s="101"/>
      <c r="R326" s="101"/>
      <c r="S326" s="101"/>
      <c r="T326" s="101"/>
      <c r="U326" s="101"/>
      <c r="V326" s="101"/>
      <c r="W326" s="91"/>
      <c r="X326" s="89"/>
      <c r="Y326" s="92">
        <f t="shared" si="30"/>
        <v>0</v>
      </c>
      <c r="Z326" s="92">
        <f t="shared" si="31"/>
        <v>0</v>
      </c>
      <c r="AA326" s="92">
        <f t="shared" si="32"/>
        <v>0</v>
      </c>
      <c r="AB326" s="92">
        <f t="shared" si="33"/>
        <v>0</v>
      </c>
      <c r="AC326" s="92"/>
      <c r="AD326" s="92">
        <v>0</v>
      </c>
      <c r="AE326" s="92">
        <f t="shared" si="34"/>
        <v>0</v>
      </c>
      <c r="AF326" s="93">
        <v>0</v>
      </c>
      <c r="AG326" s="89"/>
      <c r="AH326" s="94"/>
      <c r="AI326" s="95" t="s">
        <v>4336</v>
      </c>
      <c r="AJ326" s="96" t="s">
        <v>4337</v>
      </c>
      <c r="AK326" s="97"/>
      <c r="AL326" s="89"/>
      <c r="AM326" s="100" t="s">
        <v>2727</v>
      </c>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114"/>
      <c r="CQ326" s="115"/>
      <c r="CR326" s="114"/>
      <c r="CS326" s="115"/>
      <c r="CT326" s="114"/>
      <c r="CU326" s="115"/>
      <c r="CV326" s="99">
        <f t="shared" si="35"/>
        <v>0</v>
      </c>
      <c r="CW326" s="114"/>
      <c r="CX326" s="115"/>
      <c r="CY326" s="114"/>
      <c r="CZ326" s="115"/>
      <c r="DA326" s="115"/>
      <c r="DB326" s="115"/>
      <c r="DC326" s="114"/>
      <c r="DD326" s="115"/>
      <c r="DE326" s="97"/>
      <c r="DF326" s="269"/>
    </row>
    <row r="327" spans="1:110" s="270" customFormat="1" ht="24" x14ac:dyDescent="0.2">
      <c r="A327" s="89">
        <v>40630</v>
      </c>
      <c r="B327" s="90" t="s">
        <v>4387</v>
      </c>
      <c r="C327" s="90" t="s">
        <v>4387</v>
      </c>
      <c r="D327" s="90" t="s">
        <v>2362</v>
      </c>
      <c r="E327" s="90" t="str">
        <f>VLOOKUP(B327&amp;C327,Divipola!$C$2:$F$1138,4,FALSE)</f>
        <v>52480</v>
      </c>
      <c r="F327" s="90"/>
      <c r="G327" s="101"/>
      <c r="H327" s="101"/>
      <c r="I327" s="101"/>
      <c r="J327" s="101">
        <v>831</v>
      </c>
      <c r="K327" s="101">
        <v>786</v>
      </c>
      <c r="L327" s="101"/>
      <c r="M327" s="101">
        <v>15</v>
      </c>
      <c r="N327" s="101"/>
      <c r="O327" s="101"/>
      <c r="P327" s="101"/>
      <c r="Q327" s="101"/>
      <c r="R327" s="101"/>
      <c r="S327" s="101"/>
      <c r="T327" s="101"/>
      <c r="U327" s="101"/>
      <c r="V327" s="101"/>
      <c r="W327" s="91"/>
      <c r="X327" s="89"/>
      <c r="Y327" s="92">
        <f t="shared" si="30"/>
        <v>0</v>
      </c>
      <c r="Z327" s="92">
        <f t="shared" si="31"/>
        <v>0</v>
      </c>
      <c r="AA327" s="92">
        <f t="shared" si="32"/>
        <v>0</v>
      </c>
      <c r="AB327" s="92">
        <f t="shared" si="33"/>
        <v>0</v>
      </c>
      <c r="AC327" s="92"/>
      <c r="AD327" s="92">
        <v>0</v>
      </c>
      <c r="AE327" s="92">
        <f t="shared" si="34"/>
        <v>0</v>
      </c>
      <c r="AF327" s="93">
        <v>0</v>
      </c>
      <c r="AG327" s="89"/>
      <c r="AH327" s="94"/>
      <c r="AI327" s="95" t="s">
        <v>4336</v>
      </c>
      <c r="AJ327" s="96" t="s">
        <v>4337</v>
      </c>
      <c r="AK327" s="97"/>
      <c r="AL327" s="89"/>
      <c r="AM327" s="100" t="s">
        <v>2727</v>
      </c>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114"/>
      <c r="CQ327" s="115"/>
      <c r="CR327" s="114"/>
      <c r="CS327" s="115"/>
      <c r="CT327" s="114"/>
      <c r="CU327" s="115"/>
      <c r="CV327" s="99">
        <f t="shared" si="35"/>
        <v>0</v>
      </c>
      <c r="CW327" s="114"/>
      <c r="CX327" s="115"/>
      <c r="CY327" s="114"/>
      <c r="CZ327" s="115"/>
      <c r="DA327" s="115"/>
      <c r="DB327" s="115"/>
      <c r="DC327" s="114"/>
      <c r="DD327" s="115"/>
      <c r="DE327" s="97"/>
      <c r="DF327" s="269"/>
    </row>
    <row r="328" spans="1:110" s="270" customFormat="1" ht="24" x14ac:dyDescent="0.2">
      <c r="A328" s="89">
        <v>40630</v>
      </c>
      <c r="B328" s="90" t="s">
        <v>4387</v>
      </c>
      <c r="C328" s="90" t="s">
        <v>849</v>
      </c>
      <c r="D328" s="90" t="s">
        <v>2362</v>
      </c>
      <c r="E328" s="90" t="str">
        <f>VLOOKUP(B328&amp;C328,Divipola!$C$2:$F$1138,4,FALSE)</f>
        <v>52506</v>
      </c>
      <c r="F328" s="90"/>
      <c r="G328" s="101"/>
      <c r="H328" s="101"/>
      <c r="I328" s="101"/>
      <c r="J328" s="101">
        <v>280</v>
      </c>
      <c r="K328" s="101">
        <v>71</v>
      </c>
      <c r="L328" s="101"/>
      <c r="M328" s="101">
        <v>70</v>
      </c>
      <c r="N328" s="101"/>
      <c r="O328" s="101"/>
      <c r="P328" s="101"/>
      <c r="Q328" s="101"/>
      <c r="R328" s="101"/>
      <c r="S328" s="101"/>
      <c r="T328" s="101"/>
      <c r="U328" s="101"/>
      <c r="V328" s="101"/>
      <c r="W328" s="91"/>
      <c r="X328" s="89"/>
      <c r="Y328" s="92">
        <f t="shared" si="30"/>
        <v>0</v>
      </c>
      <c r="Z328" s="92">
        <f t="shared" si="31"/>
        <v>0</v>
      </c>
      <c r="AA328" s="92">
        <f t="shared" si="32"/>
        <v>0</v>
      </c>
      <c r="AB328" s="92">
        <f t="shared" si="33"/>
        <v>0</v>
      </c>
      <c r="AC328" s="92"/>
      <c r="AD328" s="92">
        <v>0</v>
      </c>
      <c r="AE328" s="92">
        <f t="shared" si="34"/>
        <v>0</v>
      </c>
      <c r="AF328" s="93">
        <v>0</v>
      </c>
      <c r="AG328" s="89"/>
      <c r="AH328" s="94"/>
      <c r="AI328" s="95" t="s">
        <v>4336</v>
      </c>
      <c r="AJ328" s="96" t="s">
        <v>4337</v>
      </c>
      <c r="AK328" s="97"/>
      <c r="AL328" s="89"/>
      <c r="AM328" s="100" t="s">
        <v>2727</v>
      </c>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114"/>
      <c r="CQ328" s="115"/>
      <c r="CR328" s="114"/>
      <c r="CS328" s="115"/>
      <c r="CT328" s="114"/>
      <c r="CU328" s="115"/>
      <c r="CV328" s="99">
        <f t="shared" si="35"/>
        <v>0</v>
      </c>
      <c r="CW328" s="114"/>
      <c r="CX328" s="115"/>
      <c r="CY328" s="114"/>
      <c r="CZ328" s="115"/>
      <c r="DA328" s="115"/>
      <c r="DB328" s="115"/>
      <c r="DC328" s="114"/>
      <c r="DD328" s="115"/>
      <c r="DE328" s="97"/>
      <c r="DF328" s="269"/>
    </row>
    <row r="329" spans="1:110" s="270" customFormat="1" ht="24" x14ac:dyDescent="0.2">
      <c r="A329" s="89">
        <v>40630</v>
      </c>
      <c r="B329" s="90" t="s">
        <v>4387</v>
      </c>
      <c r="C329" s="90" t="s">
        <v>4254</v>
      </c>
      <c r="D329" s="90" t="s">
        <v>4264</v>
      </c>
      <c r="E329" s="90" t="str">
        <f>VLOOKUP(B329&amp;C329,Divipola!$C$2:$F$1138,4,FALSE)</f>
        <v>52696</v>
      </c>
      <c r="F329" s="90"/>
      <c r="G329" s="101"/>
      <c r="H329" s="101"/>
      <c r="I329" s="101"/>
      <c r="J329" s="101">
        <v>345</v>
      </c>
      <c r="K329" s="101">
        <v>69</v>
      </c>
      <c r="L329" s="101"/>
      <c r="M329" s="101">
        <v>69</v>
      </c>
      <c r="N329" s="101"/>
      <c r="O329" s="101"/>
      <c r="P329" s="101"/>
      <c r="Q329" s="101"/>
      <c r="R329" s="101"/>
      <c r="S329" s="101"/>
      <c r="T329" s="101"/>
      <c r="U329" s="101"/>
      <c r="V329" s="101"/>
      <c r="W329" s="91"/>
      <c r="X329" s="89"/>
      <c r="Y329" s="92">
        <f t="shared" si="30"/>
        <v>0</v>
      </c>
      <c r="Z329" s="92">
        <f t="shared" si="31"/>
        <v>0</v>
      </c>
      <c r="AA329" s="92">
        <f t="shared" si="32"/>
        <v>0</v>
      </c>
      <c r="AB329" s="92">
        <f t="shared" si="33"/>
        <v>0</v>
      </c>
      <c r="AC329" s="92"/>
      <c r="AD329" s="92">
        <v>0</v>
      </c>
      <c r="AE329" s="92">
        <f t="shared" si="34"/>
        <v>0</v>
      </c>
      <c r="AF329" s="93">
        <v>0</v>
      </c>
      <c r="AG329" s="89"/>
      <c r="AH329" s="94"/>
      <c r="AI329" s="95" t="s">
        <v>4336</v>
      </c>
      <c r="AJ329" s="96" t="s">
        <v>4337</v>
      </c>
      <c r="AK329" s="97"/>
      <c r="AL329" s="89"/>
      <c r="AM329" s="100" t="s">
        <v>2727</v>
      </c>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114"/>
      <c r="CQ329" s="115"/>
      <c r="CR329" s="114"/>
      <c r="CS329" s="115"/>
      <c r="CT329" s="114"/>
      <c r="CU329" s="115"/>
      <c r="CV329" s="99">
        <f t="shared" si="35"/>
        <v>0</v>
      </c>
      <c r="CW329" s="114"/>
      <c r="CX329" s="115"/>
      <c r="CY329" s="114"/>
      <c r="CZ329" s="115"/>
      <c r="DA329" s="115"/>
      <c r="DB329" s="115"/>
      <c r="DC329" s="114"/>
      <c r="DD329" s="115"/>
      <c r="DE329" s="97"/>
      <c r="DF329" s="269"/>
    </row>
    <row r="330" spans="1:110" s="270" customFormat="1" ht="24" x14ac:dyDescent="0.2">
      <c r="A330" s="89">
        <v>40630</v>
      </c>
      <c r="B330" s="90" t="s">
        <v>4350</v>
      </c>
      <c r="C330" s="90" t="s">
        <v>3507</v>
      </c>
      <c r="D330" s="90" t="s">
        <v>3346</v>
      </c>
      <c r="E330" s="90" t="str">
        <f>VLOOKUP(B330&amp;C330,Divipola!$C$2:$F$1138,4,FALSE)</f>
        <v>63470</v>
      </c>
      <c r="F330" s="90"/>
      <c r="G330" s="101"/>
      <c r="H330" s="101"/>
      <c r="I330" s="101"/>
      <c r="J330" s="101">
        <v>577</v>
      </c>
      <c r="K330" s="101">
        <v>141</v>
      </c>
      <c r="L330" s="101"/>
      <c r="M330" s="101">
        <v>141</v>
      </c>
      <c r="N330" s="101"/>
      <c r="O330" s="101"/>
      <c r="P330" s="101"/>
      <c r="Q330" s="101"/>
      <c r="R330" s="101"/>
      <c r="S330" s="101"/>
      <c r="T330" s="101">
        <v>2</v>
      </c>
      <c r="U330" s="101"/>
      <c r="V330" s="101"/>
      <c r="W330" s="91"/>
      <c r="X330" s="89"/>
      <c r="Y330" s="92">
        <f t="shared" si="30"/>
        <v>18316200</v>
      </c>
      <c r="Z330" s="92">
        <f t="shared" si="31"/>
        <v>2975000</v>
      </c>
      <c r="AA330" s="92">
        <f t="shared" si="32"/>
        <v>15771000</v>
      </c>
      <c r="AB330" s="92">
        <f t="shared" si="33"/>
        <v>0</v>
      </c>
      <c r="AC330" s="92"/>
      <c r="AD330" s="92">
        <v>0</v>
      </c>
      <c r="AE330" s="92">
        <f t="shared" si="34"/>
        <v>37062200</v>
      </c>
      <c r="AF330" s="93">
        <v>0</v>
      </c>
      <c r="AG330" s="89">
        <v>40630</v>
      </c>
      <c r="AH330" s="94"/>
      <c r="AI330" s="95" t="s">
        <v>4346</v>
      </c>
      <c r="AJ330" s="96" t="s">
        <v>4347</v>
      </c>
      <c r="AK330" s="97"/>
      <c r="AL330" s="89"/>
      <c r="AM330" s="100" t="s">
        <v>986</v>
      </c>
      <c r="AN330" s="91"/>
      <c r="AO330" s="91"/>
      <c r="AP330" s="91"/>
      <c r="AQ330" s="91"/>
      <c r="AR330" s="91"/>
      <c r="AS330" s="91"/>
      <c r="AT330" s="91"/>
      <c r="AU330" s="91"/>
      <c r="AV330" s="91"/>
      <c r="AW330" s="91"/>
      <c r="AX330" s="91"/>
      <c r="AY330" s="91"/>
      <c r="AZ330" s="91">
        <v>192</v>
      </c>
      <c r="BA330" s="91">
        <f>192*56000</f>
        <v>10752000</v>
      </c>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v>5</v>
      </c>
      <c r="CA330" s="91">
        <f>5*500000</f>
        <v>2500000</v>
      </c>
      <c r="CB330" s="91"/>
      <c r="CC330" s="91"/>
      <c r="CD330" s="91"/>
      <c r="CE330" s="91"/>
      <c r="CF330" s="91"/>
      <c r="CG330" s="91"/>
      <c r="CH330" s="91"/>
      <c r="CI330" s="91"/>
      <c r="CJ330" s="91">
        <v>192</v>
      </c>
      <c r="CK330" s="91">
        <f>192*21000</f>
        <v>4032000</v>
      </c>
      <c r="CL330" s="91"/>
      <c r="CM330" s="91"/>
      <c r="CN330" s="91"/>
      <c r="CO330" s="91"/>
      <c r="CP330" s="114"/>
      <c r="CQ330" s="115"/>
      <c r="CR330" s="114">
        <v>26</v>
      </c>
      <c r="CS330" s="115">
        <f>26*39700</f>
        <v>1032200</v>
      </c>
      <c r="CT330" s="114"/>
      <c r="CU330" s="115"/>
      <c r="CV330" s="99">
        <f t="shared" si="35"/>
        <v>18316200</v>
      </c>
      <c r="CW330" s="114"/>
      <c r="CX330" s="115"/>
      <c r="CY330" s="114">
        <v>35</v>
      </c>
      <c r="CZ330" s="115">
        <f>35*85000</f>
        <v>2975000</v>
      </c>
      <c r="DA330" s="115"/>
      <c r="DB330" s="115"/>
      <c r="DC330" s="114">
        <f>227+337</f>
        <v>564</v>
      </c>
      <c r="DD330" s="115">
        <f>227*19000+337*34000</f>
        <v>15771000</v>
      </c>
      <c r="DE330" s="97"/>
      <c r="DF330" s="269"/>
    </row>
    <row r="331" spans="1:110" s="270" customFormat="1" x14ac:dyDescent="0.2">
      <c r="A331" s="89">
        <v>40630</v>
      </c>
      <c r="B331" s="90" t="s">
        <v>4348</v>
      </c>
      <c r="C331" s="90" t="s">
        <v>2228</v>
      </c>
      <c r="D331" s="90" t="s">
        <v>2362</v>
      </c>
      <c r="E331" s="90" t="str">
        <f>VLOOKUP(B331&amp;C331,Divipola!$C$2:$F$1138,4,FALSE)</f>
        <v>66001</v>
      </c>
      <c r="F331" s="90"/>
      <c r="G331" s="101"/>
      <c r="H331" s="101">
        <v>2</v>
      </c>
      <c r="I331" s="101"/>
      <c r="J331" s="101">
        <v>7</v>
      </c>
      <c r="K331" s="101">
        <v>2</v>
      </c>
      <c r="L331" s="101"/>
      <c r="M331" s="101">
        <v>2</v>
      </c>
      <c r="N331" s="101"/>
      <c r="O331" s="101"/>
      <c r="P331" s="101"/>
      <c r="Q331" s="101"/>
      <c r="R331" s="101"/>
      <c r="S331" s="101"/>
      <c r="T331" s="101"/>
      <c r="U331" s="101"/>
      <c r="V331" s="101"/>
      <c r="W331" s="91"/>
      <c r="X331" s="89"/>
      <c r="Y331" s="92">
        <f t="shared" si="30"/>
        <v>0</v>
      </c>
      <c r="Z331" s="92">
        <f t="shared" si="31"/>
        <v>0</v>
      </c>
      <c r="AA331" s="92">
        <f t="shared" si="32"/>
        <v>0</v>
      </c>
      <c r="AB331" s="92">
        <f t="shared" si="33"/>
        <v>0</v>
      </c>
      <c r="AC331" s="92"/>
      <c r="AD331" s="92">
        <v>0</v>
      </c>
      <c r="AE331" s="92">
        <f t="shared" si="34"/>
        <v>0</v>
      </c>
      <c r="AF331" s="93">
        <v>0</v>
      </c>
      <c r="AG331" s="89">
        <v>40630</v>
      </c>
      <c r="AH331" s="94"/>
      <c r="AI331" s="95" t="s">
        <v>4336</v>
      </c>
      <c r="AJ331" s="96" t="s">
        <v>4337</v>
      </c>
      <c r="AK331" s="97"/>
      <c r="AL331" s="89"/>
      <c r="AM331" s="100" t="s">
        <v>983</v>
      </c>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114"/>
      <c r="CQ331" s="115"/>
      <c r="CR331" s="114"/>
      <c r="CS331" s="115"/>
      <c r="CT331" s="114"/>
      <c r="CU331" s="115"/>
      <c r="CV331" s="99">
        <f t="shared" si="35"/>
        <v>0</v>
      </c>
      <c r="CW331" s="114"/>
      <c r="CX331" s="115"/>
      <c r="CY331" s="114"/>
      <c r="CZ331" s="115"/>
      <c r="DA331" s="115"/>
      <c r="DB331" s="115"/>
      <c r="DC331" s="114"/>
      <c r="DD331" s="115"/>
      <c r="DE331" s="97"/>
      <c r="DF331" s="269"/>
    </row>
    <row r="332" spans="1:110" s="270" customFormat="1" ht="24" x14ac:dyDescent="0.2">
      <c r="A332" s="89">
        <v>40630</v>
      </c>
      <c r="B332" s="90" t="s">
        <v>4244</v>
      </c>
      <c r="C332" s="90" t="s">
        <v>4319</v>
      </c>
      <c r="D332" s="90" t="s">
        <v>3346</v>
      </c>
      <c r="E332" s="90" t="str">
        <f>VLOOKUP(B332&amp;C332,Divipola!$C$2:$F$1138,4,FALSE)</f>
        <v>76828</v>
      </c>
      <c r="F332" s="90"/>
      <c r="G332" s="101"/>
      <c r="H332" s="101"/>
      <c r="I332" s="101"/>
      <c r="J332" s="101">
        <v>1250</v>
      </c>
      <c r="K332" s="101">
        <v>250</v>
      </c>
      <c r="L332" s="101"/>
      <c r="M332" s="101">
        <v>250</v>
      </c>
      <c r="N332" s="101"/>
      <c r="O332" s="101"/>
      <c r="P332" s="101"/>
      <c r="Q332" s="101"/>
      <c r="R332" s="101"/>
      <c r="S332" s="101"/>
      <c r="T332" s="101"/>
      <c r="U332" s="101"/>
      <c r="V332" s="101"/>
      <c r="W332" s="91"/>
      <c r="X332" s="89"/>
      <c r="Y332" s="92">
        <f t="shared" si="30"/>
        <v>0</v>
      </c>
      <c r="Z332" s="92">
        <f t="shared" si="31"/>
        <v>0</v>
      </c>
      <c r="AA332" s="92">
        <f t="shared" si="32"/>
        <v>0</v>
      </c>
      <c r="AB332" s="92">
        <f t="shared" si="33"/>
        <v>0</v>
      </c>
      <c r="AC332" s="92"/>
      <c r="AD332" s="92">
        <v>0</v>
      </c>
      <c r="AE332" s="92">
        <f t="shared" si="34"/>
        <v>0</v>
      </c>
      <c r="AF332" s="93">
        <v>0</v>
      </c>
      <c r="AG332" s="89">
        <v>40630</v>
      </c>
      <c r="AH332" s="94"/>
      <c r="AI332" s="102" t="s">
        <v>4336</v>
      </c>
      <c r="AJ332" s="96" t="s">
        <v>4337</v>
      </c>
      <c r="AK332" s="97"/>
      <c r="AL332" s="89"/>
      <c r="AM332" s="100" t="s">
        <v>3733</v>
      </c>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114"/>
      <c r="CQ332" s="115"/>
      <c r="CR332" s="114"/>
      <c r="CS332" s="115"/>
      <c r="CT332" s="114"/>
      <c r="CU332" s="115"/>
      <c r="CV332" s="99">
        <f t="shared" si="35"/>
        <v>0</v>
      </c>
      <c r="CW332" s="114"/>
      <c r="CX332" s="115"/>
      <c r="CY332" s="114"/>
      <c r="CZ332" s="115"/>
      <c r="DA332" s="115"/>
      <c r="DB332" s="115"/>
      <c r="DC332" s="114"/>
      <c r="DD332" s="115"/>
      <c r="DE332" s="97"/>
      <c r="DF332" s="269"/>
    </row>
    <row r="333" spans="1:110" s="270" customFormat="1" x14ac:dyDescent="0.2">
      <c r="A333" s="89">
        <v>40631</v>
      </c>
      <c r="B333" s="90" t="s">
        <v>4219</v>
      </c>
      <c r="C333" s="90" t="s">
        <v>4255</v>
      </c>
      <c r="D333" s="90" t="s">
        <v>3346</v>
      </c>
      <c r="E333" s="90" t="str">
        <f>VLOOKUP(B333&amp;C333,Divipola!$C$2:$F$1138,4,FALSE)</f>
        <v>41396</v>
      </c>
      <c r="F333" s="90"/>
      <c r="G333" s="101"/>
      <c r="H333" s="101"/>
      <c r="I333" s="101"/>
      <c r="J333" s="101">
        <v>20</v>
      </c>
      <c r="K333" s="101">
        <v>4</v>
      </c>
      <c r="L333" s="101"/>
      <c r="M333" s="101">
        <v>4</v>
      </c>
      <c r="N333" s="101"/>
      <c r="O333" s="101"/>
      <c r="P333" s="101"/>
      <c r="Q333" s="101"/>
      <c r="R333" s="101"/>
      <c r="S333" s="101"/>
      <c r="T333" s="101"/>
      <c r="U333" s="101"/>
      <c r="V333" s="101"/>
      <c r="W333" s="91"/>
      <c r="X333" s="89"/>
      <c r="Y333" s="92">
        <f t="shared" si="30"/>
        <v>0</v>
      </c>
      <c r="Z333" s="92">
        <f t="shared" si="31"/>
        <v>0</v>
      </c>
      <c r="AA333" s="92">
        <f t="shared" si="32"/>
        <v>0</v>
      </c>
      <c r="AB333" s="92">
        <f t="shared" si="33"/>
        <v>0</v>
      </c>
      <c r="AC333" s="92"/>
      <c r="AD333" s="92">
        <v>0</v>
      </c>
      <c r="AE333" s="92">
        <f t="shared" si="34"/>
        <v>0</v>
      </c>
      <c r="AF333" s="93">
        <v>0</v>
      </c>
      <c r="AG333" s="89">
        <v>40634</v>
      </c>
      <c r="AH333" s="94"/>
      <c r="AI333" s="95" t="s">
        <v>4336</v>
      </c>
      <c r="AJ333" s="96" t="s">
        <v>4337</v>
      </c>
      <c r="AK333" s="97"/>
      <c r="AL333" s="89"/>
      <c r="AM333" s="100" t="s">
        <v>3530</v>
      </c>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114"/>
      <c r="CQ333" s="115"/>
      <c r="CR333" s="114"/>
      <c r="CS333" s="115"/>
      <c r="CT333" s="114"/>
      <c r="CU333" s="115"/>
      <c r="CV333" s="99">
        <f t="shared" si="35"/>
        <v>0</v>
      </c>
      <c r="CW333" s="114"/>
      <c r="CX333" s="115"/>
      <c r="CY333" s="114"/>
      <c r="CZ333" s="115"/>
      <c r="DA333" s="115"/>
      <c r="DB333" s="115"/>
      <c r="DC333" s="114"/>
      <c r="DD333" s="115"/>
      <c r="DE333" s="97"/>
      <c r="DF333" s="269"/>
    </row>
    <row r="334" spans="1:110" s="270" customFormat="1" ht="36" x14ac:dyDescent="0.2">
      <c r="A334" s="89">
        <v>40631</v>
      </c>
      <c r="B334" s="90" t="s">
        <v>860</v>
      </c>
      <c r="C334" s="90" t="s">
        <v>3320</v>
      </c>
      <c r="D334" s="90" t="s">
        <v>3346</v>
      </c>
      <c r="E334" s="90" t="str">
        <f>VLOOKUP(B334&amp;C334,Divipola!$C$2:$F$1138,4,FALSE)</f>
        <v>50590</v>
      </c>
      <c r="F334" s="90"/>
      <c r="G334" s="101"/>
      <c r="H334" s="101"/>
      <c r="I334" s="101"/>
      <c r="J334" s="101">
        <v>300</v>
      </c>
      <c r="K334" s="101">
        <v>60</v>
      </c>
      <c r="L334" s="101"/>
      <c r="M334" s="101">
        <v>60</v>
      </c>
      <c r="N334" s="101"/>
      <c r="O334" s="101"/>
      <c r="P334" s="101"/>
      <c r="Q334" s="101"/>
      <c r="R334" s="101"/>
      <c r="S334" s="101"/>
      <c r="T334" s="101"/>
      <c r="U334" s="101"/>
      <c r="V334" s="101"/>
      <c r="W334" s="91"/>
      <c r="X334" s="89"/>
      <c r="Y334" s="92">
        <f t="shared" si="30"/>
        <v>0</v>
      </c>
      <c r="Z334" s="92">
        <f t="shared" si="31"/>
        <v>0</v>
      </c>
      <c r="AA334" s="92">
        <f t="shared" si="32"/>
        <v>0</v>
      </c>
      <c r="AB334" s="92">
        <f t="shared" si="33"/>
        <v>0</v>
      </c>
      <c r="AC334" s="92"/>
      <c r="AD334" s="92">
        <v>0</v>
      </c>
      <c r="AE334" s="92">
        <f t="shared" si="34"/>
        <v>0</v>
      </c>
      <c r="AF334" s="93">
        <v>0</v>
      </c>
      <c r="AG334" s="89">
        <v>40634</v>
      </c>
      <c r="AH334" s="94"/>
      <c r="AI334" s="95" t="s">
        <v>4336</v>
      </c>
      <c r="AJ334" s="96" t="s">
        <v>4337</v>
      </c>
      <c r="AK334" s="97"/>
      <c r="AL334" s="89"/>
      <c r="AM334" s="100" t="s">
        <v>3735</v>
      </c>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114"/>
      <c r="CQ334" s="115"/>
      <c r="CR334" s="114"/>
      <c r="CS334" s="115"/>
      <c r="CT334" s="114"/>
      <c r="CU334" s="115"/>
      <c r="CV334" s="99">
        <f t="shared" si="35"/>
        <v>0</v>
      </c>
      <c r="CW334" s="114"/>
      <c r="CX334" s="115"/>
      <c r="CY334" s="114"/>
      <c r="CZ334" s="115"/>
      <c r="DA334" s="115"/>
      <c r="DB334" s="115"/>
      <c r="DC334" s="114"/>
      <c r="DD334" s="115"/>
      <c r="DE334" s="97"/>
      <c r="DF334" s="269"/>
    </row>
    <row r="335" spans="1:110" s="270" customFormat="1" x14ac:dyDescent="0.2">
      <c r="A335" s="89">
        <v>40632</v>
      </c>
      <c r="B335" s="90" t="s">
        <v>4296</v>
      </c>
      <c r="C335" s="90" t="s">
        <v>3374</v>
      </c>
      <c r="D335" s="90" t="s">
        <v>3346</v>
      </c>
      <c r="E335" s="90" t="str">
        <f>VLOOKUP(B335&amp;C335,Divipola!$C$2:$F$1138,4,FALSE)</f>
        <v>19845</v>
      </c>
      <c r="F335" s="90"/>
      <c r="G335" s="101"/>
      <c r="H335" s="101"/>
      <c r="I335" s="101"/>
      <c r="J335" s="101">
        <f>1242*4</f>
        <v>4968</v>
      </c>
      <c r="K335" s="101">
        <v>1242</v>
      </c>
      <c r="L335" s="101"/>
      <c r="M335" s="101">
        <v>1242</v>
      </c>
      <c r="N335" s="101"/>
      <c r="O335" s="101"/>
      <c r="P335" s="101"/>
      <c r="Q335" s="101"/>
      <c r="R335" s="101">
        <v>1</v>
      </c>
      <c r="S335" s="101"/>
      <c r="T335" s="101">
        <v>6</v>
      </c>
      <c r="U335" s="101">
        <v>4</v>
      </c>
      <c r="V335" s="101"/>
      <c r="W335" s="91"/>
      <c r="X335" s="89"/>
      <c r="Y335" s="92">
        <f t="shared" si="30"/>
        <v>0</v>
      </c>
      <c r="Z335" s="92">
        <f t="shared" si="31"/>
        <v>0</v>
      </c>
      <c r="AA335" s="92">
        <f t="shared" si="32"/>
        <v>0</v>
      </c>
      <c r="AB335" s="92">
        <f t="shared" si="33"/>
        <v>0</v>
      </c>
      <c r="AC335" s="92"/>
      <c r="AD335" s="92">
        <v>0</v>
      </c>
      <c r="AE335" s="92">
        <f t="shared" si="34"/>
        <v>0</v>
      </c>
      <c r="AF335" s="93">
        <v>0</v>
      </c>
      <c r="AG335" s="89">
        <v>40647</v>
      </c>
      <c r="AH335" s="94"/>
      <c r="AI335" s="95" t="s">
        <v>4336</v>
      </c>
      <c r="AJ335" s="96" t="s">
        <v>4337</v>
      </c>
      <c r="AK335" s="97"/>
      <c r="AL335" s="89"/>
      <c r="AM335" s="100" t="s">
        <v>224</v>
      </c>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114"/>
      <c r="CQ335" s="115"/>
      <c r="CR335" s="114"/>
      <c r="CS335" s="115"/>
      <c r="CT335" s="114"/>
      <c r="CU335" s="115"/>
      <c r="CV335" s="99">
        <f t="shared" si="35"/>
        <v>0</v>
      </c>
      <c r="CW335" s="114"/>
      <c r="CX335" s="115"/>
      <c r="CY335" s="114"/>
      <c r="CZ335" s="115"/>
      <c r="DA335" s="115"/>
      <c r="DB335" s="115"/>
      <c r="DC335" s="114"/>
      <c r="DD335" s="115"/>
      <c r="DE335" s="97"/>
      <c r="DF335" s="269"/>
    </row>
    <row r="336" spans="1:110" s="270" customFormat="1" ht="22.5" x14ac:dyDescent="0.2">
      <c r="A336" s="89">
        <v>40632</v>
      </c>
      <c r="B336" s="90" t="s">
        <v>4348</v>
      </c>
      <c r="C336" s="90" t="s">
        <v>3342</v>
      </c>
      <c r="D336" s="90" t="s">
        <v>3346</v>
      </c>
      <c r="E336" s="90" t="str">
        <f>VLOOKUP(B336&amp;C336,Divipola!$C$2:$F$1138,4,FALSE)</f>
        <v>66383</v>
      </c>
      <c r="F336" s="101"/>
      <c r="G336" s="101"/>
      <c r="H336" s="101"/>
      <c r="I336" s="101"/>
      <c r="J336" s="101">
        <v>100</v>
      </c>
      <c r="K336" s="101">
        <v>20</v>
      </c>
      <c r="L336" s="101"/>
      <c r="M336" s="101">
        <v>20</v>
      </c>
      <c r="N336" s="101"/>
      <c r="O336" s="101"/>
      <c r="P336" s="101"/>
      <c r="Q336" s="101"/>
      <c r="R336" s="101"/>
      <c r="S336" s="101"/>
      <c r="T336" s="101"/>
      <c r="U336" s="91"/>
      <c r="V336" s="89"/>
      <c r="W336" s="92"/>
      <c r="X336" s="92"/>
      <c r="Y336" s="92">
        <f t="shared" si="30"/>
        <v>0</v>
      </c>
      <c r="Z336" s="92">
        <f t="shared" si="31"/>
        <v>0</v>
      </c>
      <c r="AA336" s="92">
        <f t="shared" si="32"/>
        <v>0</v>
      </c>
      <c r="AB336" s="92">
        <f t="shared" si="33"/>
        <v>0</v>
      </c>
      <c r="AC336" s="92"/>
      <c r="AD336" s="92">
        <v>0</v>
      </c>
      <c r="AE336" s="92">
        <f t="shared" si="34"/>
        <v>0</v>
      </c>
      <c r="AF336" s="93">
        <v>0</v>
      </c>
      <c r="AG336" s="89"/>
      <c r="AH336" s="96"/>
      <c r="AI336" s="102" t="s">
        <v>4336</v>
      </c>
      <c r="AJ336" s="96" t="s">
        <v>4337</v>
      </c>
      <c r="AK336" s="100"/>
      <c r="AL336" s="89"/>
      <c r="AM336" s="90" t="s">
        <v>888</v>
      </c>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114"/>
      <c r="CQ336" s="115"/>
      <c r="CR336" s="114"/>
      <c r="CS336" s="115"/>
      <c r="CT336" s="114"/>
      <c r="CU336" s="115"/>
      <c r="CV336" s="99">
        <f t="shared" si="35"/>
        <v>0</v>
      </c>
      <c r="CW336" s="114"/>
      <c r="CX336" s="115"/>
      <c r="CY336" s="114"/>
      <c r="CZ336" s="115"/>
      <c r="DA336" s="115"/>
      <c r="DB336" s="115"/>
      <c r="DC336" s="114"/>
      <c r="DD336" s="115"/>
      <c r="DE336" s="97"/>
      <c r="DF336" s="269"/>
    </row>
    <row r="337" spans="1:110" s="270" customFormat="1" ht="84" x14ac:dyDescent="0.2">
      <c r="A337" s="89">
        <v>40632</v>
      </c>
      <c r="B337" s="90" t="s">
        <v>4348</v>
      </c>
      <c r="C337" s="90" t="s">
        <v>2228</v>
      </c>
      <c r="D337" s="90" t="s">
        <v>3346</v>
      </c>
      <c r="E337" s="90" t="str">
        <f>VLOOKUP(B337&amp;C337,Divipola!$C$2:$F$1138,4,FALSE)</f>
        <v>66001</v>
      </c>
      <c r="F337" s="90"/>
      <c r="G337" s="101"/>
      <c r="H337" s="101"/>
      <c r="I337" s="101"/>
      <c r="J337" s="101">
        <v>830</v>
      </c>
      <c r="K337" s="101">
        <v>166</v>
      </c>
      <c r="L337" s="101"/>
      <c r="M337" s="101">
        <v>166</v>
      </c>
      <c r="N337" s="101"/>
      <c r="O337" s="101"/>
      <c r="P337" s="101"/>
      <c r="Q337" s="101"/>
      <c r="R337" s="101"/>
      <c r="S337" s="101"/>
      <c r="T337" s="101"/>
      <c r="U337" s="101"/>
      <c r="V337" s="101"/>
      <c r="W337" s="91"/>
      <c r="X337" s="89"/>
      <c r="Y337" s="92">
        <f t="shared" si="30"/>
        <v>0</v>
      </c>
      <c r="Z337" s="92">
        <f t="shared" si="31"/>
        <v>0</v>
      </c>
      <c r="AA337" s="92">
        <f t="shared" si="32"/>
        <v>0</v>
      </c>
      <c r="AB337" s="92">
        <f t="shared" si="33"/>
        <v>0</v>
      </c>
      <c r="AC337" s="92"/>
      <c r="AD337" s="92">
        <v>0</v>
      </c>
      <c r="AE337" s="92">
        <f t="shared" si="34"/>
        <v>0</v>
      </c>
      <c r="AF337" s="93">
        <v>0</v>
      </c>
      <c r="AG337" s="89">
        <v>40634</v>
      </c>
      <c r="AH337" s="94"/>
      <c r="AI337" s="102" t="s">
        <v>4336</v>
      </c>
      <c r="AJ337" s="96" t="s">
        <v>4337</v>
      </c>
      <c r="AK337" s="97"/>
      <c r="AL337" s="89"/>
      <c r="AM337" s="100" t="s">
        <v>2776</v>
      </c>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114"/>
      <c r="CQ337" s="115"/>
      <c r="CR337" s="114"/>
      <c r="CS337" s="115"/>
      <c r="CT337" s="114"/>
      <c r="CU337" s="115"/>
      <c r="CV337" s="99">
        <f t="shared" si="35"/>
        <v>0</v>
      </c>
      <c r="CW337" s="114"/>
      <c r="CX337" s="115"/>
      <c r="CY337" s="114"/>
      <c r="CZ337" s="115"/>
      <c r="DA337" s="115"/>
      <c r="DB337" s="115"/>
      <c r="DC337" s="114"/>
      <c r="DD337" s="115"/>
      <c r="DE337" s="97"/>
      <c r="DF337" s="269"/>
    </row>
    <row r="338" spans="1:110" s="270" customFormat="1" ht="22.5" x14ac:dyDescent="0.2">
      <c r="A338" s="89">
        <v>40632</v>
      </c>
      <c r="B338" s="90" t="s">
        <v>4348</v>
      </c>
      <c r="C338" s="90" t="s">
        <v>4365</v>
      </c>
      <c r="D338" s="90" t="s">
        <v>3346</v>
      </c>
      <c r="E338" s="90" t="str">
        <f>VLOOKUP(B338&amp;C338,Divipola!$C$2:$F$1138,4,FALSE)</f>
        <v>66682</v>
      </c>
      <c r="F338" s="101"/>
      <c r="G338" s="101"/>
      <c r="H338" s="101"/>
      <c r="I338" s="101"/>
      <c r="J338" s="101">
        <v>50</v>
      </c>
      <c r="K338" s="101">
        <v>10</v>
      </c>
      <c r="L338" s="101"/>
      <c r="M338" s="101">
        <v>10</v>
      </c>
      <c r="N338" s="101"/>
      <c r="O338" s="101"/>
      <c r="P338" s="101"/>
      <c r="Q338" s="101"/>
      <c r="R338" s="101"/>
      <c r="S338" s="101"/>
      <c r="T338" s="101"/>
      <c r="U338" s="91"/>
      <c r="V338" s="89"/>
      <c r="W338" s="92"/>
      <c r="X338" s="92"/>
      <c r="Y338" s="92">
        <f t="shared" si="30"/>
        <v>0</v>
      </c>
      <c r="Z338" s="92">
        <f t="shared" si="31"/>
        <v>0</v>
      </c>
      <c r="AA338" s="92">
        <f t="shared" si="32"/>
        <v>0</v>
      </c>
      <c r="AB338" s="92">
        <f t="shared" si="33"/>
        <v>0</v>
      </c>
      <c r="AC338" s="92"/>
      <c r="AD338" s="92">
        <v>0</v>
      </c>
      <c r="AE338" s="92">
        <f t="shared" si="34"/>
        <v>0</v>
      </c>
      <c r="AF338" s="93">
        <v>0</v>
      </c>
      <c r="AG338" s="89"/>
      <c r="AH338" s="96"/>
      <c r="AI338" s="102" t="s">
        <v>4336</v>
      </c>
      <c r="AJ338" s="96" t="s">
        <v>4337</v>
      </c>
      <c r="AK338" s="100"/>
      <c r="AL338" s="89"/>
      <c r="AM338" s="90" t="s">
        <v>315</v>
      </c>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114"/>
      <c r="CQ338" s="115"/>
      <c r="CR338" s="114"/>
      <c r="CS338" s="115"/>
      <c r="CT338" s="114"/>
      <c r="CU338" s="115"/>
      <c r="CV338" s="99">
        <f t="shared" si="35"/>
        <v>0</v>
      </c>
      <c r="CW338" s="114"/>
      <c r="CX338" s="115"/>
      <c r="CY338" s="114"/>
      <c r="CZ338" s="115"/>
      <c r="DA338" s="115"/>
      <c r="DB338" s="115"/>
      <c r="DC338" s="114"/>
      <c r="DD338" s="115"/>
      <c r="DE338" s="97"/>
      <c r="DF338" s="269"/>
    </row>
    <row r="339" spans="1:110" s="270" customFormat="1" ht="22.5" x14ac:dyDescent="0.2">
      <c r="A339" s="89">
        <v>40632</v>
      </c>
      <c r="B339" s="90" t="s">
        <v>4348</v>
      </c>
      <c r="C339" s="90" t="s">
        <v>4365</v>
      </c>
      <c r="D339" s="90" t="s">
        <v>2362</v>
      </c>
      <c r="E339" s="90" t="str">
        <f>VLOOKUP(B339&amp;C339,Divipola!$C$2:$F$1138,4,FALSE)</f>
        <v>66682</v>
      </c>
      <c r="F339" s="101"/>
      <c r="G339" s="101"/>
      <c r="H339" s="101"/>
      <c r="I339" s="101"/>
      <c r="J339" s="101">
        <v>45</v>
      </c>
      <c r="K339" s="101">
        <v>10</v>
      </c>
      <c r="L339" s="101">
        <v>1</v>
      </c>
      <c r="M339" s="101">
        <v>9</v>
      </c>
      <c r="N339" s="101"/>
      <c r="O339" s="101"/>
      <c r="P339" s="101"/>
      <c r="Q339" s="101"/>
      <c r="R339" s="101"/>
      <c r="S339" s="101"/>
      <c r="T339" s="101"/>
      <c r="U339" s="91"/>
      <c r="V339" s="89"/>
      <c r="W339" s="92"/>
      <c r="X339" s="92"/>
      <c r="Y339" s="92">
        <f t="shared" si="30"/>
        <v>0</v>
      </c>
      <c r="Z339" s="92">
        <f t="shared" si="31"/>
        <v>0</v>
      </c>
      <c r="AA339" s="92">
        <f t="shared" si="32"/>
        <v>0</v>
      </c>
      <c r="AB339" s="92">
        <f t="shared" si="33"/>
        <v>0</v>
      </c>
      <c r="AC339" s="92"/>
      <c r="AD339" s="92">
        <v>0</v>
      </c>
      <c r="AE339" s="92">
        <f t="shared" si="34"/>
        <v>0</v>
      </c>
      <c r="AF339" s="93">
        <v>0</v>
      </c>
      <c r="AG339" s="89"/>
      <c r="AH339" s="96"/>
      <c r="AI339" s="102" t="s">
        <v>4336</v>
      </c>
      <c r="AJ339" s="96" t="s">
        <v>4337</v>
      </c>
      <c r="AK339" s="100"/>
      <c r="AL339" s="89"/>
      <c r="AM339" s="90" t="s">
        <v>318</v>
      </c>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114"/>
      <c r="CQ339" s="115"/>
      <c r="CR339" s="114"/>
      <c r="CS339" s="115"/>
      <c r="CT339" s="114"/>
      <c r="CU339" s="115"/>
      <c r="CV339" s="99">
        <f t="shared" si="35"/>
        <v>0</v>
      </c>
      <c r="CW339" s="114"/>
      <c r="CX339" s="115"/>
      <c r="CY339" s="114"/>
      <c r="CZ339" s="115"/>
      <c r="DA339" s="115"/>
      <c r="DB339" s="115"/>
      <c r="DC339" s="114"/>
      <c r="DD339" s="115"/>
      <c r="DE339" s="97"/>
      <c r="DF339" s="269"/>
    </row>
    <row r="340" spans="1:110" s="270" customFormat="1" x14ac:dyDescent="0.2">
      <c r="A340" s="89">
        <v>40632</v>
      </c>
      <c r="B340" s="90" t="s">
        <v>4348</v>
      </c>
      <c r="C340" s="90" t="s">
        <v>4320</v>
      </c>
      <c r="D340" s="90" t="s">
        <v>2362</v>
      </c>
      <c r="E340" s="90" t="str">
        <f>VLOOKUP(B340&amp;C340,Divipola!$C$2:$F$1138,4,FALSE)</f>
        <v>66687</v>
      </c>
      <c r="F340" s="90"/>
      <c r="G340" s="279"/>
      <c r="H340" s="279"/>
      <c r="I340" s="279"/>
      <c r="J340" s="101">
        <v>45</v>
      </c>
      <c r="K340" s="101">
        <v>9</v>
      </c>
      <c r="L340" s="101">
        <v>1</v>
      </c>
      <c r="M340" s="101">
        <v>8</v>
      </c>
      <c r="N340" s="129">
        <v>2</v>
      </c>
      <c r="O340" s="129"/>
      <c r="P340" s="129"/>
      <c r="Q340" s="129"/>
      <c r="R340" s="129"/>
      <c r="S340" s="129"/>
      <c r="T340" s="129"/>
      <c r="U340" s="129"/>
      <c r="V340" s="129"/>
      <c r="W340" s="107"/>
      <c r="X340" s="105"/>
      <c r="Y340" s="92">
        <f t="shared" si="30"/>
        <v>0</v>
      </c>
      <c r="Z340" s="92">
        <f t="shared" si="31"/>
        <v>0</v>
      </c>
      <c r="AA340" s="92">
        <f t="shared" si="32"/>
        <v>0</v>
      </c>
      <c r="AB340" s="92">
        <f t="shared" si="33"/>
        <v>0</v>
      </c>
      <c r="AC340" s="92"/>
      <c r="AD340" s="92">
        <v>0</v>
      </c>
      <c r="AE340" s="92">
        <f t="shared" si="34"/>
        <v>0</v>
      </c>
      <c r="AF340" s="93">
        <v>0</v>
      </c>
      <c r="AG340" s="105"/>
      <c r="AH340" s="108"/>
      <c r="AI340" s="109" t="s">
        <v>4336</v>
      </c>
      <c r="AJ340" s="110" t="s">
        <v>4337</v>
      </c>
      <c r="AK340" s="280"/>
      <c r="AL340" s="281"/>
      <c r="AM340" s="90" t="s">
        <v>2016</v>
      </c>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18"/>
      <c r="CO340" s="119"/>
      <c r="CP340" s="118"/>
      <c r="CQ340" s="119"/>
      <c r="CR340" s="118"/>
      <c r="CS340" s="119"/>
      <c r="CT340" s="113"/>
      <c r="CU340" s="118"/>
      <c r="CV340" s="99">
        <f t="shared" si="35"/>
        <v>0</v>
      </c>
      <c r="CW340" s="118"/>
      <c r="CX340" s="119"/>
      <c r="CY340" s="119"/>
      <c r="CZ340" s="119"/>
      <c r="DA340" s="118"/>
      <c r="DB340" s="119"/>
      <c r="DC340" s="111"/>
      <c r="DD340" s="119"/>
      <c r="DE340" s="111"/>
      <c r="DF340" s="269"/>
    </row>
    <row r="341" spans="1:110" s="270" customFormat="1" ht="56.25" x14ac:dyDescent="0.2">
      <c r="A341" s="89">
        <v>40633</v>
      </c>
      <c r="B341" s="90" t="s">
        <v>3316</v>
      </c>
      <c r="C341" s="90" t="s">
        <v>1960</v>
      </c>
      <c r="D341" s="90" t="s">
        <v>4264</v>
      </c>
      <c r="E341" s="90" t="str">
        <f>VLOOKUP(B341&amp;C341,Divipola!$C$2:$F$1138,4,FALSE)</f>
        <v>73870</v>
      </c>
      <c r="F341" s="90"/>
      <c r="G341" s="101"/>
      <c r="H341" s="101"/>
      <c r="I341" s="101"/>
      <c r="J341" s="101">
        <v>1510</v>
      </c>
      <c r="K341" s="101">
        <v>302</v>
      </c>
      <c r="L341" s="101"/>
      <c r="M341" s="101">
        <v>302</v>
      </c>
      <c r="N341" s="101"/>
      <c r="O341" s="101"/>
      <c r="P341" s="101"/>
      <c r="Q341" s="101"/>
      <c r="R341" s="101"/>
      <c r="S341" s="101"/>
      <c r="T341" s="101"/>
      <c r="U341" s="101"/>
      <c r="V341" s="101">
        <v>1895</v>
      </c>
      <c r="W341" s="91" t="s">
        <v>262</v>
      </c>
      <c r="X341" s="89"/>
      <c r="Y341" s="92">
        <f t="shared" si="30"/>
        <v>0</v>
      </c>
      <c r="Z341" s="92">
        <f t="shared" si="31"/>
        <v>0</v>
      </c>
      <c r="AA341" s="92">
        <f t="shared" si="32"/>
        <v>0</v>
      </c>
      <c r="AB341" s="92">
        <f t="shared" si="33"/>
        <v>0</v>
      </c>
      <c r="AC341" s="92"/>
      <c r="AD341" s="92">
        <v>0</v>
      </c>
      <c r="AE341" s="92">
        <f t="shared" si="34"/>
        <v>0</v>
      </c>
      <c r="AF341" s="93">
        <v>0</v>
      </c>
      <c r="AG341" s="89">
        <v>40647</v>
      </c>
      <c r="AH341" s="94"/>
      <c r="AI341" s="102" t="s">
        <v>4336</v>
      </c>
      <c r="AJ341" s="96" t="s">
        <v>4337</v>
      </c>
      <c r="AK341" s="97"/>
      <c r="AL341" s="89"/>
      <c r="AM341" s="100" t="s">
        <v>263</v>
      </c>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114"/>
      <c r="CQ341" s="115"/>
      <c r="CR341" s="114"/>
      <c r="CS341" s="115"/>
      <c r="CT341" s="114"/>
      <c r="CU341" s="115"/>
      <c r="CV341" s="99">
        <f t="shared" si="35"/>
        <v>0</v>
      </c>
      <c r="CW341" s="114"/>
      <c r="CX341" s="115"/>
      <c r="CY341" s="114"/>
      <c r="CZ341" s="115"/>
      <c r="DA341" s="115"/>
      <c r="DB341" s="115"/>
      <c r="DC341" s="114"/>
      <c r="DD341" s="115"/>
      <c r="DE341" s="97"/>
      <c r="DF341" s="269"/>
    </row>
    <row r="342" spans="1:110" s="270" customFormat="1" ht="48" x14ac:dyDescent="0.2">
      <c r="A342" s="89">
        <v>40633</v>
      </c>
      <c r="B342" s="90" t="s">
        <v>4244</v>
      </c>
      <c r="C342" s="90" t="s">
        <v>4226</v>
      </c>
      <c r="D342" s="90" t="s">
        <v>3346</v>
      </c>
      <c r="E342" s="90" t="str">
        <f>VLOOKUP(B342&amp;C342,Divipola!$C$2:$F$1138,4,FALSE)</f>
        <v>76364</v>
      </c>
      <c r="F342" s="90"/>
      <c r="G342" s="101"/>
      <c r="H342" s="101"/>
      <c r="I342" s="101"/>
      <c r="J342" s="101">
        <v>520</v>
      </c>
      <c r="K342" s="101">
        <v>80</v>
      </c>
      <c r="L342" s="101"/>
      <c r="M342" s="101">
        <v>80</v>
      </c>
      <c r="N342" s="101"/>
      <c r="O342" s="101"/>
      <c r="P342" s="101"/>
      <c r="Q342" s="101"/>
      <c r="R342" s="101"/>
      <c r="S342" s="101"/>
      <c r="T342" s="101"/>
      <c r="U342" s="101"/>
      <c r="V342" s="101"/>
      <c r="W342" s="91"/>
      <c r="X342" s="89"/>
      <c r="Y342" s="92">
        <f t="shared" si="30"/>
        <v>0</v>
      </c>
      <c r="Z342" s="92">
        <f t="shared" si="31"/>
        <v>0</v>
      </c>
      <c r="AA342" s="92">
        <f t="shared" si="32"/>
        <v>0</v>
      </c>
      <c r="AB342" s="92">
        <f t="shared" si="33"/>
        <v>0</v>
      </c>
      <c r="AC342" s="92"/>
      <c r="AD342" s="92">
        <v>0</v>
      </c>
      <c r="AE342" s="92">
        <f t="shared" si="34"/>
        <v>0</v>
      </c>
      <c r="AF342" s="93">
        <v>0</v>
      </c>
      <c r="AG342" s="89">
        <v>40634</v>
      </c>
      <c r="AH342" s="94"/>
      <c r="AI342" s="102" t="s">
        <v>4336</v>
      </c>
      <c r="AJ342" s="96" t="s">
        <v>4337</v>
      </c>
      <c r="AK342" s="97"/>
      <c r="AL342" s="89"/>
      <c r="AM342" s="100" t="s">
        <v>3742</v>
      </c>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114"/>
      <c r="CQ342" s="115"/>
      <c r="CR342" s="114"/>
      <c r="CS342" s="115"/>
      <c r="CT342" s="114"/>
      <c r="CU342" s="115"/>
      <c r="CV342" s="99">
        <f t="shared" si="35"/>
        <v>0</v>
      </c>
      <c r="CW342" s="114"/>
      <c r="CX342" s="115"/>
      <c r="CY342" s="114"/>
      <c r="CZ342" s="115"/>
      <c r="DA342" s="115"/>
      <c r="DB342" s="115"/>
      <c r="DC342" s="114"/>
      <c r="DD342" s="115"/>
      <c r="DE342" s="97"/>
      <c r="DF342" s="269"/>
    </row>
    <row r="343" spans="1:110" s="270" customFormat="1" ht="24" x14ac:dyDescent="0.2">
      <c r="A343" s="89">
        <v>40634</v>
      </c>
      <c r="B343" s="106" t="s">
        <v>4352</v>
      </c>
      <c r="C343" s="106" t="s">
        <v>4328</v>
      </c>
      <c r="D343" s="90" t="s">
        <v>4264</v>
      </c>
      <c r="E343" s="90" t="str">
        <f>VLOOKUP(B343&amp;C343,Divipola!$C$2:$F$1138,4,FALSE)</f>
        <v>13442</v>
      </c>
      <c r="F343" s="90"/>
      <c r="G343" s="129"/>
      <c r="H343" s="129"/>
      <c r="I343" s="129"/>
      <c r="J343" s="129">
        <f>965*4</f>
        <v>3860</v>
      </c>
      <c r="K343" s="129">
        <v>965</v>
      </c>
      <c r="L343" s="129"/>
      <c r="M343" s="129"/>
      <c r="N343" s="129"/>
      <c r="O343" s="129"/>
      <c r="P343" s="129"/>
      <c r="Q343" s="129"/>
      <c r="R343" s="129"/>
      <c r="S343" s="129"/>
      <c r="T343" s="129"/>
      <c r="U343" s="129"/>
      <c r="V343" s="129"/>
      <c r="W343" s="107"/>
      <c r="X343" s="105"/>
      <c r="Y343" s="92">
        <f t="shared" si="30"/>
        <v>0</v>
      </c>
      <c r="Z343" s="92">
        <f t="shared" si="31"/>
        <v>0</v>
      </c>
      <c r="AA343" s="92">
        <f t="shared" si="32"/>
        <v>0</v>
      </c>
      <c r="AB343" s="92">
        <f t="shared" si="33"/>
        <v>0</v>
      </c>
      <c r="AC343" s="92"/>
      <c r="AD343" s="92">
        <v>0</v>
      </c>
      <c r="AE343" s="92">
        <f t="shared" si="34"/>
        <v>0</v>
      </c>
      <c r="AF343" s="93">
        <v>0</v>
      </c>
      <c r="AG343" s="105"/>
      <c r="AH343" s="108"/>
      <c r="AI343" s="109" t="s">
        <v>4336</v>
      </c>
      <c r="AJ343" s="110" t="s">
        <v>4337</v>
      </c>
      <c r="AK343" s="111"/>
      <c r="AL343" s="105"/>
      <c r="AM343" s="112" t="s">
        <v>4125</v>
      </c>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18"/>
      <c r="CO343" s="119"/>
      <c r="CP343" s="118"/>
      <c r="CQ343" s="119"/>
      <c r="CR343" s="118"/>
      <c r="CS343" s="119"/>
      <c r="CT343" s="113"/>
      <c r="CU343" s="118"/>
      <c r="CV343" s="99">
        <f t="shared" si="35"/>
        <v>0</v>
      </c>
      <c r="CW343" s="118"/>
      <c r="CX343" s="119"/>
      <c r="CY343" s="119"/>
      <c r="CZ343" s="119"/>
      <c r="DA343" s="118"/>
      <c r="DB343" s="119"/>
      <c r="DC343" s="111"/>
      <c r="DD343" s="119"/>
      <c r="DE343" s="111"/>
      <c r="DF343" s="269"/>
    </row>
    <row r="344" spans="1:110" s="270" customFormat="1" ht="120" x14ac:dyDescent="0.2">
      <c r="A344" s="89">
        <v>40634</v>
      </c>
      <c r="B344" s="90" t="s">
        <v>4352</v>
      </c>
      <c r="C344" s="90" t="s">
        <v>4305</v>
      </c>
      <c r="D344" s="90" t="s">
        <v>4264</v>
      </c>
      <c r="E344" s="90" t="str">
        <f>VLOOKUP(B344&amp;C344,Divipola!$C$2:$F$1138,4,FALSE)</f>
        <v>13473</v>
      </c>
      <c r="F344" s="90"/>
      <c r="G344" s="101"/>
      <c r="H344" s="101"/>
      <c r="I344" s="101"/>
      <c r="J344" s="101">
        <f>1380*4</f>
        <v>5520</v>
      </c>
      <c r="K344" s="101">
        <v>1380</v>
      </c>
      <c r="L344" s="101"/>
      <c r="M344" s="101">
        <v>1380</v>
      </c>
      <c r="N344" s="101"/>
      <c r="O344" s="101"/>
      <c r="P344" s="101"/>
      <c r="Q344" s="101"/>
      <c r="R344" s="101"/>
      <c r="S344" s="101"/>
      <c r="T344" s="101"/>
      <c r="U344" s="101"/>
      <c r="V344" s="101"/>
      <c r="W344" s="91"/>
      <c r="X344" s="89"/>
      <c r="Y344" s="92">
        <f t="shared" si="30"/>
        <v>491171249</v>
      </c>
      <c r="Z344" s="92">
        <f t="shared" si="31"/>
        <v>309910000</v>
      </c>
      <c r="AA344" s="92">
        <f t="shared" si="32"/>
        <v>0</v>
      </c>
      <c r="AB344" s="92">
        <f t="shared" si="33"/>
        <v>27300000</v>
      </c>
      <c r="AC344" s="92">
        <f>50*756320+57768000</f>
        <v>95584000</v>
      </c>
      <c r="AD344" s="92">
        <v>70980000</v>
      </c>
      <c r="AE344" s="92">
        <f t="shared" si="34"/>
        <v>994945249</v>
      </c>
      <c r="AF344" s="93">
        <v>0</v>
      </c>
      <c r="AG344" s="89"/>
      <c r="AH344" s="94"/>
      <c r="AI344" s="95" t="s">
        <v>4346</v>
      </c>
      <c r="AJ344" s="96" t="s">
        <v>4347</v>
      </c>
      <c r="AK344" s="97"/>
      <c r="AL344" s="89" t="s">
        <v>1050</v>
      </c>
      <c r="AM344" s="100" t="s">
        <v>5625</v>
      </c>
      <c r="AN344" s="91"/>
      <c r="AO344" s="91"/>
      <c r="AP344" s="91"/>
      <c r="AQ344" s="91"/>
      <c r="AR344" s="91"/>
      <c r="AS344" s="91"/>
      <c r="AT344" s="91"/>
      <c r="AU344" s="91"/>
      <c r="AV344" s="91"/>
      <c r="AW344" s="91"/>
      <c r="AX344" s="91"/>
      <c r="AY344" s="91"/>
      <c r="AZ344" s="91"/>
      <c r="BA344" s="91"/>
      <c r="BB344" s="91"/>
      <c r="BC344" s="91"/>
      <c r="BD344" s="91">
        <v>3646</v>
      </c>
      <c r="BE344" s="91">
        <f>3646*23999</f>
        <v>87500354</v>
      </c>
      <c r="BF344" s="91"/>
      <c r="BG344" s="91"/>
      <c r="BH344" s="91"/>
      <c r="BI344" s="91"/>
      <c r="BJ344" s="91"/>
      <c r="BK344" s="91"/>
      <c r="BL344" s="91">
        <v>3646</v>
      </c>
      <c r="BM344" s="91">
        <f>3646*25500</f>
        <v>92973000</v>
      </c>
      <c r="BN344" s="91"/>
      <c r="BO344" s="91"/>
      <c r="BP344" s="91"/>
      <c r="BQ344" s="91"/>
      <c r="BR344" s="91"/>
      <c r="BS344" s="91"/>
      <c r="BT344" s="91"/>
      <c r="BU344" s="91"/>
      <c r="BV344" s="91"/>
      <c r="BW344" s="91"/>
      <c r="BX344" s="91"/>
      <c r="BY344" s="91"/>
      <c r="BZ344" s="91">
        <v>55</v>
      </c>
      <c r="CA344" s="91">
        <f>55*498249</f>
        <v>27403695</v>
      </c>
      <c r="CB344" s="91"/>
      <c r="CC344" s="91"/>
      <c r="CD344" s="91"/>
      <c r="CE344" s="91"/>
      <c r="CF344" s="91"/>
      <c r="CG344" s="91"/>
      <c r="CH344" s="91"/>
      <c r="CI344" s="91"/>
      <c r="CJ344" s="91">
        <v>3646</v>
      </c>
      <c r="CK344" s="91">
        <f>3646*20000</f>
        <v>72920000</v>
      </c>
      <c r="CL344" s="91"/>
      <c r="CM344" s="91"/>
      <c r="CN344" s="91">
        <v>3646</v>
      </c>
      <c r="CO344" s="91">
        <f>3646*18000</f>
        <v>65628000</v>
      </c>
      <c r="CP344" s="114"/>
      <c r="CQ344" s="115"/>
      <c r="CR344" s="114">
        <v>3646</v>
      </c>
      <c r="CS344" s="115">
        <f>3646*39700</f>
        <v>144746200</v>
      </c>
      <c r="CT344" s="114"/>
      <c r="CU344" s="115"/>
      <c r="CV344" s="99">
        <f t="shared" si="35"/>
        <v>491171249</v>
      </c>
      <c r="CW344" s="114">
        <v>30000</v>
      </c>
      <c r="CX344" s="115">
        <f>30000*910</f>
        <v>27300000</v>
      </c>
      <c r="CY344" s="114">
        <v>3646</v>
      </c>
      <c r="CZ344" s="115">
        <f>3646*85000</f>
        <v>309910000</v>
      </c>
      <c r="DA344" s="115"/>
      <c r="DB344" s="115"/>
      <c r="DC344" s="114"/>
      <c r="DD344" s="115"/>
      <c r="DE344" s="97">
        <v>2</v>
      </c>
      <c r="DF344" s="269"/>
    </row>
    <row r="345" spans="1:110" s="270" customFormat="1" ht="24" x14ac:dyDescent="0.2">
      <c r="A345" s="89">
        <v>40634</v>
      </c>
      <c r="B345" s="90" t="s">
        <v>4261</v>
      </c>
      <c r="C345" s="90" t="s">
        <v>2260</v>
      </c>
      <c r="D345" s="90" t="s">
        <v>4264</v>
      </c>
      <c r="E345" s="90" t="str">
        <f>VLOOKUP(B345&amp;C345,Divipola!$C$2:$F$1138,4,FALSE)</f>
        <v>15790</v>
      </c>
      <c r="F345" s="4"/>
      <c r="G345" s="274"/>
      <c r="H345" s="274"/>
      <c r="I345" s="274"/>
      <c r="J345" s="124">
        <v>195</v>
      </c>
      <c r="K345" s="124">
        <v>39</v>
      </c>
      <c r="L345" s="124"/>
      <c r="M345" s="124">
        <v>39</v>
      </c>
      <c r="N345" s="208"/>
      <c r="O345" s="208"/>
      <c r="P345" s="208"/>
      <c r="Q345" s="208"/>
      <c r="R345" s="208"/>
      <c r="S345" s="208"/>
      <c r="T345" s="208"/>
      <c r="U345" s="208"/>
      <c r="V345" s="208"/>
      <c r="W345" s="19"/>
      <c r="X345" s="17"/>
      <c r="Y345" s="5">
        <f t="shared" si="30"/>
        <v>0</v>
      </c>
      <c r="Z345" s="5">
        <f t="shared" si="31"/>
        <v>0</v>
      </c>
      <c r="AA345" s="5">
        <f t="shared" si="32"/>
        <v>0</v>
      </c>
      <c r="AB345" s="5">
        <f t="shared" si="33"/>
        <v>0</v>
      </c>
      <c r="AC345" s="5"/>
      <c r="AD345" s="5">
        <v>0</v>
      </c>
      <c r="AE345" s="5">
        <f t="shared" si="34"/>
        <v>0</v>
      </c>
      <c r="AF345" s="70">
        <v>0</v>
      </c>
      <c r="AG345" s="17"/>
      <c r="AH345" s="18"/>
      <c r="AI345" s="47" t="s">
        <v>4336</v>
      </c>
      <c r="AJ345" s="73" t="s">
        <v>4337</v>
      </c>
      <c r="AK345" s="275"/>
      <c r="AL345" s="276"/>
      <c r="AM345" s="100" t="s">
        <v>4447</v>
      </c>
      <c r="AN345" s="19"/>
      <c r="AO345" s="19"/>
      <c r="AP345" s="19"/>
      <c r="AQ345" s="19"/>
      <c r="AR345" s="19"/>
      <c r="AS345" s="19"/>
      <c r="AT345" s="19"/>
      <c r="AU345" s="19"/>
      <c r="AV345" s="19"/>
      <c r="AW345" s="19"/>
      <c r="AX345" s="107"/>
      <c r="AY345" s="107"/>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39"/>
      <c r="CO345" s="138"/>
      <c r="CP345" s="139"/>
      <c r="CQ345" s="138"/>
      <c r="CR345" s="139"/>
      <c r="CS345" s="138"/>
      <c r="CT345" s="72"/>
      <c r="CU345" s="139"/>
      <c r="CV345" s="99">
        <f t="shared" si="35"/>
        <v>0</v>
      </c>
      <c r="CW345" s="139"/>
      <c r="CX345" s="138"/>
      <c r="CY345" s="138"/>
      <c r="CZ345" s="138"/>
      <c r="DA345" s="139"/>
      <c r="DB345" s="138"/>
      <c r="DC345" s="45"/>
      <c r="DD345" s="138"/>
      <c r="DE345" s="45"/>
      <c r="DF345" s="269"/>
    </row>
    <row r="346" spans="1:110" s="270" customFormat="1" ht="60" x14ac:dyDescent="0.2">
      <c r="A346" s="89">
        <v>40634</v>
      </c>
      <c r="B346" s="90" t="s">
        <v>2225</v>
      </c>
      <c r="C346" s="90" t="s">
        <v>2205</v>
      </c>
      <c r="D346" s="90" t="s">
        <v>4298</v>
      </c>
      <c r="E346" s="90" t="str">
        <f>VLOOKUP(B346&amp;C346,Divipola!$C$2:$F$1138,4,FALSE)</f>
        <v>27001</v>
      </c>
      <c r="F346" s="90"/>
      <c r="G346" s="101"/>
      <c r="H346" s="101"/>
      <c r="I346" s="101"/>
      <c r="J346" s="101">
        <v>190</v>
      </c>
      <c r="K346" s="101">
        <v>38</v>
      </c>
      <c r="L346" s="101">
        <v>12</v>
      </c>
      <c r="M346" s="101"/>
      <c r="N346" s="101"/>
      <c r="O346" s="101"/>
      <c r="P346" s="101"/>
      <c r="Q346" s="101"/>
      <c r="R346" s="101"/>
      <c r="S346" s="101"/>
      <c r="T346" s="101"/>
      <c r="U346" s="101"/>
      <c r="V346" s="101"/>
      <c r="W346" s="91"/>
      <c r="X346" s="89"/>
      <c r="Y346" s="92">
        <f t="shared" si="30"/>
        <v>0</v>
      </c>
      <c r="Z346" s="92">
        <f t="shared" si="31"/>
        <v>2890000.34</v>
      </c>
      <c r="AA346" s="92">
        <f t="shared" si="32"/>
        <v>13320000</v>
      </c>
      <c r="AB346" s="92">
        <f t="shared" si="33"/>
        <v>0</v>
      </c>
      <c r="AC346" s="123">
        <f>200*13900+1000*1600+150*8700+50*10700+150*8300</f>
        <v>7465000</v>
      </c>
      <c r="AD346" s="92">
        <v>0</v>
      </c>
      <c r="AE346" s="92">
        <f t="shared" si="34"/>
        <v>23675000.34</v>
      </c>
      <c r="AF346" s="93">
        <v>0</v>
      </c>
      <c r="AG346" s="89">
        <v>40634</v>
      </c>
      <c r="AH346" s="94"/>
      <c r="AI346" s="95" t="s">
        <v>4346</v>
      </c>
      <c r="AJ346" s="96" t="s">
        <v>4347</v>
      </c>
      <c r="AK346" s="97"/>
      <c r="AL346" s="89"/>
      <c r="AM346" s="100" t="s">
        <v>4192</v>
      </c>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114"/>
      <c r="CQ346" s="115"/>
      <c r="CR346" s="114"/>
      <c r="CS346" s="115"/>
      <c r="CT346" s="114"/>
      <c r="CU346" s="115"/>
      <c r="CV346" s="99">
        <f t="shared" si="35"/>
        <v>0</v>
      </c>
      <c r="CW346" s="114"/>
      <c r="CX346" s="115"/>
      <c r="CY346" s="114">
        <v>34</v>
      </c>
      <c r="CZ346" s="115">
        <f>34*85000.01</f>
        <v>2890000.34</v>
      </c>
      <c r="DA346" s="115">
        <v>300</v>
      </c>
      <c r="DB346" s="115">
        <f>300*28400</f>
        <v>8520000</v>
      </c>
      <c r="DC346" s="114">
        <v>300</v>
      </c>
      <c r="DD346" s="115">
        <f>300*16000</f>
        <v>4800000</v>
      </c>
      <c r="DE346" s="97"/>
      <c r="DF346" s="269"/>
    </row>
    <row r="347" spans="1:110" s="270" customFormat="1" ht="24" x14ac:dyDescent="0.2">
      <c r="A347" s="89">
        <v>40634</v>
      </c>
      <c r="B347" s="90" t="s">
        <v>4344</v>
      </c>
      <c r="C347" s="90" t="s">
        <v>840</v>
      </c>
      <c r="D347" s="90" t="s">
        <v>3346</v>
      </c>
      <c r="E347" s="90" t="str">
        <f>VLOOKUP(B347&amp;C347,Divipola!$C$2:$F$1138,4,FALSE)</f>
        <v>25491</v>
      </c>
      <c r="F347" s="90"/>
      <c r="G347" s="101"/>
      <c r="H347" s="101">
        <v>5</v>
      </c>
      <c r="I347" s="101"/>
      <c r="J347" s="101">
        <v>880</v>
      </c>
      <c r="K347" s="101">
        <v>376</v>
      </c>
      <c r="L347" s="101"/>
      <c r="M347" s="101">
        <v>376</v>
      </c>
      <c r="N347" s="101"/>
      <c r="O347" s="101"/>
      <c r="P347" s="101"/>
      <c r="Q347" s="101"/>
      <c r="R347" s="101"/>
      <c r="S347" s="101"/>
      <c r="T347" s="101"/>
      <c r="U347" s="101">
        <v>1</v>
      </c>
      <c r="V347" s="101"/>
      <c r="W347" s="91"/>
      <c r="X347" s="89"/>
      <c r="Y347" s="92">
        <f t="shared" si="30"/>
        <v>0</v>
      </c>
      <c r="Z347" s="92">
        <f t="shared" si="31"/>
        <v>0</v>
      </c>
      <c r="AA347" s="92">
        <f t="shared" si="32"/>
        <v>0</v>
      </c>
      <c r="AB347" s="92">
        <f t="shared" si="33"/>
        <v>0</v>
      </c>
      <c r="AC347" s="92"/>
      <c r="AD347" s="92">
        <v>0</v>
      </c>
      <c r="AE347" s="92">
        <f t="shared" si="34"/>
        <v>0</v>
      </c>
      <c r="AF347" s="93">
        <v>0</v>
      </c>
      <c r="AG347" s="89">
        <v>40634</v>
      </c>
      <c r="AH347" s="94"/>
      <c r="AI347" s="102" t="s">
        <v>4336</v>
      </c>
      <c r="AJ347" s="96" t="s">
        <v>4337</v>
      </c>
      <c r="AK347" s="97"/>
      <c r="AL347" s="89"/>
      <c r="AM347" s="100" t="s">
        <v>3740</v>
      </c>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114"/>
      <c r="CQ347" s="115"/>
      <c r="CR347" s="114"/>
      <c r="CS347" s="115"/>
      <c r="CT347" s="114"/>
      <c r="CU347" s="115"/>
      <c r="CV347" s="99">
        <f t="shared" si="35"/>
        <v>0</v>
      </c>
      <c r="CW347" s="114"/>
      <c r="CX347" s="115"/>
      <c r="CY347" s="114"/>
      <c r="CZ347" s="115"/>
      <c r="DA347" s="115"/>
      <c r="DB347" s="115"/>
      <c r="DC347" s="114"/>
      <c r="DD347" s="115"/>
      <c r="DE347" s="97"/>
      <c r="DF347" s="269"/>
    </row>
    <row r="348" spans="1:110" s="270" customFormat="1" ht="36" x14ac:dyDescent="0.2">
      <c r="A348" s="89">
        <v>40634</v>
      </c>
      <c r="B348" s="90" t="s">
        <v>4219</v>
      </c>
      <c r="C348" s="90" t="s">
        <v>3356</v>
      </c>
      <c r="D348" s="90" t="s">
        <v>3346</v>
      </c>
      <c r="E348" s="90" t="str">
        <f>VLOOKUP(B348&amp;C348,Divipola!$C$2:$F$1138,4,FALSE)</f>
        <v>41676</v>
      </c>
      <c r="F348" s="90"/>
      <c r="G348" s="101"/>
      <c r="H348" s="101"/>
      <c r="I348" s="101"/>
      <c r="J348" s="101"/>
      <c r="K348" s="101"/>
      <c r="L348" s="101"/>
      <c r="M348" s="101"/>
      <c r="N348" s="101"/>
      <c r="O348" s="101"/>
      <c r="P348" s="101"/>
      <c r="Q348" s="101"/>
      <c r="R348" s="101"/>
      <c r="S348" s="101"/>
      <c r="T348" s="101">
        <v>2</v>
      </c>
      <c r="U348" s="101">
        <v>1</v>
      </c>
      <c r="V348" s="101"/>
      <c r="W348" s="91"/>
      <c r="X348" s="89"/>
      <c r="Y348" s="92">
        <f t="shared" si="30"/>
        <v>0</v>
      </c>
      <c r="Z348" s="92">
        <f t="shared" si="31"/>
        <v>0</v>
      </c>
      <c r="AA348" s="92">
        <f t="shared" si="32"/>
        <v>0</v>
      </c>
      <c r="AB348" s="92">
        <f t="shared" si="33"/>
        <v>0</v>
      </c>
      <c r="AC348" s="92"/>
      <c r="AD348" s="92">
        <v>0</v>
      </c>
      <c r="AE348" s="92">
        <f t="shared" si="34"/>
        <v>0</v>
      </c>
      <c r="AF348" s="93">
        <v>0</v>
      </c>
      <c r="AG348" s="89">
        <v>40634</v>
      </c>
      <c r="AH348" s="94"/>
      <c r="AI348" s="95" t="s">
        <v>4336</v>
      </c>
      <c r="AJ348" s="96" t="s">
        <v>4337</v>
      </c>
      <c r="AK348" s="97"/>
      <c r="AL348" s="89"/>
      <c r="AM348" s="100" t="s">
        <v>3741</v>
      </c>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114"/>
      <c r="CQ348" s="115"/>
      <c r="CR348" s="114"/>
      <c r="CS348" s="115"/>
      <c r="CT348" s="114"/>
      <c r="CU348" s="115"/>
      <c r="CV348" s="99">
        <f t="shared" si="35"/>
        <v>0</v>
      </c>
      <c r="CW348" s="114"/>
      <c r="CX348" s="115"/>
      <c r="CY348" s="114"/>
      <c r="CZ348" s="115"/>
      <c r="DA348" s="115"/>
      <c r="DB348" s="115"/>
      <c r="DC348" s="114"/>
      <c r="DD348" s="115"/>
      <c r="DE348" s="97"/>
      <c r="DF348" s="269"/>
    </row>
    <row r="349" spans="1:110" s="270" customFormat="1" ht="24" x14ac:dyDescent="0.2">
      <c r="A349" s="89">
        <v>40634</v>
      </c>
      <c r="B349" s="90" t="s">
        <v>860</v>
      </c>
      <c r="C349" s="90" t="s">
        <v>2859</v>
      </c>
      <c r="D349" s="90" t="s">
        <v>3346</v>
      </c>
      <c r="E349" s="90" t="str">
        <f>VLOOKUP(B349&amp;C349,Divipola!$C$2:$F$1138,4,FALSE)</f>
        <v>50001</v>
      </c>
      <c r="F349" s="90"/>
      <c r="G349" s="101"/>
      <c r="H349" s="101">
        <v>1</v>
      </c>
      <c r="I349" s="101"/>
      <c r="J349" s="101">
        <v>20</v>
      </c>
      <c r="K349" s="101">
        <v>4</v>
      </c>
      <c r="L349" s="101"/>
      <c r="M349" s="101">
        <v>4</v>
      </c>
      <c r="N349" s="101"/>
      <c r="O349" s="101"/>
      <c r="P349" s="101"/>
      <c r="Q349" s="101"/>
      <c r="R349" s="101"/>
      <c r="S349" s="101"/>
      <c r="T349" s="101">
        <v>1</v>
      </c>
      <c r="U349" s="101"/>
      <c r="V349" s="101"/>
      <c r="W349" s="91" t="s">
        <v>3737</v>
      </c>
      <c r="X349" s="89"/>
      <c r="Y349" s="92">
        <f t="shared" si="30"/>
        <v>0</v>
      </c>
      <c r="Z349" s="92">
        <f t="shared" si="31"/>
        <v>0</v>
      </c>
      <c r="AA349" s="92">
        <f t="shared" si="32"/>
        <v>0</v>
      </c>
      <c r="AB349" s="92">
        <f t="shared" si="33"/>
        <v>0</v>
      </c>
      <c r="AC349" s="92"/>
      <c r="AD349" s="92">
        <v>0</v>
      </c>
      <c r="AE349" s="92">
        <f t="shared" si="34"/>
        <v>0</v>
      </c>
      <c r="AF349" s="93">
        <v>0</v>
      </c>
      <c r="AG349" s="89">
        <v>40634</v>
      </c>
      <c r="AH349" s="94"/>
      <c r="AI349" s="95" t="s">
        <v>4336</v>
      </c>
      <c r="AJ349" s="96" t="s">
        <v>4337</v>
      </c>
      <c r="AK349" s="97"/>
      <c r="AL349" s="89"/>
      <c r="AM349" s="100" t="s">
        <v>3738</v>
      </c>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114"/>
      <c r="CQ349" s="115"/>
      <c r="CR349" s="114"/>
      <c r="CS349" s="115"/>
      <c r="CT349" s="114"/>
      <c r="CU349" s="115"/>
      <c r="CV349" s="99">
        <f t="shared" si="35"/>
        <v>0</v>
      </c>
      <c r="CW349" s="114"/>
      <c r="CX349" s="115"/>
      <c r="CY349" s="114"/>
      <c r="CZ349" s="115"/>
      <c r="DA349" s="115"/>
      <c r="DB349" s="115"/>
      <c r="DC349" s="114"/>
      <c r="DD349" s="115"/>
      <c r="DE349" s="97"/>
      <c r="DF349" s="269"/>
    </row>
    <row r="350" spans="1:110" s="270" customFormat="1" ht="24" x14ac:dyDescent="0.2">
      <c r="A350" s="89">
        <v>40634</v>
      </c>
      <c r="B350" s="90" t="s">
        <v>4387</v>
      </c>
      <c r="C350" s="90" t="s">
        <v>3328</v>
      </c>
      <c r="D350" s="90" t="s">
        <v>2362</v>
      </c>
      <c r="E350" s="90" t="str">
        <f>VLOOKUP(B350&amp;C350,Divipola!$C$2:$F$1138,4,FALSE)</f>
        <v>52051</v>
      </c>
      <c r="F350" s="90"/>
      <c r="G350" s="101"/>
      <c r="H350" s="101"/>
      <c r="I350" s="101"/>
      <c r="J350" s="101">
        <f>137*5</f>
        <v>685</v>
      </c>
      <c r="K350" s="101">
        <v>137</v>
      </c>
      <c r="L350" s="101">
        <v>1</v>
      </c>
      <c r="M350" s="101">
        <v>133</v>
      </c>
      <c r="N350" s="101"/>
      <c r="O350" s="101"/>
      <c r="P350" s="101"/>
      <c r="Q350" s="101"/>
      <c r="R350" s="101"/>
      <c r="S350" s="101"/>
      <c r="T350" s="101"/>
      <c r="U350" s="101"/>
      <c r="V350" s="101"/>
      <c r="W350" s="91"/>
      <c r="X350" s="89"/>
      <c r="Y350" s="92">
        <f t="shared" si="30"/>
        <v>0</v>
      </c>
      <c r="Z350" s="92">
        <f t="shared" si="31"/>
        <v>0</v>
      </c>
      <c r="AA350" s="92">
        <f t="shared" si="32"/>
        <v>0</v>
      </c>
      <c r="AB350" s="92">
        <f t="shared" si="33"/>
        <v>0</v>
      </c>
      <c r="AC350" s="92"/>
      <c r="AD350" s="92">
        <v>0</v>
      </c>
      <c r="AE350" s="92">
        <f t="shared" si="34"/>
        <v>0</v>
      </c>
      <c r="AF350" s="93">
        <v>0</v>
      </c>
      <c r="AG350" s="89"/>
      <c r="AH350" s="94"/>
      <c r="AI350" s="95" t="s">
        <v>4336</v>
      </c>
      <c r="AJ350" s="96" t="s">
        <v>4337</v>
      </c>
      <c r="AK350" s="97"/>
      <c r="AL350" s="89"/>
      <c r="AM350" s="100" t="s">
        <v>2727</v>
      </c>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114"/>
      <c r="CQ350" s="115"/>
      <c r="CR350" s="114"/>
      <c r="CS350" s="115"/>
      <c r="CT350" s="114"/>
      <c r="CU350" s="115"/>
      <c r="CV350" s="99">
        <f t="shared" si="35"/>
        <v>0</v>
      </c>
      <c r="CW350" s="114"/>
      <c r="CX350" s="115"/>
      <c r="CY350" s="114"/>
      <c r="CZ350" s="115"/>
      <c r="DA350" s="115"/>
      <c r="DB350" s="115"/>
      <c r="DC350" s="114"/>
      <c r="DD350" s="115"/>
      <c r="DE350" s="97"/>
      <c r="DF350" s="269"/>
    </row>
    <row r="351" spans="1:110" s="270" customFormat="1" ht="144" x14ac:dyDescent="0.2">
      <c r="A351" s="89">
        <v>40634</v>
      </c>
      <c r="B351" s="16" t="s">
        <v>3316</v>
      </c>
      <c r="C351" s="16" t="s">
        <v>3082</v>
      </c>
      <c r="D351" s="90" t="s">
        <v>4264</v>
      </c>
      <c r="E351" s="90" t="str">
        <f>VLOOKUP(B351&amp;C351,Divipola!$C$2:$F$1138,4,FALSE)</f>
        <v>73067</v>
      </c>
      <c r="F351" s="4"/>
      <c r="G351" s="208">
        <v>1</v>
      </c>
      <c r="H351" s="208"/>
      <c r="I351" s="208"/>
      <c r="J351" s="208">
        <v>5624</v>
      </c>
      <c r="K351" s="208">
        <v>1457</v>
      </c>
      <c r="L351" s="208">
        <f>14+46</f>
        <v>60</v>
      </c>
      <c r="M351" s="208">
        <v>405</v>
      </c>
      <c r="N351" s="208">
        <v>12</v>
      </c>
      <c r="O351" s="208">
        <v>5</v>
      </c>
      <c r="P351" s="208"/>
      <c r="Q351" s="208">
        <v>6</v>
      </c>
      <c r="R351" s="208"/>
      <c r="S351" s="208"/>
      <c r="T351" s="208">
        <v>3</v>
      </c>
      <c r="U351" s="208"/>
      <c r="V351" s="208"/>
      <c r="W351" s="19" t="s">
        <v>3337</v>
      </c>
      <c r="X351" s="17"/>
      <c r="Y351" s="5">
        <f t="shared" si="30"/>
        <v>0</v>
      </c>
      <c r="Z351" s="5">
        <f t="shared" si="31"/>
        <v>0</v>
      </c>
      <c r="AA351" s="5">
        <f t="shared" si="32"/>
        <v>0</v>
      </c>
      <c r="AB351" s="5">
        <f t="shared" si="33"/>
        <v>0</v>
      </c>
      <c r="AC351" s="5"/>
      <c r="AD351" s="5">
        <v>0</v>
      </c>
      <c r="AE351" s="5">
        <f t="shared" si="34"/>
        <v>0</v>
      </c>
      <c r="AF351" s="70">
        <v>0</v>
      </c>
      <c r="AG351" s="17"/>
      <c r="AH351" s="18"/>
      <c r="AI351" s="47" t="s">
        <v>4336</v>
      </c>
      <c r="AJ351" s="73" t="s">
        <v>4337</v>
      </c>
      <c r="AK351" s="45"/>
      <c r="AL351" s="17"/>
      <c r="AM351" s="20" t="s">
        <v>5632</v>
      </c>
      <c r="AN351" s="19"/>
      <c r="AO351" s="19"/>
      <c r="AP351" s="19"/>
      <c r="AQ351" s="19"/>
      <c r="AR351" s="19"/>
      <c r="AS351" s="19"/>
      <c r="AT351" s="19"/>
      <c r="AU351" s="19"/>
      <c r="AV351" s="19"/>
      <c r="AW351" s="19"/>
      <c r="AX351" s="107"/>
      <c r="AY351" s="107"/>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39"/>
      <c r="CO351" s="138"/>
      <c r="CP351" s="139"/>
      <c r="CQ351" s="138"/>
      <c r="CR351" s="139"/>
      <c r="CS351" s="138"/>
      <c r="CT351" s="72"/>
      <c r="CU351" s="139"/>
      <c r="CV351" s="99">
        <f t="shared" si="35"/>
        <v>0</v>
      </c>
      <c r="CW351" s="139"/>
      <c r="CX351" s="138"/>
      <c r="CY351" s="138"/>
      <c r="CZ351" s="138"/>
      <c r="DA351" s="139"/>
      <c r="DB351" s="138"/>
      <c r="DC351" s="45"/>
      <c r="DD351" s="138"/>
      <c r="DE351" s="45"/>
      <c r="DF351" s="269"/>
    </row>
    <row r="352" spans="1:110" s="270" customFormat="1" ht="84" x14ac:dyDescent="0.2">
      <c r="A352" s="89">
        <v>40634</v>
      </c>
      <c r="B352" s="90" t="s">
        <v>3316</v>
      </c>
      <c r="C352" s="90" t="s">
        <v>4277</v>
      </c>
      <c r="D352" s="90" t="s">
        <v>4264</v>
      </c>
      <c r="E352" s="90" t="str">
        <f>VLOOKUP(B352&amp;C352,Divipola!$C$2:$F$1138,4,FALSE)</f>
        <v>73217</v>
      </c>
      <c r="F352" s="90"/>
      <c r="G352" s="101"/>
      <c r="H352" s="101"/>
      <c r="I352" s="101"/>
      <c r="J352" s="101">
        <v>828</v>
      </c>
      <c r="K352" s="101">
        <v>184</v>
      </c>
      <c r="L352" s="101"/>
      <c r="M352" s="101"/>
      <c r="N352" s="101"/>
      <c r="O352" s="101"/>
      <c r="P352" s="101"/>
      <c r="Q352" s="101"/>
      <c r="R352" s="101"/>
      <c r="S352" s="101"/>
      <c r="T352" s="101"/>
      <c r="U352" s="101"/>
      <c r="V352" s="101"/>
      <c r="W352" s="91"/>
      <c r="X352" s="89"/>
      <c r="Y352" s="92">
        <f t="shared" si="30"/>
        <v>0</v>
      </c>
      <c r="Z352" s="92">
        <f t="shared" si="31"/>
        <v>0</v>
      </c>
      <c r="AA352" s="92">
        <f t="shared" si="32"/>
        <v>0</v>
      </c>
      <c r="AB352" s="92">
        <f t="shared" si="33"/>
        <v>0</v>
      </c>
      <c r="AC352" s="92"/>
      <c r="AD352" s="92">
        <v>0</v>
      </c>
      <c r="AE352" s="92">
        <f t="shared" si="34"/>
        <v>0</v>
      </c>
      <c r="AF352" s="93">
        <v>0</v>
      </c>
      <c r="AG352" s="89"/>
      <c r="AH352" s="94"/>
      <c r="AI352" s="95" t="s">
        <v>4346</v>
      </c>
      <c r="AJ352" s="96" t="s">
        <v>4347</v>
      </c>
      <c r="AK352" s="97"/>
      <c r="AL352" s="89" t="s">
        <v>2798</v>
      </c>
      <c r="AM352" s="100" t="s">
        <v>2762</v>
      </c>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114"/>
      <c r="CQ352" s="115"/>
      <c r="CR352" s="114"/>
      <c r="CS352" s="115"/>
      <c r="CT352" s="114"/>
      <c r="CU352" s="115"/>
      <c r="CV352" s="99">
        <f t="shared" si="35"/>
        <v>0</v>
      </c>
      <c r="CW352" s="114"/>
      <c r="CX352" s="115"/>
      <c r="CY352" s="114"/>
      <c r="CZ352" s="115"/>
      <c r="DA352" s="115"/>
      <c r="DB352" s="115"/>
      <c r="DC352" s="114"/>
      <c r="DD352" s="115"/>
      <c r="DE352" s="97"/>
      <c r="DF352" s="269"/>
    </row>
    <row r="353" spans="1:255" s="270" customFormat="1" x14ac:dyDescent="0.2">
      <c r="A353" s="89">
        <v>40634</v>
      </c>
      <c r="B353" s="90" t="s">
        <v>3316</v>
      </c>
      <c r="C353" s="90" t="s">
        <v>3527</v>
      </c>
      <c r="D353" s="90" t="s">
        <v>4264</v>
      </c>
      <c r="E353" s="90" t="str">
        <f>VLOOKUP(B353&amp;C353,Divipola!$C$2:$F$1138,4,FALSE)</f>
        <v>73319</v>
      </c>
      <c r="F353" s="90"/>
      <c r="G353" s="101"/>
      <c r="H353" s="101"/>
      <c r="I353" s="101"/>
      <c r="J353" s="101">
        <v>666</v>
      </c>
      <c r="K353" s="101">
        <v>148</v>
      </c>
      <c r="L353" s="101"/>
      <c r="M353" s="101">
        <v>148</v>
      </c>
      <c r="N353" s="101"/>
      <c r="O353" s="101"/>
      <c r="P353" s="101"/>
      <c r="Q353" s="101"/>
      <c r="R353" s="101"/>
      <c r="S353" s="101"/>
      <c r="T353" s="101"/>
      <c r="U353" s="101"/>
      <c r="V353" s="101">
        <v>169</v>
      </c>
      <c r="W353" s="91"/>
      <c r="X353" s="89"/>
      <c r="Y353" s="92">
        <f t="shared" si="30"/>
        <v>0</v>
      </c>
      <c r="Z353" s="92">
        <f t="shared" si="31"/>
        <v>0</v>
      </c>
      <c r="AA353" s="92">
        <f t="shared" si="32"/>
        <v>0</v>
      </c>
      <c r="AB353" s="92">
        <f t="shared" si="33"/>
        <v>0</v>
      </c>
      <c r="AC353" s="92"/>
      <c r="AD353" s="92">
        <v>0</v>
      </c>
      <c r="AE353" s="92">
        <f t="shared" si="34"/>
        <v>0</v>
      </c>
      <c r="AF353" s="93">
        <v>0</v>
      </c>
      <c r="AG353" s="89"/>
      <c r="AH353" s="94"/>
      <c r="AI353" s="95" t="s">
        <v>4346</v>
      </c>
      <c r="AJ353" s="96" t="s">
        <v>4347</v>
      </c>
      <c r="AK353" s="97"/>
      <c r="AL353" s="89" t="s">
        <v>2798</v>
      </c>
      <c r="AM353" s="100" t="s">
        <v>3584</v>
      </c>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114"/>
      <c r="CQ353" s="115"/>
      <c r="CR353" s="114"/>
      <c r="CS353" s="115"/>
      <c r="CT353" s="114"/>
      <c r="CU353" s="115"/>
      <c r="CV353" s="99">
        <f t="shared" si="35"/>
        <v>0</v>
      </c>
      <c r="CW353" s="114"/>
      <c r="CX353" s="115"/>
      <c r="CY353" s="114"/>
      <c r="CZ353" s="115"/>
      <c r="DA353" s="115"/>
      <c r="DB353" s="115"/>
      <c r="DC353" s="114"/>
      <c r="DD353" s="115"/>
      <c r="DE353" s="97"/>
      <c r="DF353" s="269">
        <v>1658</v>
      </c>
    </row>
    <row r="354" spans="1:255" s="42" customFormat="1" ht="48" x14ac:dyDescent="0.2">
      <c r="A354" s="89">
        <v>40634</v>
      </c>
      <c r="B354" s="90" t="s">
        <v>3316</v>
      </c>
      <c r="C354" s="90" t="s">
        <v>4323</v>
      </c>
      <c r="D354" s="90" t="s">
        <v>4264</v>
      </c>
      <c r="E354" s="90" t="str">
        <f>VLOOKUP(B354&amp;C354,Divipola!$C$2:$F$1138,4,FALSE)</f>
        <v>73001</v>
      </c>
      <c r="F354" s="90"/>
      <c r="G354" s="101"/>
      <c r="H354" s="101"/>
      <c r="I354" s="101"/>
      <c r="J354" s="101">
        <v>24</v>
      </c>
      <c r="K354" s="101">
        <v>7</v>
      </c>
      <c r="L354" s="101"/>
      <c r="M354" s="101">
        <v>6</v>
      </c>
      <c r="N354" s="101"/>
      <c r="O354" s="101"/>
      <c r="P354" s="101"/>
      <c r="Q354" s="101"/>
      <c r="R354" s="101"/>
      <c r="S354" s="101"/>
      <c r="T354" s="101"/>
      <c r="U354" s="101"/>
      <c r="V354" s="101"/>
      <c r="W354" s="91"/>
      <c r="X354" s="89"/>
      <c r="Y354" s="92">
        <f t="shared" si="30"/>
        <v>0</v>
      </c>
      <c r="Z354" s="92">
        <f t="shared" si="31"/>
        <v>0</v>
      </c>
      <c r="AA354" s="92">
        <f t="shared" si="32"/>
        <v>0</v>
      </c>
      <c r="AB354" s="92">
        <f t="shared" si="33"/>
        <v>0</v>
      </c>
      <c r="AC354" s="92"/>
      <c r="AD354" s="92">
        <v>0</v>
      </c>
      <c r="AE354" s="92">
        <f t="shared" si="34"/>
        <v>0</v>
      </c>
      <c r="AF354" s="93">
        <v>0</v>
      </c>
      <c r="AG354" s="89">
        <v>40634</v>
      </c>
      <c r="AH354" s="94"/>
      <c r="AI354" s="102" t="s">
        <v>4336</v>
      </c>
      <c r="AJ354" s="96" t="s">
        <v>4337</v>
      </c>
      <c r="AK354" s="97"/>
      <c r="AL354" s="89"/>
      <c r="AM354" s="100" t="s">
        <v>3736</v>
      </c>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114"/>
      <c r="CQ354" s="115"/>
      <c r="CR354" s="114"/>
      <c r="CS354" s="115"/>
      <c r="CT354" s="114"/>
      <c r="CU354" s="115"/>
      <c r="CV354" s="99">
        <f t="shared" si="35"/>
        <v>0</v>
      </c>
      <c r="CW354" s="114"/>
      <c r="CX354" s="115"/>
      <c r="CY354" s="114"/>
      <c r="CZ354" s="115"/>
      <c r="DA354" s="115"/>
      <c r="DB354" s="115"/>
      <c r="DC354" s="114"/>
      <c r="DD354" s="115"/>
      <c r="DE354" s="97"/>
      <c r="DF354" s="269"/>
      <c r="DG354" s="270"/>
      <c r="DH354" s="270"/>
      <c r="DI354" s="270"/>
      <c r="DJ354" s="270"/>
      <c r="DK354" s="270"/>
      <c r="DL354" s="270"/>
      <c r="DM354" s="270"/>
      <c r="DN354" s="270"/>
      <c r="DO354" s="270"/>
      <c r="DP354" s="270"/>
      <c r="DQ354" s="270"/>
      <c r="DR354" s="270"/>
      <c r="DS354" s="270"/>
      <c r="DT354" s="270"/>
      <c r="DU354" s="270"/>
      <c r="DV354" s="270"/>
      <c r="DW354" s="270"/>
      <c r="DX354" s="270"/>
      <c r="DY354" s="270"/>
      <c r="DZ354" s="270"/>
      <c r="EA354" s="270"/>
      <c r="EB354" s="270"/>
      <c r="EC354" s="270"/>
      <c r="ED354" s="270"/>
      <c r="EE354" s="270"/>
      <c r="EF354" s="270"/>
      <c r="EG354" s="270"/>
      <c r="EH354" s="270"/>
      <c r="EI354" s="270"/>
      <c r="EJ354" s="270"/>
      <c r="EK354" s="270"/>
      <c r="EL354" s="270"/>
      <c r="EM354" s="270"/>
      <c r="EN354" s="270"/>
      <c r="EO354" s="270"/>
      <c r="EP354" s="270"/>
      <c r="EQ354" s="270"/>
      <c r="ER354" s="270"/>
      <c r="ES354" s="270"/>
      <c r="ET354" s="270"/>
      <c r="EU354" s="270"/>
      <c r="EV354" s="270"/>
      <c r="EW354" s="270"/>
      <c r="EX354" s="270"/>
      <c r="EY354" s="270"/>
      <c r="EZ354" s="270"/>
      <c r="FA354" s="270"/>
      <c r="FB354" s="270"/>
      <c r="FC354" s="270"/>
      <c r="FD354" s="270"/>
      <c r="FE354" s="270"/>
      <c r="FF354" s="270"/>
      <c r="FG354" s="270"/>
      <c r="FH354" s="270"/>
      <c r="FI354" s="270"/>
      <c r="FJ354" s="270"/>
      <c r="FK354" s="270"/>
      <c r="FL354" s="270"/>
      <c r="FM354" s="270"/>
      <c r="FN354" s="270"/>
      <c r="FO354" s="270"/>
      <c r="FP354" s="270"/>
      <c r="FQ354" s="270"/>
      <c r="FR354" s="270"/>
      <c r="FS354" s="270"/>
      <c r="FT354" s="270"/>
      <c r="FU354" s="270"/>
      <c r="FV354" s="270"/>
      <c r="FW354" s="270"/>
      <c r="FX354" s="270"/>
      <c r="FY354" s="270"/>
      <c r="FZ354" s="270"/>
      <c r="GA354" s="270"/>
      <c r="GB354" s="270"/>
      <c r="GC354" s="270"/>
      <c r="GD354" s="270"/>
      <c r="GE354" s="270"/>
      <c r="GF354" s="270"/>
      <c r="GG354" s="270"/>
      <c r="GH354" s="270"/>
      <c r="GI354" s="270"/>
      <c r="GJ354" s="270"/>
      <c r="GK354" s="270"/>
      <c r="GL354" s="270"/>
      <c r="GM354" s="270"/>
      <c r="GN354" s="270"/>
      <c r="GO354" s="270"/>
      <c r="GP354" s="270"/>
      <c r="GQ354" s="270"/>
      <c r="GR354" s="270"/>
      <c r="GS354" s="270"/>
      <c r="GT354" s="270"/>
      <c r="GU354" s="270"/>
      <c r="GV354" s="270"/>
      <c r="GW354" s="270"/>
      <c r="GX354" s="270"/>
      <c r="GY354" s="270"/>
      <c r="GZ354" s="270"/>
      <c r="HA354" s="270"/>
      <c r="HB354" s="270"/>
      <c r="HC354" s="270"/>
      <c r="HD354" s="270"/>
      <c r="HE354" s="270"/>
      <c r="HF354" s="270"/>
      <c r="HG354" s="270"/>
      <c r="HH354" s="270"/>
      <c r="HI354" s="270"/>
      <c r="HJ354" s="270"/>
      <c r="HK354" s="270"/>
      <c r="HL354" s="270"/>
      <c r="HM354" s="270"/>
      <c r="HN354" s="270"/>
      <c r="HO354" s="270"/>
      <c r="HP354" s="270"/>
      <c r="HQ354" s="270"/>
      <c r="HR354" s="270"/>
      <c r="HS354" s="270"/>
      <c r="HT354" s="270"/>
      <c r="HU354" s="270"/>
      <c r="HV354" s="270"/>
      <c r="HW354" s="270"/>
      <c r="HX354" s="270"/>
      <c r="HY354" s="270"/>
      <c r="HZ354" s="270"/>
      <c r="IA354" s="270"/>
      <c r="IB354" s="270"/>
      <c r="IC354" s="270"/>
      <c r="ID354" s="270"/>
      <c r="IE354" s="270"/>
      <c r="IF354" s="270"/>
      <c r="IG354" s="270"/>
      <c r="IH354" s="270"/>
      <c r="II354" s="270"/>
      <c r="IJ354" s="270"/>
      <c r="IK354" s="270"/>
      <c r="IL354" s="270"/>
      <c r="IM354" s="270"/>
      <c r="IN354" s="270"/>
      <c r="IO354" s="270"/>
      <c r="IP354" s="270"/>
      <c r="IQ354" s="270"/>
      <c r="IR354" s="270"/>
      <c r="IS354" s="270"/>
      <c r="IT354" s="270"/>
      <c r="IU354" s="270"/>
    </row>
    <row r="355" spans="1:255" s="270" customFormat="1" ht="24" x14ac:dyDescent="0.2">
      <c r="A355" s="89">
        <v>40634</v>
      </c>
      <c r="B355" s="90" t="s">
        <v>3316</v>
      </c>
      <c r="C355" s="90" t="s">
        <v>4323</v>
      </c>
      <c r="D355" s="90" t="s">
        <v>3346</v>
      </c>
      <c r="E355" s="90" t="str">
        <f>VLOOKUP(B355&amp;C355,Divipola!$C$2:$F$1138,4,FALSE)</f>
        <v>73001</v>
      </c>
      <c r="F355" s="90"/>
      <c r="G355" s="101"/>
      <c r="H355" s="101"/>
      <c r="I355" s="101"/>
      <c r="J355" s="101">
        <v>15</v>
      </c>
      <c r="K355" s="101">
        <v>3</v>
      </c>
      <c r="L355" s="101">
        <v>2</v>
      </c>
      <c r="M355" s="101">
        <v>1</v>
      </c>
      <c r="N355" s="101"/>
      <c r="O355" s="101"/>
      <c r="P355" s="101"/>
      <c r="Q355" s="101"/>
      <c r="R355" s="101"/>
      <c r="S355" s="101"/>
      <c r="T355" s="101"/>
      <c r="U355" s="101"/>
      <c r="V355" s="101"/>
      <c r="W355" s="91"/>
      <c r="X355" s="89"/>
      <c r="Y355" s="92">
        <f t="shared" si="30"/>
        <v>0</v>
      </c>
      <c r="Z355" s="92">
        <f t="shared" si="31"/>
        <v>0</v>
      </c>
      <c r="AA355" s="92">
        <f t="shared" si="32"/>
        <v>0</v>
      </c>
      <c r="AB355" s="92">
        <f t="shared" si="33"/>
        <v>0</v>
      </c>
      <c r="AC355" s="92"/>
      <c r="AD355" s="92">
        <v>0</v>
      </c>
      <c r="AE355" s="92">
        <f t="shared" si="34"/>
        <v>0</v>
      </c>
      <c r="AF355" s="93">
        <v>0</v>
      </c>
      <c r="AG355" s="89">
        <v>40634</v>
      </c>
      <c r="AH355" s="94"/>
      <c r="AI355" s="102" t="s">
        <v>4336</v>
      </c>
      <c r="AJ355" s="96" t="s">
        <v>4337</v>
      </c>
      <c r="AK355" s="97"/>
      <c r="AL355" s="89"/>
      <c r="AM355" s="100" t="s">
        <v>3739</v>
      </c>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114"/>
      <c r="CQ355" s="115"/>
      <c r="CR355" s="114"/>
      <c r="CS355" s="115"/>
      <c r="CT355" s="114"/>
      <c r="CU355" s="115"/>
      <c r="CV355" s="99">
        <f t="shared" si="35"/>
        <v>0</v>
      </c>
      <c r="CW355" s="114"/>
      <c r="CX355" s="115"/>
      <c r="CY355" s="114"/>
      <c r="CZ355" s="115"/>
      <c r="DA355" s="115"/>
      <c r="DB355" s="115"/>
      <c r="DC355" s="114"/>
      <c r="DD355" s="115"/>
      <c r="DE355" s="97"/>
      <c r="DF355" s="46"/>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c r="HY355" s="42"/>
      <c r="HZ355" s="42"/>
      <c r="IA355" s="42"/>
      <c r="IB355" s="42"/>
      <c r="IC355" s="42"/>
      <c r="ID355" s="42"/>
      <c r="IE355" s="42"/>
      <c r="IF355" s="42"/>
      <c r="IG355" s="42"/>
      <c r="IH355" s="42"/>
      <c r="II355" s="42"/>
      <c r="IJ355" s="42"/>
      <c r="IK355" s="42"/>
      <c r="IL355" s="42"/>
      <c r="IM355" s="42"/>
      <c r="IN355" s="42"/>
      <c r="IO355" s="42"/>
      <c r="IP355" s="42"/>
      <c r="IQ355" s="42"/>
      <c r="IR355" s="42"/>
      <c r="IS355" s="42"/>
      <c r="IT355" s="42"/>
      <c r="IU355" s="42"/>
    </row>
    <row r="356" spans="1:255" s="270" customFormat="1" ht="24" x14ac:dyDescent="0.2">
      <c r="A356" s="89">
        <v>40634</v>
      </c>
      <c r="B356" s="90" t="s">
        <v>3316</v>
      </c>
      <c r="C356" s="90" t="s">
        <v>4259</v>
      </c>
      <c r="D356" s="90" t="s">
        <v>4264</v>
      </c>
      <c r="E356" s="90" t="str">
        <f>VLOOKUP(B356&amp;C356,Divipola!$C$2:$F$1138,4,FALSE)</f>
        <v>73770</v>
      </c>
      <c r="F356" s="90"/>
      <c r="G356" s="101"/>
      <c r="H356" s="101"/>
      <c r="I356" s="101"/>
      <c r="J356" s="101">
        <f>300*5</f>
        <v>1500</v>
      </c>
      <c r="K356" s="101">
        <v>300</v>
      </c>
      <c r="L356" s="101"/>
      <c r="M356" s="101"/>
      <c r="N356" s="101"/>
      <c r="O356" s="101"/>
      <c r="P356" s="101"/>
      <c r="Q356" s="101"/>
      <c r="R356" s="101"/>
      <c r="S356" s="101"/>
      <c r="T356" s="101"/>
      <c r="U356" s="101"/>
      <c r="V356" s="101"/>
      <c r="W356" s="91"/>
      <c r="X356" s="89"/>
      <c r="Y356" s="92">
        <f t="shared" si="30"/>
        <v>0</v>
      </c>
      <c r="Z356" s="92">
        <f t="shared" si="31"/>
        <v>0</v>
      </c>
      <c r="AA356" s="92">
        <f t="shared" si="32"/>
        <v>0</v>
      </c>
      <c r="AB356" s="92">
        <f t="shared" si="33"/>
        <v>0</v>
      </c>
      <c r="AC356" s="92"/>
      <c r="AD356" s="92">
        <v>0</v>
      </c>
      <c r="AE356" s="92">
        <f t="shared" si="34"/>
        <v>0</v>
      </c>
      <c r="AF356" s="93">
        <v>0</v>
      </c>
      <c r="AG356" s="89"/>
      <c r="AH356" s="94"/>
      <c r="AI356" s="95" t="s">
        <v>4346</v>
      </c>
      <c r="AJ356" s="96" t="s">
        <v>4347</v>
      </c>
      <c r="AK356" s="97"/>
      <c r="AL356" s="89" t="s">
        <v>2798</v>
      </c>
      <c r="AM356" s="100" t="s">
        <v>2760</v>
      </c>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114"/>
      <c r="CQ356" s="115"/>
      <c r="CR356" s="114"/>
      <c r="CS356" s="115"/>
      <c r="CT356" s="114"/>
      <c r="CU356" s="115"/>
      <c r="CV356" s="99">
        <f t="shared" si="35"/>
        <v>0</v>
      </c>
      <c r="CW356" s="114"/>
      <c r="CX356" s="115"/>
      <c r="CY356" s="114"/>
      <c r="CZ356" s="115"/>
      <c r="DA356" s="115"/>
      <c r="DB356" s="115"/>
      <c r="DC356" s="114"/>
      <c r="DD356" s="115"/>
      <c r="DE356" s="97"/>
      <c r="DF356" s="269">
        <v>1670</v>
      </c>
    </row>
    <row r="357" spans="1:255" s="270" customFormat="1" ht="24" x14ac:dyDescent="0.2">
      <c r="A357" s="89">
        <v>40634</v>
      </c>
      <c r="B357" s="90" t="s">
        <v>3316</v>
      </c>
      <c r="C357" s="90" t="s">
        <v>3548</v>
      </c>
      <c r="D357" s="90" t="s">
        <v>2362</v>
      </c>
      <c r="E357" s="90" t="str">
        <f>VLOOKUP(B357&amp;C357,Divipola!$C$2:$F$1138,4,FALSE)</f>
        <v>73861</v>
      </c>
      <c r="F357" s="90"/>
      <c r="G357" s="101"/>
      <c r="H357" s="101"/>
      <c r="I357" s="101"/>
      <c r="J357" s="101">
        <v>59</v>
      </c>
      <c r="K357" s="101">
        <v>13</v>
      </c>
      <c r="L357" s="101"/>
      <c r="M357" s="101"/>
      <c r="N357" s="101"/>
      <c r="O357" s="101"/>
      <c r="P357" s="101"/>
      <c r="Q357" s="101"/>
      <c r="R357" s="101"/>
      <c r="S357" s="101"/>
      <c r="T357" s="101"/>
      <c r="U357" s="101"/>
      <c r="V357" s="101"/>
      <c r="W357" s="91"/>
      <c r="X357" s="89"/>
      <c r="Y357" s="92">
        <f t="shared" si="30"/>
        <v>0</v>
      </c>
      <c r="Z357" s="92">
        <f t="shared" si="31"/>
        <v>0</v>
      </c>
      <c r="AA357" s="92">
        <f t="shared" si="32"/>
        <v>0</v>
      </c>
      <c r="AB357" s="92">
        <f t="shared" si="33"/>
        <v>0</v>
      </c>
      <c r="AC357" s="92"/>
      <c r="AD357" s="92">
        <v>0</v>
      </c>
      <c r="AE357" s="92">
        <f t="shared" si="34"/>
        <v>0</v>
      </c>
      <c r="AF357" s="93">
        <v>0</v>
      </c>
      <c r="AG357" s="89"/>
      <c r="AH357" s="94"/>
      <c r="AI357" s="95" t="s">
        <v>4346</v>
      </c>
      <c r="AJ357" s="96" t="s">
        <v>4347</v>
      </c>
      <c r="AK357" s="97"/>
      <c r="AL357" s="89" t="s">
        <v>2798</v>
      </c>
      <c r="AM357" s="100" t="s">
        <v>2761</v>
      </c>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114"/>
      <c r="CQ357" s="115"/>
      <c r="CR357" s="114"/>
      <c r="CS357" s="115"/>
      <c r="CT357" s="114"/>
      <c r="CU357" s="115"/>
      <c r="CV357" s="99">
        <f t="shared" si="35"/>
        <v>0</v>
      </c>
      <c r="CW357" s="114"/>
      <c r="CX357" s="115"/>
      <c r="CY357" s="114"/>
      <c r="CZ357" s="115"/>
      <c r="DA357" s="115"/>
      <c r="DB357" s="115"/>
      <c r="DC357" s="114"/>
      <c r="DD357" s="115"/>
      <c r="DE357" s="97"/>
      <c r="DF357" s="269"/>
    </row>
    <row r="358" spans="1:255" s="270" customFormat="1" ht="48" x14ac:dyDescent="0.2">
      <c r="A358" s="89">
        <v>40635</v>
      </c>
      <c r="B358" s="90" t="s">
        <v>4296</v>
      </c>
      <c r="C358" s="90" t="s">
        <v>804</v>
      </c>
      <c r="D358" s="90" t="s">
        <v>4264</v>
      </c>
      <c r="E358" s="90" t="str">
        <f>VLOOKUP(B358&amp;C358,Divipola!$C$2:$F$1138,4,FALSE)</f>
        <v>19110</v>
      </c>
      <c r="F358" s="90"/>
      <c r="G358" s="101"/>
      <c r="H358" s="101"/>
      <c r="I358" s="101"/>
      <c r="J358" s="101">
        <v>1040</v>
      </c>
      <c r="K358" s="101">
        <v>260</v>
      </c>
      <c r="L358" s="101">
        <v>3</v>
      </c>
      <c r="M358" s="101">
        <v>180</v>
      </c>
      <c r="N358" s="101"/>
      <c r="O358" s="101"/>
      <c r="P358" s="101"/>
      <c r="Q358" s="101"/>
      <c r="R358" s="101"/>
      <c r="S358" s="101"/>
      <c r="T358" s="101"/>
      <c r="U358" s="101"/>
      <c r="V358" s="101"/>
      <c r="W358" s="91"/>
      <c r="X358" s="89"/>
      <c r="Y358" s="92">
        <f t="shared" si="30"/>
        <v>0</v>
      </c>
      <c r="Z358" s="92">
        <f t="shared" si="31"/>
        <v>0</v>
      </c>
      <c r="AA358" s="92">
        <f t="shared" si="32"/>
        <v>0</v>
      </c>
      <c r="AB358" s="92">
        <f t="shared" si="33"/>
        <v>0</v>
      </c>
      <c r="AC358" s="92"/>
      <c r="AD358" s="92">
        <v>0</v>
      </c>
      <c r="AE358" s="92">
        <f t="shared" si="34"/>
        <v>0</v>
      </c>
      <c r="AF358" s="93">
        <v>0</v>
      </c>
      <c r="AG358" s="89">
        <v>40637</v>
      </c>
      <c r="AH358" s="94"/>
      <c r="AI358" s="95" t="s">
        <v>4336</v>
      </c>
      <c r="AJ358" s="96" t="s">
        <v>4337</v>
      </c>
      <c r="AK358" s="97"/>
      <c r="AL358" s="89"/>
      <c r="AM358" s="100" t="s">
        <v>284</v>
      </c>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114"/>
      <c r="CQ358" s="115"/>
      <c r="CR358" s="114"/>
      <c r="CS358" s="115"/>
      <c r="CT358" s="114"/>
      <c r="CU358" s="115"/>
      <c r="CV358" s="99">
        <f t="shared" si="35"/>
        <v>0</v>
      </c>
      <c r="CW358" s="114"/>
      <c r="CX358" s="115"/>
      <c r="CY358" s="114"/>
      <c r="CZ358" s="115"/>
      <c r="DA358" s="115"/>
      <c r="DB358" s="115"/>
      <c r="DC358" s="114"/>
      <c r="DD358" s="115"/>
      <c r="DE358" s="97"/>
      <c r="DF358" s="269"/>
    </row>
    <row r="359" spans="1:255" s="270" customFormat="1" ht="24" x14ac:dyDescent="0.2">
      <c r="A359" s="89">
        <v>40635</v>
      </c>
      <c r="B359" s="90" t="s">
        <v>860</v>
      </c>
      <c r="C359" s="90" t="s">
        <v>4361</v>
      </c>
      <c r="D359" s="90" t="s">
        <v>3346</v>
      </c>
      <c r="E359" s="90" t="str">
        <f>VLOOKUP(B359&amp;C359,Divipola!$C$2:$F$1138,4,FALSE)</f>
        <v>50006</v>
      </c>
      <c r="F359" s="90"/>
      <c r="G359" s="101"/>
      <c r="H359" s="101"/>
      <c r="I359" s="101"/>
      <c r="J359" s="101">
        <v>29</v>
      </c>
      <c r="K359" s="101">
        <v>4</v>
      </c>
      <c r="L359" s="101"/>
      <c r="M359" s="101">
        <v>4</v>
      </c>
      <c r="N359" s="101"/>
      <c r="O359" s="101"/>
      <c r="P359" s="101"/>
      <c r="Q359" s="101"/>
      <c r="R359" s="101"/>
      <c r="S359" s="101"/>
      <c r="T359" s="101"/>
      <c r="U359" s="101"/>
      <c r="V359" s="101"/>
      <c r="W359" s="91"/>
      <c r="X359" s="89"/>
      <c r="Y359" s="92">
        <f t="shared" si="30"/>
        <v>0</v>
      </c>
      <c r="Z359" s="92">
        <f t="shared" si="31"/>
        <v>0</v>
      </c>
      <c r="AA359" s="92">
        <f t="shared" si="32"/>
        <v>0</v>
      </c>
      <c r="AB359" s="92">
        <f t="shared" si="33"/>
        <v>0</v>
      </c>
      <c r="AC359" s="92"/>
      <c r="AD359" s="92">
        <v>0</v>
      </c>
      <c r="AE359" s="92">
        <f t="shared" si="34"/>
        <v>0</v>
      </c>
      <c r="AF359" s="93">
        <v>0</v>
      </c>
      <c r="AG359" s="89">
        <v>40637</v>
      </c>
      <c r="AH359" s="94"/>
      <c r="AI359" s="95" t="s">
        <v>4346</v>
      </c>
      <c r="AJ359" s="96" t="s">
        <v>4347</v>
      </c>
      <c r="AK359" s="97"/>
      <c r="AL359" s="89" t="s">
        <v>2798</v>
      </c>
      <c r="AM359" s="100" t="s">
        <v>2920</v>
      </c>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114"/>
      <c r="CQ359" s="115"/>
      <c r="CR359" s="114"/>
      <c r="CS359" s="115"/>
      <c r="CT359" s="114"/>
      <c r="CU359" s="115"/>
      <c r="CV359" s="99">
        <f t="shared" si="35"/>
        <v>0</v>
      </c>
      <c r="CW359" s="114"/>
      <c r="CX359" s="115"/>
      <c r="CY359" s="114"/>
      <c r="CZ359" s="115"/>
      <c r="DA359" s="115"/>
      <c r="DB359" s="115"/>
      <c r="DC359" s="114"/>
      <c r="DD359" s="115"/>
      <c r="DE359" s="97"/>
      <c r="DF359" s="269"/>
    </row>
    <row r="360" spans="1:255" s="270" customFormat="1" ht="24" x14ac:dyDescent="0.2">
      <c r="A360" s="89">
        <v>40636</v>
      </c>
      <c r="B360" s="90" t="s">
        <v>4219</v>
      </c>
      <c r="C360" s="90" t="s">
        <v>4521</v>
      </c>
      <c r="D360" s="90" t="s">
        <v>4264</v>
      </c>
      <c r="E360" s="90" t="str">
        <f>VLOOKUP(B360&amp;C360,Divipola!$C$2:$F$1138,4,FALSE)</f>
        <v>41132</v>
      </c>
      <c r="F360" s="90"/>
      <c r="G360" s="101"/>
      <c r="H360" s="101"/>
      <c r="I360" s="101"/>
      <c r="J360" s="101">
        <v>15</v>
      </c>
      <c r="K360" s="101">
        <v>3</v>
      </c>
      <c r="L360" s="101"/>
      <c r="M360" s="101">
        <v>3</v>
      </c>
      <c r="N360" s="101"/>
      <c r="O360" s="101"/>
      <c r="P360" s="101"/>
      <c r="Q360" s="101"/>
      <c r="R360" s="101"/>
      <c r="S360" s="101"/>
      <c r="T360" s="101"/>
      <c r="U360" s="101"/>
      <c r="V360" s="101"/>
      <c r="W360" s="91"/>
      <c r="X360" s="89"/>
      <c r="Y360" s="92">
        <f t="shared" si="30"/>
        <v>0</v>
      </c>
      <c r="Z360" s="92">
        <f t="shared" si="31"/>
        <v>0</v>
      </c>
      <c r="AA360" s="92">
        <f t="shared" si="32"/>
        <v>0</v>
      </c>
      <c r="AB360" s="92">
        <f t="shared" si="33"/>
        <v>0</v>
      </c>
      <c r="AC360" s="92"/>
      <c r="AD360" s="92">
        <v>0</v>
      </c>
      <c r="AE360" s="92">
        <f t="shared" si="34"/>
        <v>0</v>
      </c>
      <c r="AF360" s="93">
        <v>0</v>
      </c>
      <c r="AG360" s="89">
        <v>40637</v>
      </c>
      <c r="AH360" s="94"/>
      <c r="AI360" s="95" t="s">
        <v>4336</v>
      </c>
      <c r="AJ360" s="96" t="s">
        <v>4337</v>
      </c>
      <c r="AK360" s="97"/>
      <c r="AL360" s="89"/>
      <c r="AM360" s="100" t="s">
        <v>3744</v>
      </c>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114"/>
      <c r="CQ360" s="115"/>
      <c r="CR360" s="114"/>
      <c r="CS360" s="115"/>
      <c r="CT360" s="114"/>
      <c r="CU360" s="115"/>
      <c r="CV360" s="99">
        <f t="shared" si="35"/>
        <v>0</v>
      </c>
      <c r="CW360" s="114"/>
      <c r="CX360" s="115"/>
      <c r="CY360" s="114"/>
      <c r="CZ360" s="115"/>
      <c r="DA360" s="115"/>
      <c r="DB360" s="115"/>
      <c r="DC360" s="114"/>
      <c r="DD360" s="115"/>
      <c r="DE360" s="97"/>
      <c r="DF360" s="269"/>
    </row>
    <row r="361" spans="1:255" s="270" customFormat="1" ht="48" x14ac:dyDescent="0.2">
      <c r="A361" s="89">
        <v>40636</v>
      </c>
      <c r="B361" s="90" t="s">
        <v>860</v>
      </c>
      <c r="C361" s="90" t="s">
        <v>3389</v>
      </c>
      <c r="D361" s="90" t="s">
        <v>3346</v>
      </c>
      <c r="E361" s="90" t="str">
        <f>VLOOKUP(B361&amp;C361,Divipola!$C$2:$F$1138,4,FALSE)</f>
        <v>50711</v>
      </c>
      <c r="F361" s="90"/>
      <c r="G361" s="101"/>
      <c r="H361" s="101"/>
      <c r="I361" s="101"/>
      <c r="J361" s="101">
        <v>55</v>
      </c>
      <c r="K361" s="101">
        <v>14</v>
      </c>
      <c r="L361" s="101">
        <v>3</v>
      </c>
      <c r="M361" s="101">
        <v>11</v>
      </c>
      <c r="N361" s="101"/>
      <c r="O361" s="101"/>
      <c r="P361" s="101"/>
      <c r="Q361" s="101"/>
      <c r="R361" s="101"/>
      <c r="S361" s="101"/>
      <c r="T361" s="101"/>
      <c r="U361" s="101"/>
      <c r="V361" s="101"/>
      <c r="W361" s="91"/>
      <c r="X361" s="89"/>
      <c r="Y361" s="92">
        <f t="shared" si="30"/>
        <v>0</v>
      </c>
      <c r="Z361" s="92">
        <f t="shared" si="31"/>
        <v>0</v>
      </c>
      <c r="AA361" s="92">
        <f t="shared" si="32"/>
        <v>0</v>
      </c>
      <c r="AB361" s="92">
        <f t="shared" si="33"/>
        <v>0</v>
      </c>
      <c r="AC361" s="92"/>
      <c r="AD361" s="92">
        <v>0</v>
      </c>
      <c r="AE361" s="92">
        <f t="shared" si="34"/>
        <v>0</v>
      </c>
      <c r="AF361" s="93">
        <v>0</v>
      </c>
      <c r="AG361" s="89">
        <v>40637</v>
      </c>
      <c r="AH361" s="94"/>
      <c r="AI361" s="95" t="s">
        <v>4346</v>
      </c>
      <c r="AJ361" s="96" t="s">
        <v>4347</v>
      </c>
      <c r="AK361" s="97"/>
      <c r="AL361" s="89" t="s">
        <v>2798</v>
      </c>
      <c r="AM361" s="100" t="s">
        <v>3482</v>
      </c>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114"/>
      <c r="CQ361" s="115"/>
      <c r="CR361" s="114"/>
      <c r="CS361" s="115"/>
      <c r="CT361" s="114"/>
      <c r="CU361" s="115"/>
      <c r="CV361" s="99">
        <f t="shared" si="35"/>
        <v>0</v>
      </c>
      <c r="CW361" s="114"/>
      <c r="CX361" s="115"/>
      <c r="CY361" s="114"/>
      <c r="CZ361" s="115"/>
      <c r="DA361" s="115"/>
      <c r="DB361" s="115"/>
      <c r="DC361" s="114"/>
      <c r="DD361" s="115"/>
      <c r="DE361" s="97"/>
      <c r="DF361" s="269"/>
    </row>
    <row r="362" spans="1:255" s="270" customFormat="1" ht="22.5" x14ac:dyDescent="0.2">
      <c r="A362" s="89">
        <v>40636</v>
      </c>
      <c r="B362" s="90" t="s">
        <v>4221</v>
      </c>
      <c r="C362" s="90" t="s">
        <v>3357</v>
      </c>
      <c r="D362" s="90" t="s">
        <v>4298</v>
      </c>
      <c r="E362" s="90" t="str">
        <f>VLOOKUP(B362&amp;C362,Divipola!$C$2:$F$1138,4,FALSE)</f>
        <v>54518</v>
      </c>
      <c r="F362" s="90"/>
      <c r="G362" s="101"/>
      <c r="H362" s="101"/>
      <c r="I362" s="101"/>
      <c r="J362" s="101">
        <v>10</v>
      </c>
      <c r="K362" s="101">
        <v>2</v>
      </c>
      <c r="L362" s="101"/>
      <c r="M362" s="101">
        <v>2</v>
      </c>
      <c r="N362" s="101"/>
      <c r="O362" s="101"/>
      <c r="P362" s="101"/>
      <c r="Q362" s="101"/>
      <c r="R362" s="101"/>
      <c r="S362" s="101"/>
      <c r="T362" s="101"/>
      <c r="U362" s="101"/>
      <c r="V362" s="101"/>
      <c r="W362" s="91"/>
      <c r="X362" s="89"/>
      <c r="Y362" s="92">
        <f t="shared" si="30"/>
        <v>0</v>
      </c>
      <c r="Z362" s="92">
        <f t="shared" si="31"/>
        <v>0</v>
      </c>
      <c r="AA362" s="92">
        <f t="shared" si="32"/>
        <v>0</v>
      </c>
      <c r="AB362" s="92">
        <f t="shared" si="33"/>
        <v>0</v>
      </c>
      <c r="AC362" s="92"/>
      <c r="AD362" s="92">
        <v>0</v>
      </c>
      <c r="AE362" s="92">
        <f t="shared" si="34"/>
        <v>0</v>
      </c>
      <c r="AF362" s="93">
        <v>0</v>
      </c>
      <c r="AG362" s="89">
        <v>40637</v>
      </c>
      <c r="AH362" s="94"/>
      <c r="AI362" s="102" t="s">
        <v>4336</v>
      </c>
      <c r="AJ362" s="96" t="s">
        <v>4337</v>
      </c>
      <c r="AK362" s="97"/>
      <c r="AL362" s="89"/>
      <c r="AM362" s="100" t="s">
        <v>3452</v>
      </c>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114"/>
      <c r="CQ362" s="115"/>
      <c r="CR362" s="114"/>
      <c r="CS362" s="115"/>
      <c r="CT362" s="114"/>
      <c r="CU362" s="115"/>
      <c r="CV362" s="99">
        <f t="shared" si="35"/>
        <v>0</v>
      </c>
      <c r="CW362" s="114"/>
      <c r="CX362" s="115"/>
      <c r="CY362" s="114"/>
      <c r="CZ362" s="115"/>
      <c r="DA362" s="115"/>
      <c r="DB362" s="115"/>
      <c r="DC362" s="114"/>
      <c r="DD362" s="115"/>
      <c r="DE362" s="97"/>
      <c r="DF362" s="269"/>
    </row>
    <row r="363" spans="1:255" s="270" customFormat="1" ht="24" x14ac:dyDescent="0.2">
      <c r="A363" s="89">
        <v>40636</v>
      </c>
      <c r="B363" s="90" t="s">
        <v>4348</v>
      </c>
      <c r="C363" s="90" t="s">
        <v>2228</v>
      </c>
      <c r="D363" s="90" t="s">
        <v>3346</v>
      </c>
      <c r="E363" s="90" t="str">
        <f>VLOOKUP(B363&amp;C363,Divipola!$C$2:$F$1138,4,FALSE)</f>
        <v>66001</v>
      </c>
      <c r="F363" s="90"/>
      <c r="G363" s="101"/>
      <c r="H363" s="101"/>
      <c r="I363" s="101"/>
      <c r="J363" s="101">
        <v>16</v>
      </c>
      <c r="K363" s="101">
        <v>4</v>
      </c>
      <c r="L363" s="101"/>
      <c r="M363" s="101">
        <v>4</v>
      </c>
      <c r="N363" s="101"/>
      <c r="O363" s="101"/>
      <c r="P363" s="101"/>
      <c r="Q363" s="101"/>
      <c r="R363" s="101"/>
      <c r="S363" s="101"/>
      <c r="T363" s="101"/>
      <c r="U363" s="101"/>
      <c r="V363" s="101"/>
      <c r="W363" s="91"/>
      <c r="X363" s="89"/>
      <c r="Y363" s="92">
        <f t="shared" si="30"/>
        <v>0</v>
      </c>
      <c r="Z363" s="92">
        <f t="shared" si="31"/>
        <v>0</v>
      </c>
      <c r="AA363" s="92">
        <f t="shared" si="32"/>
        <v>0</v>
      </c>
      <c r="AB363" s="92">
        <f t="shared" si="33"/>
        <v>0</v>
      </c>
      <c r="AC363" s="92"/>
      <c r="AD363" s="92">
        <v>0</v>
      </c>
      <c r="AE363" s="92">
        <f t="shared" si="34"/>
        <v>0</v>
      </c>
      <c r="AF363" s="93">
        <v>0</v>
      </c>
      <c r="AG363" s="89">
        <v>40637</v>
      </c>
      <c r="AH363" s="94"/>
      <c r="AI363" s="102" t="s">
        <v>4336</v>
      </c>
      <c r="AJ363" s="96" t="s">
        <v>4337</v>
      </c>
      <c r="AK363" s="97"/>
      <c r="AL363" s="89"/>
      <c r="AM363" s="100" t="s">
        <v>3743</v>
      </c>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114"/>
      <c r="CQ363" s="115"/>
      <c r="CR363" s="114"/>
      <c r="CS363" s="115"/>
      <c r="CT363" s="114"/>
      <c r="CU363" s="115"/>
      <c r="CV363" s="99">
        <f t="shared" si="35"/>
        <v>0</v>
      </c>
      <c r="CW363" s="114"/>
      <c r="CX363" s="115"/>
      <c r="CY363" s="114"/>
      <c r="CZ363" s="115"/>
      <c r="DA363" s="115"/>
      <c r="DB363" s="115"/>
      <c r="DC363" s="114"/>
      <c r="DD363" s="115"/>
      <c r="DE363" s="97"/>
      <c r="DF363" s="269"/>
    </row>
    <row r="364" spans="1:255" s="270" customFormat="1" ht="36" x14ac:dyDescent="0.2">
      <c r="A364" s="89">
        <v>40636</v>
      </c>
      <c r="B364" s="90" t="s">
        <v>2226</v>
      </c>
      <c r="C364" s="90" t="s">
        <v>2261</v>
      </c>
      <c r="D364" s="90" t="s">
        <v>4264</v>
      </c>
      <c r="E364" s="90" t="str">
        <f>VLOOKUP(B364&amp;C364,Divipola!$C$2:$F$1138,4,FALSE)</f>
        <v>68615</v>
      </c>
      <c r="F364" s="90"/>
      <c r="G364" s="101"/>
      <c r="H364" s="101"/>
      <c r="I364" s="101"/>
      <c r="J364" s="101">
        <v>8</v>
      </c>
      <c r="K364" s="101">
        <v>2</v>
      </c>
      <c r="L364" s="101"/>
      <c r="M364" s="101">
        <v>2</v>
      </c>
      <c r="N364" s="101">
        <v>1</v>
      </c>
      <c r="O364" s="101"/>
      <c r="P364" s="101"/>
      <c r="Q364" s="101"/>
      <c r="R364" s="101"/>
      <c r="S364" s="101"/>
      <c r="T364" s="101"/>
      <c r="U364" s="101"/>
      <c r="V364" s="101"/>
      <c r="W364" s="91"/>
      <c r="X364" s="89"/>
      <c r="Y364" s="92">
        <f t="shared" si="30"/>
        <v>0</v>
      </c>
      <c r="Z364" s="92">
        <f t="shared" si="31"/>
        <v>0</v>
      </c>
      <c r="AA364" s="92">
        <f t="shared" si="32"/>
        <v>0</v>
      </c>
      <c r="AB364" s="92">
        <f t="shared" si="33"/>
        <v>0</v>
      </c>
      <c r="AC364" s="92"/>
      <c r="AD364" s="92">
        <v>0</v>
      </c>
      <c r="AE364" s="92">
        <f t="shared" si="34"/>
        <v>0</v>
      </c>
      <c r="AF364" s="93">
        <v>0</v>
      </c>
      <c r="AG364" s="89">
        <v>40637</v>
      </c>
      <c r="AH364" s="94"/>
      <c r="AI364" s="95" t="s">
        <v>4346</v>
      </c>
      <c r="AJ364" s="96" t="s">
        <v>4347</v>
      </c>
      <c r="AK364" s="97"/>
      <c r="AL364" s="89" t="s">
        <v>1049</v>
      </c>
      <c r="AM364" s="100" t="s">
        <v>3745</v>
      </c>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114"/>
      <c r="CQ364" s="115"/>
      <c r="CR364" s="114"/>
      <c r="CS364" s="115"/>
      <c r="CT364" s="114"/>
      <c r="CU364" s="115"/>
      <c r="CV364" s="99">
        <f t="shared" si="35"/>
        <v>0</v>
      </c>
      <c r="CW364" s="114"/>
      <c r="CX364" s="115"/>
      <c r="CY364" s="114"/>
      <c r="CZ364" s="115"/>
      <c r="DA364" s="115"/>
      <c r="DB364" s="115"/>
      <c r="DC364" s="114"/>
      <c r="DD364" s="115"/>
      <c r="DE364" s="97"/>
      <c r="DF364" s="269"/>
    </row>
    <row r="365" spans="1:255" s="270" customFormat="1" ht="36" x14ac:dyDescent="0.2">
      <c r="A365" s="89">
        <v>40637</v>
      </c>
      <c r="B365" s="90" t="s">
        <v>2218</v>
      </c>
      <c r="C365" s="90" t="s">
        <v>3343</v>
      </c>
      <c r="D365" s="90" t="s">
        <v>3346</v>
      </c>
      <c r="E365" s="90" t="str">
        <f>VLOOKUP(B365&amp;C365,Divipola!$C$2:$F$1138,4,FALSE)</f>
        <v>05318</v>
      </c>
      <c r="F365" s="90"/>
      <c r="G365" s="101"/>
      <c r="H365" s="101"/>
      <c r="I365" s="101"/>
      <c r="J365" s="101">
        <v>100</v>
      </c>
      <c r="K365" s="101">
        <v>20</v>
      </c>
      <c r="L365" s="101"/>
      <c r="M365" s="101">
        <v>20</v>
      </c>
      <c r="N365" s="101"/>
      <c r="O365" s="101"/>
      <c r="P365" s="101"/>
      <c r="Q365" s="101"/>
      <c r="R365" s="101"/>
      <c r="S365" s="101"/>
      <c r="T365" s="101"/>
      <c r="U365" s="101"/>
      <c r="V365" s="101"/>
      <c r="W365" s="91"/>
      <c r="X365" s="89"/>
      <c r="Y365" s="92">
        <f t="shared" si="30"/>
        <v>0</v>
      </c>
      <c r="Z365" s="92">
        <f t="shared" si="31"/>
        <v>0</v>
      </c>
      <c r="AA365" s="92">
        <f t="shared" si="32"/>
        <v>0</v>
      </c>
      <c r="AB365" s="92">
        <f t="shared" si="33"/>
        <v>0</v>
      </c>
      <c r="AC365" s="92"/>
      <c r="AD365" s="92">
        <v>0</v>
      </c>
      <c r="AE365" s="92">
        <f t="shared" si="34"/>
        <v>0</v>
      </c>
      <c r="AF365" s="93">
        <v>0</v>
      </c>
      <c r="AG365" s="89">
        <v>40637</v>
      </c>
      <c r="AH365" s="94"/>
      <c r="AI365" s="102" t="s">
        <v>4336</v>
      </c>
      <c r="AJ365" s="96" t="s">
        <v>4337</v>
      </c>
      <c r="AK365" s="97"/>
      <c r="AL365" s="89"/>
      <c r="AM365" s="100" t="s">
        <v>2911</v>
      </c>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114"/>
      <c r="CQ365" s="115"/>
      <c r="CR365" s="114"/>
      <c r="CS365" s="115"/>
      <c r="CT365" s="114"/>
      <c r="CU365" s="115"/>
      <c r="CV365" s="99">
        <f t="shared" si="35"/>
        <v>0</v>
      </c>
      <c r="CW365" s="114"/>
      <c r="CX365" s="115"/>
      <c r="CY365" s="114"/>
      <c r="CZ365" s="115"/>
      <c r="DA365" s="115"/>
      <c r="DB365" s="115"/>
      <c r="DC365" s="114"/>
      <c r="DD365" s="115"/>
      <c r="DE365" s="97"/>
      <c r="DF365" s="269"/>
    </row>
    <row r="366" spans="1:255" s="270" customFormat="1" ht="24" x14ac:dyDescent="0.2">
      <c r="A366" s="89">
        <v>40637</v>
      </c>
      <c r="B366" s="90" t="s">
        <v>4352</v>
      </c>
      <c r="C366" s="90" t="s">
        <v>3317</v>
      </c>
      <c r="D366" s="90" t="s">
        <v>4264</v>
      </c>
      <c r="E366" s="90" t="str">
        <f>VLOOKUP(B366&amp;C366,Divipola!$C$2:$F$1138,4,FALSE)</f>
        <v>13030</v>
      </c>
      <c r="F366" s="90"/>
      <c r="G366" s="101"/>
      <c r="H366" s="101"/>
      <c r="I366" s="101"/>
      <c r="J366" s="101"/>
      <c r="K366" s="101"/>
      <c r="L366" s="101"/>
      <c r="M366" s="101"/>
      <c r="N366" s="101"/>
      <c r="O366" s="101"/>
      <c r="P366" s="101"/>
      <c r="Q366" s="101"/>
      <c r="R366" s="101"/>
      <c r="S366" s="101"/>
      <c r="T366" s="101"/>
      <c r="U366" s="101"/>
      <c r="V366" s="101"/>
      <c r="W366" s="91"/>
      <c r="X366" s="89"/>
      <c r="Y366" s="92">
        <f t="shared" si="30"/>
        <v>126200000</v>
      </c>
      <c r="Z366" s="92">
        <f t="shared" si="31"/>
        <v>119000000</v>
      </c>
      <c r="AA366" s="92">
        <f t="shared" si="32"/>
        <v>0</v>
      </c>
      <c r="AB366" s="92">
        <f t="shared" si="33"/>
        <v>0</v>
      </c>
      <c r="AC366" s="92"/>
      <c r="AD366" s="92">
        <v>0</v>
      </c>
      <c r="AE366" s="92">
        <f t="shared" si="34"/>
        <v>245200000</v>
      </c>
      <c r="AF366" s="93">
        <v>0</v>
      </c>
      <c r="AG366" s="89"/>
      <c r="AH366" s="94"/>
      <c r="AI366" s="109" t="s">
        <v>4346</v>
      </c>
      <c r="AJ366" s="110" t="s">
        <v>4347</v>
      </c>
      <c r="AK366" s="97"/>
      <c r="AL366" s="89"/>
      <c r="AM366" s="100" t="s">
        <v>4534</v>
      </c>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v>800</v>
      </c>
      <c r="BM366" s="91">
        <f>800*25500</f>
        <v>20400000</v>
      </c>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v>3000</v>
      </c>
      <c r="CO366" s="91">
        <f>3000*18000</f>
        <v>54000000</v>
      </c>
      <c r="CP366" s="114">
        <v>1400</v>
      </c>
      <c r="CQ366" s="115">
        <f>1400*37000</f>
        <v>51800000</v>
      </c>
      <c r="CR366" s="114"/>
      <c r="CS366" s="115"/>
      <c r="CT366" s="114"/>
      <c r="CU366" s="115"/>
      <c r="CV366" s="99">
        <f t="shared" si="35"/>
        <v>126200000</v>
      </c>
      <c r="CW366" s="114"/>
      <c r="CX366" s="115"/>
      <c r="CY366" s="114">
        <v>1400</v>
      </c>
      <c r="CZ366" s="115">
        <f>1400*85000</f>
        <v>119000000</v>
      </c>
      <c r="DA366" s="115"/>
      <c r="DB366" s="115"/>
      <c r="DC366" s="114"/>
      <c r="DD366" s="115"/>
      <c r="DE366" s="97"/>
      <c r="DF366" s="269"/>
    </row>
    <row r="367" spans="1:255" s="270" customFormat="1" ht="48" x14ac:dyDescent="0.2">
      <c r="A367" s="89">
        <v>40637</v>
      </c>
      <c r="B367" s="90" t="s">
        <v>4352</v>
      </c>
      <c r="C367" s="90" t="s">
        <v>2480</v>
      </c>
      <c r="D367" s="90" t="s">
        <v>4264</v>
      </c>
      <c r="E367" s="90" t="str">
        <f>VLOOKUP(B367&amp;C367,Divipola!$C$2:$F$1138,4,FALSE)</f>
        <v>13042</v>
      </c>
      <c r="F367" s="90"/>
      <c r="G367" s="101"/>
      <c r="H367" s="101"/>
      <c r="I367" s="101"/>
      <c r="J367" s="101">
        <f>519*5</f>
        <v>2595</v>
      </c>
      <c r="K367" s="101">
        <v>519</v>
      </c>
      <c r="L367" s="101"/>
      <c r="M367" s="101">
        <v>519</v>
      </c>
      <c r="N367" s="101"/>
      <c r="O367" s="101"/>
      <c r="P367" s="101"/>
      <c r="Q367" s="101"/>
      <c r="R367" s="101"/>
      <c r="S367" s="101"/>
      <c r="T367" s="101"/>
      <c r="U367" s="101"/>
      <c r="V367" s="101"/>
      <c r="W367" s="91"/>
      <c r="X367" s="89"/>
      <c r="Y367" s="92">
        <f t="shared" si="30"/>
        <v>0</v>
      </c>
      <c r="Z367" s="92">
        <f t="shared" si="31"/>
        <v>0</v>
      </c>
      <c r="AA367" s="92">
        <f t="shared" si="32"/>
        <v>0</v>
      </c>
      <c r="AB367" s="92">
        <f t="shared" si="33"/>
        <v>0</v>
      </c>
      <c r="AC367" s="92"/>
      <c r="AD367" s="92">
        <v>0</v>
      </c>
      <c r="AE367" s="92">
        <f t="shared" si="34"/>
        <v>0</v>
      </c>
      <c r="AF367" s="93">
        <v>0</v>
      </c>
      <c r="AG367" s="89"/>
      <c r="AH367" s="94"/>
      <c r="AI367" s="95" t="s">
        <v>4336</v>
      </c>
      <c r="AJ367" s="96" t="s">
        <v>4337</v>
      </c>
      <c r="AK367" s="97"/>
      <c r="AL367" s="89"/>
      <c r="AM367" s="100" t="s">
        <v>4535</v>
      </c>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114"/>
      <c r="CQ367" s="115"/>
      <c r="CR367" s="114"/>
      <c r="CS367" s="115"/>
      <c r="CT367" s="114"/>
      <c r="CU367" s="115"/>
      <c r="CV367" s="99">
        <f t="shared" si="35"/>
        <v>0</v>
      </c>
      <c r="CW367" s="114"/>
      <c r="CX367" s="115"/>
      <c r="CY367" s="114"/>
      <c r="CZ367" s="115"/>
      <c r="DA367" s="115"/>
      <c r="DB367" s="115"/>
      <c r="DC367" s="114"/>
      <c r="DD367" s="115"/>
      <c r="DE367" s="97"/>
      <c r="DF367" s="269"/>
    </row>
    <row r="368" spans="1:255" s="270" customFormat="1" ht="22.5" x14ac:dyDescent="0.2">
      <c r="A368" s="89">
        <v>40637</v>
      </c>
      <c r="B368" s="106" t="s">
        <v>4352</v>
      </c>
      <c r="C368" s="106" t="s">
        <v>4331</v>
      </c>
      <c r="D368" s="90" t="s">
        <v>4264</v>
      </c>
      <c r="E368" s="90" t="str">
        <f>VLOOKUP(B368&amp;C368,Divipola!$C$2:$F$1138,4,FALSE)</f>
        <v>13074</v>
      </c>
      <c r="F368" s="90"/>
      <c r="G368" s="129"/>
      <c r="H368" s="129"/>
      <c r="I368" s="129"/>
      <c r="J368" s="129">
        <f>613*5</f>
        <v>3065</v>
      </c>
      <c r="K368" s="129">
        <v>613</v>
      </c>
      <c r="L368" s="129"/>
      <c r="M368" s="129">
        <v>613</v>
      </c>
      <c r="N368" s="129"/>
      <c r="O368" s="129"/>
      <c r="P368" s="129"/>
      <c r="Q368" s="129"/>
      <c r="R368" s="129"/>
      <c r="S368" s="129"/>
      <c r="T368" s="129"/>
      <c r="U368" s="129"/>
      <c r="V368" s="129"/>
      <c r="W368" s="107"/>
      <c r="X368" s="105"/>
      <c r="Y368" s="92">
        <f t="shared" si="30"/>
        <v>280084800</v>
      </c>
      <c r="Z368" s="92">
        <f t="shared" si="31"/>
        <v>204000000</v>
      </c>
      <c r="AA368" s="92">
        <f t="shared" si="32"/>
        <v>0</v>
      </c>
      <c r="AB368" s="92">
        <f t="shared" si="33"/>
        <v>9050000</v>
      </c>
      <c r="AC368" s="92"/>
      <c r="AD368" s="92">
        <v>0</v>
      </c>
      <c r="AE368" s="92">
        <f t="shared" si="34"/>
        <v>493134800</v>
      </c>
      <c r="AF368" s="93">
        <v>0</v>
      </c>
      <c r="AG368" s="105"/>
      <c r="AH368" s="108"/>
      <c r="AI368" s="109" t="s">
        <v>4346</v>
      </c>
      <c r="AJ368" s="110" t="s">
        <v>4347</v>
      </c>
      <c r="AK368" s="111"/>
      <c r="AL368" s="105"/>
      <c r="AM368" s="112" t="s">
        <v>3530</v>
      </c>
      <c r="AN368" s="107"/>
      <c r="AO368" s="107"/>
      <c r="AP368" s="107"/>
      <c r="AQ368" s="107"/>
      <c r="AR368" s="107"/>
      <c r="AS368" s="107"/>
      <c r="AT368" s="107"/>
      <c r="AU368" s="107"/>
      <c r="AV368" s="107"/>
      <c r="AW368" s="107"/>
      <c r="AX368" s="107"/>
      <c r="AY368" s="107"/>
      <c r="AZ368" s="107">
        <v>3000</v>
      </c>
      <c r="BA368" s="107">
        <f>3000*56000</f>
        <v>168000000</v>
      </c>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v>50</v>
      </c>
      <c r="CA368" s="107">
        <f>50*468000</f>
        <v>23400000</v>
      </c>
      <c r="CB368" s="107"/>
      <c r="CC368" s="107"/>
      <c r="CD368" s="107"/>
      <c r="CE368" s="107"/>
      <c r="CF368" s="107"/>
      <c r="CG368" s="107"/>
      <c r="CH368" s="107"/>
      <c r="CI368" s="107"/>
      <c r="CJ368" s="107"/>
      <c r="CK368" s="107"/>
      <c r="CL368" s="107"/>
      <c r="CM368" s="107"/>
      <c r="CN368" s="118"/>
      <c r="CO368" s="119"/>
      <c r="CP368" s="118">
        <v>2400</v>
      </c>
      <c r="CQ368" s="119">
        <f>2400*36952</f>
        <v>88684800</v>
      </c>
      <c r="CR368" s="118"/>
      <c r="CS368" s="119"/>
      <c r="CT368" s="113"/>
      <c r="CU368" s="118"/>
      <c r="CV368" s="99">
        <f t="shared" si="35"/>
        <v>280084800</v>
      </c>
      <c r="CW368" s="118">
        <v>10000</v>
      </c>
      <c r="CX368" s="119">
        <f>10000*905</f>
        <v>9050000</v>
      </c>
      <c r="CY368" s="119">
        <v>2400</v>
      </c>
      <c r="CZ368" s="119">
        <f>2400*85000</f>
        <v>204000000</v>
      </c>
      <c r="DA368" s="118"/>
      <c r="DB368" s="119"/>
      <c r="DC368" s="111"/>
      <c r="DD368" s="119"/>
      <c r="DE368" s="111"/>
      <c r="DF368" s="269"/>
    </row>
    <row r="369" spans="1:110" s="270" customFormat="1" ht="24" x14ac:dyDescent="0.2">
      <c r="A369" s="89">
        <v>40637</v>
      </c>
      <c r="B369" s="90" t="s">
        <v>4352</v>
      </c>
      <c r="C369" s="90" t="s">
        <v>4310</v>
      </c>
      <c r="D369" s="90" t="s">
        <v>4264</v>
      </c>
      <c r="E369" s="90" t="str">
        <f>VLOOKUP(B369&amp;C369,Divipola!$C$2:$F$1138,4,FALSE)</f>
        <v>13268</v>
      </c>
      <c r="F369" s="90"/>
      <c r="G369" s="101"/>
      <c r="H369" s="101"/>
      <c r="I369" s="101"/>
      <c r="J369" s="101">
        <f>115*5</f>
        <v>575</v>
      </c>
      <c r="K369" s="101">
        <v>115</v>
      </c>
      <c r="L369" s="101"/>
      <c r="M369" s="101">
        <v>115</v>
      </c>
      <c r="N369" s="101"/>
      <c r="O369" s="101"/>
      <c r="P369" s="101"/>
      <c r="Q369" s="101"/>
      <c r="R369" s="101"/>
      <c r="S369" s="101"/>
      <c r="T369" s="101"/>
      <c r="U369" s="101"/>
      <c r="V369" s="101"/>
      <c r="W369" s="91"/>
      <c r="X369" s="89"/>
      <c r="Y369" s="92">
        <f t="shared" si="30"/>
        <v>49215000</v>
      </c>
      <c r="Z369" s="92">
        <f t="shared" si="31"/>
        <v>101575000</v>
      </c>
      <c r="AA369" s="92">
        <f t="shared" si="32"/>
        <v>0</v>
      </c>
      <c r="AB369" s="92">
        <f t="shared" si="33"/>
        <v>9100000</v>
      </c>
      <c r="AC369" s="92"/>
      <c r="AD369" s="92">
        <v>0</v>
      </c>
      <c r="AE369" s="92">
        <f t="shared" si="34"/>
        <v>159890000</v>
      </c>
      <c r="AF369" s="93">
        <v>0</v>
      </c>
      <c r="AG369" s="89"/>
      <c r="AH369" s="94"/>
      <c r="AI369" s="95" t="s">
        <v>4346</v>
      </c>
      <c r="AJ369" s="96" t="s">
        <v>4347</v>
      </c>
      <c r="AK369" s="97"/>
      <c r="AL369" s="89"/>
      <c r="AM369" s="100" t="s">
        <v>4536</v>
      </c>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v>10</v>
      </c>
      <c r="CA369" s="91">
        <f>10*500000</f>
        <v>5000000</v>
      </c>
      <c r="CB369" s="91"/>
      <c r="CC369" s="91"/>
      <c r="CD369" s="91"/>
      <c r="CE369" s="91"/>
      <c r="CF369" s="91"/>
      <c r="CG369" s="91"/>
      <c r="CH369" s="91"/>
      <c r="CI369" s="91"/>
      <c r="CJ369" s="91"/>
      <c r="CK369" s="91"/>
      <c r="CL369" s="91"/>
      <c r="CM369" s="91"/>
      <c r="CN369" s="91"/>
      <c r="CO369" s="91"/>
      <c r="CP369" s="114">
        <v>1195</v>
      </c>
      <c r="CQ369" s="115">
        <f>1195*37000</f>
        <v>44215000</v>
      </c>
      <c r="CR369" s="114"/>
      <c r="CS369" s="115"/>
      <c r="CT369" s="114"/>
      <c r="CU369" s="115"/>
      <c r="CV369" s="99">
        <f t="shared" si="35"/>
        <v>49215000</v>
      </c>
      <c r="CW369" s="114">
        <v>10000</v>
      </c>
      <c r="CX369" s="115">
        <f>10000*910</f>
        <v>9100000</v>
      </c>
      <c r="CY369" s="114">
        <v>1195</v>
      </c>
      <c r="CZ369" s="115">
        <f>1195*85000</f>
        <v>101575000</v>
      </c>
      <c r="DA369" s="115"/>
      <c r="DB369" s="115"/>
      <c r="DC369" s="114"/>
      <c r="DD369" s="115"/>
      <c r="DE369" s="97"/>
      <c r="DF369" s="269"/>
    </row>
    <row r="370" spans="1:110" s="270" customFormat="1" ht="24" x14ac:dyDescent="0.2">
      <c r="A370" s="89">
        <v>40637</v>
      </c>
      <c r="B370" s="90" t="s">
        <v>4352</v>
      </c>
      <c r="C370" s="90" t="s">
        <v>4247</v>
      </c>
      <c r="D370" s="90" t="s">
        <v>4264</v>
      </c>
      <c r="E370" s="90" t="str">
        <f>VLOOKUP(B370&amp;C370,Divipola!$C$2:$F$1138,4,FALSE)</f>
        <v>13300</v>
      </c>
      <c r="F370" s="90"/>
      <c r="G370" s="101"/>
      <c r="H370" s="101"/>
      <c r="I370" s="101"/>
      <c r="J370" s="101">
        <f>501*5</f>
        <v>2505</v>
      </c>
      <c r="K370" s="101">
        <v>501</v>
      </c>
      <c r="L370" s="101"/>
      <c r="M370" s="101">
        <v>501</v>
      </c>
      <c r="N370" s="101"/>
      <c r="O370" s="101"/>
      <c r="P370" s="101"/>
      <c r="Q370" s="101"/>
      <c r="R370" s="101"/>
      <c r="S370" s="101"/>
      <c r="T370" s="101"/>
      <c r="U370" s="101"/>
      <c r="V370" s="101"/>
      <c r="W370" s="91"/>
      <c r="X370" s="89"/>
      <c r="Y370" s="92">
        <f t="shared" si="30"/>
        <v>170062500</v>
      </c>
      <c r="Z370" s="92">
        <f t="shared" si="31"/>
        <v>214965000</v>
      </c>
      <c r="AA370" s="92">
        <f t="shared" si="32"/>
        <v>0</v>
      </c>
      <c r="AB370" s="92">
        <f t="shared" si="33"/>
        <v>0</v>
      </c>
      <c r="AC370" s="92"/>
      <c r="AD370" s="92">
        <v>0</v>
      </c>
      <c r="AE370" s="92">
        <f t="shared" si="34"/>
        <v>385027500</v>
      </c>
      <c r="AF370" s="93">
        <v>0</v>
      </c>
      <c r="AG370" s="89"/>
      <c r="AH370" s="94"/>
      <c r="AI370" s="95" t="s">
        <v>4346</v>
      </c>
      <c r="AJ370" s="96" t="s">
        <v>4347</v>
      </c>
      <c r="AK370" s="97"/>
      <c r="AL370" s="89"/>
      <c r="AM370" s="100" t="s">
        <v>4537</v>
      </c>
      <c r="AN370" s="91"/>
      <c r="AO370" s="91"/>
      <c r="AP370" s="91"/>
      <c r="AQ370" s="91"/>
      <c r="AR370" s="91"/>
      <c r="AS370" s="91"/>
      <c r="AT370" s="91"/>
      <c r="AU370" s="91"/>
      <c r="AV370" s="91"/>
      <c r="AW370" s="91"/>
      <c r="AX370" s="91"/>
      <c r="AY370" s="91"/>
      <c r="AZ370" s="91"/>
      <c r="BA370" s="91"/>
      <c r="BB370" s="91"/>
      <c r="BC370" s="91"/>
      <c r="BD370" s="91">
        <v>500</v>
      </c>
      <c r="BE370" s="91">
        <f>500*24000</f>
        <v>12000000</v>
      </c>
      <c r="BF370" s="91"/>
      <c r="BG370" s="91"/>
      <c r="BH370" s="91"/>
      <c r="BI370" s="91"/>
      <c r="BJ370" s="91"/>
      <c r="BK370" s="91"/>
      <c r="BL370" s="91">
        <v>2529</v>
      </c>
      <c r="BM370" s="91">
        <f>2529*25500</f>
        <v>64489500</v>
      </c>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114">
        <v>2529</v>
      </c>
      <c r="CQ370" s="115">
        <f>2529*37000</f>
        <v>93573000</v>
      </c>
      <c r="CR370" s="114"/>
      <c r="CS370" s="115"/>
      <c r="CT370" s="114"/>
      <c r="CU370" s="115"/>
      <c r="CV370" s="99">
        <f t="shared" si="35"/>
        <v>170062500</v>
      </c>
      <c r="CW370" s="114"/>
      <c r="CX370" s="115"/>
      <c r="CY370" s="114">
        <v>2529</v>
      </c>
      <c r="CZ370" s="115">
        <f>2529*85000</f>
        <v>214965000</v>
      </c>
      <c r="DA370" s="115"/>
      <c r="DB370" s="115"/>
      <c r="DC370" s="114"/>
      <c r="DD370" s="115"/>
      <c r="DE370" s="97"/>
      <c r="DF370" s="269"/>
    </row>
    <row r="371" spans="1:110" s="270" customFormat="1" ht="48" x14ac:dyDescent="0.2">
      <c r="A371" s="89">
        <v>40637</v>
      </c>
      <c r="B371" s="90" t="s">
        <v>4352</v>
      </c>
      <c r="C371" s="90" t="s">
        <v>4316</v>
      </c>
      <c r="D371" s="90" t="s">
        <v>4264</v>
      </c>
      <c r="E371" s="90" t="str">
        <f>VLOOKUP(B371&amp;C371,Divipola!$C$2:$F$1138,4,FALSE)</f>
        <v>13440</v>
      </c>
      <c r="F371" s="90"/>
      <c r="G371" s="101"/>
      <c r="H371" s="101"/>
      <c r="I371" s="101"/>
      <c r="J371" s="101"/>
      <c r="K371" s="101"/>
      <c r="L371" s="101"/>
      <c r="M371" s="101"/>
      <c r="N371" s="101"/>
      <c r="O371" s="101"/>
      <c r="P371" s="101"/>
      <c r="Q371" s="101"/>
      <c r="R371" s="101"/>
      <c r="S371" s="101"/>
      <c r="T371" s="101"/>
      <c r="U371" s="101"/>
      <c r="V371" s="101"/>
      <c r="W371" s="91"/>
      <c r="X371" s="89"/>
      <c r="Y371" s="92">
        <f t="shared" si="30"/>
        <v>94905000</v>
      </c>
      <c r="Z371" s="92">
        <f t="shared" si="31"/>
        <v>218025000</v>
      </c>
      <c r="AA371" s="92">
        <f t="shared" si="32"/>
        <v>0</v>
      </c>
      <c r="AB371" s="92">
        <f t="shared" si="33"/>
        <v>0</v>
      </c>
      <c r="AC371" s="92"/>
      <c r="AD371" s="92">
        <v>0</v>
      </c>
      <c r="AE371" s="92">
        <f t="shared" si="34"/>
        <v>312930000</v>
      </c>
      <c r="AF371" s="93">
        <v>0</v>
      </c>
      <c r="AG371" s="89"/>
      <c r="AH371" s="94"/>
      <c r="AI371" s="109" t="s">
        <v>4346</v>
      </c>
      <c r="AJ371" s="110" t="s">
        <v>4347</v>
      </c>
      <c r="AK371" s="97"/>
      <c r="AL371" s="89"/>
      <c r="AM371" s="100" t="s">
        <v>4538</v>
      </c>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114">
        <v>2565</v>
      </c>
      <c r="CQ371" s="115">
        <f>2565*37000</f>
        <v>94905000</v>
      </c>
      <c r="CR371" s="114"/>
      <c r="CS371" s="115"/>
      <c r="CT371" s="114"/>
      <c r="CU371" s="115"/>
      <c r="CV371" s="99">
        <f t="shared" si="35"/>
        <v>94905000</v>
      </c>
      <c r="CW371" s="114"/>
      <c r="CX371" s="115"/>
      <c r="CY371" s="114">
        <v>2565</v>
      </c>
      <c r="CZ371" s="115">
        <f>2565*85000</f>
        <v>218025000</v>
      </c>
      <c r="DA371" s="115"/>
      <c r="DB371" s="115"/>
      <c r="DC371" s="114"/>
      <c r="DD371" s="115"/>
      <c r="DE371" s="97"/>
      <c r="DF371" s="269"/>
    </row>
    <row r="372" spans="1:110" s="270" customFormat="1" ht="36" x14ac:dyDescent="0.2">
      <c r="A372" s="89">
        <v>40637</v>
      </c>
      <c r="B372" s="90" t="s">
        <v>4352</v>
      </c>
      <c r="C372" s="90" t="s">
        <v>3246</v>
      </c>
      <c r="D372" s="90" t="s">
        <v>4264</v>
      </c>
      <c r="E372" s="90" t="str">
        <f>VLOOKUP(B372&amp;C372,Divipola!$C$2:$F$1138,4,FALSE)</f>
        <v>13468</v>
      </c>
      <c r="F372" s="90"/>
      <c r="G372" s="101"/>
      <c r="H372" s="101"/>
      <c r="I372" s="101"/>
      <c r="J372" s="101">
        <f>848*5</f>
        <v>4240</v>
      </c>
      <c r="K372" s="101">
        <v>848</v>
      </c>
      <c r="L372" s="101"/>
      <c r="M372" s="101">
        <v>848</v>
      </c>
      <c r="N372" s="101"/>
      <c r="O372" s="101"/>
      <c r="P372" s="101"/>
      <c r="Q372" s="101"/>
      <c r="R372" s="101"/>
      <c r="S372" s="101"/>
      <c r="T372" s="101"/>
      <c r="U372" s="101"/>
      <c r="V372" s="101"/>
      <c r="W372" s="91"/>
      <c r="X372" s="89"/>
      <c r="Y372" s="92">
        <f t="shared" si="30"/>
        <v>302402400</v>
      </c>
      <c r="Z372" s="92">
        <f t="shared" si="31"/>
        <v>425000000</v>
      </c>
      <c r="AA372" s="92">
        <f t="shared" si="32"/>
        <v>0</v>
      </c>
      <c r="AB372" s="92">
        <f t="shared" si="33"/>
        <v>0</v>
      </c>
      <c r="AC372" s="92"/>
      <c r="AD372" s="92">
        <v>0</v>
      </c>
      <c r="AE372" s="92">
        <f t="shared" si="34"/>
        <v>727402400</v>
      </c>
      <c r="AF372" s="93">
        <v>0</v>
      </c>
      <c r="AG372" s="89"/>
      <c r="AH372" s="94"/>
      <c r="AI372" s="109" t="s">
        <v>4346</v>
      </c>
      <c r="AJ372" s="110" t="s">
        <v>4347</v>
      </c>
      <c r="AK372" s="97"/>
      <c r="AL372" s="89"/>
      <c r="AM372" s="100" t="s">
        <v>4539</v>
      </c>
      <c r="AN372" s="91"/>
      <c r="AO372" s="91"/>
      <c r="AP372" s="91"/>
      <c r="AQ372" s="91"/>
      <c r="AR372" s="91"/>
      <c r="AS372" s="91"/>
      <c r="AT372" s="91"/>
      <c r="AU372" s="91"/>
      <c r="AV372" s="91"/>
      <c r="AW372" s="91"/>
      <c r="AX372" s="91"/>
      <c r="AY372" s="91"/>
      <c r="AZ372" s="91">
        <v>500</v>
      </c>
      <c r="BA372" s="91">
        <f>500*56000</f>
        <v>28000000</v>
      </c>
      <c r="BB372" s="91"/>
      <c r="BC372" s="91"/>
      <c r="BD372" s="91">
        <v>1000</v>
      </c>
      <c r="BE372" s="91">
        <f>1000*24000</f>
        <v>24000000</v>
      </c>
      <c r="BF372" s="91"/>
      <c r="BG372" s="91"/>
      <c r="BH372" s="91"/>
      <c r="BI372" s="91"/>
      <c r="BJ372" s="91"/>
      <c r="BK372" s="91"/>
      <c r="BL372" s="91"/>
      <c r="BM372" s="91"/>
      <c r="BN372" s="91"/>
      <c r="BO372" s="91"/>
      <c r="BP372" s="91"/>
      <c r="BQ372" s="91"/>
      <c r="BR372" s="91"/>
      <c r="BS372" s="91"/>
      <c r="BT372" s="91"/>
      <c r="BU372" s="91"/>
      <c r="BV372" s="91"/>
      <c r="BW372" s="91"/>
      <c r="BX372" s="91"/>
      <c r="BY372" s="91"/>
      <c r="BZ372" s="91">
        <v>60</v>
      </c>
      <c r="CA372" s="91">
        <f>60*500000</f>
        <v>30000000</v>
      </c>
      <c r="CB372" s="91"/>
      <c r="CC372" s="91"/>
      <c r="CD372" s="91"/>
      <c r="CE372" s="91"/>
      <c r="CF372" s="91"/>
      <c r="CG372" s="91"/>
      <c r="CH372" s="91"/>
      <c r="CI372" s="91"/>
      <c r="CJ372" s="91"/>
      <c r="CK372" s="91"/>
      <c r="CL372" s="91"/>
      <c r="CM372" s="91"/>
      <c r="CN372" s="91">
        <v>3000</v>
      </c>
      <c r="CO372" s="91">
        <f>3000*18000</f>
        <v>54000000</v>
      </c>
      <c r="CP372" s="114">
        <v>4500</v>
      </c>
      <c r="CQ372" s="115">
        <f>2000*36952+2500*36999.36</f>
        <v>166402400</v>
      </c>
      <c r="CR372" s="114"/>
      <c r="CS372" s="115"/>
      <c r="CT372" s="114"/>
      <c r="CU372" s="115"/>
      <c r="CV372" s="99">
        <f t="shared" si="35"/>
        <v>302402400</v>
      </c>
      <c r="CW372" s="114"/>
      <c r="CX372" s="115"/>
      <c r="CY372" s="114">
        <f>500+4500</f>
        <v>5000</v>
      </c>
      <c r="CZ372" s="115">
        <f>500*85000+4500*85000</f>
        <v>425000000</v>
      </c>
      <c r="DA372" s="115"/>
      <c r="DB372" s="115"/>
      <c r="DC372" s="114"/>
      <c r="DD372" s="115"/>
      <c r="DE372" s="97"/>
      <c r="DF372" s="269"/>
    </row>
    <row r="373" spans="1:110" s="270" customFormat="1" ht="48" x14ac:dyDescent="0.2">
      <c r="A373" s="89">
        <v>40637</v>
      </c>
      <c r="B373" s="90" t="s">
        <v>4352</v>
      </c>
      <c r="C373" s="90" t="s">
        <v>4318</v>
      </c>
      <c r="D373" s="90" t="s">
        <v>4264</v>
      </c>
      <c r="E373" s="90" t="str">
        <f>VLOOKUP(B373&amp;C373,Divipola!$C$2:$F$1138,4,FALSE)</f>
        <v>13549</v>
      </c>
      <c r="F373" s="90"/>
      <c r="G373" s="101"/>
      <c r="H373" s="101"/>
      <c r="I373" s="101"/>
      <c r="J373" s="101"/>
      <c r="K373" s="101"/>
      <c r="L373" s="101"/>
      <c r="M373" s="101"/>
      <c r="N373" s="101"/>
      <c r="O373" s="101"/>
      <c r="P373" s="101"/>
      <c r="Q373" s="101"/>
      <c r="R373" s="101"/>
      <c r="S373" s="101"/>
      <c r="T373" s="101"/>
      <c r="U373" s="101"/>
      <c r="V373" s="101"/>
      <c r="W373" s="91"/>
      <c r="X373" s="89"/>
      <c r="Y373" s="92">
        <f t="shared" si="30"/>
        <v>0</v>
      </c>
      <c r="Z373" s="92">
        <f t="shared" si="31"/>
        <v>0</v>
      </c>
      <c r="AA373" s="92">
        <f t="shared" si="32"/>
        <v>0</v>
      </c>
      <c r="AB373" s="92">
        <f t="shared" si="33"/>
        <v>0</v>
      </c>
      <c r="AC373" s="92"/>
      <c r="AD373" s="92">
        <v>66460000</v>
      </c>
      <c r="AE373" s="92">
        <f t="shared" si="34"/>
        <v>66460000</v>
      </c>
      <c r="AF373" s="93">
        <v>0</v>
      </c>
      <c r="AG373" s="89"/>
      <c r="AH373" s="94"/>
      <c r="AI373" s="95" t="s">
        <v>4346</v>
      </c>
      <c r="AJ373" s="96" t="s">
        <v>4347</v>
      </c>
      <c r="AK373" s="97"/>
      <c r="AL373" s="89"/>
      <c r="AM373" s="100" t="s">
        <v>1051</v>
      </c>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114"/>
      <c r="CQ373" s="115"/>
      <c r="CR373" s="114"/>
      <c r="CS373" s="115"/>
      <c r="CT373" s="114"/>
      <c r="CU373" s="115"/>
      <c r="CV373" s="99">
        <f t="shared" si="35"/>
        <v>0</v>
      </c>
      <c r="CW373" s="114"/>
      <c r="CX373" s="115"/>
      <c r="CY373" s="114"/>
      <c r="CZ373" s="115"/>
      <c r="DA373" s="115"/>
      <c r="DB373" s="115"/>
      <c r="DC373" s="114"/>
      <c r="DD373" s="115"/>
      <c r="DE373" s="97">
        <v>2</v>
      </c>
      <c r="DF373" s="269"/>
    </row>
    <row r="374" spans="1:110" s="270" customFormat="1" ht="24" x14ac:dyDescent="0.2">
      <c r="A374" s="89">
        <v>40637</v>
      </c>
      <c r="B374" s="90" t="s">
        <v>4352</v>
      </c>
      <c r="C374" s="90" t="s">
        <v>3542</v>
      </c>
      <c r="D374" s="90" t="s">
        <v>4264</v>
      </c>
      <c r="E374" s="90" t="str">
        <f>VLOOKUP(B374&amp;C374,Divipola!$C$2:$F$1138,4,FALSE)</f>
        <v>13580</v>
      </c>
      <c r="F374" s="90"/>
      <c r="G374" s="101"/>
      <c r="H374" s="101"/>
      <c r="I374" s="101"/>
      <c r="J374" s="101">
        <f>520*5</f>
        <v>2600</v>
      </c>
      <c r="K374" s="101">
        <v>520</v>
      </c>
      <c r="L374" s="101"/>
      <c r="M374" s="101">
        <v>520</v>
      </c>
      <c r="N374" s="101"/>
      <c r="O374" s="101"/>
      <c r="P374" s="101"/>
      <c r="Q374" s="101"/>
      <c r="R374" s="101"/>
      <c r="S374" s="101"/>
      <c r="T374" s="101"/>
      <c r="U374" s="101"/>
      <c r="V374" s="101"/>
      <c r="W374" s="91"/>
      <c r="X374" s="89"/>
      <c r="Y374" s="92">
        <f t="shared" si="30"/>
        <v>130209840</v>
      </c>
      <c r="Z374" s="92">
        <f t="shared" si="31"/>
        <v>141950000</v>
      </c>
      <c r="AA374" s="92">
        <f t="shared" si="32"/>
        <v>0</v>
      </c>
      <c r="AB374" s="92">
        <f t="shared" si="33"/>
        <v>9100000</v>
      </c>
      <c r="AC374" s="92"/>
      <c r="AD374" s="92">
        <v>0</v>
      </c>
      <c r="AE374" s="92">
        <f t="shared" si="34"/>
        <v>281259840</v>
      </c>
      <c r="AF374" s="93">
        <v>0</v>
      </c>
      <c r="AG374" s="89"/>
      <c r="AH374" s="94"/>
      <c r="AI374" s="95" t="s">
        <v>4346</v>
      </c>
      <c r="AJ374" s="96" t="s">
        <v>4347</v>
      </c>
      <c r="AK374" s="97"/>
      <c r="AL374" s="89"/>
      <c r="AM374" s="100" t="s">
        <v>4534</v>
      </c>
      <c r="AN374" s="91"/>
      <c r="AO374" s="91"/>
      <c r="AP374" s="91"/>
      <c r="AQ374" s="91"/>
      <c r="AR374" s="91"/>
      <c r="AS374" s="91"/>
      <c r="AT374" s="91"/>
      <c r="AU374" s="91"/>
      <c r="AV374" s="91"/>
      <c r="AW374" s="91"/>
      <c r="AX374" s="91"/>
      <c r="AY374" s="91"/>
      <c r="AZ374" s="91">
        <v>1000</v>
      </c>
      <c r="BA374" s="91">
        <f>1000*56000</f>
        <v>56000000</v>
      </c>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120">
        <f>10+15</f>
        <v>25</v>
      </c>
      <c r="CA374" s="120">
        <f>10*500000+15*500000</f>
        <v>12500000</v>
      </c>
      <c r="CB374" s="91"/>
      <c r="CC374" s="91"/>
      <c r="CD374" s="91"/>
      <c r="CE374" s="91"/>
      <c r="CF374" s="91"/>
      <c r="CG374" s="91"/>
      <c r="CH374" s="91"/>
      <c r="CI374" s="91"/>
      <c r="CJ374" s="91"/>
      <c r="CK374" s="91"/>
      <c r="CL374" s="91"/>
      <c r="CM374" s="91"/>
      <c r="CN374" s="91"/>
      <c r="CO374" s="91"/>
      <c r="CP374" s="282">
        <v>1670</v>
      </c>
      <c r="CQ374" s="283">
        <f>1670*36952</f>
        <v>61709840</v>
      </c>
      <c r="CR374" s="114"/>
      <c r="CS374" s="115"/>
      <c r="CT374" s="114"/>
      <c r="CU374" s="115"/>
      <c r="CV374" s="99">
        <f t="shared" si="35"/>
        <v>130209840</v>
      </c>
      <c r="CW374" s="114">
        <v>10000</v>
      </c>
      <c r="CX374" s="115">
        <f>10000*910</f>
        <v>9100000</v>
      </c>
      <c r="CY374" s="114">
        <v>1670</v>
      </c>
      <c r="CZ374" s="115">
        <f>1670*85000</f>
        <v>141950000</v>
      </c>
      <c r="DA374" s="115"/>
      <c r="DB374" s="115"/>
      <c r="DC374" s="114"/>
      <c r="DD374" s="115"/>
      <c r="DE374" s="97"/>
      <c r="DF374" s="269"/>
    </row>
    <row r="375" spans="1:110" s="270" customFormat="1" ht="132" x14ac:dyDescent="0.2">
      <c r="A375" s="89">
        <v>40637</v>
      </c>
      <c r="B375" s="90" t="s">
        <v>4352</v>
      </c>
      <c r="C375" s="90" t="s">
        <v>3247</v>
      </c>
      <c r="D375" s="90" t="s">
        <v>4264</v>
      </c>
      <c r="E375" s="90" t="str">
        <f>VLOOKUP(B375&amp;C375,Divipola!$C$2:$F$1138,4,FALSE)</f>
        <v>13600</v>
      </c>
      <c r="F375" s="90"/>
      <c r="G375" s="101"/>
      <c r="H375" s="101"/>
      <c r="I375" s="101"/>
      <c r="J375" s="101">
        <f>771*5</f>
        <v>3855</v>
      </c>
      <c r="K375" s="101">
        <v>771</v>
      </c>
      <c r="L375" s="101"/>
      <c r="M375" s="101">
        <v>771</v>
      </c>
      <c r="N375" s="101"/>
      <c r="O375" s="101"/>
      <c r="P375" s="101"/>
      <c r="Q375" s="101"/>
      <c r="R375" s="101"/>
      <c r="S375" s="101"/>
      <c r="T375" s="101"/>
      <c r="U375" s="101"/>
      <c r="V375" s="101"/>
      <c r="W375" s="91"/>
      <c r="X375" s="89"/>
      <c r="Y375" s="92">
        <f t="shared" si="30"/>
        <v>158400000</v>
      </c>
      <c r="Z375" s="92">
        <f t="shared" si="31"/>
        <v>255000000</v>
      </c>
      <c r="AA375" s="92">
        <f t="shared" si="32"/>
        <v>0</v>
      </c>
      <c r="AB375" s="92">
        <f t="shared" si="33"/>
        <v>18180000</v>
      </c>
      <c r="AC375" s="92">
        <f>64999440+6*60000</f>
        <v>65359440</v>
      </c>
      <c r="AD375" s="92">
        <v>30000000</v>
      </c>
      <c r="AE375" s="92">
        <f t="shared" si="34"/>
        <v>526939440</v>
      </c>
      <c r="AF375" s="93">
        <v>0</v>
      </c>
      <c r="AG375" s="89"/>
      <c r="AH375" s="94"/>
      <c r="AI375" s="95" t="s">
        <v>4346</v>
      </c>
      <c r="AJ375" s="96" t="s">
        <v>4347</v>
      </c>
      <c r="AK375" s="97"/>
      <c r="AL375" s="89"/>
      <c r="AM375" s="100" t="s">
        <v>5626</v>
      </c>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v>10</v>
      </c>
      <c r="CA375" s="91">
        <f>10*500000</f>
        <v>5000000</v>
      </c>
      <c r="CB375" s="91"/>
      <c r="CC375" s="91"/>
      <c r="CD375" s="91"/>
      <c r="CE375" s="91"/>
      <c r="CF375" s="91"/>
      <c r="CG375" s="91"/>
      <c r="CH375" s="91"/>
      <c r="CI375" s="91"/>
      <c r="CJ375" s="91"/>
      <c r="CK375" s="91"/>
      <c r="CL375" s="91"/>
      <c r="CM375" s="91"/>
      <c r="CN375" s="91"/>
      <c r="CO375" s="91"/>
      <c r="CP375" s="114">
        <v>2000</v>
      </c>
      <c r="CQ375" s="115">
        <f>2000*37000</f>
        <v>74000000</v>
      </c>
      <c r="CR375" s="114">
        <v>2000</v>
      </c>
      <c r="CS375" s="115">
        <f>2000*39700</f>
        <v>79400000</v>
      </c>
      <c r="CT375" s="114"/>
      <c r="CU375" s="115"/>
      <c r="CV375" s="99">
        <f t="shared" si="35"/>
        <v>158400000</v>
      </c>
      <c r="CW375" s="114">
        <v>20000</v>
      </c>
      <c r="CX375" s="115">
        <f>20000*909</f>
        <v>18180000</v>
      </c>
      <c r="CY375" s="114">
        <v>3000</v>
      </c>
      <c r="CZ375" s="115">
        <f>3000*85000</f>
        <v>255000000</v>
      </c>
      <c r="DA375" s="115"/>
      <c r="DB375" s="115"/>
      <c r="DC375" s="114"/>
      <c r="DD375" s="115"/>
      <c r="DE375" s="97"/>
      <c r="DF375" s="269"/>
    </row>
    <row r="376" spans="1:110" s="270" customFormat="1" ht="24" x14ac:dyDescent="0.2">
      <c r="A376" s="89">
        <v>40637</v>
      </c>
      <c r="B376" s="90" t="s">
        <v>4352</v>
      </c>
      <c r="C376" s="90" t="s">
        <v>4311</v>
      </c>
      <c r="D376" s="90" t="s">
        <v>4264</v>
      </c>
      <c r="E376" s="90" t="str">
        <f>VLOOKUP(B376&amp;C376,Divipola!$C$2:$F$1138,4,FALSE)</f>
        <v>13650</v>
      </c>
      <c r="F376" s="90"/>
      <c r="G376" s="101"/>
      <c r="H376" s="101"/>
      <c r="I376" s="101"/>
      <c r="J376" s="101"/>
      <c r="K376" s="101"/>
      <c r="L376" s="101"/>
      <c r="M376" s="101"/>
      <c r="N376" s="101"/>
      <c r="O376" s="101"/>
      <c r="P376" s="101"/>
      <c r="Q376" s="101"/>
      <c r="R376" s="101"/>
      <c r="S376" s="101"/>
      <c r="T376" s="101"/>
      <c r="U376" s="101"/>
      <c r="V376" s="101"/>
      <c r="W376" s="91"/>
      <c r="X376" s="89"/>
      <c r="Y376" s="92">
        <f t="shared" si="30"/>
        <v>141200000</v>
      </c>
      <c r="Z376" s="92">
        <f t="shared" si="31"/>
        <v>221000000</v>
      </c>
      <c r="AA376" s="92">
        <f t="shared" si="32"/>
        <v>0</v>
      </c>
      <c r="AB376" s="92">
        <f t="shared" si="33"/>
        <v>0</v>
      </c>
      <c r="AC376" s="92"/>
      <c r="AD376" s="92">
        <v>0</v>
      </c>
      <c r="AE376" s="92">
        <f t="shared" si="34"/>
        <v>362200000</v>
      </c>
      <c r="AF376" s="93">
        <v>0</v>
      </c>
      <c r="AG376" s="89"/>
      <c r="AH376" s="94"/>
      <c r="AI376" s="109" t="s">
        <v>4346</v>
      </c>
      <c r="AJ376" s="110" t="s">
        <v>4347</v>
      </c>
      <c r="AK376" s="97"/>
      <c r="AL376" s="89"/>
      <c r="AM376" s="100" t="s">
        <v>4534</v>
      </c>
      <c r="AN376" s="91"/>
      <c r="AO376" s="91"/>
      <c r="AP376" s="91"/>
      <c r="AQ376" s="91"/>
      <c r="AR376" s="91"/>
      <c r="AS376" s="91"/>
      <c r="AT376" s="91"/>
      <c r="AU376" s="91"/>
      <c r="AV376" s="91"/>
      <c r="AW376" s="91"/>
      <c r="AX376" s="91">
        <v>100</v>
      </c>
      <c r="AY376" s="91">
        <f>100*450000</f>
        <v>45000000</v>
      </c>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114">
        <v>2600</v>
      </c>
      <c r="CQ376" s="115">
        <f>2600*37000</f>
        <v>96200000</v>
      </c>
      <c r="CR376" s="114"/>
      <c r="CS376" s="115"/>
      <c r="CT376" s="114"/>
      <c r="CU376" s="115"/>
      <c r="CV376" s="99">
        <f t="shared" si="35"/>
        <v>141200000</v>
      </c>
      <c r="CW376" s="114"/>
      <c r="CX376" s="115"/>
      <c r="CY376" s="114">
        <v>0</v>
      </c>
      <c r="CZ376" s="115">
        <f>2600*85000</f>
        <v>221000000</v>
      </c>
      <c r="DA376" s="115"/>
      <c r="DB376" s="115"/>
      <c r="DC376" s="114"/>
      <c r="DD376" s="115"/>
      <c r="DE376" s="97"/>
      <c r="DF376" s="269"/>
    </row>
    <row r="377" spans="1:110" s="270" customFormat="1" ht="24" x14ac:dyDescent="0.2">
      <c r="A377" s="89">
        <v>40637</v>
      </c>
      <c r="B377" s="90" t="s">
        <v>4352</v>
      </c>
      <c r="C377" s="90" t="s">
        <v>4362</v>
      </c>
      <c r="D377" s="90" t="s">
        <v>4264</v>
      </c>
      <c r="E377" s="90" t="str">
        <f>VLOOKUP(B377&amp;C377,Divipola!$C$2:$F$1138,4,FALSE)</f>
        <v>13670</v>
      </c>
      <c r="F377" s="90"/>
      <c r="G377" s="101"/>
      <c r="H377" s="101"/>
      <c r="I377" s="101"/>
      <c r="J377" s="101">
        <f>410*5</f>
        <v>2050</v>
      </c>
      <c r="K377" s="101">
        <v>410</v>
      </c>
      <c r="L377" s="101"/>
      <c r="M377" s="101">
        <v>410</v>
      </c>
      <c r="N377" s="101"/>
      <c r="O377" s="101"/>
      <c r="P377" s="101"/>
      <c r="Q377" s="101"/>
      <c r="R377" s="101"/>
      <c r="S377" s="101"/>
      <c r="T377" s="101"/>
      <c r="U377" s="101"/>
      <c r="V377" s="101"/>
      <c r="W377" s="91"/>
      <c r="X377" s="89"/>
      <c r="Y377" s="92">
        <f t="shared" si="30"/>
        <v>48300000</v>
      </c>
      <c r="Z377" s="92">
        <f t="shared" si="31"/>
        <v>76500000</v>
      </c>
      <c r="AA377" s="92">
        <f t="shared" si="32"/>
        <v>0</v>
      </c>
      <c r="AB377" s="92">
        <f t="shared" si="33"/>
        <v>0</v>
      </c>
      <c r="AC377" s="92"/>
      <c r="AD377" s="92">
        <v>0</v>
      </c>
      <c r="AE377" s="92">
        <f t="shared" si="34"/>
        <v>124800000</v>
      </c>
      <c r="AF377" s="93">
        <v>0</v>
      </c>
      <c r="AG377" s="89"/>
      <c r="AH377" s="94"/>
      <c r="AI377" s="95" t="s">
        <v>4346</v>
      </c>
      <c r="AJ377" s="96" t="s">
        <v>4347</v>
      </c>
      <c r="AK377" s="97"/>
      <c r="AL377" s="89"/>
      <c r="AM377" s="100" t="s">
        <v>4534</v>
      </c>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v>30</v>
      </c>
      <c r="CA377" s="91">
        <f>30*500000</f>
        <v>15000000</v>
      </c>
      <c r="CB377" s="91"/>
      <c r="CC377" s="91"/>
      <c r="CD377" s="91"/>
      <c r="CE377" s="91"/>
      <c r="CF377" s="91"/>
      <c r="CG377" s="91"/>
      <c r="CH377" s="91"/>
      <c r="CI377" s="91"/>
      <c r="CJ377" s="91"/>
      <c r="CK377" s="91"/>
      <c r="CL377" s="91"/>
      <c r="CM377" s="91"/>
      <c r="CN377" s="91"/>
      <c r="CO377" s="91"/>
      <c r="CP377" s="114">
        <v>900</v>
      </c>
      <c r="CQ377" s="115">
        <f>900*37000</f>
        <v>33300000</v>
      </c>
      <c r="CR377" s="114"/>
      <c r="CS377" s="115"/>
      <c r="CT377" s="114"/>
      <c r="CU377" s="115"/>
      <c r="CV377" s="99">
        <f t="shared" si="35"/>
        <v>48300000</v>
      </c>
      <c r="CW377" s="114"/>
      <c r="CX377" s="115"/>
      <c r="CY377" s="114">
        <v>900</v>
      </c>
      <c r="CZ377" s="115">
        <f>900*85000</f>
        <v>76500000</v>
      </c>
      <c r="DA377" s="115"/>
      <c r="DB377" s="115"/>
      <c r="DC377" s="114"/>
      <c r="DD377" s="115"/>
      <c r="DE377" s="97"/>
      <c r="DF377" s="269"/>
    </row>
    <row r="378" spans="1:110" s="270" customFormat="1" ht="24" x14ac:dyDescent="0.2">
      <c r="A378" s="89">
        <v>40637</v>
      </c>
      <c r="B378" s="90" t="s">
        <v>4352</v>
      </c>
      <c r="C378" s="90" t="s">
        <v>3543</v>
      </c>
      <c r="D378" s="90" t="s">
        <v>4264</v>
      </c>
      <c r="E378" s="90" t="str">
        <f>VLOOKUP(B378&amp;C378,Divipola!$C$2:$F$1138,4,FALSE)</f>
        <v>13744</v>
      </c>
      <c r="F378" s="90"/>
      <c r="G378" s="101"/>
      <c r="H378" s="101"/>
      <c r="I378" s="101"/>
      <c r="J378" s="101">
        <f>693*5</f>
        <v>3465</v>
      </c>
      <c r="K378" s="101">
        <v>693</v>
      </c>
      <c r="L378" s="101"/>
      <c r="M378" s="101">
        <v>693</v>
      </c>
      <c r="N378" s="101"/>
      <c r="O378" s="101"/>
      <c r="P378" s="101"/>
      <c r="Q378" s="101"/>
      <c r="R378" s="101"/>
      <c r="S378" s="101"/>
      <c r="T378" s="101"/>
      <c r="U378" s="101"/>
      <c r="V378" s="101"/>
      <c r="W378" s="91"/>
      <c r="X378" s="89"/>
      <c r="Y378" s="92">
        <f t="shared" si="30"/>
        <v>98400664</v>
      </c>
      <c r="Z378" s="92">
        <f t="shared" si="31"/>
        <v>191845000</v>
      </c>
      <c r="AA378" s="92">
        <f t="shared" si="32"/>
        <v>0</v>
      </c>
      <c r="AB378" s="92">
        <f t="shared" si="33"/>
        <v>0</v>
      </c>
      <c r="AC378" s="92"/>
      <c r="AD378" s="92">
        <v>0</v>
      </c>
      <c r="AE378" s="92">
        <f t="shared" si="34"/>
        <v>290245664</v>
      </c>
      <c r="AF378" s="93">
        <v>0</v>
      </c>
      <c r="AG378" s="89"/>
      <c r="AH378" s="94"/>
      <c r="AI378" s="95" t="s">
        <v>4346</v>
      </c>
      <c r="AJ378" s="96" t="s">
        <v>4347</v>
      </c>
      <c r="AK378" s="97"/>
      <c r="AL378" s="89"/>
      <c r="AM378" s="100" t="s">
        <v>4534</v>
      </c>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v>30</v>
      </c>
      <c r="CA378" s="91">
        <f>30*500000</f>
        <v>15000000</v>
      </c>
      <c r="CB378" s="91"/>
      <c r="CC378" s="91"/>
      <c r="CD378" s="91"/>
      <c r="CE378" s="91"/>
      <c r="CF378" s="91"/>
      <c r="CG378" s="91"/>
      <c r="CH378" s="91"/>
      <c r="CI378" s="91"/>
      <c r="CJ378" s="91"/>
      <c r="CK378" s="91"/>
      <c r="CL378" s="91"/>
      <c r="CM378" s="91"/>
      <c r="CN378" s="91"/>
      <c r="CO378" s="91"/>
      <c r="CP378" s="114">
        <v>2257</v>
      </c>
      <c r="CQ378" s="115">
        <f>2257*36952</f>
        <v>83400664</v>
      </c>
      <c r="CR378" s="114"/>
      <c r="CS378" s="115"/>
      <c r="CT378" s="114"/>
      <c r="CU378" s="115"/>
      <c r="CV378" s="99">
        <f t="shared" si="35"/>
        <v>98400664</v>
      </c>
      <c r="CW378" s="114"/>
      <c r="CX378" s="115"/>
      <c r="CY378" s="114">
        <v>2257</v>
      </c>
      <c r="CZ378" s="115">
        <f>2257*85000</f>
        <v>191845000</v>
      </c>
      <c r="DA378" s="115"/>
      <c r="DB378" s="115"/>
      <c r="DC378" s="114"/>
      <c r="DD378" s="115"/>
      <c r="DE378" s="97"/>
      <c r="DF378" s="269"/>
    </row>
    <row r="379" spans="1:110" s="270" customFormat="1" ht="36" x14ac:dyDescent="0.2">
      <c r="A379" s="89">
        <v>40637</v>
      </c>
      <c r="B379" s="90" t="s">
        <v>4261</v>
      </c>
      <c r="C379" s="90" t="s">
        <v>2870</v>
      </c>
      <c r="D379" s="90" t="s">
        <v>3311</v>
      </c>
      <c r="E379" s="90" t="str">
        <f>VLOOKUP(B379&amp;C379,Divipola!$C$2:$F$1138,4,FALSE)</f>
        <v>15580</v>
      </c>
      <c r="F379" s="90"/>
      <c r="G379" s="101"/>
      <c r="H379" s="101">
        <v>2</v>
      </c>
      <c r="I379" s="101"/>
      <c r="J379" s="101"/>
      <c r="K379" s="101"/>
      <c r="L379" s="101"/>
      <c r="M379" s="101"/>
      <c r="N379" s="101"/>
      <c r="O379" s="101"/>
      <c r="P379" s="101"/>
      <c r="Q379" s="101"/>
      <c r="R379" s="101"/>
      <c r="S379" s="101"/>
      <c r="T379" s="101"/>
      <c r="U379" s="101"/>
      <c r="V379" s="101"/>
      <c r="W379" s="91"/>
      <c r="X379" s="89"/>
      <c r="Y379" s="92">
        <f t="shared" si="30"/>
        <v>0</v>
      </c>
      <c r="Z379" s="92">
        <f t="shared" si="31"/>
        <v>0</v>
      </c>
      <c r="AA379" s="92">
        <f t="shared" si="32"/>
        <v>0</v>
      </c>
      <c r="AB379" s="92">
        <f t="shared" si="33"/>
        <v>0</v>
      </c>
      <c r="AC379" s="92"/>
      <c r="AD379" s="92">
        <v>0</v>
      </c>
      <c r="AE379" s="92">
        <f t="shared" si="34"/>
        <v>0</v>
      </c>
      <c r="AF379" s="93">
        <v>0</v>
      </c>
      <c r="AG379" s="89">
        <v>40637</v>
      </c>
      <c r="AH379" s="94"/>
      <c r="AI379" s="102" t="s">
        <v>4336</v>
      </c>
      <c r="AJ379" s="96" t="s">
        <v>4337</v>
      </c>
      <c r="AK379" s="97"/>
      <c r="AL379" s="89"/>
      <c r="AM379" s="100" t="s">
        <v>3746</v>
      </c>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114"/>
      <c r="CQ379" s="115"/>
      <c r="CR379" s="114"/>
      <c r="CS379" s="115"/>
      <c r="CT379" s="114"/>
      <c r="CU379" s="115"/>
      <c r="CV379" s="99">
        <f t="shared" si="35"/>
        <v>0</v>
      </c>
      <c r="CW379" s="114"/>
      <c r="CX379" s="115"/>
      <c r="CY379" s="114"/>
      <c r="CZ379" s="115"/>
      <c r="DA379" s="115"/>
      <c r="DB379" s="115"/>
      <c r="DC379" s="114"/>
      <c r="DD379" s="115"/>
      <c r="DE379" s="97"/>
      <c r="DF379" s="269"/>
    </row>
    <row r="380" spans="1:110" s="270" customFormat="1" ht="36" x14ac:dyDescent="0.2">
      <c r="A380" s="89">
        <v>40637</v>
      </c>
      <c r="B380" s="90" t="s">
        <v>4344</v>
      </c>
      <c r="C380" s="90" t="s">
        <v>851</v>
      </c>
      <c r="D380" s="90" t="s">
        <v>2362</v>
      </c>
      <c r="E380" s="90" t="str">
        <f>VLOOKUP(B380&amp;C380,Divipola!$C$2:$F$1138,4,FALSE)</f>
        <v>25518</v>
      </c>
      <c r="F380" s="90"/>
      <c r="G380" s="101"/>
      <c r="H380" s="101"/>
      <c r="I380" s="101"/>
      <c r="J380" s="101">
        <v>230</v>
      </c>
      <c r="K380" s="101">
        <v>46</v>
      </c>
      <c r="L380" s="101"/>
      <c r="M380" s="101">
        <v>46</v>
      </c>
      <c r="N380" s="101"/>
      <c r="O380" s="101"/>
      <c r="P380" s="101"/>
      <c r="Q380" s="101"/>
      <c r="R380" s="101"/>
      <c r="S380" s="101"/>
      <c r="T380" s="101"/>
      <c r="U380" s="101"/>
      <c r="V380" s="101"/>
      <c r="W380" s="91"/>
      <c r="X380" s="89"/>
      <c r="Y380" s="92">
        <f t="shared" si="30"/>
        <v>0</v>
      </c>
      <c r="Z380" s="92">
        <f t="shared" si="31"/>
        <v>0</v>
      </c>
      <c r="AA380" s="92">
        <f t="shared" si="32"/>
        <v>0</v>
      </c>
      <c r="AB380" s="92">
        <f t="shared" si="33"/>
        <v>0</v>
      </c>
      <c r="AC380" s="92"/>
      <c r="AD380" s="92">
        <v>0</v>
      </c>
      <c r="AE380" s="92">
        <f t="shared" si="34"/>
        <v>0</v>
      </c>
      <c r="AF380" s="93">
        <v>0</v>
      </c>
      <c r="AG380" s="89">
        <v>40637</v>
      </c>
      <c r="AH380" s="94"/>
      <c r="AI380" s="102" t="s">
        <v>4336</v>
      </c>
      <c r="AJ380" s="96" t="s">
        <v>4337</v>
      </c>
      <c r="AK380" s="97"/>
      <c r="AL380" s="89"/>
      <c r="AM380" s="100" t="s">
        <v>807</v>
      </c>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114"/>
      <c r="CQ380" s="115"/>
      <c r="CR380" s="114"/>
      <c r="CS380" s="115"/>
      <c r="CT380" s="114"/>
      <c r="CU380" s="115"/>
      <c r="CV380" s="99">
        <f t="shared" si="35"/>
        <v>0</v>
      </c>
      <c r="CW380" s="114"/>
      <c r="CX380" s="115"/>
      <c r="CY380" s="114"/>
      <c r="CZ380" s="115"/>
      <c r="DA380" s="115"/>
      <c r="DB380" s="115"/>
      <c r="DC380" s="114"/>
      <c r="DD380" s="115"/>
      <c r="DE380" s="97"/>
      <c r="DF380" s="269"/>
    </row>
    <row r="381" spans="1:110" s="270" customFormat="1" ht="24" x14ac:dyDescent="0.2">
      <c r="A381" s="89">
        <v>40637</v>
      </c>
      <c r="B381" s="90" t="s">
        <v>3316</v>
      </c>
      <c r="C381" s="90" t="s">
        <v>4323</v>
      </c>
      <c r="D381" s="90" t="s">
        <v>2362</v>
      </c>
      <c r="E381" s="90" t="str">
        <f>VLOOKUP(B381&amp;C381,Divipola!$C$2:$F$1138,4,FALSE)</f>
        <v>73001</v>
      </c>
      <c r="F381" s="90"/>
      <c r="G381" s="101"/>
      <c r="H381" s="101"/>
      <c r="I381" s="101"/>
      <c r="J381" s="101">
        <v>10</v>
      </c>
      <c r="K381" s="101">
        <v>2</v>
      </c>
      <c r="L381" s="101"/>
      <c r="M381" s="101">
        <v>2</v>
      </c>
      <c r="N381" s="101"/>
      <c r="O381" s="101"/>
      <c r="P381" s="101"/>
      <c r="Q381" s="101"/>
      <c r="R381" s="101"/>
      <c r="S381" s="101"/>
      <c r="T381" s="101"/>
      <c r="U381" s="101"/>
      <c r="V381" s="101"/>
      <c r="W381" s="91"/>
      <c r="X381" s="89"/>
      <c r="Y381" s="92">
        <f t="shared" si="30"/>
        <v>0</v>
      </c>
      <c r="Z381" s="92">
        <f t="shared" si="31"/>
        <v>0</v>
      </c>
      <c r="AA381" s="92">
        <f t="shared" si="32"/>
        <v>0</v>
      </c>
      <c r="AB381" s="92">
        <f t="shared" si="33"/>
        <v>0</v>
      </c>
      <c r="AC381" s="92"/>
      <c r="AD381" s="92">
        <v>0</v>
      </c>
      <c r="AE381" s="92">
        <f t="shared" si="34"/>
        <v>0</v>
      </c>
      <c r="AF381" s="93">
        <v>0</v>
      </c>
      <c r="AG381" s="89">
        <v>40637</v>
      </c>
      <c r="AH381" s="94"/>
      <c r="AI381" s="95" t="s">
        <v>4346</v>
      </c>
      <c r="AJ381" s="96" t="s">
        <v>4347</v>
      </c>
      <c r="AK381" s="97"/>
      <c r="AL381" s="89" t="s">
        <v>2798</v>
      </c>
      <c r="AM381" s="100" t="s">
        <v>3748</v>
      </c>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114"/>
      <c r="CQ381" s="115"/>
      <c r="CR381" s="114"/>
      <c r="CS381" s="115"/>
      <c r="CT381" s="114"/>
      <c r="CU381" s="115"/>
      <c r="CV381" s="99">
        <f t="shared" si="35"/>
        <v>0</v>
      </c>
      <c r="CW381" s="114"/>
      <c r="CX381" s="115"/>
      <c r="CY381" s="114"/>
      <c r="CZ381" s="115"/>
      <c r="DA381" s="115"/>
      <c r="DB381" s="115"/>
      <c r="DC381" s="114"/>
      <c r="DD381" s="115"/>
      <c r="DE381" s="97"/>
      <c r="DF381" s="269"/>
    </row>
    <row r="382" spans="1:110" s="270" customFormat="1" ht="24" x14ac:dyDescent="0.2">
      <c r="A382" s="89">
        <v>40637</v>
      </c>
      <c r="B382" s="90" t="s">
        <v>4244</v>
      </c>
      <c r="C382" s="90" t="s">
        <v>4276</v>
      </c>
      <c r="D382" s="90" t="s">
        <v>4264</v>
      </c>
      <c r="E382" s="90" t="str">
        <f>VLOOKUP(B382&amp;C382,Divipola!$C$2:$F$1138,4,FALSE)</f>
        <v>76113</v>
      </c>
      <c r="F382" s="90"/>
      <c r="G382" s="101"/>
      <c r="H382" s="101"/>
      <c r="I382" s="101"/>
      <c r="J382" s="101">
        <v>45</v>
      </c>
      <c r="K382" s="101">
        <v>9</v>
      </c>
      <c r="L382" s="101"/>
      <c r="M382" s="101">
        <v>9</v>
      </c>
      <c r="N382" s="101"/>
      <c r="O382" s="101"/>
      <c r="P382" s="101"/>
      <c r="Q382" s="101"/>
      <c r="R382" s="101"/>
      <c r="S382" s="101"/>
      <c r="T382" s="101">
        <v>1</v>
      </c>
      <c r="U382" s="101"/>
      <c r="V382" s="101"/>
      <c r="W382" s="91"/>
      <c r="X382" s="89"/>
      <c r="Y382" s="92">
        <f t="shared" si="30"/>
        <v>0</v>
      </c>
      <c r="Z382" s="92">
        <f t="shared" si="31"/>
        <v>0</v>
      </c>
      <c r="AA382" s="92">
        <f t="shared" si="32"/>
        <v>0</v>
      </c>
      <c r="AB382" s="92">
        <f t="shared" si="33"/>
        <v>0</v>
      </c>
      <c r="AC382" s="92"/>
      <c r="AD382" s="92">
        <v>0</v>
      </c>
      <c r="AE382" s="92">
        <f t="shared" si="34"/>
        <v>0</v>
      </c>
      <c r="AF382" s="93">
        <v>0</v>
      </c>
      <c r="AG382" s="89">
        <v>40637</v>
      </c>
      <c r="AH382" s="94"/>
      <c r="AI382" s="95" t="s">
        <v>4336</v>
      </c>
      <c r="AJ382" s="96" t="s">
        <v>4337</v>
      </c>
      <c r="AK382" s="97"/>
      <c r="AL382" s="89"/>
      <c r="AM382" s="100" t="s">
        <v>2912</v>
      </c>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114"/>
      <c r="CQ382" s="115"/>
      <c r="CR382" s="114"/>
      <c r="CS382" s="115"/>
      <c r="CT382" s="114"/>
      <c r="CU382" s="115"/>
      <c r="CV382" s="99">
        <f t="shared" si="35"/>
        <v>0</v>
      </c>
      <c r="CW382" s="114"/>
      <c r="CX382" s="115"/>
      <c r="CY382" s="114"/>
      <c r="CZ382" s="115"/>
      <c r="DA382" s="115"/>
      <c r="DB382" s="115"/>
      <c r="DC382" s="114"/>
      <c r="DD382" s="115"/>
      <c r="DE382" s="97"/>
      <c r="DF382" s="269"/>
    </row>
    <row r="383" spans="1:110" s="270" customFormat="1" ht="24" x14ac:dyDescent="0.2">
      <c r="A383" s="89">
        <v>40637</v>
      </c>
      <c r="B383" s="90" t="s">
        <v>4244</v>
      </c>
      <c r="C383" s="90" t="s">
        <v>4375</v>
      </c>
      <c r="D383" s="90" t="s">
        <v>4264</v>
      </c>
      <c r="E383" s="90" t="str">
        <f>VLOOKUP(B383&amp;C383,Divipola!$C$2:$F$1138,4,FALSE)</f>
        <v>76895</v>
      </c>
      <c r="F383" s="90"/>
      <c r="G383" s="101"/>
      <c r="H383" s="101"/>
      <c r="I383" s="101"/>
      <c r="J383" s="101"/>
      <c r="K383" s="101"/>
      <c r="L383" s="101"/>
      <c r="M383" s="101"/>
      <c r="N383" s="101"/>
      <c r="O383" s="101"/>
      <c r="P383" s="101"/>
      <c r="Q383" s="101"/>
      <c r="R383" s="101"/>
      <c r="S383" s="101"/>
      <c r="T383" s="101"/>
      <c r="U383" s="101">
        <v>1</v>
      </c>
      <c r="V383" s="101"/>
      <c r="W383" s="91" t="s">
        <v>2914</v>
      </c>
      <c r="X383" s="89"/>
      <c r="Y383" s="92">
        <f t="shared" si="30"/>
        <v>0</v>
      </c>
      <c r="Z383" s="92">
        <f t="shared" si="31"/>
        <v>0</v>
      </c>
      <c r="AA383" s="92">
        <f t="shared" si="32"/>
        <v>0</v>
      </c>
      <c r="AB383" s="92">
        <f t="shared" si="33"/>
        <v>0</v>
      </c>
      <c r="AC383" s="92"/>
      <c r="AD383" s="92">
        <v>0</v>
      </c>
      <c r="AE383" s="92">
        <f t="shared" si="34"/>
        <v>0</v>
      </c>
      <c r="AF383" s="93">
        <v>0</v>
      </c>
      <c r="AG383" s="89">
        <v>40637</v>
      </c>
      <c r="AH383" s="94"/>
      <c r="AI383" s="95" t="s">
        <v>4336</v>
      </c>
      <c r="AJ383" s="96" t="s">
        <v>4337</v>
      </c>
      <c r="AK383" s="97"/>
      <c r="AL383" s="89"/>
      <c r="AM383" s="100" t="s">
        <v>2913</v>
      </c>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114"/>
      <c r="CQ383" s="115"/>
      <c r="CR383" s="114"/>
      <c r="CS383" s="115"/>
      <c r="CT383" s="114"/>
      <c r="CU383" s="115"/>
      <c r="CV383" s="99">
        <f t="shared" si="35"/>
        <v>0</v>
      </c>
      <c r="CW383" s="114"/>
      <c r="CX383" s="115"/>
      <c r="CY383" s="114"/>
      <c r="CZ383" s="115"/>
      <c r="DA383" s="115"/>
      <c r="DB383" s="115"/>
      <c r="DC383" s="114"/>
      <c r="DD383" s="115"/>
      <c r="DE383" s="97"/>
      <c r="DF383" s="269"/>
    </row>
    <row r="384" spans="1:110" s="270" customFormat="1" ht="22.5" x14ac:dyDescent="0.2">
      <c r="A384" s="89">
        <v>40638</v>
      </c>
      <c r="B384" s="90" t="s">
        <v>2218</v>
      </c>
      <c r="C384" s="90" t="s">
        <v>4414</v>
      </c>
      <c r="D384" s="90" t="s">
        <v>4340</v>
      </c>
      <c r="E384" s="90" t="str">
        <f>VLOOKUP(B384&amp;C384,Divipola!$C$2:$F$1138,4,FALSE)</f>
        <v>05308</v>
      </c>
      <c r="F384" s="90"/>
      <c r="G384" s="101">
        <v>1</v>
      </c>
      <c r="H384" s="101"/>
      <c r="I384" s="101"/>
      <c r="J384" s="101"/>
      <c r="K384" s="101"/>
      <c r="L384" s="101"/>
      <c r="M384" s="101"/>
      <c r="N384" s="101"/>
      <c r="O384" s="101"/>
      <c r="P384" s="101"/>
      <c r="Q384" s="101"/>
      <c r="R384" s="101"/>
      <c r="S384" s="101"/>
      <c r="T384" s="101"/>
      <c r="U384" s="101"/>
      <c r="V384" s="101"/>
      <c r="W384" s="91"/>
      <c r="X384" s="89"/>
      <c r="Y384" s="92">
        <f t="shared" si="30"/>
        <v>0</v>
      </c>
      <c r="Z384" s="92">
        <f t="shared" si="31"/>
        <v>0</v>
      </c>
      <c r="AA384" s="92">
        <f t="shared" si="32"/>
        <v>0</v>
      </c>
      <c r="AB384" s="92">
        <f t="shared" si="33"/>
        <v>0</v>
      </c>
      <c r="AC384" s="92"/>
      <c r="AD384" s="92">
        <v>0</v>
      </c>
      <c r="AE384" s="92">
        <f t="shared" si="34"/>
        <v>0</v>
      </c>
      <c r="AF384" s="93">
        <v>0</v>
      </c>
      <c r="AG384" s="89">
        <v>40641</v>
      </c>
      <c r="AH384" s="94"/>
      <c r="AI384" s="102" t="s">
        <v>4336</v>
      </c>
      <c r="AJ384" s="96" t="s">
        <v>4337</v>
      </c>
      <c r="AK384" s="97"/>
      <c r="AL384" s="89"/>
      <c r="AM384" s="100" t="s">
        <v>2917</v>
      </c>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114"/>
      <c r="CQ384" s="115"/>
      <c r="CR384" s="114"/>
      <c r="CS384" s="115"/>
      <c r="CT384" s="114"/>
      <c r="CU384" s="115"/>
      <c r="CV384" s="99">
        <f t="shared" si="35"/>
        <v>0</v>
      </c>
      <c r="CW384" s="114"/>
      <c r="CX384" s="115"/>
      <c r="CY384" s="114"/>
      <c r="CZ384" s="115"/>
      <c r="DA384" s="115"/>
      <c r="DB384" s="115"/>
      <c r="DC384" s="114"/>
      <c r="DD384" s="115"/>
      <c r="DE384" s="97"/>
      <c r="DF384" s="269"/>
    </row>
    <row r="385" spans="1:110" s="270" customFormat="1" ht="48" x14ac:dyDescent="0.2">
      <c r="A385" s="89">
        <v>40638</v>
      </c>
      <c r="B385" s="90" t="s">
        <v>4387</v>
      </c>
      <c r="C385" s="90" t="s">
        <v>3333</v>
      </c>
      <c r="D385" s="90" t="s">
        <v>2362</v>
      </c>
      <c r="E385" s="90" t="str">
        <f>VLOOKUP(B385&amp;C385,Divipola!$C$2:$F$1138,4,FALSE)</f>
        <v>52683</v>
      </c>
      <c r="F385" s="90"/>
      <c r="G385" s="101">
        <v>2</v>
      </c>
      <c r="H385" s="101"/>
      <c r="I385" s="101"/>
      <c r="J385" s="101">
        <v>101</v>
      </c>
      <c r="K385" s="101">
        <v>26</v>
      </c>
      <c r="L385" s="101">
        <v>1</v>
      </c>
      <c r="M385" s="101">
        <v>25</v>
      </c>
      <c r="N385" s="101"/>
      <c r="O385" s="101"/>
      <c r="P385" s="101"/>
      <c r="Q385" s="101"/>
      <c r="R385" s="101"/>
      <c r="S385" s="101"/>
      <c r="T385" s="101"/>
      <c r="U385" s="101"/>
      <c r="V385" s="101"/>
      <c r="W385" s="91"/>
      <c r="X385" s="89"/>
      <c r="Y385" s="92">
        <f t="shared" si="30"/>
        <v>0</v>
      </c>
      <c r="Z385" s="92">
        <f t="shared" si="31"/>
        <v>0</v>
      </c>
      <c r="AA385" s="92">
        <f t="shared" si="32"/>
        <v>0</v>
      </c>
      <c r="AB385" s="92">
        <f t="shared" si="33"/>
        <v>0</v>
      </c>
      <c r="AC385" s="92"/>
      <c r="AD385" s="92">
        <v>57160000</v>
      </c>
      <c r="AE385" s="92">
        <f t="shared" si="34"/>
        <v>57160000</v>
      </c>
      <c r="AF385" s="93">
        <v>0</v>
      </c>
      <c r="AG385" s="89">
        <v>40641</v>
      </c>
      <c r="AH385" s="94"/>
      <c r="AI385" s="102" t="s">
        <v>4346</v>
      </c>
      <c r="AJ385" s="96" t="s">
        <v>4347</v>
      </c>
      <c r="AK385" s="97"/>
      <c r="AL385" s="89"/>
      <c r="AM385" s="100" t="s">
        <v>2022</v>
      </c>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114"/>
      <c r="CQ385" s="115"/>
      <c r="CR385" s="114"/>
      <c r="CS385" s="115"/>
      <c r="CT385" s="114"/>
      <c r="CU385" s="115"/>
      <c r="CV385" s="99">
        <f t="shared" si="35"/>
        <v>0</v>
      </c>
      <c r="CW385" s="114"/>
      <c r="CX385" s="115"/>
      <c r="CY385" s="114"/>
      <c r="CZ385" s="115"/>
      <c r="DA385" s="115"/>
      <c r="DB385" s="115"/>
      <c r="DC385" s="114"/>
      <c r="DD385" s="115"/>
      <c r="DE385" s="97"/>
      <c r="DF385" s="269"/>
    </row>
    <row r="386" spans="1:110" s="270" customFormat="1" ht="24" x14ac:dyDescent="0.2">
      <c r="A386" s="89">
        <v>40638</v>
      </c>
      <c r="B386" s="90" t="s">
        <v>4348</v>
      </c>
      <c r="C386" s="90" t="s">
        <v>601</v>
      </c>
      <c r="D386" s="90" t="s">
        <v>4264</v>
      </c>
      <c r="E386" s="90" t="str">
        <f>VLOOKUP(B386&amp;C386,Divipola!$C$2:$F$1138,4,FALSE)</f>
        <v>66170</v>
      </c>
      <c r="F386" s="90"/>
      <c r="G386" s="101"/>
      <c r="H386" s="101"/>
      <c r="I386" s="101"/>
      <c r="J386" s="101">
        <v>95</v>
      </c>
      <c r="K386" s="101">
        <v>19</v>
      </c>
      <c r="L386" s="101"/>
      <c r="M386" s="101">
        <v>19</v>
      </c>
      <c r="N386" s="101"/>
      <c r="O386" s="129"/>
      <c r="P386" s="129"/>
      <c r="Q386" s="129"/>
      <c r="R386" s="129"/>
      <c r="S386" s="129"/>
      <c r="T386" s="129"/>
      <c r="U386" s="129"/>
      <c r="V386" s="129"/>
      <c r="W386" s="107"/>
      <c r="X386" s="105"/>
      <c r="Y386" s="92">
        <f t="shared" si="30"/>
        <v>0</v>
      </c>
      <c r="Z386" s="92">
        <f t="shared" si="31"/>
        <v>0</v>
      </c>
      <c r="AA386" s="92">
        <f t="shared" si="32"/>
        <v>0</v>
      </c>
      <c r="AB386" s="92">
        <f t="shared" si="33"/>
        <v>0</v>
      </c>
      <c r="AC386" s="92"/>
      <c r="AD386" s="92">
        <v>0</v>
      </c>
      <c r="AE386" s="92">
        <f t="shared" si="34"/>
        <v>0</v>
      </c>
      <c r="AF386" s="93">
        <v>0</v>
      </c>
      <c r="AG386" s="105"/>
      <c r="AH386" s="108"/>
      <c r="AI386" s="109" t="s">
        <v>4336</v>
      </c>
      <c r="AJ386" s="110" t="s">
        <v>4337</v>
      </c>
      <c r="AK386" s="280"/>
      <c r="AL386" s="281"/>
      <c r="AM386" s="100" t="s">
        <v>1996</v>
      </c>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18"/>
      <c r="CO386" s="119"/>
      <c r="CP386" s="118"/>
      <c r="CQ386" s="119"/>
      <c r="CR386" s="118"/>
      <c r="CS386" s="119"/>
      <c r="CT386" s="113"/>
      <c r="CU386" s="118"/>
      <c r="CV386" s="99">
        <f t="shared" si="35"/>
        <v>0</v>
      </c>
      <c r="CW386" s="118"/>
      <c r="CX386" s="119"/>
      <c r="CY386" s="119"/>
      <c r="CZ386" s="119"/>
      <c r="DA386" s="118"/>
      <c r="DB386" s="119"/>
      <c r="DC386" s="111"/>
      <c r="DD386" s="119"/>
      <c r="DE386" s="111"/>
      <c r="DF386" s="269"/>
    </row>
    <row r="387" spans="1:110" s="270" customFormat="1" ht="24" x14ac:dyDescent="0.2">
      <c r="A387" s="89">
        <v>40638</v>
      </c>
      <c r="B387" s="90" t="s">
        <v>4348</v>
      </c>
      <c r="C387" s="90" t="s">
        <v>601</v>
      </c>
      <c r="D387" s="90" t="s">
        <v>2362</v>
      </c>
      <c r="E387" s="90" t="str">
        <f>VLOOKUP(B387&amp;C387,Divipola!$C$2:$F$1138,4,FALSE)</f>
        <v>66170</v>
      </c>
      <c r="F387" s="90"/>
      <c r="G387" s="101"/>
      <c r="H387" s="101"/>
      <c r="I387" s="101"/>
      <c r="J387" s="101">
        <v>20</v>
      </c>
      <c r="K387" s="101">
        <v>4</v>
      </c>
      <c r="L387" s="101"/>
      <c r="M387" s="101">
        <v>4</v>
      </c>
      <c r="N387" s="101"/>
      <c r="O387" s="129"/>
      <c r="P387" s="129"/>
      <c r="Q387" s="129"/>
      <c r="R387" s="129"/>
      <c r="S387" s="129"/>
      <c r="T387" s="129"/>
      <c r="U387" s="129"/>
      <c r="V387" s="129"/>
      <c r="W387" s="107"/>
      <c r="X387" s="105"/>
      <c r="Y387" s="92">
        <f t="shared" ref="Y387:Y450" si="36">CV387</f>
        <v>0</v>
      </c>
      <c r="Z387" s="92">
        <f t="shared" ref="Z387:Z450" si="37">CZ387</f>
        <v>0</v>
      </c>
      <c r="AA387" s="92">
        <f t="shared" ref="AA387:AA450" si="38">DB387+DD387</f>
        <v>0</v>
      </c>
      <c r="AB387" s="92">
        <f t="shared" ref="AB387:AB450" si="39">CX387</f>
        <v>0</v>
      </c>
      <c r="AC387" s="92"/>
      <c r="AD387" s="92">
        <v>0</v>
      </c>
      <c r="AE387" s="92">
        <f t="shared" ref="AE387:AE450" si="40">Y387+Z387+AA387+AB387+AC387+AD387</f>
        <v>0</v>
      </c>
      <c r="AF387" s="93">
        <v>0</v>
      </c>
      <c r="AG387" s="105"/>
      <c r="AH387" s="108"/>
      <c r="AI387" s="109" t="s">
        <v>4336</v>
      </c>
      <c r="AJ387" s="110" t="s">
        <v>4337</v>
      </c>
      <c r="AK387" s="280"/>
      <c r="AL387" s="281"/>
      <c r="AM387" s="100" t="s">
        <v>1997</v>
      </c>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18"/>
      <c r="CO387" s="119"/>
      <c r="CP387" s="118"/>
      <c r="CQ387" s="119"/>
      <c r="CR387" s="118"/>
      <c r="CS387" s="119"/>
      <c r="CT387" s="113"/>
      <c r="CU387" s="118"/>
      <c r="CV387" s="99">
        <f t="shared" ref="CV387:CV450" si="41">AO387+AQ387+AS387+AU387+AW387+AY387+BA387+BC387+BE387+BG387+BI387+BK387+BM387+BO387+BQ387+BS387+BU387+BW387+BY387+CA387+CC387+CE387+CG387+CI387+CK387+CM387+CO387+CQ387+CS387+CU387</f>
        <v>0</v>
      </c>
      <c r="CW387" s="118"/>
      <c r="CX387" s="119"/>
      <c r="CY387" s="119"/>
      <c r="CZ387" s="119"/>
      <c r="DA387" s="118"/>
      <c r="DB387" s="119"/>
      <c r="DC387" s="111"/>
      <c r="DD387" s="119"/>
      <c r="DE387" s="111"/>
      <c r="DF387" s="269"/>
    </row>
    <row r="388" spans="1:110" s="270" customFormat="1" ht="22.5" x14ac:dyDescent="0.2">
      <c r="A388" s="89">
        <v>40638</v>
      </c>
      <c r="B388" s="90" t="s">
        <v>4348</v>
      </c>
      <c r="C388" s="90" t="s">
        <v>3304</v>
      </c>
      <c r="D388" s="90" t="s">
        <v>3346</v>
      </c>
      <c r="E388" s="90" t="str">
        <f>VLOOKUP(B388&amp;C388,Divipola!$C$2:$F$1138,4,FALSE)</f>
        <v>66440</v>
      </c>
      <c r="F388" s="101"/>
      <c r="G388" s="101"/>
      <c r="H388" s="101"/>
      <c r="I388" s="101"/>
      <c r="J388" s="101">
        <v>50</v>
      </c>
      <c r="K388" s="101">
        <v>10</v>
      </c>
      <c r="L388" s="101"/>
      <c r="M388" s="101">
        <v>10</v>
      </c>
      <c r="N388" s="101"/>
      <c r="O388" s="101"/>
      <c r="P388" s="101"/>
      <c r="Q388" s="101"/>
      <c r="R388" s="101"/>
      <c r="S388" s="101"/>
      <c r="T388" s="101"/>
      <c r="U388" s="91"/>
      <c r="V388" s="89"/>
      <c r="W388" s="92"/>
      <c r="X388" s="92"/>
      <c r="Y388" s="92">
        <f t="shared" si="36"/>
        <v>0</v>
      </c>
      <c r="Z388" s="92">
        <f t="shared" si="37"/>
        <v>0</v>
      </c>
      <c r="AA388" s="92">
        <f t="shared" si="38"/>
        <v>0</v>
      </c>
      <c r="AB388" s="92">
        <f t="shared" si="39"/>
        <v>0</v>
      </c>
      <c r="AC388" s="92"/>
      <c r="AD388" s="92">
        <v>0</v>
      </c>
      <c r="AE388" s="92">
        <f t="shared" si="40"/>
        <v>0</v>
      </c>
      <c r="AF388" s="93">
        <v>0</v>
      </c>
      <c r="AG388" s="89"/>
      <c r="AH388" s="96"/>
      <c r="AI388" s="102" t="s">
        <v>4336</v>
      </c>
      <c r="AJ388" s="96" t="s">
        <v>4337</v>
      </c>
      <c r="AK388" s="100"/>
      <c r="AL388" s="89"/>
      <c r="AM388" s="90" t="s">
        <v>4422</v>
      </c>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114"/>
      <c r="CQ388" s="115"/>
      <c r="CR388" s="114"/>
      <c r="CS388" s="115"/>
      <c r="CT388" s="114"/>
      <c r="CU388" s="115"/>
      <c r="CV388" s="99">
        <f t="shared" si="41"/>
        <v>0</v>
      </c>
      <c r="CW388" s="114"/>
      <c r="CX388" s="115"/>
      <c r="CY388" s="114"/>
      <c r="CZ388" s="115"/>
      <c r="DA388" s="115"/>
      <c r="DB388" s="115"/>
      <c r="DC388" s="114"/>
      <c r="DD388" s="115"/>
      <c r="DE388" s="97"/>
      <c r="DF388" s="269"/>
    </row>
    <row r="389" spans="1:110" s="270" customFormat="1" ht="22.5" x14ac:dyDescent="0.2">
      <c r="A389" s="89">
        <v>40638</v>
      </c>
      <c r="B389" s="90" t="s">
        <v>4348</v>
      </c>
      <c r="C389" s="90" t="s">
        <v>1957</v>
      </c>
      <c r="D389" s="90" t="s">
        <v>2362</v>
      </c>
      <c r="E389" s="90" t="str">
        <f>VLOOKUP(B389&amp;C389,Divipola!$C$2:$F$1138,4,FALSE)</f>
        <v>66572</v>
      </c>
      <c r="F389" s="101"/>
      <c r="G389" s="101"/>
      <c r="H389" s="101"/>
      <c r="I389" s="101"/>
      <c r="J389" s="101">
        <v>15</v>
      </c>
      <c r="K389" s="101">
        <v>3</v>
      </c>
      <c r="L389" s="101"/>
      <c r="M389" s="101">
        <v>2</v>
      </c>
      <c r="N389" s="101"/>
      <c r="O389" s="101"/>
      <c r="P389" s="101"/>
      <c r="Q389" s="101"/>
      <c r="R389" s="101"/>
      <c r="S389" s="101"/>
      <c r="T389" s="101"/>
      <c r="U389" s="91"/>
      <c r="V389" s="89"/>
      <c r="W389" s="92" t="s">
        <v>890</v>
      </c>
      <c r="X389" s="92"/>
      <c r="Y389" s="92">
        <f t="shared" si="36"/>
        <v>0</v>
      </c>
      <c r="Z389" s="92">
        <f t="shared" si="37"/>
        <v>0</v>
      </c>
      <c r="AA389" s="92">
        <f t="shared" si="38"/>
        <v>0</v>
      </c>
      <c r="AB389" s="92">
        <f t="shared" si="39"/>
        <v>0</v>
      </c>
      <c r="AC389" s="92"/>
      <c r="AD389" s="92">
        <v>0</v>
      </c>
      <c r="AE389" s="92">
        <f t="shared" si="40"/>
        <v>0</v>
      </c>
      <c r="AF389" s="93">
        <v>0</v>
      </c>
      <c r="AG389" s="89"/>
      <c r="AH389" s="96"/>
      <c r="AI389" s="102" t="s">
        <v>4336</v>
      </c>
      <c r="AJ389" s="96" t="s">
        <v>4337</v>
      </c>
      <c r="AK389" s="100"/>
      <c r="AL389" s="89"/>
      <c r="AM389" s="90" t="s">
        <v>314</v>
      </c>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114"/>
      <c r="CQ389" s="115"/>
      <c r="CR389" s="114"/>
      <c r="CS389" s="115"/>
      <c r="CT389" s="114"/>
      <c r="CU389" s="115"/>
      <c r="CV389" s="99">
        <f t="shared" si="41"/>
        <v>0</v>
      </c>
      <c r="CW389" s="114"/>
      <c r="CX389" s="115"/>
      <c r="CY389" s="114"/>
      <c r="CZ389" s="115"/>
      <c r="DA389" s="115"/>
      <c r="DB389" s="115"/>
      <c r="DC389" s="114"/>
      <c r="DD389" s="115"/>
      <c r="DE389" s="97"/>
      <c r="DF389" s="269"/>
    </row>
    <row r="390" spans="1:110" s="270" customFormat="1" x14ac:dyDescent="0.2">
      <c r="A390" s="89">
        <v>40638</v>
      </c>
      <c r="B390" s="90" t="s">
        <v>4348</v>
      </c>
      <c r="C390" s="90" t="s">
        <v>4320</v>
      </c>
      <c r="D390" s="90" t="s">
        <v>2362</v>
      </c>
      <c r="E390" s="90" t="str">
        <f>VLOOKUP(B390&amp;C390,Divipola!$C$2:$F$1138,4,FALSE)</f>
        <v>66687</v>
      </c>
      <c r="F390" s="101"/>
      <c r="G390" s="101"/>
      <c r="H390" s="101"/>
      <c r="I390" s="101"/>
      <c r="J390" s="101">
        <v>60</v>
      </c>
      <c r="K390" s="101">
        <v>14</v>
      </c>
      <c r="L390" s="101"/>
      <c r="M390" s="101">
        <v>14</v>
      </c>
      <c r="N390" s="101"/>
      <c r="O390" s="101"/>
      <c r="P390" s="101"/>
      <c r="Q390" s="101"/>
      <c r="R390" s="101"/>
      <c r="S390" s="101"/>
      <c r="T390" s="101"/>
      <c r="U390" s="91"/>
      <c r="V390" s="89"/>
      <c r="W390" s="92"/>
      <c r="X390" s="92"/>
      <c r="Y390" s="92">
        <f t="shared" si="36"/>
        <v>0</v>
      </c>
      <c r="Z390" s="92">
        <f t="shared" si="37"/>
        <v>0</v>
      </c>
      <c r="AA390" s="92">
        <f t="shared" si="38"/>
        <v>0</v>
      </c>
      <c r="AB390" s="92">
        <f t="shared" si="39"/>
        <v>0</v>
      </c>
      <c r="AC390" s="92"/>
      <c r="AD390" s="92">
        <v>0</v>
      </c>
      <c r="AE390" s="92">
        <f t="shared" si="40"/>
        <v>0</v>
      </c>
      <c r="AF390" s="93">
        <v>0</v>
      </c>
      <c r="AG390" s="89"/>
      <c r="AH390" s="96"/>
      <c r="AI390" s="102" t="s">
        <v>4336</v>
      </c>
      <c r="AJ390" s="96" t="s">
        <v>4337</v>
      </c>
      <c r="AK390" s="100"/>
      <c r="AL390" s="89"/>
      <c r="AM390" s="90" t="s">
        <v>4163</v>
      </c>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114"/>
      <c r="CQ390" s="115"/>
      <c r="CR390" s="114"/>
      <c r="CS390" s="115"/>
      <c r="CT390" s="114"/>
      <c r="CU390" s="115"/>
      <c r="CV390" s="99">
        <f t="shared" si="41"/>
        <v>0</v>
      </c>
      <c r="CW390" s="114"/>
      <c r="CX390" s="115"/>
      <c r="CY390" s="114"/>
      <c r="CZ390" s="115"/>
      <c r="DA390" s="115"/>
      <c r="DB390" s="115"/>
      <c r="DC390" s="114"/>
      <c r="DD390" s="115"/>
      <c r="DE390" s="97"/>
      <c r="DF390" s="269"/>
    </row>
    <row r="391" spans="1:110" s="270" customFormat="1" ht="84" x14ac:dyDescent="0.2">
      <c r="A391" s="89">
        <v>40638</v>
      </c>
      <c r="B391" s="106" t="s">
        <v>4348</v>
      </c>
      <c r="C391" s="106" t="s">
        <v>4320</v>
      </c>
      <c r="D391" s="90" t="s">
        <v>4264</v>
      </c>
      <c r="E391" s="90" t="str">
        <f>VLOOKUP(B391&amp;C391,Divipola!$C$2:$F$1138,4,FALSE)</f>
        <v>66687</v>
      </c>
      <c r="F391" s="90"/>
      <c r="G391" s="129"/>
      <c r="H391" s="129"/>
      <c r="I391" s="129"/>
      <c r="J391" s="129">
        <v>300</v>
      </c>
      <c r="K391" s="129">
        <v>600</v>
      </c>
      <c r="L391" s="129"/>
      <c r="M391" s="129">
        <v>600</v>
      </c>
      <c r="N391" s="129"/>
      <c r="O391" s="129"/>
      <c r="P391" s="129"/>
      <c r="Q391" s="129"/>
      <c r="R391" s="129"/>
      <c r="S391" s="129"/>
      <c r="T391" s="129"/>
      <c r="U391" s="129"/>
      <c r="V391" s="129"/>
      <c r="W391" s="107"/>
      <c r="X391" s="105"/>
      <c r="Y391" s="92">
        <f t="shared" si="36"/>
        <v>0</v>
      </c>
      <c r="Z391" s="92">
        <f t="shared" si="37"/>
        <v>0</v>
      </c>
      <c r="AA391" s="92">
        <f t="shared" si="38"/>
        <v>0</v>
      </c>
      <c r="AB391" s="92">
        <f t="shared" si="39"/>
        <v>0</v>
      </c>
      <c r="AC391" s="92"/>
      <c r="AD391" s="92">
        <v>0</v>
      </c>
      <c r="AE391" s="92">
        <f t="shared" si="40"/>
        <v>0</v>
      </c>
      <c r="AF391" s="93">
        <v>0</v>
      </c>
      <c r="AG391" s="105"/>
      <c r="AH391" s="108"/>
      <c r="AI391" s="109" t="s">
        <v>4336</v>
      </c>
      <c r="AJ391" s="110" t="s">
        <v>4337</v>
      </c>
      <c r="AK391" s="111"/>
      <c r="AL391" s="105"/>
      <c r="AM391" s="112" t="s">
        <v>2806</v>
      </c>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18"/>
      <c r="CO391" s="119"/>
      <c r="CP391" s="118"/>
      <c r="CQ391" s="119"/>
      <c r="CR391" s="118"/>
      <c r="CS391" s="119"/>
      <c r="CT391" s="113"/>
      <c r="CU391" s="118"/>
      <c r="CV391" s="99">
        <f t="shared" si="41"/>
        <v>0</v>
      </c>
      <c r="CW391" s="118"/>
      <c r="CX391" s="119"/>
      <c r="CY391" s="119"/>
      <c r="CZ391" s="119"/>
      <c r="DA391" s="118"/>
      <c r="DB391" s="119"/>
      <c r="DC391" s="111"/>
      <c r="DD391" s="119"/>
      <c r="DE391" s="111"/>
      <c r="DF391" s="269"/>
    </row>
    <row r="392" spans="1:110" s="270" customFormat="1" ht="22.5" x14ac:dyDescent="0.2">
      <c r="A392" s="89">
        <v>40638</v>
      </c>
      <c r="B392" s="90" t="s">
        <v>3316</v>
      </c>
      <c r="C392" s="90" t="s">
        <v>3300</v>
      </c>
      <c r="D392" s="90" t="s">
        <v>4264</v>
      </c>
      <c r="E392" s="90" t="str">
        <f>VLOOKUP(B392&amp;C392,Divipola!$C$2:$F$1138,4,FALSE)</f>
        <v>73148</v>
      </c>
      <c r="F392" s="90"/>
      <c r="G392" s="101"/>
      <c r="H392" s="101"/>
      <c r="I392" s="101"/>
      <c r="J392" s="101">
        <v>5</v>
      </c>
      <c r="K392" s="101">
        <v>1</v>
      </c>
      <c r="L392" s="101"/>
      <c r="M392" s="101">
        <v>1</v>
      </c>
      <c r="N392" s="101"/>
      <c r="O392" s="101"/>
      <c r="P392" s="101"/>
      <c r="Q392" s="101"/>
      <c r="R392" s="101"/>
      <c r="S392" s="101"/>
      <c r="T392" s="101"/>
      <c r="U392" s="101"/>
      <c r="V392" s="101"/>
      <c r="W392" s="91"/>
      <c r="X392" s="89"/>
      <c r="Y392" s="92">
        <f t="shared" si="36"/>
        <v>0</v>
      </c>
      <c r="Z392" s="92">
        <f t="shared" si="37"/>
        <v>0</v>
      </c>
      <c r="AA392" s="92">
        <f t="shared" si="38"/>
        <v>0</v>
      </c>
      <c r="AB392" s="92">
        <f t="shared" si="39"/>
        <v>0</v>
      </c>
      <c r="AC392" s="92"/>
      <c r="AD392" s="92">
        <v>0</v>
      </c>
      <c r="AE392" s="92">
        <f t="shared" si="40"/>
        <v>0</v>
      </c>
      <c r="AF392" s="93">
        <v>0</v>
      </c>
      <c r="AG392" s="89">
        <v>40641</v>
      </c>
      <c r="AH392" s="94"/>
      <c r="AI392" s="95" t="s">
        <v>4346</v>
      </c>
      <c r="AJ392" s="96" t="s">
        <v>4347</v>
      </c>
      <c r="AK392" s="97"/>
      <c r="AL392" s="89" t="s">
        <v>2798</v>
      </c>
      <c r="AM392" s="100" t="s">
        <v>2910</v>
      </c>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114"/>
      <c r="CQ392" s="115"/>
      <c r="CR392" s="114"/>
      <c r="CS392" s="115"/>
      <c r="CT392" s="114"/>
      <c r="CU392" s="115"/>
      <c r="CV392" s="99">
        <f t="shared" si="41"/>
        <v>0</v>
      </c>
      <c r="CW392" s="114"/>
      <c r="CX392" s="115"/>
      <c r="CY392" s="114"/>
      <c r="CZ392" s="115"/>
      <c r="DA392" s="115"/>
      <c r="DB392" s="115"/>
      <c r="DC392" s="114"/>
      <c r="DD392" s="115"/>
      <c r="DE392" s="97"/>
      <c r="DF392" s="269"/>
    </row>
    <row r="393" spans="1:110" s="270" customFormat="1" ht="36" x14ac:dyDescent="0.2">
      <c r="A393" s="89">
        <v>40638</v>
      </c>
      <c r="B393" s="90" t="s">
        <v>3316</v>
      </c>
      <c r="C393" s="90" t="s">
        <v>2767</v>
      </c>
      <c r="D393" s="90" t="s">
        <v>4264</v>
      </c>
      <c r="E393" s="90" t="str">
        <f>VLOOKUP(B393&amp;C393,Divipola!$C$2:$F$1138,4,FALSE)</f>
        <v>73873</v>
      </c>
      <c r="F393" s="90"/>
      <c r="G393" s="101"/>
      <c r="H393" s="101"/>
      <c r="I393" s="101"/>
      <c r="J393" s="101">
        <v>190</v>
      </c>
      <c r="K393" s="101">
        <v>38</v>
      </c>
      <c r="L393" s="101"/>
      <c r="M393" s="101">
        <v>38</v>
      </c>
      <c r="N393" s="101"/>
      <c r="O393" s="101"/>
      <c r="P393" s="101"/>
      <c r="Q393" s="101"/>
      <c r="R393" s="101"/>
      <c r="S393" s="101"/>
      <c r="T393" s="101"/>
      <c r="U393" s="101"/>
      <c r="V393" s="101"/>
      <c r="W393" s="91"/>
      <c r="X393" s="89"/>
      <c r="Y393" s="92">
        <f t="shared" si="36"/>
        <v>0</v>
      </c>
      <c r="Z393" s="92">
        <f t="shared" si="37"/>
        <v>0</v>
      </c>
      <c r="AA393" s="92">
        <f t="shared" si="38"/>
        <v>0</v>
      </c>
      <c r="AB393" s="92">
        <f t="shared" si="39"/>
        <v>0</v>
      </c>
      <c r="AC393" s="92"/>
      <c r="AD393" s="92">
        <v>0</v>
      </c>
      <c r="AE393" s="92">
        <f t="shared" si="40"/>
        <v>0</v>
      </c>
      <c r="AF393" s="93">
        <v>0</v>
      </c>
      <c r="AG393" s="89">
        <v>40641</v>
      </c>
      <c r="AH393" s="94"/>
      <c r="AI393" s="95" t="s">
        <v>4346</v>
      </c>
      <c r="AJ393" s="96" t="s">
        <v>4347</v>
      </c>
      <c r="AK393" s="97"/>
      <c r="AL393" s="89" t="s">
        <v>2798</v>
      </c>
      <c r="AM393" s="100" t="s">
        <v>2909</v>
      </c>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114"/>
      <c r="CQ393" s="115"/>
      <c r="CR393" s="114"/>
      <c r="CS393" s="115"/>
      <c r="CT393" s="114"/>
      <c r="CU393" s="115"/>
      <c r="CV393" s="99">
        <f t="shared" si="41"/>
        <v>0</v>
      </c>
      <c r="CW393" s="114"/>
      <c r="CX393" s="115"/>
      <c r="CY393" s="114"/>
      <c r="CZ393" s="115"/>
      <c r="DA393" s="115"/>
      <c r="DB393" s="115"/>
      <c r="DC393" s="114"/>
      <c r="DD393" s="115"/>
      <c r="DE393" s="97"/>
      <c r="DF393" s="269"/>
    </row>
    <row r="394" spans="1:110" s="270" customFormat="1" ht="22.5" x14ac:dyDescent="0.2">
      <c r="A394" s="89">
        <v>40638</v>
      </c>
      <c r="B394" s="90" t="s">
        <v>4244</v>
      </c>
      <c r="C394" s="90" t="s">
        <v>4276</v>
      </c>
      <c r="D394" s="90" t="s">
        <v>4298</v>
      </c>
      <c r="E394" s="90" t="str">
        <f>VLOOKUP(B394&amp;C394,Divipola!$C$2:$F$1138,4,FALSE)</f>
        <v>76113</v>
      </c>
      <c r="F394" s="90"/>
      <c r="G394" s="101"/>
      <c r="H394" s="101"/>
      <c r="I394" s="101"/>
      <c r="J394" s="101">
        <v>5</v>
      </c>
      <c r="K394" s="101">
        <v>1</v>
      </c>
      <c r="L394" s="101"/>
      <c r="M394" s="101">
        <v>1</v>
      </c>
      <c r="N394" s="101"/>
      <c r="O394" s="101"/>
      <c r="P394" s="101"/>
      <c r="Q394" s="101"/>
      <c r="R394" s="101"/>
      <c r="S394" s="101"/>
      <c r="T394" s="101"/>
      <c r="U394" s="101"/>
      <c r="V394" s="101"/>
      <c r="W394" s="91"/>
      <c r="X394" s="89"/>
      <c r="Y394" s="92">
        <f t="shared" si="36"/>
        <v>0</v>
      </c>
      <c r="Z394" s="92">
        <f t="shared" si="37"/>
        <v>0</v>
      </c>
      <c r="AA394" s="92">
        <f t="shared" si="38"/>
        <v>0</v>
      </c>
      <c r="AB394" s="92">
        <f t="shared" si="39"/>
        <v>0</v>
      </c>
      <c r="AC394" s="92"/>
      <c r="AD394" s="92">
        <v>0</v>
      </c>
      <c r="AE394" s="92">
        <f t="shared" si="40"/>
        <v>0</v>
      </c>
      <c r="AF394" s="93">
        <v>0</v>
      </c>
      <c r="AG394" s="89">
        <v>40641</v>
      </c>
      <c r="AH394" s="94"/>
      <c r="AI394" s="102" t="s">
        <v>4336</v>
      </c>
      <c r="AJ394" s="96" t="s">
        <v>4337</v>
      </c>
      <c r="AK394" s="97"/>
      <c r="AL394" s="89"/>
      <c r="AM394" s="100" t="s">
        <v>2916</v>
      </c>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114"/>
      <c r="CQ394" s="115"/>
      <c r="CR394" s="114"/>
      <c r="CS394" s="115"/>
      <c r="CT394" s="114"/>
      <c r="CU394" s="115"/>
      <c r="CV394" s="99">
        <f t="shared" si="41"/>
        <v>0</v>
      </c>
      <c r="CW394" s="114"/>
      <c r="CX394" s="115"/>
      <c r="CY394" s="114"/>
      <c r="CZ394" s="115"/>
      <c r="DA394" s="115"/>
      <c r="DB394" s="115"/>
      <c r="DC394" s="114"/>
      <c r="DD394" s="115"/>
      <c r="DE394" s="97"/>
      <c r="DF394" s="269"/>
    </row>
    <row r="395" spans="1:110" s="270" customFormat="1" ht="22.5" x14ac:dyDescent="0.2">
      <c r="A395" s="89">
        <v>40638</v>
      </c>
      <c r="B395" s="90" t="s">
        <v>4244</v>
      </c>
      <c r="C395" s="90" t="s">
        <v>4268</v>
      </c>
      <c r="D395" s="90" t="s">
        <v>2362</v>
      </c>
      <c r="E395" s="90" t="str">
        <f>VLOOKUP(B395&amp;C395,Divipola!$C$2:$F$1138,4,FALSE)</f>
        <v>76243</v>
      </c>
      <c r="F395" s="90"/>
      <c r="G395" s="101"/>
      <c r="H395" s="101"/>
      <c r="I395" s="101"/>
      <c r="J395" s="101">
        <v>5</v>
      </c>
      <c r="K395" s="101">
        <v>1</v>
      </c>
      <c r="L395" s="101">
        <v>1</v>
      </c>
      <c r="M395" s="101"/>
      <c r="N395" s="101"/>
      <c r="O395" s="101"/>
      <c r="P395" s="101"/>
      <c r="Q395" s="101"/>
      <c r="R395" s="101"/>
      <c r="S395" s="101"/>
      <c r="T395" s="101"/>
      <c r="U395" s="101"/>
      <c r="V395" s="101"/>
      <c r="W395" s="91"/>
      <c r="X395" s="89"/>
      <c r="Y395" s="92">
        <f t="shared" si="36"/>
        <v>0</v>
      </c>
      <c r="Z395" s="92">
        <f t="shared" si="37"/>
        <v>0</v>
      </c>
      <c r="AA395" s="92">
        <f t="shared" si="38"/>
        <v>0</v>
      </c>
      <c r="AB395" s="92">
        <f t="shared" si="39"/>
        <v>0</v>
      </c>
      <c r="AC395" s="92"/>
      <c r="AD395" s="92">
        <v>0</v>
      </c>
      <c r="AE395" s="92">
        <f t="shared" si="40"/>
        <v>0</v>
      </c>
      <c r="AF395" s="93">
        <v>0</v>
      </c>
      <c r="AG395" s="89">
        <v>40641</v>
      </c>
      <c r="AH395" s="94"/>
      <c r="AI395" s="95" t="s">
        <v>4336</v>
      </c>
      <c r="AJ395" s="96" t="s">
        <v>4337</v>
      </c>
      <c r="AK395" s="97"/>
      <c r="AL395" s="89"/>
      <c r="AM395" s="100" t="s">
        <v>2915</v>
      </c>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114"/>
      <c r="CQ395" s="115"/>
      <c r="CR395" s="114"/>
      <c r="CS395" s="115"/>
      <c r="CT395" s="114"/>
      <c r="CU395" s="115"/>
      <c r="CV395" s="99">
        <f t="shared" si="41"/>
        <v>0</v>
      </c>
      <c r="CW395" s="114"/>
      <c r="CX395" s="115"/>
      <c r="CY395" s="114"/>
      <c r="CZ395" s="115"/>
      <c r="DA395" s="115"/>
      <c r="DB395" s="115"/>
      <c r="DC395" s="114"/>
      <c r="DD395" s="115"/>
      <c r="DE395" s="97"/>
      <c r="DF395" s="269"/>
    </row>
    <row r="396" spans="1:110" s="270" customFormat="1" ht="22.5" x14ac:dyDescent="0.2">
      <c r="A396" s="89">
        <v>40638</v>
      </c>
      <c r="B396" s="90" t="s">
        <v>4244</v>
      </c>
      <c r="C396" s="90" t="s">
        <v>3167</v>
      </c>
      <c r="D396" s="90" t="s">
        <v>4298</v>
      </c>
      <c r="E396" s="90" t="str">
        <f>VLOOKUP(B396&amp;C396,Divipola!$C$2:$F$1138,4,FALSE)</f>
        <v>76275</v>
      </c>
      <c r="F396" s="90"/>
      <c r="G396" s="101"/>
      <c r="H396" s="101"/>
      <c r="I396" s="101"/>
      <c r="J396" s="101">
        <v>5</v>
      </c>
      <c r="K396" s="101">
        <v>1</v>
      </c>
      <c r="L396" s="101"/>
      <c r="M396" s="101">
        <v>1</v>
      </c>
      <c r="N396" s="101"/>
      <c r="O396" s="101"/>
      <c r="P396" s="101"/>
      <c r="Q396" s="101"/>
      <c r="R396" s="101"/>
      <c r="S396" s="101"/>
      <c r="T396" s="101"/>
      <c r="U396" s="101"/>
      <c r="V396" s="101"/>
      <c r="W396" s="91"/>
      <c r="X396" s="89"/>
      <c r="Y396" s="92">
        <f t="shared" si="36"/>
        <v>0</v>
      </c>
      <c r="Z396" s="92">
        <f t="shared" si="37"/>
        <v>0</v>
      </c>
      <c r="AA396" s="92">
        <f t="shared" si="38"/>
        <v>0</v>
      </c>
      <c r="AB396" s="92">
        <f t="shared" si="39"/>
        <v>0</v>
      </c>
      <c r="AC396" s="92"/>
      <c r="AD396" s="92">
        <v>0</v>
      </c>
      <c r="AE396" s="92">
        <f t="shared" si="40"/>
        <v>0</v>
      </c>
      <c r="AF396" s="93">
        <v>0</v>
      </c>
      <c r="AG396" s="89">
        <v>40641</v>
      </c>
      <c r="AH396" s="94"/>
      <c r="AI396" s="102" t="s">
        <v>4336</v>
      </c>
      <c r="AJ396" s="96" t="s">
        <v>4337</v>
      </c>
      <c r="AK396" s="97"/>
      <c r="AL396" s="89"/>
      <c r="AM396" s="100" t="s">
        <v>3452</v>
      </c>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114"/>
      <c r="CQ396" s="115"/>
      <c r="CR396" s="114"/>
      <c r="CS396" s="115"/>
      <c r="CT396" s="114"/>
      <c r="CU396" s="115"/>
      <c r="CV396" s="99">
        <f t="shared" si="41"/>
        <v>0</v>
      </c>
      <c r="CW396" s="114"/>
      <c r="CX396" s="115"/>
      <c r="CY396" s="114"/>
      <c r="CZ396" s="115"/>
      <c r="DA396" s="115"/>
      <c r="DB396" s="115"/>
      <c r="DC396" s="114"/>
      <c r="DD396" s="115"/>
      <c r="DE396" s="97"/>
      <c r="DF396" s="269"/>
    </row>
    <row r="397" spans="1:110" s="270" customFormat="1" ht="22.5" x14ac:dyDescent="0.2">
      <c r="A397" s="89">
        <v>40639</v>
      </c>
      <c r="B397" s="90" t="s">
        <v>4352</v>
      </c>
      <c r="C397" s="90" t="s">
        <v>4358</v>
      </c>
      <c r="D397" s="90" t="s">
        <v>4298</v>
      </c>
      <c r="E397" s="90" t="str">
        <f>VLOOKUP(B397&amp;C397,Divipola!$C$2:$F$1138,4,FALSE)</f>
        <v>13001</v>
      </c>
      <c r="F397" s="90"/>
      <c r="G397" s="101"/>
      <c r="H397" s="101">
        <v>1</v>
      </c>
      <c r="I397" s="101"/>
      <c r="J397" s="101">
        <v>5</v>
      </c>
      <c r="K397" s="101">
        <v>1</v>
      </c>
      <c r="L397" s="101"/>
      <c r="M397" s="101">
        <v>1</v>
      </c>
      <c r="N397" s="101"/>
      <c r="O397" s="101"/>
      <c r="P397" s="101"/>
      <c r="Q397" s="101"/>
      <c r="R397" s="101"/>
      <c r="S397" s="101"/>
      <c r="T397" s="101"/>
      <c r="U397" s="101"/>
      <c r="V397" s="101"/>
      <c r="W397" s="91"/>
      <c r="X397" s="89"/>
      <c r="Y397" s="92">
        <f t="shared" si="36"/>
        <v>0</v>
      </c>
      <c r="Z397" s="92">
        <f t="shared" si="37"/>
        <v>0</v>
      </c>
      <c r="AA397" s="92">
        <f t="shared" si="38"/>
        <v>0</v>
      </c>
      <c r="AB397" s="92">
        <f t="shared" si="39"/>
        <v>0</v>
      </c>
      <c r="AC397" s="92"/>
      <c r="AD397" s="92">
        <v>0</v>
      </c>
      <c r="AE397" s="92">
        <f t="shared" si="40"/>
        <v>0</v>
      </c>
      <c r="AF397" s="93">
        <v>0</v>
      </c>
      <c r="AG397" s="89">
        <v>40641</v>
      </c>
      <c r="AH397" s="94"/>
      <c r="AI397" s="95" t="s">
        <v>4336</v>
      </c>
      <c r="AJ397" s="96" t="s">
        <v>4337</v>
      </c>
      <c r="AK397" s="97"/>
      <c r="AL397" s="89"/>
      <c r="AM397" s="100" t="s">
        <v>2919</v>
      </c>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114"/>
      <c r="CQ397" s="115"/>
      <c r="CR397" s="114"/>
      <c r="CS397" s="115"/>
      <c r="CT397" s="114"/>
      <c r="CU397" s="115"/>
      <c r="CV397" s="99">
        <f t="shared" si="41"/>
        <v>0</v>
      </c>
      <c r="CW397" s="114"/>
      <c r="CX397" s="115"/>
      <c r="CY397" s="114"/>
      <c r="CZ397" s="115"/>
      <c r="DA397" s="115"/>
      <c r="DB397" s="115"/>
      <c r="DC397" s="114"/>
      <c r="DD397" s="115"/>
      <c r="DE397" s="97"/>
      <c r="DF397" s="269"/>
    </row>
    <row r="398" spans="1:110" s="270" customFormat="1" ht="24" x14ac:dyDescent="0.2">
      <c r="A398" s="89">
        <v>40639</v>
      </c>
      <c r="B398" s="90" t="s">
        <v>4296</v>
      </c>
      <c r="C398" s="90" t="s">
        <v>4378</v>
      </c>
      <c r="D398" s="90" t="s">
        <v>4264</v>
      </c>
      <c r="E398" s="90" t="str">
        <f>VLOOKUP(B398&amp;C398,Divipola!$C$2:$F$1138,4,FALSE)</f>
        <v>19533</v>
      </c>
      <c r="F398" s="90"/>
      <c r="G398" s="101"/>
      <c r="H398" s="101"/>
      <c r="I398" s="101"/>
      <c r="J398" s="101">
        <v>60</v>
      </c>
      <c r="K398" s="101">
        <v>12</v>
      </c>
      <c r="L398" s="101"/>
      <c r="M398" s="101">
        <v>12</v>
      </c>
      <c r="N398" s="101"/>
      <c r="O398" s="101"/>
      <c r="P398" s="101"/>
      <c r="Q398" s="101"/>
      <c r="R398" s="101"/>
      <c r="S398" s="101"/>
      <c r="T398" s="101"/>
      <c r="U398" s="101"/>
      <c r="V398" s="101"/>
      <c r="W398" s="91"/>
      <c r="X398" s="89"/>
      <c r="Y398" s="92">
        <f t="shared" si="36"/>
        <v>0</v>
      </c>
      <c r="Z398" s="92">
        <f t="shared" si="37"/>
        <v>0</v>
      </c>
      <c r="AA398" s="92">
        <f t="shared" si="38"/>
        <v>0</v>
      </c>
      <c r="AB398" s="92">
        <f t="shared" si="39"/>
        <v>0</v>
      </c>
      <c r="AC398" s="92"/>
      <c r="AD398" s="92">
        <v>0</v>
      </c>
      <c r="AE398" s="92">
        <f t="shared" si="40"/>
        <v>0</v>
      </c>
      <c r="AF398" s="93">
        <v>0</v>
      </c>
      <c r="AG398" s="89">
        <v>40641</v>
      </c>
      <c r="AH398" s="94"/>
      <c r="AI398" s="95" t="s">
        <v>4336</v>
      </c>
      <c r="AJ398" s="96" t="s">
        <v>4337</v>
      </c>
      <c r="AK398" s="97"/>
      <c r="AL398" s="89"/>
      <c r="AM398" s="100" t="s">
        <v>2921</v>
      </c>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114"/>
      <c r="CQ398" s="115"/>
      <c r="CR398" s="114"/>
      <c r="CS398" s="115"/>
      <c r="CT398" s="114"/>
      <c r="CU398" s="115"/>
      <c r="CV398" s="99">
        <f t="shared" si="41"/>
        <v>0</v>
      </c>
      <c r="CW398" s="114"/>
      <c r="CX398" s="115"/>
      <c r="CY398" s="114"/>
      <c r="CZ398" s="115"/>
      <c r="DA398" s="115"/>
      <c r="DB398" s="115"/>
      <c r="DC398" s="114"/>
      <c r="DD398" s="115"/>
      <c r="DE398" s="97"/>
      <c r="DF398" s="269"/>
    </row>
    <row r="399" spans="1:110" s="270" customFormat="1" ht="36" x14ac:dyDescent="0.2">
      <c r="A399" s="89">
        <v>40639</v>
      </c>
      <c r="B399" s="90" t="s">
        <v>4344</v>
      </c>
      <c r="C399" s="90" t="s">
        <v>4510</v>
      </c>
      <c r="D399" s="90" t="s">
        <v>4264</v>
      </c>
      <c r="E399" s="90" t="str">
        <f>VLOOKUP(B399&amp;C399,Divipola!$C$2:$F$1138,4,FALSE)</f>
        <v>25099</v>
      </c>
      <c r="F399" s="90"/>
      <c r="G399" s="101"/>
      <c r="H399" s="101"/>
      <c r="I399" s="101"/>
      <c r="J399" s="101">
        <v>320</v>
      </c>
      <c r="K399" s="101">
        <v>77</v>
      </c>
      <c r="L399" s="101"/>
      <c r="M399" s="101"/>
      <c r="N399" s="101"/>
      <c r="O399" s="101"/>
      <c r="P399" s="101"/>
      <c r="Q399" s="101"/>
      <c r="R399" s="101"/>
      <c r="S399" s="101"/>
      <c r="T399" s="101">
        <v>1</v>
      </c>
      <c r="U399" s="101"/>
      <c r="V399" s="101"/>
      <c r="W399" s="91"/>
      <c r="X399" s="89"/>
      <c r="Y399" s="92">
        <f t="shared" si="36"/>
        <v>0</v>
      </c>
      <c r="Z399" s="92">
        <f t="shared" si="37"/>
        <v>0</v>
      </c>
      <c r="AA399" s="92">
        <f t="shared" si="38"/>
        <v>0</v>
      </c>
      <c r="AB399" s="92">
        <f t="shared" si="39"/>
        <v>0</v>
      </c>
      <c r="AC399" s="92"/>
      <c r="AD399" s="92">
        <v>0</v>
      </c>
      <c r="AE399" s="92">
        <f t="shared" si="40"/>
        <v>0</v>
      </c>
      <c r="AF399" s="93">
        <v>0</v>
      </c>
      <c r="AG399" s="89"/>
      <c r="AH399" s="94"/>
      <c r="AI399" s="102" t="s">
        <v>4336</v>
      </c>
      <c r="AJ399" s="96" t="s">
        <v>4337</v>
      </c>
      <c r="AK399" s="97"/>
      <c r="AL399" s="89"/>
      <c r="AM399" s="100" t="s">
        <v>1036</v>
      </c>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114"/>
      <c r="CQ399" s="115"/>
      <c r="CR399" s="114"/>
      <c r="CS399" s="115"/>
      <c r="CT399" s="114"/>
      <c r="CU399" s="115"/>
      <c r="CV399" s="99">
        <f t="shared" si="41"/>
        <v>0</v>
      </c>
      <c r="CW399" s="114"/>
      <c r="CX399" s="115"/>
      <c r="CY399" s="114"/>
      <c r="CZ399" s="115"/>
      <c r="DA399" s="115"/>
      <c r="DB399" s="115"/>
      <c r="DC399" s="114"/>
      <c r="DD399" s="115"/>
      <c r="DE399" s="97"/>
      <c r="DF399" s="269"/>
    </row>
    <row r="400" spans="1:110" s="270" customFormat="1" ht="24" x14ac:dyDescent="0.2">
      <c r="A400" s="89">
        <v>40639</v>
      </c>
      <c r="B400" s="90" t="s">
        <v>4344</v>
      </c>
      <c r="C400" s="90" t="s">
        <v>4517</v>
      </c>
      <c r="D400" s="90" t="s">
        <v>4264</v>
      </c>
      <c r="E400" s="90" t="str">
        <f>VLOOKUP(B400&amp;C400,Divipola!$C$2:$F$1138,4,FALSE)</f>
        <v>25851</v>
      </c>
      <c r="F400" s="90"/>
      <c r="G400" s="101"/>
      <c r="H400" s="101"/>
      <c r="I400" s="101"/>
      <c r="J400" s="101">
        <v>15</v>
      </c>
      <c r="K400" s="101">
        <v>3</v>
      </c>
      <c r="L400" s="101"/>
      <c r="M400" s="101">
        <v>3</v>
      </c>
      <c r="N400" s="101"/>
      <c r="O400" s="101"/>
      <c r="P400" s="101"/>
      <c r="Q400" s="101"/>
      <c r="R400" s="101"/>
      <c r="S400" s="101"/>
      <c r="T400" s="101"/>
      <c r="U400" s="101"/>
      <c r="V400" s="101"/>
      <c r="W400" s="91"/>
      <c r="X400" s="89"/>
      <c r="Y400" s="92">
        <f t="shared" si="36"/>
        <v>0</v>
      </c>
      <c r="Z400" s="92">
        <f t="shared" si="37"/>
        <v>0</v>
      </c>
      <c r="AA400" s="92">
        <f t="shared" si="38"/>
        <v>0</v>
      </c>
      <c r="AB400" s="92">
        <f t="shared" si="39"/>
        <v>0</v>
      </c>
      <c r="AC400" s="92"/>
      <c r="AD400" s="92">
        <v>0</v>
      </c>
      <c r="AE400" s="92">
        <f t="shared" si="40"/>
        <v>0</v>
      </c>
      <c r="AF400" s="93">
        <v>0</v>
      </c>
      <c r="AG400" s="89">
        <v>40641</v>
      </c>
      <c r="AH400" s="94"/>
      <c r="AI400" s="95" t="s">
        <v>4346</v>
      </c>
      <c r="AJ400" s="96" t="s">
        <v>4347</v>
      </c>
      <c r="AK400" s="97"/>
      <c r="AL400" s="89" t="s">
        <v>2796</v>
      </c>
      <c r="AM400" s="100" t="s">
        <v>2922</v>
      </c>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114"/>
      <c r="CQ400" s="115"/>
      <c r="CR400" s="114"/>
      <c r="CS400" s="115"/>
      <c r="CT400" s="114"/>
      <c r="CU400" s="115"/>
      <c r="CV400" s="99">
        <f t="shared" si="41"/>
        <v>0</v>
      </c>
      <c r="CW400" s="114"/>
      <c r="CX400" s="115"/>
      <c r="CY400" s="114"/>
      <c r="CZ400" s="115"/>
      <c r="DA400" s="115"/>
      <c r="DB400" s="115"/>
      <c r="DC400" s="114"/>
      <c r="DD400" s="115"/>
      <c r="DE400" s="97"/>
      <c r="DF400" s="269"/>
    </row>
    <row r="401" spans="1:110" s="270" customFormat="1" x14ac:dyDescent="0.2">
      <c r="A401" s="89">
        <v>40639</v>
      </c>
      <c r="B401" s="90" t="s">
        <v>4219</v>
      </c>
      <c r="C401" s="90" t="s">
        <v>2232</v>
      </c>
      <c r="D401" s="90" t="s">
        <v>4264</v>
      </c>
      <c r="E401" s="90" t="str">
        <f>VLOOKUP(B401&amp;C401,Divipola!$C$2:$F$1138,4,FALSE)</f>
        <v>41551</v>
      </c>
      <c r="F401" s="90"/>
      <c r="G401" s="101"/>
      <c r="H401" s="101"/>
      <c r="I401" s="101"/>
      <c r="J401" s="101">
        <v>10</v>
      </c>
      <c r="K401" s="101">
        <v>2</v>
      </c>
      <c r="L401" s="101"/>
      <c r="M401" s="101">
        <v>2</v>
      </c>
      <c r="N401" s="101"/>
      <c r="O401" s="101"/>
      <c r="P401" s="101"/>
      <c r="Q401" s="101"/>
      <c r="R401" s="101"/>
      <c r="S401" s="101"/>
      <c r="T401" s="101"/>
      <c r="U401" s="101"/>
      <c r="V401" s="101"/>
      <c r="W401" s="91"/>
      <c r="X401" s="89"/>
      <c r="Y401" s="92">
        <f t="shared" si="36"/>
        <v>0</v>
      </c>
      <c r="Z401" s="92">
        <f t="shared" si="37"/>
        <v>0</v>
      </c>
      <c r="AA401" s="92">
        <f t="shared" si="38"/>
        <v>0</v>
      </c>
      <c r="AB401" s="92">
        <f t="shared" si="39"/>
        <v>0</v>
      </c>
      <c r="AC401" s="92"/>
      <c r="AD401" s="92">
        <v>0</v>
      </c>
      <c r="AE401" s="92">
        <f t="shared" si="40"/>
        <v>0</v>
      </c>
      <c r="AF401" s="93">
        <v>0</v>
      </c>
      <c r="AG401" s="89">
        <v>40641</v>
      </c>
      <c r="AH401" s="94"/>
      <c r="AI401" s="95" t="s">
        <v>4336</v>
      </c>
      <c r="AJ401" s="96" t="s">
        <v>4337</v>
      </c>
      <c r="AK401" s="97"/>
      <c r="AL401" s="89"/>
      <c r="AM401" s="100" t="s">
        <v>2918</v>
      </c>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114"/>
      <c r="CQ401" s="115"/>
      <c r="CR401" s="114"/>
      <c r="CS401" s="115"/>
      <c r="CT401" s="114"/>
      <c r="CU401" s="115"/>
      <c r="CV401" s="99">
        <f t="shared" si="41"/>
        <v>0</v>
      </c>
      <c r="CW401" s="114"/>
      <c r="CX401" s="115"/>
      <c r="CY401" s="114"/>
      <c r="CZ401" s="115"/>
      <c r="DA401" s="115"/>
      <c r="DB401" s="115"/>
      <c r="DC401" s="114"/>
      <c r="DD401" s="115"/>
      <c r="DE401" s="97"/>
      <c r="DF401" s="269"/>
    </row>
    <row r="402" spans="1:110" s="270" customFormat="1" ht="24" x14ac:dyDescent="0.2">
      <c r="A402" s="89">
        <v>40639</v>
      </c>
      <c r="B402" s="90" t="s">
        <v>4219</v>
      </c>
      <c r="C402" s="90" t="s">
        <v>3356</v>
      </c>
      <c r="D402" s="90" t="s">
        <v>2362</v>
      </c>
      <c r="E402" s="90" t="str">
        <f>VLOOKUP(B402&amp;C402,Divipola!$C$2:$F$1138,4,FALSE)</f>
        <v>41676</v>
      </c>
      <c r="F402" s="90"/>
      <c r="G402" s="101"/>
      <c r="H402" s="101"/>
      <c r="I402" s="101"/>
      <c r="J402" s="101">
        <f>39*5</f>
        <v>195</v>
      </c>
      <c r="K402" s="101">
        <v>39</v>
      </c>
      <c r="L402" s="101"/>
      <c r="M402" s="101">
        <v>39</v>
      </c>
      <c r="N402" s="101"/>
      <c r="O402" s="101">
        <v>1</v>
      </c>
      <c r="P402" s="101"/>
      <c r="Q402" s="101"/>
      <c r="R402" s="101"/>
      <c r="S402" s="101"/>
      <c r="T402" s="101"/>
      <c r="U402" s="101"/>
      <c r="V402" s="101"/>
      <c r="W402" s="91"/>
      <c r="X402" s="89"/>
      <c r="Y402" s="92">
        <f t="shared" si="36"/>
        <v>0</v>
      </c>
      <c r="Z402" s="92">
        <f t="shared" si="37"/>
        <v>0</v>
      </c>
      <c r="AA402" s="92">
        <f t="shared" si="38"/>
        <v>0</v>
      </c>
      <c r="AB402" s="92">
        <f t="shared" si="39"/>
        <v>0</v>
      </c>
      <c r="AC402" s="92"/>
      <c r="AD402" s="92">
        <v>0</v>
      </c>
      <c r="AE402" s="92">
        <f t="shared" si="40"/>
        <v>0</v>
      </c>
      <c r="AF402" s="93">
        <v>0</v>
      </c>
      <c r="AG402" s="89">
        <v>40641</v>
      </c>
      <c r="AH402" s="94"/>
      <c r="AI402" s="95" t="s">
        <v>4336</v>
      </c>
      <c r="AJ402" s="96" t="s">
        <v>4337</v>
      </c>
      <c r="AK402" s="97"/>
      <c r="AL402" s="89"/>
      <c r="AM402" s="100" t="s">
        <v>2923</v>
      </c>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114"/>
      <c r="CQ402" s="115"/>
      <c r="CR402" s="114"/>
      <c r="CS402" s="115"/>
      <c r="CT402" s="114"/>
      <c r="CU402" s="115"/>
      <c r="CV402" s="99">
        <f t="shared" si="41"/>
        <v>0</v>
      </c>
      <c r="CW402" s="114"/>
      <c r="CX402" s="115"/>
      <c r="CY402" s="114"/>
      <c r="CZ402" s="115"/>
      <c r="DA402" s="115"/>
      <c r="DB402" s="115"/>
      <c r="DC402" s="114"/>
      <c r="DD402" s="115"/>
      <c r="DE402" s="97"/>
      <c r="DF402" s="269"/>
    </row>
    <row r="403" spans="1:110" s="270" customFormat="1" ht="24" x14ac:dyDescent="0.2">
      <c r="A403" s="89">
        <v>40639</v>
      </c>
      <c r="B403" s="90" t="s">
        <v>4263</v>
      </c>
      <c r="C403" s="90" t="s">
        <v>970</v>
      </c>
      <c r="D403" s="90" t="s">
        <v>4264</v>
      </c>
      <c r="E403" s="90" t="str">
        <f>VLOOKUP(B403&amp;C403,Divipola!$C$2:$F$1138,4,FALSE)</f>
        <v>86757</v>
      </c>
      <c r="F403" s="90"/>
      <c r="G403" s="101"/>
      <c r="H403" s="101"/>
      <c r="I403" s="101"/>
      <c r="J403" s="101">
        <v>600</v>
      </c>
      <c r="K403" s="101">
        <v>149</v>
      </c>
      <c r="L403" s="101"/>
      <c r="M403" s="101"/>
      <c r="N403" s="101"/>
      <c r="O403" s="101"/>
      <c r="P403" s="101"/>
      <c r="Q403" s="101"/>
      <c r="R403" s="101"/>
      <c r="S403" s="101"/>
      <c r="T403" s="101"/>
      <c r="U403" s="101"/>
      <c r="V403" s="101"/>
      <c r="W403" s="91"/>
      <c r="X403" s="89"/>
      <c r="Y403" s="92">
        <f t="shared" si="36"/>
        <v>0</v>
      </c>
      <c r="Z403" s="92">
        <f t="shared" si="37"/>
        <v>0</v>
      </c>
      <c r="AA403" s="92">
        <f t="shared" si="38"/>
        <v>0</v>
      </c>
      <c r="AB403" s="92">
        <f t="shared" si="39"/>
        <v>0</v>
      </c>
      <c r="AC403" s="92"/>
      <c r="AD403" s="92">
        <v>0</v>
      </c>
      <c r="AE403" s="92">
        <f t="shared" si="40"/>
        <v>0</v>
      </c>
      <c r="AF403" s="93">
        <v>0</v>
      </c>
      <c r="AG403" s="89">
        <v>40641</v>
      </c>
      <c r="AH403" s="94"/>
      <c r="AI403" s="95" t="s">
        <v>4336</v>
      </c>
      <c r="AJ403" s="96" t="s">
        <v>4337</v>
      </c>
      <c r="AK403" s="97" t="s">
        <v>3413</v>
      </c>
      <c r="AL403" s="89"/>
      <c r="AM403" s="100" t="s">
        <v>3412</v>
      </c>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114"/>
      <c r="CQ403" s="115"/>
      <c r="CR403" s="114"/>
      <c r="CS403" s="115"/>
      <c r="CT403" s="114"/>
      <c r="CU403" s="115"/>
      <c r="CV403" s="99">
        <f t="shared" si="41"/>
        <v>0</v>
      </c>
      <c r="CW403" s="114"/>
      <c r="CX403" s="115"/>
      <c r="CY403" s="114"/>
      <c r="CZ403" s="115"/>
      <c r="DA403" s="115"/>
      <c r="DB403" s="115"/>
      <c r="DC403" s="114"/>
      <c r="DD403" s="115"/>
      <c r="DE403" s="97"/>
      <c r="DF403" s="269"/>
    </row>
    <row r="404" spans="1:110" s="270" customFormat="1" ht="48" x14ac:dyDescent="0.2">
      <c r="A404" s="89">
        <v>40639</v>
      </c>
      <c r="B404" s="90" t="s">
        <v>4348</v>
      </c>
      <c r="C404" s="90" t="s">
        <v>3342</v>
      </c>
      <c r="D404" s="90" t="s">
        <v>2362</v>
      </c>
      <c r="E404" s="90" t="str">
        <f>VLOOKUP(B404&amp;C404,Divipola!$C$2:$F$1138,4,FALSE)</f>
        <v>66383</v>
      </c>
      <c r="F404" s="90"/>
      <c r="G404" s="101"/>
      <c r="H404" s="101"/>
      <c r="I404" s="101"/>
      <c r="J404" s="101">
        <v>15</v>
      </c>
      <c r="K404" s="101">
        <v>3</v>
      </c>
      <c r="L404" s="101"/>
      <c r="M404" s="101">
        <v>3</v>
      </c>
      <c r="N404" s="101"/>
      <c r="O404" s="101"/>
      <c r="P404" s="101"/>
      <c r="Q404" s="101"/>
      <c r="R404" s="101"/>
      <c r="S404" s="101"/>
      <c r="T404" s="101"/>
      <c r="U404" s="101"/>
      <c r="V404" s="101"/>
      <c r="W404" s="91"/>
      <c r="X404" s="89"/>
      <c r="Y404" s="92">
        <f t="shared" si="36"/>
        <v>0</v>
      </c>
      <c r="Z404" s="92">
        <f t="shared" si="37"/>
        <v>0</v>
      </c>
      <c r="AA404" s="92">
        <f t="shared" si="38"/>
        <v>0</v>
      </c>
      <c r="AB404" s="92">
        <f t="shared" si="39"/>
        <v>0</v>
      </c>
      <c r="AC404" s="92"/>
      <c r="AD404" s="92">
        <v>0</v>
      </c>
      <c r="AE404" s="92">
        <f t="shared" si="40"/>
        <v>0</v>
      </c>
      <c r="AF404" s="93">
        <v>0</v>
      </c>
      <c r="AG404" s="89"/>
      <c r="AH404" s="94"/>
      <c r="AI404" s="95" t="s">
        <v>4336</v>
      </c>
      <c r="AJ404" s="96" t="s">
        <v>4337</v>
      </c>
      <c r="AK404" s="284"/>
      <c r="AL404" s="285"/>
      <c r="AM404" s="121" t="s">
        <v>1952</v>
      </c>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114"/>
      <c r="CQ404" s="115"/>
      <c r="CR404" s="114"/>
      <c r="CS404" s="115"/>
      <c r="CT404" s="114"/>
      <c r="CU404" s="115"/>
      <c r="CV404" s="99">
        <f t="shared" si="41"/>
        <v>0</v>
      </c>
      <c r="CW404" s="114"/>
      <c r="CX404" s="115"/>
      <c r="CY404" s="114"/>
      <c r="CZ404" s="115"/>
      <c r="DA404" s="115"/>
      <c r="DB404" s="115"/>
      <c r="DC404" s="114"/>
      <c r="DD404" s="115"/>
      <c r="DE404" s="97"/>
      <c r="DF404" s="269"/>
    </row>
    <row r="405" spans="1:110" s="270" customFormat="1" ht="24" x14ac:dyDescent="0.2">
      <c r="A405" s="89">
        <v>40640</v>
      </c>
      <c r="B405" s="90" t="s">
        <v>2218</v>
      </c>
      <c r="C405" s="90" t="s">
        <v>3500</v>
      </c>
      <c r="D405" s="90" t="s">
        <v>3311</v>
      </c>
      <c r="E405" s="90" t="str">
        <f>VLOOKUP(B405&amp;C405,Divipola!$C$2:$F$1138,4,FALSE)</f>
        <v>05756</v>
      </c>
      <c r="F405" s="90"/>
      <c r="G405" s="101">
        <v>1</v>
      </c>
      <c r="H405" s="101">
        <v>1</v>
      </c>
      <c r="I405" s="101"/>
      <c r="J405" s="101"/>
      <c r="K405" s="101"/>
      <c r="L405" s="101"/>
      <c r="M405" s="101"/>
      <c r="N405" s="101"/>
      <c r="O405" s="101"/>
      <c r="P405" s="101"/>
      <c r="Q405" s="101"/>
      <c r="R405" s="101"/>
      <c r="S405" s="101"/>
      <c r="T405" s="101"/>
      <c r="U405" s="101"/>
      <c r="V405" s="101"/>
      <c r="W405" s="91"/>
      <c r="X405" s="89"/>
      <c r="Y405" s="92">
        <f t="shared" si="36"/>
        <v>0</v>
      </c>
      <c r="Z405" s="92">
        <f t="shared" si="37"/>
        <v>0</v>
      </c>
      <c r="AA405" s="92">
        <f t="shared" si="38"/>
        <v>0</v>
      </c>
      <c r="AB405" s="92">
        <f t="shared" si="39"/>
        <v>0</v>
      </c>
      <c r="AC405" s="92"/>
      <c r="AD405" s="92">
        <v>0</v>
      </c>
      <c r="AE405" s="92">
        <f t="shared" si="40"/>
        <v>0</v>
      </c>
      <c r="AF405" s="93">
        <v>0</v>
      </c>
      <c r="AG405" s="89">
        <v>40641</v>
      </c>
      <c r="AH405" s="94"/>
      <c r="AI405" s="102" t="s">
        <v>4336</v>
      </c>
      <c r="AJ405" s="96" t="s">
        <v>4337</v>
      </c>
      <c r="AK405" s="97"/>
      <c r="AL405" s="89"/>
      <c r="AM405" s="100" t="s">
        <v>3477</v>
      </c>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114"/>
      <c r="CQ405" s="115"/>
      <c r="CR405" s="114"/>
      <c r="CS405" s="115"/>
      <c r="CT405" s="114"/>
      <c r="CU405" s="115"/>
      <c r="CV405" s="99">
        <f t="shared" si="41"/>
        <v>0</v>
      </c>
      <c r="CW405" s="114"/>
      <c r="CX405" s="115"/>
      <c r="CY405" s="114"/>
      <c r="CZ405" s="115"/>
      <c r="DA405" s="115"/>
      <c r="DB405" s="115"/>
      <c r="DC405" s="114"/>
      <c r="DD405" s="115"/>
      <c r="DE405" s="97"/>
      <c r="DF405" s="269"/>
    </row>
    <row r="406" spans="1:110" s="270" customFormat="1" ht="24" x14ac:dyDescent="0.2">
      <c r="A406" s="89">
        <v>40640</v>
      </c>
      <c r="B406" s="90" t="s">
        <v>1116</v>
      </c>
      <c r="C406" s="90" t="s">
        <v>1116</v>
      </c>
      <c r="D406" s="90" t="s">
        <v>3514</v>
      </c>
      <c r="E406" s="90" t="str">
        <f>VLOOKUP(B406&amp;C406,Divipola!$C$2:$F$1138,4,FALSE)</f>
        <v>11001</v>
      </c>
      <c r="F406" s="90"/>
      <c r="G406" s="101"/>
      <c r="H406" s="101">
        <v>1</v>
      </c>
      <c r="I406" s="101"/>
      <c r="J406" s="101">
        <v>75</v>
      </c>
      <c r="K406" s="101">
        <v>17</v>
      </c>
      <c r="L406" s="101"/>
      <c r="M406" s="101">
        <v>17</v>
      </c>
      <c r="N406" s="101"/>
      <c r="O406" s="101"/>
      <c r="P406" s="101"/>
      <c r="Q406" s="101"/>
      <c r="R406" s="101"/>
      <c r="S406" s="101"/>
      <c r="T406" s="101"/>
      <c r="U406" s="101"/>
      <c r="V406" s="101"/>
      <c r="W406" s="91" t="s">
        <v>3480</v>
      </c>
      <c r="X406" s="89"/>
      <c r="Y406" s="92">
        <f t="shared" si="36"/>
        <v>0</v>
      </c>
      <c r="Z406" s="92">
        <f t="shared" si="37"/>
        <v>0</v>
      </c>
      <c r="AA406" s="92">
        <f t="shared" si="38"/>
        <v>0</v>
      </c>
      <c r="AB406" s="92">
        <f t="shared" si="39"/>
        <v>0</v>
      </c>
      <c r="AC406" s="92"/>
      <c r="AD406" s="92">
        <v>0</v>
      </c>
      <c r="AE406" s="92">
        <f t="shared" si="40"/>
        <v>0</v>
      </c>
      <c r="AF406" s="93">
        <v>0</v>
      </c>
      <c r="AG406" s="89">
        <v>40641</v>
      </c>
      <c r="AH406" s="94"/>
      <c r="AI406" s="95" t="s">
        <v>4336</v>
      </c>
      <c r="AJ406" s="96" t="s">
        <v>4337</v>
      </c>
      <c r="AK406" s="97"/>
      <c r="AL406" s="89"/>
      <c r="AM406" s="100" t="s">
        <v>3478</v>
      </c>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114"/>
      <c r="CQ406" s="115"/>
      <c r="CR406" s="114"/>
      <c r="CS406" s="115"/>
      <c r="CT406" s="114"/>
      <c r="CU406" s="115"/>
      <c r="CV406" s="99">
        <f t="shared" si="41"/>
        <v>0</v>
      </c>
      <c r="CW406" s="114"/>
      <c r="CX406" s="115"/>
      <c r="CY406" s="114"/>
      <c r="CZ406" s="115"/>
      <c r="DA406" s="115"/>
      <c r="DB406" s="115"/>
      <c r="DC406" s="114"/>
      <c r="DD406" s="115"/>
      <c r="DE406" s="97"/>
      <c r="DF406" s="269"/>
    </row>
    <row r="407" spans="1:110" s="270" customFormat="1" ht="22.5" x14ac:dyDescent="0.2">
      <c r="A407" s="89">
        <v>40640</v>
      </c>
      <c r="B407" s="90" t="s">
        <v>4219</v>
      </c>
      <c r="C407" s="90" t="s">
        <v>3242</v>
      </c>
      <c r="D407" s="90" t="s">
        <v>2362</v>
      </c>
      <c r="E407" s="90" t="str">
        <f>VLOOKUP(B407&amp;C407,Divipola!$C$2:$F$1138,4,FALSE)</f>
        <v>41801</v>
      </c>
      <c r="F407" s="90"/>
      <c r="G407" s="101"/>
      <c r="H407" s="101"/>
      <c r="I407" s="101"/>
      <c r="J407" s="101">
        <v>10</v>
      </c>
      <c r="K407" s="101">
        <v>2</v>
      </c>
      <c r="L407" s="101"/>
      <c r="M407" s="101">
        <v>2</v>
      </c>
      <c r="N407" s="101"/>
      <c r="O407" s="101"/>
      <c r="P407" s="101"/>
      <c r="Q407" s="101"/>
      <c r="R407" s="101"/>
      <c r="S407" s="101"/>
      <c r="T407" s="101"/>
      <c r="U407" s="101"/>
      <c r="V407" s="101"/>
      <c r="W407" s="91" t="s">
        <v>230</v>
      </c>
      <c r="X407" s="89"/>
      <c r="Y407" s="92">
        <f t="shared" si="36"/>
        <v>0</v>
      </c>
      <c r="Z407" s="92">
        <f t="shared" si="37"/>
        <v>0</v>
      </c>
      <c r="AA407" s="92">
        <f t="shared" si="38"/>
        <v>0</v>
      </c>
      <c r="AB407" s="92">
        <f t="shared" si="39"/>
        <v>0</v>
      </c>
      <c r="AC407" s="92"/>
      <c r="AD407" s="92">
        <v>0</v>
      </c>
      <c r="AE407" s="92">
        <f t="shared" si="40"/>
        <v>0</v>
      </c>
      <c r="AF407" s="93">
        <v>0</v>
      </c>
      <c r="AG407" s="89">
        <v>40641</v>
      </c>
      <c r="AH407" s="94"/>
      <c r="AI407" s="95" t="s">
        <v>4336</v>
      </c>
      <c r="AJ407" s="96" t="s">
        <v>4337</v>
      </c>
      <c r="AK407" s="97"/>
      <c r="AL407" s="89"/>
      <c r="AM407" s="100" t="s">
        <v>229</v>
      </c>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114"/>
      <c r="CQ407" s="115"/>
      <c r="CR407" s="114"/>
      <c r="CS407" s="115"/>
      <c r="CT407" s="114"/>
      <c r="CU407" s="115"/>
      <c r="CV407" s="99">
        <f t="shared" si="41"/>
        <v>0</v>
      </c>
      <c r="CW407" s="114"/>
      <c r="CX407" s="115"/>
      <c r="CY407" s="114"/>
      <c r="CZ407" s="115"/>
      <c r="DA407" s="115"/>
      <c r="DB407" s="115"/>
      <c r="DC407" s="114"/>
      <c r="DD407" s="115"/>
      <c r="DE407" s="97"/>
      <c r="DF407" s="277"/>
    </row>
    <row r="408" spans="1:110" s="270" customFormat="1" ht="120" x14ac:dyDescent="0.2">
      <c r="A408" s="17">
        <v>40640</v>
      </c>
      <c r="B408" s="151" t="s">
        <v>4261</v>
      </c>
      <c r="C408" s="16" t="s">
        <v>2647</v>
      </c>
      <c r="D408" s="16" t="s">
        <v>2362</v>
      </c>
      <c r="E408" s="90" t="str">
        <f>VLOOKUP(B408&amp;C408,Divipola!$C$2:$F$1138,4,FALSE)</f>
        <v>15226</v>
      </c>
      <c r="F408" s="4"/>
      <c r="G408" s="208"/>
      <c r="H408" s="208"/>
      <c r="I408" s="208"/>
      <c r="J408" s="208"/>
      <c r="K408" s="208"/>
      <c r="L408" s="208"/>
      <c r="M408" s="208"/>
      <c r="N408" s="208">
        <v>2</v>
      </c>
      <c r="O408" s="208"/>
      <c r="P408" s="208"/>
      <c r="Q408" s="208"/>
      <c r="R408" s="208"/>
      <c r="S408" s="208"/>
      <c r="T408" s="208"/>
      <c r="U408" s="208"/>
      <c r="V408" s="208"/>
      <c r="W408" s="19"/>
      <c r="X408" s="17"/>
      <c r="Y408" s="5">
        <f t="shared" si="36"/>
        <v>0</v>
      </c>
      <c r="Z408" s="5">
        <f t="shared" si="37"/>
        <v>0</v>
      </c>
      <c r="AA408" s="5">
        <f t="shared" si="38"/>
        <v>0</v>
      </c>
      <c r="AB408" s="5">
        <f t="shared" si="39"/>
        <v>0</v>
      </c>
      <c r="AC408" s="5"/>
      <c r="AD408" s="5">
        <v>0</v>
      </c>
      <c r="AE408" s="5">
        <f t="shared" si="40"/>
        <v>0</v>
      </c>
      <c r="AF408" s="70">
        <v>0</v>
      </c>
      <c r="AG408" s="17"/>
      <c r="AH408" s="18"/>
      <c r="AI408" s="47" t="s">
        <v>4336</v>
      </c>
      <c r="AJ408" s="73" t="s">
        <v>4337</v>
      </c>
      <c r="AK408" s="45"/>
      <c r="AL408" s="17"/>
      <c r="AM408" s="20" t="s">
        <v>5606</v>
      </c>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39"/>
      <c r="CE408" s="138"/>
      <c r="CF408" s="139"/>
      <c r="CG408" s="138"/>
      <c r="CH408" s="139"/>
      <c r="CI408" s="138"/>
      <c r="CJ408" s="72"/>
      <c r="CK408" s="139"/>
      <c r="CL408" s="71"/>
      <c r="CM408" s="139"/>
      <c r="CN408" s="138"/>
      <c r="CO408" s="138"/>
      <c r="CP408" s="138"/>
      <c r="CQ408" s="139"/>
      <c r="CR408" s="138"/>
      <c r="CS408" s="45"/>
      <c r="CT408" s="138"/>
      <c r="CU408" s="45"/>
      <c r="CV408" s="99">
        <f t="shared" si="41"/>
        <v>0</v>
      </c>
      <c r="CW408" s="139"/>
      <c r="CX408" s="138"/>
      <c r="CY408" s="138"/>
      <c r="CZ408" s="138"/>
      <c r="DA408" s="139"/>
      <c r="DB408" s="138"/>
      <c r="DC408" s="45"/>
      <c r="DD408" s="138"/>
      <c r="DE408" s="45"/>
      <c r="DF408" s="269"/>
    </row>
    <row r="409" spans="1:110" s="270" customFormat="1" ht="36" x14ac:dyDescent="0.2">
      <c r="A409" s="89">
        <v>40641</v>
      </c>
      <c r="B409" s="90" t="s">
        <v>2218</v>
      </c>
      <c r="C409" s="90" t="s">
        <v>3441</v>
      </c>
      <c r="D409" s="90" t="s">
        <v>4264</v>
      </c>
      <c r="E409" s="90" t="str">
        <f>VLOOKUP(B409&amp;C409,Divipola!$C$2:$F$1138,4,FALSE)</f>
        <v>05861</v>
      </c>
      <c r="F409" s="90"/>
      <c r="G409" s="101"/>
      <c r="H409" s="101"/>
      <c r="I409" s="101"/>
      <c r="J409" s="101">
        <v>750</v>
      </c>
      <c r="K409" s="101">
        <v>150</v>
      </c>
      <c r="L409" s="101"/>
      <c r="M409" s="101">
        <v>150</v>
      </c>
      <c r="N409" s="101"/>
      <c r="O409" s="101"/>
      <c r="P409" s="101"/>
      <c r="Q409" s="101"/>
      <c r="R409" s="101"/>
      <c r="S409" s="101"/>
      <c r="T409" s="101"/>
      <c r="U409" s="101"/>
      <c r="V409" s="101"/>
      <c r="W409" s="91"/>
      <c r="X409" s="89"/>
      <c r="Y409" s="92">
        <f t="shared" si="36"/>
        <v>0</v>
      </c>
      <c r="Z409" s="92">
        <f t="shared" si="37"/>
        <v>0</v>
      </c>
      <c r="AA409" s="92">
        <f t="shared" si="38"/>
        <v>0</v>
      </c>
      <c r="AB409" s="92">
        <f t="shared" si="39"/>
        <v>0</v>
      </c>
      <c r="AC409" s="92"/>
      <c r="AD409" s="92">
        <v>0</v>
      </c>
      <c r="AE409" s="92">
        <f t="shared" si="40"/>
        <v>0</v>
      </c>
      <c r="AF409" s="93">
        <v>0</v>
      </c>
      <c r="AG409" s="89">
        <v>40641</v>
      </c>
      <c r="AH409" s="94"/>
      <c r="AI409" s="95" t="s">
        <v>4346</v>
      </c>
      <c r="AJ409" s="96" t="s">
        <v>4347</v>
      </c>
      <c r="AK409" s="97"/>
      <c r="AL409" s="89" t="s">
        <v>1049</v>
      </c>
      <c r="AM409" s="100" t="s">
        <v>3479</v>
      </c>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114"/>
      <c r="CQ409" s="115"/>
      <c r="CR409" s="114"/>
      <c r="CS409" s="115"/>
      <c r="CT409" s="114"/>
      <c r="CU409" s="115"/>
      <c r="CV409" s="99">
        <f t="shared" si="41"/>
        <v>0</v>
      </c>
      <c r="CW409" s="114"/>
      <c r="CX409" s="115"/>
      <c r="CY409" s="114"/>
      <c r="CZ409" s="115"/>
      <c r="DA409" s="115"/>
      <c r="DB409" s="115"/>
      <c r="DC409" s="114"/>
      <c r="DD409" s="115"/>
      <c r="DE409" s="97"/>
      <c r="DF409" s="269"/>
    </row>
    <row r="410" spans="1:110" s="270" customFormat="1" ht="24" x14ac:dyDescent="0.2">
      <c r="A410" s="89">
        <v>40641</v>
      </c>
      <c r="B410" s="90" t="s">
        <v>4261</v>
      </c>
      <c r="C410" s="90" t="s">
        <v>1365</v>
      </c>
      <c r="D410" s="90" t="s">
        <v>4264</v>
      </c>
      <c r="E410" s="90" t="str">
        <f>VLOOKUP(B410&amp;C410,Divipola!$C$2:$F$1138,4,FALSE)</f>
        <v>15839</v>
      </c>
      <c r="F410" s="4"/>
      <c r="G410" s="274"/>
      <c r="H410" s="274"/>
      <c r="I410" s="274"/>
      <c r="J410" s="124">
        <v>405</v>
      </c>
      <c r="K410" s="124">
        <v>81</v>
      </c>
      <c r="L410" s="124"/>
      <c r="M410" s="124"/>
      <c r="N410" s="208"/>
      <c r="O410" s="208"/>
      <c r="P410" s="208"/>
      <c r="Q410" s="208"/>
      <c r="R410" s="208"/>
      <c r="S410" s="208"/>
      <c r="T410" s="208"/>
      <c r="U410" s="208"/>
      <c r="V410" s="208"/>
      <c r="W410" s="19"/>
      <c r="X410" s="17"/>
      <c r="Y410" s="5">
        <f t="shared" si="36"/>
        <v>0</v>
      </c>
      <c r="Z410" s="5">
        <f t="shared" si="37"/>
        <v>0</v>
      </c>
      <c r="AA410" s="5">
        <f t="shared" si="38"/>
        <v>0</v>
      </c>
      <c r="AB410" s="5">
        <f t="shared" si="39"/>
        <v>0</v>
      </c>
      <c r="AC410" s="5"/>
      <c r="AD410" s="5">
        <v>0</v>
      </c>
      <c r="AE410" s="5">
        <f t="shared" si="40"/>
        <v>0</v>
      </c>
      <c r="AF410" s="70">
        <v>0</v>
      </c>
      <c r="AG410" s="17"/>
      <c r="AH410" s="18"/>
      <c r="AI410" s="47" t="s">
        <v>4336</v>
      </c>
      <c r="AJ410" s="73" t="s">
        <v>4337</v>
      </c>
      <c r="AK410" s="275"/>
      <c r="AL410" s="276"/>
      <c r="AM410" s="100" t="s">
        <v>4439</v>
      </c>
      <c r="AN410" s="19"/>
      <c r="AO410" s="19"/>
      <c r="AP410" s="19"/>
      <c r="AQ410" s="19"/>
      <c r="AR410" s="19"/>
      <c r="AS410" s="19"/>
      <c r="AT410" s="19"/>
      <c r="AU410" s="19"/>
      <c r="AV410" s="19"/>
      <c r="AW410" s="19"/>
      <c r="AX410" s="107"/>
      <c r="AY410" s="107"/>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39"/>
      <c r="CO410" s="138"/>
      <c r="CP410" s="139"/>
      <c r="CQ410" s="138"/>
      <c r="CR410" s="139"/>
      <c r="CS410" s="138"/>
      <c r="CT410" s="72"/>
      <c r="CU410" s="139"/>
      <c r="CV410" s="99">
        <f t="shared" si="41"/>
        <v>0</v>
      </c>
      <c r="CW410" s="139"/>
      <c r="CX410" s="138"/>
      <c r="CY410" s="138"/>
      <c r="CZ410" s="138"/>
      <c r="DA410" s="139"/>
      <c r="DB410" s="138"/>
      <c r="DC410" s="45"/>
      <c r="DD410" s="138"/>
      <c r="DE410" s="45"/>
      <c r="DF410" s="269"/>
    </row>
    <row r="411" spans="1:110" s="270" customFormat="1" ht="36" x14ac:dyDescent="0.2">
      <c r="A411" s="89">
        <v>40641</v>
      </c>
      <c r="B411" s="90" t="s">
        <v>4348</v>
      </c>
      <c r="C411" s="90" t="s">
        <v>2228</v>
      </c>
      <c r="D411" s="90" t="s">
        <v>2362</v>
      </c>
      <c r="E411" s="90" t="str">
        <f>VLOOKUP(B411&amp;C411,Divipola!$C$2:$F$1138,4,FALSE)</f>
        <v>66001</v>
      </c>
      <c r="F411" s="90"/>
      <c r="G411" s="101"/>
      <c r="H411" s="101"/>
      <c r="I411" s="101"/>
      <c r="J411" s="101">
        <v>15</v>
      </c>
      <c r="K411" s="101">
        <v>3</v>
      </c>
      <c r="L411" s="101"/>
      <c r="M411" s="101">
        <v>3</v>
      </c>
      <c r="N411" s="101"/>
      <c r="O411" s="101"/>
      <c r="P411" s="101"/>
      <c r="Q411" s="101"/>
      <c r="R411" s="101"/>
      <c r="S411" s="101"/>
      <c r="T411" s="101"/>
      <c r="U411" s="101"/>
      <c r="V411" s="101"/>
      <c r="W411" s="91"/>
      <c r="X411" s="89"/>
      <c r="Y411" s="92">
        <f t="shared" si="36"/>
        <v>0</v>
      </c>
      <c r="Z411" s="92">
        <f t="shared" si="37"/>
        <v>0</v>
      </c>
      <c r="AA411" s="92">
        <f t="shared" si="38"/>
        <v>0</v>
      </c>
      <c r="AB411" s="92">
        <f t="shared" si="39"/>
        <v>0</v>
      </c>
      <c r="AC411" s="92"/>
      <c r="AD411" s="92">
        <v>0</v>
      </c>
      <c r="AE411" s="92">
        <f t="shared" si="40"/>
        <v>0</v>
      </c>
      <c r="AF411" s="93">
        <v>0</v>
      </c>
      <c r="AG411" s="89">
        <v>40641</v>
      </c>
      <c r="AH411" s="94"/>
      <c r="AI411" s="95" t="s">
        <v>4336</v>
      </c>
      <c r="AJ411" s="96" t="s">
        <v>4337</v>
      </c>
      <c r="AK411" s="97"/>
      <c r="AL411" s="89"/>
      <c r="AM411" s="100" t="s">
        <v>3481</v>
      </c>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114"/>
      <c r="CQ411" s="115"/>
      <c r="CR411" s="114"/>
      <c r="CS411" s="115"/>
      <c r="CT411" s="114"/>
      <c r="CU411" s="115"/>
      <c r="CV411" s="99">
        <f t="shared" si="41"/>
        <v>0</v>
      </c>
      <c r="CW411" s="114"/>
      <c r="CX411" s="115"/>
      <c r="CY411" s="114"/>
      <c r="CZ411" s="115"/>
      <c r="DA411" s="115"/>
      <c r="DB411" s="115"/>
      <c r="DC411" s="114"/>
      <c r="DD411" s="115"/>
      <c r="DE411" s="97"/>
      <c r="DF411" s="269"/>
    </row>
    <row r="412" spans="1:110" s="270" customFormat="1" x14ac:dyDescent="0.2">
      <c r="A412" s="89">
        <v>40641</v>
      </c>
      <c r="B412" s="90" t="s">
        <v>3316</v>
      </c>
      <c r="C412" s="90" t="s">
        <v>3079</v>
      </c>
      <c r="D412" s="90" t="s">
        <v>2362</v>
      </c>
      <c r="E412" s="90" t="str">
        <f>VLOOKUP(B412&amp;C412,Divipola!$C$2:$F$1138,4,FALSE)</f>
        <v>73043</v>
      </c>
      <c r="F412" s="90"/>
      <c r="G412" s="101"/>
      <c r="H412" s="101"/>
      <c r="I412" s="101"/>
      <c r="J412" s="101">
        <v>5</v>
      </c>
      <c r="K412" s="101">
        <v>1</v>
      </c>
      <c r="L412" s="101">
        <v>1</v>
      </c>
      <c r="M412" s="101"/>
      <c r="N412" s="101"/>
      <c r="O412" s="101"/>
      <c r="P412" s="101"/>
      <c r="Q412" s="101"/>
      <c r="R412" s="101"/>
      <c r="S412" s="101"/>
      <c r="T412" s="101"/>
      <c r="U412" s="101"/>
      <c r="V412" s="101"/>
      <c r="W412" s="91"/>
      <c r="X412" s="89"/>
      <c r="Y412" s="92">
        <f t="shared" si="36"/>
        <v>0</v>
      </c>
      <c r="Z412" s="92">
        <f t="shared" si="37"/>
        <v>0</v>
      </c>
      <c r="AA412" s="92">
        <f t="shared" si="38"/>
        <v>0</v>
      </c>
      <c r="AB412" s="92">
        <f t="shared" si="39"/>
        <v>0</v>
      </c>
      <c r="AC412" s="92"/>
      <c r="AD412" s="92">
        <v>0</v>
      </c>
      <c r="AE412" s="92">
        <f t="shared" si="40"/>
        <v>0</v>
      </c>
      <c r="AF412" s="93">
        <v>0</v>
      </c>
      <c r="AG412" s="89">
        <v>40645</v>
      </c>
      <c r="AH412" s="94"/>
      <c r="AI412" s="95" t="s">
        <v>4346</v>
      </c>
      <c r="AJ412" s="96" t="s">
        <v>4347</v>
      </c>
      <c r="AK412" s="97"/>
      <c r="AL412" s="89" t="s">
        <v>2798</v>
      </c>
      <c r="AM412" s="100" t="s">
        <v>2770</v>
      </c>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114"/>
      <c r="CQ412" s="115"/>
      <c r="CR412" s="114"/>
      <c r="CS412" s="115"/>
      <c r="CT412" s="114"/>
      <c r="CU412" s="115"/>
      <c r="CV412" s="99">
        <f t="shared" si="41"/>
        <v>0</v>
      </c>
      <c r="CW412" s="114"/>
      <c r="CX412" s="115"/>
      <c r="CY412" s="114"/>
      <c r="CZ412" s="115"/>
      <c r="DA412" s="115"/>
      <c r="DB412" s="115"/>
      <c r="DC412" s="114"/>
      <c r="DD412" s="115"/>
      <c r="DE412" s="97"/>
      <c r="DF412" s="269"/>
    </row>
    <row r="413" spans="1:110" s="270" customFormat="1" ht="36" x14ac:dyDescent="0.2">
      <c r="A413" s="89">
        <v>40641</v>
      </c>
      <c r="B413" s="90" t="s">
        <v>4244</v>
      </c>
      <c r="C413" s="90" t="s">
        <v>4226</v>
      </c>
      <c r="D413" s="90" t="s">
        <v>4264</v>
      </c>
      <c r="E413" s="90" t="str">
        <f>VLOOKUP(B413&amp;C413,Divipola!$C$2:$F$1138,4,FALSE)</f>
        <v>76364</v>
      </c>
      <c r="F413" s="90"/>
      <c r="G413" s="101"/>
      <c r="H413" s="101"/>
      <c r="I413" s="101"/>
      <c r="J413" s="101">
        <f>125+1725+250</f>
        <v>2100</v>
      </c>
      <c r="K413" s="101">
        <f>25+345+50</f>
        <v>420</v>
      </c>
      <c r="L413" s="101"/>
      <c r="M413" s="101">
        <f>25+345+50</f>
        <v>420</v>
      </c>
      <c r="N413" s="101"/>
      <c r="O413" s="101"/>
      <c r="P413" s="101"/>
      <c r="Q413" s="101"/>
      <c r="R413" s="101"/>
      <c r="S413" s="101"/>
      <c r="T413" s="101"/>
      <c r="U413" s="101"/>
      <c r="V413" s="101"/>
      <c r="W413" s="91"/>
      <c r="X413" s="89"/>
      <c r="Y413" s="92">
        <f t="shared" si="36"/>
        <v>0</v>
      </c>
      <c r="Z413" s="92">
        <f t="shared" si="37"/>
        <v>0</v>
      </c>
      <c r="AA413" s="92">
        <f t="shared" si="38"/>
        <v>0</v>
      </c>
      <c r="AB413" s="92">
        <f t="shared" si="39"/>
        <v>0</v>
      </c>
      <c r="AC413" s="92"/>
      <c r="AD413" s="92">
        <v>0</v>
      </c>
      <c r="AE413" s="92">
        <f t="shared" si="40"/>
        <v>0</v>
      </c>
      <c r="AF413" s="93">
        <v>0</v>
      </c>
      <c r="AG413" s="89">
        <v>40641</v>
      </c>
      <c r="AH413" s="94"/>
      <c r="AI413" s="95" t="s">
        <v>4336</v>
      </c>
      <c r="AJ413" s="96" t="s">
        <v>4337</v>
      </c>
      <c r="AK413" s="97"/>
      <c r="AL413" s="89"/>
      <c r="AM413" s="100" t="s">
        <v>3484</v>
      </c>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114"/>
      <c r="CQ413" s="115"/>
      <c r="CR413" s="114"/>
      <c r="CS413" s="115"/>
      <c r="CT413" s="114"/>
      <c r="CU413" s="115"/>
      <c r="CV413" s="99">
        <f t="shared" si="41"/>
        <v>0</v>
      </c>
      <c r="CW413" s="114"/>
      <c r="CX413" s="115"/>
      <c r="CY413" s="114"/>
      <c r="CZ413" s="115"/>
      <c r="DA413" s="115"/>
      <c r="DB413" s="115"/>
      <c r="DC413" s="114"/>
      <c r="DD413" s="115"/>
      <c r="DE413" s="97"/>
      <c r="DF413" s="269"/>
    </row>
    <row r="414" spans="1:110" s="270" customFormat="1" ht="36" x14ac:dyDescent="0.2">
      <c r="A414" s="89">
        <v>40641</v>
      </c>
      <c r="B414" s="90" t="s">
        <v>4244</v>
      </c>
      <c r="C414" s="90" t="s">
        <v>3493</v>
      </c>
      <c r="D414" s="90" t="s">
        <v>4264</v>
      </c>
      <c r="E414" s="90" t="str">
        <f>VLOOKUP(B414&amp;C414,Divipola!$C$2:$F$1138,4,FALSE)</f>
        <v>76400</v>
      </c>
      <c r="F414" s="90"/>
      <c r="G414" s="101"/>
      <c r="H414" s="101"/>
      <c r="I414" s="101"/>
      <c r="J414" s="101">
        <v>45</v>
      </c>
      <c r="K414" s="101">
        <v>15</v>
      </c>
      <c r="L414" s="101"/>
      <c r="M414" s="101">
        <v>15</v>
      </c>
      <c r="N414" s="101"/>
      <c r="O414" s="101"/>
      <c r="P414" s="101"/>
      <c r="Q414" s="101"/>
      <c r="R414" s="101"/>
      <c r="S414" s="101"/>
      <c r="T414" s="101"/>
      <c r="U414" s="101"/>
      <c r="V414" s="101"/>
      <c r="W414" s="91"/>
      <c r="X414" s="89"/>
      <c r="Y414" s="92">
        <f t="shared" si="36"/>
        <v>0</v>
      </c>
      <c r="Z414" s="92">
        <f t="shared" si="37"/>
        <v>0</v>
      </c>
      <c r="AA414" s="92">
        <f t="shared" si="38"/>
        <v>0</v>
      </c>
      <c r="AB414" s="92">
        <f t="shared" si="39"/>
        <v>0</v>
      </c>
      <c r="AC414" s="92"/>
      <c r="AD414" s="92">
        <v>0</v>
      </c>
      <c r="AE414" s="92">
        <f t="shared" si="40"/>
        <v>0</v>
      </c>
      <c r="AF414" s="93">
        <v>0</v>
      </c>
      <c r="AG414" s="89">
        <v>40641</v>
      </c>
      <c r="AH414" s="94"/>
      <c r="AI414" s="95" t="s">
        <v>4336</v>
      </c>
      <c r="AJ414" s="96" t="s">
        <v>4337</v>
      </c>
      <c r="AK414" s="97"/>
      <c r="AL414" s="89"/>
      <c r="AM414" s="100" t="s">
        <v>3483</v>
      </c>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114"/>
      <c r="CQ414" s="115"/>
      <c r="CR414" s="114"/>
      <c r="CS414" s="115"/>
      <c r="CT414" s="114"/>
      <c r="CU414" s="115"/>
      <c r="CV414" s="99">
        <f t="shared" si="41"/>
        <v>0</v>
      </c>
      <c r="CW414" s="114"/>
      <c r="CX414" s="115"/>
      <c r="CY414" s="114"/>
      <c r="CZ414" s="115"/>
      <c r="DA414" s="115"/>
      <c r="DB414" s="115"/>
      <c r="DC414" s="114"/>
      <c r="DD414" s="115"/>
      <c r="DE414" s="97"/>
      <c r="DF414" s="269"/>
    </row>
    <row r="415" spans="1:110" s="270" customFormat="1" ht="24" x14ac:dyDescent="0.2">
      <c r="A415" s="89">
        <v>40641</v>
      </c>
      <c r="B415" s="90" t="s">
        <v>4244</v>
      </c>
      <c r="C415" s="90" t="s">
        <v>4319</v>
      </c>
      <c r="D415" s="90" t="s">
        <v>3346</v>
      </c>
      <c r="E415" s="90" t="str">
        <f>VLOOKUP(B415&amp;C415,Divipola!$C$2:$F$1138,4,FALSE)</f>
        <v>76828</v>
      </c>
      <c r="F415" s="90"/>
      <c r="G415" s="101"/>
      <c r="H415" s="101"/>
      <c r="I415" s="101"/>
      <c r="J415" s="101">
        <v>100</v>
      </c>
      <c r="K415" s="101">
        <v>20</v>
      </c>
      <c r="L415" s="101"/>
      <c r="M415" s="101">
        <v>20</v>
      </c>
      <c r="N415" s="101"/>
      <c r="O415" s="101"/>
      <c r="P415" s="101"/>
      <c r="Q415" s="101"/>
      <c r="R415" s="101"/>
      <c r="S415" s="101"/>
      <c r="T415" s="101"/>
      <c r="U415" s="101"/>
      <c r="V415" s="101"/>
      <c r="W415" s="91"/>
      <c r="X415" s="89"/>
      <c r="Y415" s="92">
        <f t="shared" si="36"/>
        <v>0</v>
      </c>
      <c r="Z415" s="92">
        <f t="shared" si="37"/>
        <v>0</v>
      </c>
      <c r="AA415" s="92">
        <f t="shared" si="38"/>
        <v>0</v>
      </c>
      <c r="AB415" s="92">
        <f t="shared" si="39"/>
        <v>0</v>
      </c>
      <c r="AC415" s="92"/>
      <c r="AD415" s="92">
        <v>0</v>
      </c>
      <c r="AE415" s="92">
        <f t="shared" si="40"/>
        <v>0</v>
      </c>
      <c r="AF415" s="93">
        <v>0</v>
      </c>
      <c r="AG415" s="89">
        <v>40645</v>
      </c>
      <c r="AH415" s="94"/>
      <c r="AI415" s="102" t="s">
        <v>4336</v>
      </c>
      <c r="AJ415" s="96" t="s">
        <v>4337</v>
      </c>
      <c r="AK415" s="97"/>
      <c r="AL415" s="89"/>
      <c r="AM415" s="100" t="s">
        <v>2772</v>
      </c>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114"/>
      <c r="CQ415" s="115"/>
      <c r="CR415" s="114"/>
      <c r="CS415" s="115"/>
      <c r="CT415" s="114"/>
      <c r="CU415" s="115"/>
      <c r="CV415" s="99">
        <f t="shared" si="41"/>
        <v>0</v>
      </c>
      <c r="CW415" s="114"/>
      <c r="CX415" s="115"/>
      <c r="CY415" s="114"/>
      <c r="CZ415" s="115"/>
      <c r="DA415" s="115"/>
      <c r="DB415" s="115"/>
      <c r="DC415" s="114"/>
      <c r="DD415" s="115"/>
      <c r="DE415" s="97"/>
      <c r="DF415" s="269"/>
    </row>
    <row r="416" spans="1:110" s="270" customFormat="1" ht="48" x14ac:dyDescent="0.2">
      <c r="A416" s="89">
        <v>40642</v>
      </c>
      <c r="B416" s="90" t="s">
        <v>4261</v>
      </c>
      <c r="C416" s="90" t="s">
        <v>3497</v>
      </c>
      <c r="D416" s="90" t="s">
        <v>4264</v>
      </c>
      <c r="E416" s="90" t="str">
        <f>VLOOKUP(B416&amp;C416,Divipola!$C$2:$F$1138,4,FALSE)</f>
        <v>15106</v>
      </c>
      <c r="F416" s="4"/>
      <c r="G416" s="274"/>
      <c r="H416" s="274"/>
      <c r="I416" s="274"/>
      <c r="J416" s="124">
        <v>230</v>
      </c>
      <c r="K416" s="124">
        <v>46</v>
      </c>
      <c r="L416" s="124"/>
      <c r="M416" s="124">
        <v>46</v>
      </c>
      <c r="N416" s="208"/>
      <c r="O416" s="208"/>
      <c r="P416" s="208"/>
      <c r="Q416" s="208"/>
      <c r="R416" s="208"/>
      <c r="S416" s="208"/>
      <c r="T416" s="208"/>
      <c r="U416" s="208"/>
      <c r="V416" s="208"/>
      <c r="W416" s="19"/>
      <c r="X416" s="17"/>
      <c r="Y416" s="5">
        <f t="shared" si="36"/>
        <v>0</v>
      </c>
      <c r="Z416" s="5">
        <f t="shared" si="37"/>
        <v>0</v>
      </c>
      <c r="AA416" s="5">
        <f t="shared" si="38"/>
        <v>0</v>
      </c>
      <c r="AB416" s="5">
        <f t="shared" si="39"/>
        <v>0</v>
      </c>
      <c r="AC416" s="5"/>
      <c r="AD416" s="5">
        <v>0</v>
      </c>
      <c r="AE416" s="5">
        <f t="shared" si="40"/>
        <v>0</v>
      </c>
      <c r="AF416" s="70">
        <v>0</v>
      </c>
      <c r="AG416" s="17"/>
      <c r="AH416" s="18"/>
      <c r="AI416" s="47" t="s">
        <v>4346</v>
      </c>
      <c r="AJ416" s="73" t="s">
        <v>4347</v>
      </c>
      <c r="AK416" s="275"/>
      <c r="AL416" s="89" t="s">
        <v>2798</v>
      </c>
      <c r="AM416" s="100" t="s">
        <v>4446</v>
      </c>
      <c r="AN416" s="19"/>
      <c r="AO416" s="19"/>
      <c r="AP416" s="19"/>
      <c r="AQ416" s="19"/>
      <c r="AR416" s="19"/>
      <c r="AS416" s="19"/>
      <c r="AT416" s="19"/>
      <c r="AU416" s="19"/>
      <c r="AV416" s="19"/>
      <c r="AW416" s="19"/>
      <c r="AX416" s="107"/>
      <c r="AY416" s="107"/>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39"/>
      <c r="CO416" s="138"/>
      <c r="CP416" s="139"/>
      <c r="CQ416" s="138"/>
      <c r="CR416" s="139"/>
      <c r="CS416" s="138"/>
      <c r="CT416" s="72"/>
      <c r="CU416" s="139"/>
      <c r="CV416" s="99">
        <f t="shared" si="41"/>
        <v>0</v>
      </c>
      <c r="CW416" s="139"/>
      <c r="CX416" s="138"/>
      <c r="CY416" s="138"/>
      <c r="CZ416" s="138"/>
      <c r="DA416" s="139"/>
      <c r="DB416" s="138"/>
      <c r="DC416" s="45"/>
      <c r="DD416" s="138"/>
      <c r="DE416" s="45"/>
      <c r="DF416" s="277"/>
    </row>
    <row r="417" spans="1:110" s="270" customFormat="1" x14ac:dyDescent="0.2">
      <c r="A417" s="89">
        <v>40642</v>
      </c>
      <c r="B417" s="90" t="s">
        <v>4296</v>
      </c>
      <c r="C417" s="90" t="s">
        <v>4259</v>
      </c>
      <c r="D417" s="90" t="s">
        <v>4264</v>
      </c>
      <c r="E417" s="90" t="str">
        <f>VLOOKUP(B417&amp;C417,Divipola!$C$2:$F$1138,4,FALSE)</f>
        <v>19780</v>
      </c>
      <c r="F417" s="90"/>
      <c r="G417" s="101"/>
      <c r="H417" s="101"/>
      <c r="I417" s="101"/>
      <c r="J417" s="101">
        <v>125</v>
      </c>
      <c r="K417" s="101">
        <v>25</v>
      </c>
      <c r="L417" s="101"/>
      <c r="M417" s="101">
        <v>25</v>
      </c>
      <c r="N417" s="101"/>
      <c r="O417" s="101"/>
      <c r="P417" s="101"/>
      <c r="Q417" s="101"/>
      <c r="R417" s="101"/>
      <c r="S417" s="101"/>
      <c r="T417" s="101"/>
      <c r="U417" s="101"/>
      <c r="V417" s="101"/>
      <c r="W417" s="91"/>
      <c r="X417" s="89"/>
      <c r="Y417" s="92">
        <f t="shared" si="36"/>
        <v>0</v>
      </c>
      <c r="Z417" s="92">
        <f t="shared" si="37"/>
        <v>0</v>
      </c>
      <c r="AA417" s="92">
        <f t="shared" si="38"/>
        <v>0</v>
      </c>
      <c r="AB417" s="92">
        <f t="shared" si="39"/>
        <v>0</v>
      </c>
      <c r="AC417" s="92"/>
      <c r="AD417" s="92">
        <v>0</v>
      </c>
      <c r="AE417" s="92">
        <f t="shared" si="40"/>
        <v>0</v>
      </c>
      <c r="AF417" s="93">
        <v>0</v>
      </c>
      <c r="AG417" s="89">
        <v>40645</v>
      </c>
      <c r="AH417" s="94"/>
      <c r="AI417" s="95" t="s">
        <v>4336</v>
      </c>
      <c r="AJ417" s="96" t="s">
        <v>4337</v>
      </c>
      <c r="AK417" s="97"/>
      <c r="AL417" s="89"/>
      <c r="AM417" s="100" t="s">
        <v>225</v>
      </c>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114"/>
      <c r="CQ417" s="115"/>
      <c r="CR417" s="114"/>
      <c r="CS417" s="115"/>
      <c r="CT417" s="114"/>
      <c r="CU417" s="115"/>
      <c r="CV417" s="99">
        <f t="shared" si="41"/>
        <v>0</v>
      </c>
      <c r="CW417" s="114"/>
      <c r="CX417" s="115"/>
      <c r="CY417" s="114"/>
      <c r="CZ417" s="115"/>
      <c r="DA417" s="115"/>
      <c r="DB417" s="115"/>
      <c r="DC417" s="114"/>
      <c r="DD417" s="115"/>
      <c r="DE417" s="97"/>
      <c r="DF417" s="269"/>
    </row>
    <row r="418" spans="1:110" s="270" customFormat="1" ht="45" x14ac:dyDescent="0.2">
      <c r="A418" s="89">
        <v>40642</v>
      </c>
      <c r="B418" s="90" t="s">
        <v>4386</v>
      </c>
      <c r="C418" s="90" t="s">
        <v>3339</v>
      </c>
      <c r="D418" s="90" t="s">
        <v>4264</v>
      </c>
      <c r="E418" s="90" t="str">
        <f>VLOOKUP(B418&amp;C418,Divipola!$C$2:$F$1138,4,FALSE)</f>
        <v>20770</v>
      </c>
      <c r="F418" s="90"/>
      <c r="G418" s="101"/>
      <c r="H418" s="101"/>
      <c r="I418" s="101"/>
      <c r="J418" s="101">
        <v>250</v>
      </c>
      <c r="K418" s="101">
        <v>50</v>
      </c>
      <c r="L418" s="101"/>
      <c r="M418" s="101">
        <v>50</v>
      </c>
      <c r="N418" s="101"/>
      <c r="O418" s="101"/>
      <c r="P418" s="101"/>
      <c r="Q418" s="101"/>
      <c r="R418" s="101"/>
      <c r="S418" s="101"/>
      <c r="T418" s="101"/>
      <c r="U418" s="101"/>
      <c r="V418" s="101"/>
      <c r="W418" s="91" t="s">
        <v>2779</v>
      </c>
      <c r="X418" s="89"/>
      <c r="Y418" s="92">
        <f t="shared" si="36"/>
        <v>0</v>
      </c>
      <c r="Z418" s="92">
        <f t="shared" si="37"/>
        <v>0</v>
      </c>
      <c r="AA418" s="92">
        <f t="shared" si="38"/>
        <v>0</v>
      </c>
      <c r="AB418" s="92">
        <f t="shared" si="39"/>
        <v>0</v>
      </c>
      <c r="AC418" s="92"/>
      <c r="AD418" s="92">
        <v>0</v>
      </c>
      <c r="AE418" s="92">
        <f t="shared" si="40"/>
        <v>0</v>
      </c>
      <c r="AF418" s="93">
        <v>0</v>
      </c>
      <c r="AG418" s="89">
        <v>40645</v>
      </c>
      <c r="AH418" s="94"/>
      <c r="AI418" s="95" t="s">
        <v>4346</v>
      </c>
      <c r="AJ418" s="96" t="s">
        <v>4347</v>
      </c>
      <c r="AK418" s="97"/>
      <c r="AL418" s="89" t="s">
        <v>1049</v>
      </c>
      <c r="AM418" s="100" t="s">
        <v>2778</v>
      </c>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114"/>
      <c r="CQ418" s="115"/>
      <c r="CR418" s="114"/>
      <c r="CS418" s="115"/>
      <c r="CT418" s="114"/>
      <c r="CU418" s="115"/>
      <c r="CV418" s="99">
        <f t="shared" si="41"/>
        <v>0</v>
      </c>
      <c r="CW418" s="114"/>
      <c r="CX418" s="115"/>
      <c r="CY418" s="114"/>
      <c r="CZ418" s="115"/>
      <c r="DA418" s="115"/>
      <c r="DB418" s="115"/>
      <c r="DC418" s="114"/>
      <c r="DD418" s="115"/>
      <c r="DE418" s="97"/>
      <c r="DF418" s="277"/>
    </row>
    <row r="419" spans="1:110" s="270" customFormat="1" ht="24" x14ac:dyDescent="0.2">
      <c r="A419" s="89">
        <v>40642</v>
      </c>
      <c r="B419" s="90" t="s">
        <v>2225</v>
      </c>
      <c r="C419" s="90" t="s">
        <v>2205</v>
      </c>
      <c r="D419" s="90" t="s">
        <v>2362</v>
      </c>
      <c r="E419" s="90" t="str">
        <f>VLOOKUP(B419&amp;C419,Divipola!$C$2:$F$1138,4,FALSE)</f>
        <v>27001</v>
      </c>
      <c r="F419" s="90"/>
      <c r="G419" s="101"/>
      <c r="H419" s="101">
        <v>3</v>
      </c>
      <c r="I419" s="101"/>
      <c r="J419" s="101">
        <v>2</v>
      </c>
      <c r="K419" s="101">
        <v>1</v>
      </c>
      <c r="L419" s="101">
        <v>1</v>
      </c>
      <c r="M419" s="101"/>
      <c r="N419" s="101"/>
      <c r="O419" s="101"/>
      <c r="P419" s="101"/>
      <c r="Q419" s="101"/>
      <c r="R419" s="101"/>
      <c r="S419" s="101"/>
      <c r="T419" s="101"/>
      <c r="U419" s="101"/>
      <c r="V419" s="101"/>
      <c r="W419" s="91"/>
      <c r="X419" s="89"/>
      <c r="Y419" s="92">
        <f t="shared" si="36"/>
        <v>0</v>
      </c>
      <c r="Z419" s="92">
        <f t="shared" si="37"/>
        <v>0</v>
      </c>
      <c r="AA419" s="92">
        <f t="shared" si="38"/>
        <v>0</v>
      </c>
      <c r="AB419" s="92">
        <f t="shared" si="39"/>
        <v>0</v>
      </c>
      <c r="AC419" s="92"/>
      <c r="AD419" s="92">
        <v>0</v>
      </c>
      <c r="AE419" s="92">
        <f t="shared" si="40"/>
        <v>0</v>
      </c>
      <c r="AF419" s="93">
        <v>0</v>
      </c>
      <c r="AG419" s="89">
        <v>40645</v>
      </c>
      <c r="AH419" s="94"/>
      <c r="AI419" s="95" t="s">
        <v>4336</v>
      </c>
      <c r="AJ419" s="96" t="s">
        <v>4337</v>
      </c>
      <c r="AK419" s="97"/>
      <c r="AL419" s="89"/>
      <c r="AM419" s="100" t="s">
        <v>2771</v>
      </c>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114"/>
      <c r="CQ419" s="115"/>
      <c r="CR419" s="114"/>
      <c r="CS419" s="115"/>
      <c r="CT419" s="114"/>
      <c r="CU419" s="115"/>
      <c r="CV419" s="99">
        <f t="shared" si="41"/>
        <v>0</v>
      </c>
      <c r="CW419" s="114"/>
      <c r="CX419" s="115"/>
      <c r="CY419" s="114"/>
      <c r="CZ419" s="115"/>
      <c r="DA419" s="115"/>
      <c r="DB419" s="115"/>
      <c r="DC419" s="114"/>
      <c r="DD419" s="115"/>
      <c r="DE419" s="97"/>
      <c r="DF419" s="277"/>
    </row>
    <row r="420" spans="1:110" s="270" customFormat="1" ht="84" x14ac:dyDescent="0.2">
      <c r="A420" s="89">
        <v>40642</v>
      </c>
      <c r="B420" s="90" t="s">
        <v>4387</v>
      </c>
      <c r="C420" s="90" t="s">
        <v>506</v>
      </c>
      <c r="D420" s="90" t="s">
        <v>2860</v>
      </c>
      <c r="E420" s="90" t="str">
        <f>VLOOKUP(B420&amp;C420,Divipola!$C$2:$F$1138,4,FALSE)</f>
        <v>52435</v>
      </c>
      <c r="F420" s="90"/>
      <c r="G420" s="101"/>
      <c r="H420" s="101"/>
      <c r="I420" s="101"/>
      <c r="J420" s="101"/>
      <c r="K420" s="101"/>
      <c r="L420" s="101"/>
      <c r="M420" s="101"/>
      <c r="N420" s="101"/>
      <c r="O420" s="101"/>
      <c r="P420" s="101"/>
      <c r="Q420" s="101"/>
      <c r="R420" s="101"/>
      <c r="S420" s="101"/>
      <c r="T420" s="101">
        <v>1</v>
      </c>
      <c r="U420" s="101"/>
      <c r="V420" s="101"/>
      <c r="W420" s="91"/>
      <c r="X420" s="105"/>
      <c r="Y420" s="92">
        <f t="shared" si="36"/>
        <v>0</v>
      </c>
      <c r="Z420" s="92">
        <f t="shared" si="37"/>
        <v>0</v>
      </c>
      <c r="AA420" s="92">
        <f t="shared" si="38"/>
        <v>0</v>
      </c>
      <c r="AB420" s="92">
        <f t="shared" si="39"/>
        <v>0</v>
      </c>
      <c r="AC420" s="92"/>
      <c r="AD420" s="92">
        <v>0</v>
      </c>
      <c r="AE420" s="92">
        <f t="shared" si="40"/>
        <v>0</v>
      </c>
      <c r="AF420" s="93">
        <v>0</v>
      </c>
      <c r="AG420" s="105"/>
      <c r="AH420" s="108"/>
      <c r="AI420" s="109" t="s">
        <v>4336</v>
      </c>
      <c r="AJ420" s="110" t="s">
        <v>4337</v>
      </c>
      <c r="AK420" s="111"/>
      <c r="AL420" s="105" t="s">
        <v>1069</v>
      </c>
      <c r="AM420" s="134" t="s">
        <v>4499</v>
      </c>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18"/>
      <c r="CO420" s="119"/>
      <c r="CP420" s="118"/>
      <c r="CQ420" s="119"/>
      <c r="CR420" s="118"/>
      <c r="CS420" s="119"/>
      <c r="CT420" s="113"/>
      <c r="CU420" s="118"/>
      <c r="CV420" s="99">
        <f t="shared" si="41"/>
        <v>0</v>
      </c>
      <c r="CW420" s="118"/>
      <c r="CX420" s="119"/>
      <c r="CY420" s="119"/>
      <c r="CZ420" s="119"/>
      <c r="DA420" s="118"/>
      <c r="DB420" s="119"/>
      <c r="DC420" s="111"/>
      <c r="DD420" s="119"/>
      <c r="DE420" s="111"/>
      <c r="DF420" s="269"/>
    </row>
    <row r="421" spans="1:110" s="270" customFormat="1" ht="22.5" x14ac:dyDescent="0.2">
      <c r="A421" s="89">
        <v>40642</v>
      </c>
      <c r="B421" s="90" t="s">
        <v>4348</v>
      </c>
      <c r="C421" s="90" t="s">
        <v>3377</v>
      </c>
      <c r="D421" s="90" t="s">
        <v>4264</v>
      </c>
      <c r="E421" s="90" t="str">
        <f>VLOOKUP(B421&amp;C421,Divipola!$C$2:$F$1138,4,FALSE)</f>
        <v>66400</v>
      </c>
      <c r="F421" s="101"/>
      <c r="G421" s="101"/>
      <c r="H421" s="101"/>
      <c r="I421" s="101"/>
      <c r="J421" s="101">
        <v>60</v>
      </c>
      <c r="K421" s="101">
        <v>14</v>
      </c>
      <c r="L421" s="101"/>
      <c r="M421" s="101">
        <v>14</v>
      </c>
      <c r="N421" s="101"/>
      <c r="O421" s="101"/>
      <c r="P421" s="101"/>
      <c r="Q421" s="101"/>
      <c r="R421" s="101"/>
      <c r="S421" s="101"/>
      <c r="T421" s="101"/>
      <c r="U421" s="91"/>
      <c r="V421" s="89"/>
      <c r="W421" s="92"/>
      <c r="X421" s="92"/>
      <c r="Y421" s="92">
        <f t="shared" si="36"/>
        <v>0</v>
      </c>
      <c r="Z421" s="92">
        <f t="shared" si="37"/>
        <v>0</v>
      </c>
      <c r="AA421" s="92">
        <f t="shared" si="38"/>
        <v>0</v>
      </c>
      <c r="AB421" s="92">
        <f t="shared" si="39"/>
        <v>0</v>
      </c>
      <c r="AC421" s="92"/>
      <c r="AD421" s="92">
        <v>0</v>
      </c>
      <c r="AE421" s="92">
        <f t="shared" si="40"/>
        <v>0</v>
      </c>
      <c r="AF421" s="93">
        <v>0</v>
      </c>
      <c r="AG421" s="89"/>
      <c r="AH421" s="96"/>
      <c r="AI421" s="102" t="s">
        <v>4336</v>
      </c>
      <c r="AJ421" s="96" t="s">
        <v>4337</v>
      </c>
      <c r="AK421" s="100"/>
      <c r="AL421" s="89"/>
      <c r="AM421" s="90" t="s">
        <v>323</v>
      </c>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114"/>
      <c r="CQ421" s="115"/>
      <c r="CR421" s="114"/>
      <c r="CS421" s="115"/>
      <c r="CT421" s="114"/>
      <c r="CU421" s="115"/>
      <c r="CV421" s="99">
        <f t="shared" si="41"/>
        <v>0</v>
      </c>
      <c r="CW421" s="114"/>
      <c r="CX421" s="115"/>
      <c r="CY421" s="114"/>
      <c r="CZ421" s="115"/>
      <c r="DA421" s="115"/>
      <c r="DB421" s="115"/>
      <c r="DC421" s="114"/>
      <c r="DD421" s="115"/>
      <c r="DE421" s="97"/>
      <c r="DF421" s="277"/>
    </row>
    <row r="422" spans="1:110" s="270" customFormat="1" ht="24" x14ac:dyDescent="0.2">
      <c r="A422" s="89">
        <v>40642</v>
      </c>
      <c r="B422" s="90" t="s">
        <v>4244</v>
      </c>
      <c r="C422" s="90" t="s">
        <v>4276</v>
      </c>
      <c r="D422" s="90" t="s">
        <v>4264</v>
      </c>
      <c r="E422" s="90" t="str">
        <f>VLOOKUP(B422&amp;C422,Divipola!$C$2:$F$1138,4,FALSE)</f>
        <v>76113</v>
      </c>
      <c r="F422" s="90"/>
      <c r="G422" s="101"/>
      <c r="H422" s="101"/>
      <c r="I422" s="101"/>
      <c r="J422" s="101">
        <v>70</v>
      </c>
      <c r="K422" s="101">
        <v>14</v>
      </c>
      <c r="L422" s="101"/>
      <c r="M422" s="101">
        <v>14</v>
      </c>
      <c r="N422" s="101"/>
      <c r="O422" s="101"/>
      <c r="P422" s="101"/>
      <c r="Q422" s="101"/>
      <c r="R422" s="101"/>
      <c r="S422" s="101"/>
      <c r="T422" s="101"/>
      <c r="U422" s="101"/>
      <c r="V422" s="101"/>
      <c r="W422" s="91"/>
      <c r="X422" s="89"/>
      <c r="Y422" s="92">
        <f t="shared" si="36"/>
        <v>0</v>
      </c>
      <c r="Z422" s="92">
        <f t="shared" si="37"/>
        <v>0</v>
      </c>
      <c r="AA422" s="92">
        <f t="shared" si="38"/>
        <v>0</v>
      </c>
      <c r="AB422" s="92">
        <f t="shared" si="39"/>
        <v>0</v>
      </c>
      <c r="AC422" s="92"/>
      <c r="AD422" s="92">
        <v>0</v>
      </c>
      <c r="AE422" s="92">
        <f t="shared" si="40"/>
        <v>0</v>
      </c>
      <c r="AF422" s="93">
        <v>0</v>
      </c>
      <c r="AG422" s="89">
        <v>40645</v>
      </c>
      <c r="AH422" s="94"/>
      <c r="AI422" s="95" t="s">
        <v>4336</v>
      </c>
      <c r="AJ422" s="96" t="s">
        <v>4337</v>
      </c>
      <c r="AK422" s="97"/>
      <c r="AL422" s="89"/>
      <c r="AM422" s="100" t="s">
        <v>3485</v>
      </c>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114"/>
      <c r="CQ422" s="115"/>
      <c r="CR422" s="114"/>
      <c r="CS422" s="115"/>
      <c r="CT422" s="114"/>
      <c r="CU422" s="115"/>
      <c r="CV422" s="99">
        <f t="shared" si="41"/>
        <v>0</v>
      </c>
      <c r="CW422" s="114"/>
      <c r="CX422" s="115"/>
      <c r="CY422" s="114"/>
      <c r="CZ422" s="115"/>
      <c r="DA422" s="115"/>
      <c r="DB422" s="115"/>
      <c r="DC422" s="114"/>
      <c r="DD422" s="115"/>
      <c r="DE422" s="97"/>
      <c r="DF422" s="269"/>
    </row>
    <row r="423" spans="1:110" s="270" customFormat="1" x14ac:dyDescent="0.2">
      <c r="A423" s="89">
        <v>40643</v>
      </c>
      <c r="B423" s="90" t="s">
        <v>2218</v>
      </c>
      <c r="C423" s="90" t="s">
        <v>3386</v>
      </c>
      <c r="D423" s="90" t="s">
        <v>2362</v>
      </c>
      <c r="E423" s="90" t="str">
        <f>VLOOKUP(B423&amp;C423,Divipola!$C$2:$F$1138,4,FALSE)</f>
        <v>05034</v>
      </c>
      <c r="F423" s="90"/>
      <c r="G423" s="101">
        <v>2</v>
      </c>
      <c r="H423" s="101"/>
      <c r="I423" s="101"/>
      <c r="J423" s="101">
        <v>13</v>
      </c>
      <c r="K423" s="101">
        <v>3</v>
      </c>
      <c r="L423" s="101">
        <v>3</v>
      </c>
      <c r="M423" s="101"/>
      <c r="N423" s="101"/>
      <c r="O423" s="101"/>
      <c r="P423" s="101"/>
      <c r="Q423" s="101"/>
      <c r="R423" s="101"/>
      <c r="S423" s="101"/>
      <c r="T423" s="101"/>
      <c r="U423" s="101"/>
      <c r="V423" s="101"/>
      <c r="W423" s="91"/>
      <c r="X423" s="89"/>
      <c r="Y423" s="92">
        <f t="shared" si="36"/>
        <v>0</v>
      </c>
      <c r="Z423" s="92">
        <f t="shared" si="37"/>
        <v>0</v>
      </c>
      <c r="AA423" s="92">
        <f t="shared" si="38"/>
        <v>0</v>
      </c>
      <c r="AB423" s="92">
        <f t="shared" si="39"/>
        <v>0</v>
      </c>
      <c r="AC423" s="92"/>
      <c r="AD423" s="92">
        <v>0</v>
      </c>
      <c r="AE423" s="92">
        <f t="shared" si="40"/>
        <v>0</v>
      </c>
      <c r="AF423" s="93">
        <v>0</v>
      </c>
      <c r="AG423" s="89">
        <v>40645</v>
      </c>
      <c r="AH423" s="94"/>
      <c r="AI423" s="102" t="s">
        <v>4336</v>
      </c>
      <c r="AJ423" s="96" t="s">
        <v>4337</v>
      </c>
      <c r="AK423" s="97"/>
      <c r="AL423" s="89"/>
      <c r="AM423" s="100" t="s">
        <v>2774</v>
      </c>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114"/>
      <c r="CQ423" s="115"/>
      <c r="CR423" s="114"/>
      <c r="CS423" s="115"/>
      <c r="CT423" s="114"/>
      <c r="CU423" s="115"/>
      <c r="CV423" s="99">
        <f t="shared" si="41"/>
        <v>0</v>
      </c>
      <c r="CW423" s="114"/>
      <c r="CX423" s="115"/>
      <c r="CY423" s="114"/>
      <c r="CZ423" s="115"/>
      <c r="DA423" s="115"/>
      <c r="DB423" s="115"/>
      <c r="DC423" s="114"/>
      <c r="DD423" s="115"/>
      <c r="DE423" s="97"/>
      <c r="DF423" s="269"/>
    </row>
    <row r="424" spans="1:110" s="270" customFormat="1" x14ac:dyDescent="0.2">
      <c r="A424" s="89">
        <v>40643</v>
      </c>
      <c r="B424" s="90" t="s">
        <v>2218</v>
      </c>
      <c r="C424" s="90" t="s">
        <v>3297</v>
      </c>
      <c r="D424" s="90" t="s">
        <v>2362</v>
      </c>
      <c r="E424" s="90" t="str">
        <f>VLOOKUP(B424&amp;C424,Divipola!$C$2:$F$1138,4,FALSE)</f>
        <v>05001</v>
      </c>
      <c r="F424" s="90"/>
      <c r="G424" s="101">
        <v>4</v>
      </c>
      <c r="H424" s="101"/>
      <c r="I424" s="101"/>
      <c r="J424" s="101">
        <v>60</v>
      </c>
      <c r="K424" s="101">
        <v>12</v>
      </c>
      <c r="L424" s="101">
        <v>5</v>
      </c>
      <c r="M424" s="101">
        <v>7</v>
      </c>
      <c r="N424" s="101"/>
      <c r="O424" s="101"/>
      <c r="P424" s="101"/>
      <c r="Q424" s="101"/>
      <c r="R424" s="101"/>
      <c r="S424" s="101"/>
      <c r="T424" s="101"/>
      <c r="U424" s="101"/>
      <c r="V424" s="101"/>
      <c r="W424" s="91"/>
      <c r="X424" s="89"/>
      <c r="Y424" s="92">
        <f t="shared" si="36"/>
        <v>0</v>
      </c>
      <c r="Z424" s="92">
        <f t="shared" si="37"/>
        <v>0</v>
      </c>
      <c r="AA424" s="92">
        <f t="shared" si="38"/>
        <v>0</v>
      </c>
      <c r="AB424" s="92">
        <f t="shared" si="39"/>
        <v>0</v>
      </c>
      <c r="AC424" s="92"/>
      <c r="AD424" s="92">
        <v>0</v>
      </c>
      <c r="AE424" s="92">
        <f t="shared" si="40"/>
        <v>0</v>
      </c>
      <c r="AF424" s="93">
        <v>0</v>
      </c>
      <c r="AG424" s="89">
        <v>40645</v>
      </c>
      <c r="AH424" s="94"/>
      <c r="AI424" s="102" t="s">
        <v>4336</v>
      </c>
      <c r="AJ424" s="96" t="s">
        <v>4337</v>
      </c>
      <c r="AK424" s="97"/>
      <c r="AL424" s="89"/>
      <c r="AM424" s="100" t="s">
        <v>2773</v>
      </c>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114"/>
      <c r="CQ424" s="115"/>
      <c r="CR424" s="114"/>
      <c r="CS424" s="115"/>
      <c r="CT424" s="114"/>
      <c r="CU424" s="115"/>
      <c r="CV424" s="99">
        <f t="shared" si="41"/>
        <v>0</v>
      </c>
      <c r="CW424" s="114"/>
      <c r="CX424" s="115"/>
      <c r="CY424" s="114"/>
      <c r="CZ424" s="115"/>
      <c r="DA424" s="115"/>
      <c r="DB424" s="115"/>
      <c r="DC424" s="114"/>
      <c r="DD424" s="115"/>
      <c r="DE424" s="97"/>
      <c r="DF424" s="269"/>
    </row>
    <row r="425" spans="1:110" s="270" customFormat="1" x14ac:dyDescent="0.2">
      <c r="A425" s="89">
        <v>40643</v>
      </c>
      <c r="B425" s="90" t="s">
        <v>4296</v>
      </c>
      <c r="C425" s="90" t="s">
        <v>4342</v>
      </c>
      <c r="D425" s="90" t="s">
        <v>4264</v>
      </c>
      <c r="E425" s="90" t="str">
        <f>VLOOKUP(B425&amp;C425,Divipola!$C$2:$F$1138,4,FALSE)</f>
        <v>19517</v>
      </c>
      <c r="F425" s="90"/>
      <c r="G425" s="101"/>
      <c r="H425" s="101"/>
      <c r="I425" s="101"/>
      <c r="J425" s="101">
        <f>738*5</f>
        <v>3690</v>
      </c>
      <c r="K425" s="101">
        <v>738</v>
      </c>
      <c r="L425" s="101">
        <v>4</v>
      </c>
      <c r="M425" s="101">
        <v>734</v>
      </c>
      <c r="N425" s="101"/>
      <c r="O425" s="101"/>
      <c r="P425" s="101"/>
      <c r="Q425" s="101"/>
      <c r="R425" s="101"/>
      <c r="S425" s="101"/>
      <c r="T425" s="101"/>
      <c r="U425" s="101"/>
      <c r="V425" s="101"/>
      <c r="W425" s="91"/>
      <c r="X425" s="89"/>
      <c r="Y425" s="92">
        <f t="shared" si="36"/>
        <v>0</v>
      </c>
      <c r="Z425" s="92">
        <f t="shared" si="37"/>
        <v>0</v>
      </c>
      <c r="AA425" s="92">
        <f t="shared" si="38"/>
        <v>0</v>
      </c>
      <c r="AB425" s="92">
        <f t="shared" si="39"/>
        <v>0</v>
      </c>
      <c r="AC425" s="92"/>
      <c r="AD425" s="92">
        <v>0</v>
      </c>
      <c r="AE425" s="92">
        <f t="shared" si="40"/>
        <v>0</v>
      </c>
      <c r="AF425" s="93">
        <v>0</v>
      </c>
      <c r="AG425" s="89">
        <v>40645</v>
      </c>
      <c r="AH425" s="94"/>
      <c r="AI425" s="95" t="s">
        <v>4336</v>
      </c>
      <c r="AJ425" s="96" t="s">
        <v>4337</v>
      </c>
      <c r="AK425" s="97"/>
      <c r="AL425" s="89"/>
      <c r="AM425" s="100" t="s">
        <v>231</v>
      </c>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114"/>
      <c r="CQ425" s="115"/>
      <c r="CR425" s="114"/>
      <c r="CS425" s="115"/>
      <c r="CT425" s="114"/>
      <c r="CU425" s="115"/>
      <c r="CV425" s="99">
        <f t="shared" si="41"/>
        <v>0</v>
      </c>
      <c r="CW425" s="114"/>
      <c r="CX425" s="115"/>
      <c r="CY425" s="114"/>
      <c r="CZ425" s="115"/>
      <c r="DA425" s="115"/>
      <c r="DB425" s="115"/>
      <c r="DC425" s="114"/>
      <c r="DD425" s="115"/>
      <c r="DE425" s="97"/>
      <c r="DF425" s="269"/>
    </row>
    <row r="426" spans="1:110" s="270" customFormat="1" ht="38.25" x14ac:dyDescent="0.2">
      <c r="A426" s="89">
        <v>40643</v>
      </c>
      <c r="B426" s="90" t="s">
        <v>2225</v>
      </c>
      <c r="C426" s="90" t="s">
        <v>1985</v>
      </c>
      <c r="D426" s="90" t="s">
        <v>4264</v>
      </c>
      <c r="E426" s="90" t="str">
        <f>VLOOKUP(B426&amp;C426,Divipola!$C$2:$F$1138,4,FALSE)</f>
        <v>27135</v>
      </c>
      <c r="F426" s="90"/>
      <c r="G426" s="279"/>
      <c r="H426" s="279"/>
      <c r="I426" s="279"/>
      <c r="J426" s="101">
        <v>726</v>
      </c>
      <c r="K426" s="101">
        <v>179</v>
      </c>
      <c r="L426" s="101"/>
      <c r="M426" s="101">
        <v>179</v>
      </c>
      <c r="N426" s="129"/>
      <c r="O426" s="129"/>
      <c r="P426" s="129"/>
      <c r="Q426" s="129"/>
      <c r="R426" s="129"/>
      <c r="S426" s="129"/>
      <c r="T426" s="129"/>
      <c r="U426" s="129"/>
      <c r="V426" s="129"/>
      <c r="W426" s="107"/>
      <c r="X426" s="105"/>
      <c r="Y426" s="92">
        <f t="shared" si="36"/>
        <v>0</v>
      </c>
      <c r="Z426" s="92">
        <f t="shared" si="37"/>
        <v>0</v>
      </c>
      <c r="AA426" s="92">
        <f t="shared" si="38"/>
        <v>0</v>
      </c>
      <c r="AB426" s="92">
        <f t="shared" si="39"/>
        <v>0</v>
      </c>
      <c r="AC426" s="92"/>
      <c r="AD426" s="92">
        <v>0</v>
      </c>
      <c r="AE426" s="92">
        <f t="shared" si="40"/>
        <v>0</v>
      </c>
      <c r="AF426" s="93">
        <v>0</v>
      </c>
      <c r="AG426" s="105"/>
      <c r="AH426" s="108"/>
      <c r="AI426" s="109" t="s">
        <v>4346</v>
      </c>
      <c r="AJ426" s="110" t="s">
        <v>4347</v>
      </c>
      <c r="AK426" s="280"/>
      <c r="AL426" s="281" t="s">
        <v>1049</v>
      </c>
      <c r="AM426" s="100" t="s">
        <v>1988</v>
      </c>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18"/>
      <c r="CO426" s="119"/>
      <c r="CP426" s="118"/>
      <c r="CQ426" s="119"/>
      <c r="CR426" s="118"/>
      <c r="CS426" s="119"/>
      <c r="CT426" s="113"/>
      <c r="CU426" s="118"/>
      <c r="CV426" s="99">
        <f t="shared" si="41"/>
        <v>0</v>
      </c>
      <c r="CW426" s="118"/>
      <c r="CX426" s="119"/>
      <c r="CY426" s="119"/>
      <c r="CZ426" s="119"/>
      <c r="DA426" s="118"/>
      <c r="DB426" s="119"/>
      <c r="DC426" s="111"/>
      <c r="DD426" s="119"/>
      <c r="DE426" s="111"/>
      <c r="DF426" s="269"/>
    </row>
    <row r="427" spans="1:110" s="270" customFormat="1" ht="96" x14ac:dyDescent="0.2">
      <c r="A427" s="89">
        <v>40643</v>
      </c>
      <c r="B427" s="90" t="s">
        <v>4344</v>
      </c>
      <c r="C427" s="90" t="s">
        <v>4388</v>
      </c>
      <c r="D427" s="90" t="s">
        <v>4264</v>
      </c>
      <c r="E427" s="90" t="str">
        <f>VLOOKUP(B427&amp;C427,Divipola!$C$2:$F$1138,4,FALSE)</f>
        <v>25307</v>
      </c>
      <c r="F427" s="90"/>
      <c r="G427" s="101"/>
      <c r="H427" s="101"/>
      <c r="I427" s="101"/>
      <c r="J427" s="101">
        <v>535</v>
      </c>
      <c r="K427" s="101">
        <v>107</v>
      </c>
      <c r="L427" s="101"/>
      <c r="M427" s="101">
        <v>107</v>
      </c>
      <c r="N427" s="101"/>
      <c r="O427" s="101"/>
      <c r="P427" s="101"/>
      <c r="Q427" s="101"/>
      <c r="R427" s="101"/>
      <c r="S427" s="101"/>
      <c r="T427" s="101"/>
      <c r="U427" s="101"/>
      <c r="V427" s="101"/>
      <c r="W427" s="91"/>
      <c r="X427" s="89"/>
      <c r="Y427" s="92">
        <f t="shared" si="36"/>
        <v>0</v>
      </c>
      <c r="Z427" s="92">
        <f t="shared" si="37"/>
        <v>0</v>
      </c>
      <c r="AA427" s="92">
        <f t="shared" si="38"/>
        <v>0</v>
      </c>
      <c r="AB427" s="92">
        <f t="shared" si="39"/>
        <v>0</v>
      </c>
      <c r="AC427" s="92"/>
      <c r="AD427" s="92">
        <v>0</v>
      </c>
      <c r="AE427" s="92">
        <f t="shared" si="40"/>
        <v>0</v>
      </c>
      <c r="AF427" s="93">
        <v>0</v>
      </c>
      <c r="AG427" s="89">
        <v>40645</v>
      </c>
      <c r="AH427" s="94"/>
      <c r="AI427" s="102" t="s">
        <v>4336</v>
      </c>
      <c r="AJ427" s="96" t="s">
        <v>4337</v>
      </c>
      <c r="AK427" s="97"/>
      <c r="AL427" s="89"/>
      <c r="AM427" s="100" t="s">
        <v>1939</v>
      </c>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114"/>
      <c r="CQ427" s="115"/>
      <c r="CR427" s="114"/>
      <c r="CS427" s="115"/>
      <c r="CT427" s="114"/>
      <c r="CU427" s="115"/>
      <c r="CV427" s="99">
        <f t="shared" si="41"/>
        <v>0</v>
      </c>
      <c r="CW427" s="114"/>
      <c r="CX427" s="115"/>
      <c r="CY427" s="114"/>
      <c r="CZ427" s="115"/>
      <c r="DA427" s="115"/>
      <c r="DB427" s="115"/>
      <c r="DC427" s="114"/>
      <c r="DD427" s="115"/>
      <c r="DE427" s="97"/>
      <c r="DF427" s="269"/>
    </row>
    <row r="428" spans="1:110" s="270" customFormat="1" x14ac:dyDescent="0.2">
      <c r="A428" s="89">
        <v>40643</v>
      </c>
      <c r="B428" s="90" t="s">
        <v>4219</v>
      </c>
      <c r="C428" s="90" t="s">
        <v>3353</v>
      </c>
      <c r="D428" s="90" t="s">
        <v>2362</v>
      </c>
      <c r="E428" s="90" t="str">
        <f>VLOOKUP(B428&amp;C428,Divipola!$C$2:$F$1138,4,FALSE)</f>
        <v>41357</v>
      </c>
      <c r="F428" s="90"/>
      <c r="G428" s="101"/>
      <c r="H428" s="101"/>
      <c r="I428" s="101"/>
      <c r="J428" s="101">
        <v>3</v>
      </c>
      <c r="K428" s="101">
        <v>1</v>
      </c>
      <c r="L428" s="101"/>
      <c r="M428" s="101">
        <v>1</v>
      </c>
      <c r="N428" s="101"/>
      <c r="O428" s="101"/>
      <c r="P428" s="101"/>
      <c r="Q428" s="101"/>
      <c r="R428" s="101"/>
      <c r="S428" s="101"/>
      <c r="T428" s="101"/>
      <c r="U428" s="101"/>
      <c r="V428" s="101"/>
      <c r="W428" s="91"/>
      <c r="X428" s="89"/>
      <c r="Y428" s="92">
        <f t="shared" si="36"/>
        <v>0</v>
      </c>
      <c r="Z428" s="92">
        <f t="shared" si="37"/>
        <v>0</v>
      </c>
      <c r="AA428" s="92">
        <f t="shared" si="38"/>
        <v>0</v>
      </c>
      <c r="AB428" s="92">
        <f t="shared" si="39"/>
        <v>0</v>
      </c>
      <c r="AC428" s="92"/>
      <c r="AD428" s="92">
        <v>0</v>
      </c>
      <c r="AE428" s="92">
        <f t="shared" si="40"/>
        <v>0</v>
      </c>
      <c r="AF428" s="93">
        <v>0</v>
      </c>
      <c r="AG428" s="89">
        <v>40645</v>
      </c>
      <c r="AH428" s="94"/>
      <c r="AI428" s="95" t="s">
        <v>4336</v>
      </c>
      <c r="AJ428" s="96" t="s">
        <v>4337</v>
      </c>
      <c r="AK428" s="97"/>
      <c r="AL428" s="89"/>
      <c r="AM428" s="100" t="s">
        <v>2777</v>
      </c>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114"/>
      <c r="CQ428" s="115"/>
      <c r="CR428" s="114"/>
      <c r="CS428" s="115"/>
      <c r="CT428" s="114"/>
      <c r="CU428" s="115"/>
      <c r="CV428" s="99">
        <f t="shared" si="41"/>
        <v>0</v>
      </c>
      <c r="CW428" s="114"/>
      <c r="CX428" s="115"/>
      <c r="CY428" s="114"/>
      <c r="CZ428" s="115"/>
      <c r="DA428" s="115"/>
      <c r="DB428" s="115"/>
      <c r="DC428" s="114"/>
      <c r="DD428" s="115"/>
      <c r="DE428" s="97"/>
      <c r="DF428" s="269"/>
    </row>
    <row r="429" spans="1:110" s="270" customFormat="1" ht="24" x14ac:dyDescent="0.2">
      <c r="A429" s="89">
        <v>40643</v>
      </c>
      <c r="B429" s="90" t="s">
        <v>4219</v>
      </c>
      <c r="C429" s="90" t="s">
        <v>3353</v>
      </c>
      <c r="D429" s="90" t="s">
        <v>2860</v>
      </c>
      <c r="E429" s="90" t="str">
        <f>VLOOKUP(B429&amp;C429,Divipola!$C$2:$F$1138,4,FALSE)</f>
        <v>41357</v>
      </c>
      <c r="F429" s="90"/>
      <c r="G429" s="101"/>
      <c r="H429" s="101"/>
      <c r="I429" s="101"/>
      <c r="J429" s="101">
        <f>326*4</f>
        <v>1304</v>
      </c>
      <c r="K429" s="101">
        <f>2+324</f>
        <v>326</v>
      </c>
      <c r="L429" s="101"/>
      <c r="M429" s="101">
        <v>326</v>
      </c>
      <c r="N429" s="101"/>
      <c r="O429" s="101"/>
      <c r="P429" s="101"/>
      <c r="Q429" s="101"/>
      <c r="R429" s="101"/>
      <c r="S429" s="101"/>
      <c r="T429" s="101"/>
      <c r="U429" s="101"/>
      <c r="V429" s="101"/>
      <c r="W429" s="91" t="s">
        <v>3337</v>
      </c>
      <c r="X429" s="89"/>
      <c r="Y429" s="92">
        <f t="shared" si="36"/>
        <v>0</v>
      </c>
      <c r="Z429" s="92">
        <f t="shared" si="37"/>
        <v>0</v>
      </c>
      <c r="AA429" s="92">
        <f t="shared" si="38"/>
        <v>0</v>
      </c>
      <c r="AB429" s="92">
        <f t="shared" si="39"/>
        <v>0</v>
      </c>
      <c r="AC429" s="92"/>
      <c r="AD429" s="92">
        <v>0</v>
      </c>
      <c r="AE429" s="92">
        <f t="shared" si="40"/>
        <v>0</v>
      </c>
      <c r="AF429" s="93">
        <v>0</v>
      </c>
      <c r="AG429" s="89">
        <v>40645</v>
      </c>
      <c r="AH429" s="94"/>
      <c r="AI429" s="95" t="s">
        <v>4336</v>
      </c>
      <c r="AJ429" s="96" t="s">
        <v>4337</v>
      </c>
      <c r="AK429" s="97"/>
      <c r="AL429" s="89"/>
      <c r="AM429" s="100" t="s">
        <v>810</v>
      </c>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114"/>
      <c r="CQ429" s="115"/>
      <c r="CR429" s="114"/>
      <c r="CS429" s="115"/>
      <c r="CT429" s="114"/>
      <c r="CU429" s="115"/>
      <c r="CV429" s="99">
        <f t="shared" si="41"/>
        <v>0</v>
      </c>
      <c r="CW429" s="114"/>
      <c r="CX429" s="115"/>
      <c r="CY429" s="114"/>
      <c r="CZ429" s="115"/>
      <c r="DA429" s="115"/>
      <c r="DB429" s="115"/>
      <c r="DC429" s="114"/>
      <c r="DD429" s="115"/>
      <c r="DE429" s="97"/>
      <c r="DF429" s="269"/>
    </row>
    <row r="430" spans="1:110" s="270" customFormat="1" x14ac:dyDescent="0.2">
      <c r="A430" s="89">
        <v>40643</v>
      </c>
      <c r="B430" s="90" t="s">
        <v>4219</v>
      </c>
      <c r="C430" s="90" t="s">
        <v>4383</v>
      </c>
      <c r="D430" s="90" t="s">
        <v>4264</v>
      </c>
      <c r="E430" s="90" t="str">
        <f>VLOOKUP(B430&amp;C430,Divipola!$C$2:$F$1138,4,FALSE)</f>
        <v>41359</v>
      </c>
      <c r="F430" s="90"/>
      <c r="G430" s="101"/>
      <c r="H430" s="101"/>
      <c r="I430" s="101"/>
      <c r="J430" s="101">
        <v>10</v>
      </c>
      <c r="K430" s="101">
        <v>2</v>
      </c>
      <c r="L430" s="101"/>
      <c r="M430" s="101">
        <v>2</v>
      </c>
      <c r="N430" s="101"/>
      <c r="O430" s="101"/>
      <c r="P430" s="101"/>
      <c r="Q430" s="101"/>
      <c r="R430" s="101"/>
      <c r="S430" s="101"/>
      <c r="T430" s="101"/>
      <c r="U430" s="101"/>
      <c r="V430" s="101"/>
      <c r="W430" s="91"/>
      <c r="X430" s="89"/>
      <c r="Y430" s="92">
        <f t="shared" si="36"/>
        <v>0</v>
      </c>
      <c r="Z430" s="92">
        <f t="shared" si="37"/>
        <v>0</v>
      </c>
      <c r="AA430" s="92">
        <f t="shared" si="38"/>
        <v>0</v>
      </c>
      <c r="AB430" s="92">
        <f t="shared" si="39"/>
        <v>0</v>
      </c>
      <c r="AC430" s="92"/>
      <c r="AD430" s="92">
        <v>0</v>
      </c>
      <c r="AE430" s="92">
        <f t="shared" si="40"/>
        <v>0</v>
      </c>
      <c r="AF430" s="93">
        <v>0</v>
      </c>
      <c r="AG430" s="89">
        <v>40645</v>
      </c>
      <c r="AH430" s="94"/>
      <c r="AI430" s="95" t="s">
        <v>4336</v>
      </c>
      <c r="AJ430" s="96" t="s">
        <v>4337</v>
      </c>
      <c r="AK430" s="97"/>
      <c r="AL430" s="89"/>
      <c r="AM430" s="100" t="s">
        <v>228</v>
      </c>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114"/>
      <c r="CQ430" s="115"/>
      <c r="CR430" s="114"/>
      <c r="CS430" s="115"/>
      <c r="CT430" s="114"/>
      <c r="CU430" s="115"/>
      <c r="CV430" s="99">
        <f t="shared" si="41"/>
        <v>0</v>
      </c>
      <c r="CW430" s="114"/>
      <c r="CX430" s="115"/>
      <c r="CY430" s="114"/>
      <c r="CZ430" s="115"/>
      <c r="DA430" s="115"/>
      <c r="DB430" s="115"/>
      <c r="DC430" s="114"/>
      <c r="DD430" s="115"/>
      <c r="DE430" s="97"/>
      <c r="DF430" s="269"/>
    </row>
    <row r="431" spans="1:110" s="270" customFormat="1" ht="24" x14ac:dyDescent="0.2">
      <c r="A431" s="89">
        <v>40643</v>
      </c>
      <c r="B431" s="90" t="s">
        <v>860</v>
      </c>
      <c r="C431" s="90" t="s">
        <v>861</v>
      </c>
      <c r="D431" s="90" t="s">
        <v>4264</v>
      </c>
      <c r="E431" s="90" t="str">
        <f>VLOOKUP(B431&amp;C431,Divipola!$C$2:$F$1138,4,FALSE)</f>
        <v>50251</v>
      </c>
      <c r="F431" s="90"/>
      <c r="G431" s="101">
        <v>1</v>
      </c>
      <c r="H431" s="101"/>
      <c r="I431" s="101"/>
      <c r="J431" s="101">
        <f>59*5</f>
        <v>295</v>
      </c>
      <c r="K431" s="101">
        <v>59</v>
      </c>
      <c r="L431" s="101">
        <v>1</v>
      </c>
      <c r="M431" s="101"/>
      <c r="N431" s="101"/>
      <c r="O431" s="101"/>
      <c r="P431" s="101"/>
      <c r="Q431" s="101"/>
      <c r="R431" s="101"/>
      <c r="S431" s="101"/>
      <c r="T431" s="101"/>
      <c r="U431" s="101"/>
      <c r="V431" s="101"/>
      <c r="W431" s="91"/>
      <c r="X431" s="89"/>
      <c r="Y431" s="92">
        <f t="shared" si="36"/>
        <v>0</v>
      </c>
      <c r="Z431" s="92">
        <f t="shared" si="37"/>
        <v>0</v>
      </c>
      <c r="AA431" s="92">
        <f t="shared" si="38"/>
        <v>0</v>
      </c>
      <c r="AB431" s="92">
        <f t="shared" si="39"/>
        <v>0</v>
      </c>
      <c r="AC431" s="92"/>
      <c r="AD431" s="92">
        <v>0</v>
      </c>
      <c r="AE431" s="92">
        <f t="shared" si="40"/>
        <v>0</v>
      </c>
      <c r="AF431" s="93">
        <v>0</v>
      </c>
      <c r="AG431" s="89"/>
      <c r="AH431" s="94"/>
      <c r="AI431" s="95" t="s">
        <v>4346</v>
      </c>
      <c r="AJ431" s="96" t="s">
        <v>4347</v>
      </c>
      <c r="AK431" s="97"/>
      <c r="AL431" s="89" t="s">
        <v>2798</v>
      </c>
      <c r="AM431" s="100" t="s">
        <v>1927</v>
      </c>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114"/>
      <c r="CQ431" s="115"/>
      <c r="CR431" s="114"/>
      <c r="CS431" s="115"/>
      <c r="CT431" s="114"/>
      <c r="CU431" s="115"/>
      <c r="CV431" s="99">
        <f t="shared" si="41"/>
        <v>0</v>
      </c>
      <c r="CW431" s="114"/>
      <c r="CX431" s="115"/>
      <c r="CY431" s="114"/>
      <c r="CZ431" s="115"/>
      <c r="DA431" s="115"/>
      <c r="DB431" s="115"/>
      <c r="DC431" s="114"/>
      <c r="DD431" s="115"/>
      <c r="DE431" s="97"/>
      <c r="DF431" s="269"/>
    </row>
    <row r="432" spans="1:110" s="270" customFormat="1" ht="22.5" x14ac:dyDescent="0.2">
      <c r="A432" s="89">
        <v>40643</v>
      </c>
      <c r="B432" s="90" t="s">
        <v>860</v>
      </c>
      <c r="C432" s="90" t="s">
        <v>2859</v>
      </c>
      <c r="D432" s="90" t="s">
        <v>4298</v>
      </c>
      <c r="E432" s="90" t="str">
        <f>VLOOKUP(B432&amp;C432,Divipola!$C$2:$F$1138,4,FALSE)</f>
        <v>50001</v>
      </c>
      <c r="F432" s="90"/>
      <c r="G432" s="101"/>
      <c r="H432" s="101"/>
      <c r="I432" s="101"/>
      <c r="J432" s="101"/>
      <c r="K432" s="101"/>
      <c r="L432" s="101"/>
      <c r="M432" s="101"/>
      <c r="N432" s="101"/>
      <c r="O432" s="101"/>
      <c r="P432" s="101"/>
      <c r="Q432" s="101"/>
      <c r="R432" s="101"/>
      <c r="S432" s="101"/>
      <c r="T432" s="101"/>
      <c r="U432" s="101"/>
      <c r="V432" s="101"/>
      <c r="W432" s="91" t="s">
        <v>2780</v>
      </c>
      <c r="X432" s="89"/>
      <c r="Y432" s="92">
        <f t="shared" si="36"/>
        <v>0</v>
      </c>
      <c r="Z432" s="92">
        <f t="shared" si="37"/>
        <v>0</v>
      </c>
      <c r="AA432" s="92">
        <f t="shared" si="38"/>
        <v>0</v>
      </c>
      <c r="AB432" s="92">
        <f t="shared" si="39"/>
        <v>0</v>
      </c>
      <c r="AC432" s="92"/>
      <c r="AD432" s="92">
        <v>0</v>
      </c>
      <c r="AE432" s="92">
        <f t="shared" si="40"/>
        <v>0</v>
      </c>
      <c r="AF432" s="93">
        <v>0</v>
      </c>
      <c r="AG432" s="89">
        <v>40645</v>
      </c>
      <c r="AH432" s="94"/>
      <c r="AI432" s="95" t="s">
        <v>4346</v>
      </c>
      <c r="AJ432" s="96" t="s">
        <v>4347</v>
      </c>
      <c r="AK432" s="97"/>
      <c r="AL432" s="89" t="s">
        <v>2798</v>
      </c>
      <c r="AM432" s="100" t="s">
        <v>224</v>
      </c>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114"/>
      <c r="CQ432" s="115"/>
      <c r="CR432" s="114"/>
      <c r="CS432" s="115"/>
      <c r="CT432" s="114"/>
      <c r="CU432" s="115"/>
      <c r="CV432" s="99">
        <f t="shared" si="41"/>
        <v>0</v>
      </c>
      <c r="CW432" s="114"/>
      <c r="CX432" s="115"/>
      <c r="CY432" s="114"/>
      <c r="CZ432" s="115"/>
      <c r="DA432" s="115"/>
      <c r="DB432" s="115"/>
      <c r="DC432" s="114"/>
      <c r="DD432" s="115"/>
      <c r="DE432" s="97"/>
      <c r="DF432" s="269"/>
    </row>
    <row r="433" spans="1:255" s="270" customFormat="1" ht="24" x14ac:dyDescent="0.2">
      <c r="A433" s="89">
        <v>40643</v>
      </c>
      <c r="B433" s="90" t="s">
        <v>4348</v>
      </c>
      <c r="C433" s="90" t="s">
        <v>3303</v>
      </c>
      <c r="D433" s="90" t="s">
        <v>4264</v>
      </c>
      <c r="E433" s="90" t="str">
        <f>VLOOKUP(B433&amp;C433,Divipola!$C$2:$F$1138,4,FALSE)</f>
        <v>66456</v>
      </c>
      <c r="F433" s="90"/>
      <c r="G433" s="101">
        <v>1</v>
      </c>
      <c r="H433" s="101"/>
      <c r="I433" s="101"/>
      <c r="J433" s="101"/>
      <c r="K433" s="101"/>
      <c r="L433" s="101"/>
      <c r="M433" s="101"/>
      <c r="N433" s="101"/>
      <c r="O433" s="101"/>
      <c r="P433" s="101"/>
      <c r="Q433" s="101"/>
      <c r="R433" s="101"/>
      <c r="S433" s="101"/>
      <c r="T433" s="101"/>
      <c r="U433" s="101"/>
      <c r="V433" s="101"/>
      <c r="W433" s="91"/>
      <c r="X433" s="89"/>
      <c r="Y433" s="92">
        <f t="shared" si="36"/>
        <v>0</v>
      </c>
      <c r="Z433" s="92">
        <f t="shared" si="37"/>
        <v>0</v>
      </c>
      <c r="AA433" s="92">
        <f t="shared" si="38"/>
        <v>0</v>
      </c>
      <c r="AB433" s="92">
        <f t="shared" si="39"/>
        <v>0</v>
      </c>
      <c r="AC433" s="92"/>
      <c r="AD433" s="92">
        <v>0</v>
      </c>
      <c r="AE433" s="92">
        <f t="shared" si="40"/>
        <v>0</v>
      </c>
      <c r="AF433" s="93">
        <v>0</v>
      </c>
      <c r="AG433" s="89">
        <v>40645</v>
      </c>
      <c r="AH433" s="94"/>
      <c r="AI433" s="95" t="s">
        <v>4336</v>
      </c>
      <c r="AJ433" s="96" t="s">
        <v>4337</v>
      </c>
      <c r="AK433" s="97"/>
      <c r="AL433" s="89"/>
      <c r="AM433" s="100" t="s">
        <v>812</v>
      </c>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114"/>
      <c r="CQ433" s="115"/>
      <c r="CR433" s="114"/>
      <c r="CS433" s="115"/>
      <c r="CT433" s="114"/>
      <c r="CU433" s="115"/>
      <c r="CV433" s="99">
        <f t="shared" si="41"/>
        <v>0</v>
      </c>
      <c r="CW433" s="114"/>
      <c r="CX433" s="115"/>
      <c r="CY433" s="114"/>
      <c r="CZ433" s="115"/>
      <c r="DA433" s="115"/>
      <c r="DB433" s="115"/>
      <c r="DC433" s="114"/>
      <c r="DD433" s="115"/>
      <c r="DE433" s="97"/>
      <c r="DF433" s="269"/>
    </row>
    <row r="434" spans="1:255" s="270" customFormat="1" ht="22.5" x14ac:dyDescent="0.2">
      <c r="A434" s="89">
        <v>40643</v>
      </c>
      <c r="B434" s="90" t="s">
        <v>4348</v>
      </c>
      <c r="C434" s="90" t="s">
        <v>4365</v>
      </c>
      <c r="D434" s="90" t="s">
        <v>2362</v>
      </c>
      <c r="E434" s="90" t="str">
        <f>VLOOKUP(B434&amp;C434,Divipola!$C$2:$F$1138,4,FALSE)</f>
        <v>66682</v>
      </c>
      <c r="F434" s="101"/>
      <c r="G434" s="101"/>
      <c r="H434" s="101"/>
      <c r="I434" s="101"/>
      <c r="J434" s="101">
        <v>65</v>
      </c>
      <c r="K434" s="101">
        <v>11</v>
      </c>
      <c r="L434" s="101"/>
      <c r="M434" s="101">
        <v>8</v>
      </c>
      <c r="N434" s="101"/>
      <c r="O434" s="101"/>
      <c r="P434" s="101"/>
      <c r="Q434" s="101"/>
      <c r="R434" s="101"/>
      <c r="S434" s="101"/>
      <c r="T434" s="101"/>
      <c r="U434" s="91"/>
      <c r="V434" s="89"/>
      <c r="W434" s="92"/>
      <c r="X434" s="92"/>
      <c r="Y434" s="92">
        <f t="shared" si="36"/>
        <v>0</v>
      </c>
      <c r="Z434" s="92">
        <f t="shared" si="37"/>
        <v>0</v>
      </c>
      <c r="AA434" s="92">
        <f t="shared" si="38"/>
        <v>0</v>
      </c>
      <c r="AB434" s="92">
        <f t="shared" si="39"/>
        <v>0</v>
      </c>
      <c r="AC434" s="92"/>
      <c r="AD434" s="92">
        <v>0</v>
      </c>
      <c r="AE434" s="92">
        <f t="shared" si="40"/>
        <v>0</v>
      </c>
      <c r="AF434" s="93">
        <v>0</v>
      </c>
      <c r="AG434" s="89"/>
      <c r="AH434" s="96"/>
      <c r="AI434" s="102" t="s">
        <v>4336</v>
      </c>
      <c r="AJ434" s="96" t="s">
        <v>4337</v>
      </c>
      <c r="AK434" s="100"/>
      <c r="AL434" s="89"/>
      <c r="AM434" s="90" t="s">
        <v>320</v>
      </c>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114"/>
      <c r="CQ434" s="115"/>
      <c r="CR434" s="114"/>
      <c r="CS434" s="115"/>
      <c r="CT434" s="114"/>
      <c r="CU434" s="115"/>
      <c r="CV434" s="99">
        <f t="shared" si="41"/>
        <v>0</v>
      </c>
      <c r="CW434" s="114"/>
      <c r="CX434" s="115"/>
      <c r="CY434" s="114"/>
      <c r="CZ434" s="115"/>
      <c r="DA434" s="115"/>
      <c r="DB434" s="115"/>
      <c r="DC434" s="114"/>
      <c r="DD434" s="115"/>
      <c r="DE434" s="97"/>
      <c r="DF434" s="269"/>
    </row>
    <row r="435" spans="1:255" s="270" customFormat="1" ht="36" x14ac:dyDescent="0.2">
      <c r="A435" s="89">
        <v>40643</v>
      </c>
      <c r="B435" s="90" t="s">
        <v>2226</v>
      </c>
      <c r="C435" s="90" t="s">
        <v>4232</v>
      </c>
      <c r="D435" s="90" t="s">
        <v>2362</v>
      </c>
      <c r="E435" s="90" t="str">
        <f>VLOOKUP(B435&amp;C435,Divipola!$C$2:$F$1138,4,FALSE)</f>
        <v>68001</v>
      </c>
      <c r="F435" s="90"/>
      <c r="G435" s="101"/>
      <c r="H435" s="101"/>
      <c r="I435" s="101"/>
      <c r="J435" s="101">
        <f>1423*4.5</f>
        <v>6403.5</v>
      </c>
      <c r="K435" s="101">
        <v>1423</v>
      </c>
      <c r="L435" s="101"/>
      <c r="M435" s="101">
        <v>1423</v>
      </c>
      <c r="N435" s="101">
        <v>1</v>
      </c>
      <c r="O435" s="101"/>
      <c r="P435" s="101"/>
      <c r="Q435" s="101"/>
      <c r="R435" s="101"/>
      <c r="S435" s="101"/>
      <c r="T435" s="101"/>
      <c r="U435" s="101"/>
      <c r="V435" s="101"/>
      <c r="W435" s="91"/>
      <c r="X435" s="89"/>
      <c r="Y435" s="92">
        <f t="shared" si="36"/>
        <v>0</v>
      </c>
      <c r="Z435" s="92">
        <f t="shared" si="37"/>
        <v>0</v>
      </c>
      <c r="AA435" s="92">
        <f t="shared" si="38"/>
        <v>0</v>
      </c>
      <c r="AB435" s="92">
        <f t="shared" si="39"/>
        <v>0</v>
      </c>
      <c r="AC435" s="92"/>
      <c r="AD435" s="92">
        <v>0</v>
      </c>
      <c r="AE435" s="92">
        <f t="shared" si="40"/>
        <v>0</v>
      </c>
      <c r="AF435" s="93">
        <v>0</v>
      </c>
      <c r="AG435" s="89">
        <v>40645</v>
      </c>
      <c r="AH435" s="94"/>
      <c r="AI435" s="95" t="s">
        <v>4336</v>
      </c>
      <c r="AJ435" s="96" t="s">
        <v>4337</v>
      </c>
      <c r="AK435" s="97"/>
      <c r="AL435" s="89"/>
      <c r="AM435" s="100" t="s">
        <v>2775</v>
      </c>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114"/>
      <c r="CQ435" s="115"/>
      <c r="CR435" s="114"/>
      <c r="CS435" s="115"/>
      <c r="CT435" s="114"/>
      <c r="CU435" s="115"/>
      <c r="CV435" s="99">
        <f t="shared" si="41"/>
        <v>0</v>
      </c>
      <c r="CW435" s="114"/>
      <c r="CX435" s="115"/>
      <c r="CY435" s="114"/>
      <c r="CZ435" s="115"/>
      <c r="DA435" s="115"/>
      <c r="DB435" s="115"/>
      <c r="DC435" s="114"/>
      <c r="DD435" s="115"/>
      <c r="DE435" s="97"/>
      <c r="DF435" s="269"/>
    </row>
    <row r="436" spans="1:255" s="270" customFormat="1" ht="36" x14ac:dyDescent="0.2">
      <c r="A436" s="89">
        <v>40643</v>
      </c>
      <c r="B436" s="90" t="s">
        <v>4244</v>
      </c>
      <c r="C436" s="90" t="s">
        <v>3372</v>
      </c>
      <c r="D436" s="90" t="s">
        <v>4264</v>
      </c>
      <c r="E436" s="90" t="str">
        <f>VLOOKUP(B436&amp;C436,Divipola!$C$2:$F$1138,4,FALSE)</f>
        <v>76036</v>
      </c>
      <c r="F436" s="90"/>
      <c r="G436" s="101"/>
      <c r="H436" s="101"/>
      <c r="I436" s="101"/>
      <c r="J436" s="101">
        <v>35</v>
      </c>
      <c r="K436" s="101">
        <v>9</v>
      </c>
      <c r="L436" s="101"/>
      <c r="M436" s="101">
        <v>5</v>
      </c>
      <c r="N436" s="101"/>
      <c r="O436" s="101"/>
      <c r="P436" s="101"/>
      <c r="Q436" s="101"/>
      <c r="R436" s="101"/>
      <c r="S436" s="101"/>
      <c r="T436" s="101"/>
      <c r="U436" s="101"/>
      <c r="V436" s="101"/>
      <c r="W436" s="91"/>
      <c r="X436" s="89"/>
      <c r="Y436" s="92">
        <f t="shared" si="36"/>
        <v>0</v>
      </c>
      <c r="Z436" s="92">
        <f t="shared" si="37"/>
        <v>0</v>
      </c>
      <c r="AA436" s="92">
        <f t="shared" si="38"/>
        <v>0</v>
      </c>
      <c r="AB436" s="92">
        <f t="shared" si="39"/>
        <v>0</v>
      </c>
      <c r="AC436" s="92"/>
      <c r="AD436" s="92">
        <v>0</v>
      </c>
      <c r="AE436" s="92">
        <f t="shared" si="40"/>
        <v>0</v>
      </c>
      <c r="AF436" s="93">
        <v>0</v>
      </c>
      <c r="AG436" s="89">
        <v>40645</v>
      </c>
      <c r="AH436" s="94"/>
      <c r="AI436" s="95" t="s">
        <v>4336</v>
      </c>
      <c r="AJ436" s="96" t="s">
        <v>4337</v>
      </c>
      <c r="AK436" s="97"/>
      <c r="AL436" s="89"/>
      <c r="AM436" s="100" t="s">
        <v>809</v>
      </c>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114"/>
      <c r="CQ436" s="115"/>
      <c r="CR436" s="114"/>
      <c r="CS436" s="115"/>
      <c r="CT436" s="114"/>
      <c r="CU436" s="115"/>
      <c r="CV436" s="99">
        <f t="shared" si="41"/>
        <v>0</v>
      </c>
      <c r="CW436" s="114"/>
      <c r="CX436" s="115"/>
      <c r="CY436" s="114"/>
      <c r="CZ436" s="115"/>
      <c r="DA436" s="115"/>
      <c r="DB436" s="115"/>
      <c r="DC436" s="114"/>
      <c r="DD436" s="115"/>
      <c r="DE436" s="97"/>
      <c r="DF436" s="269">
        <v>1530</v>
      </c>
    </row>
    <row r="437" spans="1:255" s="270" customFormat="1" ht="48" x14ac:dyDescent="0.2">
      <c r="A437" s="89">
        <v>40643</v>
      </c>
      <c r="B437" s="90" t="s">
        <v>4244</v>
      </c>
      <c r="C437" s="90" t="s">
        <v>4375</v>
      </c>
      <c r="D437" s="90" t="s">
        <v>4264</v>
      </c>
      <c r="E437" s="90" t="str">
        <f>VLOOKUP(B437&amp;C437,Divipola!$C$2:$F$1138,4,FALSE)</f>
        <v>76895</v>
      </c>
      <c r="F437" s="90"/>
      <c r="G437" s="101"/>
      <c r="H437" s="101"/>
      <c r="I437" s="101"/>
      <c r="J437" s="101">
        <v>20</v>
      </c>
      <c r="K437" s="101">
        <v>5</v>
      </c>
      <c r="L437" s="101"/>
      <c r="M437" s="101">
        <v>5</v>
      </c>
      <c r="N437" s="101"/>
      <c r="O437" s="101"/>
      <c r="P437" s="101"/>
      <c r="Q437" s="101"/>
      <c r="R437" s="101"/>
      <c r="S437" s="101"/>
      <c r="T437" s="101"/>
      <c r="U437" s="101"/>
      <c r="V437" s="101"/>
      <c r="W437" s="91"/>
      <c r="X437" s="89"/>
      <c r="Y437" s="92">
        <f t="shared" si="36"/>
        <v>0</v>
      </c>
      <c r="Z437" s="92">
        <f t="shared" si="37"/>
        <v>0</v>
      </c>
      <c r="AA437" s="92">
        <f t="shared" si="38"/>
        <v>0</v>
      </c>
      <c r="AB437" s="92">
        <f t="shared" si="39"/>
        <v>0</v>
      </c>
      <c r="AC437" s="92"/>
      <c r="AD437" s="92">
        <v>0</v>
      </c>
      <c r="AE437" s="92">
        <f t="shared" si="40"/>
        <v>0</v>
      </c>
      <c r="AF437" s="93">
        <v>0</v>
      </c>
      <c r="AG437" s="89">
        <v>40645</v>
      </c>
      <c r="AH437" s="94"/>
      <c r="AI437" s="95" t="s">
        <v>4336</v>
      </c>
      <c r="AJ437" s="96" t="s">
        <v>4337</v>
      </c>
      <c r="AK437" s="97"/>
      <c r="AL437" s="89"/>
      <c r="AM437" s="100" t="s">
        <v>808</v>
      </c>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114"/>
      <c r="CQ437" s="115"/>
      <c r="CR437" s="114"/>
      <c r="CS437" s="115"/>
      <c r="CT437" s="114"/>
      <c r="CU437" s="115"/>
      <c r="CV437" s="99">
        <f t="shared" si="41"/>
        <v>0</v>
      </c>
      <c r="CW437" s="114"/>
      <c r="CX437" s="115"/>
      <c r="CY437" s="114"/>
      <c r="CZ437" s="115"/>
      <c r="DA437" s="115"/>
      <c r="DB437" s="115"/>
      <c r="DC437" s="114"/>
      <c r="DD437" s="115"/>
      <c r="DE437" s="97"/>
      <c r="DF437" s="269"/>
    </row>
    <row r="438" spans="1:255" s="270" customFormat="1" ht="36" x14ac:dyDescent="0.2">
      <c r="A438" s="89">
        <v>40644</v>
      </c>
      <c r="B438" s="90" t="s">
        <v>4261</v>
      </c>
      <c r="C438" s="90" t="s">
        <v>1272</v>
      </c>
      <c r="D438" s="90" t="s">
        <v>2362</v>
      </c>
      <c r="E438" s="90" t="str">
        <f>VLOOKUP(B438&amp;C438,Divipola!$C$2:$F$1138,4,FALSE)</f>
        <v>15638</v>
      </c>
      <c r="F438" s="4"/>
      <c r="G438" s="274"/>
      <c r="H438" s="274"/>
      <c r="I438" s="274"/>
      <c r="J438" s="124">
        <v>90</v>
      </c>
      <c r="K438" s="124">
        <v>18</v>
      </c>
      <c r="L438" s="124">
        <v>6</v>
      </c>
      <c r="M438" s="124">
        <v>11</v>
      </c>
      <c r="N438" s="208"/>
      <c r="O438" s="208"/>
      <c r="P438" s="208"/>
      <c r="Q438" s="208"/>
      <c r="R438" s="208"/>
      <c r="S438" s="208"/>
      <c r="T438" s="208"/>
      <c r="U438" s="208"/>
      <c r="V438" s="208"/>
      <c r="W438" s="19"/>
      <c r="X438" s="17"/>
      <c r="Y438" s="5">
        <f t="shared" si="36"/>
        <v>0</v>
      </c>
      <c r="Z438" s="5">
        <f t="shared" si="37"/>
        <v>0</v>
      </c>
      <c r="AA438" s="5">
        <f t="shared" si="38"/>
        <v>0</v>
      </c>
      <c r="AB438" s="5">
        <f t="shared" si="39"/>
        <v>0</v>
      </c>
      <c r="AC438" s="5"/>
      <c r="AD438" s="5">
        <v>0</v>
      </c>
      <c r="AE438" s="5">
        <f t="shared" si="40"/>
        <v>0</v>
      </c>
      <c r="AF438" s="70">
        <v>0</v>
      </c>
      <c r="AG438" s="17"/>
      <c r="AH438" s="18"/>
      <c r="AI438" s="47" t="s">
        <v>4346</v>
      </c>
      <c r="AJ438" s="73" t="s">
        <v>4347</v>
      </c>
      <c r="AK438" s="275"/>
      <c r="AL438" s="89" t="s">
        <v>2798</v>
      </c>
      <c r="AM438" s="100" t="s">
        <v>4445</v>
      </c>
      <c r="AN438" s="90"/>
      <c r="AO438" s="19"/>
      <c r="AP438" s="19"/>
      <c r="AQ438" s="19"/>
      <c r="AR438" s="19"/>
      <c r="AS438" s="19"/>
      <c r="AT438" s="19"/>
      <c r="AU438" s="19"/>
      <c r="AV438" s="19"/>
      <c r="AW438" s="19"/>
      <c r="AX438" s="107"/>
      <c r="AY438" s="107"/>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39"/>
      <c r="CO438" s="138"/>
      <c r="CP438" s="139"/>
      <c r="CQ438" s="138"/>
      <c r="CR438" s="139"/>
      <c r="CS438" s="138"/>
      <c r="CT438" s="72"/>
      <c r="CU438" s="139"/>
      <c r="CV438" s="99">
        <f t="shared" si="41"/>
        <v>0</v>
      </c>
      <c r="CW438" s="139"/>
      <c r="CX438" s="138"/>
      <c r="CY438" s="138"/>
      <c r="CZ438" s="138"/>
      <c r="DA438" s="139"/>
      <c r="DB438" s="138"/>
      <c r="DC438" s="45"/>
      <c r="DD438" s="138"/>
      <c r="DE438" s="45"/>
      <c r="DF438" s="269"/>
    </row>
    <row r="439" spans="1:255" s="270" customFormat="1" ht="48" x14ac:dyDescent="0.2">
      <c r="A439" s="89">
        <v>40644</v>
      </c>
      <c r="B439" s="90" t="s">
        <v>4296</v>
      </c>
      <c r="C439" s="90" t="s">
        <v>864</v>
      </c>
      <c r="D439" s="90" t="s">
        <v>4264</v>
      </c>
      <c r="E439" s="90" t="str">
        <f>VLOOKUP(B439&amp;C439,Divipola!$C$2:$F$1138,4,FALSE)</f>
        <v>19142</v>
      </c>
      <c r="F439" s="90"/>
      <c r="G439" s="101">
        <v>2</v>
      </c>
      <c r="H439" s="101"/>
      <c r="I439" s="101"/>
      <c r="J439" s="101">
        <f>864*5</f>
        <v>4320</v>
      </c>
      <c r="K439" s="101">
        <v>864</v>
      </c>
      <c r="L439" s="101"/>
      <c r="M439" s="101"/>
      <c r="N439" s="101"/>
      <c r="O439" s="101"/>
      <c r="P439" s="101"/>
      <c r="Q439" s="101"/>
      <c r="R439" s="101"/>
      <c r="S439" s="101"/>
      <c r="T439" s="101"/>
      <c r="U439" s="101"/>
      <c r="V439" s="101"/>
      <c r="W439" s="91"/>
      <c r="X439" s="89"/>
      <c r="Y439" s="92">
        <f t="shared" si="36"/>
        <v>0</v>
      </c>
      <c r="Z439" s="92">
        <f t="shared" si="37"/>
        <v>0</v>
      </c>
      <c r="AA439" s="92">
        <f t="shared" si="38"/>
        <v>0</v>
      </c>
      <c r="AB439" s="92">
        <f t="shared" si="39"/>
        <v>0</v>
      </c>
      <c r="AC439" s="92"/>
      <c r="AD439" s="92">
        <v>10000000</v>
      </c>
      <c r="AE439" s="92">
        <f t="shared" si="40"/>
        <v>10000000</v>
      </c>
      <c r="AF439" s="93">
        <v>0</v>
      </c>
      <c r="AG439" s="89">
        <v>40645</v>
      </c>
      <c r="AH439" s="94"/>
      <c r="AI439" s="95" t="s">
        <v>4346</v>
      </c>
      <c r="AJ439" s="96" t="s">
        <v>4347</v>
      </c>
      <c r="AK439" s="97"/>
      <c r="AL439" s="89"/>
      <c r="AM439" s="100" t="s">
        <v>3410</v>
      </c>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114"/>
      <c r="CQ439" s="115"/>
      <c r="CR439" s="114"/>
      <c r="CS439" s="115"/>
      <c r="CT439" s="114"/>
      <c r="CU439" s="115"/>
      <c r="CV439" s="99">
        <f t="shared" si="41"/>
        <v>0</v>
      </c>
      <c r="CW439" s="114"/>
      <c r="CX439" s="115"/>
      <c r="CY439" s="114"/>
      <c r="CZ439" s="115"/>
      <c r="DA439" s="115"/>
      <c r="DB439" s="115"/>
      <c r="DC439" s="114"/>
      <c r="DD439" s="115"/>
      <c r="DE439" s="97"/>
      <c r="DF439" s="269"/>
    </row>
    <row r="440" spans="1:255" s="270" customFormat="1" ht="60" x14ac:dyDescent="0.2">
      <c r="A440" s="89">
        <v>40644</v>
      </c>
      <c r="B440" s="90" t="s">
        <v>4296</v>
      </c>
      <c r="C440" s="90" t="s">
        <v>2252</v>
      </c>
      <c r="D440" s="90" t="s">
        <v>4264</v>
      </c>
      <c r="E440" s="90" t="str">
        <f>VLOOKUP(B440&amp;C440,Divipola!$C$2:$F$1138,4,FALSE)</f>
        <v>19513</v>
      </c>
      <c r="F440" s="90"/>
      <c r="G440" s="101"/>
      <c r="H440" s="101"/>
      <c r="I440" s="101"/>
      <c r="J440" s="101">
        <v>1224</v>
      </c>
      <c r="K440" s="101">
        <v>206</v>
      </c>
      <c r="L440" s="101">
        <v>13</v>
      </c>
      <c r="M440" s="101"/>
      <c r="N440" s="101">
        <v>193</v>
      </c>
      <c r="O440" s="101"/>
      <c r="P440" s="101"/>
      <c r="Q440" s="101"/>
      <c r="R440" s="101"/>
      <c r="S440" s="101"/>
      <c r="T440" s="101"/>
      <c r="U440" s="101"/>
      <c r="V440" s="101"/>
      <c r="W440" s="91"/>
      <c r="X440" s="89"/>
      <c r="Y440" s="92">
        <f t="shared" si="36"/>
        <v>0</v>
      </c>
      <c r="Z440" s="92">
        <f t="shared" si="37"/>
        <v>0</v>
      </c>
      <c r="AA440" s="92">
        <f t="shared" si="38"/>
        <v>0</v>
      </c>
      <c r="AB440" s="92">
        <f t="shared" si="39"/>
        <v>0</v>
      </c>
      <c r="AC440" s="92"/>
      <c r="AD440" s="92">
        <v>0</v>
      </c>
      <c r="AE440" s="92">
        <f t="shared" si="40"/>
        <v>0</v>
      </c>
      <c r="AF440" s="93">
        <v>0</v>
      </c>
      <c r="AG440" s="89">
        <v>40645</v>
      </c>
      <c r="AH440" s="94"/>
      <c r="AI440" s="95" t="s">
        <v>4336</v>
      </c>
      <c r="AJ440" s="96" t="s">
        <v>4337</v>
      </c>
      <c r="AK440" s="97"/>
      <c r="AL440" s="89"/>
      <c r="AM440" s="100" t="s">
        <v>1928</v>
      </c>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114"/>
      <c r="CQ440" s="115"/>
      <c r="CR440" s="114"/>
      <c r="CS440" s="115"/>
      <c r="CT440" s="114"/>
      <c r="CU440" s="115"/>
      <c r="CV440" s="99">
        <f t="shared" si="41"/>
        <v>0</v>
      </c>
      <c r="CW440" s="114"/>
      <c r="CX440" s="115"/>
      <c r="CY440" s="114"/>
      <c r="CZ440" s="115"/>
      <c r="DA440" s="115"/>
      <c r="DB440" s="115"/>
      <c r="DC440" s="114"/>
      <c r="DD440" s="115"/>
      <c r="DE440" s="97"/>
      <c r="DF440" s="269"/>
    </row>
    <row r="441" spans="1:255" s="270" customFormat="1" ht="48" x14ac:dyDescent="0.2">
      <c r="A441" s="89">
        <v>40644</v>
      </c>
      <c r="B441" s="90" t="s">
        <v>4296</v>
      </c>
      <c r="C441" s="90" t="s">
        <v>868</v>
      </c>
      <c r="D441" s="90" t="s">
        <v>2860</v>
      </c>
      <c r="E441" s="90" t="str">
        <f>VLOOKUP(B441&amp;C441,Divipola!$C$2:$F$1138,4,FALSE)</f>
        <v>19821</v>
      </c>
      <c r="F441" s="90"/>
      <c r="G441" s="101"/>
      <c r="H441" s="101"/>
      <c r="I441" s="101"/>
      <c r="J441" s="101">
        <v>1000</v>
      </c>
      <c r="K441" s="101">
        <v>200</v>
      </c>
      <c r="L441" s="101">
        <v>2</v>
      </c>
      <c r="M441" s="101">
        <v>7</v>
      </c>
      <c r="N441" s="101"/>
      <c r="O441" s="101">
        <v>2</v>
      </c>
      <c r="P441" s="101"/>
      <c r="Q441" s="101"/>
      <c r="R441" s="101"/>
      <c r="S441" s="101"/>
      <c r="T441" s="101"/>
      <c r="U441" s="101"/>
      <c r="V441" s="101"/>
      <c r="W441" s="91"/>
      <c r="X441" s="89"/>
      <c r="Y441" s="92">
        <f t="shared" si="36"/>
        <v>0</v>
      </c>
      <c r="Z441" s="92">
        <f t="shared" si="37"/>
        <v>0</v>
      </c>
      <c r="AA441" s="92">
        <f t="shared" si="38"/>
        <v>0</v>
      </c>
      <c r="AB441" s="92">
        <f t="shared" si="39"/>
        <v>0</v>
      </c>
      <c r="AC441" s="92"/>
      <c r="AD441" s="92">
        <v>0</v>
      </c>
      <c r="AE441" s="92">
        <f t="shared" si="40"/>
        <v>0</v>
      </c>
      <c r="AF441" s="93">
        <v>0</v>
      </c>
      <c r="AG441" s="89">
        <v>40645</v>
      </c>
      <c r="AH441" s="94"/>
      <c r="AI441" s="95" t="s">
        <v>4336</v>
      </c>
      <c r="AJ441" s="96" t="s">
        <v>4337</v>
      </c>
      <c r="AK441" s="97"/>
      <c r="AL441" s="89"/>
      <c r="AM441" s="100" t="s">
        <v>257</v>
      </c>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114"/>
      <c r="CQ441" s="115"/>
      <c r="CR441" s="114"/>
      <c r="CS441" s="115"/>
      <c r="CT441" s="114"/>
      <c r="CU441" s="115"/>
      <c r="CV441" s="99">
        <f t="shared" si="41"/>
        <v>0</v>
      </c>
      <c r="CW441" s="114"/>
      <c r="CX441" s="115"/>
      <c r="CY441" s="114"/>
      <c r="CZ441" s="115"/>
      <c r="DA441" s="115"/>
      <c r="DB441" s="115"/>
      <c r="DC441" s="114"/>
      <c r="DD441" s="115"/>
      <c r="DE441" s="97"/>
      <c r="DF441" s="269"/>
    </row>
    <row r="442" spans="1:255" s="270" customFormat="1" ht="24" x14ac:dyDescent="0.2">
      <c r="A442" s="89">
        <v>40644</v>
      </c>
      <c r="B442" s="90" t="s">
        <v>4219</v>
      </c>
      <c r="C442" s="90" t="s">
        <v>3503</v>
      </c>
      <c r="D442" s="90" t="s">
        <v>4298</v>
      </c>
      <c r="E442" s="90" t="str">
        <f>VLOOKUP(B442&amp;C442,Divipola!$C$2:$F$1138,4,FALSE)</f>
        <v>41001</v>
      </c>
      <c r="F442" s="90"/>
      <c r="G442" s="101"/>
      <c r="H442" s="101"/>
      <c r="I442" s="101"/>
      <c r="J442" s="101">
        <v>5</v>
      </c>
      <c r="K442" s="101">
        <v>1</v>
      </c>
      <c r="L442" s="101"/>
      <c r="M442" s="101">
        <v>1</v>
      </c>
      <c r="N442" s="101"/>
      <c r="O442" s="101"/>
      <c r="P442" s="101"/>
      <c r="Q442" s="101"/>
      <c r="R442" s="101"/>
      <c r="S442" s="101"/>
      <c r="T442" s="101"/>
      <c r="U442" s="101"/>
      <c r="V442" s="101"/>
      <c r="W442" s="91"/>
      <c r="X442" s="89"/>
      <c r="Y442" s="92">
        <f t="shared" si="36"/>
        <v>0</v>
      </c>
      <c r="Z442" s="92">
        <f t="shared" si="37"/>
        <v>0</v>
      </c>
      <c r="AA442" s="92">
        <f t="shared" si="38"/>
        <v>0</v>
      </c>
      <c r="AB442" s="92">
        <f t="shared" si="39"/>
        <v>0</v>
      </c>
      <c r="AC442" s="92"/>
      <c r="AD442" s="92">
        <v>0</v>
      </c>
      <c r="AE442" s="92">
        <f t="shared" si="40"/>
        <v>0</v>
      </c>
      <c r="AF442" s="93">
        <v>0</v>
      </c>
      <c r="AG442" s="89">
        <v>40645</v>
      </c>
      <c r="AH442" s="94"/>
      <c r="AI442" s="95" t="s">
        <v>4336</v>
      </c>
      <c r="AJ442" s="96" t="s">
        <v>4337</v>
      </c>
      <c r="AK442" s="97"/>
      <c r="AL442" s="89"/>
      <c r="AM442" s="100" t="s">
        <v>811</v>
      </c>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114"/>
      <c r="CQ442" s="115"/>
      <c r="CR442" s="114"/>
      <c r="CS442" s="115"/>
      <c r="CT442" s="114"/>
      <c r="CU442" s="115"/>
      <c r="CV442" s="99">
        <f t="shared" si="41"/>
        <v>0</v>
      </c>
      <c r="CW442" s="114"/>
      <c r="CX442" s="115"/>
      <c r="CY442" s="114"/>
      <c r="CZ442" s="115"/>
      <c r="DA442" s="115"/>
      <c r="DB442" s="115"/>
      <c r="DC442" s="114"/>
      <c r="DD442" s="115"/>
      <c r="DE442" s="97"/>
      <c r="DF442" s="269"/>
    </row>
    <row r="443" spans="1:255" s="270" customFormat="1" ht="24" x14ac:dyDescent="0.2">
      <c r="A443" s="89">
        <v>40644</v>
      </c>
      <c r="B443" s="90" t="s">
        <v>4387</v>
      </c>
      <c r="C443" s="90" t="s">
        <v>855</v>
      </c>
      <c r="D443" s="90" t="s">
        <v>2362</v>
      </c>
      <c r="E443" s="90" t="str">
        <f>VLOOKUP(B443&amp;C443,Divipola!$C$2:$F$1138,4,FALSE)</f>
        <v>52260</v>
      </c>
      <c r="F443" s="90"/>
      <c r="G443" s="101">
        <v>5</v>
      </c>
      <c r="H443" s="101">
        <v>1</v>
      </c>
      <c r="I443" s="101"/>
      <c r="J443" s="101">
        <v>128</v>
      </c>
      <c r="K443" s="101">
        <v>32</v>
      </c>
      <c r="L443" s="101">
        <v>3</v>
      </c>
      <c r="M443" s="101">
        <v>29</v>
      </c>
      <c r="N443" s="101"/>
      <c r="O443" s="101"/>
      <c r="P443" s="101"/>
      <c r="Q443" s="101"/>
      <c r="R443" s="101"/>
      <c r="S443" s="101"/>
      <c r="T443" s="101"/>
      <c r="U443" s="101"/>
      <c r="V443" s="101"/>
      <c r="W443" s="91"/>
      <c r="X443" s="89"/>
      <c r="Y443" s="92">
        <f t="shared" si="36"/>
        <v>0</v>
      </c>
      <c r="Z443" s="92">
        <f t="shared" si="37"/>
        <v>0</v>
      </c>
      <c r="AA443" s="92">
        <f t="shared" si="38"/>
        <v>0</v>
      </c>
      <c r="AB443" s="92">
        <f t="shared" si="39"/>
        <v>0</v>
      </c>
      <c r="AC443" s="92"/>
      <c r="AD443" s="92">
        <v>0</v>
      </c>
      <c r="AE443" s="92">
        <f t="shared" si="40"/>
        <v>0</v>
      </c>
      <c r="AF443" s="93">
        <v>0</v>
      </c>
      <c r="AG443" s="89">
        <v>40645</v>
      </c>
      <c r="AH443" s="94"/>
      <c r="AI443" s="95" t="s">
        <v>4336</v>
      </c>
      <c r="AJ443" s="96" t="s">
        <v>4337</v>
      </c>
      <c r="AK443" s="97"/>
      <c r="AL443" s="89"/>
      <c r="AM443" s="100" t="s">
        <v>227</v>
      </c>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114"/>
      <c r="CQ443" s="115"/>
      <c r="CR443" s="114"/>
      <c r="CS443" s="115"/>
      <c r="CT443" s="114"/>
      <c r="CU443" s="115"/>
      <c r="CV443" s="99">
        <f t="shared" si="41"/>
        <v>0</v>
      </c>
      <c r="CW443" s="114"/>
      <c r="CX443" s="115"/>
      <c r="CY443" s="114"/>
      <c r="CZ443" s="115"/>
      <c r="DA443" s="115"/>
      <c r="DB443" s="115"/>
      <c r="DC443" s="114"/>
      <c r="DD443" s="115"/>
      <c r="DE443" s="97"/>
      <c r="DF443" s="269"/>
      <c r="DG443" s="9"/>
      <c r="DH443" s="8"/>
      <c r="DI443" s="10"/>
      <c r="DJ443" s="286"/>
      <c r="DK443" s="287"/>
      <c r="DL443" s="11"/>
      <c r="DM443" s="8"/>
      <c r="DN443" s="7"/>
      <c r="DO443" s="7"/>
      <c r="DP443" s="7"/>
      <c r="DQ443" s="7"/>
      <c r="DR443" s="7"/>
      <c r="DS443" s="288"/>
      <c r="DT443" s="288"/>
      <c r="DU443" s="288"/>
      <c r="DV443" s="289"/>
      <c r="DW443" s="289"/>
      <c r="DX443" s="288"/>
      <c r="DY443" s="289"/>
      <c r="DZ443" s="289"/>
      <c r="EA443" s="289"/>
      <c r="EB443" s="289"/>
      <c r="EC443" s="289"/>
      <c r="ED443" s="289"/>
      <c r="EE443" s="289"/>
      <c r="EF443" s="289"/>
      <c r="EG443" s="289"/>
      <c r="EH443" s="289"/>
      <c r="EI443" s="289"/>
      <c r="EJ443" s="289"/>
      <c r="EK443" s="289"/>
      <c r="EL443" s="289"/>
      <c r="EM443" s="289"/>
      <c r="EN443" s="289"/>
      <c r="EO443" s="289"/>
      <c r="EP443" s="289"/>
      <c r="EQ443" s="289"/>
      <c r="ER443" s="289"/>
      <c r="ES443" s="289"/>
      <c r="ET443" s="289"/>
      <c r="EU443" s="289"/>
      <c r="EV443" s="289"/>
      <c r="EW443" s="289"/>
      <c r="EX443" s="289"/>
      <c r="EY443" s="289"/>
      <c r="EZ443" s="289"/>
      <c r="FA443" s="289"/>
      <c r="FB443" s="289"/>
      <c r="FC443" s="289"/>
      <c r="FD443" s="289"/>
      <c r="FE443" s="289"/>
      <c r="FF443" s="289"/>
      <c r="FG443" s="289"/>
      <c r="FH443" s="289"/>
      <c r="FI443" s="289"/>
      <c r="FJ443" s="289"/>
      <c r="FK443" s="289"/>
      <c r="FL443" s="289"/>
      <c r="FM443" s="289"/>
      <c r="FN443" s="289"/>
      <c r="FO443" s="289"/>
      <c r="FP443" s="289"/>
      <c r="FQ443" s="289"/>
      <c r="FR443" s="289"/>
      <c r="FS443" s="289"/>
      <c r="FT443" s="289"/>
      <c r="FU443" s="289"/>
      <c r="FV443" s="12"/>
      <c r="FW443" s="8"/>
      <c r="FX443" s="13"/>
      <c r="FY443" s="13"/>
      <c r="FZ443" s="13"/>
      <c r="GA443" s="13"/>
      <c r="GB443" s="13"/>
      <c r="GC443" s="13"/>
      <c r="GD443" s="13"/>
      <c r="GE443" s="6"/>
      <c r="GF443" s="8"/>
      <c r="GG443" s="9"/>
      <c r="GH443" s="8"/>
      <c r="GI443" s="10"/>
      <c r="GJ443" s="286"/>
      <c r="GK443" s="287"/>
      <c r="GL443" s="11"/>
      <c r="GM443" s="8"/>
      <c r="GN443" s="7"/>
      <c r="GO443" s="7"/>
      <c r="GP443" s="7"/>
      <c r="GQ443" s="7"/>
      <c r="GR443" s="7"/>
      <c r="GS443" s="288"/>
      <c r="GT443" s="288"/>
      <c r="GU443" s="288"/>
      <c r="GV443" s="289"/>
      <c r="GW443" s="289"/>
      <c r="GX443" s="288"/>
      <c r="GY443" s="289"/>
      <c r="GZ443" s="289"/>
      <c r="HA443" s="289"/>
      <c r="HB443" s="289"/>
      <c r="HC443" s="289"/>
      <c r="HD443" s="289"/>
      <c r="HE443" s="289"/>
      <c r="HF443" s="289"/>
      <c r="HG443" s="289"/>
      <c r="HH443" s="289"/>
      <c r="HI443" s="12"/>
      <c r="HJ443" s="8"/>
      <c r="HK443" s="13"/>
      <c r="HL443" s="13"/>
      <c r="HM443" s="13"/>
      <c r="HN443" s="13"/>
      <c r="HO443" s="13"/>
      <c r="HP443" s="13"/>
      <c r="HQ443" s="13"/>
      <c r="HR443" s="6"/>
      <c r="HS443" s="8"/>
      <c r="HT443" s="9"/>
      <c r="HU443" s="8"/>
      <c r="HV443" s="10"/>
      <c r="HW443" s="286"/>
      <c r="HX443" s="287"/>
      <c r="HY443" s="11"/>
      <c r="HZ443" s="8"/>
      <c r="IA443" s="7"/>
      <c r="IB443" s="7"/>
      <c r="IC443" s="7"/>
      <c r="ID443" s="7"/>
      <c r="IE443" s="7"/>
      <c r="IF443" s="288"/>
      <c r="IG443" s="288"/>
      <c r="IH443" s="288"/>
      <c r="II443" s="289"/>
      <c r="IJ443" s="289"/>
      <c r="IK443" s="288"/>
      <c r="IL443" s="289"/>
      <c r="IM443" s="289"/>
      <c r="IN443" s="289"/>
      <c r="IO443" s="289"/>
      <c r="IP443" s="289"/>
      <c r="IQ443" s="289"/>
      <c r="IR443" s="289"/>
      <c r="IS443" s="289"/>
      <c r="IT443" s="289"/>
      <c r="IU443" s="289"/>
    </row>
    <row r="444" spans="1:255" s="270" customFormat="1" ht="24" x14ac:dyDescent="0.2">
      <c r="A444" s="89">
        <v>40644</v>
      </c>
      <c r="B444" s="90" t="s">
        <v>4387</v>
      </c>
      <c r="C444" s="90" t="s">
        <v>799</v>
      </c>
      <c r="D444" s="90" t="s">
        <v>2362</v>
      </c>
      <c r="E444" s="90" t="str">
        <f>VLOOKUP(B444&amp;C444,Divipola!$C$2:$F$1138,4,FALSE)</f>
        <v>52287</v>
      </c>
      <c r="F444" s="90"/>
      <c r="G444" s="101"/>
      <c r="H444" s="101"/>
      <c r="I444" s="101"/>
      <c r="J444" s="101">
        <v>212</v>
      </c>
      <c r="K444" s="101">
        <v>192</v>
      </c>
      <c r="L444" s="101"/>
      <c r="M444" s="101"/>
      <c r="N444" s="101"/>
      <c r="O444" s="101"/>
      <c r="P444" s="101"/>
      <c r="Q444" s="101"/>
      <c r="R444" s="101"/>
      <c r="S444" s="101"/>
      <c r="T444" s="101"/>
      <c r="U444" s="101"/>
      <c r="V444" s="101"/>
      <c r="W444" s="91"/>
      <c r="X444" s="89"/>
      <c r="Y444" s="92">
        <f t="shared" si="36"/>
        <v>0</v>
      </c>
      <c r="Z444" s="92">
        <f t="shared" si="37"/>
        <v>0</v>
      </c>
      <c r="AA444" s="92">
        <f t="shared" si="38"/>
        <v>0</v>
      </c>
      <c r="AB444" s="92">
        <f t="shared" si="39"/>
        <v>0</v>
      </c>
      <c r="AC444" s="92"/>
      <c r="AD444" s="92">
        <v>0</v>
      </c>
      <c r="AE444" s="92">
        <f t="shared" si="40"/>
        <v>0</v>
      </c>
      <c r="AF444" s="93">
        <v>0</v>
      </c>
      <c r="AG444" s="89"/>
      <c r="AH444" s="94"/>
      <c r="AI444" s="95" t="s">
        <v>4336</v>
      </c>
      <c r="AJ444" s="96" t="s">
        <v>4337</v>
      </c>
      <c r="AK444" s="97"/>
      <c r="AL444" s="89"/>
      <c r="AM444" s="100" t="s">
        <v>2727</v>
      </c>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114"/>
      <c r="CQ444" s="115"/>
      <c r="CR444" s="114"/>
      <c r="CS444" s="115"/>
      <c r="CT444" s="114"/>
      <c r="CU444" s="115"/>
      <c r="CV444" s="99">
        <f t="shared" si="41"/>
        <v>0</v>
      </c>
      <c r="CW444" s="114"/>
      <c r="CX444" s="115"/>
      <c r="CY444" s="114"/>
      <c r="CZ444" s="115"/>
      <c r="DA444" s="115"/>
      <c r="DB444" s="115"/>
      <c r="DC444" s="114"/>
      <c r="DD444" s="115"/>
      <c r="DE444" s="97"/>
      <c r="DF444" s="269"/>
    </row>
    <row r="445" spans="1:255" s="270" customFormat="1" x14ac:dyDescent="0.2">
      <c r="A445" s="89">
        <v>40644</v>
      </c>
      <c r="B445" s="90" t="s">
        <v>4387</v>
      </c>
      <c r="C445" s="90" t="s">
        <v>3446</v>
      </c>
      <c r="D445" s="90" t="s">
        <v>2362</v>
      </c>
      <c r="E445" s="90" t="str">
        <f>VLOOKUP(B445&amp;C445,Divipola!$C$2:$F$1138,4,FALSE)</f>
        <v>52001</v>
      </c>
      <c r="F445" s="90"/>
      <c r="G445" s="101"/>
      <c r="H445" s="101">
        <v>1</v>
      </c>
      <c r="I445" s="101"/>
      <c r="J445" s="101">
        <v>536</v>
      </c>
      <c r="K445" s="101">
        <v>119</v>
      </c>
      <c r="L445" s="101">
        <v>2</v>
      </c>
      <c r="M445" s="101">
        <v>117</v>
      </c>
      <c r="N445" s="101"/>
      <c r="O445" s="101"/>
      <c r="P445" s="101"/>
      <c r="Q445" s="101"/>
      <c r="R445" s="101"/>
      <c r="S445" s="101"/>
      <c r="T445" s="101"/>
      <c r="U445" s="101"/>
      <c r="V445" s="101"/>
      <c r="W445" s="91"/>
      <c r="X445" s="89"/>
      <c r="Y445" s="92">
        <f t="shared" si="36"/>
        <v>0</v>
      </c>
      <c r="Z445" s="92">
        <f t="shared" si="37"/>
        <v>0</v>
      </c>
      <c r="AA445" s="92">
        <f t="shared" si="38"/>
        <v>0</v>
      </c>
      <c r="AB445" s="92">
        <f t="shared" si="39"/>
        <v>0</v>
      </c>
      <c r="AC445" s="92"/>
      <c r="AD445" s="92">
        <v>0</v>
      </c>
      <c r="AE445" s="92">
        <f t="shared" si="40"/>
        <v>0</v>
      </c>
      <c r="AF445" s="93">
        <v>0</v>
      </c>
      <c r="AG445" s="89">
        <v>40645</v>
      </c>
      <c r="AH445" s="94"/>
      <c r="AI445" s="95" t="s">
        <v>4336</v>
      </c>
      <c r="AJ445" s="96" t="s">
        <v>4337</v>
      </c>
      <c r="AK445" s="97"/>
      <c r="AL445" s="89"/>
      <c r="AM445" s="100" t="s">
        <v>256</v>
      </c>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114"/>
      <c r="CQ445" s="115"/>
      <c r="CR445" s="114"/>
      <c r="CS445" s="115"/>
      <c r="CT445" s="114"/>
      <c r="CU445" s="115"/>
      <c r="CV445" s="99">
        <f t="shared" si="41"/>
        <v>0</v>
      </c>
      <c r="CW445" s="114"/>
      <c r="CX445" s="115"/>
      <c r="CY445" s="114"/>
      <c r="CZ445" s="115"/>
      <c r="DA445" s="115"/>
      <c r="DB445" s="115"/>
      <c r="DC445" s="114"/>
      <c r="DD445" s="115"/>
      <c r="DE445" s="97"/>
      <c r="DF445" s="290"/>
      <c r="DG445" s="291"/>
      <c r="DH445" s="291"/>
      <c r="DI445" s="292"/>
      <c r="DJ445" s="291"/>
      <c r="DK445" s="291"/>
      <c r="DL445" s="293"/>
      <c r="DM445" s="294"/>
      <c r="DN445" s="291"/>
      <c r="DO445" s="291"/>
      <c r="DP445" s="295"/>
      <c r="DQ445" s="296"/>
      <c r="DR445" s="296"/>
      <c r="DS445" s="291"/>
      <c r="DT445" s="291"/>
      <c r="DU445" s="291"/>
      <c r="DV445" s="297"/>
      <c r="DW445" s="297"/>
      <c r="DX445" s="297"/>
      <c r="DY445" s="297"/>
      <c r="DZ445" s="297"/>
      <c r="EA445" s="297"/>
      <c r="EB445" s="297"/>
      <c r="EC445" s="297"/>
      <c r="ED445" s="297"/>
      <c r="EE445" s="297"/>
      <c r="EF445" s="297"/>
      <c r="EG445" s="297"/>
      <c r="EH445" s="292"/>
      <c r="EI445" s="297"/>
      <c r="EJ445" s="297"/>
      <c r="EK445" s="297"/>
      <c r="EL445" s="292"/>
      <c r="EM445" s="297"/>
      <c r="EN445" s="297"/>
      <c r="EO445" s="297"/>
      <c r="EP445" s="292"/>
      <c r="EQ445" s="297"/>
      <c r="ER445" s="297"/>
      <c r="ES445" s="297"/>
      <c r="ET445" s="292"/>
      <c r="EU445" s="297"/>
      <c r="EV445" s="297"/>
      <c r="EW445" s="297"/>
      <c r="EX445" s="292"/>
      <c r="EY445" s="297"/>
      <c r="EZ445" s="297"/>
      <c r="FA445" s="297"/>
      <c r="FB445" s="292"/>
      <c r="FC445" s="297"/>
      <c r="FD445" s="297"/>
      <c r="FE445" s="297"/>
      <c r="FF445" s="292"/>
      <c r="FG445" s="297"/>
      <c r="FH445" s="297"/>
      <c r="FI445" s="297"/>
      <c r="FJ445" s="292"/>
      <c r="FK445" s="297"/>
      <c r="FL445" s="297"/>
      <c r="FM445" s="297"/>
      <c r="FN445" s="292"/>
      <c r="FO445" s="297"/>
      <c r="FP445" s="297"/>
      <c r="FQ445" s="297"/>
      <c r="FR445" s="292"/>
      <c r="FS445" s="297"/>
      <c r="FT445" s="297"/>
      <c r="FU445" s="292"/>
      <c r="FV445" s="293"/>
      <c r="FW445" s="298"/>
      <c r="FX445" s="297"/>
      <c r="FY445" s="297"/>
      <c r="FZ445" s="297"/>
      <c r="GA445" s="297"/>
      <c r="GB445" s="297"/>
      <c r="GC445" s="297"/>
      <c r="GD445" s="295"/>
      <c r="GE445" s="296"/>
      <c r="GF445" s="291"/>
      <c r="GG445" s="291"/>
      <c r="GH445" s="291"/>
      <c r="GI445" s="292"/>
      <c r="GJ445" s="291"/>
      <c r="GK445" s="291"/>
      <c r="GL445" s="293"/>
      <c r="GM445" s="294"/>
      <c r="GN445" s="291"/>
      <c r="GO445" s="291"/>
      <c r="GP445" s="295"/>
      <c r="GQ445" s="296"/>
      <c r="GR445" s="296"/>
      <c r="GS445" s="291"/>
      <c r="GT445" s="291"/>
      <c r="GU445" s="291"/>
      <c r="GV445" s="297"/>
      <c r="GW445" s="297"/>
      <c r="GX445" s="297"/>
      <c r="GY445" s="297"/>
      <c r="GZ445" s="297"/>
      <c r="HA445" s="297"/>
      <c r="HB445" s="297"/>
      <c r="HC445" s="297"/>
      <c r="HD445" s="297"/>
      <c r="HE445" s="297"/>
      <c r="HF445" s="297"/>
      <c r="HG445" s="297"/>
      <c r="HH445" s="292"/>
      <c r="HI445" s="293"/>
      <c r="HJ445" s="298"/>
      <c r="HK445" s="297"/>
      <c r="HL445" s="297"/>
      <c r="HM445" s="297"/>
      <c r="HN445" s="297"/>
      <c r="HO445" s="297"/>
      <c r="HP445" s="297"/>
      <c r="HQ445" s="295"/>
      <c r="HR445" s="296"/>
      <c r="HS445" s="291"/>
      <c r="HT445" s="291"/>
      <c r="HU445" s="291"/>
      <c r="HV445" s="292"/>
      <c r="HW445" s="291"/>
      <c r="HX445" s="291"/>
      <c r="HY445" s="293"/>
      <c r="HZ445" s="294"/>
      <c r="IA445" s="291"/>
      <c r="IB445" s="291"/>
      <c r="IC445" s="295"/>
      <c r="ID445" s="296"/>
      <c r="IE445" s="296"/>
      <c r="IF445" s="291"/>
      <c r="IG445" s="291"/>
      <c r="IH445" s="291"/>
      <c r="II445" s="297"/>
      <c r="IJ445" s="297"/>
      <c r="IK445" s="297"/>
      <c r="IL445" s="297"/>
      <c r="IM445" s="297"/>
      <c r="IN445" s="297"/>
      <c r="IO445" s="297"/>
      <c r="IP445" s="297"/>
      <c r="IQ445" s="297"/>
      <c r="IR445" s="297"/>
      <c r="IS445" s="297"/>
      <c r="IT445" s="297"/>
      <c r="IU445" s="292"/>
    </row>
    <row r="446" spans="1:255" s="270" customFormat="1" ht="96" x14ac:dyDescent="0.2">
      <c r="A446" s="89">
        <v>40644</v>
      </c>
      <c r="B446" s="90" t="s">
        <v>4350</v>
      </c>
      <c r="C446" s="90" t="s">
        <v>4252</v>
      </c>
      <c r="D446" s="90" t="s">
        <v>2362</v>
      </c>
      <c r="E446" s="90" t="str">
        <f>VLOOKUP(B446&amp;C446,Divipola!$C$2:$F$1138,4,FALSE)</f>
        <v>63690</v>
      </c>
      <c r="F446" s="90"/>
      <c r="G446" s="101"/>
      <c r="H446" s="101"/>
      <c r="I446" s="101"/>
      <c r="J446" s="101">
        <f>124*5</f>
        <v>620</v>
      </c>
      <c r="K446" s="101">
        <v>124</v>
      </c>
      <c r="L446" s="101"/>
      <c r="M446" s="101"/>
      <c r="N446" s="101">
        <v>9</v>
      </c>
      <c r="O446" s="101"/>
      <c r="P446" s="101"/>
      <c r="Q446" s="101"/>
      <c r="R446" s="101"/>
      <c r="S446" s="101"/>
      <c r="T446" s="101"/>
      <c r="U446" s="101"/>
      <c r="V446" s="101"/>
      <c r="W446" s="91"/>
      <c r="X446" s="89"/>
      <c r="Y446" s="92">
        <f t="shared" si="36"/>
        <v>0</v>
      </c>
      <c r="Z446" s="92">
        <f t="shared" si="37"/>
        <v>0</v>
      </c>
      <c r="AA446" s="92">
        <f t="shared" si="38"/>
        <v>0</v>
      </c>
      <c r="AB446" s="92">
        <f t="shared" si="39"/>
        <v>0</v>
      </c>
      <c r="AC446" s="92"/>
      <c r="AD446" s="92">
        <v>70000000</v>
      </c>
      <c r="AE446" s="92">
        <f t="shared" si="40"/>
        <v>70000000</v>
      </c>
      <c r="AF446" s="93">
        <v>0</v>
      </c>
      <c r="AG446" s="89">
        <v>40645</v>
      </c>
      <c r="AH446" s="94"/>
      <c r="AI446" s="95" t="s">
        <v>4346</v>
      </c>
      <c r="AJ446" s="96" t="s">
        <v>4347</v>
      </c>
      <c r="AK446" s="97"/>
      <c r="AL446" s="89"/>
      <c r="AM446" s="100" t="s">
        <v>988</v>
      </c>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114"/>
      <c r="CQ446" s="115"/>
      <c r="CR446" s="114"/>
      <c r="CS446" s="115"/>
      <c r="CT446" s="114"/>
      <c r="CU446" s="115"/>
      <c r="CV446" s="99">
        <f t="shared" si="41"/>
        <v>0</v>
      </c>
      <c r="CW446" s="114"/>
      <c r="CX446" s="115"/>
      <c r="CY446" s="114"/>
      <c r="CZ446" s="115"/>
      <c r="DA446" s="115"/>
      <c r="DB446" s="115"/>
      <c r="DC446" s="114"/>
      <c r="DD446" s="115"/>
      <c r="DE446" s="97">
        <v>2</v>
      </c>
      <c r="DF446" s="290"/>
      <c r="DG446" s="291"/>
      <c r="DH446" s="291"/>
      <c r="DI446" s="292"/>
      <c r="DJ446" s="291"/>
      <c r="DK446" s="291"/>
      <c r="DL446" s="293"/>
      <c r="DM446" s="294"/>
      <c r="DN446" s="291"/>
      <c r="DO446" s="291"/>
      <c r="DP446" s="295"/>
      <c r="DQ446" s="296"/>
      <c r="DR446" s="296"/>
      <c r="DS446" s="291"/>
      <c r="DT446" s="291"/>
      <c r="DU446" s="291"/>
      <c r="DV446" s="297"/>
      <c r="DW446" s="297"/>
      <c r="DX446" s="297"/>
      <c r="DY446" s="297"/>
      <c r="DZ446" s="297"/>
      <c r="EA446" s="297"/>
      <c r="EB446" s="297"/>
      <c r="EC446" s="297"/>
      <c r="ED446" s="297"/>
      <c r="EE446" s="297"/>
      <c r="EF446" s="297"/>
      <c r="EG446" s="297"/>
      <c r="EH446" s="292"/>
      <c r="EI446" s="297"/>
      <c r="EJ446" s="297"/>
      <c r="EK446" s="297"/>
      <c r="EL446" s="292"/>
      <c r="EM446" s="297"/>
      <c r="EN446" s="297"/>
      <c r="EO446" s="297"/>
      <c r="EP446" s="292"/>
      <c r="EQ446" s="297"/>
      <c r="ER446" s="297"/>
      <c r="ES446" s="297"/>
      <c r="ET446" s="292"/>
      <c r="EU446" s="297"/>
      <c r="EV446" s="297"/>
      <c r="EW446" s="297"/>
      <c r="EX446" s="292"/>
      <c r="EY446" s="297"/>
      <c r="EZ446" s="297"/>
      <c r="FA446" s="297"/>
      <c r="FB446" s="292"/>
      <c r="FC446" s="297"/>
      <c r="FD446" s="297"/>
      <c r="FE446" s="297"/>
      <c r="FF446" s="292"/>
      <c r="FG446" s="297"/>
      <c r="FH446" s="297"/>
      <c r="FI446" s="297"/>
      <c r="FJ446" s="292"/>
      <c r="FK446" s="297"/>
      <c r="FL446" s="297"/>
      <c r="FM446" s="297"/>
      <c r="FN446" s="292"/>
      <c r="FO446" s="297"/>
      <c r="FP446" s="297"/>
      <c r="FQ446" s="297"/>
      <c r="FR446" s="292"/>
      <c r="FS446" s="297"/>
      <c r="FT446" s="297"/>
      <c r="FU446" s="292"/>
      <c r="FV446" s="293"/>
      <c r="FW446" s="298"/>
      <c r="FX446" s="297"/>
      <c r="FY446" s="297"/>
      <c r="FZ446" s="297"/>
      <c r="GA446" s="297"/>
      <c r="GB446" s="297"/>
      <c r="GC446" s="297"/>
      <c r="GD446" s="295"/>
      <c r="GE446" s="296"/>
      <c r="GF446" s="291"/>
      <c r="GG446" s="291"/>
      <c r="GH446" s="291"/>
      <c r="GI446" s="292"/>
      <c r="GJ446" s="291"/>
      <c r="GK446" s="291"/>
      <c r="GL446" s="293"/>
      <c r="GM446" s="294"/>
      <c r="GN446" s="291"/>
      <c r="GO446" s="291"/>
      <c r="GP446" s="295"/>
      <c r="GQ446" s="296"/>
      <c r="GR446" s="296"/>
      <c r="GS446" s="291"/>
      <c r="GT446" s="291"/>
      <c r="GU446" s="291"/>
      <c r="GV446" s="297"/>
      <c r="GW446" s="297"/>
      <c r="GX446" s="297"/>
      <c r="GY446" s="297"/>
      <c r="GZ446" s="297"/>
      <c r="HA446" s="297"/>
      <c r="HB446" s="297"/>
      <c r="HC446" s="297"/>
      <c r="HD446" s="297"/>
      <c r="HE446" s="297"/>
      <c r="HF446" s="297"/>
      <c r="HG446" s="297"/>
      <c r="HH446" s="292"/>
      <c r="HI446" s="293"/>
      <c r="HJ446" s="298"/>
      <c r="HK446" s="297"/>
      <c r="HL446" s="297"/>
      <c r="HM446" s="297"/>
      <c r="HN446" s="297"/>
      <c r="HO446" s="297"/>
      <c r="HP446" s="297"/>
      <c r="HQ446" s="295"/>
      <c r="HR446" s="296"/>
      <c r="HS446" s="291"/>
      <c r="HT446" s="291"/>
      <c r="HU446" s="291"/>
      <c r="HV446" s="292"/>
      <c r="HW446" s="291"/>
      <c r="HX446" s="291"/>
      <c r="HY446" s="293"/>
      <c r="HZ446" s="294"/>
      <c r="IA446" s="291"/>
      <c r="IB446" s="291"/>
      <c r="IC446" s="295"/>
      <c r="ID446" s="296"/>
      <c r="IE446" s="296"/>
      <c r="IF446" s="291"/>
      <c r="IG446" s="291"/>
      <c r="IH446" s="291"/>
      <c r="II446" s="297"/>
      <c r="IJ446" s="297"/>
      <c r="IK446" s="297"/>
      <c r="IL446" s="297"/>
      <c r="IM446" s="297"/>
      <c r="IN446" s="297"/>
      <c r="IO446" s="297"/>
      <c r="IP446" s="297"/>
      <c r="IQ446" s="297"/>
      <c r="IR446" s="297"/>
      <c r="IS446" s="297"/>
      <c r="IT446" s="297"/>
      <c r="IU446" s="292"/>
    </row>
    <row r="447" spans="1:255" s="270" customFormat="1" x14ac:dyDescent="0.2">
      <c r="A447" s="89">
        <v>40644</v>
      </c>
      <c r="B447" s="90" t="s">
        <v>4348</v>
      </c>
      <c r="C447" s="90" t="s">
        <v>3338</v>
      </c>
      <c r="D447" s="90" t="s">
        <v>2362</v>
      </c>
      <c r="E447" s="90" t="str">
        <f>VLOOKUP(B447&amp;C447,Divipola!$C$2:$F$1138,4,FALSE)</f>
        <v>66088</v>
      </c>
      <c r="F447" s="90"/>
      <c r="G447" s="101"/>
      <c r="H447" s="101"/>
      <c r="I447" s="101"/>
      <c r="J447" s="101">
        <v>20</v>
      </c>
      <c r="K447" s="101">
        <v>1</v>
      </c>
      <c r="L447" s="101">
        <v>1</v>
      </c>
      <c r="M447" s="101"/>
      <c r="N447" s="101"/>
      <c r="O447" s="101"/>
      <c r="P447" s="101"/>
      <c r="Q447" s="101"/>
      <c r="R447" s="101"/>
      <c r="S447" s="101"/>
      <c r="T447" s="101"/>
      <c r="U447" s="101"/>
      <c r="V447" s="101"/>
      <c r="W447" s="91"/>
      <c r="X447" s="89"/>
      <c r="Y447" s="92">
        <f t="shared" si="36"/>
        <v>0</v>
      </c>
      <c r="Z447" s="92">
        <f t="shared" si="37"/>
        <v>0</v>
      </c>
      <c r="AA447" s="92">
        <f t="shared" si="38"/>
        <v>0</v>
      </c>
      <c r="AB447" s="92">
        <f t="shared" si="39"/>
        <v>0</v>
      </c>
      <c r="AC447" s="92"/>
      <c r="AD447" s="92">
        <v>0</v>
      </c>
      <c r="AE447" s="92">
        <f t="shared" si="40"/>
        <v>0</v>
      </c>
      <c r="AF447" s="93">
        <v>0</v>
      </c>
      <c r="AG447" s="89"/>
      <c r="AH447" s="94"/>
      <c r="AI447" s="95" t="s">
        <v>4336</v>
      </c>
      <c r="AJ447" s="96" t="s">
        <v>4337</v>
      </c>
      <c r="AK447" s="284"/>
      <c r="AL447" s="285"/>
      <c r="AM447" s="100" t="s">
        <v>3269</v>
      </c>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114"/>
      <c r="CQ447" s="115"/>
      <c r="CR447" s="114"/>
      <c r="CS447" s="115"/>
      <c r="CT447" s="114"/>
      <c r="CU447" s="115"/>
      <c r="CV447" s="99">
        <f t="shared" si="41"/>
        <v>0</v>
      </c>
      <c r="CW447" s="114"/>
      <c r="CX447" s="115"/>
      <c r="CY447" s="114"/>
      <c r="CZ447" s="115"/>
      <c r="DA447" s="115"/>
      <c r="DB447" s="115"/>
      <c r="DC447" s="114"/>
      <c r="DD447" s="115"/>
      <c r="DE447" s="97"/>
      <c r="DF447" s="269"/>
    </row>
    <row r="448" spans="1:255" s="270" customFormat="1" ht="22.5" x14ac:dyDescent="0.2">
      <c r="A448" s="89">
        <v>40644</v>
      </c>
      <c r="B448" s="90" t="s">
        <v>4348</v>
      </c>
      <c r="C448" s="90" t="s">
        <v>4365</v>
      </c>
      <c r="D448" s="90" t="s">
        <v>2362</v>
      </c>
      <c r="E448" s="90" t="str">
        <f>VLOOKUP(B448&amp;C448,Divipola!$C$2:$F$1138,4,FALSE)</f>
        <v>66682</v>
      </c>
      <c r="F448" s="101"/>
      <c r="G448" s="101"/>
      <c r="H448" s="101"/>
      <c r="I448" s="101"/>
      <c r="J448" s="101">
        <v>20</v>
      </c>
      <c r="K448" s="101">
        <v>4</v>
      </c>
      <c r="L448" s="101">
        <v>4</v>
      </c>
      <c r="M448" s="101"/>
      <c r="N448" s="101"/>
      <c r="O448" s="101"/>
      <c r="P448" s="101"/>
      <c r="Q448" s="101"/>
      <c r="R448" s="101"/>
      <c r="S448" s="101"/>
      <c r="T448" s="101"/>
      <c r="U448" s="91"/>
      <c r="V448" s="89"/>
      <c r="W448" s="92"/>
      <c r="X448" s="92"/>
      <c r="Y448" s="92">
        <f t="shared" si="36"/>
        <v>0</v>
      </c>
      <c r="Z448" s="92">
        <f t="shared" si="37"/>
        <v>0</v>
      </c>
      <c r="AA448" s="92">
        <f t="shared" si="38"/>
        <v>0</v>
      </c>
      <c r="AB448" s="92">
        <f t="shared" si="39"/>
        <v>0</v>
      </c>
      <c r="AC448" s="92"/>
      <c r="AD448" s="92">
        <v>0</v>
      </c>
      <c r="AE448" s="92">
        <f t="shared" si="40"/>
        <v>0</v>
      </c>
      <c r="AF448" s="93">
        <v>0</v>
      </c>
      <c r="AG448" s="89"/>
      <c r="AH448" s="96"/>
      <c r="AI448" s="102" t="s">
        <v>4336</v>
      </c>
      <c r="AJ448" s="96" t="s">
        <v>4337</v>
      </c>
      <c r="AK448" s="100"/>
      <c r="AL448" s="89"/>
      <c r="AM448" s="90" t="s">
        <v>319</v>
      </c>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114"/>
      <c r="CQ448" s="115"/>
      <c r="CR448" s="114"/>
      <c r="CS448" s="115"/>
      <c r="CT448" s="114"/>
      <c r="CU448" s="115"/>
      <c r="CV448" s="99">
        <f t="shared" si="41"/>
        <v>0</v>
      </c>
      <c r="CW448" s="114"/>
      <c r="CX448" s="115"/>
      <c r="CY448" s="114"/>
      <c r="CZ448" s="115"/>
      <c r="DA448" s="115"/>
      <c r="DB448" s="115"/>
      <c r="DC448" s="114"/>
      <c r="DD448" s="115"/>
      <c r="DE448" s="97"/>
      <c r="DF448" s="269"/>
    </row>
    <row r="449" spans="1:255" s="270" customFormat="1" ht="24" x14ac:dyDescent="0.2">
      <c r="A449" s="89">
        <v>40644</v>
      </c>
      <c r="B449" s="90" t="s">
        <v>4348</v>
      </c>
      <c r="C449" s="90" t="s">
        <v>4320</v>
      </c>
      <c r="D449" s="90" t="s">
        <v>2362</v>
      </c>
      <c r="E449" s="90" t="str">
        <f>VLOOKUP(B449&amp;C449,Divipola!$C$2:$F$1138,4,FALSE)</f>
        <v>66687</v>
      </c>
      <c r="F449" s="90"/>
      <c r="G449" s="101"/>
      <c r="H449" s="101"/>
      <c r="I449" s="101"/>
      <c r="J449" s="101">
        <v>65</v>
      </c>
      <c r="K449" s="101">
        <v>11</v>
      </c>
      <c r="L449" s="101"/>
      <c r="M449" s="101">
        <v>11</v>
      </c>
      <c r="N449" s="101"/>
      <c r="O449" s="101"/>
      <c r="P449" s="101"/>
      <c r="Q449" s="101"/>
      <c r="R449" s="101"/>
      <c r="S449" s="101"/>
      <c r="T449" s="101"/>
      <c r="U449" s="101"/>
      <c r="V449" s="101"/>
      <c r="W449" s="91"/>
      <c r="X449" s="89"/>
      <c r="Y449" s="92">
        <f t="shared" si="36"/>
        <v>0</v>
      </c>
      <c r="Z449" s="92">
        <f t="shared" si="37"/>
        <v>0</v>
      </c>
      <c r="AA449" s="92">
        <f t="shared" si="38"/>
        <v>0</v>
      </c>
      <c r="AB449" s="92">
        <f t="shared" si="39"/>
        <v>0</v>
      </c>
      <c r="AC449" s="92"/>
      <c r="AD449" s="92">
        <v>0</v>
      </c>
      <c r="AE449" s="92">
        <f t="shared" si="40"/>
        <v>0</v>
      </c>
      <c r="AF449" s="93">
        <v>0</v>
      </c>
      <c r="AG449" s="89">
        <v>40645</v>
      </c>
      <c r="AH449" s="94"/>
      <c r="AI449" s="95" t="s">
        <v>4336</v>
      </c>
      <c r="AJ449" s="96" t="s">
        <v>4337</v>
      </c>
      <c r="AK449" s="97"/>
      <c r="AL449" s="89"/>
      <c r="AM449" s="100" t="s">
        <v>2015</v>
      </c>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114"/>
      <c r="CQ449" s="115"/>
      <c r="CR449" s="114"/>
      <c r="CS449" s="115"/>
      <c r="CT449" s="114"/>
      <c r="CU449" s="115"/>
      <c r="CV449" s="99">
        <f t="shared" si="41"/>
        <v>0</v>
      </c>
      <c r="CW449" s="114"/>
      <c r="CX449" s="115"/>
      <c r="CY449" s="114"/>
      <c r="CZ449" s="115"/>
      <c r="DA449" s="115"/>
      <c r="DB449" s="115"/>
      <c r="DC449" s="114"/>
      <c r="DD449" s="115"/>
      <c r="DE449" s="97"/>
      <c r="DF449" s="269"/>
    </row>
    <row r="450" spans="1:255" s="270" customFormat="1" ht="22.5" x14ac:dyDescent="0.2">
      <c r="A450" s="89">
        <v>40644</v>
      </c>
      <c r="B450" s="90" t="s">
        <v>2226</v>
      </c>
      <c r="C450" s="90" t="s">
        <v>3499</v>
      </c>
      <c r="D450" s="90" t="s">
        <v>4264</v>
      </c>
      <c r="E450" s="90" t="str">
        <f>VLOOKUP(B450&amp;C450,Divipola!$C$2:$F$1138,4,FALSE)</f>
        <v>68655</v>
      </c>
      <c r="F450" s="90"/>
      <c r="G450" s="101"/>
      <c r="H450" s="101"/>
      <c r="I450" s="101"/>
      <c r="J450" s="101">
        <f>135*4.5</f>
        <v>607.5</v>
      </c>
      <c r="K450" s="101">
        <v>135</v>
      </c>
      <c r="L450" s="101"/>
      <c r="M450" s="101">
        <v>135</v>
      </c>
      <c r="N450" s="101"/>
      <c r="O450" s="101"/>
      <c r="P450" s="101"/>
      <c r="Q450" s="101"/>
      <c r="R450" s="101"/>
      <c r="S450" s="101"/>
      <c r="T450" s="101"/>
      <c r="U450" s="101"/>
      <c r="V450" s="101">
        <v>6</v>
      </c>
      <c r="W450" s="91" t="s">
        <v>226</v>
      </c>
      <c r="X450" s="89"/>
      <c r="Y450" s="92">
        <f t="shared" si="36"/>
        <v>0</v>
      </c>
      <c r="Z450" s="92">
        <f t="shared" si="37"/>
        <v>0</v>
      </c>
      <c r="AA450" s="92">
        <f t="shared" si="38"/>
        <v>0</v>
      </c>
      <c r="AB450" s="92">
        <f t="shared" si="39"/>
        <v>0</v>
      </c>
      <c r="AC450" s="92"/>
      <c r="AD450" s="92">
        <v>0</v>
      </c>
      <c r="AE450" s="92">
        <f t="shared" si="40"/>
        <v>0</v>
      </c>
      <c r="AF450" s="93">
        <v>0</v>
      </c>
      <c r="AG450" s="89">
        <v>40645</v>
      </c>
      <c r="AH450" s="94"/>
      <c r="AI450" s="95" t="s">
        <v>4346</v>
      </c>
      <c r="AJ450" s="96" t="s">
        <v>4347</v>
      </c>
      <c r="AK450" s="97"/>
      <c r="AL450" s="89" t="s">
        <v>1049</v>
      </c>
      <c r="AM450" s="100" t="s">
        <v>225</v>
      </c>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114"/>
      <c r="CQ450" s="115"/>
      <c r="CR450" s="114"/>
      <c r="CS450" s="115"/>
      <c r="CT450" s="114"/>
      <c r="CU450" s="115"/>
      <c r="CV450" s="99">
        <f t="shared" si="41"/>
        <v>0</v>
      </c>
      <c r="CW450" s="114"/>
      <c r="CX450" s="115"/>
      <c r="CY450" s="114"/>
      <c r="CZ450" s="115"/>
      <c r="DA450" s="115"/>
      <c r="DB450" s="115"/>
      <c r="DC450" s="114"/>
      <c r="DD450" s="115"/>
      <c r="DE450" s="97"/>
      <c r="DF450" s="269"/>
      <c r="DG450" s="9"/>
      <c r="DH450" s="8"/>
      <c r="DI450" s="10"/>
      <c r="DJ450" s="286"/>
      <c r="DK450" s="299"/>
      <c r="DL450" s="11"/>
      <c r="DM450" s="8"/>
      <c r="DN450" s="7"/>
      <c r="DO450" s="7"/>
      <c r="DP450" s="7"/>
      <c r="DQ450" s="7"/>
      <c r="DR450" s="7"/>
      <c r="DS450" s="288"/>
      <c r="DT450" s="288"/>
      <c r="DU450" s="288"/>
      <c r="DV450" s="289"/>
      <c r="DW450" s="289"/>
      <c r="DX450" s="289"/>
      <c r="DY450" s="289"/>
      <c r="DZ450" s="289"/>
      <c r="EA450" s="289"/>
      <c r="EB450" s="289"/>
      <c r="EC450" s="289"/>
      <c r="ED450" s="289"/>
      <c r="EE450" s="289"/>
      <c r="EF450" s="289"/>
      <c r="EG450" s="289"/>
      <c r="EH450" s="289"/>
      <c r="EI450" s="289"/>
      <c r="EJ450" s="289"/>
      <c r="EK450" s="289"/>
      <c r="EL450" s="289"/>
      <c r="EM450" s="289"/>
      <c r="EN450" s="289"/>
      <c r="EO450" s="289"/>
      <c r="EP450" s="289"/>
      <c r="EQ450" s="289"/>
      <c r="ER450" s="289"/>
      <c r="ES450" s="289"/>
      <c r="ET450" s="289"/>
      <c r="EU450" s="289"/>
      <c r="EV450" s="289"/>
      <c r="EW450" s="289"/>
      <c r="EX450" s="289"/>
      <c r="EY450" s="289"/>
      <c r="EZ450" s="289"/>
      <c r="FA450" s="289"/>
      <c r="FB450" s="289"/>
      <c r="FC450" s="289"/>
      <c r="FD450" s="289"/>
      <c r="FE450" s="289"/>
      <c r="FF450" s="289"/>
      <c r="FG450" s="289"/>
      <c r="FH450" s="289"/>
      <c r="FI450" s="289"/>
      <c r="FJ450" s="289"/>
      <c r="FK450" s="289"/>
      <c r="FL450" s="289"/>
      <c r="FM450" s="289"/>
      <c r="FN450" s="289"/>
      <c r="FO450" s="289"/>
      <c r="FP450" s="289"/>
      <c r="FQ450" s="289"/>
      <c r="FR450" s="289"/>
      <c r="FS450" s="289"/>
      <c r="FT450" s="289"/>
      <c r="FU450" s="289"/>
      <c r="FV450" s="12"/>
      <c r="FW450" s="8"/>
      <c r="FX450" s="13"/>
      <c r="FY450" s="13"/>
      <c r="FZ450" s="13"/>
      <c r="GA450" s="13"/>
      <c r="GB450" s="13"/>
      <c r="GC450" s="13"/>
      <c r="GD450" s="13"/>
      <c r="GE450" s="6"/>
      <c r="GF450" s="8"/>
      <c r="GG450" s="9"/>
      <c r="GH450" s="8"/>
      <c r="GI450" s="10"/>
      <c r="GJ450" s="286"/>
      <c r="GK450" s="299"/>
      <c r="GL450" s="11"/>
      <c r="GM450" s="8"/>
      <c r="GN450" s="7"/>
      <c r="GO450" s="7"/>
      <c r="GP450" s="7"/>
      <c r="GQ450" s="7"/>
      <c r="GR450" s="7"/>
      <c r="GS450" s="288"/>
      <c r="GT450" s="288"/>
      <c r="GU450" s="288"/>
      <c r="GV450" s="289"/>
      <c r="GW450" s="289"/>
      <c r="GX450" s="289"/>
      <c r="GY450" s="289"/>
      <c r="GZ450" s="289"/>
      <c r="HA450" s="289"/>
      <c r="HB450" s="289"/>
      <c r="HC450" s="289"/>
      <c r="HD450" s="289"/>
      <c r="HE450" s="289"/>
      <c r="HF450" s="289"/>
      <c r="HG450" s="289"/>
      <c r="HH450" s="289"/>
      <c r="HI450" s="12"/>
      <c r="HJ450" s="8"/>
      <c r="HK450" s="13"/>
      <c r="HL450" s="13"/>
      <c r="HM450" s="13"/>
      <c r="HN450" s="13"/>
      <c r="HO450" s="13"/>
      <c r="HP450" s="13"/>
      <c r="HQ450" s="13"/>
      <c r="HR450" s="6"/>
      <c r="HS450" s="8"/>
      <c r="HT450" s="9"/>
      <c r="HU450" s="8"/>
      <c r="HV450" s="10"/>
      <c r="HW450" s="286"/>
      <c r="HX450" s="299"/>
      <c r="HY450" s="11"/>
      <c r="HZ450" s="8"/>
      <c r="IA450" s="7"/>
      <c r="IB450" s="7"/>
      <c r="IC450" s="7"/>
      <c r="ID450" s="7"/>
      <c r="IE450" s="7"/>
      <c r="IF450" s="288"/>
      <c r="IG450" s="288"/>
      <c r="IH450" s="288"/>
      <c r="II450" s="289"/>
      <c r="IJ450" s="289"/>
      <c r="IK450" s="289"/>
      <c r="IL450" s="289"/>
      <c r="IM450" s="289"/>
      <c r="IN450" s="289"/>
      <c r="IO450" s="289"/>
      <c r="IP450" s="289"/>
      <c r="IQ450" s="289"/>
      <c r="IR450" s="289"/>
      <c r="IS450" s="289"/>
      <c r="IT450" s="289"/>
      <c r="IU450" s="289"/>
    </row>
    <row r="451" spans="1:255" s="270" customFormat="1" ht="84" x14ac:dyDescent="0.2">
      <c r="A451" s="89">
        <v>40644</v>
      </c>
      <c r="B451" s="90" t="s">
        <v>3316</v>
      </c>
      <c r="C451" s="90" t="s">
        <v>3323</v>
      </c>
      <c r="D451" s="90" t="s">
        <v>4264</v>
      </c>
      <c r="E451" s="90" t="str">
        <f>VLOOKUP(B451&amp;C451,Divipola!$C$2:$F$1138,4,FALSE)</f>
        <v>73275</v>
      </c>
      <c r="F451" s="90"/>
      <c r="G451" s="101"/>
      <c r="H451" s="101"/>
      <c r="I451" s="101"/>
      <c r="J451" s="101">
        <v>1750</v>
      </c>
      <c r="K451" s="101">
        <v>350</v>
      </c>
      <c r="L451" s="101">
        <v>8</v>
      </c>
      <c r="M451" s="101">
        <v>342</v>
      </c>
      <c r="N451" s="101"/>
      <c r="O451" s="101"/>
      <c r="P451" s="101"/>
      <c r="Q451" s="101"/>
      <c r="R451" s="101"/>
      <c r="S451" s="101"/>
      <c r="T451" s="101"/>
      <c r="U451" s="101"/>
      <c r="V451" s="101"/>
      <c r="W451" s="91"/>
      <c r="X451" s="89"/>
      <c r="Y451" s="92">
        <f t="shared" ref="Y451:Y514" si="42">CV451</f>
        <v>0</v>
      </c>
      <c r="Z451" s="92">
        <f t="shared" ref="Z451:Z514" si="43">CZ451</f>
        <v>0</v>
      </c>
      <c r="AA451" s="92">
        <f t="shared" ref="AA451:AA514" si="44">DB451+DD451</f>
        <v>0</v>
      </c>
      <c r="AB451" s="92">
        <f t="shared" ref="AB451:AB514" si="45">CX451</f>
        <v>0</v>
      </c>
      <c r="AC451" s="92"/>
      <c r="AD451" s="92">
        <v>0</v>
      </c>
      <c r="AE451" s="92">
        <f t="shared" ref="AE451:AE514" si="46">Y451+Z451+AA451+AB451+AC451+AD451</f>
        <v>0</v>
      </c>
      <c r="AF451" s="93">
        <v>0</v>
      </c>
      <c r="AG451" s="89"/>
      <c r="AH451" s="94"/>
      <c r="AI451" s="95" t="s">
        <v>4346</v>
      </c>
      <c r="AJ451" s="96" t="s">
        <v>4347</v>
      </c>
      <c r="AK451" s="97"/>
      <c r="AL451" s="89" t="s">
        <v>2798</v>
      </c>
      <c r="AM451" s="100" t="s">
        <v>3634</v>
      </c>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114"/>
      <c r="CQ451" s="115"/>
      <c r="CR451" s="114"/>
      <c r="CS451" s="115"/>
      <c r="CT451" s="114"/>
      <c r="CU451" s="115"/>
      <c r="CV451" s="99">
        <f t="shared" ref="CV451:CV514" si="47">AO451+AQ451+AS451+AU451+AW451+AY451+BA451+BC451+BE451+BG451+BI451+BK451+BM451+BO451+BQ451+BS451+BU451+BW451+BY451+CA451+CC451+CE451+CG451+CI451+CK451+CM451+CO451+CQ451+CS451+CU451</f>
        <v>0</v>
      </c>
      <c r="CW451" s="114"/>
      <c r="CX451" s="115"/>
      <c r="CY451" s="114"/>
      <c r="CZ451" s="115"/>
      <c r="DA451" s="115"/>
      <c r="DB451" s="115"/>
      <c r="DC451" s="114"/>
      <c r="DD451" s="115"/>
      <c r="DE451" s="97"/>
      <c r="DF451" s="269"/>
    </row>
    <row r="452" spans="1:255" s="270" customFormat="1" ht="192" x14ac:dyDescent="0.2">
      <c r="A452" s="89">
        <v>40644</v>
      </c>
      <c r="B452" s="106" t="s">
        <v>3316</v>
      </c>
      <c r="C452" s="106" t="s">
        <v>4234</v>
      </c>
      <c r="D452" s="90" t="s">
        <v>4264</v>
      </c>
      <c r="E452" s="90" t="str">
        <f>VLOOKUP(B452&amp;C452,Divipola!$C$2:$F$1138,4,FALSE)</f>
        <v>73349</v>
      </c>
      <c r="F452" s="90"/>
      <c r="G452" s="129"/>
      <c r="H452" s="129"/>
      <c r="I452" s="129"/>
      <c r="J452" s="129">
        <v>4280</v>
      </c>
      <c r="K452" s="129">
        <v>856</v>
      </c>
      <c r="L452" s="129"/>
      <c r="M452" s="129">
        <v>856</v>
      </c>
      <c r="N452" s="129"/>
      <c r="O452" s="129"/>
      <c r="P452" s="129"/>
      <c r="Q452" s="129"/>
      <c r="R452" s="129"/>
      <c r="S452" s="129"/>
      <c r="T452" s="129"/>
      <c r="U452" s="129"/>
      <c r="V452" s="129"/>
      <c r="W452" s="107"/>
      <c r="X452" s="105"/>
      <c r="Y452" s="117">
        <f t="shared" si="42"/>
        <v>316783515</v>
      </c>
      <c r="Z452" s="117">
        <f t="shared" si="43"/>
        <v>204000000</v>
      </c>
      <c r="AA452" s="117">
        <f t="shared" si="44"/>
        <v>0</v>
      </c>
      <c r="AB452" s="117">
        <f t="shared" si="45"/>
        <v>0</v>
      </c>
      <c r="AC452" s="122">
        <f>200*25000+250*55000+5*1716800+5*2784000+50*233566+50*66352+500*20880+4*14529754</f>
        <v>124808916</v>
      </c>
      <c r="AD452" s="117">
        <v>321182290</v>
      </c>
      <c r="AE452" s="92">
        <f t="shared" si="46"/>
        <v>966774721</v>
      </c>
      <c r="AF452" s="93">
        <v>0</v>
      </c>
      <c r="AG452" s="105">
        <v>0</v>
      </c>
      <c r="AH452" s="108"/>
      <c r="AI452" s="109" t="s">
        <v>4346</v>
      </c>
      <c r="AJ452" s="110" t="s">
        <v>4347</v>
      </c>
      <c r="AK452" s="111"/>
      <c r="AL452" s="105"/>
      <c r="AM452" s="112" t="s">
        <v>2028</v>
      </c>
      <c r="AN452" s="107"/>
      <c r="AO452" s="107"/>
      <c r="AP452" s="107"/>
      <c r="AQ452" s="107"/>
      <c r="AR452" s="107"/>
      <c r="AS452" s="107"/>
      <c r="AT452" s="107"/>
      <c r="AU452" s="107"/>
      <c r="AV452" s="91"/>
      <c r="AW452" s="91"/>
      <c r="AX452" s="107">
        <v>50</v>
      </c>
      <c r="AY452" s="107">
        <f>50*450000</f>
        <v>22500000</v>
      </c>
      <c r="AZ452" s="107">
        <v>2400</v>
      </c>
      <c r="BA452" s="107">
        <f>2400*56000</f>
        <v>134400000</v>
      </c>
      <c r="BB452" s="107"/>
      <c r="BC452" s="107"/>
      <c r="BD452" s="107">
        <v>100</v>
      </c>
      <c r="BE452" s="107">
        <f>100*26448</f>
        <v>2644800</v>
      </c>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f>10+25</f>
        <v>35</v>
      </c>
      <c r="CA452" s="107">
        <f>35*498249</f>
        <v>17438715</v>
      </c>
      <c r="CB452" s="107"/>
      <c r="CC452" s="107"/>
      <c r="CD452" s="107"/>
      <c r="CE452" s="107"/>
      <c r="CF452" s="107"/>
      <c r="CG452" s="107"/>
      <c r="CH452" s="107"/>
      <c r="CI452" s="107"/>
      <c r="CJ452" s="107">
        <v>2400</v>
      </c>
      <c r="CK452" s="107">
        <f>1200*21000+1200*21500</f>
        <v>51000000</v>
      </c>
      <c r="CL452" s="107"/>
      <c r="CM452" s="107"/>
      <c r="CN452" s="107"/>
      <c r="CO452" s="107"/>
      <c r="CP452" s="118">
        <v>2400</v>
      </c>
      <c r="CQ452" s="119">
        <f>2400*37000</f>
        <v>88800000</v>
      </c>
      <c r="CR452" s="118"/>
      <c r="CS452" s="119"/>
      <c r="CT452" s="118"/>
      <c r="CU452" s="119"/>
      <c r="CV452" s="99">
        <f t="shared" si="47"/>
        <v>316783515</v>
      </c>
      <c r="CW452" s="118"/>
      <c r="CX452" s="119"/>
      <c r="CY452" s="118">
        <v>2400</v>
      </c>
      <c r="CZ452" s="119">
        <f>2400*85000</f>
        <v>204000000</v>
      </c>
      <c r="DA452" s="119"/>
      <c r="DB452" s="119"/>
      <c r="DC452" s="118"/>
      <c r="DD452" s="119"/>
      <c r="DE452" s="300" t="s">
        <v>1010</v>
      </c>
      <c r="DF452" s="269"/>
    </row>
    <row r="453" spans="1:255" s="270" customFormat="1" ht="48" x14ac:dyDescent="0.2">
      <c r="A453" s="89">
        <v>40644</v>
      </c>
      <c r="B453" s="90" t="s">
        <v>4244</v>
      </c>
      <c r="C453" s="90" t="s">
        <v>4248</v>
      </c>
      <c r="D453" s="90" t="s">
        <v>4264</v>
      </c>
      <c r="E453" s="90" t="str">
        <f>VLOOKUP(B453&amp;C453,Divipola!$C$2:$F$1138,4,FALSE)</f>
        <v>76736</v>
      </c>
      <c r="F453" s="90"/>
      <c r="G453" s="101"/>
      <c r="H453" s="101"/>
      <c r="I453" s="101"/>
      <c r="J453" s="101">
        <v>3000</v>
      </c>
      <c r="K453" s="101">
        <v>600</v>
      </c>
      <c r="L453" s="101"/>
      <c r="M453" s="101">
        <v>600</v>
      </c>
      <c r="N453" s="101"/>
      <c r="O453" s="101"/>
      <c r="P453" s="101"/>
      <c r="Q453" s="101"/>
      <c r="R453" s="101"/>
      <c r="S453" s="101"/>
      <c r="T453" s="101"/>
      <c r="U453" s="101"/>
      <c r="V453" s="101"/>
      <c r="W453" s="91"/>
      <c r="X453" s="89"/>
      <c r="Y453" s="92">
        <f t="shared" si="42"/>
        <v>0</v>
      </c>
      <c r="Z453" s="92">
        <f t="shared" si="43"/>
        <v>0</v>
      </c>
      <c r="AA453" s="92">
        <f t="shared" si="44"/>
        <v>0</v>
      </c>
      <c r="AB453" s="92">
        <f t="shared" si="45"/>
        <v>0</v>
      </c>
      <c r="AC453" s="92"/>
      <c r="AD453" s="92">
        <v>0</v>
      </c>
      <c r="AE453" s="92">
        <f t="shared" si="46"/>
        <v>0</v>
      </c>
      <c r="AF453" s="93">
        <v>0</v>
      </c>
      <c r="AG453" s="89"/>
      <c r="AH453" s="94"/>
      <c r="AI453" s="95" t="s">
        <v>4336</v>
      </c>
      <c r="AJ453" s="96" t="s">
        <v>4337</v>
      </c>
      <c r="AK453" s="97"/>
      <c r="AL453" s="89"/>
      <c r="AM453" s="100" t="s">
        <v>258</v>
      </c>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114"/>
      <c r="CQ453" s="115"/>
      <c r="CR453" s="114"/>
      <c r="CS453" s="115"/>
      <c r="CT453" s="114"/>
      <c r="CU453" s="115"/>
      <c r="CV453" s="99">
        <f t="shared" si="47"/>
        <v>0</v>
      </c>
      <c r="CW453" s="114"/>
      <c r="CX453" s="115"/>
      <c r="CY453" s="114"/>
      <c r="CZ453" s="115"/>
      <c r="DA453" s="115"/>
      <c r="DB453" s="115"/>
      <c r="DC453" s="114"/>
      <c r="DD453" s="115"/>
      <c r="DE453" s="97"/>
      <c r="DF453" s="269"/>
      <c r="DG453" s="9"/>
      <c r="DH453" s="8"/>
      <c r="DI453" s="10"/>
      <c r="DJ453" s="286"/>
      <c r="DK453" s="287"/>
      <c r="DL453" s="11"/>
      <c r="DM453" s="8"/>
      <c r="DN453" s="7"/>
      <c r="DO453" s="7"/>
      <c r="DP453" s="7"/>
      <c r="DQ453" s="7"/>
      <c r="DR453" s="7"/>
      <c r="DS453" s="288"/>
      <c r="DT453" s="288"/>
      <c r="DU453" s="288"/>
      <c r="DV453" s="289"/>
      <c r="DW453" s="289"/>
      <c r="DX453" s="288"/>
      <c r="DY453" s="289"/>
      <c r="DZ453" s="289"/>
      <c r="EA453" s="289"/>
      <c r="EB453" s="289"/>
      <c r="EC453" s="289"/>
      <c r="ED453" s="289"/>
      <c r="EE453" s="289"/>
      <c r="EF453" s="289"/>
      <c r="EG453" s="289"/>
      <c r="EH453" s="289"/>
      <c r="EI453" s="289"/>
      <c r="EJ453" s="289"/>
      <c r="EK453" s="289"/>
      <c r="EL453" s="289"/>
      <c r="EM453" s="289"/>
      <c r="EN453" s="289"/>
      <c r="EO453" s="289"/>
      <c r="EP453" s="289"/>
      <c r="EQ453" s="289"/>
      <c r="ER453" s="289"/>
      <c r="ES453" s="289"/>
      <c r="ET453" s="289"/>
      <c r="EU453" s="289"/>
      <c r="EV453" s="289"/>
      <c r="EW453" s="289"/>
      <c r="EX453" s="289"/>
      <c r="EY453" s="289"/>
      <c r="EZ453" s="289"/>
      <c r="FA453" s="289"/>
      <c r="FB453" s="289"/>
      <c r="FC453" s="289"/>
      <c r="FD453" s="289"/>
      <c r="FE453" s="289"/>
      <c r="FF453" s="289"/>
      <c r="FG453" s="289"/>
      <c r="FH453" s="289"/>
      <c r="FI453" s="289"/>
      <c r="FJ453" s="289"/>
      <c r="FK453" s="289"/>
      <c r="FL453" s="289"/>
      <c r="FM453" s="289"/>
      <c r="FN453" s="289"/>
      <c r="FO453" s="289"/>
      <c r="FP453" s="289"/>
      <c r="FQ453" s="289"/>
      <c r="FR453" s="289"/>
      <c r="FS453" s="289"/>
      <c r="FT453" s="289"/>
      <c r="FU453" s="289"/>
      <c r="FV453" s="12"/>
      <c r="FW453" s="8"/>
      <c r="FX453" s="13"/>
      <c r="FY453" s="13"/>
      <c r="FZ453" s="13"/>
      <c r="GA453" s="13"/>
      <c r="GB453" s="13"/>
      <c r="GC453" s="13"/>
      <c r="GD453" s="13"/>
      <c r="GE453" s="6"/>
      <c r="GF453" s="8"/>
      <c r="GG453" s="9"/>
      <c r="GH453" s="8"/>
      <c r="GI453" s="10"/>
      <c r="GJ453" s="286"/>
      <c r="GK453" s="287"/>
      <c r="GL453" s="11"/>
      <c r="GM453" s="8"/>
      <c r="GN453" s="7"/>
      <c r="GO453" s="7"/>
      <c r="GP453" s="7"/>
      <c r="GQ453" s="7"/>
      <c r="GR453" s="7"/>
      <c r="GS453" s="288"/>
      <c r="GT453" s="288"/>
      <c r="GU453" s="288"/>
      <c r="GV453" s="289"/>
      <c r="GW453" s="289"/>
      <c r="GX453" s="288"/>
      <c r="GY453" s="289"/>
      <c r="GZ453" s="289"/>
      <c r="HA453" s="289"/>
      <c r="HB453" s="289"/>
      <c r="HC453" s="289"/>
      <c r="HD453" s="289"/>
      <c r="HE453" s="289"/>
      <c r="HF453" s="289"/>
      <c r="HG453" s="289"/>
      <c r="HH453" s="289"/>
      <c r="HI453" s="12"/>
      <c r="HJ453" s="8"/>
      <c r="HK453" s="13"/>
      <c r="HL453" s="13"/>
      <c r="HM453" s="13"/>
      <c r="HN453" s="13"/>
      <c r="HO453" s="13"/>
      <c r="HP453" s="13"/>
      <c r="HQ453" s="13"/>
      <c r="HR453" s="6"/>
      <c r="HS453" s="8"/>
      <c r="HT453" s="9"/>
      <c r="HU453" s="8"/>
      <c r="HV453" s="10"/>
      <c r="HW453" s="286"/>
      <c r="HX453" s="287"/>
      <c r="HY453" s="11"/>
      <c r="HZ453" s="8"/>
      <c r="IA453" s="7"/>
      <c r="IB453" s="7"/>
      <c r="IC453" s="7"/>
      <c r="ID453" s="7"/>
      <c r="IE453" s="7"/>
      <c r="IF453" s="288"/>
      <c r="IG453" s="288"/>
      <c r="IH453" s="288"/>
      <c r="II453" s="289"/>
      <c r="IJ453" s="289"/>
      <c r="IK453" s="288"/>
      <c r="IL453" s="289"/>
      <c r="IM453" s="289"/>
      <c r="IN453" s="289"/>
      <c r="IO453" s="289"/>
      <c r="IP453" s="289"/>
      <c r="IQ453" s="289"/>
      <c r="IR453" s="289"/>
      <c r="IS453" s="289"/>
      <c r="IT453" s="289"/>
      <c r="IU453" s="289"/>
    </row>
    <row r="454" spans="1:255" s="270" customFormat="1" ht="48" x14ac:dyDescent="0.2">
      <c r="A454" s="89">
        <v>40645</v>
      </c>
      <c r="B454" s="90" t="s">
        <v>2218</v>
      </c>
      <c r="C454" s="90" t="s">
        <v>3533</v>
      </c>
      <c r="D454" s="90" t="s">
        <v>4264</v>
      </c>
      <c r="E454" s="90" t="str">
        <f>VLOOKUP(B454&amp;C454,Divipola!$C$2:$F$1138,4,FALSE)</f>
        <v>05129</v>
      </c>
      <c r="F454" s="90"/>
      <c r="G454" s="101"/>
      <c r="H454" s="101"/>
      <c r="I454" s="101"/>
      <c r="J454" s="101">
        <v>175</v>
      </c>
      <c r="K454" s="101">
        <v>35</v>
      </c>
      <c r="L454" s="101"/>
      <c r="M454" s="101">
        <v>35</v>
      </c>
      <c r="N454" s="101">
        <v>1</v>
      </c>
      <c r="O454" s="101"/>
      <c r="P454" s="101"/>
      <c r="Q454" s="101"/>
      <c r="R454" s="101"/>
      <c r="S454" s="101"/>
      <c r="T454" s="101"/>
      <c r="U454" s="101"/>
      <c r="V454" s="101"/>
      <c r="W454" s="91"/>
      <c r="X454" s="89"/>
      <c r="Y454" s="92">
        <f t="shared" si="42"/>
        <v>0</v>
      </c>
      <c r="Z454" s="92">
        <f t="shared" si="43"/>
        <v>0</v>
      </c>
      <c r="AA454" s="92">
        <f t="shared" si="44"/>
        <v>0</v>
      </c>
      <c r="AB454" s="92">
        <f t="shared" si="45"/>
        <v>0</v>
      </c>
      <c r="AC454" s="92"/>
      <c r="AD454" s="92">
        <v>0</v>
      </c>
      <c r="AE454" s="92">
        <f t="shared" si="46"/>
        <v>0</v>
      </c>
      <c r="AF454" s="93">
        <v>0</v>
      </c>
      <c r="AG454" s="89">
        <v>40647</v>
      </c>
      <c r="AH454" s="94"/>
      <c r="AI454" s="102" t="s">
        <v>4336</v>
      </c>
      <c r="AJ454" s="96" t="s">
        <v>4337</v>
      </c>
      <c r="AK454" s="97"/>
      <c r="AL454" s="89"/>
      <c r="AM454" s="100" t="s">
        <v>1932</v>
      </c>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114"/>
      <c r="CQ454" s="115"/>
      <c r="CR454" s="114"/>
      <c r="CS454" s="115"/>
      <c r="CT454" s="114"/>
      <c r="CU454" s="115"/>
      <c r="CV454" s="99">
        <f t="shared" si="47"/>
        <v>0</v>
      </c>
      <c r="CW454" s="114"/>
      <c r="CX454" s="115"/>
      <c r="CY454" s="114"/>
      <c r="CZ454" s="115"/>
      <c r="DA454" s="115"/>
      <c r="DB454" s="115"/>
      <c r="DC454" s="114"/>
      <c r="DD454" s="115"/>
      <c r="DE454" s="97"/>
      <c r="DF454" s="269"/>
    </row>
    <row r="455" spans="1:255" s="270" customFormat="1" ht="36" x14ac:dyDescent="0.2">
      <c r="A455" s="89">
        <v>40645</v>
      </c>
      <c r="B455" s="90" t="s">
        <v>2218</v>
      </c>
      <c r="C455" s="90" t="s">
        <v>2261</v>
      </c>
      <c r="D455" s="90" t="s">
        <v>4264</v>
      </c>
      <c r="E455" s="90" t="str">
        <f>VLOOKUP(B455&amp;C455,Divipola!$C$2:$F$1138,4,FALSE)</f>
        <v>05615</v>
      </c>
      <c r="F455" s="90"/>
      <c r="G455" s="101"/>
      <c r="H455" s="101"/>
      <c r="I455" s="101"/>
      <c r="J455" s="101">
        <v>350</v>
      </c>
      <c r="K455" s="101">
        <v>70</v>
      </c>
      <c r="L455" s="101"/>
      <c r="M455" s="101">
        <v>70</v>
      </c>
      <c r="N455" s="101"/>
      <c r="O455" s="101"/>
      <c r="P455" s="101"/>
      <c r="Q455" s="101"/>
      <c r="R455" s="101"/>
      <c r="S455" s="101"/>
      <c r="T455" s="101"/>
      <c r="U455" s="101"/>
      <c r="V455" s="101"/>
      <c r="W455" s="91"/>
      <c r="X455" s="89"/>
      <c r="Y455" s="92">
        <f t="shared" si="42"/>
        <v>0</v>
      </c>
      <c r="Z455" s="92">
        <f t="shared" si="43"/>
        <v>0</v>
      </c>
      <c r="AA455" s="92">
        <f t="shared" si="44"/>
        <v>0</v>
      </c>
      <c r="AB455" s="92">
        <f t="shared" si="45"/>
        <v>0</v>
      </c>
      <c r="AC455" s="92"/>
      <c r="AD455" s="92">
        <v>0</v>
      </c>
      <c r="AE455" s="92">
        <f t="shared" si="46"/>
        <v>0</v>
      </c>
      <c r="AF455" s="93">
        <v>0</v>
      </c>
      <c r="AG455" s="89">
        <v>40647</v>
      </c>
      <c r="AH455" s="94"/>
      <c r="AI455" s="102" t="s">
        <v>4336</v>
      </c>
      <c r="AJ455" s="96" t="s">
        <v>4337</v>
      </c>
      <c r="AK455" s="97"/>
      <c r="AL455" s="89"/>
      <c r="AM455" s="100" t="s">
        <v>267</v>
      </c>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114"/>
      <c r="CQ455" s="115"/>
      <c r="CR455" s="114"/>
      <c r="CS455" s="115"/>
      <c r="CT455" s="114"/>
      <c r="CU455" s="115"/>
      <c r="CV455" s="99">
        <f t="shared" si="47"/>
        <v>0</v>
      </c>
      <c r="CW455" s="114"/>
      <c r="CX455" s="115"/>
      <c r="CY455" s="114"/>
      <c r="CZ455" s="115"/>
      <c r="DA455" s="115"/>
      <c r="DB455" s="115"/>
      <c r="DC455" s="114"/>
      <c r="DD455" s="115"/>
      <c r="DE455" s="97"/>
      <c r="DF455" s="269"/>
    </row>
    <row r="456" spans="1:255" s="270" customFormat="1" x14ac:dyDescent="0.2">
      <c r="A456" s="89">
        <v>40645</v>
      </c>
      <c r="B456" s="16" t="s">
        <v>4261</v>
      </c>
      <c r="C456" s="16" t="s">
        <v>2583</v>
      </c>
      <c r="D456" s="90" t="s">
        <v>2362</v>
      </c>
      <c r="E456" s="90" t="str">
        <f>VLOOKUP(B456&amp;C456,Divipola!$C$2:$F$1138,4,FALSE)</f>
        <v>15051</v>
      </c>
      <c r="F456" s="4"/>
      <c r="G456" s="208"/>
      <c r="H456" s="208"/>
      <c r="I456" s="208"/>
      <c r="J456" s="208"/>
      <c r="K456" s="208"/>
      <c r="L456" s="208"/>
      <c r="M456" s="208"/>
      <c r="N456" s="208">
        <v>3</v>
      </c>
      <c r="O456" s="208"/>
      <c r="P456" s="208"/>
      <c r="Q456" s="208">
        <v>1</v>
      </c>
      <c r="R456" s="208"/>
      <c r="S456" s="208"/>
      <c r="T456" s="208"/>
      <c r="U456" s="208"/>
      <c r="V456" s="208"/>
      <c r="W456" s="19"/>
      <c r="X456" s="17"/>
      <c r="Y456" s="5">
        <f t="shared" si="42"/>
        <v>0</v>
      </c>
      <c r="Z456" s="5">
        <f t="shared" si="43"/>
        <v>0</v>
      </c>
      <c r="AA456" s="5">
        <f t="shared" si="44"/>
        <v>0</v>
      </c>
      <c r="AB456" s="5">
        <f t="shared" si="45"/>
        <v>0</v>
      </c>
      <c r="AC456" s="5"/>
      <c r="AD456" s="5">
        <v>0</v>
      </c>
      <c r="AE456" s="5">
        <f t="shared" si="46"/>
        <v>0</v>
      </c>
      <c r="AF456" s="70">
        <v>0</v>
      </c>
      <c r="AG456" s="17"/>
      <c r="AH456" s="18"/>
      <c r="AI456" s="47" t="s">
        <v>4336</v>
      </c>
      <c r="AJ456" s="73" t="s">
        <v>4337</v>
      </c>
      <c r="AK456" s="45"/>
      <c r="AL456" s="17"/>
      <c r="AM456" s="20" t="s">
        <v>3238</v>
      </c>
      <c r="AN456" s="19"/>
      <c r="AO456" s="19"/>
      <c r="AP456" s="19"/>
      <c r="AQ456" s="19"/>
      <c r="AR456" s="19"/>
      <c r="AS456" s="19"/>
      <c r="AT456" s="19"/>
      <c r="AU456" s="19"/>
      <c r="AV456" s="19"/>
      <c r="AW456" s="19"/>
      <c r="AX456" s="107"/>
      <c r="AY456" s="107"/>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39"/>
      <c r="CO456" s="138"/>
      <c r="CP456" s="139"/>
      <c r="CQ456" s="138"/>
      <c r="CR456" s="139"/>
      <c r="CS456" s="138"/>
      <c r="CT456" s="72"/>
      <c r="CU456" s="139"/>
      <c r="CV456" s="99">
        <f t="shared" si="47"/>
        <v>0</v>
      </c>
      <c r="CW456" s="139"/>
      <c r="CX456" s="138"/>
      <c r="CY456" s="138"/>
      <c r="CZ456" s="138"/>
      <c r="DA456" s="139"/>
      <c r="DB456" s="138"/>
      <c r="DC456" s="45"/>
      <c r="DD456" s="138"/>
      <c r="DE456" s="45"/>
      <c r="DF456" s="269"/>
    </row>
    <row r="457" spans="1:255" s="270" customFormat="1" ht="24" x14ac:dyDescent="0.2">
      <c r="A457" s="89">
        <v>40645</v>
      </c>
      <c r="B457" s="90" t="s">
        <v>4261</v>
      </c>
      <c r="C457" s="90" t="s">
        <v>2863</v>
      </c>
      <c r="D457" s="90" t="s">
        <v>2362</v>
      </c>
      <c r="E457" s="90" t="str">
        <f>VLOOKUP(B457&amp;C457,Divipola!$C$2:$F$1138,4,FALSE)</f>
        <v>15238</v>
      </c>
      <c r="F457" s="90"/>
      <c r="G457" s="101"/>
      <c r="H457" s="101"/>
      <c r="I457" s="101"/>
      <c r="J457" s="101">
        <v>100</v>
      </c>
      <c r="K457" s="101">
        <v>20</v>
      </c>
      <c r="L457" s="101"/>
      <c r="M457" s="101">
        <v>20</v>
      </c>
      <c r="N457" s="101"/>
      <c r="O457" s="101"/>
      <c r="P457" s="101"/>
      <c r="Q457" s="101"/>
      <c r="R457" s="101"/>
      <c r="S457" s="101"/>
      <c r="T457" s="101"/>
      <c r="U457" s="101"/>
      <c r="V457" s="101"/>
      <c r="W457" s="91"/>
      <c r="X457" s="89"/>
      <c r="Y457" s="92">
        <f t="shared" si="42"/>
        <v>0</v>
      </c>
      <c r="Z457" s="92">
        <f t="shared" si="43"/>
        <v>0</v>
      </c>
      <c r="AA457" s="92">
        <f t="shared" si="44"/>
        <v>0</v>
      </c>
      <c r="AB457" s="92">
        <f t="shared" si="45"/>
        <v>0</v>
      </c>
      <c r="AC457" s="92"/>
      <c r="AD457" s="92">
        <v>0</v>
      </c>
      <c r="AE457" s="92">
        <f t="shared" si="46"/>
        <v>0</v>
      </c>
      <c r="AF457" s="93">
        <v>0</v>
      </c>
      <c r="AG457" s="89">
        <v>40647</v>
      </c>
      <c r="AH457" s="94"/>
      <c r="AI457" s="102" t="s">
        <v>4346</v>
      </c>
      <c r="AJ457" s="96" t="s">
        <v>4347</v>
      </c>
      <c r="AK457" s="97"/>
      <c r="AL457" s="89" t="s">
        <v>1049</v>
      </c>
      <c r="AM457" s="100" t="s">
        <v>2065</v>
      </c>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114"/>
      <c r="CQ457" s="115"/>
      <c r="CR457" s="114"/>
      <c r="CS457" s="115"/>
      <c r="CT457" s="114"/>
      <c r="CU457" s="115"/>
      <c r="CV457" s="99">
        <f t="shared" si="47"/>
        <v>0</v>
      </c>
      <c r="CW457" s="114"/>
      <c r="CX457" s="115"/>
      <c r="CY457" s="114"/>
      <c r="CZ457" s="115"/>
      <c r="DA457" s="115"/>
      <c r="DB457" s="115"/>
      <c r="DC457" s="114"/>
      <c r="DD457" s="115"/>
      <c r="DE457" s="97"/>
      <c r="DF457" s="269"/>
    </row>
    <row r="458" spans="1:255" s="270" customFormat="1" ht="108" x14ac:dyDescent="0.2">
      <c r="A458" s="89">
        <v>40645</v>
      </c>
      <c r="B458" s="90" t="s">
        <v>3533</v>
      </c>
      <c r="C458" s="90" t="s">
        <v>4235</v>
      </c>
      <c r="D458" s="90" t="s">
        <v>4264</v>
      </c>
      <c r="E458" s="90" t="str">
        <f>VLOOKUP(B458&amp;C458,Divipola!$C$2:$F$1138,4,FALSE)</f>
        <v>17380</v>
      </c>
      <c r="F458" s="90"/>
      <c r="G458" s="101"/>
      <c r="H458" s="101"/>
      <c r="I458" s="101"/>
      <c r="J458" s="101">
        <f>3900*5</f>
        <v>19500</v>
      </c>
      <c r="K458" s="101">
        <v>3900</v>
      </c>
      <c r="L458" s="101">
        <v>300</v>
      </c>
      <c r="M458" s="101">
        <v>3600</v>
      </c>
      <c r="N458" s="101"/>
      <c r="O458" s="101"/>
      <c r="P458" s="101"/>
      <c r="Q458" s="101"/>
      <c r="R458" s="101"/>
      <c r="S458" s="101"/>
      <c r="T458" s="101"/>
      <c r="U458" s="101"/>
      <c r="V458" s="101"/>
      <c r="W458" s="91"/>
      <c r="X458" s="89"/>
      <c r="Y458" s="92">
        <f t="shared" si="42"/>
        <v>673660000</v>
      </c>
      <c r="Z458" s="92">
        <f t="shared" si="43"/>
        <v>680000000</v>
      </c>
      <c r="AA458" s="92">
        <f t="shared" si="44"/>
        <v>0</v>
      </c>
      <c r="AB458" s="92">
        <f t="shared" si="45"/>
        <v>91060000</v>
      </c>
      <c r="AC458" s="92"/>
      <c r="AD458" s="92">
        <f>91821424+110000000</f>
        <v>201821424</v>
      </c>
      <c r="AE458" s="92">
        <f t="shared" si="46"/>
        <v>1646541424</v>
      </c>
      <c r="AF458" s="93">
        <v>0</v>
      </c>
      <c r="AG458" s="89">
        <v>40647</v>
      </c>
      <c r="AH458" s="94"/>
      <c r="AI458" s="95" t="s">
        <v>4346</v>
      </c>
      <c r="AJ458" s="96" t="s">
        <v>4347</v>
      </c>
      <c r="AK458" s="97"/>
      <c r="AL458" s="89"/>
      <c r="AM458" s="100" t="s">
        <v>4128</v>
      </c>
      <c r="AN458" s="91"/>
      <c r="AO458" s="91"/>
      <c r="AP458" s="91"/>
      <c r="AQ458" s="91"/>
      <c r="AR458" s="91"/>
      <c r="AS458" s="91"/>
      <c r="AT458" s="91"/>
      <c r="AU458" s="91"/>
      <c r="AV458" s="91"/>
      <c r="AW458" s="91"/>
      <c r="AX458" s="91"/>
      <c r="AY458" s="91"/>
      <c r="AZ458" s="91">
        <f>3000+2000</f>
        <v>5000</v>
      </c>
      <c r="BA458" s="91">
        <f>3000*56000+2000*56000</f>
        <v>280000000</v>
      </c>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v>10</v>
      </c>
      <c r="CA458" s="91">
        <f>10*500000</f>
        <v>5000000</v>
      </c>
      <c r="CB458" s="91"/>
      <c r="CC458" s="91"/>
      <c r="CD458" s="91"/>
      <c r="CE458" s="91"/>
      <c r="CF458" s="91"/>
      <c r="CG458" s="91"/>
      <c r="CH458" s="91"/>
      <c r="CI458" s="91"/>
      <c r="CJ458" s="91">
        <v>3000</v>
      </c>
      <c r="CK458" s="91">
        <f>1500*21000+1500*20000</f>
        <v>61500000</v>
      </c>
      <c r="CL458" s="91"/>
      <c r="CM458" s="91"/>
      <c r="CN458" s="91">
        <v>3500</v>
      </c>
      <c r="CO458" s="91">
        <f>3500*18000</f>
        <v>63000000</v>
      </c>
      <c r="CP458" s="114">
        <f>3000+2000</f>
        <v>5000</v>
      </c>
      <c r="CQ458" s="115">
        <f>3000*36952+2000*36952</f>
        <v>184760000</v>
      </c>
      <c r="CR458" s="114">
        <v>2000</v>
      </c>
      <c r="CS458" s="115">
        <f>2000*39700</f>
        <v>79400000</v>
      </c>
      <c r="CT458" s="114"/>
      <c r="CU458" s="115"/>
      <c r="CV458" s="99">
        <f t="shared" si="47"/>
        <v>673660000</v>
      </c>
      <c r="CW458" s="114">
        <v>100000</v>
      </c>
      <c r="CX458" s="115">
        <f>100000*910.6</f>
        <v>91060000</v>
      </c>
      <c r="CY458" s="114">
        <f>3000+3000+2000</f>
        <v>8000</v>
      </c>
      <c r="CZ458" s="115">
        <f>3000*85000+3000*85000+2000*85000</f>
        <v>680000000</v>
      </c>
      <c r="DA458" s="115"/>
      <c r="DB458" s="115"/>
      <c r="DC458" s="114"/>
      <c r="DD458" s="115"/>
      <c r="DE458" s="301" t="s">
        <v>4126</v>
      </c>
      <c r="DF458" s="269"/>
    </row>
    <row r="459" spans="1:255" s="270" customFormat="1" ht="36" x14ac:dyDescent="0.2">
      <c r="A459" s="89">
        <v>40645</v>
      </c>
      <c r="B459" s="90" t="s">
        <v>3533</v>
      </c>
      <c r="C459" s="90" t="s">
        <v>862</v>
      </c>
      <c r="D459" s="90" t="s">
        <v>2362</v>
      </c>
      <c r="E459" s="90" t="str">
        <f>VLOOKUP(B459&amp;C459,Divipola!$C$2:$F$1138,4,FALSE)</f>
        <v>17001</v>
      </c>
      <c r="F459" s="90"/>
      <c r="G459" s="101"/>
      <c r="H459" s="101"/>
      <c r="I459" s="101"/>
      <c r="J459" s="101"/>
      <c r="K459" s="101"/>
      <c r="L459" s="101"/>
      <c r="M459" s="101"/>
      <c r="N459" s="101"/>
      <c r="O459" s="101"/>
      <c r="P459" s="101"/>
      <c r="Q459" s="101"/>
      <c r="R459" s="101"/>
      <c r="S459" s="101"/>
      <c r="T459" s="101">
        <v>1</v>
      </c>
      <c r="U459" s="101"/>
      <c r="V459" s="101"/>
      <c r="W459" s="91"/>
      <c r="X459" s="89"/>
      <c r="Y459" s="92">
        <f t="shared" si="42"/>
        <v>0</v>
      </c>
      <c r="Z459" s="92">
        <f t="shared" si="43"/>
        <v>0</v>
      </c>
      <c r="AA459" s="92">
        <f t="shared" si="44"/>
        <v>0</v>
      </c>
      <c r="AB459" s="92">
        <f t="shared" si="45"/>
        <v>0</v>
      </c>
      <c r="AC459" s="92"/>
      <c r="AD459" s="92">
        <v>0</v>
      </c>
      <c r="AE459" s="92">
        <f t="shared" si="46"/>
        <v>0</v>
      </c>
      <c r="AF459" s="93">
        <v>0</v>
      </c>
      <c r="AG459" s="89">
        <v>40647</v>
      </c>
      <c r="AH459" s="94"/>
      <c r="AI459" s="95" t="s">
        <v>4336</v>
      </c>
      <c r="AJ459" s="96" t="s">
        <v>4337</v>
      </c>
      <c r="AK459" s="97"/>
      <c r="AL459" s="89"/>
      <c r="AM459" s="100" t="s">
        <v>2077</v>
      </c>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114"/>
      <c r="CQ459" s="115"/>
      <c r="CR459" s="114"/>
      <c r="CS459" s="115"/>
      <c r="CT459" s="114"/>
      <c r="CU459" s="115"/>
      <c r="CV459" s="99">
        <f t="shared" si="47"/>
        <v>0</v>
      </c>
      <c r="CW459" s="114"/>
      <c r="CX459" s="115"/>
      <c r="CY459" s="114"/>
      <c r="CZ459" s="115"/>
      <c r="DA459" s="115"/>
      <c r="DB459" s="115"/>
      <c r="DC459" s="114"/>
      <c r="DD459" s="115"/>
      <c r="DE459" s="97"/>
      <c r="DF459" s="269"/>
    </row>
    <row r="460" spans="1:255" s="270" customFormat="1" ht="24" x14ac:dyDescent="0.2">
      <c r="A460" s="89">
        <v>40645</v>
      </c>
      <c r="B460" s="90" t="s">
        <v>3533</v>
      </c>
      <c r="C460" s="90" t="s">
        <v>3558</v>
      </c>
      <c r="D460" s="90" t="s">
        <v>2362</v>
      </c>
      <c r="E460" s="90" t="str">
        <f>VLOOKUP(B460&amp;C460,Divipola!$C$2:$F$1138,4,FALSE)</f>
        <v>17513</v>
      </c>
      <c r="F460" s="90"/>
      <c r="G460" s="101">
        <v>1</v>
      </c>
      <c r="H460" s="101">
        <v>2</v>
      </c>
      <c r="I460" s="101"/>
      <c r="J460" s="101">
        <v>55</v>
      </c>
      <c r="K460" s="101">
        <v>11</v>
      </c>
      <c r="L460" s="101">
        <v>1</v>
      </c>
      <c r="M460" s="101">
        <v>10</v>
      </c>
      <c r="N460" s="101"/>
      <c r="O460" s="101"/>
      <c r="P460" s="101"/>
      <c r="Q460" s="101"/>
      <c r="R460" s="101"/>
      <c r="S460" s="101"/>
      <c r="T460" s="101"/>
      <c r="U460" s="101"/>
      <c r="V460" s="101"/>
      <c r="W460" s="91"/>
      <c r="X460" s="89"/>
      <c r="Y460" s="92">
        <f t="shared" si="42"/>
        <v>0</v>
      </c>
      <c r="Z460" s="92">
        <f t="shared" si="43"/>
        <v>0</v>
      </c>
      <c r="AA460" s="92">
        <f t="shared" si="44"/>
        <v>0</v>
      </c>
      <c r="AB460" s="92">
        <f t="shared" si="45"/>
        <v>0</v>
      </c>
      <c r="AC460" s="92"/>
      <c r="AD460" s="92">
        <v>0</v>
      </c>
      <c r="AE460" s="92">
        <f t="shared" si="46"/>
        <v>0</v>
      </c>
      <c r="AF460" s="93">
        <v>0</v>
      </c>
      <c r="AG460" s="89">
        <v>40647</v>
      </c>
      <c r="AH460" s="94"/>
      <c r="AI460" s="95" t="s">
        <v>4336</v>
      </c>
      <c r="AJ460" s="96" t="s">
        <v>4337</v>
      </c>
      <c r="AK460" s="97"/>
      <c r="AL460" s="89"/>
      <c r="AM460" s="100" t="s">
        <v>1926</v>
      </c>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114"/>
      <c r="CQ460" s="115"/>
      <c r="CR460" s="114"/>
      <c r="CS460" s="115"/>
      <c r="CT460" s="114"/>
      <c r="CU460" s="115"/>
      <c r="CV460" s="99">
        <f t="shared" si="47"/>
        <v>0</v>
      </c>
      <c r="CW460" s="114"/>
      <c r="CX460" s="115"/>
      <c r="CY460" s="114"/>
      <c r="CZ460" s="115"/>
      <c r="DA460" s="115"/>
      <c r="DB460" s="115"/>
      <c r="DC460" s="114"/>
      <c r="DD460" s="115"/>
      <c r="DE460" s="97"/>
      <c r="DF460" s="269"/>
    </row>
    <row r="461" spans="1:255" s="270" customFormat="1" ht="48" x14ac:dyDescent="0.2">
      <c r="A461" s="89">
        <v>40645</v>
      </c>
      <c r="B461" s="90" t="s">
        <v>3533</v>
      </c>
      <c r="C461" s="90" t="s">
        <v>3381</v>
      </c>
      <c r="D461" s="90" t="s">
        <v>2362</v>
      </c>
      <c r="E461" s="90" t="str">
        <f>VLOOKUP(B461&amp;C461,Divipola!$C$2:$F$1138,4,FALSE)</f>
        <v>17614</v>
      </c>
      <c r="F461" s="90"/>
      <c r="G461" s="101"/>
      <c r="H461" s="101"/>
      <c r="I461" s="101"/>
      <c r="J461" s="101">
        <v>20</v>
      </c>
      <c r="K461" s="101">
        <v>4</v>
      </c>
      <c r="L461" s="101"/>
      <c r="M461" s="101">
        <v>4</v>
      </c>
      <c r="N461" s="101"/>
      <c r="O461" s="101"/>
      <c r="P461" s="101"/>
      <c r="Q461" s="101"/>
      <c r="R461" s="101"/>
      <c r="S461" s="101"/>
      <c r="T461" s="101"/>
      <c r="U461" s="101"/>
      <c r="V461" s="101"/>
      <c r="W461" s="91"/>
      <c r="X461" s="89"/>
      <c r="Y461" s="92">
        <f t="shared" si="42"/>
        <v>0</v>
      </c>
      <c r="Z461" s="92">
        <f t="shared" si="43"/>
        <v>0</v>
      </c>
      <c r="AA461" s="92">
        <f t="shared" si="44"/>
        <v>0</v>
      </c>
      <c r="AB461" s="92">
        <f t="shared" si="45"/>
        <v>0</v>
      </c>
      <c r="AC461" s="92"/>
      <c r="AD461" s="92">
        <v>30000000</v>
      </c>
      <c r="AE461" s="92">
        <f t="shared" si="46"/>
        <v>30000000</v>
      </c>
      <c r="AF461" s="93">
        <v>0</v>
      </c>
      <c r="AG461" s="89">
        <v>40647</v>
      </c>
      <c r="AH461" s="94"/>
      <c r="AI461" s="95" t="s">
        <v>4346</v>
      </c>
      <c r="AJ461" s="96" t="s">
        <v>4347</v>
      </c>
      <c r="AK461" s="97"/>
      <c r="AL461" s="89"/>
      <c r="AM461" s="100" t="s">
        <v>3765</v>
      </c>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114"/>
      <c r="CQ461" s="115"/>
      <c r="CR461" s="114"/>
      <c r="CS461" s="115"/>
      <c r="CT461" s="114"/>
      <c r="CU461" s="115"/>
      <c r="CV461" s="99">
        <f t="shared" si="47"/>
        <v>0</v>
      </c>
      <c r="CW461" s="114"/>
      <c r="CX461" s="115"/>
      <c r="CY461" s="114"/>
      <c r="CZ461" s="115"/>
      <c r="DA461" s="115"/>
      <c r="DB461" s="115"/>
      <c r="DC461" s="114"/>
      <c r="DD461" s="115"/>
      <c r="DE461" s="97"/>
      <c r="DF461" s="269"/>
    </row>
    <row r="462" spans="1:255" s="270" customFormat="1" ht="36" x14ac:dyDescent="0.2">
      <c r="A462" s="89">
        <v>40645</v>
      </c>
      <c r="B462" s="90" t="s">
        <v>4353</v>
      </c>
      <c r="C462" s="90" t="s">
        <v>2223</v>
      </c>
      <c r="D462" s="90" t="s">
        <v>2362</v>
      </c>
      <c r="E462" s="90" t="str">
        <f>VLOOKUP(B462&amp;C462,Divipola!$C$2:$F$1138,4,FALSE)</f>
        <v>85001</v>
      </c>
      <c r="F462" s="90"/>
      <c r="G462" s="101">
        <v>1</v>
      </c>
      <c r="H462" s="101"/>
      <c r="I462" s="101"/>
      <c r="J462" s="101"/>
      <c r="K462" s="101"/>
      <c r="L462" s="101"/>
      <c r="M462" s="101"/>
      <c r="N462" s="101"/>
      <c r="O462" s="101"/>
      <c r="P462" s="101"/>
      <c r="Q462" s="101"/>
      <c r="R462" s="101"/>
      <c r="S462" s="101"/>
      <c r="T462" s="101"/>
      <c r="U462" s="101"/>
      <c r="V462" s="101"/>
      <c r="W462" s="91"/>
      <c r="X462" s="89"/>
      <c r="Y462" s="92">
        <f t="shared" si="42"/>
        <v>0</v>
      </c>
      <c r="Z462" s="92">
        <f t="shared" si="43"/>
        <v>0</v>
      </c>
      <c r="AA462" s="92">
        <f t="shared" si="44"/>
        <v>0</v>
      </c>
      <c r="AB462" s="92">
        <f t="shared" si="45"/>
        <v>0</v>
      </c>
      <c r="AC462" s="92"/>
      <c r="AD462" s="92">
        <v>0</v>
      </c>
      <c r="AE462" s="92">
        <f t="shared" si="46"/>
        <v>0</v>
      </c>
      <c r="AF462" s="93">
        <v>0</v>
      </c>
      <c r="AG462" s="89">
        <v>40647</v>
      </c>
      <c r="AH462" s="94"/>
      <c r="AI462" s="95" t="s">
        <v>4346</v>
      </c>
      <c r="AJ462" s="96" t="s">
        <v>4347</v>
      </c>
      <c r="AK462" s="97"/>
      <c r="AL462" s="89" t="s">
        <v>2798</v>
      </c>
      <c r="AM462" s="100" t="s">
        <v>1935</v>
      </c>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114"/>
      <c r="CQ462" s="115"/>
      <c r="CR462" s="114"/>
      <c r="CS462" s="115"/>
      <c r="CT462" s="114"/>
      <c r="CU462" s="115"/>
      <c r="CV462" s="99">
        <f t="shared" si="47"/>
        <v>0</v>
      </c>
      <c r="CW462" s="114"/>
      <c r="CX462" s="115"/>
      <c r="CY462" s="114"/>
      <c r="CZ462" s="115"/>
      <c r="DA462" s="115"/>
      <c r="DB462" s="115"/>
      <c r="DC462" s="114"/>
      <c r="DD462" s="115"/>
      <c r="DE462" s="97"/>
      <c r="DF462" s="269"/>
    </row>
    <row r="463" spans="1:255" s="270" customFormat="1" ht="24" x14ac:dyDescent="0.2">
      <c r="A463" s="89">
        <v>40645</v>
      </c>
      <c r="B463" s="90" t="s">
        <v>4296</v>
      </c>
      <c r="C463" s="90" t="s">
        <v>866</v>
      </c>
      <c r="D463" s="90" t="s">
        <v>4264</v>
      </c>
      <c r="E463" s="90" t="str">
        <f>VLOOKUP(B463&amp;C463,Divipola!$C$2:$F$1138,4,FALSE)</f>
        <v>19300</v>
      </c>
      <c r="F463" s="90"/>
      <c r="G463" s="101"/>
      <c r="H463" s="101"/>
      <c r="I463" s="101"/>
      <c r="J463" s="101">
        <f>79*5</f>
        <v>395</v>
      </c>
      <c r="K463" s="101">
        <v>79</v>
      </c>
      <c r="L463" s="101"/>
      <c r="M463" s="101">
        <v>1</v>
      </c>
      <c r="N463" s="101"/>
      <c r="O463" s="101"/>
      <c r="P463" s="101"/>
      <c r="Q463" s="101"/>
      <c r="R463" s="101"/>
      <c r="S463" s="101"/>
      <c r="T463" s="101"/>
      <c r="U463" s="101"/>
      <c r="V463" s="101"/>
      <c r="W463" s="91"/>
      <c r="X463" s="89"/>
      <c r="Y463" s="92">
        <f t="shared" si="42"/>
        <v>0</v>
      </c>
      <c r="Z463" s="92">
        <f t="shared" si="43"/>
        <v>0</v>
      </c>
      <c r="AA463" s="92">
        <f t="shared" si="44"/>
        <v>0</v>
      </c>
      <c r="AB463" s="92">
        <f t="shared" si="45"/>
        <v>0</v>
      </c>
      <c r="AC463" s="92"/>
      <c r="AD463" s="92">
        <v>0</v>
      </c>
      <c r="AE463" s="92">
        <f t="shared" si="46"/>
        <v>0</v>
      </c>
      <c r="AF463" s="93">
        <v>0</v>
      </c>
      <c r="AG463" s="89">
        <v>40647</v>
      </c>
      <c r="AH463" s="94"/>
      <c r="AI463" s="95" t="s">
        <v>4336</v>
      </c>
      <c r="AJ463" s="96" t="s">
        <v>4337</v>
      </c>
      <c r="AK463" s="97"/>
      <c r="AL463" s="89"/>
      <c r="AM463" s="100" t="s">
        <v>1930</v>
      </c>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114"/>
      <c r="CQ463" s="115"/>
      <c r="CR463" s="114"/>
      <c r="CS463" s="115"/>
      <c r="CT463" s="114"/>
      <c r="CU463" s="115"/>
      <c r="CV463" s="99">
        <f t="shared" si="47"/>
        <v>0</v>
      </c>
      <c r="CW463" s="114"/>
      <c r="CX463" s="115"/>
      <c r="CY463" s="114"/>
      <c r="CZ463" s="115"/>
      <c r="DA463" s="115"/>
      <c r="DB463" s="115"/>
      <c r="DC463" s="114"/>
      <c r="DD463" s="115"/>
      <c r="DE463" s="97"/>
      <c r="DF463" s="269">
        <v>1700</v>
      </c>
    </row>
    <row r="464" spans="1:255" s="270" customFormat="1" ht="48" x14ac:dyDescent="0.2">
      <c r="A464" s="89">
        <v>40645</v>
      </c>
      <c r="B464" s="90" t="s">
        <v>4296</v>
      </c>
      <c r="C464" s="90" t="s">
        <v>936</v>
      </c>
      <c r="D464" s="90" t="s">
        <v>4264</v>
      </c>
      <c r="E464" s="90" t="str">
        <f>VLOOKUP(B464&amp;C464,Divipola!$C$2:$F$1138,4,FALSE)</f>
        <v>19418</v>
      </c>
      <c r="F464" s="90"/>
      <c r="G464" s="101"/>
      <c r="H464" s="101"/>
      <c r="I464" s="101"/>
      <c r="J464" s="101">
        <f>7000*3</f>
        <v>21000</v>
      </c>
      <c r="K464" s="101">
        <v>7000</v>
      </c>
      <c r="L464" s="101"/>
      <c r="M464" s="101"/>
      <c r="N464" s="101"/>
      <c r="O464" s="101"/>
      <c r="P464" s="101"/>
      <c r="Q464" s="101"/>
      <c r="R464" s="101"/>
      <c r="S464" s="101"/>
      <c r="T464" s="101"/>
      <c r="U464" s="101"/>
      <c r="V464" s="101"/>
      <c r="W464" s="91"/>
      <c r="X464" s="89"/>
      <c r="Y464" s="92">
        <f t="shared" si="42"/>
        <v>0</v>
      </c>
      <c r="Z464" s="92">
        <f t="shared" si="43"/>
        <v>595000000</v>
      </c>
      <c r="AA464" s="92">
        <f t="shared" si="44"/>
        <v>0</v>
      </c>
      <c r="AB464" s="92">
        <f t="shared" si="45"/>
        <v>0</v>
      </c>
      <c r="AC464" s="92"/>
      <c r="AD464" s="92">
        <v>0</v>
      </c>
      <c r="AE464" s="92">
        <f t="shared" si="46"/>
        <v>595000000</v>
      </c>
      <c r="AF464" s="93">
        <v>0</v>
      </c>
      <c r="AG464" s="89">
        <v>40647</v>
      </c>
      <c r="AH464" s="94"/>
      <c r="AI464" s="95" t="s">
        <v>4346</v>
      </c>
      <c r="AJ464" s="96" t="s">
        <v>4347</v>
      </c>
      <c r="AK464" s="97"/>
      <c r="AL464" s="89"/>
      <c r="AM464" s="100" t="s">
        <v>1934</v>
      </c>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114"/>
      <c r="CQ464" s="115"/>
      <c r="CR464" s="114"/>
      <c r="CS464" s="115"/>
      <c r="CT464" s="114"/>
      <c r="CU464" s="115"/>
      <c r="CV464" s="99">
        <f t="shared" si="47"/>
        <v>0</v>
      </c>
      <c r="CW464" s="114"/>
      <c r="CX464" s="115"/>
      <c r="CY464" s="114">
        <v>7000</v>
      </c>
      <c r="CZ464" s="115">
        <f>7000*85000</f>
        <v>595000000</v>
      </c>
      <c r="DA464" s="115"/>
      <c r="DB464" s="115"/>
      <c r="DC464" s="114"/>
      <c r="DD464" s="115"/>
      <c r="DE464" s="97"/>
      <c r="DF464" s="269"/>
    </row>
    <row r="465" spans="1:110" s="270" customFormat="1" ht="48" x14ac:dyDescent="0.2">
      <c r="A465" s="89">
        <v>40645</v>
      </c>
      <c r="B465" s="90" t="s">
        <v>4296</v>
      </c>
      <c r="C465" s="90" t="s">
        <v>3364</v>
      </c>
      <c r="D465" s="90" t="s">
        <v>4264</v>
      </c>
      <c r="E465" s="90" t="str">
        <f>VLOOKUP(B465&amp;C465,Divipola!$C$2:$F$1138,4,FALSE)</f>
        <v>19455</v>
      </c>
      <c r="F465" s="90"/>
      <c r="G465" s="101"/>
      <c r="H465" s="101"/>
      <c r="I465" s="101"/>
      <c r="J465" s="101">
        <f>708*4</f>
        <v>2832</v>
      </c>
      <c r="K465" s="101">
        <f>429+279</f>
        <v>708</v>
      </c>
      <c r="L465" s="101"/>
      <c r="M465" s="101"/>
      <c r="N465" s="101"/>
      <c r="O465" s="101"/>
      <c r="P465" s="101"/>
      <c r="Q465" s="101"/>
      <c r="R465" s="101"/>
      <c r="S465" s="101"/>
      <c r="T465" s="101"/>
      <c r="U465" s="101"/>
      <c r="V465" s="101"/>
      <c r="W465" s="91"/>
      <c r="X465" s="89"/>
      <c r="Y465" s="92">
        <f t="shared" si="42"/>
        <v>0</v>
      </c>
      <c r="Z465" s="92">
        <f t="shared" si="43"/>
        <v>0</v>
      </c>
      <c r="AA465" s="92">
        <f t="shared" si="44"/>
        <v>0</v>
      </c>
      <c r="AB465" s="92">
        <f t="shared" si="45"/>
        <v>0</v>
      </c>
      <c r="AC465" s="92"/>
      <c r="AD465" s="92">
        <v>0</v>
      </c>
      <c r="AE465" s="92">
        <f t="shared" si="46"/>
        <v>0</v>
      </c>
      <c r="AF465" s="93">
        <v>0</v>
      </c>
      <c r="AG465" s="89">
        <v>40647</v>
      </c>
      <c r="AH465" s="94"/>
      <c r="AI465" s="95" t="s">
        <v>4336</v>
      </c>
      <c r="AJ465" s="96" t="s">
        <v>4337</v>
      </c>
      <c r="AK465" s="97"/>
      <c r="AL465" s="89"/>
      <c r="AM465" s="100" t="s">
        <v>1929</v>
      </c>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114"/>
      <c r="CQ465" s="115"/>
      <c r="CR465" s="114"/>
      <c r="CS465" s="115"/>
      <c r="CT465" s="114"/>
      <c r="CU465" s="115"/>
      <c r="CV465" s="99">
        <f t="shared" si="47"/>
        <v>0</v>
      </c>
      <c r="CW465" s="114"/>
      <c r="CX465" s="115"/>
      <c r="CY465" s="114"/>
      <c r="CZ465" s="115"/>
      <c r="DA465" s="115"/>
      <c r="DB465" s="115"/>
      <c r="DC465" s="114"/>
      <c r="DD465" s="115"/>
      <c r="DE465" s="97"/>
      <c r="DF465" s="269"/>
    </row>
    <row r="466" spans="1:110" s="270" customFormat="1" ht="24" x14ac:dyDescent="0.2">
      <c r="A466" s="89">
        <v>40645</v>
      </c>
      <c r="B466" s="90" t="s">
        <v>4344</v>
      </c>
      <c r="C466" s="90" t="s">
        <v>3350</v>
      </c>
      <c r="D466" s="90" t="s">
        <v>4264</v>
      </c>
      <c r="E466" s="90" t="str">
        <f>VLOOKUP(B466&amp;C466,Divipola!$C$2:$F$1138,4,FALSE)</f>
        <v>25489</v>
      </c>
      <c r="F466" s="90"/>
      <c r="G466" s="101"/>
      <c r="H466" s="101"/>
      <c r="I466" s="101"/>
      <c r="J466" s="101">
        <v>70</v>
      </c>
      <c r="K466" s="101">
        <v>20</v>
      </c>
      <c r="L466" s="101"/>
      <c r="M466" s="101">
        <v>20</v>
      </c>
      <c r="N466" s="101"/>
      <c r="O466" s="101"/>
      <c r="P466" s="101"/>
      <c r="Q466" s="101"/>
      <c r="R466" s="101"/>
      <c r="S466" s="101"/>
      <c r="T466" s="101"/>
      <c r="U466" s="101"/>
      <c r="V466" s="101"/>
      <c r="W466" s="91"/>
      <c r="X466" s="89"/>
      <c r="Y466" s="92">
        <f t="shared" si="42"/>
        <v>0</v>
      </c>
      <c r="Z466" s="92">
        <f t="shared" si="43"/>
        <v>0</v>
      </c>
      <c r="AA466" s="92">
        <f t="shared" si="44"/>
        <v>0</v>
      </c>
      <c r="AB466" s="92">
        <f t="shared" si="45"/>
        <v>0</v>
      </c>
      <c r="AC466" s="92"/>
      <c r="AD466" s="92">
        <v>0</v>
      </c>
      <c r="AE466" s="92">
        <f t="shared" si="46"/>
        <v>0</v>
      </c>
      <c r="AF466" s="93">
        <v>0</v>
      </c>
      <c r="AG466" s="89"/>
      <c r="AH466" s="94"/>
      <c r="AI466" s="102" t="s">
        <v>4336</v>
      </c>
      <c r="AJ466" s="96" t="s">
        <v>4337</v>
      </c>
      <c r="AK466" s="97"/>
      <c r="AL466" s="89"/>
      <c r="AM466" s="100" t="s">
        <v>4617</v>
      </c>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114"/>
      <c r="CQ466" s="115"/>
      <c r="CR466" s="114"/>
      <c r="CS466" s="115"/>
      <c r="CT466" s="114"/>
      <c r="CU466" s="115"/>
      <c r="CV466" s="99">
        <f t="shared" si="47"/>
        <v>0</v>
      </c>
      <c r="CW466" s="114"/>
      <c r="CX466" s="115"/>
      <c r="CY466" s="114"/>
      <c r="CZ466" s="115"/>
      <c r="DA466" s="115"/>
      <c r="DB466" s="115"/>
      <c r="DC466" s="114"/>
      <c r="DD466" s="115"/>
      <c r="DE466" s="97"/>
      <c r="DF466" s="269"/>
    </row>
    <row r="467" spans="1:110" s="270" customFormat="1" ht="72" x14ac:dyDescent="0.2">
      <c r="A467" s="89">
        <v>40645</v>
      </c>
      <c r="B467" s="90" t="s">
        <v>4344</v>
      </c>
      <c r="C467" s="90" t="s">
        <v>4514</v>
      </c>
      <c r="D467" s="90" t="s">
        <v>4264</v>
      </c>
      <c r="E467" s="90" t="str">
        <f>VLOOKUP(B467&amp;C467,Divipola!$C$2:$F$1138,4,FALSE)</f>
        <v>25592</v>
      </c>
      <c r="F467" s="90"/>
      <c r="G467" s="101"/>
      <c r="H467" s="101"/>
      <c r="I467" s="101"/>
      <c r="J467" s="101">
        <v>200</v>
      </c>
      <c r="K467" s="101">
        <v>40</v>
      </c>
      <c r="L467" s="101"/>
      <c r="M467" s="101">
        <v>40</v>
      </c>
      <c r="N467" s="101"/>
      <c r="O467" s="101"/>
      <c r="P467" s="101"/>
      <c r="Q467" s="101"/>
      <c r="R467" s="101"/>
      <c r="S467" s="101"/>
      <c r="T467" s="101"/>
      <c r="U467" s="101"/>
      <c r="V467" s="101"/>
      <c r="W467" s="91"/>
      <c r="X467" s="89"/>
      <c r="Y467" s="92">
        <f t="shared" si="42"/>
        <v>0</v>
      </c>
      <c r="Z467" s="92">
        <f t="shared" si="43"/>
        <v>0</v>
      </c>
      <c r="AA467" s="92">
        <f t="shared" si="44"/>
        <v>0</v>
      </c>
      <c r="AB467" s="92">
        <f t="shared" si="45"/>
        <v>0</v>
      </c>
      <c r="AC467" s="92"/>
      <c r="AD467" s="92">
        <v>0</v>
      </c>
      <c r="AE467" s="92">
        <f t="shared" si="46"/>
        <v>0</v>
      </c>
      <c r="AF467" s="93">
        <v>0</v>
      </c>
      <c r="AG467" s="89">
        <v>40647</v>
      </c>
      <c r="AH467" s="94"/>
      <c r="AI467" s="102" t="s">
        <v>4336</v>
      </c>
      <c r="AJ467" s="96" t="s">
        <v>4337</v>
      </c>
      <c r="AK467" s="97"/>
      <c r="AL467" s="89"/>
      <c r="AM467" s="100" t="s">
        <v>1940</v>
      </c>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114"/>
      <c r="CQ467" s="115"/>
      <c r="CR467" s="114"/>
      <c r="CS467" s="115"/>
      <c r="CT467" s="114"/>
      <c r="CU467" s="115"/>
      <c r="CV467" s="99">
        <f t="shared" si="47"/>
        <v>0</v>
      </c>
      <c r="CW467" s="114"/>
      <c r="CX467" s="115"/>
      <c r="CY467" s="114"/>
      <c r="CZ467" s="115"/>
      <c r="DA467" s="115"/>
      <c r="DB467" s="115"/>
      <c r="DC467" s="114"/>
      <c r="DD467" s="115"/>
      <c r="DE467" s="97"/>
      <c r="DF467" s="269"/>
    </row>
    <row r="468" spans="1:110" s="270" customFormat="1" ht="60" x14ac:dyDescent="0.2">
      <c r="A468" s="89">
        <v>40645</v>
      </c>
      <c r="B468" s="90" t="s">
        <v>4344</v>
      </c>
      <c r="C468" s="90" t="s">
        <v>4223</v>
      </c>
      <c r="D468" s="90" t="s">
        <v>4264</v>
      </c>
      <c r="E468" s="90" t="str">
        <f>VLOOKUP(B468&amp;C468,Divipola!$C$2:$F$1138,4,FALSE)</f>
        <v>25815</v>
      </c>
      <c r="F468" s="90"/>
      <c r="G468" s="101"/>
      <c r="H468" s="101"/>
      <c r="I468" s="101"/>
      <c r="J468" s="101"/>
      <c r="K468" s="101"/>
      <c r="L468" s="101"/>
      <c r="M468" s="101"/>
      <c r="N468" s="101">
        <v>1</v>
      </c>
      <c r="O468" s="101">
        <v>1</v>
      </c>
      <c r="P468" s="101"/>
      <c r="Q468" s="101"/>
      <c r="R468" s="101"/>
      <c r="S468" s="101"/>
      <c r="T468" s="101"/>
      <c r="U468" s="101"/>
      <c r="V468" s="101"/>
      <c r="W468" s="91"/>
      <c r="X468" s="89"/>
      <c r="Y468" s="92">
        <f t="shared" si="42"/>
        <v>0</v>
      </c>
      <c r="Z468" s="92">
        <f t="shared" si="43"/>
        <v>0</v>
      </c>
      <c r="AA468" s="92">
        <f t="shared" si="44"/>
        <v>0</v>
      </c>
      <c r="AB468" s="92">
        <f t="shared" si="45"/>
        <v>0</v>
      </c>
      <c r="AC468" s="92"/>
      <c r="AD468" s="92">
        <v>0</v>
      </c>
      <c r="AE468" s="92">
        <f t="shared" si="46"/>
        <v>0</v>
      </c>
      <c r="AF468" s="93">
        <v>0</v>
      </c>
      <c r="AG468" s="89">
        <v>40647</v>
      </c>
      <c r="AH468" s="94"/>
      <c r="AI468" s="102" t="s">
        <v>4336</v>
      </c>
      <c r="AJ468" s="96" t="s">
        <v>4337</v>
      </c>
      <c r="AK468" s="97"/>
      <c r="AL468" s="89"/>
      <c r="AM468" s="100" t="s">
        <v>1941</v>
      </c>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114"/>
      <c r="CQ468" s="115"/>
      <c r="CR468" s="114"/>
      <c r="CS468" s="115"/>
      <c r="CT468" s="114"/>
      <c r="CU468" s="115"/>
      <c r="CV468" s="99">
        <f t="shared" si="47"/>
        <v>0</v>
      </c>
      <c r="CW468" s="114"/>
      <c r="CX468" s="115"/>
      <c r="CY468" s="114"/>
      <c r="CZ468" s="115"/>
      <c r="DA468" s="115"/>
      <c r="DB468" s="115"/>
      <c r="DC468" s="114"/>
      <c r="DD468" s="115"/>
      <c r="DE468" s="97"/>
      <c r="DF468" s="269"/>
    </row>
    <row r="469" spans="1:110" s="270" customFormat="1" ht="48" x14ac:dyDescent="0.2">
      <c r="A469" s="89">
        <v>40645</v>
      </c>
      <c r="B469" s="90" t="s">
        <v>4344</v>
      </c>
      <c r="C469" s="90" t="s">
        <v>4517</v>
      </c>
      <c r="D469" s="90" t="s">
        <v>4264</v>
      </c>
      <c r="E469" s="90" t="str">
        <f>VLOOKUP(B469&amp;C469,Divipola!$C$2:$F$1138,4,FALSE)</f>
        <v>25851</v>
      </c>
      <c r="F469" s="90"/>
      <c r="G469" s="101"/>
      <c r="H469" s="101"/>
      <c r="I469" s="101"/>
      <c r="J469" s="101">
        <v>200</v>
      </c>
      <c r="K469" s="101">
        <v>52</v>
      </c>
      <c r="L469" s="101"/>
      <c r="M469" s="101">
        <v>52</v>
      </c>
      <c r="N469" s="101"/>
      <c r="O469" s="101"/>
      <c r="P469" s="101"/>
      <c r="Q469" s="101"/>
      <c r="R469" s="101"/>
      <c r="S469" s="101"/>
      <c r="T469" s="101"/>
      <c r="U469" s="101"/>
      <c r="V469" s="101"/>
      <c r="W469" s="91"/>
      <c r="X469" s="89"/>
      <c r="Y469" s="92">
        <f t="shared" si="42"/>
        <v>0</v>
      </c>
      <c r="Z469" s="92">
        <f t="shared" si="43"/>
        <v>0</v>
      </c>
      <c r="AA469" s="92">
        <f t="shared" si="44"/>
        <v>0</v>
      </c>
      <c r="AB469" s="92">
        <f t="shared" si="45"/>
        <v>0</v>
      </c>
      <c r="AC469" s="92"/>
      <c r="AD469" s="92">
        <v>0</v>
      </c>
      <c r="AE469" s="92">
        <f t="shared" si="46"/>
        <v>0</v>
      </c>
      <c r="AF469" s="93">
        <v>0</v>
      </c>
      <c r="AG469" s="89">
        <v>40647</v>
      </c>
      <c r="AH469" s="94"/>
      <c r="AI469" s="95" t="s">
        <v>4346</v>
      </c>
      <c r="AJ469" s="96" t="s">
        <v>4347</v>
      </c>
      <c r="AK469" s="97"/>
      <c r="AL469" s="89" t="s">
        <v>2797</v>
      </c>
      <c r="AM469" s="100" t="s">
        <v>259</v>
      </c>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114"/>
      <c r="CQ469" s="115"/>
      <c r="CR469" s="114"/>
      <c r="CS469" s="115"/>
      <c r="CT469" s="114"/>
      <c r="CU469" s="115"/>
      <c r="CV469" s="99">
        <f t="shared" si="47"/>
        <v>0</v>
      </c>
      <c r="CW469" s="114"/>
      <c r="CX469" s="115"/>
      <c r="CY469" s="114"/>
      <c r="CZ469" s="115"/>
      <c r="DA469" s="115"/>
      <c r="DB469" s="115"/>
      <c r="DC469" s="114"/>
      <c r="DD469" s="115"/>
      <c r="DE469" s="97"/>
      <c r="DF469" s="269"/>
    </row>
    <row r="470" spans="1:110" s="270" customFormat="1" ht="24" x14ac:dyDescent="0.2">
      <c r="A470" s="89">
        <v>40645</v>
      </c>
      <c r="B470" s="90" t="s">
        <v>860</v>
      </c>
      <c r="C470" s="90" t="s">
        <v>861</v>
      </c>
      <c r="D470" s="90" t="s">
        <v>4264</v>
      </c>
      <c r="E470" s="90" t="str">
        <f>VLOOKUP(B470&amp;C470,Divipola!$C$2:$F$1138,4,FALSE)</f>
        <v>50251</v>
      </c>
      <c r="F470" s="90"/>
      <c r="G470" s="101"/>
      <c r="H470" s="101"/>
      <c r="I470" s="101"/>
      <c r="J470" s="101">
        <v>7</v>
      </c>
      <c r="K470" s="101">
        <v>2</v>
      </c>
      <c r="L470" s="101">
        <v>1</v>
      </c>
      <c r="M470" s="101"/>
      <c r="N470" s="101"/>
      <c r="O470" s="101"/>
      <c r="P470" s="101"/>
      <c r="Q470" s="101"/>
      <c r="R470" s="101"/>
      <c r="S470" s="101"/>
      <c r="T470" s="101"/>
      <c r="U470" s="101"/>
      <c r="V470" s="101"/>
      <c r="W470" s="91"/>
      <c r="X470" s="89"/>
      <c r="Y470" s="92">
        <f t="shared" si="42"/>
        <v>0</v>
      </c>
      <c r="Z470" s="92">
        <f t="shared" si="43"/>
        <v>0</v>
      </c>
      <c r="AA470" s="92">
        <f t="shared" si="44"/>
        <v>0</v>
      </c>
      <c r="AB470" s="92">
        <f t="shared" si="45"/>
        <v>0</v>
      </c>
      <c r="AC470" s="92"/>
      <c r="AD470" s="92">
        <v>0</v>
      </c>
      <c r="AE470" s="92">
        <f t="shared" si="46"/>
        <v>0</v>
      </c>
      <c r="AF470" s="93">
        <v>0</v>
      </c>
      <c r="AG470" s="89"/>
      <c r="AH470" s="94"/>
      <c r="AI470" s="95" t="s">
        <v>4346</v>
      </c>
      <c r="AJ470" s="96" t="s">
        <v>4347</v>
      </c>
      <c r="AK470" s="97"/>
      <c r="AL470" s="89" t="s">
        <v>2798</v>
      </c>
      <c r="AM470" s="100" t="s">
        <v>293</v>
      </c>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114"/>
      <c r="CQ470" s="115"/>
      <c r="CR470" s="114"/>
      <c r="CS470" s="115"/>
      <c r="CT470" s="114"/>
      <c r="CU470" s="115"/>
      <c r="CV470" s="99">
        <f t="shared" si="47"/>
        <v>0</v>
      </c>
      <c r="CW470" s="114"/>
      <c r="CX470" s="115"/>
      <c r="CY470" s="114"/>
      <c r="CZ470" s="115"/>
      <c r="DA470" s="115"/>
      <c r="DB470" s="115"/>
      <c r="DC470" s="114"/>
      <c r="DD470" s="115"/>
      <c r="DE470" s="97"/>
      <c r="DF470" s="269"/>
    </row>
    <row r="471" spans="1:110" s="270" customFormat="1" ht="36" x14ac:dyDescent="0.2">
      <c r="A471" s="89">
        <v>40645</v>
      </c>
      <c r="B471" s="90" t="s">
        <v>860</v>
      </c>
      <c r="C471" s="90" t="s">
        <v>2211</v>
      </c>
      <c r="D471" s="90" t="s">
        <v>4264</v>
      </c>
      <c r="E471" s="90" t="str">
        <f>VLOOKUP(B471&amp;C471,Divipola!$C$2:$F$1138,4,FALSE)</f>
        <v>50313</v>
      </c>
      <c r="F471" s="90"/>
      <c r="G471" s="101"/>
      <c r="H471" s="101"/>
      <c r="I471" s="101"/>
      <c r="J471" s="101">
        <v>92</v>
      </c>
      <c r="K471" s="101">
        <v>18</v>
      </c>
      <c r="L471" s="101"/>
      <c r="M471" s="101">
        <v>18</v>
      </c>
      <c r="N471" s="101"/>
      <c r="O471" s="101"/>
      <c r="P471" s="101"/>
      <c r="Q471" s="101"/>
      <c r="R471" s="101"/>
      <c r="S471" s="101"/>
      <c r="T471" s="101"/>
      <c r="U471" s="101"/>
      <c r="V471" s="101"/>
      <c r="W471" s="91"/>
      <c r="X471" s="89"/>
      <c r="Y471" s="92">
        <f t="shared" si="42"/>
        <v>0</v>
      </c>
      <c r="Z471" s="92">
        <f t="shared" si="43"/>
        <v>0</v>
      </c>
      <c r="AA471" s="92">
        <f t="shared" si="44"/>
        <v>0</v>
      </c>
      <c r="AB471" s="92">
        <f t="shared" si="45"/>
        <v>0</v>
      </c>
      <c r="AC471" s="92"/>
      <c r="AD471" s="92">
        <v>0</v>
      </c>
      <c r="AE471" s="92">
        <f t="shared" si="46"/>
        <v>0</v>
      </c>
      <c r="AF471" s="93">
        <v>0</v>
      </c>
      <c r="AG471" s="89">
        <v>40647</v>
      </c>
      <c r="AH471" s="94"/>
      <c r="AI471" s="95" t="s">
        <v>4346</v>
      </c>
      <c r="AJ471" s="96" t="s">
        <v>4347</v>
      </c>
      <c r="AK471" s="97"/>
      <c r="AL471" s="89" t="s">
        <v>2798</v>
      </c>
      <c r="AM471" s="100" t="s">
        <v>1933</v>
      </c>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114"/>
      <c r="CQ471" s="115"/>
      <c r="CR471" s="114"/>
      <c r="CS471" s="115"/>
      <c r="CT471" s="114"/>
      <c r="CU471" s="115"/>
      <c r="CV471" s="99">
        <f t="shared" si="47"/>
        <v>0</v>
      </c>
      <c r="CW471" s="114"/>
      <c r="CX471" s="115"/>
      <c r="CY471" s="114"/>
      <c r="CZ471" s="115"/>
      <c r="DA471" s="115"/>
      <c r="DB471" s="115"/>
      <c r="DC471" s="114"/>
      <c r="DD471" s="115"/>
      <c r="DE471" s="97"/>
      <c r="DF471" s="269"/>
    </row>
    <row r="472" spans="1:110" s="270" customFormat="1" x14ac:dyDescent="0.2">
      <c r="A472" s="89">
        <v>40645</v>
      </c>
      <c r="B472" s="90" t="s">
        <v>860</v>
      </c>
      <c r="C472" s="90" t="s">
        <v>2859</v>
      </c>
      <c r="D472" s="90" t="s">
        <v>4264</v>
      </c>
      <c r="E472" s="90" t="str">
        <f>VLOOKUP(B472&amp;C472,Divipola!$C$2:$F$1138,4,FALSE)</f>
        <v>50001</v>
      </c>
      <c r="F472" s="90"/>
      <c r="G472" s="101"/>
      <c r="H472" s="101"/>
      <c r="I472" s="101"/>
      <c r="J472" s="101">
        <v>4</v>
      </c>
      <c r="K472" s="101">
        <v>1</v>
      </c>
      <c r="L472" s="101">
        <v>1</v>
      </c>
      <c r="M472" s="101"/>
      <c r="N472" s="101"/>
      <c r="O472" s="101"/>
      <c r="P472" s="101"/>
      <c r="Q472" s="101"/>
      <c r="R472" s="101"/>
      <c r="S472" s="101"/>
      <c r="T472" s="101"/>
      <c r="U472" s="101"/>
      <c r="V472" s="101"/>
      <c r="W472" s="91"/>
      <c r="X472" s="89"/>
      <c r="Y472" s="92">
        <f t="shared" si="42"/>
        <v>0</v>
      </c>
      <c r="Z472" s="92">
        <f t="shared" si="43"/>
        <v>0</v>
      </c>
      <c r="AA472" s="92">
        <f t="shared" si="44"/>
        <v>0</v>
      </c>
      <c r="AB472" s="92">
        <f t="shared" si="45"/>
        <v>0</v>
      </c>
      <c r="AC472" s="92"/>
      <c r="AD472" s="92">
        <v>0</v>
      </c>
      <c r="AE472" s="92">
        <f t="shared" si="46"/>
        <v>0</v>
      </c>
      <c r="AF472" s="93">
        <v>0</v>
      </c>
      <c r="AG472" s="89">
        <v>40647</v>
      </c>
      <c r="AH472" s="94"/>
      <c r="AI472" s="95" t="s">
        <v>4346</v>
      </c>
      <c r="AJ472" s="96" t="s">
        <v>4347</v>
      </c>
      <c r="AK472" s="97"/>
      <c r="AL472" s="89" t="s">
        <v>2798</v>
      </c>
      <c r="AM472" s="100" t="s">
        <v>224</v>
      </c>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114"/>
      <c r="CQ472" s="115"/>
      <c r="CR472" s="114"/>
      <c r="CS472" s="115"/>
      <c r="CT472" s="114"/>
      <c r="CU472" s="115"/>
      <c r="CV472" s="99">
        <f t="shared" si="47"/>
        <v>0</v>
      </c>
      <c r="CW472" s="114"/>
      <c r="CX472" s="115"/>
      <c r="CY472" s="114"/>
      <c r="CZ472" s="115"/>
      <c r="DA472" s="115"/>
      <c r="DB472" s="115"/>
      <c r="DC472" s="114"/>
      <c r="DD472" s="115"/>
      <c r="DE472" s="97"/>
      <c r="DF472" s="269"/>
    </row>
    <row r="473" spans="1:110" s="270" customFormat="1" x14ac:dyDescent="0.2">
      <c r="A473" s="89">
        <v>40645</v>
      </c>
      <c r="B473" s="90" t="s">
        <v>4387</v>
      </c>
      <c r="C473" s="90" t="s">
        <v>3445</v>
      </c>
      <c r="D473" s="90" t="s">
        <v>2362</v>
      </c>
      <c r="E473" s="90" t="str">
        <f>VLOOKUP(B473&amp;C473,Divipola!$C$2:$F$1138,4,FALSE)</f>
        <v>52612</v>
      </c>
      <c r="F473" s="90"/>
      <c r="G473" s="101">
        <v>3</v>
      </c>
      <c r="H473" s="101"/>
      <c r="I473" s="101"/>
      <c r="J473" s="101">
        <v>29</v>
      </c>
      <c r="K473" s="101">
        <v>5</v>
      </c>
      <c r="L473" s="101">
        <v>3</v>
      </c>
      <c r="M473" s="101"/>
      <c r="N473" s="101"/>
      <c r="O473" s="101"/>
      <c r="P473" s="101"/>
      <c r="Q473" s="101"/>
      <c r="R473" s="101"/>
      <c r="S473" s="101"/>
      <c r="T473" s="101"/>
      <c r="U473" s="101"/>
      <c r="V473" s="101"/>
      <c r="W473" s="91"/>
      <c r="X473" s="89"/>
      <c r="Y473" s="92">
        <f t="shared" si="42"/>
        <v>0</v>
      </c>
      <c r="Z473" s="92">
        <f t="shared" si="43"/>
        <v>0</v>
      </c>
      <c r="AA473" s="92">
        <f t="shared" si="44"/>
        <v>0</v>
      </c>
      <c r="AB473" s="92">
        <f t="shared" si="45"/>
        <v>0</v>
      </c>
      <c r="AC473" s="92"/>
      <c r="AD473" s="92">
        <v>0</v>
      </c>
      <c r="AE473" s="92">
        <f t="shared" si="46"/>
        <v>0</v>
      </c>
      <c r="AF473" s="93">
        <v>0</v>
      </c>
      <c r="AG473" s="89">
        <v>40647</v>
      </c>
      <c r="AH473" s="94"/>
      <c r="AI473" s="95" t="s">
        <v>4336</v>
      </c>
      <c r="AJ473" s="96" t="s">
        <v>4337</v>
      </c>
      <c r="AK473" s="97"/>
      <c r="AL473" s="89"/>
      <c r="AM473" s="100" t="s">
        <v>1936</v>
      </c>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114"/>
      <c r="CQ473" s="115"/>
      <c r="CR473" s="114"/>
      <c r="CS473" s="115"/>
      <c r="CT473" s="114"/>
      <c r="CU473" s="115"/>
      <c r="CV473" s="99">
        <f t="shared" si="47"/>
        <v>0</v>
      </c>
      <c r="CW473" s="114"/>
      <c r="CX473" s="115"/>
      <c r="CY473" s="114"/>
      <c r="CZ473" s="115"/>
      <c r="DA473" s="115"/>
      <c r="DB473" s="115"/>
      <c r="DC473" s="114"/>
      <c r="DD473" s="115"/>
      <c r="DE473" s="97"/>
      <c r="DF473" s="269"/>
    </row>
    <row r="474" spans="1:110" s="270" customFormat="1" ht="36" x14ac:dyDescent="0.2">
      <c r="A474" s="89">
        <v>40645</v>
      </c>
      <c r="B474" s="90" t="s">
        <v>4221</v>
      </c>
      <c r="C474" s="90" t="s">
        <v>4300</v>
      </c>
      <c r="D474" s="90" t="s">
        <v>4264</v>
      </c>
      <c r="E474" s="90" t="str">
        <f>VLOOKUP(B474&amp;C474,Divipola!$C$2:$F$1138,4,FALSE)</f>
        <v>54874</v>
      </c>
      <c r="F474" s="90"/>
      <c r="G474" s="101"/>
      <c r="H474" s="101"/>
      <c r="I474" s="101"/>
      <c r="J474" s="101"/>
      <c r="K474" s="101"/>
      <c r="L474" s="101"/>
      <c r="M474" s="101"/>
      <c r="N474" s="101"/>
      <c r="O474" s="101"/>
      <c r="P474" s="101"/>
      <c r="Q474" s="101"/>
      <c r="R474" s="101"/>
      <c r="S474" s="101"/>
      <c r="T474" s="101"/>
      <c r="U474" s="101"/>
      <c r="V474" s="101"/>
      <c r="W474" s="91"/>
      <c r="X474" s="89"/>
      <c r="Y474" s="92">
        <f t="shared" si="42"/>
        <v>0</v>
      </c>
      <c r="Z474" s="92">
        <f t="shared" si="43"/>
        <v>0</v>
      </c>
      <c r="AA474" s="92">
        <f t="shared" si="44"/>
        <v>0</v>
      </c>
      <c r="AB474" s="92">
        <f t="shared" si="45"/>
        <v>0</v>
      </c>
      <c r="AC474" s="92"/>
      <c r="AD474" s="92">
        <v>0</v>
      </c>
      <c r="AE474" s="92">
        <f t="shared" si="46"/>
        <v>0</v>
      </c>
      <c r="AF474" s="93">
        <v>0</v>
      </c>
      <c r="AG474" s="89">
        <v>40647</v>
      </c>
      <c r="AH474" s="94"/>
      <c r="AI474" s="102" t="s">
        <v>4336</v>
      </c>
      <c r="AJ474" s="96" t="s">
        <v>4337</v>
      </c>
      <c r="AK474" s="97"/>
      <c r="AL474" s="89"/>
      <c r="AM474" s="100" t="s">
        <v>2067</v>
      </c>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114"/>
      <c r="CQ474" s="115"/>
      <c r="CR474" s="114"/>
      <c r="CS474" s="115"/>
      <c r="CT474" s="114"/>
      <c r="CU474" s="115"/>
      <c r="CV474" s="99">
        <f t="shared" si="47"/>
        <v>0</v>
      </c>
      <c r="CW474" s="114"/>
      <c r="CX474" s="115"/>
      <c r="CY474" s="114"/>
      <c r="CZ474" s="115"/>
      <c r="DA474" s="115"/>
      <c r="DB474" s="115"/>
      <c r="DC474" s="114"/>
      <c r="DD474" s="115"/>
      <c r="DE474" s="97"/>
      <c r="DF474" s="269"/>
    </row>
    <row r="475" spans="1:110" s="270" customFormat="1" ht="36" x14ac:dyDescent="0.2">
      <c r="A475" s="89">
        <v>40645</v>
      </c>
      <c r="B475" s="90" t="s">
        <v>4221</v>
      </c>
      <c r="C475" s="90" t="s">
        <v>4300</v>
      </c>
      <c r="D475" s="90" t="s">
        <v>4264</v>
      </c>
      <c r="E475" s="90" t="str">
        <f>VLOOKUP(B475&amp;C475,Divipola!$C$2:$F$1138,4,FALSE)</f>
        <v>54874</v>
      </c>
      <c r="F475" s="90"/>
      <c r="G475" s="101"/>
      <c r="H475" s="101"/>
      <c r="I475" s="101"/>
      <c r="J475" s="101"/>
      <c r="K475" s="101"/>
      <c r="L475" s="101"/>
      <c r="M475" s="101"/>
      <c r="N475" s="101"/>
      <c r="O475" s="101"/>
      <c r="P475" s="101"/>
      <c r="Q475" s="101"/>
      <c r="R475" s="101"/>
      <c r="S475" s="101"/>
      <c r="T475" s="101"/>
      <c r="U475" s="101"/>
      <c r="V475" s="101"/>
      <c r="W475" s="91"/>
      <c r="X475" s="89"/>
      <c r="Y475" s="92">
        <f t="shared" si="42"/>
        <v>0</v>
      </c>
      <c r="Z475" s="92">
        <f t="shared" si="43"/>
        <v>0</v>
      </c>
      <c r="AA475" s="92">
        <f t="shared" si="44"/>
        <v>0</v>
      </c>
      <c r="AB475" s="92">
        <f t="shared" si="45"/>
        <v>0</v>
      </c>
      <c r="AC475" s="92"/>
      <c r="AD475" s="92">
        <v>0</v>
      </c>
      <c r="AE475" s="92">
        <f t="shared" si="46"/>
        <v>0</v>
      </c>
      <c r="AF475" s="93">
        <v>0</v>
      </c>
      <c r="AG475" s="89">
        <v>40647</v>
      </c>
      <c r="AH475" s="94"/>
      <c r="AI475" s="102" t="s">
        <v>4336</v>
      </c>
      <c r="AJ475" s="96" t="s">
        <v>4337</v>
      </c>
      <c r="AK475" s="97"/>
      <c r="AL475" s="89"/>
      <c r="AM475" s="100" t="s">
        <v>2075</v>
      </c>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114"/>
      <c r="CQ475" s="115"/>
      <c r="CR475" s="114"/>
      <c r="CS475" s="115"/>
      <c r="CT475" s="114"/>
      <c r="CU475" s="115"/>
      <c r="CV475" s="99">
        <f t="shared" si="47"/>
        <v>0</v>
      </c>
      <c r="CW475" s="114"/>
      <c r="CX475" s="115"/>
      <c r="CY475" s="114"/>
      <c r="CZ475" s="115"/>
      <c r="DA475" s="115"/>
      <c r="DB475" s="115"/>
      <c r="DC475" s="114"/>
      <c r="DD475" s="115"/>
      <c r="DE475" s="97"/>
      <c r="DF475" s="269"/>
    </row>
    <row r="476" spans="1:110" s="270" customFormat="1" ht="24" x14ac:dyDescent="0.2">
      <c r="A476" s="89">
        <v>40645</v>
      </c>
      <c r="B476" s="90" t="s">
        <v>4350</v>
      </c>
      <c r="C476" s="90" t="s">
        <v>4351</v>
      </c>
      <c r="D476" s="90" t="s">
        <v>4264</v>
      </c>
      <c r="E476" s="90" t="str">
        <f>VLOOKUP(B476&amp;C476,Divipola!$C$2:$F$1138,4,FALSE)</f>
        <v>63001</v>
      </c>
      <c r="F476" s="90"/>
      <c r="G476" s="101"/>
      <c r="H476" s="101"/>
      <c r="I476" s="101"/>
      <c r="J476" s="101">
        <v>3</v>
      </c>
      <c r="K476" s="101">
        <v>1</v>
      </c>
      <c r="L476" s="101"/>
      <c r="M476" s="101">
        <v>1</v>
      </c>
      <c r="N476" s="101"/>
      <c r="O476" s="101"/>
      <c r="P476" s="101"/>
      <c r="Q476" s="101"/>
      <c r="R476" s="101"/>
      <c r="S476" s="101"/>
      <c r="T476" s="101"/>
      <c r="U476" s="101"/>
      <c r="V476" s="101"/>
      <c r="W476" s="91"/>
      <c r="X476" s="89"/>
      <c r="Y476" s="92">
        <f t="shared" si="42"/>
        <v>0</v>
      </c>
      <c r="Z476" s="92">
        <f t="shared" si="43"/>
        <v>0</v>
      </c>
      <c r="AA476" s="92">
        <f t="shared" si="44"/>
        <v>0</v>
      </c>
      <c r="AB476" s="92">
        <f t="shared" si="45"/>
        <v>0</v>
      </c>
      <c r="AC476" s="92"/>
      <c r="AD476" s="92">
        <v>0</v>
      </c>
      <c r="AE476" s="92">
        <f t="shared" si="46"/>
        <v>0</v>
      </c>
      <c r="AF476" s="93">
        <v>0</v>
      </c>
      <c r="AG476" s="89">
        <v>40647</v>
      </c>
      <c r="AH476" s="94"/>
      <c r="AI476" s="95" t="s">
        <v>4336</v>
      </c>
      <c r="AJ476" s="96" t="s">
        <v>4337</v>
      </c>
      <c r="AK476" s="97"/>
      <c r="AL476" s="89"/>
      <c r="AM476" s="100" t="s">
        <v>1931</v>
      </c>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114"/>
      <c r="CQ476" s="115"/>
      <c r="CR476" s="114"/>
      <c r="CS476" s="115"/>
      <c r="CT476" s="114"/>
      <c r="CU476" s="115"/>
      <c r="CV476" s="99">
        <f t="shared" si="47"/>
        <v>0</v>
      </c>
      <c r="CW476" s="114"/>
      <c r="CX476" s="115"/>
      <c r="CY476" s="114"/>
      <c r="CZ476" s="115"/>
      <c r="DA476" s="115"/>
      <c r="DB476" s="115"/>
      <c r="DC476" s="114"/>
      <c r="DD476" s="115"/>
      <c r="DE476" s="97"/>
      <c r="DF476" s="269"/>
    </row>
    <row r="477" spans="1:110" s="270" customFormat="1" ht="24" x14ac:dyDescent="0.2">
      <c r="A477" s="89">
        <v>40645</v>
      </c>
      <c r="B477" s="90" t="s">
        <v>4348</v>
      </c>
      <c r="C477" s="90" t="s">
        <v>4313</v>
      </c>
      <c r="D477" s="90" t="s">
        <v>2362</v>
      </c>
      <c r="E477" s="90" t="str">
        <f>VLOOKUP(B477&amp;C477,Divipola!$C$2:$F$1138,4,FALSE)</f>
        <v>66318</v>
      </c>
      <c r="F477" s="90"/>
      <c r="G477" s="101"/>
      <c r="H477" s="101"/>
      <c r="I477" s="101"/>
      <c r="J477" s="101">
        <v>60</v>
      </c>
      <c r="K477" s="101">
        <v>15</v>
      </c>
      <c r="L477" s="101">
        <v>10</v>
      </c>
      <c r="M477" s="101">
        <v>5</v>
      </c>
      <c r="N477" s="101">
        <v>1</v>
      </c>
      <c r="O477" s="101"/>
      <c r="P477" s="101"/>
      <c r="Q477" s="101"/>
      <c r="R477" s="101"/>
      <c r="S477" s="101"/>
      <c r="T477" s="101"/>
      <c r="U477" s="101"/>
      <c r="V477" s="101"/>
      <c r="W477" s="91"/>
      <c r="X477" s="89"/>
      <c r="Y477" s="92">
        <f t="shared" si="42"/>
        <v>0</v>
      </c>
      <c r="Z477" s="92">
        <f t="shared" si="43"/>
        <v>0</v>
      </c>
      <c r="AA477" s="92">
        <f t="shared" si="44"/>
        <v>0</v>
      </c>
      <c r="AB477" s="92">
        <f t="shared" si="45"/>
        <v>0</v>
      </c>
      <c r="AC477" s="92"/>
      <c r="AD477" s="92">
        <v>0</v>
      </c>
      <c r="AE477" s="92">
        <f t="shared" si="46"/>
        <v>0</v>
      </c>
      <c r="AF477" s="93">
        <v>0</v>
      </c>
      <c r="AG477" s="89"/>
      <c r="AH477" s="94"/>
      <c r="AI477" s="95" t="s">
        <v>4336</v>
      </c>
      <c r="AJ477" s="96" t="s">
        <v>4337</v>
      </c>
      <c r="AK477" s="284"/>
      <c r="AL477" s="285"/>
      <c r="AM477" s="121" t="s">
        <v>3268</v>
      </c>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114"/>
      <c r="CQ477" s="115"/>
      <c r="CR477" s="114"/>
      <c r="CS477" s="115"/>
      <c r="CT477" s="114"/>
      <c r="CU477" s="115"/>
      <c r="CV477" s="99">
        <f t="shared" si="47"/>
        <v>0</v>
      </c>
      <c r="CW477" s="114"/>
      <c r="CX477" s="115"/>
      <c r="CY477" s="114"/>
      <c r="CZ477" s="115"/>
      <c r="DA477" s="115"/>
      <c r="DB477" s="115"/>
      <c r="DC477" s="114"/>
      <c r="DD477" s="115"/>
      <c r="DE477" s="97"/>
      <c r="DF477" s="269"/>
    </row>
    <row r="478" spans="1:110" s="270" customFormat="1" ht="22.5" x14ac:dyDescent="0.2">
      <c r="A478" s="89">
        <v>40645</v>
      </c>
      <c r="B478" s="90" t="s">
        <v>4348</v>
      </c>
      <c r="C478" s="90" t="s">
        <v>3303</v>
      </c>
      <c r="D478" s="90" t="s">
        <v>2362</v>
      </c>
      <c r="E478" s="90" t="str">
        <f>VLOOKUP(B478&amp;C478,Divipola!$C$2:$F$1138,4,FALSE)</f>
        <v>66456</v>
      </c>
      <c r="F478" s="101"/>
      <c r="G478" s="101"/>
      <c r="H478" s="101"/>
      <c r="I478" s="101"/>
      <c r="J478" s="101">
        <v>30</v>
      </c>
      <c r="K478" s="101">
        <v>6</v>
      </c>
      <c r="L478" s="101">
        <v>1</v>
      </c>
      <c r="M478" s="101">
        <v>5</v>
      </c>
      <c r="N478" s="101">
        <v>1</v>
      </c>
      <c r="O478" s="101"/>
      <c r="P478" s="101"/>
      <c r="Q478" s="101"/>
      <c r="R478" s="101"/>
      <c r="S478" s="101"/>
      <c r="T478" s="101"/>
      <c r="U478" s="91"/>
      <c r="V478" s="89"/>
      <c r="W478" s="92"/>
      <c r="X478" s="92"/>
      <c r="Y478" s="92">
        <f t="shared" si="42"/>
        <v>0</v>
      </c>
      <c r="Z478" s="92">
        <f t="shared" si="43"/>
        <v>0</v>
      </c>
      <c r="AA478" s="92">
        <f t="shared" si="44"/>
        <v>0</v>
      </c>
      <c r="AB478" s="92">
        <f t="shared" si="45"/>
        <v>0</v>
      </c>
      <c r="AC478" s="92"/>
      <c r="AD478" s="92">
        <v>0</v>
      </c>
      <c r="AE478" s="92">
        <f t="shared" si="46"/>
        <v>0</v>
      </c>
      <c r="AF478" s="93">
        <v>0</v>
      </c>
      <c r="AG478" s="89"/>
      <c r="AH478" s="96"/>
      <c r="AI478" s="102" t="s">
        <v>4336</v>
      </c>
      <c r="AJ478" s="96" t="s">
        <v>4337</v>
      </c>
      <c r="AK478" s="100"/>
      <c r="AL478" s="89"/>
      <c r="AM478" s="90" t="s">
        <v>312</v>
      </c>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114"/>
      <c r="CQ478" s="115"/>
      <c r="CR478" s="114"/>
      <c r="CS478" s="115"/>
      <c r="CT478" s="114"/>
      <c r="CU478" s="115"/>
      <c r="CV478" s="99">
        <f t="shared" si="47"/>
        <v>0</v>
      </c>
      <c r="CW478" s="114"/>
      <c r="CX478" s="115"/>
      <c r="CY478" s="114"/>
      <c r="CZ478" s="115"/>
      <c r="DA478" s="115"/>
      <c r="DB478" s="115"/>
      <c r="DC478" s="114"/>
      <c r="DD478" s="115"/>
      <c r="DE478" s="97"/>
      <c r="DF478" s="269"/>
    </row>
    <row r="479" spans="1:110" s="270" customFormat="1" ht="36" x14ac:dyDescent="0.2">
      <c r="A479" s="89">
        <v>40645</v>
      </c>
      <c r="B479" s="90" t="s">
        <v>2226</v>
      </c>
      <c r="C479" s="90" t="s">
        <v>4370</v>
      </c>
      <c r="D479" s="90" t="s">
        <v>4264</v>
      </c>
      <c r="E479" s="90" t="str">
        <f>VLOOKUP(B479&amp;C479,Divipola!$C$2:$F$1138,4,FALSE)</f>
        <v>68169</v>
      </c>
      <c r="F479" s="90"/>
      <c r="G479" s="101"/>
      <c r="H479" s="101"/>
      <c r="I479" s="101"/>
      <c r="J479" s="101"/>
      <c r="K479" s="101"/>
      <c r="L479" s="101"/>
      <c r="M479" s="101"/>
      <c r="N479" s="101">
        <v>1</v>
      </c>
      <c r="O479" s="101"/>
      <c r="P479" s="101"/>
      <c r="Q479" s="101"/>
      <c r="R479" s="101"/>
      <c r="S479" s="101"/>
      <c r="T479" s="101"/>
      <c r="U479" s="101"/>
      <c r="V479" s="101"/>
      <c r="W479" s="91"/>
      <c r="X479" s="89"/>
      <c r="Y479" s="92">
        <f t="shared" si="42"/>
        <v>0</v>
      </c>
      <c r="Z479" s="92">
        <f t="shared" si="43"/>
        <v>0</v>
      </c>
      <c r="AA479" s="92">
        <f t="shared" si="44"/>
        <v>0</v>
      </c>
      <c r="AB479" s="92">
        <f t="shared" si="45"/>
        <v>0</v>
      </c>
      <c r="AC479" s="92"/>
      <c r="AD479" s="92">
        <v>0</v>
      </c>
      <c r="AE479" s="92">
        <f t="shared" si="46"/>
        <v>0</v>
      </c>
      <c r="AF479" s="93">
        <v>0</v>
      </c>
      <c r="AG479" s="89">
        <v>40647</v>
      </c>
      <c r="AH479" s="94"/>
      <c r="AI479" s="95" t="s">
        <v>4346</v>
      </c>
      <c r="AJ479" s="96" t="s">
        <v>4347</v>
      </c>
      <c r="AK479" s="97"/>
      <c r="AL479" s="89" t="s">
        <v>1049</v>
      </c>
      <c r="AM479" s="100" t="s">
        <v>261</v>
      </c>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114"/>
      <c r="CQ479" s="115"/>
      <c r="CR479" s="114"/>
      <c r="CS479" s="115"/>
      <c r="CT479" s="114"/>
      <c r="CU479" s="115"/>
      <c r="CV479" s="99">
        <f t="shared" si="47"/>
        <v>0</v>
      </c>
      <c r="CW479" s="114"/>
      <c r="CX479" s="115"/>
      <c r="CY479" s="114"/>
      <c r="CZ479" s="115"/>
      <c r="DA479" s="115"/>
      <c r="DB479" s="115"/>
      <c r="DC479" s="114"/>
      <c r="DD479" s="115"/>
      <c r="DE479" s="97"/>
      <c r="DF479" s="269"/>
    </row>
    <row r="480" spans="1:110" s="270" customFormat="1" ht="60" x14ac:dyDescent="0.2">
      <c r="A480" s="89">
        <v>40645</v>
      </c>
      <c r="B480" s="90" t="s">
        <v>3316</v>
      </c>
      <c r="C480" s="90" t="s">
        <v>3348</v>
      </c>
      <c r="D480" s="90" t="s">
        <v>4264</v>
      </c>
      <c r="E480" s="90" t="str">
        <f>VLOOKUP(B480&amp;C480,Divipola!$C$2:$F$1138,4,FALSE)</f>
        <v>73411</v>
      </c>
      <c r="F480" s="90"/>
      <c r="G480" s="101"/>
      <c r="H480" s="101"/>
      <c r="I480" s="101"/>
      <c r="J480" s="101">
        <v>100</v>
      </c>
      <c r="K480" s="101">
        <v>20</v>
      </c>
      <c r="L480" s="101"/>
      <c r="M480" s="101">
        <v>20</v>
      </c>
      <c r="N480" s="101"/>
      <c r="O480" s="101"/>
      <c r="P480" s="101"/>
      <c r="Q480" s="101"/>
      <c r="R480" s="101"/>
      <c r="S480" s="101"/>
      <c r="T480" s="101"/>
      <c r="U480" s="101"/>
      <c r="V480" s="101"/>
      <c r="W480" s="91"/>
      <c r="X480" s="89"/>
      <c r="Y480" s="92">
        <f t="shared" si="42"/>
        <v>0</v>
      </c>
      <c r="Z480" s="92">
        <f t="shared" si="43"/>
        <v>0</v>
      </c>
      <c r="AA480" s="92">
        <f t="shared" si="44"/>
        <v>0</v>
      </c>
      <c r="AB480" s="92">
        <f t="shared" si="45"/>
        <v>0</v>
      </c>
      <c r="AC480" s="92"/>
      <c r="AD480" s="92">
        <v>0</v>
      </c>
      <c r="AE480" s="92">
        <f t="shared" si="46"/>
        <v>0</v>
      </c>
      <c r="AF480" s="93">
        <v>0</v>
      </c>
      <c r="AG480" s="89">
        <v>40647</v>
      </c>
      <c r="AH480" s="94"/>
      <c r="AI480" s="95" t="s">
        <v>4346</v>
      </c>
      <c r="AJ480" s="96" t="s">
        <v>4347</v>
      </c>
      <c r="AK480" s="97"/>
      <c r="AL480" s="89" t="s">
        <v>2798</v>
      </c>
      <c r="AM480" s="100" t="s">
        <v>260</v>
      </c>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114"/>
      <c r="CQ480" s="115"/>
      <c r="CR480" s="114"/>
      <c r="CS480" s="115"/>
      <c r="CT480" s="114"/>
      <c r="CU480" s="115"/>
      <c r="CV480" s="99">
        <f t="shared" si="47"/>
        <v>0</v>
      </c>
      <c r="CW480" s="114"/>
      <c r="CX480" s="115"/>
      <c r="CY480" s="114"/>
      <c r="CZ480" s="115"/>
      <c r="DA480" s="115"/>
      <c r="DB480" s="115"/>
      <c r="DC480" s="114"/>
      <c r="DD480" s="115"/>
      <c r="DE480" s="97"/>
      <c r="DF480" s="269"/>
    </row>
    <row r="481" spans="1:110" s="270" customFormat="1" ht="36" x14ac:dyDescent="0.2">
      <c r="A481" s="89">
        <v>40645</v>
      </c>
      <c r="B481" s="90" t="s">
        <v>3316</v>
      </c>
      <c r="C481" s="90" t="s">
        <v>2216</v>
      </c>
      <c r="D481" s="90" t="s">
        <v>4264</v>
      </c>
      <c r="E481" s="90" t="str">
        <f>VLOOKUP(B481&amp;C481,Divipola!$C$2:$F$1138,4,FALSE)</f>
        <v>73504</v>
      </c>
      <c r="F481" s="90"/>
      <c r="G481" s="101"/>
      <c r="H481" s="101"/>
      <c r="I481" s="101"/>
      <c r="J481" s="101">
        <v>680</v>
      </c>
      <c r="K481" s="101">
        <v>151</v>
      </c>
      <c r="L481" s="101"/>
      <c r="M481" s="101">
        <v>151</v>
      </c>
      <c r="N481" s="101"/>
      <c r="O481" s="101"/>
      <c r="P481" s="101"/>
      <c r="Q481" s="101"/>
      <c r="R481" s="101"/>
      <c r="S481" s="101"/>
      <c r="T481" s="101"/>
      <c r="U481" s="101"/>
      <c r="V481" s="101"/>
      <c r="W481" s="91"/>
      <c r="X481" s="89"/>
      <c r="Y481" s="92">
        <f t="shared" si="42"/>
        <v>0</v>
      </c>
      <c r="Z481" s="92">
        <f t="shared" si="43"/>
        <v>0</v>
      </c>
      <c r="AA481" s="92">
        <f t="shared" si="44"/>
        <v>0</v>
      </c>
      <c r="AB481" s="92">
        <f t="shared" si="45"/>
        <v>0</v>
      </c>
      <c r="AC481" s="92"/>
      <c r="AD481" s="92">
        <v>0</v>
      </c>
      <c r="AE481" s="92">
        <f t="shared" si="46"/>
        <v>0</v>
      </c>
      <c r="AF481" s="93">
        <v>0</v>
      </c>
      <c r="AG481" s="89"/>
      <c r="AH481" s="94"/>
      <c r="AI481" s="95" t="s">
        <v>4346</v>
      </c>
      <c r="AJ481" s="96" t="s">
        <v>4347</v>
      </c>
      <c r="AK481" s="97"/>
      <c r="AL481" s="89" t="s">
        <v>2798</v>
      </c>
      <c r="AM481" s="100" t="s">
        <v>2763</v>
      </c>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114"/>
      <c r="CQ481" s="115"/>
      <c r="CR481" s="114"/>
      <c r="CS481" s="115"/>
      <c r="CT481" s="114"/>
      <c r="CU481" s="115"/>
      <c r="CV481" s="99">
        <f t="shared" si="47"/>
        <v>0</v>
      </c>
      <c r="CW481" s="114"/>
      <c r="CX481" s="115"/>
      <c r="CY481" s="114"/>
      <c r="CZ481" s="115"/>
      <c r="DA481" s="115"/>
      <c r="DB481" s="115"/>
      <c r="DC481" s="114"/>
      <c r="DD481" s="115"/>
      <c r="DE481" s="97"/>
      <c r="DF481" s="269"/>
    </row>
    <row r="482" spans="1:110" s="270" customFormat="1" ht="96" x14ac:dyDescent="0.2">
      <c r="A482" s="89">
        <v>40645</v>
      </c>
      <c r="B482" s="90" t="s">
        <v>4244</v>
      </c>
      <c r="C482" s="90" t="s">
        <v>2227</v>
      </c>
      <c r="D482" s="90" t="s">
        <v>2362</v>
      </c>
      <c r="E482" s="90" t="str">
        <f>VLOOKUP(B482&amp;C482,Divipola!$C$2:$F$1138,4,FALSE)</f>
        <v>76054</v>
      </c>
      <c r="F482" s="90"/>
      <c r="G482" s="101"/>
      <c r="H482" s="101"/>
      <c r="I482" s="101"/>
      <c r="J482" s="101"/>
      <c r="K482" s="101"/>
      <c r="L482" s="101"/>
      <c r="M482" s="101"/>
      <c r="N482" s="101">
        <v>5</v>
      </c>
      <c r="O482" s="101"/>
      <c r="P482" s="101"/>
      <c r="Q482" s="101"/>
      <c r="R482" s="101"/>
      <c r="S482" s="101"/>
      <c r="T482" s="101"/>
      <c r="U482" s="101"/>
      <c r="V482" s="101"/>
      <c r="W482" s="91"/>
      <c r="X482" s="89"/>
      <c r="Y482" s="92">
        <f t="shared" si="42"/>
        <v>0</v>
      </c>
      <c r="Z482" s="92">
        <f t="shared" si="43"/>
        <v>0</v>
      </c>
      <c r="AA482" s="92">
        <f t="shared" si="44"/>
        <v>0</v>
      </c>
      <c r="AB482" s="92">
        <f t="shared" si="45"/>
        <v>0</v>
      </c>
      <c r="AC482" s="92"/>
      <c r="AD482" s="92">
        <v>10000000</v>
      </c>
      <c r="AE482" s="92">
        <f t="shared" si="46"/>
        <v>10000000</v>
      </c>
      <c r="AF482" s="93">
        <v>0</v>
      </c>
      <c r="AG482" s="89">
        <v>40647</v>
      </c>
      <c r="AH482" s="94"/>
      <c r="AI482" s="95" t="s">
        <v>4346</v>
      </c>
      <c r="AJ482" s="96" t="s">
        <v>4347</v>
      </c>
      <c r="AK482" s="97"/>
      <c r="AL482" s="89"/>
      <c r="AM482" s="100" t="s">
        <v>1943</v>
      </c>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114"/>
      <c r="CQ482" s="115"/>
      <c r="CR482" s="114"/>
      <c r="CS482" s="115"/>
      <c r="CT482" s="114"/>
      <c r="CU482" s="115"/>
      <c r="CV482" s="99">
        <f t="shared" si="47"/>
        <v>0</v>
      </c>
      <c r="CW482" s="114"/>
      <c r="CX482" s="115"/>
      <c r="CY482" s="114"/>
      <c r="CZ482" s="115"/>
      <c r="DA482" s="115"/>
      <c r="DB482" s="115"/>
      <c r="DC482" s="114"/>
      <c r="DD482" s="115"/>
      <c r="DE482" s="97"/>
      <c r="DF482" s="269"/>
    </row>
    <row r="483" spans="1:110" s="270" customFormat="1" ht="24" x14ac:dyDescent="0.2">
      <c r="A483" s="89">
        <v>40645</v>
      </c>
      <c r="B483" s="90" t="s">
        <v>4244</v>
      </c>
      <c r="C483" s="90" t="s">
        <v>4276</v>
      </c>
      <c r="D483" s="90" t="s">
        <v>4264</v>
      </c>
      <c r="E483" s="90" t="str">
        <f>VLOOKUP(B483&amp;C483,Divipola!$C$2:$F$1138,4,FALSE)</f>
        <v>76113</v>
      </c>
      <c r="F483" s="90"/>
      <c r="G483" s="101"/>
      <c r="H483" s="101"/>
      <c r="I483" s="101"/>
      <c r="J483" s="101">
        <v>85</v>
      </c>
      <c r="K483" s="101">
        <v>17</v>
      </c>
      <c r="L483" s="101"/>
      <c r="M483" s="101">
        <v>17</v>
      </c>
      <c r="N483" s="101"/>
      <c r="O483" s="101"/>
      <c r="P483" s="101"/>
      <c r="Q483" s="101"/>
      <c r="R483" s="101"/>
      <c r="S483" s="101"/>
      <c r="T483" s="101"/>
      <c r="U483" s="101"/>
      <c r="V483" s="101"/>
      <c r="W483" s="91"/>
      <c r="X483" s="89"/>
      <c r="Y483" s="92">
        <f t="shared" si="42"/>
        <v>0</v>
      </c>
      <c r="Z483" s="92">
        <f t="shared" si="43"/>
        <v>0</v>
      </c>
      <c r="AA483" s="92">
        <f t="shared" si="44"/>
        <v>0</v>
      </c>
      <c r="AB483" s="92">
        <f t="shared" si="45"/>
        <v>0</v>
      </c>
      <c r="AC483" s="92"/>
      <c r="AD483" s="92">
        <v>0</v>
      </c>
      <c r="AE483" s="92">
        <f t="shared" si="46"/>
        <v>0</v>
      </c>
      <c r="AF483" s="93">
        <v>0</v>
      </c>
      <c r="AG483" s="89"/>
      <c r="AH483" s="94"/>
      <c r="AI483" s="95" t="s">
        <v>4336</v>
      </c>
      <c r="AJ483" s="96" t="s">
        <v>4337</v>
      </c>
      <c r="AK483" s="97"/>
      <c r="AL483" s="284"/>
      <c r="AM483" s="100" t="s">
        <v>287</v>
      </c>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114"/>
      <c r="CQ483" s="115"/>
      <c r="CR483" s="114"/>
      <c r="CS483" s="115"/>
      <c r="CT483" s="114"/>
      <c r="CU483" s="115"/>
      <c r="CV483" s="99">
        <f t="shared" si="47"/>
        <v>0</v>
      </c>
      <c r="CW483" s="114"/>
      <c r="CX483" s="115"/>
      <c r="CY483" s="114"/>
      <c r="CZ483" s="115"/>
      <c r="DA483" s="115"/>
      <c r="DB483" s="115"/>
      <c r="DC483" s="114"/>
      <c r="DD483" s="115"/>
      <c r="DE483" s="97"/>
      <c r="DF483" s="269">
        <v>1717</v>
      </c>
    </row>
    <row r="484" spans="1:110" s="270" customFormat="1" ht="24" x14ac:dyDescent="0.2">
      <c r="A484" s="89">
        <v>40645</v>
      </c>
      <c r="B484" s="90" t="s">
        <v>4244</v>
      </c>
      <c r="C484" s="90" t="s">
        <v>4319</v>
      </c>
      <c r="D484" s="90" t="s">
        <v>4264</v>
      </c>
      <c r="E484" s="90" t="str">
        <f>VLOOKUP(B484&amp;C484,Divipola!$C$2:$F$1138,4,FALSE)</f>
        <v>76828</v>
      </c>
      <c r="F484" s="90"/>
      <c r="G484" s="101"/>
      <c r="H484" s="101"/>
      <c r="I484" s="101"/>
      <c r="J484" s="101">
        <v>45</v>
      </c>
      <c r="K484" s="101">
        <v>10</v>
      </c>
      <c r="L484" s="101"/>
      <c r="M484" s="101">
        <v>10</v>
      </c>
      <c r="N484" s="101"/>
      <c r="O484" s="101"/>
      <c r="P484" s="101"/>
      <c r="Q484" s="101"/>
      <c r="R484" s="101"/>
      <c r="S484" s="101"/>
      <c r="T484" s="101"/>
      <c r="U484" s="101"/>
      <c r="V484" s="101"/>
      <c r="W484" s="91"/>
      <c r="X484" s="89"/>
      <c r="Y484" s="92">
        <f t="shared" si="42"/>
        <v>0</v>
      </c>
      <c r="Z484" s="92">
        <f t="shared" si="43"/>
        <v>0</v>
      </c>
      <c r="AA484" s="92">
        <f t="shared" si="44"/>
        <v>0</v>
      </c>
      <c r="AB484" s="92">
        <f t="shared" si="45"/>
        <v>0</v>
      </c>
      <c r="AC484" s="92"/>
      <c r="AD484" s="92">
        <v>0</v>
      </c>
      <c r="AE484" s="92">
        <f t="shared" si="46"/>
        <v>0</v>
      </c>
      <c r="AF484" s="93">
        <v>0</v>
      </c>
      <c r="AG484" s="89"/>
      <c r="AH484" s="94"/>
      <c r="AI484" s="95" t="s">
        <v>4336</v>
      </c>
      <c r="AJ484" s="96" t="s">
        <v>4337</v>
      </c>
      <c r="AK484" s="97"/>
      <c r="AL484" s="284"/>
      <c r="AM484" s="100" t="s">
        <v>288</v>
      </c>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114"/>
      <c r="CQ484" s="115"/>
      <c r="CR484" s="114"/>
      <c r="CS484" s="115"/>
      <c r="CT484" s="114"/>
      <c r="CU484" s="115"/>
      <c r="CV484" s="99">
        <f t="shared" si="47"/>
        <v>0</v>
      </c>
      <c r="CW484" s="114"/>
      <c r="CX484" s="115"/>
      <c r="CY484" s="114"/>
      <c r="CZ484" s="115"/>
      <c r="DA484" s="115"/>
      <c r="DB484" s="115"/>
      <c r="DC484" s="114"/>
      <c r="DD484" s="115"/>
      <c r="DE484" s="97"/>
      <c r="DF484" s="269"/>
    </row>
    <row r="485" spans="1:110" s="270" customFormat="1" x14ac:dyDescent="0.2">
      <c r="A485" s="89">
        <v>40646</v>
      </c>
      <c r="B485" s="16" t="s">
        <v>2218</v>
      </c>
      <c r="C485" s="16" t="s">
        <v>3879</v>
      </c>
      <c r="D485" s="90" t="s">
        <v>4264</v>
      </c>
      <c r="E485" s="90" t="str">
        <f>VLOOKUP(B485&amp;C485,Divipola!$C$2:$F$1138,4,FALSE)</f>
        <v>05172</v>
      </c>
      <c r="F485" s="4"/>
      <c r="G485" s="208"/>
      <c r="H485" s="208"/>
      <c r="I485" s="208"/>
      <c r="J485" s="208">
        <f>315*5</f>
        <v>1575</v>
      </c>
      <c r="K485" s="208">
        <v>315</v>
      </c>
      <c r="L485" s="208"/>
      <c r="M485" s="208">
        <v>207</v>
      </c>
      <c r="N485" s="208"/>
      <c r="O485" s="208"/>
      <c r="P485" s="208"/>
      <c r="Q485" s="208"/>
      <c r="R485" s="208"/>
      <c r="S485" s="208"/>
      <c r="T485" s="208"/>
      <c r="U485" s="208"/>
      <c r="V485" s="208"/>
      <c r="W485" s="19"/>
      <c r="X485" s="17"/>
      <c r="Y485" s="5">
        <f t="shared" si="42"/>
        <v>0</v>
      </c>
      <c r="Z485" s="5">
        <f t="shared" si="43"/>
        <v>0</v>
      </c>
      <c r="AA485" s="5">
        <f t="shared" si="44"/>
        <v>0</v>
      </c>
      <c r="AB485" s="5">
        <f t="shared" si="45"/>
        <v>0</v>
      </c>
      <c r="AC485" s="5"/>
      <c r="AD485" s="5">
        <v>0</v>
      </c>
      <c r="AE485" s="5">
        <f t="shared" si="46"/>
        <v>0</v>
      </c>
      <c r="AF485" s="70">
        <v>0</v>
      </c>
      <c r="AG485" s="17"/>
      <c r="AH485" s="18"/>
      <c r="AI485" s="109" t="s">
        <v>4336</v>
      </c>
      <c r="AJ485" s="110" t="s">
        <v>4337</v>
      </c>
      <c r="AK485" s="45"/>
      <c r="AL485" s="17"/>
      <c r="AM485" s="20" t="s">
        <v>3452</v>
      </c>
      <c r="AN485" s="19"/>
      <c r="AO485" s="19"/>
      <c r="AP485" s="19"/>
      <c r="AQ485" s="19"/>
      <c r="AR485" s="19"/>
      <c r="AS485" s="19"/>
      <c r="AT485" s="19"/>
      <c r="AU485" s="19"/>
      <c r="AV485" s="19"/>
      <c r="AW485" s="19"/>
      <c r="AX485" s="107"/>
      <c r="AY485" s="107"/>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39"/>
      <c r="CO485" s="138"/>
      <c r="CP485" s="139"/>
      <c r="CQ485" s="138"/>
      <c r="CR485" s="139"/>
      <c r="CS485" s="138"/>
      <c r="CT485" s="72"/>
      <c r="CU485" s="139"/>
      <c r="CV485" s="99">
        <f t="shared" si="47"/>
        <v>0</v>
      </c>
      <c r="CW485" s="139"/>
      <c r="CX485" s="138"/>
      <c r="CY485" s="138"/>
      <c r="CZ485" s="138"/>
      <c r="DA485" s="139"/>
      <c r="DB485" s="138"/>
      <c r="DC485" s="45"/>
      <c r="DD485" s="138"/>
      <c r="DE485" s="45"/>
      <c r="DF485" s="269"/>
    </row>
    <row r="486" spans="1:110" s="270" customFormat="1" ht="22.5" x14ac:dyDescent="0.2">
      <c r="A486" s="89">
        <v>40646</v>
      </c>
      <c r="B486" s="90" t="s">
        <v>2218</v>
      </c>
      <c r="C486" s="90" t="s">
        <v>4385</v>
      </c>
      <c r="D486" s="90" t="s">
        <v>2362</v>
      </c>
      <c r="E486" s="90" t="str">
        <f>VLOOKUP(B486&amp;C486,Divipola!$C$2:$F$1138,4,FALSE)</f>
        <v>05282</v>
      </c>
      <c r="F486" s="90"/>
      <c r="G486" s="101"/>
      <c r="H486" s="101"/>
      <c r="I486" s="101"/>
      <c r="J486" s="101">
        <v>60</v>
      </c>
      <c r="K486" s="101">
        <v>12</v>
      </c>
      <c r="L486" s="101"/>
      <c r="M486" s="101">
        <v>12</v>
      </c>
      <c r="N486" s="101"/>
      <c r="O486" s="101"/>
      <c r="P486" s="101"/>
      <c r="Q486" s="101"/>
      <c r="R486" s="101"/>
      <c r="S486" s="101"/>
      <c r="T486" s="101"/>
      <c r="U486" s="101"/>
      <c r="V486" s="101"/>
      <c r="W486" s="91"/>
      <c r="X486" s="89"/>
      <c r="Y486" s="92">
        <f t="shared" si="42"/>
        <v>0</v>
      </c>
      <c r="Z486" s="92">
        <f t="shared" si="43"/>
        <v>0</v>
      </c>
      <c r="AA486" s="92">
        <f t="shared" si="44"/>
        <v>0</v>
      </c>
      <c r="AB486" s="92">
        <f t="shared" si="45"/>
        <v>0</v>
      </c>
      <c r="AC486" s="92"/>
      <c r="AD486" s="92">
        <v>0</v>
      </c>
      <c r="AE486" s="92">
        <f t="shared" si="46"/>
        <v>0</v>
      </c>
      <c r="AF486" s="93">
        <v>0</v>
      </c>
      <c r="AG486" s="89">
        <v>40647</v>
      </c>
      <c r="AH486" s="94"/>
      <c r="AI486" s="95" t="s">
        <v>4346</v>
      </c>
      <c r="AJ486" s="96" t="s">
        <v>4347</v>
      </c>
      <c r="AK486" s="97"/>
      <c r="AL486" s="89" t="s">
        <v>1049</v>
      </c>
      <c r="AM486" s="100" t="s">
        <v>266</v>
      </c>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114"/>
      <c r="CQ486" s="115"/>
      <c r="CR486" s="114"/>
      <c r="CS486" s="115"/>
      <c r="CT486" s="114"/>
      <c r="CU486" s="115"/>
      <c r="CV486" s="99">
        <f t="shared" si="47"/>
        <v>0</v>
      </c>
      <c r="CW486" s="114"/>
      <c r="CX486" s="115"/>
      <c r="CY486" s="114"/>
      <c r="CZ486" s="115"/>
      <c r="DA486" s="115"/>
      <c r="DB486" s="115"/>
      <c r="DC486" s="114"/>
      <c r="DD486" s="115"/>
      <c r="DE486" s="97"/>
      <c r="DF486" s="269"/>
    </row>
    <row r="487" spans="1:110" s="270" customFormat="1" ht="24" x14ac:dyDescent="0.2">
      <c r="A487" s="89">
        <v>40646</v>
      </c>
      <c r="B487" s="90" t="s">
        <v>2218</v>
      </c>
      <c r="C487" s="90" t="s">
        <v>4385</v>
      </c>
      <c r="D487" s="90" t="s">
        <v>4264</v>
      </c>
      <c r="E487" s="90" t="str">
        <f>VLOOKUP(B487&amp;C487,Divipola!$C$2:$F$1138,4,FALSE)</f>
        <v>05282</v>
      </c>
      <c r="F487" s="90"/>
      <c r="G487" s="101"/>
      <c r="H487" s="101"/>
      <c r="I487" s="101"/>
      <c r="J487" s="101">
        <v>20</v>
      </c>
      <c r="K487" s="101">
        <v>4</v>
      </c>
      <c r="L487" s="101"/>
      <c r="M487" s="101">
        <v>4</v>
      </c>
      <c r="N487" s="101"/>
      <c r="O487" s="101"/>
      <c r="P487" s="101"/>
      <c r="Q487" s="101"/>
      <c r="R487" s="101"/>
      <c r="S487" s="101"/>
      <c r="T487" s="101"/>
      <c r="U487" s="101"/>
      <c r="V487" s="101"/>
      <c r="W487" s="91"/>
      <c r="X487" s="89"/>
      <c r="Y487" s="92">
        <f t="shared" si="42"/>
        <v>0</v>
      </c>
      <c r="Z487" s="92">
        <f t="shared" si="43"/>
        <v>0</v>
      </c>
      <c r="AA487" s="92">
        <f t="shared" si="44"/>
        <v>0</v>
      </c>
      <c r="AB487" s="92">
        <f t="shared" si="45"/>
        <v>0</v>
      </c>
      <c r="AC487" s="92"/>
      <c r="AD487" s="92">
        <v>0</v>
      </c>
      <c r="AE487" s="92">
        <f t="shared" si="46"/>
        <v>0</v>
      </c>
      <c r="AF487" s="93">
        <v>0</v>
      </c>
      <c r="AG487" s="89">
        <v>40647</v>
      </c>
      <c r="AH487" s="94"/>
      <c r="AI487" s="95" t="s">
        <v>4346</v>
      </c>
      <c r="AJ487" s="96" t="s">
        <v>4347</v>
      </c>
      <c r="AK487" s="97"/>
      <c r="AL487" s="89" t="s">
        <v>1049</v>
      </c>
      <c r="AM487" s="100" t="s">
        <v>269</v>
      </c>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114"/>
      <c r="CQ487" s="115"/>
      <c r="CR487" s="114"/>
      <c r="CS487" s="115"/>
      <c r="CT487" s="114"/>
      <c r="CU487" s="115"/>
      <c r="CV487" s="99">
        <f t="shared" si="47"/>
        <v>0</v>
      </c>
      <c r="CW487" s="114"/>
      <c r="CX487" s="115"/>
      <c r="CY487" s="114"/>
      <c r="CZ487" s="115"/>
      <c r="DA487" s="115"/>
      <c r="DB487" s="115"/>
      <c r="DC487" s="114"/>
      <c r="DD487" s="115"/>
      <c r="DE487" s="97"/>
      <c r="DF487" s="269"/>
    </row>
    <row r="488" spans="1:110" s="270" customFormat="1" ht="24" x14ac:dyDescent="0.2">
      <c r="A488" s="89">
        <v>40646</v>
      </c>
      <c r="B488" s="90" t="s">
        <v>2218</v>
      </c>
      <c r="C488" s="90" t="s">
        <v>3363</v>
      </c>
      <c r="D488" s="90" t="s">
        <v>2362</v>
      </c>
      <c r="E488" s="90" t="str">
        <f>VLOOKUP(B488&amp;C488,Divipola!$C$2:$F$1138,4,FALSE)</f>
        <v>05284</v>
      </c>
      <c r="F488" s="90"/>
      <c r="G488" s="101"/>
      <c r="H488" s="101"/>
      <c r="I488" s="101"/>
      <c r="J488" s="101">
        <v>30</v>
      </c>
      <c r="K488" s="101">
        <v>6</v>
      </c>
      <c r="L488" s="101"/>
      <c r="M488" s="101">
        <v>6</v>
      </c>
      <c r="N488" s="101"/>
      <c r="O488" s="101"/>
      <c r="P488" s="101"/>
      <c r="Q488" s="101"/>
      <c r="R488" s="101"/>
      <c r="S488" s="101"/>
      <c r="T488" s="101"/>
      <c r="U488" s="101"/>
      <c r="V488" s="101"/>
      <c r="W488" s="91"/>
      <c r="X488" s="89"/>
      <c r="Y488" s="92">
        <f t="shared" si="42"/>
        <v>0</v>
      </c>
      <c r="Z488" s="92">
        <f t="shared" si="43"/>
        <v>0</v>
      </c>
      <c r="AA488" s="92">
        <f t="shared" si="44"/>
        <v>0</v>
      </c>
      <c r="AB488" s="92">
        <f t="shared" si="45"/>
        <v>0</v>
      </c>
      <c r="AC488" s="92"/>
      <c r="AD488" s="92">
        <v>0</v>
      </c>
      <c r="AE488" s="92">
        <f t="shared" si="46"/>
        <v>0</v>
      </c>
      <c r="AF488" s="93">
        <v>0</v>
      </c>
      <c r="AG488" s="89">
        <v>40647</v>
      </c>
      <c r="AH488" s="94"/>
      <c r="AI488" s="102" t="s">
        <v>4336</v>
      </c>
      <c r="AJ488" s="96" t="s">
        <v>4337</v>
      </c>
      <c r="AK488" s="97"/>
      <c r="AL488" s="89"/>
      <c r="AM488" s="100" t="s">
        <v>268</v>
      </c>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114"/>
      <c r="CQ488" s="115"/>
      <c r="CR488" s="114"/>
      <c r="CS488" s="115"/>
      <c r="CT488" s="114"/>
      <c r="CU488" s="115"/>
      <c r="CV488" s="99">
        <f t="shared" si="47"/>
        <v>0</v>
      </c>
      <c r="CW488" s="114"/>
      <c r="CX488" s="115"/>
      <c r="CY488" s="114"/>
      <c r="CZ488" s="115"/>
      <c r="DA488" s="115"/>
      <c r="DB488" s="115"/>
      <c r="DC488" s="114"/>
      <c r="DD488" s="115"/>
      <c r="DE488" s="97"/>
      <c r="DF488" s="269"/>
    </row>
    <row r="489" spans="1:110" s="270" customFormat="1" ht="22.5" x14ac:dyDescent="0.2">
      <c r="A489" s="89">
        <v>40646</v>
      </c>
      <c r="B489" s="90" t="s">
        <v>2218</v>
      </c>
      <c r="C489" s="90" t="s">
        <v>4379</v>
      </c>
      <c r="D489" s="90" t="s">
        <v>2362</v>
      </c>
      <c r="E489" s="90" t="str">
        <f>VLOOKUP(B489&amp;C489,Divipola!$C$2:$F$1138,4,FALSE)</f>
        <v>05647</v>
      </c>
      <c r="F489" s="90"/>
      <c r="G489" s="101"/>
      <c r="H489" s="101"/>
      <c r="I489" s="101"/>
      <c r="J489" s="101">
        <v>40</v>
      </c>
      <c r="K489" s="101">
        <v>8</v>
      </c>
      <c r="L489" s="101"/>
      <c r="M489" s="101">
        <v>8</v>
      </c>
      <c r="N489" s="101"/>
      <c r="O489" s="101"/>
      <c r="P489" s="101"/>
      <c r="Q489" s="101"/>
      <c r="R489" s="101"/>
      <c r="S489" s="101"/>
      <c r="T489" s="101"/>
      <c r="U489" s="101"/>
      <c r="V489" s="101"/>
      <c r="W489" s="91"/>
      <c r="X489" s="89"/>
      <c r="Y489" s="92">
        <f t="shared" si="42"/>
        <v>0</v>
      </c>
      <c r="Z489" s="92">
        <f t="shared" si="43"/>
        <v>0</v>
      </c>
      <c r="AA489" s="92">
        <f t="shared" si="44"/>
        <v>0</v>
      </c>
      <c r="AB489" s="92">
        <f t="shared" si="45"/>
        <v>0</v>
      </c>
      <c r="AC489" s="92"/>
      <c r="AD489" s="92">
        <v>0</v>
      </c>
      <c r="AE489" s="92">
        <f t="shared" si="46"/>
        <v>0</v>
      </c>
      <c r="AF489" s="93">
        <v>0</v>
      </c>
      <c r="AG489" s="89">
        <v>40647</v>
      </c>
      <c r="AH489" s="94"/>
      <c r="AI489" s="102" t="s">
        <v>4336</v>
      </c>
      <c r="AJ489" s="96" t="s">
        <v>4337</v>
      </c>
      <c r="AK489" s="97"/>
      <c r="AL489" s="89"/>
      <c r="AM489" s="100" t="s">
        <v>3452</v>
      </c>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114"/>
      <c r="CQ489" s="115"/>
      <c r="CR489" s="114"/>
      <c r="CS489" s="115"/>
      <c r="CT489" s="114"/>
      <c r="CU489" s="115"/>
      <c r="CV489" s="99">
        <f t="shared" si="47"/>
        <v>0</v>
      </c>
      <c r="CW489" s="114"/>
      <c r="CX489" s="115"/>
      <c r="CY489" s="114"/>
      <c r="CZ489" s="115"/>
      <c r="DA489" s="115"/>
      <c r="DB489" s="115"/>
      <c r="DC489" s="114"/>
      <c r="DD489" s="115"/>
      <c r="DE489" s="97"/>
      <c r="DF489" s="269"/>
    </row>
    <row r="490" spans="1:110" s="270" customFormat="1" ht="24" x14ac:dyDescent="0.2">
      <c r="A490" s="89">
        <v>40646</v>
      </c>
      <c r="B490" s="90" t="s">
        <v>2218</v>
      </c>
      <c r="C490" s="90" t="s">
        <v>4369</v>
      </c>
      <c r="D490" s="90" t="s">
        <v>2362</v>
      </c>
      <c r="E490" s="90" t="str">
        <f>VLOOKUP(B490&amp;C490,Divipola!$C$2:$F$1138,4,FALSE)</f>
        <v>05649</v>
      </c>
      <c r="F490" s="90"/>
      <c r="G490" s="101"/>
      <c r="H490" s="101"/>
      <c r="I490" s="101"/>
      <c r="J490" s="101"/>
      <c r="K490" s="101"/>
      <c r="L490" s="101"/>
      <c r="M490" s="101"/>
      <c r="N490" s="101"/>
      <c r="O490" s="101"/>
      <c r="P490" s="101"/>
      <c r="Q490" s="101">
        <v>2</v>
      </c>
      <c r="R490" s="101"/>
      <c r="S490" s="101"/>
      <c r="T490" s="101"/>
      <c r="U490" s="101"/>
      <c r="V490" s="101"/>
      <c r="W490" s="91"/>
      <c r="X490" s="89"/>
      <c r="Y490" s="92">
        <f t="shared" si="42"/>
        <v>0</v>
      </c>
      <c r="Z490" s="92">
        <f t="shared" si="43"/>
        <v>0</v>
      </c>
      <c r="AA490" s="92">
        <f t="shared" si="44"/>
        <v>0</v>
      </c>
      <c r="AB490" s="92">
        <f t="shared" si="45"/>
        <v>0</v>
      </c>
      <c r="AC490" s="92"/>
      <c r="AD490" s="92">
        <v>0</v>
      </c>
      <c r="AE490" s="92">
        <f t="shared" si="46"/>
        <v>0</v>
      </c>
      <c r="AF490" s="93">
        <v>0</v>
      </c>
      <c r="AG490" s="89">
        <v>40647</v>
      </c>
      <c r="AH490" s="94"/>
      <c r="AI490" s="102" t="s">
        <v>4336</v>
      </c>
      <c r="AJ490" s="96" t="s">
        <v>4337</v>
      </c>
      <c r="AK490" s="97"/>
      <c r="AL490" s="89"/>
      <c r="AM490" s="100" t="s">
        <v>270</v>
      </c>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114"/>
      <c r="CQ490" s="115"/>
      <c r="CR490" s="114"/>
      <c r="CS490" s="115"/>
      <c r="CT490" s="114"/>
      <c r="CU490" s="115"/>
      <c r="CV490" s="99">
        <f t="shared" si="47"/>
        <v>0</v>
      </c>
      <c r="CW490" s="114"/>
      <c r="CX490" s="115"/>
      <c r="CY490" s="114"/>
      <c r="CZ490" s="115"/>
      <c r="DA490" s="115"/>
      <c r="DB490" s="115"/>
      <c r="DC490" s="114"/>
      <c r="DD490" s="115"/>
      <c r="DE490" s="97"/>
      <c r="DF490" s="269"/>
    </row>
    <row r="491" spans="1:110" s="270" customFormat="1" ht="24" x14ac:dyDescent="0.2">
      <c r="A491" s="89">
        <v>40646</v>
      </c>
      <c r="B491" s="106" t="s">
        <v>3301</v>
      </c>
      <c r="C491" s="106" t="s">
        <v>4345</v>
      </c>
      <c r="D491" s="90" t="s">
        <v>4264</v>
      </c>
      <c r="E491" s="90">
        <f>VLOOKUP(B491&amp;C491,Divipola!$C$2:$F$1138,4,FALSE)</f>
        <v>81</v>
      </c>
      <c r="F491" s="90"/>
      <c r="G491" s="129"/>
      <c r="H491" s="129"/>
      <c r="I491" s="129"/>
      <c r="J491" s="129"/>
      <c r="K491" s="129"/>
      <c r="L491" s="129"/>
      <c r="M491" s="129"/>
      <c r="N491" s="129"/>
      <c r="O491" s="129"/>
      <c r="P491" s="129"/>
      <c r="Q491" s="129"/>
      <c r="R491" s="129"/>
      <c r="S491" s="129"/>
      <c r="T491" s="129"/>
      <c r="U491" s="129"/>
      <c r="V491" s="129"/>
      <c r="W491" s="107"/>
      <c r="X491" s="105"/>
      <c r="Y491" s="92">
        <f t="shared" si="42"/>
        <v>148244104</v>
      </c>
      <c r="Z491" s="92">
        <f t="shared" si="43"/>
        <v>274295000</v>
      </c>
      <c r="AA491" s="92">
        <f t="shared" si="44"/>
        <v>0</v>
      </c>
      <c r="AB491" s="92">
        <f t="shared" si="45"/>
        <v>47500000</v>
      </c>
      <c r="AC491" s="92"/>
      <c r="AD491" s="92">
        <v>0</v>
      </c>
      <c r="AE491" s="92">
        <f t="shared" si="46"/>
        <v>470039104</v>
      </c>
      <c r="AF491" s="93">
        <v>0</v>
      </c>
      <c r="AG491" s="105"/>
      <c r="AH491" s="108"/>
      <c r="AI491" s="109" t="s">
        <v>4346</v>
      </c>
      <c r="AJ491" s="110" t="s">
        <v>4347</v>
      </c>
      <c r="AK491" s="111"/>
      <c r="AL491" s="105"/>
      <c r="AM491" s="112" t="s">
        <v>2822</v>
      </c>
      <c r="AN491" s="107"/>
      <c r="AO491" s="107"/>
      <c r="AP491" s="107"/>
      <c r="AQ491" s="107"/>
      <c r="AR491" s="107"/>
      <c r="AS491" s="107"/>
      <c r="AT491" s="107"/>
      <c r="AU491" s="107"/>
      <c r="AV491" s="107"/>
      <c r="AW491" s="107"/>
      <c r="AX491" s="107"/>
      <c r="AY491" s="107"/>
      <c r="AZ491" s="107"/>
      <c r="BA491" s="107"/>
      <c r="BB491" s="107"/>
      <c r="BC491" s="107"/>
      <c r="BD491" s="107">
        <v>1000</v>
      </c>
      <c r="BE491" s="107">
        <f>1000*24000</f>
        <v>24000000</v>
      </c>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v>10</v>
      </c>
      <c r="CA491" s="107">
        <f>10*500000</f>
        <v>5000000</v>
      </c>
      <c r="CB491" s="107"/>
      <c r="CC491" s="107"/>
      <c r="CD491" s="107"/>
      <c r="CE491" s="107"/>
      <c r="CF491" s="107"/>
      <c r="CG491" s="107"/>
      <c r="CH491" s="107"/>
      <c r="CI491" s="107"/>
      <c r="CJ491" s="107"/>
      <c r="CK491" s="107"/>
      <c r="CL491" s="107"/>
      <c r="CM491" s="107"/>
      <c r="CN491" s="118"/>
      <c r="CO491" s="119"/>
      <c r="CP491" s="118">
        <v>3227</v>
      </c>
      <c r="CQ491" s="119">
        <f>3227*36952</f>
        <v>119244104</v>
      </c>
      <c r="CR491" s="118"/>
      <c r="CS491" s="119"/>
      <c r="CT491" s="113"/>
      <c r="CU491" s="118"/>
      <c r="CV491" s="99">
        <f t="shared" si="47"/>
        <v>148244104</v>
      </c>
      <c r="CW491" s="118">
        <v>50000</v>
      </c>
      <c r="CX491" s="119">
        <f>50000*950</f>
        <v>47500000</v>
      </c>
      <c r="CY491" s="119">
        <v>3227</v>
      </c>
      <c r="CZ491" s="119">
        <f>3227*85000</f>
        <v>274295000</v>
      </c>
      <c r="DA491" s="118"/>
      <c r="DB491" s="119"/>
      <c r="DC491" s="111"/>
      <c r="DD491" s="119"/>
      <c r="DE491" s="111"/>
      <c r="DF491" s="269"/>
    </row>
    <row r="492" spans="1:110" s="270" customFormat="1" ht="24" x14ac:dyDescent="0.2">
      <c r="A492" s="89">
        <v>40646</v>
      </c>
      <c r="B492" s="90" t="s">
        <v>4261</v>
      </c>
      <c r="C492" s="90" t="s">
        <v>2871</v>
      </c>
      <c r="D492" s="90" t="s">
        <v>4264</v>
      </c>
      <c r="E492" s="90" t="str">
        <f>VLOOKUP(B492&amp;C492,Divipola!$C$2:$F$1138,4,FALSE)</f>
        <v>15632</v>
      </c>
      <c r="F492" s="90"/>
      <c r="G492" s="101"/>
      <c r="H492" s="101"/>
      <c r="I492" s="101"/>
      <c r="J492" s="101">
        <v>15</v>
      </c>
      <c r="K492" s="101">
        <v>3</v>
      </c>
      <c r="L492" s="101"/>
      <c r="M492" s="101">
        <v>3</v>
      </c>
      <c r="N492" s="101"/>
      <c r="O492" s="101"/>
      <c r="P492" s="101"/>
      <c r="Q492" s="101"/>
      <c r="R492" s="101"/>
      <c r="S492" s="101"/>
      <c r="T492" s="101"/>
      <c r="U492" s="101"/>
      <c r="V492" s="101"/>
      <c r="W492" s="91"/>
      <c r="X492" s="89"/>
      <c r="Y492" s="92">
        <f t="shared" si="42"/>
        <v>0</v>
      </c>
      <c r="Z492" s="92">
        <f t="shared" si="43"/>
        <v>0</v>
      </c>
      <c r="AA492" s="92">
        <f t="shared" si="44"/>
        <v>0</v>
      </c>
      <c r="AB492" s="92">
        <f t="shared" si="45"/>
        <v>0</v>
      </c>
      <c r="AC492" s="92"/>
      <c r="AD492" s="92">
        <v>0</v>
      </c>
      <c r="AE492" s="92">
        <f t="shared" si="46"/>
        <v>0</v>
      </c>
      <c r="AF492" s="93">
        <v>0</v>
      </c>
      <c r="AG492" s="89"/>
      <c r="AH492" s="94"/>
      <c r="AI492" s="102" t="s">
        <v>4346</v>
      </c>
      <c r="AJ492" s="96" t="s">
        <v>4347</v>
      </c>
      <c r="AK492" s="97"/>
      <c r="AL492" s="89" t="s">
        <v>1049</v>
      </c>
      <c r="AM492" s="100" t="s">
        <v>2347</v>
      </c>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114"/>
      <c r="CQ492" s="115"/>
      <c r="CR492" s="114"/>
      <c r="CS492" s="115"/>
      <c r="CT492" s="114"/>
      <c r="CU492" s="115"/>
      <c r="CV492" s="99">
        <f t="shared" si="47"/>
        <v>0</v>
      </c>
      <c r="CW492" s="114"/>
      <c r="CX492" s="115"/>
      <c r="CY492" s="114"/>
      <c r="CZ492" s="115"/>
      <c r="DA492" s="115"/>
      <c r="DB492" s="115"/>
      <c r="DC492" s="114"/>
      <c r="DD492" s="115"/>
      <c r="DE492" s="97"/>
      <c r="DF492" s="269"/>
    </row>
    <row r="493" spans="1:110" s="270" customFormat="1" ht="24" x14ac:dyDescent="0.2">
      <c r="A493" s="89">
        <v>40646</v>
      </c>
      <c r="B493" s="90" t="s">
        <v>4261</v>
      </c>
      <c r="C493" s="90" t="s">
        <v>4230</v>
      </c>
      <c r="D493" s="90" t="s">
        <v>2362</v>
      </c>
      <c r="E493" s="90" t="str">
        <f>VLOOKUP(B493&amp;C493,Divipola!$C$2:$F$1138,4,FALSE)</f>
        <v>15001</v>
      </c>
      <c r="F493" s="90"/>
      <c r="G493" s="101"/>
      <c r="H493" s="101"/>
      <c r="I493" s="101"/>
      <c r="J493" s="101">
        <v>5</v>
      </c>
      <c r="K493" s="101">
        <v>1</v>
      </c>
      <c r="L493" s="101"/>
      <c r="M493" s="101">
        <v>1</v>
      </c>
      <c r="N493" s="101"/>
      <c r="O493" s="101"/>
      <c r="P493" s="101"/>
      <c r="Q493" s="101"/>
      <c r="R493" s="101"/>
      <c r="S493" s="101"/>
      <c r="T493" s="101"/>
      <c r="U493" s="101"/>
      <c r="V493" s="101"/>
      <c r="W493" s="91"/>
      <c r="X493" s="89"/>
      <c r="Y493" s="92">
        <f t="shared" si="42"/>
        <v>0</v>
      </c>
      <c r="Z493" s="92">
        <f t="shared" si="43"/>
        <v>0</v>
      </c>
      <c r="AA493" s="92">
        <f t="shared" si="44"/>
        <v>0</v>
      </c>
      <c r="AB493" s="92">
        <f t="shared" si="45"/>
        <v>0</v>
      </c>
      <c r="AC493" s="92"/>
      <c r="AD493" s="92">
        <v>0</v>
      </c>
      <c r="AE493" s="92">
        <f t="shared" si="46"/>
        <v>0</v>
      </c>
      <c r="AF493" s="93">
        <v>0</v>
      </c>
      <c r="AG493" s="89">
        <v>40647</v>
      </c>
      <c r="AH493" s="94"/>
      <c r="AI493" s="102" t="s">
        <v>4346</v>
      </c>
      <c r="AJ493" s="96" t="s">
        <v>4347</v>
      </c>
      <c r="AK493" s="97"/>
      <c r="AL493" s="89" t="s">
        <v>1049</v>
      </c>
      <c r="AM493" s="100" t="s">
        <v>2074</v>
      </c>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114"/>
      <c r="CQ493" s="115"/>
      <c r="CR493" s="114"/>
      <c r="CS493" s="115"/>
      <c r="CT493" s="114"/>
      <c r="CU493" s="115"/>
      <c r="CV493" s="99">
        <f t="shared" si="47"/>
        <v>0</v>
      </c>
      <c r="CW493" s="114"/>
      <c r="CX493" s="115"/>
      <c r="CY493" s="114"/>
      <c r="CZ493" s="115"/>
      <c r="DA493" s="115"/>
      <c r="DB493" s="115"/>
      <c r="DC493" s="114"/>
      <c r="DD493" s="115"/>
      <c r="DE493" s="97"/>
      <c r="DF493" s="269"/>
    </row>
    <row r="494" spans="1:110" s="270" customFormat="1" ht="24" x14ac:dyDescent="0.2">
      <c r="A494" s="89">
        <v>40646</v>
      </c>
      <c r="B494" s="90" t="s">
        <v>4261</v>
      </c>
      <c r="C494" s="90" t="s">
        <v>4230</v>
      </c>
      <c r="D494" s="90" t="s">
        <v>2362</v>
      </c>
      <c r="E494" s="90" t="str">
        <f>VLOOKUP(B494&amp;C494,Divipola!$C$2:$F$1138,4,FALSE)</f>
        <v>15001</v>
      </c>
      <c r="F494" s="90"/>
      <c r="G494" s="101"/>
      <c r="H494" s="101"/>
      <c r="I494" s="101"/>
      <c r="J494" s="101">
        <v>10</v>
      </c>
      <c r="K494" s="101">
        <v>4</v>
      </c>
      <c r="L494" s="101"/>
      <c r="M494" s="101">
        <v>2</v>
      </c>
      <c r="N494" s="101"/>
      <c r="O494" s="101"/>
      <c r="P494" s="101"/>
      <c r="Q494" s="101"/>
      <c r="R494" s="101"/>
      <c r="S494" s="101"/>
      <c r="T494" s="101"/>
      <c r="U494" s="101"/>
      <c r="V494" s="101"/>
      <c r="W494" s="91"/>
      <c r="X494" s="89"/>
      <c r="Y494" s="92">
        <f t="shared" si="42"/>
        <v>0</v>
      </c>
      <c r="Z494" s="92">
        <f t="shared" si="43"/>
        <v>0</v>
      </c>
      <c r="AA494" s="92">
        <f t="shared" si="44"/>
        <v>0</v>
      </c>
      <c r="AB494" s="92">
        <f t="shared" si="45"/>
        <v>0</v>
      </c>
      <c r="AC494" s="92"/>
      <c r="AD494" s="92">
        <v>0</v>
      </c>
      <c r="AE494" s="92">
        <f t="shared" si="46"/>
        <v>0</v>
      </c>
      <c r="AF494" s="93">
        <v>0</v>
      </c>
      <c r="AG494" s="89">
        <v>40647</v>
      </c>
      <c r="AH494" s="94"/>
      <c r="AI494" s="102" t="s">
        <v>4346</v>
      </c>
      <c r="AJ494" s="96" t="s">
        <v>4347</v>
      </c>
      <c r="AK494" s="97"/>
      <c r="AL494" s="89" t="s">
        <v>1049</v>
      </c>
      <c r="AM494" s="100" t="s">
        <v>2073</v>
      </c>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114"/>
      <c r="CQ494" s="115"/>
      <c r="CR494" s="114"/>
      <c r="CS494" s="115"/>
      <c r="CT494" s="114"/>
      <c r="CU494" s="115"/>
      <c r="CV494" s="99">
        <f t="shared" si="47"/>
        <v>0</v>
      </c>
      <c r="CW494" s="114"/>
      <c r="CX494" s="115"/>
      <c r="CY494" s="114"/>
      <c r="CZ494" s="115"/>
      <c r="DA494" s="115"/>
      <c r="DB494" s="115"/>
      <c r="DC494" s="114"/>
      <c r="DD494" s="115"/>
      <c r="DE494" s="97"/>
      <c r="DF494" s="269"/>
    </row>
    <row r="495" spans="1:110" s="270" customFormat="1" ht="24" x14ac:dyDescent="0.2">
      <c r="A495" s="89">
        <v>40646</v>
      </c>
      <c r="B495" s="90" t="s">
        <v>4261</v>
      </c>
      <c r="C495" s="90" t="s">
        <v>4381</v>
      </c>
      <c r="D495" s="90" t="s">
        <v>4264</v>
      </c>
      <c r="E495" s="90" t="str">
        <f>VLOOKUP(B495&amp;C495,Divipola!$C$2:$F$1138,4,FALSE)</f>
        <v>15837</v>
      </c>
      <c r="F495" s="90"/>
      <c r="G495" s="101"/>
      <c r="H495" s="101"/>
      <c r="I495" s="101"/>
      <c r="J495" s="101">
        <v>25</v>
      </c>
      <c r="K495" s="101">
        <v>5</v>
      </c>
      <c r="L495" s="101"/>
      <c r="M495" s="101">
        <v>5</v>
      </c>
      <c r="N495" s="101"/>
      <c r="O495" s="101"/>
      <c r="P495" s="101"/>
      <c r="Q495" s="101"/>
      <c r="R495" s="101"/>
      <c r="S495" s="101"/>
      <c r="T495" s="101"/>
      <c r="U495" s="101"/>
      <c r="V495" s="101"/>
      <c r="W495" s="91"/>
      <c r="X495" s="89"/>
      <c r="Y495" s="92">
        <f t="shared" si="42"/>
        <v>0</v>
      </c>
      <c r="Z495" s="92">
        <f t="shared" si="43"/>
        <v>0</v>
      </c>
      <c r="AA495" s="92">
        <f t="shared" si="44"/>
        <v>0</v>
      </c>
      <c r="AB495" s="92">
        <f t="shared" si="45"/>
        <v>0</v>
      </c>
      <c r="AC495" s="92"/>
      <c r="AD495" s="92">
        <v>0</v>
      </c>
      <c r="AE495" s="92">
        <f t="shared" si="46"/>
        <v>0</v>
      </c>
      <c r="AF495" s="93">
        <v>0</v>
      </c>
      <c r="AG495" s="89"/>
      <c r="AH495" s="94"/>
      <c r="AI495" s="102" t="s">
        <v>4346</v>
      </c>
      <c r="AJ495" s="96" t="s">
        <v>4347</v>
      </c>
      <c r="AK495" s="97"/>
      <c r="AL495" s="89" t="s">
        <v>1049</v>
      </c>
      <c r="AM495" s="100" t="s">
        <v>2346</v>
      </c>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114"/>
      <c r="CQ495" s="115"/>
      <c r="CR495" s="114"/>
      <c r="CS495" s="115"/>
      <c r="CT495" s="114"/>
      <c r="CU495" s="115"/>
      <c r="CV495" s="99">
        <f t="shared" si="47"/>
        <v>0</v>
      </c>
      <c r="CW495" s="114"/>
      <c r="CX495" s="115"/>
      <c r="CY495" s="114"/>
      <c r="CZ495" s="115"/>
      <c r="DA495" s="115"/>
      <c r="DB495" s="115"/>
      <c r="DC495" s="114"/>
      <c r="DD495" s="115"/>
      <c r="DE495" s="97"/>
      <c r="DF495" s="269"/>
    </row>
    <row r="496" spans="1:110" s="270" customFormat="1" ht="24" x14ac:dyDescent="0.2">
      <c r="A496" s="89">
        <v>40646</v>
      </c>
      <c r="B496" s="90" t="s">
        <v>3533</v>
      </c>
      <c r="C496" s="90" t="s">
        <v>862</v>
      </c>
      <c r="D496" s="90" t="s">
        <v>2860</v>
      </c>
      <c r="E496" s="90" t="str">
        <f>VLOOKUP(B496&amp;C496,Divipola!$C$2:$F$1138,4,FALSE)</f>
        <v>17001</v>
      </c>
      <c r="F496" s="90"/>
      <c r="G496" s="101"/>
      <c r="H496" s="101"/>
      <c r="I496" s="101"/>
      <c r="J496" s="101"/>
      <c r="K496" s="101"/>
      <c r="L496" s="101"/>
      <c r="M496" s="101"/>
      <c r="N496" s="101">
        <v>1</v>
      </c>
      <c r="O496" s="101"/>
      <c r="P496" s="101"/>
      <c r="Q496" s="101"/>
      <c r="R496" s="101"/>
      <c r="S496" s="101"/>
      <c r="T496" s="101"/>
      <c r="U496" s="101"/>
      <c r="V496" s="101"/>
      <c r="W496" s="91"/>
      <c r="X496" s="89"/>
      <c r="Y496" s="92">
        <f t="shared" si="42"/>
        <v>0</v>
      </c>
      <c r="Z496" s="92">
        <f t="shared" si="43"/>
        <v>0</v>
      </c>
      <c r="AA496" s="92">
        <f t="shared" si="44"/>
        <v>0</v>
      </c>
      <c r="AB496" s="92">
        <f t="shared" si="45"/>
        <v>0</v>
      </c>
      <c r="AC496" s="92"/>
      <c r="AD496" s="92">
        <v>0</v>
      </c>
      <c r="AE496" s="92">
        <f t="shared" si="46"/>
        <v>0</v>
      </c>
      <c r="AF496" s="93">
        <v>0</v>
      </c>
      <c r="AG496" s="89">
        <v>40647</v>
      </c>
      <c r="AH496" s="94"/>
      <c r="AI496" s="95" t="s">
        <v>4336</v>
      </c>
      <c r="AJ496" s="96" t="s">
        <v>4337</v>
      </c>
      <c r="AK496" s="97"/>
      <c r="AL496" s="89"/>
      <c r="AM496" s="100" t="s">
        <v>265</v>
      </c>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114"/>
      <c r="CQ496" s="115"/>
      <c r="CR496" s="114"/>
      <c r="CS496" s="115"/>
      <c r="CT496" s="114"/>
      <c r="CU496" s="115"/>
      <c r="CV496" s="99">
        <f t="shared" si="47"/>
        <v>0</v>
      </c>
      <c r="CW496" s="114"/>
      <c r="CX496" s="115"/>
      <c r="CY496" s="114"/>
      <c r="CZ496" s="115"/>
      <c r="DA496" s="115"/>
      <c r="DB496" s="115"/>
      <c r="DC496" s="114"/>
      <c r="DD496" s="115"/>
      <c r="DE496" s="97"/>
      <c r="DF496" s="269"/>
    </row>
    <row r="497" spans="1:110" s="270" customFormat="1" ht="48" x14ac:dyDescent="0.2">
      <c r="A497" s="89">
        <v>40646</v>
      </c>
      <c r="B497" s="90" t="s">
        <v>3533</v>
      </c>
      <c r="C497" s="90" t="s">
        <v>862</v>
      </c>
      <c r="D497" s="90" t="s">
        <v>2362</v>
      </c>
      <c r="E497" s="90" t="str">
        <f>VLOOKUP(B497&amp;C497,Divipola!$C$2:$F$1138,4,FALSE)</f>
        <v>17001</v>
      </c>
      <c r="F497" s="90"/>
      <c r="G497" s="101">
        <v>20</v>
      </c>
      <c r="H497" s="101"/>
      <c r="I497" s="101"/>
      <c r="J497" s="101">
        <v>1025</v>
      </c>
      <c r="K497" s="101">
        <v>205</v>
      </c>
      <c r="L497" s="101">
        <v>11</v>
      </c>
      <c r="M497" s="101">
        <v>194</v>
      </c>
      <c r="N497" s="101">
        <v>1</v>
      </c>
      <c r="O497" s="101"/>
      <c r="P497" s="101"/>
      <c r="Q497" s="101">
        <v>1</v>
      </c>
      <c r="R497" s="101"/>
      <c r="S497" s="101"/>
      <c r="T497" s="101"/>
      <c r="U497" s="101"/>
      <c r="V497" s="101"/>
      <c r="W497" s="91" t="s">
        <v>275</v>
      </c>
      <c r="X497" s="89"/>
      <c r="Y497" s="92">
        <f t="shared" si="42"/>
        <v>0</v>
      </c>
      <c r="Z497" s="92">
        <f t="shared" si="43"/>
        <v>0</v>
      </c>
      <c r="AA497" s="92">
        <f t="shared" si="44"/>
        <v>0</v>
      </c>
      <c r="AB497" s="92">
        <f t="shared" si="45"/>
        <v>0</v>
      </c>
      <c r="AC497" s="92"/>
      <c r="AD497" s="92">
        <v>0</v>
      </c>
      <c r="AE497" s="92">
        <f t="shared" si="46"/>
        <v>0</v>
      </c>
      <c r="AF497" s="93">
        <v>0</v>
      </c>
      <c r="AG497" s="89">
        <v>40647</v>
      </c>
      <c r="AH497" s="94"/>
      <c r="AI497" s="95" t="s">
        <v>4336</v>
      </c>
      <c r="AJ497" s="96" t="s">
        <v>4337</v>
      </c>
      <c r="AK497" s="97"/>
      <c r="AL497" s="89"/>
      <c r="AM497" s="100" t="s">
        <v>274</v>
      </c>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114"/>
      <c r="CQ497" s="115"/>
      <c r="CR497" s="114"/>
      <c r="CS497" s="115"/>
      <c r="CT497" s="114"/>
      <c r="CU497" s="115"/>
      <c r="CV497" s="99">
        <f t="shared" si="47"/>
        <v>0</v>
      </c>
      <c r="CW497" s="114"/>
      <c r="CX497" s="115"/>
      <c r="CY497" s="114"/>
      <c r="CZ497" s="115"/>
      <c r="DA497" s="115"/>
      <c r="DB497" s="115"/>
      <c r="DC497" s="114"/>
      <c r="DD497" s="115"/>
      <c r="DE497" s="97"/>
      <c r="DF497" s="269"/>
    </row>
    <row r="498" spans="1:110" s="270" customFormat="1" ht="96" x14ac:dyDescent="0.2">
      <c r="A498" s="89">
        <v>40646</v>
      </c>
      <c r="B498" s="90" t="s">
        <v>4296</v>
      </c>
      <c r="C498" s="90" t="s">
        <v>4246</v>
      </c>
      <c r="D498" s="90" t="s">
        <v>2362</v>
      </c>
      <c r="E498" s="90" t="str">
        <f>VLOOKUP(B498&amp;C498,Divipola!$C$2:$F$1138,4,FALSE)</f>
        <v>19212</v>
      </c>
      <c r="F498" s="90"/>
      <c r="G498" s="101"/>
      <c r="H498" s="101"/>
      <c r="I498" s="101"/>
      <c r="J498" s="101">
        <f>333*5</f>
        <v>1665</v>
      </c>
      <c r="K498" s="101">
        <f>41+292</f>
        <v>333</v>
      </c>
      <c r="L498" s="101">
        <v>3</v>
      </c>
      <c r="M498" s="101">
        <v>330</v>
      </c>
      <c r="N498" s="101">
        <v>1</v>
      </c>
      <c r="O498" s="101">
        <v>1</v>
      </c>
      <c r="P498" s="101">
        <v>4</v>
      </c>
      <c r="Q498" s="101"/>
      <c r="R498" s="101"/>
      <c r="S498" s="101"/>
      <c r="T498" s="101"/>
      <c r="U498" s="101"/>
      <c r="V498" s="101"/>
      <c r="W498" s="91"/>
      <c r="X498" s="89">
        <v>40667</v>
      </c>
      <c r="Y498" s="92">
        <f t="shared" si="42"/>
        <v>0</v>
      </c>
      <c r="Z498" s="92">
        <f t="shared" si="43"/>
        <v>0</v>
      </c>
      <c r="AA498" s="92">
        <f t="shared" si="44"/>
        <v>0</v>
      </c>
      <c r="AB498" s="92">
        <f t="shared" si="45"/>
        <v>0</v>
      </c>
      <c r="AC498" s="92"/>
      <c r="AD498" s="92">
        <v>44000000</v>
      </c>
      <c r="AE498" s="92">
        <f t="shared" si="46"/>
        <v>44000000</v>
      </c>
      <c r="AF498" s="93">
        <v>0</v>
      </c>
      <c r="AG498" s="89">
        <v>40647</v>
      </c>
      <c r="AH498" s="94"/>
      <c r="AI498" s="95" t="s">
        <v>4346</v>
      </c>
      <c r="AJ498" s="96" t="s">
        <v>4347</v>
      </c>
      <c r="AK498" s="97"/>
      <c r="AL498" s="89"/>
      <c r="AM498" s="100" t="s">
        <v>252</v>
      </c>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114"/>
      <c r="CQ498" s="115"/>
      <c r="CR498" s="114"/>
      <c r="CS498" s="115"/>
      <c r="CT498" s="114"/>
      <c r="CU498" s="115"/>
      <c r="CV498" s="99">
        <f t="shared" si="47"/>
        <v>0</v>
      </c>
      <c r="CW498" s="114"/>
      <c r="CX498" s="115"/>
      <c r="CY498" s="114"/>
      <c r="CZ498" s="115"/>
      <c r="DA498" s="115"/>
      <c r="DB498" s="115"/>
      <c r="DC498" s="114"/>
      <c r="DD498" s="115"/>
      <c r="DE498" s="97">
        <v>2</v>
      </c>
      <c r="DF498" s="269"/>
    </row>
    <row r="499" spans="1:110" s="270" customFormat="1" ht="24" x14ac:dyDescent="0.2">
      <c r="A499" s="89">
        <v>40646</v>
      </c>
      <c r="B499" s="90" t="s">
        <v>4296</v>
      </c>
      <c r="C499" s="90" t="s">
        <v>3371</v>
      </c>
      <c r="D499" s="90" t="s">
        <v>2362</v>
      </c>
      <c r="E499" s="90" t="str">
        <f>VLOOKUP(B499&amp;C499,Divipola!$C$2:$F$1138,4,FALSE)</f>
        <v>19397</v>
      </c>
      <c r="F499" s="90"/>
      <c r="G499" s="101"/>
      <c r="H499" s="101">
        <v>6</v>
      </c>
      <c r="I499" s="101"/>
      <c r="J499" s="101">
        <f>423*5</f>
        <v>2115</v>
      </c>
      <c r="K499" s="101">
        <v>423</v>
      </c>
      <c r="L499" s="101"/>
      <c r="M499" s="101"/>
      <c r="N499" s="101"/>
      <c r="O499" s="101"/>
      <c r="P499" s="101"/>
      <c r="Q499" s="101"/>
      <c r="R499" s="101"/>
      <c r="S499" s="101"/>
      <c r="T499" s="101">
        <v>1</v>
      </c>
      <c r="U499" s="101"/>
      <c r="V499" s="101"/>
      <c r="W499" s="91"/>
      <c r="X499" s="89"/>
      <c r="Y499" s="92">
        <f t="shared" si="42"/>
        <v>0</v>
      </c>
      <c r="Z499" s="92">
        <f t="shared" si="43"/>
        <v>0</v>
      </c>
      <c r="AA499" s="92">
        <f t="shared" si="44"/>
        <v>0</v>
      </c>
      <c r="AB499" s="92">
        <f t="shared" si="45"/>
        <v>0</v>
      </c>
      <c r="AC499" s="92"/>
      <c r="AD499" s="92">
        <v>0</v>
      </c>
      <c r="AE499" s="92">
        <f t="shared" si="46"/>
        <v>0</v>
      </c>
      <c r="AF499" s="93">
        <v>0</v>
      </c>
      <c r="AG499" s="89">
        <v>40647</v>
      </c>
      <c r="AH499" s="94"/>
      <c r="AI499" s="95" t="s">
        <v>4336</v>
      </c>
      <c r="AJ499" s="96" t="s">
        <v>4337</v>
      </c>
      <c r="AK499" s="97"/>
      <c r="AL499" s="89"/>
      <c r="AM499" s="100" t="s">
        <v>2072</v>
      </c>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114"/>
      <c r="CQ499" s="115"/>
      <c r="CR499" s="114"/>
      <c r="CS499" s="115"/>
      <c r="CT499" s="114"/>
      <c r="CU499" s="115"/>
      <c r="CV499" s="99">
        <f t="shared" si="47"/>
        <v>0</v>
      </c>
      <c r="CW499" s="114"/>
      <c r="CX499" s="115"/>
      <c r="CY499" s="114"/>
      <c r="CZ499" s="115"/>
      <c r="DA499" s="115"/>
      <c r="DB499" s="115"/>
      <c r="DC499" s="114"/>
      <c r="DD499" s="115"/>
      <c r="DE499" s="97"/>
      <c r="DF499" s="269"/>
    </row>
    <row r="500" spans="1:110" s="270" customFormat="1" ht="48" x14ac:dyDescent="0.2">
      <c r="A500" s="89">
        <v>40646</v>
      </c>
      <c r="B500" s="90" t="s">
        <v>4296</v>
      </c>
      <c r="C500" s="90" t="s">
        <v>2252</v>
      </c>
      <c r="D500" s="90" t="s">
        <v>2362</v>
      </c>
      <c r="E500" s="90" t="str">
        <f>VLOOKUP(B500&amp;C500,Divipola!$C$2:$F$1138,4,FALSE)</f>
        <v>19513</v>
      </c>
      <c r="F500" s="90"/>
      <c r="G500" s="101"/>
      <c r="H500" s="101"/>
      <c r="I500" s="101"/>
      <c r="J500" s="101">
        <f>458*5</f>
        <v>2290</v>
      </c>
      <c r="K500" s="101">
        <v>458</v>
      </c>
      <c r="L500" s="101">
        <v>3</v>
      </c>
      <c r="M500" s="101">
        <v>17</v>
      </c>
      <c r="N500" s="101"/>
      <c r="O500" s="101"/>
      <c r="P500" s="101"/>
      <c r="Q500" s="101">
        <v>1</v>
      </c>
      <c r="R500" s="101"/>
      <c r="S500" s="101"/>
      <c r="T500" s="101"/>
      <c r="U500" s="101"/>
      <c r="V500" s="101"/>
      <c r="W500" s="91"/>
      <c r="X500" s="89"/>
      <c r="Y500" s="92">
        <f t="shared" si="42"/>
        <v>0</v>
      </c>
      <c r="Z500" s="92">
        <f t="shared" si="43"/>
        <v>0</v>
      </c>
      <c r="AA500" s="92">
        <f t="shared" si="44"/>
        <v>0</v>
      </c>
      <c r="AB500" s="92">
        <f t="shared" si="45"/>
        <v>0</v>
      </c>
      <c r="AC500" s="92"/>
      <c r="AD500" s="92">
        <v>40000000</v>
      </c>
      <c r="AE500" s="92">
        <f t="shared" si="46"/>
        <v>40000000</v>
      </c>
      <c r="AF500" s="93">
        <v>0</v>
      </c>
      <c r="AG500" s="89">
        <v>40647</v>
      </c>
      <c r="AH500" s="94"/>
      <c r="AI500" s="102" t="s">
        <v>4346</v>
      </c>
      <c r="AJ500" s="96" t="s">
        <v>4347</v>
      </c>
      <c r="AK500" s="97"/>
      <c r="AL500" s="89"/>
      <c r="AM500" s="100" t="s">
        <v>390</v>
      </c>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114"/>
      <c r="CQ500" s="115"/>
      <c r="CR500" s="114"/>
      <c r="CS500" s="115"/>
      <c r="CT500" s="114"/>
      <c r="CU500" s="115"/>
      <c r="CV500" s="99">
        <f t="shared" si="47"/>
        <v>0</v>
      </c>
      <c r="CW500" s="114"/>
      <c r="CX500" s="115"/>
      <c r="CY500" s="114"/>
      <c r="CZ500" s="115"/>
      <c r="DA500" s="115"/>
      <c r="DB500" s="115"/>
      <c r="DC500" s="114"/>
      <c r="DD500" s="115"/>
      <c r="DE500" s="97"/>
      <c r="DF500" s="269"/>
    </row>
    <row r="501" spans="1:110" s="270" customFormat="1" ht="24" x14ac:dyDescent="0.2">
      <c r="A501" s="89">
        <v>40646</v>
      </c>
      <c r="B501" s="90" t="s">
        <v>4344</v>
      </c>
      <c r="C501" s="90" t="s">
        <v>4367</v>
      </c>
      <c r="D501" s="90" t="s">
        <v>2362</v>
      </c>
      <c r="E501" s="90" t="str">
        <f>VLOOKUP(B501&amp;C501,Divipola!$C$2:$F$1138,4,FALSE)</f>
        <v>25154</v>
      </c>
      <c r="F501" s="90"/>
      <c r="G501" s="101"/>
      <c r="H501" s="101"/>
      <c r="I501" s="101"/>
      <c r="J501" s="101">
        <v>80</v>
      </c>
      <c r="K501" s="101">
        <v>27</v>
      </c>
      <c r="L501" s="101"/>
      <c r="M501" s="101"/>
      <c r="N501" s="101">
        <v>1</v>
      </c>
      <c r="O501" s="101"/>
      <c r="P501" s="101"/>
      <c r="Q501" s="101"/>
      <c r="R501" s="101"/>
      <c r="S501" s="101"/>
      <c r="T501" s="101"/>
      <c r="U501" s="101"/>
      <c r="V501" s="101"/>
      <c r="W501" s="91"/>
      <c r="X501" s="89"/>
      <c r="Y501" s="92">
        <f t="shared" si="42"/>
        <v>0</v>
      </c>
      <c r="Z501" s="92">
        <f t="shared" si="43"/>
        <v>0</v>
      </c>
      <c r="AA501" s="92">
        <f t="shared" si="44"/>
        <v>0</v>
      </c>
      <c r="AB501" s="92">
        <f t="shared" si="45"/>
        <v>0</v>
      </c>
      <c r="AC501" s="92"/>
      <c r="AD501" s="92">
        <v>0</v>
      </c>
      <c r="AE501" s="92">
        <f t="shared" si="46"/>
        <v>0</v>
      </c>
      <c r="AF501" s="93">
        <v>0</v>
      </c>
      <c r="AG501" s="89"/>
      <c r="AH501" s="94"/>
      <c r="AI501" s="102" t="s">
        <v>4336</v>
      </c>
      <c r="AJ501" s="96" t="s">
        <v>4337</v>
      </c>
      <c r="AK501" s="97"/>
      <c r="AL501" s="89"/>
      <c r="AM501" s="100" t="s">
        <v>281</v>
      </c>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114"/>
      <c r="CQ501" s="115"/>
      <c r="CR501" s="114"/>
      <c r="CS501" s="115"/>
      <c r="CT501" s="114"/>
      <c r="CU501" s="115"/>
      <c r="CV501" s="99">
        <f t="shared" si="47"/>
        <v>0</v>
      </c>
      <c r="CW501" s="114"/>
      <c r="CX501" s="115"/>
      <c r="CY501" s="114"/>
      <c r="CZ501" s="115"/>
      <c r="DA501" s="115"/>
      <c r="DB501" s="115"/>
      <c r="DC501" s="114"/>
      <c r="DD501" s="115"/>
      <c r="DE501" s="97"/>
      <c r="DF501" s="277"/>
    </row>
    <row r="502" spans="1:110" s="270" customFormat="1" ht="24" x14ac:dyDescent="0.2">
      <c r="A502" s="89">
        <v>40646</v>
      </c>
      <c r="B502" s="90" t="s">
        <v>4344</v>
      </c>
      <c r="C502" s="90" t="s">
        <v>3552</v>
      </c>
      <c r="D502" s="90" t="s">
        <v>2362</v>
      </c>
      <c r="E502" s="90" t="str">
        <f>VLOOKUP(B502&amp;C502,Divipola!$C$2:$F$1138,4,FALSE)</f>
        <v>25320</v>
      </c>
      <c r="F502" s="90"/>
      <c r="G502" s="101"/>
      <c r="H502" s="101"/>
      <c r="I502" s="101"/>
      <c r="J502" s="101"/>
      <c r="K502" s="101"/>
      <c r="L502" s="101"/>
      <c r="M502" s="101"/>
      <c r="N502" s="101"/>
      <c r="O502" s="101"/>
      <c r="P502" s="101"/>
      <c r="Q502" s="101"/>
      <c r="R502" s="101"/>
      <c r="S502" s="101"/>
      <c r="T502" s="101"/>
      <c r="U502" s="101"/>
      <c r="V502" s="101"/>
      <c r="W502" s="91"/>
      <c r="X502" s="89"/>
      <c r="Y502" s="92">
        <f t="shared" si="42"/>
        <v>0</v>
      </c>
      <c r="Z502" s="92">
        <f t="shared" si="43"/>
        <v>0</v>
      </c>
      <c r="AA502" s="92">
        <f t="shared" si="44"/>
        <v>0</v>
      </c>
      <c r="AB502" s="92">
        <f t="shared" si="45"/>
        <v>0</v>
      </c>
      <c r="AC502" s="92"/>
      <c r="AD502" s="92">
        <v>0</v>
      </c>
      <c r="AE502" s="92">
        <f t="shared" si="46"/>
        <v>0</v>
      </c>
      <c r="AF502" s="93">
        <v>0</v>
      </c>
      <c r="AG502" s="89"/>
      <c r="AH502" s="94"/>
      <c r="AI502" s="102" t="s">
        <v>4336</v>
      </c>
      <c r="AJ502" s="96" t="s">
        <v>4337</v>
      </c>
      <c r="AK502" s="97"/>
      <c r="AL502" s="89"/>
      <c r="AM502" s="100" t="s">
        <v>279</v>
      </c>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114"/>
      <c r="CQ502" s="115"/>
      <c r="CR502" s="114"/>
      <c r="CS502" s="115"/>
      <c r="CT502" s="114"/>
      <c r="CU502" s="115"/>
      <c r="CV502" s="99">
        <f t="shared" si="47"/>
        <v>0</v>
      </c>
      <c r="CW502" s="114"/>
      <c r="CX502" s="115"/>
      <c r="CY502" s="114"/>
      <c r="CZ502" s="115"/>
      <c r="DA502" s="115"/>
      <c r="DB502" s="115"/>
      <c r="DC502" s="114"/>
      <c r="DD502" s="115"/>
      <c r="DE502" s="97"/>
      <c r="DF502" s="277"/>
    </row>
    <row r="503" spans="1:110" s="270" customFormat="1" x14ac:dyDescent="0.2">
      <c r="A503" s="89">
        <v>40646</v>
      </c>
      <c r="B503" s="90" t="s">
        <v>4344</v>
      </c>
      <c r="C503" s="90" t="s">
        <v>2213</v>
      </c>
      <c r="D503" s="90" t="s">
        <v>4264</v>
      </c>
      <c r="E503" s="90" t="str">
        <f>VLOOKUP(B503&amp;C503,Divipola!$C$2:$F$1138,4,FALSE)</f>
        <v>25322</v>
      </c>
      <c r="F503" s="90"/>
      <c r="G503" s="101"/>
      <c r="H503" s="101"/>
      <c r="I503" s="101"/>
      <c r="J503" s="101">
        <v>5</v>
      </c>
      <c r="K503" s="101">
        <v>1</v>
      </c>
      <c r="L503" s="101"/>
      <c r="M503" s="101">
        <v>1</v>
      </c>
      <c r="N503" s="101"/>
      <c r="O503" s="101"/>
      <c r="P503" s="101"/>
      <c r="Q503" s="101"/>
      <c r="R503" s="101"/>
      <c r="S503" s="101"/>
      <c r="T503" s="101"/>
      <c r="U503" s="101"/>
      <c r="V503" s="101"/>
      <c r="W503" s="91"/>
      <c r="X503" s="89"/>
      <c r="Y503" s="92">
        <f t="shared" si="42"/>
        <v>0</v>
      </c>
      <c r="Z503" s="92">
        <f t="shared" si="43"/>
        <v>0</v>
      </c>
      <c r="AA503" s="92">
        <f t="shared" si="44"/>
        <v>0</v>
      </c>
      <c r="AB503" s="92">
        <f t="shared" si="45"/>
        <v>0</v>
      </c>
      <c r="AC503" s="92"/>
      <c r="AD503" s="92">
        <v>0</v>
      </c>
      <c r="AE503" s="92">
        <f t="shared" si="46"/>
        <v>0</v>
      </c>
      <c r="AF503" s="93">
        <v>0</v>
      </c>
      <c r="AG503" s="89"/>
      <c r="AH503" s="94"/>
      <c r="AI503" s="102" t="s">
        <v>4336</v>
      </c>
      <c r="AJ503" s="96" t="s">
        <v>4337</v>
      </c>
      <c r="AK503" s="97"/>
      <c r="AL503" s="89"/>
      <c r="AM503" s="100" t="s">
        <v>3452</v>
      </c>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114"/>
      <c r="CQ503" s="115"/>
      <c r="CR503" s="114"/>
      <c r="CS503" s="115"/>
      <c r="CT503" s="114"/>
      <c r="CU503" s="115"/>
      <c r="CV503" s="99">
        <f t="shared" si="47"/>
        <v>0</v>
      </c>
      <c r="CW503" s="114"/>
      <c r="CX503" s="115"/>
      <c r="CY503" s="114"/>
      <c r="CZ503" s="115"/>
      <c r="DA503" s="115"/>
      <c r="DB503" s="115"/>
      <c r="DC503" s="114"/>
      <c r="DD503" s="115"/>
      <c r="DE503" s="97"/>
      <c r="DF503" s="277"/>
    </row>
    <row r="504" spans="1:110" s="270" customFormat="1" ht="24" x14ac:dyDescent="0.2">
      <c r="A504" s="89">
        <v>40646</v>
      </c>
      <c r="B504" s="90" t="s">
        <v>4344</v>
      </c>
      <c r="C504" s="90" t="s">
        <v>2214</v>
      </c>
      <c r="D504" s="90" t="s">
        <v>2362</v>
      </c>
      <c r="E504" s="90" t="str">
        <f>VLOOKUP(B504&amp;C504,Divipola!$C$2:$F$1138,4,FALSE)</f>
        <v>25394</v>
      </c>
      <c r="F504" s="90"/>
      <c r="G504" s="101"/>
      <c r="H504" s="101"/>
      <c r="I504" s="101"/>
      <c r="J504" s="101">
        <v>70</v>
      </c>
      <c r="K504" s="101">
        <v>14</v>
      </c>
      <c r="L504" s="101"/>
      <c r="M504" s="101">
        <v>14</v>
      </c>
      <c r="N504" s="101"/>
      <c r="O504" s="101"/>
      <c r="P504" s="101"/>
      <c r="Q504" s="101"/>
      <c r="R504" s="101"/>
      <c r="S504" s="101"/>
      <c r="T504" s="101"/>
      <c r="U504" s="101"/>
      <c r="V504" s="101"/>
      <c r="W504" s="91"/>
      <c r="X504" s="89"/>
      <c r="Y504" s="92">
        <f t="shared" si="42"/>
        <v>0</v>
      </c>
      <c r="Z504" s="92">
        <f t="shared" si="43"/>
        <v>0</v>
      </c>
      <c r="AA504" s="92">
        <f t="shared" si="44"/>
        <v>0</v>
      </c>
      <c r="AB504" s="92">
        <f t="shared" si="45"/>
        <v>0</v>
      </c>
      <c r="AC504" s="92"/>
      <c r="AD504" s="92">
        <v>0</v>
      </c>
      <c r="AE504" s="92">
        <f t="shared" si="46"/>
        <v>0</v>
      </c>
      <c r="AF504" s="93">
        <v>0</v>
      </c>
      <c r="AG504" s="89">
        <v>40647</v>
      </c>
      <c r="AH504" s="94"/>
      <c r="AI504" s="102" t="s">
        <v>4336</v>
      </c>
      <c r="AJ504" s="96" t="s">
        <v>4337</v>
      </c>
      <c r="AK504" s="97"/>
      <c r="AL504" s="89"/>
      <c r="AM504" s="100" t="s">
        <v>2068</v>
      </c>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114"/>
      <c r="CQ504" s="115"/>
      <c r="CR504" s="114"/>
      <c r="CS504" s="115"/>
      <c r="CT504" s="114"/>
      <c r="CU504" s="115"/>
      <c r="CV504" s="99">
        <f t="shared" si="47"/>
        <v>0</v>
      </c>
      <c r="CW504" s="114"/>
      <c r="CX504" s="115"/>
      <c r="CY504" s="114"/>
      <c r="CZ504" s="115"/>
      <c r="DA504" s="115"/>
      <c r="DB504" s="115"/>
      <c r="DC504" s="114"/>
      <c r="DD504" s="115"/>
      <c r="DE504" s="97"/>
      <c r="DF504" s="269"/>
    </row>
    <row r="505" spans="1:110" s="270" customFormat="1" ht="36" x14ac:dyDescent="0.2">
      <c r="A505" s="89">
        <v>40646</v>
      </c>
      <c r="B505" s="90" t="s">
        <v>4344</v>
      </c>
      <c r="C505" s="90" t="s">
        <v>4387</v>
      </c>
      <c r="D505" s="90" t="s">
        <v>4264</v>
      </c>
      <c r="E505" s="90" t="str">
        <f>VLOOKUP(B505&amp;C505,Divipola!$C$2:$F$1138,4,FALSE)</f>
        <v>25483</v>
      </c>
      <c r="F505" s="90"/>
      <c r="G505" s="101"/>
      <c r="H505" s="101"/>
      <c r="I505" s="101"/>
      <c r="J505" s="101">
        <v>52</v>
      </c>
      <c r="K505" s="101">
        <v>15</v>
      </c>
      <c r="L505" s="101"/>
      <c r="M505" s="101">
        <v>15</v>
      </c>
      <c r="N505" s="101"/>
      <c r="O505" s="101"/>
      <c r="P505" s="101"/>
      <c r="Q505" s="101"/>
      <c r="R505" s="101"/>
      <c r="S505" s="101"/>
      <c r="T505" s="101"/>
      <c r="U505" s="101"/>
      <c r="V505" s="101"/>
      <c r="W505" s="91"/>
      <c r="X505" s="89"/>
      <c r="Y505" s="92">
        <f t="shared" si="42"/>
        <v>0</v>
      </c>
      <c r="Z505" s="92">
        <f t="shared" si="43"/>
        <v>0</v>
      </c>
      <c r="AA505" s="92">
        <f t="shared" si="44"/>
        <v>0</v>
      </c>
      <c r="AB505" s="92">
        <f t="shared" si="45"/>
        <v>0</v>
      </c>
      <c r="AC505" s="92"/>
      <c r="AD505" s="92">
        <v>0</v>
      </c>
      <c r="AE505" s="92">
        <f t="shared" si="46"/>
        <v>0</v>
      </c>
      <c r="AF505" s="93">
        <v>0</v>
      </c>
      <c r="AG505" s="89"/>
      <c r="AH505" s="94"/>
      <c r="AI505" s="102" t="s">
        <v>4336</v>
      </c>
      <c r="AJ505" s="96" t="s">
        <v>4337</v>
      </c>
      <c r="AK505" s="97"/>
      <c r="AL505" s="89"/>
      <c r="AM505" s="100" t="s">
        <v>278</v>
      </c>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114"/>
      <c r="CQ505" s="115"/>
      <c r="CR505" s="114"/>
      <c r="CS505" s="115"/>
      <c r="CT505" s="114"/>
      <c r="CU505" s="115"/>
      <c r="CV505" s="99">
        <f t="shared" si="47"/>
        <v>0</v>
      </c>
      <c r="CW505" s="114"/>
      <c r="CX505" s="115"/>
      <c r="CY505" s="114"/>
      <c r="CZ505" s="115"/>
      <c r="DA505" s="115"/>
      <c r="DB505" s="115"/>
      <c r="DC505" s="114"/>
      <c r="DD505" s="115"/>
      <c r="DE505" s="97"/>
      <c r="DF505" s="269"/>
    </row>
    <row r="506" spans="1:110" s="270" customFormat="1" ht="24" x14ac:dyDescent="0.2">
      <c r="A506" s="89">
        <v>40646</v>
      </c>
      <c r="B506" s="90" t="s">
        <v>4344</v>
      </c>
      <c r="C506" s="90" t="s">
        <v>3336</v>
      </c>
      <c r="D506" s="90" t="s">
        <v>2362</v>
      </c>
      <c r="E506" s="90" t="str">
        <f>VLOOKUP(B506&amp;C506,Divipola!$C$2:$F$1138,4,FALSE)</f>
        <v>25718</v>
      </c>
      <c r="F506" s="90"/>
      <c r="G506" s="101"/>
      <c r="H506" s="101"/>
      <c r="I506" s="101"/>
      <c r="J506" s="101">
        <v>34</v>
      </c>
      <c r="K506" s="101">
        <v>8</v>
      </c>
      <c r="L506" s="101"/>
      <c r="M506" s="101">
        <v>8</v>
      </c>
      <c r="N506" s="101"/>
      <c r="O506" s="101"/>
      <c r="P506" s="101"/>
      <c r="Q506" s="101"/>
      <c r="R506" s="101"/>
      <c r="S506" s="101"/>
      <c r="T506" s="101"/>
      <c r="U506" s="101"/>
      <c r="V506" s="101"/>
      <c r="W506" s="91"/>
      <c r="X506" s="89"/>
      <c r="Y506" s="92">
        <f t="shared" si="42"/>
        <v>0</v>
      </c>
      <c r="Z506" s="92">
        <f t="shared" si="43"/>
        <v>0</v>
      </c>
      <c r="AA506" s="92">
        <f t="shared" si="44"/>
        <v>0</v>
      </c>
      <c r="AB506" s="92">
        <f t="shared" si="45"/>
        <v>0</v>
      </c>
      <c r="AC506" s="92"/>
      <c r="AD506" s="92">
        <v>0</v>
      </c>
      <c r="AE506" s="92">
        <f t="shared" si="46"/>
        <v>0</v>
      </c>
      <c r="AF506" s="93">
        <v>0</v>
      </c>
      <c r="AG506" s="89"/>
      <c r="AH506" s="94"/>
      <c r="AI506" s="102" t="s">
        <v>4336</v>
      </c>
      <c r="AJ506" s="96" t="s">
        <v>4337</v>
      </c>
      <c r="AK506" s="97"/>
      <c r="AL506" s="89"/>
      <c r="AM506" s="100" t="s">
        <v>277</v>
      </c>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114"/>
      <c r="CQ506" s="115"/>
      <c r="CR506" s="114"/>
      <c r="CS506" s="115"/>
      <c r="CT506" s="114"/>
      <c r="CU506" s="115"/>
      <c r="CV506" s="99">
        <f t="shared" si="47"/>
        <v>0</v>
      </c>
      <c r="CW506" s="114"/>
      <c r="CX506" s="115"/>
      <c r="CY506" s="114"/>
      <c r="CZ506" s="115"/>
      <c r="DA506" s="115"/>
      <c r="DB506" s="115"/>
      <c r="DC506" s="114"/>
      <c r="DD506" s="115"/>
      <c r="DE506" s="97"/>
      <c r="DF506" s="269"/>
    </row>
    <row r="507" spans="1:110" s="270" customFormat="1" ht="24" x14ac:dyDescent="0.2">
      <c r="A507" s="89">
        <v>40646</v>
      </c>
      <c r="B507" s="90" t="s">
        <v>4344</v>
      </c>
      <c r="C507" s="90" t="s">
        <v>972</v>
      </c>
      <c r="D507" s="90" t="s">
        <v>4264</v>
      </c>
      <c r="E507" s="90" t="str">
        <f>VLOOKUP(B507&amp;C507,Divipola!$C$2:$F$1138,4,FALSE)</f>
        <v>25781</v>
      </c>
      <c r="F507" s="90"/>
      <c r="G507" s="101"/>
      <c r="H507" s="101"/>
      <c r="I507" s="101"/>
      <c r="J507" s="101">
        <v>20</v>
      </c>
      <c r="K507" s="101">
        <v>5</v>
      </c>
      <c r="L507" s="101"/>
      <c r="M507" s="101">
        <v>5</v>
      </c>
      <c r="N507" s="101"/>
      <c r="O507" s="101"/>
      <c r="P507" s="101"/>
      <c r="Q507" s="101"/>
      <c r="R507" s="101"/>
      <c r="S507" s="101"/>
      <c r="T507" s="101"/>
      <c r="U507" s="101"/>
      <c r="V507" s="101">
        <v>64</v>
      </c>
      <c r="W507" s="91" t="s">
        <v>2070</v>
      </c>
      <c r="X507" s="89"/>
      <c r="Y507" s="92">
        <f t="shared" si="42"/>
        <v>0</v>
      </c>
      <c r="Z507" s="92">
        <f t="shared" si="43"/>
        <v>0</v>
      </c>
      <c r="AA507" s="92">
        <f t="shared" si="44"/>
        <v>0</v>
      </c>
      <c r="AB507" s="92">
        <f t="shared" si="45"/>
        <v>0</v>
      </c>
      <c r="AC507" s="92"/>
      <c r="AD507" s="92">
        <v>0</v>
      </c>
      <c r="AE507" s="92">
        <f t="shared" si="46"/>
        <v>0</v>
      </c>
      <c r="AF507" s="93">
        <v>0</v>
      </c>
      <c r="AG507" s="89">
        <v>40647</v>
      </c>
      <c r="AH507" s="94"/>
      <c r="AI507" s="102" t="s">
        <v>4336</v>
      </c>
      <c r="AJ507" s="96" t="s">
        <v>4337</v>
      </c>
      <c r="AK507" s="97"/>
      <c r="AL507" s="89"/>
      <c r="AM507" s="100" t="s">
        <v>2069</v>
      </c>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114"/>
      <c r="CQ507" s="115"/>
      <c r="CR507" s="114"/>
      <c r="CS507" s="115"/>
      <c r="CT507" s="114"/>
      <c r="CU507" s="115"/>
      <c r="CV507" s="99">
        <f t="shared" si="47"/>
        <v>0</v>
      </c>
      <c r="CW507" s="114"/>
      <c r="CX507" s="115"/>
      <c r="CY507" s="114"/>
      <c r="CZ507" s="115"/>
      <c r="DA507" s="115"/>
      <c r="DB507" s="115"/>
      <c r="DC507" s="114"/>
      <c r="DD507" s="115"/>
      <c r="DE507" s="97"/>
      <c r="DF507" s="269"/>
    </row>
    <row r="508" spans="1:110" s="270" customFormat="1" ht="36" x14ac:dyDescent="0.2">
      <c r="A508" s="89">
        <v>40646</v>
      </c>
      <c r="B508" s="90" t="s">
        <v>4344</v>
      </c>
      <c r="C508" s="90" t="s">
        <v>3324</v>
      </c>
      <c r="D508" s="90" t="s">
        <v>4264</v>
      </c>
      <c r="E508" s="90" t="str">
        <f>VLOOKUP(B508&amp;C508,Divipola!$C$2:$F$1138,4,FALSE)</f>
        <v>25843</v>
      </c>
      <c r="F508" s="90"/>
      <c r="G508" s="101"/>
      <c r="H508" s="101"/>
      <c r="I508" s="101"/>
      <c r="J508" s="101">
        <v>36</v>
      </c>
      <c r="K508" s="101">
        <v>8</v>
      </c>
      <c r="L508" s="101"/>
      <c r="M508" s="101">
        <v>8</v>
      </c>
      <c r="N508" s="101"/>
      <c r="O508" s="101"/>
      <c r="P508" s="101"/>
      <c r="Q508" s="101">
        <v>1</v>
      </c>
      <c r="R508" s="101"/>
      <c r="S508" s="101"/>
      <c r="T508" s="101"/>
      <c r="U508" s="101"/>
      <c r="V508" s="101"/>
      <c r="W508" s="91"/>
      <c r="X508" s="89"/>
      <c r="Y508" s="92">
        <f t="shared" si="42"/>
        <v>0</v>
      </c>
      <c r="Z508" s="92">
        <f t="shared" si="43"/>
        <v>0</v>
      </c>
      <c r="AA508" s="92">
        <f t="shared" si="44"/>
        <v>0</v>
      </c>
      <c r="AB508" s="92">
        <f t="shared" si="45"/>
        <v>0</v>
      </c>
      <c r="AC508" s="92"/>
      <c r="AD508" s="92">
        <v>0</v>
      </c>
      <c r="AE508" s="92">
        <f t="shared" si="46"/>
        <v>0</v>
      </c>
      <c r="AF508" s="93">
        <v>0</v>
      </c>
      <c r="AG508" s="89"/>
      <c r="AH508" s="94"/>
      <c r="AI508" s="102" t="s">
        <v>4336</v>
      </c>
      <c r="AJ508" s="96" t="s">
        <v>4337</v>
      </c>
      <c r="AK508" s="97"/>
      <c r="AL508" s="89"/>
      <c r="AM508" s="100" t="s">
        <v>280</v>
      </c>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114"/>
      <c r="CQ508" s="115"/>
      <c r="CR508" s="114"/>
      <c r="CS508" s="115"/>
      <c r="CT508" s="114"/>
      <c r="CU508" s="115"/>
      <c r="CV508" s="99">
        <f t="shared" si="47"/>
        <v>0</v>
      </c>
      <c r="CW508" s="114"/>
      <c r="CX508" s="115"/>
      <c r="CY508" s="114"/>
      <c r="CZ508" s="115"/>
      <c r="DA508" s="115"/>
      <c r="DB508" s="115"/>
      <c r="DC508" s="114"/>
      <c r="DD508" s="115"/>
      <c r="DE508" s="97"/>
      <c r="DF508" s="269"/>
    </row>
    <row r="509" spans="1:110" s="270" customFormat="1" ht="24" x14ac:dyDescent="0.2">
      <c r="A509" s="89">
        <v>40646</v>
      </c>
      <c r="B509" s="90" t="s">
        <v>4344</v>
      </c>
      <c r="C509" s="90" t="s">
        <v>3473</v>
      </c>
      <c r="D509" s="90" t="s">
        <v>2362</v>
      </c>
      <c r="E509" s="90" t="str">
        <f>VLOOKUP(B509&amp;C509,Divipola!$C$2:$F$1138,4,FALSE)</f>
        <v>25878</v>
      </c>
      <c r="F509" s="90"/>
      <c r="G509" s="101"/>
      <c r="H509" s="101"/>
      <c r="I509" s="101"/>
      <c r="J509" s="101">
        <f>60*5</f>
        <v>300</v>
      </c>
      <c r="K509" s="101">
        <v>60</v>
      </c>
      <c r="L509" s="101"/>
      <c r="M509" s="101"/>
      <c r="N509" s="101"/>
      <c r="O509" s="101"/>
      <c r="P509" s="101"/>
      <c r="Q509" s="101">
        <v>1</v>
      </c>
      <c r="R509" s="101"/>
      <c r="S509" s="101"/>
      <c r="T509" s="101"/>
      <c r="U509" s="101"/>
      <c r="V509" s="101">
        <v>100</v>
      </c>
      <c r="W509" s="91"/>
      <c r="X509" s="89"/>
      <c r="Y509" s="92">
        <f t="shared" si="42"/>
        <v>0</v>
      </c>
      <c r="Z509" s="92">
        <f t="shared" si="43"/>
        <v>0</v>
      </c>
      <c r="AA509" s="92">
        <f t="shared" si="44"/>
        <v>0</v>
      </c>
      <c r="AB509" s="92">
        <f t="shared" si="45"/>
        <v>0</v>
      </c>
      <c r="AC509" s="92"/>
      <c r="AD509" s="92">
        <v>0</v>
      </c>
      <c r="AE509" s="92">
        <f t="shared" si="46"/>
        <v>0</v>
      </c>
      <c r="AF509" s="93">
        <v>0</v>
      </c>
      <c r="AG509" s="89"/>
      <c r="AH509" s="94"/>
      <c r="AI509" s="102" t="s">
        <v>4336</v>
      </c>
      <c r="AJ509" s="96" t="s">
        <v>4337</v>
      </c>
      <c r="AK509" s="97"/>
      <c r="AL509" s="89"/>
      <c r="AM509" s="100" t="s">
        <v>282</v>
      </c>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114"/>
      <c r="CQ509" s="115"/>
      <c r="CR509" s="114"/>
      <c r="CS509" s="115"/>
      <c r="CT509" s="114"/>
      <c r="CU509" s="115"/>
      <c r="CV509" s="99">
        <f t="shared" si="47"/>
        <v>0</v>
      </c>
      <c r="CW509" s="114"/>
      <c r="CX509" s="115"/>
      <c r="CY509" s="114"/>
      <c r="CZ509" s="115"/>
      <c r="DA509" s="115"/>
      <c r="DB509" s="115"/>
      <c r="DC509" s="114"/>
      <c r="DD509" s="115"/>
      <c r="DE509" s="97"/>
      <c r="DF509" s="269"/>
    </row>
    <row r="510" spans="1:110" s="270" customFormat="1" ht="24" x14ac:dyDescent="0.2">
      <c r="A510" s="89">
        <v>40646</v>
      </c>
      <c r="B510" s="90" t="s">
        <v>4219</v>
      </c>
      <c r="C510" s="90" t="s">
        <v>2232</v>
      </c>
      <c r="D510" s="90" t="s">
        <v>4264</v>
      </c>
      <c r="E510" s="90" t="str">
        <f>VLOOKUP(B510&amp;C510,Divipola!$C$2:$F$1138,4,FALSE)</f>
        <v>41551</v>
      </c>
      <c r="F510" s="90"/>
      <c r="G510" s="101"/>
      <c r="H510" s="101"/>
      <c r="I510" s="101"/>
      <c r="J510" s="101">
        <f>62*5</f>
        <v>310</v>
      </c>
      <c r="K510" s="101">
        <f>56+6</f>
        <v>62</v>
      </c>
      <c r="L510" s="101"/>
      <c r="M510" s="101">
        <v>62</v>
      </c>
      <c r="N510" s="101"/>
      <c r="O510" s="101"/>
      <c r="P510" s="101"/>
      <c r="Q510" s="101"/>
      <c r="R510" s="101"/>
      <c r="S510" s="101"/>
      <c r="T510" s="101"/>
      <c r="U510" s="101"/>
      <c r="V510" s="101"/>
      <c r="W510" s="91"/>
      <c r="X510" s="89"/>
      <c r="Y510" s="92">
        <f t="shared" si="42"/>
        <v>0</v>
      </c>
      <c r="Z510" s="92">
        <f t="shared" si="43"/>
        <v>0</v>
      </c>
      <c r="AA510" s="92">
        <f t="shared" si="44"/>
        <v>0</v>
      </c>
      <c r="AB510" s="92">
        <f t="shared" si="45"/>
        <v>0</v>
      </c>
      <c r="AC510" s="92"/>
      <c r="AD510" s="92">
        <v>0</v>
      </c>
      <c r="AE510" s="92">
        <f t="shared" si="46"/>
        <v>0</v>
      </c>
      <c r="AF510" s="93">
        <v>0</v>
      </c>
      <c r="AG510" s="89">
        <v>40647</v>
      </c>
      <c r="AH510" s="94"/>
      <c r="AI510" s="95" t="s">
        <v>4336</v>
      </c>
      <c r="AJ510" s="96" t="s">
        <v>4337</v>
      </c>
      <c r="AK510" s="97"/>
      <c r="AL510" s="89"/>
      <c r="AM510" s="100" t="s">
        <v>2071</v>
      </c>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114"/>
      <c r="CQ510" s="115"/>
      <c r="CR510" s="114"/>
      <c r="CS510" s="115"/>
      <c r="CT510" s="114"/>
      <c r="CU510" s="115"/>
      <c r="CV510" s="99">
        <f t="shared" si="47"/>
        <v>0</v>
      </c>
      <c r="CW510" s="114"/>
      <c r="CX510" s="115"/>
      <c r="CY510" s="114"/>
      <c r="CZ510" s="115"/>
      <c r="DA510" s="115"/>
      <c r="DB510" s="115"/>
      <c r="DC510" s="114"/>
      <c r="DD510" s="115"/>
      <c r="DE510" s="97"/>
      <c r="DF510" s="269"/>
    </row>
    <row r="511" spans="1:110" s="270" customFormat="1" ht="22.5" x14ac:dyDescent="0.2">
      <c r="A511" s="89">
        <v>40646</v>
      </c>
      <c r="B511" s="90" t="s">
        <v>860</v>
      </c>
      <c r="C511" s="90" t="s">
        <v>2859</v>
      </c>
      <c r="D511" s="90" t="s">
        <v>4298</v>
      </c>
      <c r="E511" s="90" t="str">
        <f>VLOOKUP(B511&amp;C511,Divipola!$C$2:$F$1138,4,FALSE)</f>
        <v>50001</v>
      </c>
      <c r="F511" s="90"/>
      <c r="G511" s="101"/>
      <c r="H511" s="101"/>
      <c r="I511" s="101"/>
      <c r="J511" s="101">
        <v>5</v>
      </c>
      <c r="K511" s="101">
        <v>1</v>
      </c>
      <c r="L511" s="101"/>
      <c r="M511" s="101">
        <v>1</v>
      </c>
      <c r="N511" s="101"/>
      <c r="O511" s="101"/>
      <c r="P511" s="101"/>
      <c r="Q511" s="101"/>
      <c r="R511" s="101"/>
      <c r="S511" s="101"/>
      <c r="T511" s="101"/>
      <c r="U511" s="101"/>
      <c r="V511" s="101"/>
      <c r="W511" s="91"/>
      <c r="X511" s="89"/>
      <c r="Y511" s="92">
        <f t="shared" si="42"/>
        <v>0</v>
      </c>
      <c r="Z511" s="92">
        <f t="shared" si="43"/>
        <v>0</v>
      </c>
      <c r="AA511" s="92">
        <f t="shared" si="44"/>
        <v>0</v>
      </c>
      <c r="AB511" s="92">
        <f t="shared" si="45"/>
        <v>0</v>
      </c>
      <c r="AC511" s="92"/>
      <c r="AD511" s="92">
        <v>0</v>
      </c>
      <c r="AE511" s="92">
        <f t="shared" si="46"/>
        <v>0</v>
      </c>
      <c r="AF511" s="93">
        <v>0</v>
      </c>
      <c r="AG511" s="89">
        <v>40647</v>
      </c>
      <c r="AH511" s="94"/>
      <c r="AI511" s="95" t="s">
        <v>4346</v>
      </c>
      <c r="AJ511" s="96" t="s">
        <v>4347</v>
      </c>
      <c r="AK511" s="97"/>
      <c r="AL511" s="89" t="s">
        <v>2798</v>
      </c>
      <c r="AM511" s="100" t="s">
        <v>264</v>
      </c>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114"/>
      <c r="CQ511" s="115"/>
      <c r="CR511" s="114"/>
      <c r="CS511" s="115"/>
      <c r="CT511" s="114"/>
      <c r="CU511" s="115"/>
      <c r="CV511" s="99">
        <f t="shared" si="47"/>
        <v>0</v>
      </c>
      <c r="CW511" s="114"/>
      <c r="CX511" s="115"/>
      <c r="CY511" s="114"/>
      <c r="CZ511" s="115"/>
      <c r="DA511" s="115"/>
      <c r="DB511" s="115"/>
      <c r="DC511" s="114"/>
      <c r="DD511" s="115"/>
      <c r="DE511" s="97"/>
      <c r="DF511" s="269"/>
    </row>
    <row r="512" spans="1:110" s="270" customFormat="1" ht="24" x14ac:dyDescent="0.2">
      <c r="A512" s="89">
        <v>40646</v>
      </c>
      <c r="B512" s="90" t="s">
        <v>4387</v>
      </c>
      <c r="C512" s="90" t="s">
        <v>3329</v>
      </c>
      <c r="D512" s="90" t="s">
        <v>2860</v>
      </c>
      <c r="E512" s="90" t="str">
        <f>VLOOKUP(B512&amp;C512,Divipola!$C$2:$F$1138,4,FALSE)</f>
        <v>52788</v>
      </c>
      <c r="F512" s="90"/>
      <c r="G512" s="101"/>
      <c r="H512" s="101"/>
      <c r="I512" s="101"/>
      <c r="J512" s="101">
        <v>64</v>
      </c>
      <c r="K512" s="101">
        <v>18</v>
      </c>
      <c r="L512" s="101">
        <v>2</v>
      </c>
      <c r="M512" s="101">
        <v>15</v>
      </c>
      <c r="N512" s="101"/>
      <c r="O512" s="101"/>
      <c r="P512" s="101"/>
      <c r="Q512" s="101"/>
      <c r="R512" s="101"/>
      <c r="S512" s="101"/>
      <c r="T512" s="101"/>
      <c r="U512" s="101"/>
      <c r="V512" s="101"/>
      <c r="W512" s="91"/>
      <c r="X512" s="89"/>
      <c r="Y512" s="92">
        <f t="shared" si="42"/>
        <v>0</v>
      </c>
      <c r="Z512" s="92">
        <f t="shared" si="43"/>
        <v>0</v>
      </c>
      <c r="AA512" s="92">
        <f t="shared" si="44"/>
        <v>0</v>
      </c>
      <c r="AB512" s="92">
        <f t="shared" si="45"/>
        <v>0</v>
      </c>
      <c r="AC512" s="92"/>
      <c r="AD512" s="92">
        <v>0</v>
      </c>
      <c r="AE512" s="92">
        <f t="shared" si="46"/>
        <v>0</v>
      </c>
      <c r="AF512" s="93">
        <v>0</v>
      </c>
      <c r="AG512" s="89"/>
      <c r="AH512" s="94"/>
      <c r="AI512" s="95" t="s">
        <v>4336</v>
      </c>
      <c r="AJ512" s="96" t="s">
        <v>4337</v>
      </c>
      <c r="AK512" s="97"/>
      <c r="AL512" s="89"/>
      <c r="AM512" s="100" t="s">
        <v>272</v>
      </c>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114"/>
      <c r="CQ512" s="115"/>
      <c r="CR512" s="114"/>
      <c r="CS512" s="115"/>
      <c r="CT512" s="114"/>
      <c r="CU512" s="115"/>
      <c r="CV512" s="99">
        <f t="shared" si="47"/>
        <v>0</v>
      </c>
      <c r="CW512" s="114"/>
      <c r="CX512" s="115"/>
      <c r="CY512" s="114"/>
      <c r="CZ512" s="115"/>
      <c r="DA512" s="115"/>
      <c r="DB512" s="115"/>
      <c r="DC512" s="114"/>
      <c r="DD512" s="115"/>
      <c r="DE512" s="97"/>
      <c r="DF512" s="269"/>
    </row>
    <row r="513" spans="1:110" s="270" customFormat="1" ht="48" x14ac:dyDescent="0.2">
      <c r="A513" s="89">
        <v>40646</v>
      </c>
      <c r="B513" s="90" t="s">
        <v>4387</v>
      </c>
      <c r="C513" s="90" t="s">
        <v>4205</v>
      </c>
      <c r="D513" s="90" t="s">
        <v>2362</v>
      </c>
      <c r="E513" s="90" t="str">
        <f>VLOOKUP(B513&amp;C513,Divipola!$C$2:$F$1138,4,FALSE)</f>
        <v>52885</v>
      </c>
      <c r="F513" s="90"/>
      <c r="G513" s="101"/>
      <c r="H513" s="101"/>
      <c r="I513" s="101"/>
      <c r="J513" s="101">
        <v>57</v>
      </c>
      <c r="K513" s="101">
        <v>11</v>
      </c>
      <c r="L513" s="101"/>
      <c r="M513" s="101">
        <v>11</v>
      </c>
      <c r="N513" s="101">
        <v>1</v>
      </c>
      <c r="O513" s="101"/>
      <c r="P513" s="101"/>
      <c r="Q513" s="101"/>
      <c r="R513" s="101"/>
      <c r="S513" s="101"/>
      <c r="T513" s="101"/>
      <c r="U513" s="101"/>
      <c r="V513" s="101"/>
      <c r="W513" s="91"/>
      <c r="X513" s="89"/>
      <c r="Y513" s="92">
        <f t="shared" si="42"/>
        <v>0</v>
      </c>
      <c r="Z513" s="92">
        <f t="shared" si="43"/>
        <v>0</v>
      </c>
      <c r="AA513" s="92">
        <f t="shared" si="44"/>
        <v>0</v>
      </c>
      <c r="AB513" s="92">
        <f t="shared" si="45"/>
        <v>0</v>
      </c>
      <c r="AC513" s="92"/>
      <c r="AD513" s="92">
        <v>0</v>
      </c>
      <c r="AE513" s="92">
        <f t="shared" si="46"/>
        <v>0</v>
      </c>
      <c r="AF513" s="93">
        <v>0</v>
      </c>
      <c r="AG513" s="89"/>
      <c r="AH513" s="94"/>
      <c r="AI513" s="95" t="s">
        <v>4336</v>
      </c>
      <c r="AJ513" s="96" t="s">
        <v>4337</v>
      </c>
      <c r="AK513" s="97"/>
      <c r="AL513" s="89"/>
      <c r="AM513" s="100" t="s">
        <v>273</v>
      </c>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114"/>
      <c r="CQ513" s="115"/>
      <c r="CR513" s="114"/>
      <c r="CS513" s="115"/>
      <c r="CT513" s="114"/>
      <c r="CU513" s="115"/>
      <c r="CV513" s="99">
        <f t="shared" si="47"/>
        <v>0</v>
      </c>
      <c r="CW513" s="114"/>
      <c r="CX513" s="115"/>
      <c r="CY513" s="114"/>
      <c r="CZ513" s="115"/>
      <c r="DA513" s="115"/>
      <c r="DB513" s="115"/>
      <c r="DC513" s="114"/>
      <c r="DD513" s="115"/>
      <c r="DE513" s="97"/>
      <c r="DF513" s="269"/>
    </row>
    <row r="514" spans="1:110" s="270" customFormat="1" ht="24" x14ac:dyDescent="0.2">
      <c r="A514" s="89">
        <v>40646</v>
      </c>
      <c r="B514" s="90" t="s">
        <v>4221</v>
      </c>
      <c r="C514" s="90" t="s">
        <v>4299</v>
      </c>
      <c r="D514" s="90" t="s">
        <v>2362</v>
      </c>
      <c r="E514" s="90" t="str">
        <f>VLOOKUP(B514&amp;C514,Divipola!$C$2:$F$1138,4,FALSE)</f>
        <v>54001</v>
      </c>
      <c r="F514" s="90"/>
      <c r="G514" s="101"/>
      <c r="H514" s="101"/>
      <c r="I514" s="101"/>
      <c r="J514" s="101">
        <f>1224*5</f>
        <v>6120</v>
      </c>
      <c r="K514" s="101">
        <v>1224</v>
      </c>
      <c r="L514" s="101"/>
      <c r="M514" s="101"/>
      <c r="N514" s="101">
        <v>1</v>
      </c>
      <c r="O514" s="101"/>
      <c r="P514" s="101"/>
      <c r="Q514" s="101"/>
      <c r="R514" s="101"/>
      <c r="S514" s="101"/>
      <c r="T514" s="101"/>
      <c r="U514" s="101"/>
      <c r="V514" s="101"/>
      <c r="W514" s="91"/>
      <c r="X514" s="89"/>
      <c r="Y514" s="92">
        <f t="shared" si="42"/>
        <v>0</v>
      </c>
      <c r="Z514" s="92">
        <f t="shared" si="43"/>
        <v>0</v>
      </c>
      <c r="AA514" s="92">
        <f t="shared" si="44"/>
        <v>0</v>
      </c>
      <c r="AB514" s="92">
        <f t="shared" si="45"/>
        <v>0</v>
      </c>
      <c r="AC514" s="92"/>
      <c r="AD514" s="92">
        <v>0</v>
      </c>
      <c r="AE514" s="92">
        <f t="shared" si="46"/>
        <v>0</v>
      </c>
      <c r="AF514" s="93">
        <v>0</v>
      </c>
      <c r="AG514" s="89">
        <v>40647</v>
      </c>
      <c r="AH514" s="94"/>
      <c r="AI514" s="95" t="s">
        <v>4346</v>
      </c>
      <c r="AJ514" s="96" t="s">
        <v>4347</v>
      </c>
      <c r="AK514" s="97"/>
      <c r="AL514" s="89" t="s">
        <v>1049</v>
      </c>
      <c r="AM514" s="100" t="s">
        <v>2066</v>
      </c>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114"/>
      <c r="CQ514" s="115"/>
      <c r="CR514" s="114"/>
      <c r="CS514" s="115"/>
      <c r="CT514" s="114"/>
      <c r="CU514" s="115"/>
      <c r="CV514" s="99">
        <f t="shared" si="47"/>
        <v>0</v>
      </c>
      <c r="CW514" s="114"/>
      <c r="CX514" s="115"/>
      <c r="CY514" s="114"/>
      <c r="CZ514" s="115"/>
      <c r="DA514" s="115"/>
      <c r="DB514" s="115"/>
      <c r="DC514" s="114"/>
      <c r="DD514" s="115"/>
      <c r="DE514" s="97"/>
      <c r="DF514" s="269"/>
    </row>
    <row r="515" spans="1:110" s="270" customFormat="1" ht="24" x14ac:dyDescent="0.2">
      <c r="A515" s="89">
        <v>40646</v>
      </c>
      <c r="B515" s="90" t="s">
        <v>4350</v>
      </c>
      <c r="C515" s="90" t="s">
        <v>4252</v>
      </c>
      <c r="D515" s="90" t="s">
        <v>4264</v>
      </c>
      <c r="E515" s="90" t="str">
        <f>VLOOKUP(B515&amp;C515,Divipola!$C$2:$F$1138,4,FALSE)</f>
        <v>63690</v>
      </c>
      <c r="F515" s="90"/>
      <c r="G515" s="101">
        <v>1</v>
      </c>
      <c r="H515" s="101"/>
      <c r="I515" s="101"/>
      <c r="J515" s="101"/>
      <c r="K515" s="101"/>
      <c r="L515" s="101"/>
      <c r="M515" s="101"/>
      <c r="N515" s="101"/>
      <c r="O515" s="101"/>
      <c r="P515" s="101"/>
      <c r="Q515" s="101"/>
      <c r="R515" s="101"/>
      <c r="S515" s="101"/>
      <c r="T515" s="101"/>
      <c r="U515" s="101"/>
      <c r="V515" s="101"/>
      <c r="W515" s="91"/>
      <c r="X515" s="89"/>
      <c r="Y515" s="92">
        <f t="shared" ref="Y515:Y578" si="48">CV515</f>
        <v>0</v>
      </c>
      <c r="Z515" s="92">
        <f t="shared" ref="Z515:Z578" si="49">CZ515</f>
        <v>0</v>
      </c>
      <c r="AA515" s="92">
        <f t="shared" ref="AA515:AA578" si="50">DB515+DD515</f>
        <v>0</v>
      </c>
      <c r="AB515" s="92">
        <f t="shared" ref="AB515:AB578" si="51">CX515</f>
        <v>0</v>
      </c>
      <c r="AC515" s="92"/>
      <c r="AD515" s="92">
        <v>0</v>
      </c>
      <c r="AE515" s="92">
        <f t="shared" ref="AE515:AE578" si="52">Y515+Z515+AA515+AB515+AC515+AD515</f>
        <v>0</v>
      </c>
      <c r="AF515" s="93">
        <v>0</v>
      </c>
      <c r="AG515" s="89"/>
      <c r="AH515" s="94"/>
      <c r="AI515" s="95" t="s">
        <v>4336</v>
      </c>
      <c r="AJ515" s="96" t="s">
        <v>4337</v>
      </c>
      <c r="AK515" s="97"/>
      <c r="AL515" s="89"/>
      <c r="AM515" s="100" t="s">
        <v>3562</v>
      </c>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114"/>
      <c r="CQ515" s="115"/>
      <c r="CR515" s="114"/>
      <c r="CS515" s="115"/>
      <c r="CT515" s="114"/>
      <c r="CU515" s="115"/>
      <c r="CV515" s="99">
        <f t="shared" ref="CV515:CV578" si="53">AO515+AQ515+AS515+AU515+AW515+AY515+BA515+BC515+BE515+BG515+BI515+BK515+BM515+BO515+BQ515+BS515+BU515+BW515+BY515+CA515+CC515+CE515+CG515+CI515+CK515+CM515+CO515+CQ515+CS515+CU515</f>
        <v>0</v>
      </c>
      <c r="CW515" s="114"/>
      <c r="CX515" s="115"/>
      <c r="CY515" s="114"/>
      <c r="CZ515" s="115"/>
      <c r="DA515" s="115"/>
      <c r="DB515" s="115"/>
      <c r="DC515" s="114"/>
      <c r="DD515" s="115"/>
      <c r="DE515" s="97"/>
      <c r="DF515" s="269"/>
    </row>
    <row r="516" spans="1:110" s="270" customFormat="1" x14ac:dyDescent="0.2">
      <c r="A516" s="89">
        <v>40646</v>
      </c>
      <c r="B516" s="90" t="s">
        <v>4348</v>
      </c>
      <c r="C516" s="90" t="s">
        <v>4313</v>
      </c>
      <c r="D516" s="90" t="s">
        <v>2362</v>
      </c>
      <c r="E516" s="90" t="str">
        <f>VLOOKUP(B516&amp;C516,Divipola!$C$2:$F$1138,4,FALSE)</f>
        <v>66318</v>
      </c>
      <c r="F516" s="101"/>
      <c r="G516" s="101"/>
      <c r="H516" s="101"/>
      <c r="I516" s="101"/>
      <c r="J516" s="101">
        <v>5</v>
      </c>
      <c r="K516" s="101">
        <v>1</v>
      </c>
      <c r="L516" s="101">
        <v>1</v>
      </c>
      <c r="M516" s="101"/>
      <c r="N516" s="101"/>
      <c r="O516" s="101"/>
      <c r="P516" s="101"/>
      <c r="Q516" s="101"/>
      <c r="R516" s="101"/>
      <c r="S516" s="101"/>
      <c r="T516" s="101"/>
      <c r="U516" s="91"/>
      <c r="V516" s="89"/>
      <c r="W516" s="92"/>
      <c r="X516" s="92"/>
      <c r="Y516" s="92">
        <f t="shared" si="48"/>
        <v>0</v>
      </c>
      <c r="Z516" s="92">
        <f t="shared" si="49"/>
        <v>0</v>
      </c>
      <c r="AA516" s="92">
        <f t="shared" si="50"/>
        <v>0</v>
      </c>
      <c r="AB516" s="92">
        <f t="shared" si="51"/>
        <v>0</v>
      </c>
      <c r="AC516" s="92"/>
      <c r="AD516" s="92">
        <v>0</v>
      </c>
      <c r="AE516" s="92">
        <f t="shared" si="52"/>
        <v>0</v>
      </c>
      <c r="AF516" s="93">
        <v>0</v>
      </c>
      <c r="AG516" s="89"/>
      <c r="AH516" s="96"/>
      <c r="AI516" s="102" t="s">
        <v>4336</v>
      </c>
      <c r="AJ516" s="96" t="s">
        <v>4337</v>
      </c>
      <c r="AK516" s="100"/>
      <c r="AL516" s="89"/>
      <c r="AM516" s="90" t="s">
        <v>885</v>
      </c>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114"/>
      <c r="CQ516" s="115"/>
      <c r="CR516" s="114"/>
      <c r="CS516" s="115"/>
      <c r="CT516" s="114"/>
      <c r="CU516" s="115"/>
      <c r="CV516" s="99">
        <f t="shared" si="53"/>
        <v>0</v>
      </c>
      <c r="CW516" s="114"/>
      <c r="CX516" s="115"/>
      <c r="CY516" s="114"/>
      <c r="CZ516" s="115"/>
      <c r="DA516" s="115"/>
      <c r="DB516" s="115"/>
      <c r="DC516" s="114"/>
      <c r="DD516" s="115"/>
      <c r="DE516" s="97"/>
      <c r="DF516" s="269"/>
    </row>
    <row r="517" spans="1:110" s="270" customFormat="1" ht="33.75" x14ac:dyDescent="0.2">
      <c r="A517" s="89">
        <v>40646</v>
      </c>
      <c r="B517" s="90" t="s">
        <v>4348</v>
      </c>
      <c r="C517" s="90" t="s">
        <v>3303</v>
      </c>
      <c r="D517" s="90" t="s">
        <v>2362</v>
      </c>
      <c r="E517" s="90" t="str">
        <f>VLOOKUP(B517&amp;C517,Divipola!$C$2:$F$1138,4,FALSE)</f>
        <v>66456</v>
      </c>
      <c r="F517" s="101"/>
      <c r="G517" s="101"/>
      <c r="H517" s="101"/>
      <c r="I517" s="101"/>
      <c r="J517" s="101">
        <v>40</v>
      </c>
      <c r="K517" s="101">
        <v>8</v>
      </c>
      <c r="L517" s="101"/>
      <c r="M517" s="101">
        <v>8</v>
      </c>
      <c r="N517" s="101">
        <v>4</v>
      </c>
      <c r="O517" s="101"/>
      <c r="P517" s="101"/>
      <c r="Q517" s="101"/>
      <c r="R517" s="101"/>
      <c r="S517" s="101"/>
      <c r="T517" s="101"/>
      <c r="U517" s="91"/>
      <c r="V517" s="89"/>
      <c r="W517" s="92"/>
      <c r="X517" s="92"/>
      <c r="Y517" s="92">
        <f t="shared" si="48"/>
        <v>0</v>
      </c>
      <c r="Z517" s="92">
        <f t="shared" si="49"/>
        <v>0</v>
      </c>
      <c r="AA517" s="92">
        <f t="shared" si="50"/>
        <v>0</v>
      </c>
      <c r="AB517" s="92">
        <f t="shared" si="51"/>
        <v>0</v>
      </c>
      <c r="AC517" s="92"/>
      <c r="AD517" s="92">
        <v>0</v>
      </c>
      <c r="AE517" s="92">
        <f t="shared" si="52"/>
        <v>0</v>
      </c>
      <c r="AF517" s="93">
        <v>0</v>
      </c>
      <c r="AG517" s="89"/>
      <c r="AH517" s="96"/>
      <c r="AI517" s="102" t="s">
        <v>4336</v>
      </c>
      <c r="AJ517" s="96" t="s">
        <v>4337</v>
      </c>
      <c r="AK517" s="100"/>
      <c r="AL517" s="89"/>
      <c r="AM517" s="90" t="s">
        <v>891</v>
      </c>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114"/>
      <c r="CQ517" s="115"/>
      <c r="CR517" s="114"/>
      <c r="CS517" s="115"/>
      <c r="CT517" s="114"/>
      <c r="CU517" s="115"/>
      <c r="CV517" s="99">
        <f t="shared" si="53"/>
        <v>0</v>
      </c>
      <c r="CW517" s="114"/>
      <c r="CX517" s="115"/>
      <c r="CY517" s="114"/>
      <c r="CZ517" s="115"/>
      <c r="DA517" s="115"/>
      <c r="DB517" s="115"/>
      <c r="DC517" s="114"/>
      <c r="DD517" s="115"/>
      <c r="DE517" s="97"/>
      <c r="DF517" s="269"/>
    </row>
    <row r="518" spans="1:110" s="270" customFormat="1" ht="24" x14ac:dyDescent="0.2">
      <c r="A518" s="89">
        <v>40646</v>
      </c>
      <c r="B518" s="90" t="s">
        <v>2226</v>
      </c>
      <c r="C518" s="90" t="s">
        <v>4524</v>
      </c>
      <c r="D518" s="90" t="s">
        <v>4264</v>
      </c>
      <c r="E518" s="90" t="str">
        <f>VLOOKUP(B518&amp;C518,Divipola!$C$2:$F$1138,4,FALSE)</f>
        <v>68162</v>
      </c>
      <c r="F518" s="90"/>
      <c r="G518" s="101"/>
      <c r="H518" s="101"/>
      <c r="I518" s="101"/>
      <c r="J518" s="101">
        <v>335</v>
      </c>
      <c r="K518" s="101">
        <v>67</v>
      </c>
      <c r="L518" s="101"/>
      <c r="M518" s="101">
        <v>67</v>
      </c>
      <c r="N518" s="101"/>
      <c r="O518" s="101"/>
      <c r="P518" s="101"/>
      <c r="Q518" s="101"/>
      <c r="R518" s="101"/>
      <c r="S518" s="101"/>
      <c r="T518" s="101">
        <v>1</v>
      </c>
      <c r="U518" s="101"/>
      <c r="V518" s="101"/>
      <c r="W518" s="91"/>
      <c r="X518" s="89"/>
      <c r="Y518" s="92">
        <f t="shared" si="48"/>
        <v>0</v>
      </c>
      <c r="Z518" s="92">
        <f t="shared" si="49"/>
        <v>0</v>
      </c>
      <c r="AA518" s="92">
        <f t="shared" si="50"/>
        <v>0</v>
      </c>
      <c r="AB518" s="92">
        <f t="shared" si="51"/>
        <v>0</v>
      </c>
      <c r="AC518" s="92"/>
      <c r="AD518" s="92">
        <v>0</v>
      </c>
      <c r="AE518" s="92">
        <f t="shared" si="52"/>
        <v>0</v>
      </c>
      <c r="AF518" s="93">
        <v>0</v>
      </c>
      <c r="AG518" s="89">
        <v>40647</v>
      </c>
      <c r="AH518" s="94"/>
      <c r="AI518" s="95" t="s">
        <v>4346</v>
      </c>
      <c r="AJ518" s="96" t="s">
        <v>4347</v>
      </c>
      <c r="AK518" s="97"/>
      <c r="AL518" s="89" t="s">
        <v>1049</v>
      </c>
      <c r="AM518" s="100" t="s">
        <v>1938</v>
      </c>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114"/>
      <c r="CQ518" s="115"/>
      <c r="CR518" s="114"/>
      <c r="CS518" s="115"/>
      <c r="CT518" s="114"/>
      <c r="CU518" s="115"/>
      <c r="CV518" s="99">
        <f t="shared" si="53"/>
        <v>0</v>
      </c>
      <c r="CW518" s="114"/>
      <c r="CX518" s="115"/>
      <c r="CY518" s="114"/>
      <c r="CZ518" s="115"/>
      <c r="DA518" s="115"/>
      <c r="DB518" s="115"/>
      <c r="DC518" s="114"/>
      <c r="DD518" s="115"/>
      <c r="DE518" s="97"/>
      <c r="DF518" s="269">
        <v>1714</v>
      </c>
    </row>
    <row r="519" spans="1:110" s="270" customFormat="1" ht="22.5" x14ac:dyDescent="0.2">
      <c r="A519" s="89">
        <v>40646</v>
      </c>
      <c r="B519" s="90" t="s">
        <v>2226</v>
      </c>
      <c r="C519" s="90" t="s">
        <v>4370</v>
      </c>
      <c r="D519" s="90" t="s">
        <v>2362</v>
      </c>
      <c r="E519" s="90" t="str">
        <f>VLOOKUP(B519&amp;C519,Divipola!$C$2:$F$1138,4,FALSE)</f>
        <v>68169</v>
      </c>
      <c r="F519" s="90"/>
      <c r="G519" s="101">
        <v>1</v>
      </c>
      <c r="H519" s="101"/>
      <c r="I519" s="101"/>
      <c r="J519" s="101"/>
      <c r="K519" s="101"/>
      <c r="L519" s="101"/>
      <c r="M519" s="101"/>
      <c r="N519" s="101">
        <v>1</v>
      </c>
      <c r="O519" s="101"/>
      <c r="P519" s="101"/>
      <c r="Q519" s="101"/>
      <c r="R519" s="101"/>
      <c r="S519" s="101"/>
      <c r="T519" s="101"/>
      <c r="U519" s="101"/>
      <c r="V519" s="101"/>
      <c r="W519" s="91"/>
      <c r="X519" s="89"/>
      <c r="Y519" s="92">
        <f t="shared" si="48"/>
        <v>0</v>
      </c>
      <c r="Z519" s="92">
        <f t="shared" si="49"/>
        <v>0</v>
      </c>
      <c r="AA519" s="92">
        <f t="shared" si="50"/>
        <v>0</v>
      </c>
      <c r="AB519" s="92">
        <f t="shared" si="51"/>
        <v>0</v>
      </c>
      <c r="AC519" s="92"/>
      <c r="AD519" s="92">
        <v>0</v>
      </c>
      <c r="AE519" s="92">
        <f t="shared" si="52"/>
        <v>0</v>
      </c>
      <c r="AF519" s="93">
        <v>0</v>
      </c>
      <c r="AG519" s="89">
        <v>40647</v>
      </c>
      <c r="AH519" s="94"/>
      <c r="AI519" s="95" t="s">
        <v>4346</v>
      </c>
      <c r="AJ519" s="96" t="s">
        <v>4347</v>
      </c>
      <c r="AK519" s="97"/>
      <c r="AL519" s="89" t="s">
        <v>1049</v>
      </c>
      <c r="AM519" s="100" t="s">
        <v>2076</v>
      </c>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114"/>
      <c r="CQ519" s="115"/>
      <c r="CR519" s="114"/>
      <c r="CS519" s="115"/>
      <c r="CT519" s="114"/>
      <c r="CU519" s="115"/>
      <c r="CV519" s="99">
        <f t="shared" si="53"/>
        <v>0</v>
      </c>
      <c r="CW519" s="114"/>
      <c r="CX519" s="115"/>
      <c r="CY519" s="114"/>
      <c r="CZ519" s="115"/>
      <c r="DA519" s="115"/>
      <c r="DB519" s="115"/>
      <c r="DC519" s="114"/>
      <c r="DD519" s="115"/>
      <c r="DE519" s="97"/>
      <c r="DF519" s="269"/>
    </row>
    <row r="520" spans="1:110" s="270" customFormat="1" x14ac:dyDescent="0.2">
      <c r="A520" s="89">
        <v>40646</v>
      </c>
      <c r="B520" s="90" t="s">
        <v>2226</v>
      </c>
      <c r="C520" s="90" t="s">
        <v>4345</v>
      </c>
      <c r="D520" s="90" t="s">
        <v>4264</v>
      </c>
      <c r="E520" s="90">
        <f>VLOOKUP(B520&amp;C520,Divipola!$C$2:$F$1138,4,FALSE)</f>
        <v>68</v>
      </c>
      <c r="F520" s="90"/>
      <c r="G520" s="101"/>
      <c r="H520" s="101"/>
      <c r="I520" s="101"/>
      <c r="J520" s="101"/>
      <c r="K520" s="101"/>
      <c r="L520" s="101"/>
      <c r="M520" s="101"/>
      <c r="N520" s="101"/>
      <c r="O520" s="101"/>
      <c r="P520" s="101"/>
      <c r="Q520" s="101"/>
      <c r="R520" s="101"/>
      <c r="S520" s="101"/>
      <c r="T520" s="101"/>
      <c r="U520" s="101"/>
      <c r="V520" s="101"/>
      <c r="W520" s="91"/>
      <c r="X520" s="89"/>
      <c r="Y520" s="92">
        <f t="shared" si="48"/>
        <v>0</v>
      </c>
      <c r="Z520" s="92">
        <f t="shared" si="49"/>
        <v>0</v>
      </c>
      <c r="AA520" s="92">
        <f t="shared" si="50"/>
        <v>0</v>
      </c>
      <c r="AB520" s="92">
        <f t="shared" si="51"/>
        <v>45008000</v>
      </c>
      <c r="AC520" s="92"/>
      <c r="AD520" s="92">
        <v>0</v>
      </c>
      <c r="AE520" s="92">
        <f t="shared" si="52"/>
        <v>45008000</v>
      </c>
      <c r="AF520" s="93">
        <v>0</v>
      </c>
      <c r="AG520" s="89"/>
      <c r="AH520" s="94"/>
      <c r="AI520" s="95" t="s">
        <v>4346</v>
      </c>
      <c r="AJ520" s="96" t="s">
        <v>4347</v>
      </c>
      <c r="AK520" s="97"/>
      <c r="AL520" s="89"/>
      <c r="AM520" s="100"/>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114"/>
      <c r="CQ520" s="115"/>
      <c r="CR520" s="114"/>
      <c r="CS520" s="115"/>
      <c r="CT520" s="114"/>
      <c r="CU520" s="115"/>
      <c r="CV520" s="99">
        <f t="shared" si="53"/>
        <v>0</v>
      </c>
      <c r="CW520" s="114">
        <v>50000</v>
      </c>
      <c r="CX520" s="115">
        <f>50000*900.16</f>
        <v>45008000</v>
      </c>
      <c r="CY520" s="114"/>
      <c r="CZ520" s="115"/>
      <c r="DA520" s="115"/>
      <c r="DB520" s="115"/>
      <c r="DC520" s="114"/>
      <c r="DD520" s="115"/>
      <c r="DE520" s="97"/>
      <c r="DF520" s="269"/>
    </row>
    <row r="521" spans="1:110" s="270" customFormat="1" ht="22.5" x14ac:dyDescent="0.2">
      <c r="A521" s="89">
        <v>40646</v>
      </c>
      <c r="B521" s="90" t="s">
        <v>2226</v>
      </c>
      <c r="C521" s="90" t="s">
        <v>657</v>
      </c>
      <c r="D521" s="90" t="s">
        <v>2362</v>
      </c>
      <c r="E521" s="90" t="str">
        <f>VLOOKUP(B521&amp;C521,Divipola!$C$2:$F$1138,4,FALSE)</f>
        <v>68235</v>
      </c>
      <c r="F521" s="90"/>
      <c r="G521" s="101">
        <v>1</v>
      </c>
      <c r="H521" s="101"/>
      <c r="I521" s="101"/>
      <c r="J521" s="101">
        <v>5</v>
      </c>
      <c r="K521" s="101">
        <v>1</v>
      </c>
      <c r="L521" s="101">
        <v>1</v>
      </c>
      <c r="M521" s="101"/>
      <c r="N521" s="101"/>
      <c r="O521" s="101"/>
      <c r="P521" s="101"/>
      <c r="Q521" s="101"/>
      <c r="R521" s="101"/>
      <c r="S521" s="101"/>
      <c r="T521" s="101"/>
      <c r="U521" s="101"/>
      <c r="V521" s="101"/>
      <c r="W521" s="91"/>
      <c r="X521" s="89"/>
      <c r="Y521" s="92">
        <f t="shared" si="48"/>
        <v>0</v>
      </c>
      <c r="Z521" s="92">
        <f t="shared" si="49"/>
        <v>0</v>
      </c>
      <c r="AA521" s="92">
        <f t="shared" si="50"/>
        <v>0</v>
      </c>
      <c r="AB521" s="92">
        <f t="shared" si="51"/>
        <v>0</v>
      </c>
      <c r="AC521" s="92"/>
      <c r="AD521" s="92">
        <v>0</v>
      </c>
      <c r="AE521" s="92">
        <f t="shared" si="52"/>
        <v>0</v>
      </c>
      <c r="AF521" s="93">
        <v>0</v>
      </c>
      <c r="AG521" s="89">
        <v>40647</v>
      </c>
      <c r="AH521" s="94"/>
      <c r="AI521" s="95" t="s">
        <v>4346</v>
      </c>
      <c r="AJ521" s="96" t="s">
        <v>4347</v>
      </c>
      <c r="AK521" s="97"/>
      <c r="AL521" s="89" t="s">
        <v>1049</v>
      </c>
      <c r="AM521" s="100" t="s">
        <v>1937</v>
      </c>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114"/>
      <c r="CQ521" s="115"/>
      <c r="CR521" s="114"/>
      <c r="CS521" s="115"/>
      <c r="CT521" s="114"/>
      <c r="CU521" s="115"/>
      <c r="CV521" s="99">
        <f t="shared" si="53"/>
        <v>0</v>
      </c>
      <c r="CW521" s="114"/>
      <c r="CX521" s="115"/>
      <c r="CY521" s="114"/>
      <c r="CZ521" s="115"/>
      <c r="DA521" s="115"/>
      <c r="DB521" s="115"/>
      <c r="DC521" s="114"/>
      <c r="DD521" s="115"/>
      <c r="DE521" s="97"/>
      <c r="DF521" s="269"/>
    </row>
    <row r="522" spans="1:110" s="270" customFormat="1" ht="24" x14ac:dyDescent="0.2">
      <c r="A522" s="89">
        <v>40646</v>
      </c>
      <c r="B522" s="90" t="s">
        <v>2226</v>
      </c>
      <c r="C522" s="90" t="s">
        <v>4526</v>
      </c>
      <c r="D522" s="90" t="s">
        <v>4264</v>
      </c>
      <c r="E522" s="90" t="str">
        <f>VLOOKUP(B522&amp;C522,Divipola!$C$2:$F$1138,4,FALSE)</f>
        <v>68385</v>
      </c>
      <c r="F522" s="90"/>
      <c r="G522" s="101"/>
      <c r="H522" s="101"/>
      <c r="I522" s="101"/>
      <c r="J522" s="101">
        <v>375</v>
      </c>
      <c r="K522" s="101">
        <v>75</v>
      </c>
      <c r="L522" s="101"/>
      <c r="M522" s="101">
        <v>75</v>
      </c>
      <c r="N522" s="101"/>
      <c r="O522" s="101"/>
      <c r="P522" s="101"/>
      <c r="Q522" s="101"/>
      <c r="R522" s="101"/>
      <c r="S522" s="101"/>
      <c r="T522" s="101"/>
      <c r="U522" s="101"/>
      <c r="V522" s="101"/>
      <c r="W522" s="91"/>
      <c r="X522" s="89"/>
      <c r="Y522" s="92">
        <f t="shared" si="48"/>
        <v>0</v>
      </c>
      <c r="Z522" s="92">
        <f t="shared" si="49"/>
        <v>0</v>
      </c>
      <c r="AA522" s="92">
        <f t="shared" si="50"/>
        <v>0</v>
      </c>
      <c r="AB522" s="92">
        <f t="shared" si="51"/>
        <v>0</v>
      </c>
      <c r="AC522" s="92"/>
      <c r="AD522" s="92">
        <v>0</v>
      </c>
      <c r="AE522" s="92">
        <f t="shared" si="52"/>
        <v>0</v>
      </c>
      <c r="AF522" s="93">
        <v>0</v>
      </c>
      <c r="AG522" s="89"/>
      <c r="AH522" s="94"/>
      <c r="AI522" s="95" t="s">
        <v>4346</v>
      </c>
      <c r="AJ522" s="96" t="s">
        <v>4347</v>
      </c>
      <c r="AK522" s="97"/>
      <c r="AL522" s="89" t="s">
        <v>1049</v>
      </c>
      <c r="AM522" s="100" t="s">
        <v>276</v>
      </c>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114"/>
      <c r="CQ522" s="115"/>
      <c r="CR522" s="114"/>
      <c r="CS522" s="115"/>
      <c r="CT522" s="114"/>
      <c r="CU522" s="115"/>
      <c r="CV522" s="99">
        <f t="shared" si="53"/>
        <v>0</v>
      </c>
      <c r="CW522" s="114"/>
      <c r="CX522" s="115"/>
      <c r="CY522" s="114"/>
      <c r="CZ522" s="115"/>
      <c r="DA522" s="115"/>
      <c r="DB522" s="115"/>
      <c r="DC522" s="114"/>
      <c r="DD522" s="115"/>
      <c r="DE522" s="97"/>
      <c r="DF522" s="269"/>
    </row>
    <row r="523" spans="1:110" s="270" customFormat="1" ht="36" x14ac:dyDescent="0.2">
      <c r="A523" s="89">
        <v>40646</v>
      </c>
      <c r="B523" s="90" t="s">
        <v>2226</v>
      </c>
      <c r="C523" s="90" t="s">
        <v>4254</v>
      </c>
      <c r="D523" s="90" t="s">
        <v>2362</v>
      </c>
      <c r="E523" s="90" t="str">
        <f>VLOOKUP(B523&amp;C523,Divipola!$C$2:$F$1138,4,FALSE)</f>
        <v>68705</v>
      </c>
      <c r="F523" s="90"/>
      <c r="G523" s="101"/>
      <c r="H523" s="101"/>
      <c r="I523" s="101"/>
      <c r="J523" s="101">
        <v>56</v>
      </c>
      <c r="K523" s="101">
        <v>8</v>
      </c>
      <c r="L523" s="101"/>
      <c r="M523" s="101">
        <v>8</v>
      </c>
      <c r="N523" s="101">
        <v>2</v>
      </c>
      <c r="O523" s="101"/>
      <c r="P523" s="101"/>
      <c r="Q523" s="101"/>
      <c r="R523" s="101"/>
      <c r="S523" s="101"/>
      <c r="T523" s="101"/>
      <c r="U523" s="101"/>
      <c r="V523" s="101"/>
      <c r="W523" s="91"/>
      <c r="X523" s="89"/>
      <c r="Y523" s="92">
        <f t="shared" si="48"/>
        <v>0</v>
      </c>
      <c r="Z523" s="92">
        <f t="shared" si="49"/>
        <v>0</v>
      </c>
      <c r="AA523" s="92">
        <f t="shared" si="50"/>
        <v>0</v>
      </c>
      <c r="AB523" s="92">
        <f t="shared" si="51"/>
        <v>0</v>
      </c>
      <c r="AC523" s="92"/>
      <c r="AD523" s="92">
        <v>0</v>
      </c>
      <c r="AE523" s="92">
        <f t="shared" si="52"/>
        <v>0</v>
      </c>
      <c r="AF523" s="93">
        <v>0</v>
      </c>
      <c r="AG523" s="89"/>
      <c r="AH523" s="94"/>
      <c r="AI523" s="95" t="s">
        <v>4346</v>
      </c>
      <c r="AJ523" s="96" t="s">
        <v>4347</v>
      </c>
      <c r="AK523" s="97"/>
      <c r="AL523" s="89" t="s">
        <v>1049</v>
      </c>
      <c r="AM523" s="100" t="s">
        <v>1072</v>
      </c>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114"/>
      <c r="CQ523" s="115"/>
      <c r="CR523" s="114"/>
      <c r="CS523" s="115"/>
      <c r="CT523" s="114"/>
      <c r="CU523" s="115"/>
      <c r="CV523" s="99">
        <f t="shared" si="53"/>
        <v>0</v>
      </c>
      <c r="CW523" s="114"/>
      <c r="CX523" s="115"/>
      <c r="CY523" s="114"/>
      <c r="CZ523" s="115"/>
      <c r="DA523" s="115"/>
      <c r="DB523" s="115"/>
      <c r="DC523" s="114"/>
      <c r="DD523" s="115"/>
      <c r="DE523" s="97"/>
      <c r="DF523" s="269"/>
    </row>
    <row r="524" spans="1:110" s="270" customFormat="1" ht="60" x14ac:dyDescent="0.2">
      <c r="A524" s="89">
        <v>40646</v>
      </c>
      <c r="B524" s="90" t="s">
        <v>4244</v>
      </c>
      <c r="C524" s="90" t="s">
        <v>3372</v>
      </c>
      <c r="D524" s="90" t="s">
        <v>4264</v>
      </c>
      <c r="E524" s="90" t="str">
        <f>VLOOKUP(B524&amp;C524,Divipola!$C$2:$F$1138,4,FALSE)</f>
        <v>76036</v>
      </c>
      <c r="F524" s="90"/>
      <c r="G524" s="101"/>
      <c r="H524" s="101"/>
      <c r="I524" s="101"/>
      <c r="J524" s="101" t="s">
        <v>4265</v>
      </c>
      <c r="K524" s="101">
        <v>138</v>
      </c>
      <c r="L524" s="101"/>
      <c r="M524" s="101">
        <v>138</v>
      </c>
      <c r="N524" s="101"/>
      <c r="O524" s="101"/>
      <c r="P524" s="101"/>
      <c r="Q524" s="101"/>
      <c r="R524" s="101"/>
      <c r="S524" s="101"/>
      <c r="T524" s="101"/>
      <c r="U524" s="101"/>
      <c r="V524" s="101"/>
      <c r="W524" s="91"/>
      <c r="X524" s="89"/>
      <c r="Y524" s="92">
        <f t="shared" si="48"/>
        <v>0</v>
      </c>
      <c r="Z524" s="92">
        <f t="shared" si="49"/>
        <v>0</v>
      </c>
      <c r="AA524" s="92">
        <f t="shared" si="50"/>
        <v>0</v>
      </c>
      <c r="AB524" s="92">
        <f t="shared" si="51"/>
        <v>0</v>
      </c>
      <c r="AC524" s="92"/>
      <c r="AD524" s="92">
        <v>40000000</v>
      </c>
      <c r="AE524" s="92">
        <f t="shared" si="52"/>
        <v>40000000</v>
      </c>
      <c r="AF524" s="93">
        <v>0</v>
      </c>
      <c r="AG524" s="89"/>
      <c r="AH524" s="94"/>
      <c r="AI524" s="102" t="s">
        <v>4346</v>
      </c>
      <c r="AJ524" s="96" t="s">
        <v>4347</v>
      </c>
      <c r="AK524" s="97"/>
      <c r="AL524" s="89"/>
      <c r="AM524" s="100" t="s">
        <v>2031</v>
      </c>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114"/>
      <c r="CQ524" s="115"/>
      <c r="CR524" s="114"/>
      <c r="CS524" s="115"/>
      <c r="CT524" s="114"/>
      <c r="CU524" s="115"/>
      <c r="CV524" s="99">
        <f t="shared" si="53"/>
        <v>0</v>
      </c>
      <c r="CW524" s="114"/>
      <c r="CX524" s="115"/>
      <c r="CY524" s="114"/>
      <c r="CZ524" s="115"/>
      <c r="DA524" s="115"/>
      <c r="DB524" s="115"/>
      <c r="DC524" s="114"/>
      <c r="DD524" s="115"/>
      <c r="DE524" s="97"/>
      <c r="DF524" s="269"/>
    </row>
    <row r="525" spans="1:110" s="270" customFormat="1" ht="36" x14ac:dyDescent="0.2">
      <c r="A525" s="89">
        <v>40646</v>
      </c>
      <c r="B525" s="90" t="s">
        <v>4244</v>
      </c>
      <c r="C525" s="90" t="s">
        <v>4227</v>
      </c>
      <c r="D525" s="90" t="s">
        <v>4264</v>
      </c>
      <c r="E525" s="90" t="str">
        <f>VLOOKUP(B525&amp;C525,Divipola!$C$2:$F$1138,4,FALSE)</f>
        <v>76520</v>
      </c>
      <c r="F525" s="90"/>
      <c r="G525" s="101"/>
      <c r="H525" s="101"/>
      <c r="I525" s="101"/>
      <c r="J525" s="101">
        <v>350</v>
      </c>
      <c r="K525" s="101">
        <v>70</v>
      </c>
      <c r="L525" s="101"/>
      <c r="M525" s="101">
        <v>70</v>
      </c>
      <c r="N525" s="101"/>
      <c r="O525" s="101"/>
      <c r="P525" s="101"/>
      <c r="Q525" s="101"/>
      <c r="R525" s="101"/>
      <c r="S525" s="101"/>
      <c r="T525" s="101"/>
      <c r="U525" s="101"/>
      <c r="V525" s="101"/>
      <c r="W525" s="91"/>
      <c r="X525" s="89"/>
      <c r="Y525" s="92">
        <f t="shared" si="48"/>
        <v>0</v>
      </c>
      <c r="Z525" s="92">
        <f t="shared" si="49"/>
        <v>0</v>
      </c>
      <c r="AA525" s="92">
        <f t="shared" si="50"/>
        <v>0</v>
      </c>
      <c r="AB525" s="92">
        <f t="shared" si="51"/>
        <v>0</v>
      </c>
      <c r="AC525" s="92"/>
      <c r="AD525" s="92">
        <v>0</v>
      </c>
      <c r="AE525" s="92">
        <f t="shared" si="52"/>
        <v>0</v>
      </c>
      <c r="AF525" s="93">
        <v>0</v>
      </c>
      <c r="AG525" s="89"/>
      <c r="AH525" s="94"/>
      <c r="AI525" s="95" t="s">
        <v>4336</v>
      </c>
      <c r="AJ525" s="96" t="s">
        <v>4337</v>
      </c>
      <c r="AK525" s="97"/>
      <c r="AL525" s="89"/>
      <c r="AM525" s="100" t="s">
        <v>4196</v>
      </c>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114"/>
      <c r="CQ525" s="115"/>
      <c r="CR525" s="114"/>
      <c r="CS525" s="115"/>
      <c r="CT525" s="114"/>
      <c r="CU525" s="115"/>
      <c r="CV525" s="99">
        <f t="shared" si="53"/>
        <v>0</v>
      </c>
      <c r="CW525" s="114"/>
      <c r="CX525" s="115"/>
      <c r="CY525" s="114"/>
      <c r="CZ525" s="115"/>
      <c r="DA525" s="115"/>
      <c r="DB525" s="115"/>
      <c r="DC525" s="114"/>
      <c r="DD525" s="115"/>
      <c r="DE525" s="97"/>
      <c r="DF525" s="269"/>
    </row>
    <row r="526" spans="1:110" s="270" customFormat="1" ht="36" x14ac:dyDescent="0.2">
      <c r="A526" s="89">
        <v>40646</v>
      </c>
      <c r="B526" s="90" t="s">
        <v>4244</v>
      </c>
      <c r="C526" s="90" t="s">
        <v>2239</v>
      </c>
      <c r="D526" s="90" t="s">
        <v>4264</v>
      </c>
      <c r="E526" s="90" t="str">
        <f>VLOOKUP(B526&amp;C526,Divipola!$C$2:$F$1138,4,FALSE)</f>
        <v>76890</v>
      </c>
      <c r="F526" s="90"/>
      <c r="G526" s="101"/>
      <c r="H526" s="101"/>
      <c r="I526" s="101"/>
      <c r="J526" s="101">
        <v>300</v>
      </c>
      <c r="K526" s="101">
        <v>60</v>
      </c>
      <c r="L526" s="101"/>
      <c r="M526" s="101">
        <v>60</v>
      </c>
      <c r="N526" s="101"/>
      <c r="O526" s="101"/>
      <c r="P526" s="101"/>
      <c r="Q526" s="101"/>
      <c r="R526" s="101"/>
      <c r="S526" s="101"/>
      <c r="T526" s="101"/>
      <c r="U526" s="101"/>
      <c r="V526" s="101"/>
      <c r="W526" s="91"/>
      <c r="X526" s="89"/>
      <c r="Y526" s="92">
        <f t="shared" si="48"/>
        <v>0</v>
      </c>
      <c r="Z526" s="92">
        <f t="shared" si="49"/>
        <v>0</v>
      </c>
      <c r="AA526" s="92">
        <f t="shared" si="50"/>
        <v>0</v>
      </c>
      <c r="AB526" s="92">
        <f t="shared" si="51"/>
        <v>0</v>
      </c>
      <c r="AC526" s="92"/>
      <c r="AD526" s="92">
        <v>0</v>
      </c>
      <c r="AE526" s="92">
        <f t="shared" si="52"/>
        <v>0</v>
      </c>
      <c r="AF526" s="93">
        <v>0</v>
      </c>
      <c r="AG526" s="89"/>
      <c r="AH526" s="94"/>
      <c r="AI526" s="95" t="s">
        <v>4336</v>
      </c>
      <c r="AJ526" s="96" t="s">
        <v>4337</v>
      </c>
      <c r="AK526" s="97"/>
      <c r="AL526" s="89"/>
      <c r="AM526" s="100" t="s">
        <v>4195</v>
      </c>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114"/>
      <c r="CQ526" s="115"/>
      <c r="CR526" s="114"/>
      <c r="CS526" s="115"/>
      <c r="CT526" s="114"/>
      <c r="CU526" s="115"/>
      <c r="CV526" s="99">
        <f t="shared" si="53"/>
        <v>0</v>
      </c>
      <c r="CW526" s="114"/>
      <c r="CX526" s="115"/>
      <c r="CY526" s="114"/>
      <c r="CZ526" s="115"/>
      <c r="DA526" s="115"/>
      <c r="DB526" s="115"/>
      <c r="DC526" s="114"/>
      <c r="DD526" s="115"/>
      <c r="DE526" s="97"/>
      <c r="DF526" s="269"/>
    </row>
    <row r="527" spans="1:110" s="270" customFormat="1" x14ac:dyDescent="0.2">
      <c r="A527" s="89">
        <v>40647</v>
      </c>
      <c r="B527" s="90" t="s">
        <v>2218</v>
      </c>
      <c r="C527" s="90" t="s">
        <v>4416</v>
      </c>
      <c r="D527" s="90" t="s">
        <v>2362</v>
      </c>
      <c r="E527" s="90" t="str">
        <f>VLOOKUP(B527&amp;C527,Divipola!$C$2:$F$1138,4,FALSE)</f>
        <v>05670</v>
      </c>
      <c r="F527" s="90"/>
      <c r="G527" s="101">
        <v>4</v>
      </c>
      <c r="H527" s="101"/>
      <c r="I527" s="101"/>
      <c r="J527" s="101">
        <v>5</v>
      </c>
      <c r="K527" s="101">
        <v>1</v>
      </c>
      <c r="L527" s="101">
        <v>1</v>
      </c>
      <c r="M527" s="101"/>
      <c r="N527" s="101"/>
      <c r="O527" s="101"/>
      <c r="P527" s="101"/>
      <c r="Q527" s="101"/>
      <c r="R527" s="101"/>
      <c r="S527" s="101"/>
      <c r="T527" s="101"/>
      <c r="U527" s="101"/>
      <c r="V527" s="101"/>
      <c r="W527" s="91"/>
      <c r="X527" s="89"/>
      <c r="Y527" s="92">
        <f t="shared" si="48"/>
        <v>0</v>
      </c>
      <c r="Z527" s="92">
        <f t="shared" si="49"/>
        <v>0</v>
      </c>
      <c r="AA527" s="92">
        <f t="shared" si="50"/>
        <v>0</v>
      </c>
      <c r="AB527" s="92">
        <f t="shared" si="51"/>
        <v>0</v>
      </c>
      <c r="AC527" s="92"/>
      <c r="AD527" s="92">
        <v>0</v>
      </c>
      <c r="AE527" s="92">
        <f t="shared" si="52"/>
        <v>0</v>
      </c>
      <c r="AF527" s="93">
        <v>0</v>
      </c>
      <c r="AG527" s="89">
        <v>40647</v>
      </c>
      <c r="AH527" s="94"/>
      <c r="AI527" s="102" t="s">
        <v>4336</v>
      </c>
      <c r="AJ527" s="96" t="s">
        <v>4337</v>
      </c>
      <c r="AK527" s="97"/>
      <c r="AL527" s="89"/>
      <c r="AM527" s="100" t="s">
        <v>271</v>
      </c>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114"/>
      <c r="CQ527" s="115"/>
      <c r="CR527" s="114"/>
      <c r="CS527" s="115"/>
      <c r="CT527" s="114"/>
      <c r="CU527" s="115"/>
      <c r="CV527" s="99">
        <f t="shared" si="53"/>
        <v>0</v>
      </c>
      <c r="CW527" s="114"/>
      <c r="CX527" s="115"/>
      <c r="CY527" s="114"/>
      <c r="CZ527" s="115"/>
      <c r="DA527" s="115"/>
      <c r="DB527" s="115"/>
      <c r="DC527" s="114"/>
      <c r="DD527" s="115"/>
      <c r="DE527" s="97"/>
      <c r="DF527" s="269"/>
    </row>
    <row r="528" spans="1:110" s="270" customFormat="1" x14ac:dyDescent="0.2">
      <c r="A528" s="89">
        <v>40647</v>
      </c>
      <c r="B528" s="90" t="s">
        <v>4261</v>
      </c>
      <c r="C528" s="90" t="s">
        <v>4345</v>
      </c>
      <c r="D528" s="90" t="s">
        <v>4264</v>
      </c>
      <c r="E528" s="90">
        <f>VLOOKUP(B528&amp;C528,Divipola!$C$2:$F$1138,4,FALSE)</f>
        <v>15</v>
      </c>
      <c r="F528" s="90"/>
      <c r="G528" s="101"/>
      <c r="H528" s="101"/>
      <c r="I528" s="101"/>
      <c r="J528" s="101"/>
      <c r="K528" s="101"/>
      <c r="L528" s="101"/>
      <c r="M528" s="101"/>
      <c r="N528" s="101"/>
      <c r="O528" s="101"/>
      <c r="P528" s="101"/>
      <c r="Q528" s="101"/>
      <c r="R528" s="101"/>
      <c r="S528" s="101"/>
      <c r="T528" s="101"/>
      <c r="U528" s="101"/>
      <c r="V528" s="101"/>
      <c r="W528" s="91"/>
      <c r="X528" s="89"/>
      <c r="Y528" s="92">
        <f t="shared" si="48"/>
        <v>0</v>
      </c>
      <c r="Z528" s="92">
        <f t="shared" si="49"/>
        <v>0</v>
      </c>
      <c r="AA528" s="92">
        <f t="shared" si="50"/>
        <v>0</v>
      </c>
      <c r="AB528" s="92">
        <f t="shared" si="51"/>
        <v>27318000</v>
      </c>
      <c r="AC528" s="92"/>
      <c r="AD528" s="92">
        <v>0</v>
      </c>
      <c r="AE528" s="92">
        <f t="shared" si="52"/>
        <v>27318000</v>
      </c>
      <c r="AF528" s="93">
        <v>0</v>
      </c>
      <c r="AG528" s="89"/>
      <c r="AH528" s="94"/>
      <c r="AI528" s="95" t="s">
        <v>4346</v>
      </c>
      <c r="AJ528" s="96" t="s">
        <v>4347</v>
      </c>
      <c r="AK528" s="97"/>
      <c r="AL528" s="89"/>
      <c r="AM528" s="100"/>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114"/>
      <c r="CQ528" s="115"/>
      <c r="CR528" s="114"/>
      <c r="CS528" s="115"/>
      <c r="CT528" s="114"/>
      <c r="CU528" s="115"/>
      <c r="CV528" s="99">
        <f t="shared" si="53"/>
        <v>0</v>
      </c>
      <c r="CW528" s="114">
        <v>30000</v>
      </c>
      <c r="CX528" s="115">
        <f>30000*910.6</f>
        <v>27318000</v>
      </c>
      <c r="CY528" s="114"/>
      <c r="CZ528" s="115"/>
      <c r="DA528" s="115"/>
      <c r="DB528" s="115"/>
      <c r="DC528" s="114"/>
      <c r="DD528" s="115"/>
      <c r="DE528" s="97"/>
      <c r="DF528" s="269"/>
    </row>
    <row r="529" spans="1:110" s="270" customFormat="1" ht="36" x14ac:dyDescent="0.2">
      <c r="A529" s="89">
        <v>40647</v>
      </c>
      <c r="B529" s="90" t="s">
        <v>4344</v>
      </c>
      <c r="C529" s="90" t="s">
        <v>2209</v>
      </c>
      <c r="D529" s="90" t="s">
        <v>4264</v>
      </c>
      <c r="E529" s="90" t="str">
        <f>VLOOKUP(B529&amp;C529,Divipola!$C$2:$F$1138,4,FALSE)</f>
        <v>25214</v>
      </c>
      <c r="F529" s="90"/>
      <c r="G529" s="101"/>
      <c r="H529" s="101"/>
      <c r="I529" s="101"/>
      <c r="J529" s="101"/>
      <c r="K529" s="101"/>
      <c r="L529" s="101"/>
      <c r="M529" s="101"/>
      <c r="N529" s="101">
        <v>1</v>
      </c>
      <c r="O529" s="101"/>
      <c r="P529" s="101"/>
      <c r="Q529" s="101"/>
      <c r="R529" s="101"/>
      <c r="S529" s="101"/>
      <c r="T529" s="101"/>
      <c r="U529" s="101"/>
      <c r="V529" s="101"/>
      <c r="W529" s="91"/>
      <c r="X529" s="89"/>
      <c r="Y529" s="92">
        <f t="shared" si="48"/>
        <v>0</v>
      </c>
      <c r="Z529" s="92">
        <f t="shared" si="49"/>
        <v>0</v>
      </c>
      <c r="AA529" s="92">
        <f t="shared" si="50"/>
        <v>0</v>
      </c>
      <c r="AB529" s="92">
        <f t="shared" si="51"/>
        <v>0</v>
      </c>
      <c r="AC529" s="92"/>
      <c r="AD529" s="92">
        <v>0</v>
      </c>
      <c r="AE529" s="92">
        <f t="shared" si="52"/>
        <v>0</v>
      </c>
      <c r="AF529" s="93">
        <v>0</v>
      </c>
      <c r="AG529" s="89"/>
      <c r="AH529" s="94"/>
      <c r="AI529" s="102" t="s">
        <v>4336</v>
      </c>
      <c r="AJ529" s="96" t="s">
        <v>4337</v>
      </c>
      <c r="AK529" s="97"/>
      <c r="AL529" s="89"/>
      <c r="AM529" s="100" t="s">
        <v>290</v>
      </c>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114"/>
      <c r="CQ529" s="115"/>
      <c r="CR529" s="114"/>
      <c r="CS529" s="115"/>
      <c r="CT529" s="114"/>
      <c r="CU529" s="115"/>
      <c r="CV529" s="99">
        <f t="shared" si="53"/>
        <v>0</v>
      </c>
      <c r="CW529" s="114"/>
      <c r="CX529" s="115"/>
      <c r="CY529" s="114"/>
      <c r="CZ529" s="115"/>
      <c r="DA529" s="115"/>
      <c r="DB529" s="115"/>
      <c r="DC529" s="114"/>
      <c r="DD529" s="115"/>
      <c r="DE529" s="97"/>
      <c r="DF529" s="269"/>
    </row>
    <row r="530" spans="1:110" s="270" customFormat="1" ht="48" x14ac:dyDescent="0.2">
      <c r="A530" s="89">
        <v>40647</v>
      </c>
      <c r="B530" s="90" t="s">
        <v>4344</v>
      </c>
      <c r="C530" s="90" t="s">
        <v>1776</v>
      </c>
      <c r="D530" s="90" t="s">
        <v>4264</v>
      </c>
      <c r="E530" s="90" t="str">
        <f>VLOOKUP(B530&amp;C530,Divipola!$C$2:$F$1138,4,FALSE)</f>
        <v>25572</v>
      </c>
      <c r="F530" s="90"/>
      <c r="G530" s="101"/>
      <c r="H530" s="101"/>
      <c r="I530" s="101"/>
      <c r="J530" s="101">
        <v>1704</v>
      </c>
      <c r="K530" s="101">
        <v>650</v>
      </c>
      <c r="L530" s="101"/>
      <c r="M530" s="101">
        <v>650</v>
      </c>
      <c r="N530" s="101"/>
      <c r="O530" s="101"/>
      <c r="P530" s="101"/>
      <c r="Q530" s="101"/>
      <c r="R530" s="101"/>
      <c r="S530" s="101"/>
      <c r="T530" s="101"/>
      <c r="U530" s="101"/>
      <c r="V530" s="101"/>
      <c r="W530" s="91"/>
      <c r="X530" s="89"/>
      <c r="Y530" s="92">
        <f t="shared" si="48"/>
        <v>0</v>
      </c>
      <c r="Z530" s="92">
        <f t="shared" si="49"/>
        <v>0</v>
      </c>
      <c r="AA530" s="92">
        <f t="shared" si="50"/>
        <v>0</v>
      </c>
      <c r="AB530" s="92">
        <f t="shared" si="51"/>
        <v>0</v>
      </c>
      <c r="AC530" s="92"/>
      <c r="AD530" s="92">
        <v>0</v>
      </c>
      <c r="AE530" s="92">
        <f t="shared" si="52"/>
        <v>0</v>
      </c>
      <c r="AF530" s="93">
        <v>0</v>
      </c>
      <c r="AG530" s="89"/>
      <c r="AH530" s="94"/>
      <c r="AI530" s="102" t="s">
        <v>4336</v>
      </c>
      <c r="AJ530" s="96" t="s">
        <v>4337</v>
      </c>
      <c r="AK530" s="97"/>
      <c r="AL530" s="89"/>
      <c r="AM530" s="100" t="s">
        <v>2712</v>
      </c>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114"/>
      <c r="CQ530" s="115"/>
      <c r="CR530" s="114"/>
      <c r="CS530" s="115"/>
      <c r="CT530" s="114"/>
      <c r="CU530" s="115"/>
      <c r="CV530" s="99">
        <f t="shared" si="53"/>
        <v>0</v>
      </c>
      <c r="CW530" s="114"/>
      <c r="CX530" s="115"/>
      <c r="CY530" s="114"/>
      <c r="CZ530" s="115"/>
      <c r="DA530" s="115"/>
      <c r="DB530" s="115"/>
      <c r="DC530" s="114"/>
      <c r="DD530" s="115"/>
      <c r="DE530" s="97"/>
      <c r="DF530" s="269"/>
    </row>
    <row r="531" spans="1:110" s="270" customFormat="1" ht="72" x14ac:dyDescent="0.2">
      <c r="A531" s="89">
        <v>40647</v>
      </c>
      <c r="B531" s="16" t="s">
        <v>860</v>
      </c>
      <c r="C531" s="16" t="s">
        <v>427</v>
      </c>
      <c r="D531" s="90" t="s">
        <v>4264</v>
      </c>
      <c r="E531" s="90" t="str">
        <f>VLOOKUP(B531&amp;C531,Divipola!$C$2:$F$1138,4,FALSE)</f>
        <v>50680</v>
      </c>
      <c r="F531" s="4"/>
      <c r="G531" s="208"/>
      <c r="H531" s="208"/>
      <c r="I531" s="208"/>
      <c r="J531" s="208"/>
      <c r="K531" s="208">
        <v>4</v>
      </c>
      <c r="L531" s="208">
        <v>4</v>
      </c>
      <c r="M531" s="208"/>
      <c r="N531" s="208"/>
      <c r="O531" s="208">
        <v>2</v>
      </c>
      <c r="P531" s="208">
        <v>1</v>
      </c>
      <c r="Q531" s="208"/>
      <c r="R531" s="208"/>
      <c r="S531" s="208"/>
      <c r="T531" s="208"/>
      <c r="U531" s="208"/>
      <c r="V531" s="208"/>
      <c r="W531" s="19"/>
      <c r="X531" s="17"/>
      <c r="Y531" s="5">
        <f t="shared" si="48"/>
        <v>0</v>
      </c>
      <c r="Z531" s="5">
        <f t="shared" si="49"/>
        <v>0</v>
      </c>
      <c r="AA531" s="5">
        <f t="shared" si="50"/>
        <v>0</v>
      </c>
      <c r="AB531" s="5">
        <f t="shared" si="51"/>
        <v>0</v>
      </c>
      <c r="AC531" s="5"/>
      <c r="AD531" s="5">
        <v>0</v>
      </c>
      <c r="AE531" s="5">
        <f t="shared" si="52"/>
        <v>0</v>
      </c>
      <c r="AF531" s="70">
        <v>0</v>
      </c>
      <c r="AG531" s="17"/>
      <c r="AH531" s="18"/>
      <c r="AI531" s="47" t="s">
        <v>4336</v>
      </c>
      <c r="AJ531" s="73" t="s">
        <v>4337</v>
      </c>
      <c r="AK531" s="45"/>
      <c r="AL531" s="17"/>
      <c r="AM531" s="20" t="s">
        <v>140</v>
      </c>
      <c r="AN531" s="19"/>
      <c r="AO531" s="19"/>
      <c r="AP531" s="19"/>
      <c r="AQ531" s="19"/>
      <c r="AR531" s="19"/>
      <c r="AS531" s="19"/>
      <c r="AT531" s="19"/>
      <c r="AU531" s="19"/>
      <c r="AV531" s="19"/>
      <c r="AW531" s="19"/>
      <c r="AX531" s="107"/>
      <c r="AY531" s="107"/>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39"/>
      <c r="CO531" s="138"/>
      <c r="CP531" s="139"/>
      <c r="CQ531" s="138"/>
      <c r="CR531" s="139"/>
      <c r="CS531" s="138"/>
      <c r="CT531" s="72"/>
      <c r="CU531" s="139"/>
      <c r="CV531" s="99">
        <f t="shared" si="53"/>
        <v>0</v>
      </c>
      <c r="CW531" s="139"/>
      <c r="CX531" s="138"/>
      <c r="CY531" s="138"/>
      <c r="CZ531" s="138"/>
      <c r="DA531" s="139"/>
      <c r="DB531" s="138"/>
      <c r="DC531" s="45"/>
      <c r="DD531" s="138"/>
      <c r="DE531" s="45"/>
      <c r="DF531" s="269"/>
    </row>
    <row r="532" spans="1:110" s="270" customFormat="1" ht="24" x14ac:dyDescent="0.2">
      <c r="A532" s="89">
        <v>40647</v>
      </c>
      <c r="B532" s="90" t="s">
        <v>4350</v>
      </c>
      <c r="C532" s="90" t="s">
        <v>4351</v>
      </c>
      <c r="D532" s="90" t="s">
        <v>4264</v>
      </c>
      <c r="E532" s="90" t="str">
        <f>VLOOKUP(B532&amp;C532,Divipola!$C$2:$F$1138,4,FALSE)</f>
        <v>63001</v>
      </c>
      <c r="F532" s="90"/>
      <c r="G532" s="101"/>
      <c r="H532" s="101"/>
      <c r="I532" s="101"/>
      <c r="J532" s="101">
        <f>267*5</f>
        <v>1335</v>
      </c>
      <c r="K532" s="101">
        <v>267</v>
      </c>
      <c r="L532" s="101"/>
      <c r="M532" s="101">
        <v>7</v>
      </c>
      <c r="N532" s="101"/>
      <c r="O532" s="101"/>
      <c r="P532" s="101"/>
      <c r="Q532" s="101"/>
      <c r="R532" s="101"/>
      <c r="S532" s="101"/>
      <c r="T532" s="101"/>
      <c r="U532" s="101"/>
      <c r="V532" s="101"/>
      <c r="W532" s="91" t="s">
        <v>1037</v>
      </c>
      <c r="X532" s="89"/>
      <c r="Y532" s="92">
        <f t="shared" si="48"/>
        <v>0</v>
      </c>
      <c r="Z532" s="92">
        <f t="shared" si="49"/>
        <v>0</v>
      </c>
      <c r="AA532" s="92">
        <f t="shared" si="50"/>
        <v>0</v>
      </c>
      <c r="AB532" s="92">
        <f t="shared" si="51"/>
        <v>0</v>
      </c>
      <c r="AC532" s="92"/>
      <c r="AD532" s="92">
        <v>0</v>
      </c>
      <c r="AE532" s="92">
        <f t="shared" si="52"/>
        <v>0</v>
      </c>
      <c r="AF532" s="93">
        <v>0</v>
      </c>
      <c r="AG532" s="89"/>
      <c r="AH532" s="94"/>
      <c r="AI532" s="95" t="s">
        <v>4336</v>
      </c>
      <c r="AJ532" s="96" t="s">
        <v>4337</v>
      </c>
      <c r="AK532" s="97"/>
      <c r="AL532" s="89"/>
      <c r="AM532" s="100" t="s">
        <v>283</v>
      </c>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114"/>
      <c r="CQ532" s="115"/>
      <c r="CR532" s="114"/>
      <c r="CS532" s="115"/>
      <c r="CT532" s="114"/>
      <c r="CU532" s="115"/>
      <c r="CV532" s="99">
        <f t="shared" si="53"/>
        <v>0</v>
      </c>
      <c r="CW532" s="114"/>
      <c r="CX532" s="115"/>
      <c r="CY532" s="114"/>
      <c r="CZ532" s="115"/>
      <c r="DA532" s="115"/>
      <c r="DB532" s="115"/>
      <c r="DC532" s="114"/>
      <c r="DD532" s="115"/>
      <c r="DE532" s="97"/>
      <c r="DF532" s="269"/>
    </row>
    <row r="533" spans="1:110" s="270" customFormat="1" ht="24" x14ac:dyDescent="0.2">
      <c r="A533" s="89">
        <v>40647</v>
      </c>
      <c r="B533" s="90" t="s">
        <v>4350</v>
      </c>
      <c r="C533" s="90" t="s">
        <v>797</v>
      </c>
      <c r="D533" s="90" t="s">
        <v>3346</v>
      </c>
      <c r="E533" s="90" t="str">
        <f>VLOOKUP(B533&amp;C533,Divipola!$C$2:$F$1138,4,FALSE)</f>
        <v>63272</v>
      </c>
      <c r="F533" s="90"/>
      <c r="G533" s="101"/>
      <c r="H533" s="101"/>
      <c r="I533" s="101"/>
      <c r="J533" s="101">
        <v>15</v>
      </c>
      <c r="K533" s="101">
        <v>3</v>
      </c>
      <c r="L533" s="101"/>
      <c r="M533" s="101">
        <v>3</v>
      </c>
      <c r="N533" s="101"/>
      <c r="O533" s="101"/>
      <c r="P533" s="101"/>
      <c r="Q533" s="101"/>
      <c r="R533" s="101"/>
      <c r="S533" s="101"/>
      <c r="T533" s="101"/>
      <c r="U533" s="101"/>
      <c r="V533" s="101"/>
      <c r="W533" s="91"/>
      <c r="X533" s="89"/>
      <c r="Y533" s="92">
        <f t="shared" si="48"/>
        <v>0</v>
      </c>
      <c r="Z533" s="92">
        <f t="shared" si="49"/>
        <v>0</v>
      </c>
      <c r="AA533" s="92">
        <f t="shared" si="50"/>
        <v>0</v>
      </c>
      <c r="AB533" s="92">
        <f t="shared" si="51"/>
        <v>0</v>
      </c>
      <c r="AC533" s="92"/>
      <c r="AD533" s="92">
        <v>0</v>
      </c>
      <c r="AE533" s="92">
        <f t="shared" si="52"/>
        <v>0</v>
      </c>
      <c r="AF533" s="93">
        <v>0</v>
      </c>
      <c r="AG533" s="89"/>
      <c r="AH533" s="94"/>
      <c r="AI533" s="95" t="s">
        <v>4336</v>
      </c>
      <c r="AJ533" s="96" t="s">
        <v>4337</v>
      </c>
      <c r="AK533" s="97"/>
      <c r="AL533" s="89"/>
      <c r="AM533" s="100" t="s">
        <v>2727</v>
      </c>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114"/>
      <c r="CQ533" s="115"/>
      <c r="CR533" s="114"/>
      <c r="CS533" s="115"/>
      <c r="CT533" s="114"/>
      <c r="CU533" s="115"/>
      <c r="CV533" s="99">
        <f t="shared" si="53"/>
        <v>0</v>
      </c>
      <c r="CW533" s="114"/>
      <c r="CX533" s="115"/>
      <c r="CY533" s="114"/>
      <c r="CZ533" s="115"/>
      <c r="DA533" s="115"/>
      <c r="DB533" s="115"/>
      <c r="DC533" s="114"/>
      <c r="DD533" s="115"/>
      <c r="DE533" s="97"/>
      <c r="DF533" s="269"/>
    </row>
    <row r="534" spans="1:110" s="270" customFormat="1" ht="36" x14ac:dyDescent="0.2">
      <c r="A534" s="89">
        <v>40647</v>
      </c>
      <c r="B534" s="90" t="s">
        <v>4348</v>
      </c>
      <c r="C534" s="90" t="s">
        <v>3304</v>
      </c>
      <c r="D534" s="90" t="s">
        <v>2362</v>
      </c>
      <c r="E534" s="90" t="str">
        <f>VLOOKUP(B534&amp;C534,Divipola!$C$2:$F$1138,4,FALSE)</f>
        <v>66440</v>
      </c>
      <c r="F534" s="90"/>
      <c r="G534" s="101"/>
      <c r="H534" s="101"/>
      <c r="I534" s="101"/>
      <c r="J534" s="101">
        <v>25</v>
      </c>
      <c r="K534" s="101">
        <v>5</v>
      </c>
      <c r="L534" s="101"/>
      <c r="M534" s="101">
        <v>5</v>
      </c>
      <c r="N534" s="101">
        <v>5</v>
      </c>
      <c r="O534" s="101"/>
      <c r="P534" s="101"/>
      <c r="Q534" s="101"/>
      <c r="R534" s="101"/>
      <c r="S534" s="101"/>
      <c r="T534" s="101"/>
      <c r="U534" s="101"/>
      <c r="V534" s="101"/>
      <c r="W534" s="91"/>
      <c r="X534" s="89"/>
      <c r="Y534" s="92">
        <f t="shared" si="48"/>
        <v>0</v>
      </c>
      <c r="Z534" s="92">
        <f t="shared" si="49"/>
        <v>0</v>
      </c>
      <c r="AA534" s="92">
        <f t="shared" si="50"/>
        <v>0</v>
      </c>
      <c r="AB534" s="92">
        <f t="shared" si="51"/>
        <v>0</v>
      </c>
      <c r="AC534" s="92"/>
      <c r="AD534" s="92">
        <v>0</v>
      </c>
      <c r="AE534" s="92">
        <f t="shared" si="52"/>
        <v>0</v>
      </c>
      <c r="AF534" s="93">
        <v>0</v>
      </c>
      <c r="AG534" s="89"/>
      <c r="AH534" s="94"/>
      <c r="AI534" s="95" t="s">
        <v>4336</v>
      </c>
      <c r="AJ534" s="96" t="s">
        <v>4337</v>
      </c>
      <c r="AK534" s="97"/>
      <c r="AL534" s="89"/>
      <c r="AM534" s="121" t="s">
        <v>3270</v>
      </c>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114"/>
      <c r="CQ534" s="115"/>
      <c r="CR534" s="114"/>
      <c r="CS534" s="115"/>
      <c r="CT534" s="114"/>
      <c r="CU534" s="115"/>
      <c r="CV534" s="99">
        <f t="shared" si="53"/>
        <v>0</v>
      </c>
      <c r="CW534" s="114"/>
      <c r="CX534" s="115"/>
      <c r="CY534" s="114"/>
      <c r="CZ534" s="115"/>
      <c r="DA534" s="115"/>
      <c r="DB534" s="115"/>
      <c r="DC534" s="114"/>
      <c r="DD534" s="115"/>
      <c r="DE534" s="97"/>
      <c r="DF534" s="269"/>
    </row>
    <row r="535" spans="1:110" s="270" customFormat="1" ht="33.75" x14ac:dyDescent="0.2">
      <c r="A535" s="89">
        <v>40647</v>
      </c>
      <c r="B535" s="90" t="s">
        <v>4348</v>
      </c>
      <c r="C535" s="90" t="s">
        <v>3303</v>
      </c>
      <c r="D535" s="90" t="s">
        <v>2362</v>
      </c>
      <c r="E535" s="90" t="str">
        <f>VLOOKUP(B535&amp;C535,Divipola!$C$2:$F$1138,4,FALSE)</f>
        <v>66456</v>
      </c>
      <c r="F535" s="101"/>
      <c r="G535" s="101"/>
      <c r="H535" s="101"/>
      <c r="I535" s="101"/>
      <c r="J535" s="101">
        <v>75</v>
      </c>
      <c r="K535" s="101">
        <v>15</v>
      </c>
      <c r="L535" s="101"/>
      <c r="M535" s="101">
        <v>15</v>
      </c>
      <c r="N535" s="101"/>
      <c r="O535" s="101"/>
      <c r="P535" s="101"/>
      <c r="Q535" s="101"/>
      <c r="R535" s="101"/>
      <c r="S535" s="101"/>
      <c r="T535" s="101"/>
      <c r="U535" s="91"/>
      <c r="V535" s="89"/>
      <c r="W535" s="92" t="s">
        <v>878</v>
      </c>
      <c r="X535" s="92"/>
      <c r="Y535" s="92">
        <f t="shared" si="48"/>
        <v>0</v>
      </c>
      <c r="Z535" s="92">
        <f t="shared" si="49"/>
        <v>0</v>
      </c>
      <c r="AA535" s="92">
        <f t="shared" si="50"/>
        <v>0</v>
      </c>
      <c r="AB535" s="92">
        <f t="shared" si="51"/>
        <v>0</v>
      </c>
      <c r="AC535" s="92"/>
      <c r="AD535" s="92">
        <v>0</v>
      </c>
      <c r="AE535" s="92">
        <f t="shared" si="52"/>
        <v>0</v>
      </c>
      <c r="AF535" s="93">
        <v>0</v>
      </c>
      <c r="AG535" s="89"/>
      <c r="AH535" s="96"/>
      <c r="AI535" s="102" t="s">
        <v>4336</v>
      </c>
      <c r="AJ535" s="96" t="s">
        <v>4337</v>
      </c>
      <c r="AK535" s="100"/>
      <c r="AL535" s="89"/>
      <c r="AM535" s="90" t="s">
        <v>311</v>
      </c>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114"/>
      <c r="CQ535" s="115"/>
      <c r="CR535" s="114"/>
      <c r="CS535" s="115"/>
      <c r="CT535" s="114"/>
      <c r="CU535" s="115"/>
      <c r="CV535" s="99">
        <f t="shared" si="53"/>
        <v>0</v>
      </c>
      <c r="CW535" s="114"/>
      <c r="CX535" s="115"/>
      <c r="CY535" s="114"/>
      <c r="CZ535" s="115"/>
      <c r="DA535" s="115"/>
      <c r="DB535" s="115"/>
      <c r="DC535" s="114"/>
      <c r="DD535" s="115"/>
      <c r="DE535" s="97"/>
      <c r="DF535" s="269"/>
    </row>
    <row r="536" spans="1:110" s="270" customFormat="1" ht="48" x14ac:dyDescent="0.2">
      <c r="A536" s="89">
        <v>40647</v>
      </c>
      <c r="B536" s="106" t="s">
        <v>2226</v>
      </c>
      <c r="C536" s="106" t="s">
        <v>2959</v>
      </c>
      <c r="D536" s="90" t="s">
        <v>2362</v>
      </c>
      <c r="E536" s="90" t="str">
        <f>VLOOKUP(B536&amp;C536,Divipola!$C$2:$F$1138,4,FALSE)</f>
        <v>68468</v>
      </c>
      <c r="F536" s="4"/>
      <c r="G536" s="208"/>
      <c r="H536" s="208"/>
      <c r="I536" s="208"/>
      <c r="J536" s="208">
        <f>333*5</f>
        <v>1665</v>
      </c>
      <c r="K536" s="208">
        <f>65+268</f>
        <v>333</v>
      </c>
      <c r="L536" s="208">
        <v>65</v>
      </c>
      <c r="M536" s="208">
        <v>268</v>
      </c>
      <c r="N536" s="208">
        <v>4</v>
      </c>
      <c r="O536" s="208"/>
      <c r="P536" s="208">
        <v>3</v>
      </c>
      <c r="Q536" s="208"/>
      <c r="R536" s="208">
        <v>1</v>
      </c>
      <c r="S536" s="208"/>
      <c r="T536" s="208">
        <v>2</v>
      </c>
      <c r="U536" s="208"/>
      <c r="V536" s="208"/>
      <c r="W536" s="19"/>
      <c r="X536" s="17"/>
      <c r="Y536" s="5">
        <f t="shared" si="48"/>
        <v>0</v>
      </c>
      <c r="Z536" s="5">
        <f t="shared" si="49"/>
        <v>0</v>
      </c>
      <c r="AA536" s="5">
        <f t="shared" si="50"/>
        <v>0</v>
      </c>
      <c r="AB536" s="5">
        <f t="shared" si="51"/>
        <v>0</v>
      </c>
      <c r="AC536" s="5">
        <f>120*280999.56</f>
        <v>33719947.200000003</v>
      </c>
      <c r="AD536" s="5">
        <v>0</v>
      </c>
      <c r="AE536" s="5">
        <f t="shared" si="52"/>
        <v>33719947.200000003</v>
      </c>
      <c r="AF536" s="70">
        <v>0</v>
      </c>
      <c r="AG536" s="17"/>
      <c r="AH536" s="18"/>
      <c r="AI536" s="95" t="s">
        <v>4346</v>
      </c>
      <c r="AJ536" s="96" t="s">
        <v>4347</v>
      </c>
      <c r="AK536" s="45"/>
      <c r="AL536" s="17"/>
      <c r="AM536" s="20" t="s">
        <v>2296</v>
      </c>
      <c r="AN536" s="19"/>
      <c r="AO536" s="19"/>
      <c r="AP536" s="19"/>
      <c r="AQ536" s="19"/>
      <c r="AR536" s="19"/>
      <c r="AS536" s="19"/>
      <c r="AT536" s="19"/>
      <c r="AU536" s="19"/>
      <c r="AV536" s="19"/>
      <c r="AW536" s="19"/>
      <c r="AX536" s="107"/>
      <c r="AY536" s="107"/>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39"/>
      <c r="CO536" s="138"/>
      <c r="CP536" s="139"/>
      <c r="CQ536" s="138"/>
      <c r="CR536" s="139"/>
      <c r="CS536" s="138"/>
      <c r="CT536" s="72"/>
      <c r="CU536" s="139"/>
      <c r="CV536" s="99">
        <f t="shared" si="53"/>
        <v>0</v>
      </c>
      <c r="CW536" s="139"/>
      <c r="CX536" s="138"/>
      <c r="CY536" s="138"/>
      <c r="CZ536" s="138"/>
      <c r="DA536" s="139"/>
      <c r="DB536" s="138"/>
      <c r="DC536" s="45"/>
      <c r="DD536" s="138"/>
      <c r="DE536" s="45"/>
      <c r="DF536" s="269"/>
    </row>
    <row r="537" spans="1:110" s="270" customFormat="1" x14ac:dyDescent="0.2">
      <c r="A537" s="89">
        <v>40647</v>
      </c>
      <c r="B537" s="90" t="s">
        <v>3316</v>
      </c>
      <c r="C537" s="90" t="s">
        <v>3321</v>
      </c>
      <c r="D537" s="90" t="s">
        <v>4264</v>
      </c>
      <c r="E537" s="90" t="str">
        <f>VLOOKUP(B537&amp;C537,Divipola!$C$2:$F$1138,4,FALSE)</f>
        <v>73026</v>
      </c>
      <c r="F537" s="90"/>
      <c r="G537" s="101"/>
      <c r="H537" s="101"/>
      <c r="I537" s="101"/>
      <c r="J537" s="101">
        <v>32</v>
      </c>
      <c r="K537" s="101">
        <v>6</v>
      </c>
      <c r="L537" s="101"/>
      <c r="M537" s="101">
        <v>6</v>
      </c>
      <c r="N537" s="101"/>
      <c r="O537" s="101"/>
      <c r="P537" s="101"/>
      <c r="Q537" s="101"/>
      <c r="R537" s="101"/>
      <c r="S537" s="101"/>
      <c r="T537" s="101"/>
      <c r="U537" s="101"/>
      <c r="V537" s="101"/>
      <c r="W537" s="91"/>
      <c r="X537" s="89"/>
      <c r="Y537" s="92">
        <f t="shared" si="48"/>
        <v>0</v>
      </c>
      <c r="Z537" s="92">
        <f t="shared" si="49"/>
        <v>0</v>
      </c>
      <c r="AA537" s="92">
        <f t="shared" si="50"/>
        <v>0</v>
      </c>
      <c r="AB537" s="92">
        <f t="shared" si="51"/>
        <v>0</v>
      </c>
      <c r="AC537" s="92"/>
      <c r="AD537" s="92">
        <v>0</v>
      </c>
      <c r="AE537" s="92">
        <f t="shared" si="52"/>
        <v>0</v>
      </c>
      <c r="AF537" s="93">
        <v>0</v>
      </c>
      <c r="AG537" s="89"/>
      <c r="AH537" s="94"/>
      <c r="AI537" s="95" t="s">
        <v>4346</v>
      </c>
      <c r="AJ537" s="96" t="s">
        <v>4347</v>
      </c>
      <c r="AK537" s="97"/>
      <c r="AL537" s="89" t="s">
        <v>2798</v>
      </c>
      <c r="AM537" s="100" t="s">
        <v>3530</v>
      </c>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114"/>
      <c r="CQ537" s="115"/>
      <c r="CR537" s="114"/>
      <c r="CS537" s="115"/>
      <c r="CT537" s="114"/>
      <c r="CU537" s="115"/>
      <c r="CV537" s="99">
        <f t="shared" si="53"/>
        <v>0</v>
      </c>
      <c r="CW537" s="114"/>
      <c r="CX537" s="115"/>
      <c r="CY537" s="114"/>
      <c r="CZ537" s="115"/>
      <c r="DA537" s="115"/>
      <c r="DB537" s="115"/>
      <c r="DC537" s="114"/>
      <c r="DD537" s="115"/>
      <c r="DE537" s="97"/>
      <c r="DF537" s="269"/>
    </row>
    <row r="538" spans="1:110" s="270" customFormat="1" ht="24" x14ac:dyDescent="0.2">
      <c r="A538" s="89">
        <v>40648</v>
      </c>
      <c r="B538" s="90" t="s">
        <v>4261</v>
      </c>
      <c r="C538" s="90" t="s">
        <v>3497</v>
      </c>
      <c r="D538" s="90" t="s">
        <v>2860</v>
      </c>
      <c r="E538" s="90" t="str">
        <f>VLOOKUP(B538&amp;C538,Divipola!$C$2:$F$1138,4,FALSE)</f>
        <v>15106</v>
      </c>
      <c r="F538" s="90"/>
      <c r="G538" s="101"/>
      <c r="H538" s="101"/>
      <c r="I538" s="101"/>
      <c r="J538" s="101"/>
      <c r="K538" s="101"/>
      <c r="L538" s="101"/>
      <c r="M538" s="101"/>
      <c r="N538" s="101">
        <v>1</v>
      </c>
      <c r="O538" s="101">
        <v>1</v>
      </c>
      <c r="P538" s="101"/>
      <c r="Q538" s="101"/>
      <c r="R538" s="101"/>
      <c r="S538" s="101"/>
      <c r="T538" s="101"/>
      <c r="U538" s="101"/>
      <c r="V538" s="101"/>
      <c r="W538" s="91"/>
      <c r="X538" s="89"/>
      <c r="Y538" s="92">
        <f t="shared" si="48"/>
        <v>0</v>
      </c>
      <c r="Z538" s="92">
        <f t="shared" si="49"/>
        <v>0</v>
      </c>
      <c r="AA538" s="92">
        <f t="shared" si="50"/>
        <v>0</v>
      </c>
      <c r="AB538" s="92">
        <f t="shared" si="51"/>
        <v>0</v>
      </c>
      <c r="AC538" s="92"/>
      <c r="AD538" s="92">
        <v>0</v>
      </c>
      <c r="AE538" s="92">
        <f t="shared" si="52"/>
        <v>0</v>
      </c>
      <c r="AF538" s="93">
        <v>0</v>
      </c>
      <c r="AG538" s="89"/>
      <c r="AH538" s="94"/>
      <c r="AI538" s="102" t="s">
        <v>4346</v>
      </c>
      <c r="AJ538" s="96" t="s">
        <v>4347</v>
      </c>
      <c r="AK538" s="97"/>
      <c r="AL538" s="89" t="s">
        <v>1049</v>
      </c>
      <c r="AM538" s="100" t="s">
        <v>1016</v>
      </c>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114"/>
      <c r="CQ538" s="115"/>
      <c r="CR538" s="114"/>
      <c r="CS538" s="115"/>
      <c r="CT538" s="114"/>
      <c r="CU538" s="115"/>
      <c r="CV538" s="99">
        <f t="shared" si="53"/>
        <v>0</v>
      </c>
      <c r="CW538" s="114"/>
      <c r="CX538" s="115"/>
      <c r="CY538" s="114"/>
      <c r="CZ538" s="115"/>
      <c r="DA538" s="115"/>
      <c r="DB538" s="115"/>
      <c r="DC538" s="114"/>
      <c r="DD538" s="115"/>
      <c r="DE538" s="97"/>
      <c r="DF538" s="269"/>
    </row>
    <row r="539" spans="1:110" s="270" customFormat="1" ht="48" x14ac:dyDescent="0.2">
      <c r="A539" s="89">
        <v>40648</v>
      </c>
      <c r="B539" s="90" t="s">
        <v>4261</v>
      </c>
      <c r="C539" s="90" t="s">
        <v>71</v>
      </c>
      <c r="D539" s="90" t="s">
        <v>2860</v>
      </c>
      <c r="E539" s="90" t="str">
        <f>VLOOKUP(B539&amp;C539,Divipola!$C$2:$F$1138,4,FALSE)</f>
        <v>15212</v>
      </c>
      <c r="F539" s="90"/>
      <c r="G539" s="101"/>
      <c r="H539" s="101"/>
      <c r="I539" s="101"/>
      <c r="J539" s="101"/>
      <c r="K539" s="101"/>
      <c r="L539" s="101"/>
      <c r="M539" s="101"/>
      <c r="N539" s="101"/>
      <c r="O539" s="101"/>
      <c r="P539" s="101">
        <v>5</v>
      </c>
      <c r="Q539" s="101"/>
      <c r="R539" s="101"/>
      <c r="S539" s="101"/>
      <c r="T539" s="101"/>
      <c r="U539" s="101"/>
      <c r="V539" s="101"/>
      <c r="W539" s="91"/>
      <c r="X539" s="89"/>
      <c r="Y539" s="92">
        <f t="shared" si="48"/>
        <v>0</v>
      </c>
      <c r="Z539" s="92">
        <f t="shared" si="49"/>
        <v>0</v>
      </c>
      <c r="AA539" s="92">
        <f t="shared" si="50"/>
        <v>0</v>
      </c>
      <c r="AB539" s="92">
        <f t="shared" si="51"/>
        <v>0</v>
      </c>
      <c r="AC539" s="92"/>
      <c r="AD539" s="92">
        <v>15000000</v>
      </c>
      <c r="AE539" s="92">
        <f t="shared" si="52"/>
        <v>15000000</v>
      </c>
      <c r="AF539" s="93">
        <v>0</v>
      </c>
      <c r="AG539" s="89"/>
      <c r="AH539" s="94"/>
      <c r="AI539" s="102" t="s">
        <v>4346</v>
      </c>
      <c r="AJ539" s="96" t="s">
        <v>4347</v>
      </c>
      <c r="AK539" s="97"/>
      <c r="AL539" s="89" t="s">
        <v>1049</v>
      </c>
      <c r="AM539" s="100" t="s">
        <v>1944</v>
      </c>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114"/>
      <c r="CQ539" s="115"/>
      <c r="CR539" s="114"/>
      <c r="CS539" s="115"/>
      <c r="CT539" s="114"/>
      <c r="CU539" s="115"/>
      <c r="CV539" s="99">
        <f t="shared" si="53"/>
        <v>0</v>
      </c>
      <c r="CW539" s="114"/>
      <c r="CX539" s="115"/>
      <c r="CY539" s="114"/>
      <c r="CZ539" s="115"/>
      <c r="DA539" s="115"/>
      <c r="DB539" s="115"/>
      <c r="DC539" s="114"/>
      <c r="DD539" s="115"/>
      <c r="DE539" s="97"/>
      <c r="DF539" s="269"/>
    </row>
    <row r="540" spans="1:110" s="270" customFormat="1" ht="48" x14ac:dyDescent="0.2">
      <c r="A540" s="89">
        <v>40648</v>
      </c>
      <c r="B540" s="90" t="s">
        <v>4261</v>
      </c>
      <c r="C540" s="90" t="s">
        <v>971</v>
      </c>
      <c r="D540" s="90" t="s">
        <v>2860</v>
      </c>
      <c r="E540" s="90" t="str">
        <f>VLOOKUP(B540&amp;C540,Divipola!$C$2:$F$1138,4,FALSE)</f>
        <v>15531</v>
      </c>
      <c r="F540" s="90"/>
      <c r="G540" s="101"/>
      <c r="H540" s="101"/>
      <c r="I540" s="101"/>
      <c r="J540" s="101">
        <v>20</v>
      </c>
      <c r="K540" s="101">
        <v>4</v>
      </c>
      <c r="L540" s="101"/>
      <c r="M540" s="101">
        <v>4</v>
      </c>
      <c r="N540" s="101"/>
      <c r="O540" s="101">
        <v>1</v>
      </c>
      <c r="P540" s="101">
        <v>1</v>
      </c>
      <c r="Q540" s="101"/>
      <c r="R540" s="101"/>
      <c r="S540" s="101"/>
      <c r="T540" s="101"/>
      <c r="U540" s="101"/>
      <c r="V540" s="101"/>
      <c r="W540" s="91"/>
      <c r="X540" s="89"/>
      <c r="Y540" s="92">
        <f t="shared" si="48"/>
        <v>0</v>
      </c>
      <c r="Z540" s="92">
        <f t="shared" si="49"/>
        <v>0</v>
      </c>
      <c r="AA540" s="92">
        <f t="shared" si="50"/>
        <v>0</v>
      </c>
      <c r="AB540" s="92">
        <f t="shared" si="51"/>
        <v>0</v>
      </c>
      <c r="AC540" s="92"/>
      <c r="AD540" s="92">
        <v>0</v>
      </c>
      <c r="AE540" s="92">
        <f t="shared" si="52"/>
        <v>0</v>
      </c>
      <c r="AF540" s="93">
        <v>0</v>
      </c>
      <c r="AG540" s="89"/>
      <c r="AH540" s="94"/>
      <c r="AI540" s="102" t="s">
        <v>4346</v>
      </c>
      <c r="AJ540" s="96" t="s">
        <v>4347</v>
      </c>
      <c r="AK540" s="97"/>
      <c r="AL540" s="89" t="s">
        <v>1049</v>
      </c>
      <c r="AM540" s="100" t="s">
        <v>1017</v>
      </c>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114"/>
      <c r="CQ540" s="115"/>
      <c r="CR540" s="114"/>
      <c r="CS540" s="115"/>
      <c r="CT540" s="114"/>
      <c r="CU540" s="115"/>
      <c r="CV540" s="99">
        <f t="shared" si="53"/>
        <v>0</v>
      </c>
      <c r="CW540" s="114"/>
      <c r="CX540" s="115"/>
      <c r="CY540" s="114"/>
      <c r="CZ540" s="115"/>
      <c r="DA540" s="115"/>
      <c r="DB540" s="115"/>
      <c r="DC540" s="114"/>
      <c r="DD540" s="115"/>
      <c r="DE540" s="97"/>
      <c r="DF540" s="269"/>
    </row>
    <row r="541" spans="1:110" s="270" customFormat="1" ht="48" x14ac:dyDescent="0.2">
      <c r="A541" s="89">
        <v>40648</v>
      </c>
      <c r="B541" s="90" t="s">
        <v>4261</v>
      </c>
      <c r="C541" s="90" t="s">
        <v>2871</v>
      </c>
      <c r="D541" s="90" t="s">
        <v>4264</v>
      </c>
      <c r="E541" s="90" t="str">
        <f>VLOOKUP(B541&amp;C541,Divipola!$C$2:$F$1138,4,FALSE)</f>
        <v>15632</v>
      </c>
      <c r="F541" s="90"/>
      <c r="G541" s="101"/>
      <c r="H541" s="101"/>
      <c r="I541" s="101"/>
      <c r="J541" s="101"/>
      <c r="K541" s="101"/>
      <c r="L541" s="101"/>
      <c r="M541" s="101"/>
      <c r="N541" s="101">
        <v>1</v>
      </c>
      <c r="O541" s="101"/>
      <c r="P541" s="101"/>
      <c r="Q541" s="101"/>
      <c r="R541" s="101"/>
      <c r="S541" s="101"/>
      <c r="T541" s="101"/>
      <c r="U541" s="101"/>
      <c r="V541" s="101"/>
      <c r="W541" s="91"/>
      <c r="X541" s="89"/>
      <c r="Y541" s="92">
        <f t="shared" si="48"/>
        <v>0</v>
      </c>
      <c r="Z541" s="92">
        <f t="shared" si="49"/>
        <v>0</v>
      </c>
      <c r="AA541" s="92">
        <f t="shared" si="50"/>
        <v>0</v>
      </c>
      <c r="AB541" s="92">
        <f t="shared" si="51"/>
        <v>0</v>
      </c>
      <c r="AC541" s="92"/>
      <c r="AD541" s="92">
        <v>40000000</v>
      </c>
      <c r="AE541" s="92">
        <f t="shared" si="52"/>
        <v>40000000</v>
      </c>
      <c r="AF541" s="93">
        <v>0</v>
      </c>
      <c r="AG541" s="89"/>
      <c r="AH541" s="94"/>
      <c r="AI541" s="102" t="s">
        <v>4346</v>
      </c>
      <c r="AJ541" s="96" t="s">
        <v>4347</v>
      </c>
      <c r="AK541" s="97"/>
      <c r="AL541" s="89" t="s">
        <v>1049</v>
      </c>
      <c r="AM541" s="100" t="s">
        <v>927</v>
      </c>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114"/>
      <c r="CQ541" s="115"/>
      <c r="CR541" s="114"/>
      <c r="CS541" s="115"/>
      <c r="CT541" s="114"/>
      <c r="CU541" s="115"/>
      <c r="CV541" s="99">
        <f t="shared" si="53"/>
        <v>0</v>
      </c>
      <c r="CW541" s="114"/>
      <c r="CX541" s="115"/>
      <c r="CY541" s="114"/>
      <c r="CZ541" s="115"/>
      <c r="DA541" s="115"/>
      <c r="DB541" s="115"/>
      <c r="DC541" s="114"/>
      <c r="DD541" s="115"/>
      <c r="DE541" s="97"/>
      <c r="DF541" s="269"/>
    </row>
    <row r="542" spans="1:110" s="270" customFormat="1" ht="48" x14ac:dyDescent="0.2">
      <c r="A542" s="89">
        <v>40648</v>
      </c>
      <c r="B542" s="90" t="s">
        <v>4261</v>
      </c>
      <c r="C542" s="90" t="s">
        <v>3249</v>
      </c>
      <c r="D542" s="90" t="s">
        <v>2362</v>
      </c>
      <c r="E542" s="90" t="str">
        <f>VLOOKUP(B542&amp;C542,Divipola!$C$2:$F$1138,4,FALSE)</f>
        <v>15832</v>
      </c>
      <c r="F542" s="90"/>
      <c r="G542" s="101"/>
      <c r="H542" s="101"/>
      <c r="I542" s="101"/>
      <c r="J542" s="101">
        <v>150</v>
      </c>
      <c r="K542" s="101">
        <v>30</v>
      </c>
      <c r="L542" s="101"/>
      <c r="M542" s="101"/>
      <c r="N542" s="101">
        <v>1</v>
      </c>
      <c r="O542" s="101"/>
      <c r="P542" s="101"/>
      <c r="Q542" s="101"/>
      <c r="R542" s="101"/>
      <c r="S542" s="101"/>
      <c r="T542" s="101"/>
      <c r="U542" s="101"/>
      <c r="V542" s="101"/>
      <c r="W542" s="91"/>
      <c r="X542" s="89"/>
      <c r="Y542" s="92">
        <f t="shared" si="48"/>
        <v>0</v>
      </c>
      <c r="Z542" s="92">
        <f t="shared" si="49"/>
        <v>0</v>
      </c>
      <c r="AA542" s="92">
        <f t="shared" si="50"/>
        <v>0</v>
      </c>
      <c r="AB542" s="92">
        <f t="shared" si="51"/>
        <v>0</v>
      </c>
      <c r="AC542" s="92"/>
      <c r="AD542" s="92">
        <v>0</v>
      </c>
      <c r="AE542" s="92">
        <f t="shared" si="52"/>
        <v>0</v>
      </c>
      <c r="AF542" s="93">
        <v>0</v>
      </c>
      <c r="AG542" s="89"/>
      <c r="AH542" s="94"/>
      <c r="AI542" s="102" t="s">
        <v>4346</v>
      </c>
      <c r="AJ542" s="96" t="s">
        <v>4347</v>
      </c>
      <c r="AK542" s="97"/>
      <c r="AL542" s="89" t="s">
        <v>1049</v>
      </c>
      <c r="AM542" s="100" t="s">
        <v>1018</v>
      </c>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114"/>
      <c r="CQ542" s="115"/>
      <c r="CR542" s="114"/>
      <c r="CS542" s="115"/>
      <c r="CT542" s="114"/>
      <c r="CU542" s="115"/>
      <c r="CV542" s="99">
        <f t="shared" si="53"/>
        <v>0</v>
      </c>
      <c r="CW542" s="114"/>
      <c r="CX542" s="115"/>
      <c r="CY542" s="114"/>
      <c r="CZ542" s="115"/>
      <c r="DA542" s="115"/>
      <c r="DB542" s="115"/>
      <c r="DC542" s="114"/>
      <c r="DD542" s="115"/>
      <c r="DE542" s="97"/>
      <c r="DF542" s="269"/>
    </row>
    <row r="543" spans="1:110" s="270" customFormat="1" ht="36" x14ac:dyDescent="0.2">
      <c r="A543" s="89">
        <v>40648</v>
      </c>
      <c r="B543" s="90" t="s">
        <v>4282</v>
      </c>
      <c r="C543" s="90" t="s">
        <v>3537</v>
      </c>
      <c r="D543" s="90" t="s">
        <v>4264</v>
      </c>
      <c r="E543" s="90" t="str">
        <f>VLOOKUP(B543&amp;C543,Divipola!$C$2:$F$1138,4,FALSE)</f>
        <v>23162</v>
      </c>
      <c r="F543" s="90"/>
      <c r="G543" s="101"/>
      <c r="H543" s="101"/>
      <c r="I543" s="101"/>
      <c r="J543" s="101"/>
      <c r="K543" s="101"/>
      <c r="L543" s="101"/>
      <c r="M543" s="101"/>
      <c r="N543" s="101"/>
      <c r="O543" s="101"/>
      <c r="P543" s="101"/>
      <c r="Q543" s="101"/>
      <c r="R543" s="101"/>
      <c r="S543" s="101"/>
      <c r="T543" s="101"/>
      <c r="U543" s="101"/>
      <c r="V543" s="101"/>
      <c r="W543" s="91"/>
      <c r="X543" s="89"/>
      <c r="Y543" s="92">
        <f t="shared" si="48"/>
        <v>0</v>
      </c>
      <c r="Z543" s="92">
        <f t="shared" si="49"/>
        <v>0</v>
      </c>
      <c r="AA543" s="92">
        <f t="shared" si="50"/>
        <v>0</v>
      </c>
      <c r="AB543" s="92">
        <f t="shared" si="51"/>
        <v>0</v>
      </c>
      <c r="AC543" s="92"/>
      <c r="AD543" s="92">
        <v>136644298</v>
      </c>
      <c r="AE543" s="92">
        <f t="shared" si="52"/>
        <v>136644298</v>
      </c>
      <c r="AF543" s="93">
        <v>0</v>
      </c>
      <c r="AG543" s="89"/>
      <c r="AH543" s="94"/>
      <c r="AI543" s="95" t="s">
        <v>4346</v>
      </c>
      <c r="AJ543" s="96" t="s">
        <v>4347</v>
      </c>
      <c r="AK543" s="97"/>
      <c r="AL543" s="89"/>
      <c r="AM543" s="98" t="s">
        <v>1009</v>
      </c>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114"/>
      <c r="CQ543" s="115"/>
      <c r="CR543" s="114"/>
      <c r="CS543" s="115"/>
      <c r="CT543" s="114"/>
      <c r="CU543" s="115"/>
      <c r="CV543" s="99">
        <f t="shared" si="53"/>
        <v>0</v>
      </c>
      <c r="CW543" s="114"/>
      <c r="CX543" s="115"/>
      <c r="CY543" s="114"/>
      <c r="CZ543" s="115"/>
      <c r="DA543" s="115"/>
      <c r="DB543" s="115"/>
      <c r="DC543" s="114"/>
      <c r="DD543" s="115"/>
      <c r="DE543" s="97">
        <v>8</v>
      </c>
      <c r="DF543" s="269"/>
    </row>
    <row r="544" spans="1:110" s="270" customFormat="1" ht="36" x14ac:dyDescent="0.2">
      <c r="A544" s="89">
        <v>40648</v>
      </c>
      <c r="B544" s="90" t="s">
        <v>4344</v>
      </c>
      <c r="C544" s="90" t="s">
        <v>3450</v>
      </c>
      <c r="D544" s="90" t="s">
        <v>2362</v>
      </c>
      <c r="E544" s="90" t="str">
        <f>VLOOKUP(B544&amp;C544,Divipola!$C$2:$F$1138,4,FALSE)</f>
        <v>25175</v>
      </c>
      <c r="F544" s="90"/>
      <c r="G544" s="101"/>
      <c r="H544" s="101"/>
      <c r="I544" s="101"/>
      <c r="J544" s="101">
        <v>15</v>
      </c>
      <c r="K544" s="101">
        <v>3</v>
      </c>
      <c r="L544" s="101"/>
      <c r="M544" s="101">
        <v>2</v>
      </c>
      <c r="N544" s="101">
        <v>1</v>
      </c>
      <c r="O544" s="101"/>
      <c r="P544" s="101"/>
      <c r="Q544" s="101"/>
      <c r="R544" s="101"/>
      <c r="S544" s="101"/>
      <c r="T544" s="101"/>
      <c r="U544" s="101"/>
      <c r="V544" s="101"/>
      <c r="W544" s="91"/>
      <c r="X544" s="89"/>
      <c r="Y544" s="92">
        <f t="shared" si="48"/>
        <v>0</v>
      </c>
      <c r="Z544" s="92">
        <f t="shared" si="49"/>
        <v>0</v>
      </c>
      <c r="AA544" s="92">
        <f t="shared" si="50"/>
        <v>0</v>
      </c>
      <c r="AB544" s="92">
        <f t="shared" si="51"/>
        <v>0</v>
      </c>
      <c r="AC544" s="92"/>
      <c r="AD544" s="92">
        <v>0</v>
      </c>
      <c r="AE544" s="92">
        <f t="shared" si="52"/>
        <v>0</v>
      </c>
      <c r="AF544" s="93">
        <v>0</v>
      </c>
      <c r="AG544" s="89"/>
      <c r="AH544" s="94"/>
      <c r="AI544" s="102" t="s">
        <v>4336</v>
      </c>
      <c r="AJ544" s="96" t="s">
        <v>4337</v>
      </c>
      <c r="AK544" s="97"/>
      <c r="AL544" s="89"/>
      <c r="AM544" s="100" t="s">
        <v>291</v>
      </c>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114"/>
      <c r="CQ544" s="115"/>
      <c r="CR544" s="114"/>
      <c r="CS544" s="115"/>
      <c r="CT544" s="114"/>
      <c r="CU544" s="115"/>
      <c r="CV544" s="99">
        <f t="shared" si="53"/>
        <v>0</v>
      </c>
      <c r="CW544" s="114"/>
      <c r="CX544" s="115"/>
      <c r="CY544" s="114"/>
      <c r="CZ544" s="115"/>
      <c r="DA544" s="115"/>
      <c r="DB544" s="115"/>
      <c r="DC544" s="114"/>
      <c r="DD544" s="115"/>
      <c r="DE544" s="97"/>
      <c r="DF544" s="269"/>
    </row>
    <row r="545" spans="1:110" s="270" customFormat="1" ht="36" x14ac:dyDescent="0.2">
      <c r="A545" s="89">
        <v>40648</v>
      </c>
      <c r="B545" s="90" t="s">
        <v>4344</v>
      </c>
      <c r="C545" s="90" t="s">
        <v>2212</v>
      </c>
      <c r="D545" s="90" t="s">
        <v>4264</v>
      </c>
      <c r="E545" s="90" t="str">
        <f>VLOOKUP(B545&amp;C545,Divipola!$C$2:$F$1138,4,FALSE)</f>
        <v>25317</v>
      </c>
      <c r="F545" s="90"/>
      <c r="G545" s="101"/>
      <c r="H545" s="101"/>
      <c r="I545" s="101"/>
      <c r="J545" s="101">
        <v>600</v>
      </c>
      <c r="K545" s="101">
        <v>150</v>
      </c>
      <c r="L545" s="101"/>
      <c r="M545" s="101">
        <v>150</v>
      </c>
      <c r="N545" s="101"/>
      <c r="O545" s="101"/>
      <c r="P545" s="101"/>
      <c r="Q545" s="101"/>
      <c r="R545" s="101"/>
      <c r="S545" s="101"/>
      <c r="T545" s="101"/>
      <c r="U545" s="101"/>
      <c r="V545" s="101"/>
      <c r="W545" s="91"/>
      <c r="X545" s="89"/>
      <c r="Y545" s="92">
        <f t="shared" si="48"/>
        <v>0</v>
      </c>
      <c r="Z545" s="92">
        <f t="shared" si="49"/>
        <v>0</v>
      </c>
      <c r="AA545" s="92">
        <f t="shared" si="50"/>
        <v>0</v>
      </c>
      <c r="AB545" s="92">
        <f t="shared" si="51"/>
        <v>0</v>
      </c>
      <c r="AC545" s="92"/>
      <c r="AD545" s="92">
        <v>0</v>
      </c>
      <c r="AE545" s="92">
        <f t="shared" si="52"/>
        <v>0</v>
      </c>
      <c r="AF545" s="93">
        <v>0</v>
      </c>
      <c r="AG545" s="89"/>
      <c r="AH545" s="94"/>
      <c r="AI545" s="102" t="s">
        <v>4336</v>
      </c>
      <c r="AJ545" s="96" t="s">
        <v>4337</v>
      </c>
      <c r="AK545" s="97"/>
      <c r="AL545" s="89"/>
      <c r="AM545" s="100" t="s">
        <v>289</v>
      </c>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114"/>
      <c r="CQ545" s="115"/>
      <c r="CR545" s="114"/>
      <c r="CS545" s="115"/>
      <c r="CT545" s="114"/>
      <c r="CU545" s="115"/>
      <c r="CV545" s="99">
        <f t="shared" si="53"/>
        <v>0</v>
      </c>
      <c r="CW545" s="114"/>
      <c r="CX545" s="115"/>
      <c r="CY545" s="114"/>
      <c r="CZ545" s="115"/>
      <c r="DA545" s="115"/>
      <c r="DB545" s="115"/>
      <c r="DC545" s="114"/>
      <c r="DD545" s="115"/>
      <c r="DE545" s="97"/>
      <c r="DF545" s="269"/>
    </row>
    <row r="546" spans="1:110" s="270" customFormat="1" x14ac:dyDescent="0.2">
      <c r="A546" s="89">
        <v>40648</v>
      </c>
      <c r="B546" s="90" t="s">
        <v>4344</v>
      </c>
      <c r="C546" s="90" t="s">
        <v>3448</v>
      </c>
      <c r="D546" s="90" t="s">
        <v>2362</v>
      </c>
      <c r="E546" s="90" t="str">
        <f>VLOOKUP(B546&amp;C546,Divipola!$C$2:$F$1138,4,FALSE)</f>
        <v>25740</v>
      </c>
      <c r="F546" s="90"/>
      <c r="G546" s="101"/>
      <c r="H546" s="101"/>
      <c r="I546" s="101"/>
      <c r="J546" s="101">
        <v>4</v>
      </c>
      <c r="K546" s="101">
        <v>1</v>
      </c>
      <c r="L546" s="101"/>
      <c r="M546" s="101">
        <v>1</v>
      </c>
      <c r="N546" s="101"/>
      <c r="O546" s="101"/>
      <c r="P546" s="101"/>
      <c r="Q546" s="101"/>
      <c r="R546" s="101"/>
      <c r="S546" s="101"/>
      <c r="T546" s="101"/>
      <c r="U546" s="101"/>
      <c r="V546" s="101"/>
      <c r="W546" s="91"/>
      <c r="X546" s="89"/>
      <c r="Y546" s="92">
        <f t="shared" si="48"/>
        <v>0</v>
      </c>
      <c r="Z546" s="92">
        <f t="shared" si="49"/>
        <v>0</v>
      </c>
      <c r="AA546" s="92">
        <f t="shared" si="50"/>
        <v>0</v>
      </c>
      <c r="AB546" s="92">
        <f t="shared" si="51"/>
        <v>0</v>
      </c>
      <c r="AC546" s="92"/>
      <c r="AD546" s="92">
        <v>0</v>
      </c>
      <c r="AE546" s="92">
        <f t="shared" si="52"/>
        <v>0</v>
      </c>
      <c r="AF546" s="93">
        <v>0</v>
      </c>
      <c r="AG546" s="89"/>
      <c r="AH546" s="94"/>
      <c r="AI546" s="102" t="s">
        <v>4336</v>
      </c>
      <c r="AJ546" s="96" t="s">
        <v>4337</v>
      </c>
      <c r="AK546" s="97"/>
      <c r="AL546" s="89"/>
      <c r="AM546" s="100" t="s">
        <v>3452</v>
      </c>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114"/>
      <c r="CQ546" s="115"/>
      <c r="CR546" s="114"/>
      <c r="CS546" s="115"/>
      <c r="CT546" s="114"/>
      <c r="CU546" s="115"/>
      <c r="CV546" s="99">
        <f t="shared" si="53"/>
        <v>0</v>
      </c>
      <c r="CW546" s="114"/>
      <c r="CX546" s="115"/>
      <c r="CY546" s="114"/>
      <c r="CZ546" s="115"/>
      <c r="DA546" s="115"/>
      <c r="DB546" s="115"/>
      <c r="DC546" s="114"/>
      <c r="DD546" s="115"/>
      <c r="DE546" s="97"/>
      <c r="DF546" s="269"/>
    </row>
    <row r="547" spans="1:110" s="270" customFormat="1" ht="36" x14ac:dyDescent="0.2">
      <c r="A547" s="89">
        <v>40648</v>
      </c>
      <c r="B547" s="90" t="s">
        <v>4344</v>
      </c>
      <c r="C547" s="90" t="s">
        <v>3391</v>
      </c>
      <c r="D547" s="90" t="s">
        <v>2865</v>
      </c>
      <c r="E547" s="90" t="str">
        <f>VLOOKUP(B547&amp;C547,Divipola!$C$2:$F$1138,4,FALSE)</f>
        <v>25785</v>
      </c>
      <c r="F547" s="90"/>
      <c r="G547" s="101"/>
      <c r="H547" s="101"/>
      <c r="I547" s="101"/>
      <c r="J547" s="101"/>
      <c r="K547" s="101"/>
      <c r="L547" s="101"/>
      <c r="M547" s="101"/>
      <c r="N547" s="101"/>
      <c r="O547" s="101"/>
      <c r="P547" s="101"/>
      <c r="Q547" s="101"/>
      <c r="R547" s="101"/>
      <c r="S547" s="101"/>
      <c r="T547" s="101">
        <v>1</v>
      </c>
      <c r="U547" s="101"/>
      <c r="V547" s="101"/>
      <c r="W547" s="91"/>
      <c r="X547" s="89"/>
      <c r="Y547" s="92">
        <f t="shared" si="48"/>
        <v>0</v>
      </c>
      <c r="Z547" s="92">
        <f t="shared" si="49"/>
        <v>0</v>
      </c>
      <c r="AA547" s="92">
        <f t="shared" si="50"/>
        <v>0</v>
      </c>
      <c r="AB547" s="92">
        <f t="shared" si="51"/>
        <v>0</v>
      </c>
      <c r="AC547" s="92"/>
      <c r="AD547" s="92">
        <v>0</v>
      </c>
      <c r="AE547" s="92">
        <f t="shared" si="52"/>
        <v>0</v>
      </c>
      <c r="AF547" s="93">
        <v>0</v>
      </c>
      <c r="AG547" s="89"/>
      <c r="AH547" s="94"/>
      <c r="AI547" s="102" t="s">
        <v>4336</v>
      </c>
      <c r="AJ547" s="96" t="s">
        <v>4337</v>
      </c>
      <c r="AK547" s="97"/>
      <c r="AL547" s="89"/>
      <c r="AM547" s="100" t="s">
        <v>292</v>
      </c>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114"/>
      <c r="CQ547" s="115"/>
      <c r="CR547" s="114"/>
      <c r="CS547" s="115"/>
      <c r="CT547" s="114"/>
      <c r="CU547" s="115"/>
      <c r="CV547" s="99">
        <f t="shared" si="53"/>
        <v>0</v>
      </c>
      <c r="CW547" s="114"/>
      <c r="CX547" s="115"/>
      <c r="CY547" s="114"/>
      <c r="CZ547" s="115"/>
      <c r="DA547" s="115"/>
      <c r="DB547" s="115"/>
      <c r="DC547" s="114"/>
      <c r="DD547" s="115"/>
      <c r="DE547" s="97"/>
      <c r="DF547" s="269"/>
    </row>
    <row r="548" spans="1:110" s="270" customFormat="1" ht="60" x14ac:dyDescent="0.2">
      <c r="A548" s="89">
        <v>40648</v>
      </c>
      <c r="B548" s="90" t="s">
        <v>4219</v>
      </c>
      <c r="C548" s="90" t="s">
        <v>63</v>
      </c>
      <c r="D548" s="90" t="s">
        <v>2362</v>
      </c>
      <c r="E548" s="90" t="str">
        <f>VLOOKUP(B548&amp;C548,Divipola!$C$2:$F$1138,4,FALSE)</f>
        <v>41524</v>
      </c>
      <c r="F548" s="90"/>
      <c r="G548" s="101"/>
      <c r="H548" s="101"/>
      <c r="I548" s="101"/>
      <c r="J548" s="101"/>
      <c r="K548" s="101"/>
      <c r="L548" s="101"/>
      <c r="M548" s="101"/>
      <c r="N548" s="101">
        <v>1</v>
      </c>
      <c r="O548" s="101"/>
      <c r="P548" s="101"/>
      <c r="Q548" s="101"/>
      <c r="R548" s="101"/>
      <c r="S548" s="101"/>
      <c r="T548" s="101"/>
      <c r="U548" s="101"/>
      <c r="V548" s="101"/>
      <c r="W548" s="91"/>
      <c r="X548" s="89"/>
      <c r="Y548" s="92">
        <f t="shared" si="48"/>
        <v>0</v>
      </c>
      <c r="Z548" s="92">
        <f t="shared" si="49"/>
        <v>0</v>
      </c>
      <c r="AA548" s="92">
        <f t="shared" si="50"/>
        <v>0</v>
      </c>
      <c r="AB548" s="92">
        <f t="shared" si="51"/>
        <v>0</v>
      </c>
      <c r="AC548" s="92"/>
      <c r="AD548" s="92">
        <v>0</v>
      </c>
      <c r="AE548" s="92">
        <f t="shared" si="52"/>
        <v>0</v>
      </c>
      <c r="AF548" s="93">
        <v>0</v>
      </c>
      <c r="AG548" s="89"/>
      <c r="AH548" s="94"/>
      <c r="AI548" s="95" t="s">
        <v>4336</v>
      </c>
      <c r="AJ548" s="96" t="s">
        <v>4337</v>
      </c>
      <c r="AK548" s="97"/>
      <c r="AL548" s="89"/>
      <c r="AM548" s="100" t="s">
        <v>285</v>
      </c>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114"/>
      <c r="CQ548" s="115"/>
      <c r="CR548" s="114"/>
      <c r="CS548" s="115"/>
      <c r="CT548" s="114"/>
      <c r="CU548" s="115"/>
      <c r="CV548" s="99">
        <f t="shared" si="53"/>
        <v>0</v>
      </c>
      <c r="CW548" s="114"/>
      <c r="CX548" s="115"/>
      <c r="CY548" s="114"/>
      <c r="CZ548" s="115"/>
      <c r="DA548" s="115"/>
      <c r="DB548" s="115"/>
      <c r="DC548" s="114"/>
      <c r="DD548" s="115"/>
      <c r="DE548" s="97"/>
      <c r="DF548" s="269"/>
    </row>
    <row r="549" spans="1:110" s="270" customFormat="1" ht="36" x14ac:dyDescent="0.2">
      <c r="A549" s="89">
        <v>40648</v>
      </c>
      <c r="B549" s="90" t="s">
        <v>4348</v>
      </c>
      <c r="C549" s="90" t="s">
        <v>3553</v>
      </c>
      <c r="D549" s="90" t="s">
        <v>2362</v>
      </c>
      <c r="E549" s="90" t="str">
        <f>VLOOKUP(B549&amp;C549,Divipola!$C$2:$F$1138,4,FALSE)</f>
        <v>66075</v>
      </c>
      <c r="F549" s="90"/>
      <c r="G549" s="101"/>
      <c r="H549" s="101"/>
      <c r="I549" s="101"/>
      <c r="J549" s="101">
        <v>5015</v>
      </c>
      <c r="K549" s="101">
        <v>1093</v>
      </c>
      <c r="L549" s="101"/>
      <c r="M549" s="101">
        <v>1093</v>
      </c>
      <c r="N549" s="101"/>
      <c r="O549" s="101"/>
      <c r="P549" s="101"/>
      <c r="Q549" s="101"/>
      <c r="R549" s="101"/>
      <c r="S549" s="101"/>
      <c r="T549" s="101"/>
      <c r="U549" s="101"/>
      <c r="V549" s="101"/>
      <c r="W549" s="91"/>
      <c r="X549" s="89"/>
      <c r="Y549" s="92">
        <f t="shared" si="48"/>
        <v>0</v>
      </c>
      <c r="Z549" s="92">
        <f t="shared" si="49"/>
        <v>0</v>
      </c>
      <c r="AA549" s="92">
        <f t="shared" si="50"/>
        <v>0</v>
      </c>
      <c r="AB549" s="92">
        <f t="shared" si="51"/>
        <v>0</v>
      </c>
      <c r="AC549" s="92"/>
      <c r="AD549" s="92">
        <v>0</v>
      </c>
      <c r="AE549" s="92">
        <f t="shared" si="52"/>
        <v>0</v>
      </c>
      <c r="AF549" s="93">
        <v>0</v>
      </c>
      <c r="AG549" s="89"/>
      <c r="AH549" s="94"/>
      <c r="AI549" s="95" t="s">
        <v>4336</v>
      </c>
      <c r="AJ549" s="96" t="s">
        <v>4337</v>
      </c>
      <c r="AK549" s="97"/>
      <c r="AL549" s="89"/>
      <c r="AM549" s="100" t="s">
        <v>1956</v>
      </c>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114"/>
      <c r="CQ549" s="115"/>
      <c r="CR549" s="114"/>
      <c r="CS549" s="115"/>
      <c r="CT549" s="114"/>
      <c r="CU549" s="115"/>
      <c r="CV549" s="99">
        <f t="shared" si="53"/>
        <v>0</v>
      </c>
      <c r="CW549" s="114"/>
      <c r="CX549" s="115"/>
      <c r="CY549" s="114"/>
      <c r="CZ549" s="115"/>
      <c r="DA549" s="115"/>
      <c r="DB549" s="115"/>
      <c r="DC549" s="114"/>
      <c r="DD549" s="115"/>
      <c r="DE549" s="97"/>
      <c r="DF549" s="269"/>
    </row>
    <row r="550" spans="1:110" s="270" customFormat="1" ht="84" x14ac:dyDescent="0.2">
      <c r="A550" s="89">
        <v>40648</v>
      </c>
      <c r="B550" s="90" t="s">
        <v>4348</v>
      </c>
      <c r="C550" s="90" t="s">
        <v>4345</v>
      </c>
      <c r="D550" s="90" t="s">
        <v>4264</v>
      </c>
      <c r="E550" s="90">
        <f>VLOOKUP(B550&amp;C550,Divipola!$C$2:$F$1138,4,FALSE)</f>
        <v>66</v>
      </c>
      <c r="F550" s="90"/>
      <c r="G550" s="101"/>
      <c r="H550" s="101"/>
      <c r="I550" s="101"/>
      <c r="J550" s="101"/>
      <c r="K550" s="101"/>
      <c r="L550" s="101"/>
      <c r="M550" s="101"/>
      <c r="N550" s="101"/>
      <c r="O550" s="101"/>
      <c r="P550" s="101"/>
      <c r="Q550" s="101"/>
      <c r="R550" s="101"/>
      <c r="S550" s="101"/>
      <c r="T550" s="101"/>
      <c r="U550" s="101"/>
      <c r="V550" s="101"/>
      <c r="W550" s="91"/>
      <c r="X550" s="89"/>
      <c r="Y550" s="92">
        <f t="shared" si="48"/>
        <v>0</v>
      </c>
      <c r="Z550" s="92">
        <f t="shared" si="49"/>
        <v>0</v>
      </c>
      <c r="AA550" s="92">
        <f t="shared" si="50"/>
        <v>0</v>
      </c>
      <c r="AB550" s="92">
        <f t="shared" si="51"/>
        <v>0</v>
      </c>
      <c r="AC550" s="92"/>
      <c r="AD550" s="92">
        <f>500000000+521588560</f>
        <v>1021588560</v>
      </c>
      <c r="AE550" s="92">
        <f t="shared" si="52"/>
        <v>1021588560</v>
      </c>
      <c r="AF550" s="93">
        <v>0</v>
      </c>
      <c r="AG550" s="89"/>
      <c r="AH550" s="94"/>
      <c r="AI550" s="95" t="s">
        <v>4346</v>
      </c>
      <c r="AJ550" s="96" t="s">
        <v>4347</v>
      </c>
      <c r="AK550" s="97"/>
      <c r="AL550" s="89"/>
      <c r="AM550" s="98" t="s">
        <v>3411</v>
      </c>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114"/>
      <c r="CQ550" s="115"/>
      <c r="CR550" s="114"/>
      <c r="CS550" s="115"/>
      <c r="CT550" s="114"/>
      <c r="CU550" s="115"/>
      <c r="CV550" s="99">
        <f t="shared" si="53"/>
        <v>0</v>
      </c>
      <c r="CW550" s="114"/>
      <c r="CX550" s="115"/>
      <c r="CY550" s="114"/>
      <c r="CZ550" s="115"/>
      <c r="DA550" s="115"/>
      <c r="DB550" s="115"/>
      <c r="DC550" s="114"/>
      <c r="DD550" s="115"/>
      <c r="DE550" s="97">
        <v>4</v>
      </c>
      <c r="DF550" s="269"/>
    </row>
    <row r="551" spans="1:110" s="270" customFormat="1" ht="36" x14ac:dyDescent="0.2">
      <c r="A551" s="89">
        <v>40648</v>
      </c>
      <c r="B551" s="90" t="s">
        <v>4348</v>
      </c>
      <c r="C551" s="90" t="s">
        <v>601</v>
      </c>
      <c r="D551" s="90" t="s">
        <v>2362</v>
      </c>
      <c r="E551" s="90" t="str">
        <f>VLOOKUP(B551&amp;C551,Divipola!$C$2:$F$1138,4,FALSE)</f>
        <v>66170</v>
      </c>
      <c r="F551" s="90"/>
      <c r="G551" s="101">
        <v>1</v>
      </c>
      <c r="H551" s="101"/>
      <c r="I551" s="101"/>
      <c r="J551" s="101">
        <v>5</v>
      </c>
      <c r="K551" s="101">
        <v>1</v>
      </c>
      <c r="L551" s="101">
        <v>1</v>
      </c>
      <c r="M551" s="101"/>
      <c r="N551" s="101"/>
      <c r="O551" s="101"/>
      <c r="P551" s="101"/>
      <c r="Q551" s="101"/>
      <c r="R551" s="101"/>
      <c r="S551" s="101"/>
      <c r="T551" s="101"/>
      <c r="U551" s="101"/>
      <c r="V551" s="101"/>
      <c r="W551" s="91"/>
      <c r="X551" s="89"/>
      <c r="Y551" s="92">
        <f t="shared" si="48"/>
        <v>0</v>
      </c>
      <c r="Z551" s="92">
        <f t="shared" si="49"/>
        <v>0</v>
      </c>
      <c r="AA551" s="92">
        <f t="shared" si="50"/>
        <v>0</v>
      </c>
      <c r="AB551" s="92">
        <f t="shared" si="51"/>
        <v>0</v>
      </c>
      <c r="AC551" s="92"/>
      <c r="AD551" s="92">
        <v>0</v>
      </c>
      <c r="AE551" s="92">
        <f t="shared" si="52"/>
        <v>0</v>
      </c>
      <c r="AF551" s="93">
        <v>0</v>
      </c>
      <c r="AG551" s="89"/>
      <c r="AH551" s="94"/>
      <c r="AI551" s="95" t="s">
        <v>4336</v>
      </c>
      <c r="AJ551" s="96" t="s">
        <v>4337</v>
      </c>
      <c r="AK551" s="97"/>
      <c r="AL551" s="89"/>
      <c r="AM551" s="100" t="s">
        <v>3274</v>
      </c>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114"/>
      <c r="CQ551" s="115"/>
      <c r="CR551" s="114"/>
      <c r="CS551" s="115"/>
      <c r="CT551" s="114"/>
      <c r="CU551" s="115"/>
      <c r="CV551" s="99">
        <f t="shared" si="53"/>
        <v>0</v>
      </c>
      <c r="CW551" s="114"/>
      <c r="CX551" s="115"/>
      <c r="CY551" s="114"/>
      <c r="CZ551" s="115"/>
      <c r="DA551" s="115"/>
      <c r="DB551" s="115"/>
      <c r="DC551" s="114"/>
      <c r="DD551" s="115"/>
      <c r="DE551" s="97"/>
      <c r="DF551" s="269"/>
    </row>
    <row r="552" spans="1:110" s="270" customFormat="1" ht="108" x14ac:dyDescent="0.2">
      <c r="A552" s="89">
        <v>40648</v>
      </c>
      <c r="B552" s="90" t="s">
        <v>4348</v>
      </c>
      <c r="C552" s="90" t="s">
        <v>3377</v>
      </c>
      <c r="D552" s="90" t="s">
        <v>4264</v>
      </c>
      <c r="E552" s="90" t="str">
        <f>VLOOKUP(B552&amp;C552,Divipola!$C$2:$F$1138,4,FALSE)</f>
        <v>66400</v>
      </c>
      <c r="F552" s="90"/>
      <c r="G552" s="101"/>
      <c r="H552" s="101"/>
      <c r="I552" s="101"/>
      <c r="J552" s="101">
        <v>7445</v>
      </c>
      <c r="K552" s="101">
        <v>1489</v>
      </c>
      <c r="L552" s="101"/>
      <c r="M552" s="101">
        <v>1457</v>
      </c>
      <c r="N552" s="101"/>
      <c r="O552" s="101"/>
      <c r="P552" s="101"/>
      <c r="Q552" s="101"/>
      <c r="R552" s="101"/>
      <c r="S552" s="101"/>
      <c r="T552" s="101"/>
      <c r="U552" s="101"/>
      <c r="V552" s="101"/>
      <c r="W552" s="91"/>
      <c r="X552" s="89"/>
      <c r="Y552" s="92">
        <f t="shared" si="48"/>
        <v>0</v>
      </c>
      <c r="Z552" s="92">
        <f t="shared" si="49"/>
        <v>0</v>
      </c>
      <c r="AA552" s="92">
        <f t="shared" si="50"/>
        <v>0</v>
      </c>
      <c r="AB552" s="92">
        <f t="shared" si="51"/>
        <v>0</v>
      </c>
      <c r="AC552" s="92"/>
      <c r="AD552" s="92">
        <v>0</v>
      </c>
      <c r="AE552" s="92">
        <f t="shared" si="52"/>
        <v>0</v>
      </c>
      <c r="AF552" s="93">
        <v>0</v>
      </c>
      <c r="AG552" s="89"/>
      <c r="AH552" s="94"/>
      <c r="AI552" s="95" t="s">
        <v>4336</v>
      </c>
      <c r="AJ552" s="96" t="s">
        <v>4337</v>
      </c>
      <c r="AK552" s="97"/>
      <c r="AL552" s="89"/>
      <c r="AM552" s="100" t="s">
        <v>3633</v>
      </c>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114"/>
      <c r="CQ552" s="115"/>
      <c r="CR552" s="114"/>
      <c r="CS552" s="115"/>
      <c r="CT552" s="114"/>
      <c r="CU552" s="115"/>
      <c r="CV552" s="99">
        <f t="shared" si="53"/>
        <v>0</v>
      </c>
      <c r="CW552" s="114"/>
      <c r="CX552" s="115"/>
      <c r="CY552" s="114"/>
      <c r="CZ552" s="115"/>
      <c r="DA552" s="115"/>
      <c r="DB552" s="115"/>
      <c r="DC552" s="114"/>
      <c r="DD552" s="115"/>
      <c r="DE552" s="97"/>
      <c r="DF552" s="269"/>
    </row>
    <row r="553" spans="1:110" s="270" customFormat="1" ht="22.5" x14ac:dyDescent="0.2">
      <c r="A553" s="89">
        <v>40648</v>
      </c>
      <c r="B553" s="90" t="s">
        <v>4348</v>
      </c>
      <c r="C553" s="90" t="s">
        <v>3303</v>
      </c>
      <c r="D553" s="90" t="s">
        <v>2362</v>
      </c>
      <c r="E553" s="90" t="str">
        <f>VLOOKUP(B553&amp;C553,Divipola!$C$2:$F$1138,4,FALSE)</f>
        <v>66456</v>
      </c>
      <c r="F553" s="101"/>
      <c r="G553" s="101"/>
      <c r="H553" s="101"/>
      <c r="I553" s="101"/>
      <c r="J553" s="101">
        <v>275</v>
      </c>
      <c r="K553" s="101">
        <v>55</v>
      </c>
      <c r="L553" s="101"/>
      <c r="M553" s="101">
        <v>55</v>
      </c>
      <c r="N553" s="101"/>
      <c r="O553" s="101"/>
      <c r="P553" s="101"/>
      <c r="Q553" s="101"/>
      <c r="R553" s="101"/>
      <c r="S553" s="101"/>
      <c r="T553" s="101"/>
      <c r="U553" s="91"/>
      <c r="V553" s="89"/>
      <c r="W553" s="92"/>
      <c r="X553" s="92"/>
      <c r="Y553" s="92">
        <f t="shared" si="48"/>
        <v>0</v>
      </c>
      <c r="Z553" s="92">
        <f t="shared" si="49"/>
        <v>0</v>
      </c>
      <c r="AA553" s="92">
        <f t="shared" si="50"/>
        <v>0</v>
      </c>
      <c r="AB553" s="92">
        <f t="shared" si="51"/>
        <v>0</v>
      </c>
      <c r="AC553" s="92"/>
      <c r="AD553" s="92">
        <v>0</v>
      </c>
      <c r="AE553" s="92">
        <f t="shared" si="52"/>
        <v>0</v>
      </c>
      <c r="AF553" s="93">
        <v>0</v>
      </c>
      <c r="AG553" s="89"/>
      <c r="AH553" s="96"/>
      <c r="AI553" s="102" t="s">
        <v>4336</v>
      </c>
      <c r="AJ553" s="96" t="s">
        <v>4337</v>
      </c>
      <c r="AK553" s="100"/>
      <c r="AL553" s="89"/>
      <c r="AM553" s="90" t="s">
        <v>310</v>
      </c>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114"/>
      <c r="CQ553" s="115"/>
      <c r="CR553" s="114"/>
      <c r="CS553" s="115"/>
      <c r="CT553" s="114"/>
      <c r="CU553" s="115"/>
      <c r="CV553" s="99">
        <f t="shared" si="53"/>
        <v>0</v>
      </c>
      <c r="CW553" s="114"/>
      <c r="CX553" s="115"/>
      <c r="CY553" s="114"/>
      <c r="CZ553" s="115"/>
      <c r="DA553" s="115"/>
      <c r="DB553" s="115"/>
      <c r="DC553" s="114"/>
      <c r="DD553" s="115"/>
      <c r="DE553" s="97"/>
      <c r="DF553" s="269"/>
    </row>
    <row r="554" spans="1:110" s="270" customFormat="1" ht="84" x14ac:dyDescent="0.2">
      <c r="A554" s="89">
        <v>40648</v>
      </c>
      <c r="B554" s="90" t="s">
        <v>4348</v>
      </c>
      <c r="C554" s="90" t="s">
        <v>2228</v>
      </c>
      <c r="D554" s="90" t="s">
        <v>4264</v>
      </c>
      <c r="E554" s="90" t="str">
        <f>VLOOKUP(B554&amp;C554,Divipola!$C$2:$F$1138,4,FALSE)</f>
        <v>66001</v>
      </c>
      <c r="F554" s="90"/>
      <c r="G554" s="101"/>
      <c r="H554" s="101"/>
      <c r="I554" s="101"/>
      <c r="J554" s="101">
        <v>830</v>
      </c>
      <c r="K554" s="101">
        <v>166</v>
      </c>
      <c r="L554" s="101"/>
      <c r="M554" s="101">
        <v>166</v>
      </c>
      <c r="N554" s="101"/>
      <c r="O554" s="101"/>
      <c r="P554" s="101"/>
      <c r="Q554" s="101"/>
      <c r="R554" s="101"/>
      <c r="S554" s="101"/>
      <c r="T554" s="101"/>
      <c r="U554" s="101"/>
      <c r="V554" s="101"/>
      <c r="W554" s="91"/>
      <c r="X554" s="89"/>
      <c r="Y554" s="92">
        <f t="shared" si="48"/>
        <v>0</v>
      </c>
      <c r="Z554" s="92">
        <f t="shared" si="49"/>
        <v>0</v>
      </c>
      <c r="AA554" s="92">
        <f t="shared" si="50"/>
        <v>0</v>
      </c>
      <c r="AB554" s="92">
        <f t="shared" si="51"/>
        <v>0</v>
      </c>
      <c r="AC554" s="92"/>
      <c r="AD554" s="92">
        <v>0</v>
      </c>
      <c r="AE554" s="92">
        <f t="shared" si="52"/>
        <v>0</v>
      </c>
      <c r="AF554" s="93">
        <v>0</v>
      </c>
      <c r="AG554" s="89"/>
      <c r="AH554" s="94"/>
      <c r="AI554" s="95" t="s">
        <v>4336</v>
      </c>
      <c r="AJ554" s="96" t="s">
        <v>4337</v>
      </c>
      <c r="AK554" s="97"/>
      <c r="AL554" s="89"/>
      <c r="AM554" s="100" t="s">
        <v>3273</v>
      </c>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114"/>
      <c r="CQ554" s="115"/>
      <c r="CR554" s="114"/>
      <c r="CS554" s="115"/>
      <c r="CT554" s="114"/>
      <c r="CU554" s="115"/>
      <c r="CV554" s="99">
        <f t="shared" si="53"/>
        <v>0</v>
      </c>
      <c r="CW554" s="114"/>
      <c r="CX554" s="115"/>
      <c r="CY554" s="114"/>
      <c r="CZ554" s="115"/>
      <c r="DA554" s="115"/>
      <c r="DB554" s="115"/>
      <c r="DC554" s="114"/>
      <c r="DD554" s="115"/>
      <c r="DE554" s="97"/>
      <c r="DF554" s="269"/>
    </row>
    <row r="555" spans="1:110" s="270" customFormat="1" ht="24" x14ac:dyDescent="0.2">
      <c r="A555" s="89">
        <v>40648</v>
      </c>
      <c r="B555" s="90" t="s">
        <v>4348</v>
      </c>
      <c r="C555" s="90" t="s">
        <v>1957</v>
      </c>
      <c r="D555" s="90" t="s">
        <v>2362</v>
      </c>
      <c r="E555" s="90" t="str">
        <f>VLOOKUP(B555&amp;C555,Divipola!$C$2:$F$1138,4,FALSE)</f>
        <v>66572</v>
      </c>
      <c r="F555" s="90"/>
      <c r="G555" s="101"/>
      <c r="H555" s="101"/>
      <c r="I555" s="101"/>
      <c r="J555" s="101">
        <v>40</v>
      </c>
      <c r="K555" s="101">
        <v>8</v>
      </c>
      <c r="L555" s="101">
        <v>6</v>
      </c>
      <c r="M555" s="101">
        <v>2</v>
      </c>
      <c r="N555" s="101">
        <v>1</v>
      </c>
      <c r="O555" s="101"/>
      <c r="P555" s="101"/>
      <c r="Q555" s="101"/>
      <c r="R555" s="101"/>
      <c r="S555" s="101"/>
      <c r="T555" s="101"/>
      <c r="U555" s="101"/>
      <c r="V555" s="101"/>
      <c r="W555" s="91"/>
      <c r="X555" s="89"/>
      <c r="Y555" s="92">
        <f t="shared" si="48"/>
        <v>0</v>
      </c>
      <c r="Z555" s="92">
        <f t="shared" si="49"/>
        <v>0</v>
      </c>
      <c r="AA555" s="92">
        <f t="shared" si="50"/>
        <v>0</v>
      </c>
      <c r="AB555" s="92">
        <f t="shared" si="51"/>
        <v>0</v>
      </c>
      <c r="AC555" s="92"/>
      <c r="AD555" s="92">
        <v>0</v>
      </c>
      <c r="AE555" s="92">
        <f t="shared" si="52"/>
        <v>0</v>
      </c>
      <c r="AF555" s="93">
        <v>0</v>
      </c>
      <c r="AG555" s="89"/>
      <c r="AH555" s="94"/>
      <c r="AI555" s="95" t="s">
        <v>4336</v>
      </c>
      <c r="AJ555" s="96" t="s">
        <v>4337</v>
      </c>
      <c r="AK555" s="97"/>
      <c r="AL555" s="89"/>
      <c r="AM555" s="121" t="s">
        <v>3271</v>
      </c>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114"/>
      <c r="CQ555" s="115"/>
      <c r="CR555" s="114"/>
      <c r="CS555" s="115"/>
      <c r="CT555" s="114"/>
      <c r="CU555" s="115"/>
      <c r="CV555" s="99">
        <f t="shared" si="53"/>
        <v>0</v>
      </c>
      <c r="CW555" s="114"/>
      <c r="CX555" s="115"/>
      <c r="CY555" s="114"/>
      <c r="CZ555" s="115"/>
      <c r="DA555" s="115"/>
      <c r="DB555" s="115"/>
      <c r="DC555" s="114"/>
      <c r="DD555" s="115"/>
      <c r="DE555" s="97"/>
      <c r="DF555" s="269"/>
    </row>
    <row r="556" spans="1:110" s="270" customFormat="1" ht="48" x14ac:dyDescent="0.2">
      <c r="A556" s="89">
        <v>40648</v>
      </c>
      <c r="B556" s="90" t="s">
        <v>4348</v>
      </c>
      <c r="C556" s="90" t="s">
        <v>2251</v>
      </c>
      <c r="D556" s="90" t="s">
        <v>2362</v>
      </c>
      <c r="E556" s="90" t="str">
        <f>VLOOKUP(B556&amp;C556,Divipola!$C$2:$F$1138,4,FALSE)</f>
        <v>66594</v>
      </c>
      <c r="F556" s="90"/>
      <c r="G556" s="101"/>
      <c r="H556" s="101"/>
      <c r="I556" s="101"/>
      <c r="J556" s="101">
        <v>550</v>
      </c>
      <c r="K556" s="101">
        <v>110</v>
      </c>
      <c r="L556" s="101"/>
      <c r="M556" s="101">
        <v>110</v>
      </c>
      <c r="N556" s="101"/>
      <c r="O556" s="101"/>
      <c r="P556" s="101"/>
      <c r="Q556" s="101"/>
      <c r="R556" s="101"/>
      <c r="S556" s="101">
        <v>1</v>
      </c>
      <c r="T556" s="101">
        <v>1</v>
      </c>
      <c r="U556" s="101"/>
      <c r="V556" s="101"/>
      <c r="W556" s="91"/>
      <c r="X556" s="89"/>
      <c r="Y556" s="92">
        <f t="shared" si="48"/>
        <v>0</v>
      </c>
      <c r="Z556" s="92">
        <f t="shared" si="49"/>
        <v>0</v>
      </c>
      <c r="AA556" s="92">
        <f t="shared" si="50"/>
        <v>0</v>
      </c>
      <c r="AB556" s="92">
        <f t="shared" si="51"/>
        <v>0</v>
      </c>
      <c r="AC556" s="92"/>
      <c r="AD556" s="92">
        <v>0</v>
      </c>
      <c r="AE556" s="92">
        <f t="shared" si="52"/>
        <v>0</v>
      </c>
      <c r="AF556" s="93">
        <v>0</v>
      </c>
      <c r="AG556" s="89"/>
      <c r="AH556" s="94"/>
      <c r="AI556" s="95" t="s">
        <v>4336</v>
      </c>
      <c r="AJ556" s="96" t="s">
        <v>4337</v>
      </c>
      <c r="AK556" s="97"/>
      <c r="AL556" s="89"/>
      <c r="AM556" s="100" t="s">
        <v>1951</v>
      </c>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114"/>
      <c r="CQ556" s="115"/>
      <c r="CR556" s="114"/>
      <c r="CS556" s="115"/>
      <c r="CT556" s="114"/>
      <c r="CU556" s="115"/>
      <c r="CV556" s="99">
        <f t="shared" si="53"/>
        <v>0</v>
      </c>
      <c r="CW556" s="114"/>
      <c r="CX556" s="115"/>
      <c r="CY556" s="114"/>
      <c r="CZ556" s="115"/>
      <c r="DA556" s="115"/>
      <c r="DB556" s="115"/>
      <c r="DC556" s="114"/>
      <c r="DD556" s="115"/>
      <c r="DE556" s="97"/>
      <c r="DF556" s="269"/>
    </row>
    <row r="557" spans="1:110" s="270" customFormat="1" ht="84" x14ac:dyDescent="0.2">
      <c r="A557" s="89">
        <v>40648</v>
      </c>
      <c r="B557" s="16" t="s">
        <v>2226</v>
      </c>
      <c r="C557" s="16" t="s">
        <v>667</v>
      </c>
      <c r="D557" s="90" t="s">
        <v>4264</v>
      </c>
      <c r="E557" s="90" t="str">
        <f>VLOOKUP(B557&amp;C557,Divipola!$C$2:$F$1138,4,FALSE)</f>
        <v>68266</v>
      </c>
      <c r="F557" s="4"/>
      <c r="G557" s="208"/>
      <c r="H557" s="208"/>
      <c r="I557" s="208"/>
      <c r="J557" s="208"/>
      <c r="K557" s="208"/>
      <c r="L557" s="208"/>
      <c r="M557" s="208"/>
      <c r="N557" s="208">
        <v>4</v>
      </c>
      <c r="O557" s="208"/>
      <c r="P557" s="208">
        <v>1</v>
      </c>
      <c r="Q557" s="208"/>
      <c r="R557" s="208">
        <v>1</v>
      </c>
      <c r="S557" s="208"/>
      <c r="T557" s="208">
        <v>1</v>
      </c>
      <c r="U557" s="208"/>
      <c r="V557" s="208"/>
      <c r="W557" s="19"/>
      <c r="X557" s="17"/>
      <c r="Y557" s="5">
        <f t="shared" si="48"/>
        <v>0</v>
      </c>
      <c r="Z557" s="5">
        <f t="shared" si="49"/>
        <v>0</v>
      </c>
      <c r="AA557" s="5">
        <f t="shared" si="50"/>
        <v>0</v>
      </c>
      <c r="AB557" s="5">
        <f t="shared" si="51"/>
        <v>0</v>
      </c>
      <c r="AC557" s="5"/>
      <c r="AD557" s="5">
        <v>0</v>
      </c>
      <c r="AE557" s="5">
        <f t="shared" si="52"/>
        <v>0</v>
      </c>
      <c r="AF557" s="70">
        <v>0</v>
      </c>
      <c r="AG557" s="17"/>
      <c r="AH557" s="18"/>
      <c r="AI557" s="109" t="s">
        <v>4336</v>
      </c>
      <c r="AJ557" s="110" t="s">
        <v>4337</v>
      </c>
      <c r="AK557" s="45"/>
      <c r="AL557" s="17"/>
      <c r="AM557" s="20" t="s">
        <v>3780</v>
      </c>
      <c r="AN557" s="19"/>
      <c r="AO557" s="19"/>
      <c r="AP557" s="19"/>
      <c r="AQ557" s="19"/>
      <c r="AR557" s="19"/>
      <c r="AS557" s="19"/>
      <c r="AT557" s="19"/>
      <c r="AU557" s="19"/>
      <c r="AV557" s="19"/>
      <c r="AW557" s="19"/>
      <c r="AX557" s="107"/>
      <c r="AY557" s="107"/>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39"/>
      <c r="CO557" s="138"/>
      <c r="CP557" s="139"/>
      <c r="CQ557" s="138"/>
      <c r="CR557" s="139"/>
      <c r="CS557" s="138"/>
      <c r="CT557" s="72"/>
      <c r="CU557" s="139"/>
      <c r="CV557" s="99">
        <f t="shared" si="53"/>
        <v>0</v>
      </c>
      <c r="CW557" s="139"/>
      <c r="CX557" s="138"/>
      <c r="CY557" s="138"/>
      <c r="CZ557" s="138"/>
      <c r="DA557" s="139"/>
      <c r="DB557" s="138"/>
      <c r="DC557" s="45"/>
      <c r="DD557" s="138"/>
      <c r="DE557" s="45"/>
      <c r="DF557" s="269">
        <v>1699</v>
      </c>
    </row>
    <row r="558" spans="1:110" s="270" customFormat="1" ht="60" x14ac:dyDescent="0.2">
      <c r="A558" s="89">
        <v>40648</v>
      </c>
      <c r="B558" s="90" t="s">
        <v>2226</v>
      </c>
      <c r="C558" s="90" t="s">
        <v>4525</v>
      </c>
      <c r="D558" s="90" t="s">
        <v>2362</v>
      </c>
      <c r="E558" s="90" t="str">
        <f>VLOOKUP(B558&amp;C558,Divipola!$C$2:$F$1138,4,FALSE)</f>
        <v>68271</v>
      </c>
      <c r="F558" s="90"/>
      <c r="G558" s="101">
        <v>11</v>
      </c>
      <c r="H558" s="101">
        <v>1</v>
      </c>
      <c r="I558" s="101"/>
      <c r="J558" s="101">
        <f>60*4.5</f>
        <v>270</v>
      </c>
      <c r="K558" s="101">
        <v>60</v>
      </c>
      <c r="L558" s="101">
        <v>4</v>
      </c>
      <c r="M558" s="101">
        <v>35</v>
      </c>
      <c r="N558" s="101"/>
      <c r="O558" s="101"/>
      <c r="P558" s="101"/>
      <c r="Q558" s="101"/>
      <c r="R558" s="101"/>
      <c r="S558" s="101"/>
      <c r="T558" s="101">
        <v>1</v>
      </c>
      <c r="U558" s="101"/>
      <c r="V558" s="101"/>
      <c r="W558" s="91"/>
      <c r="X558" s="89"/>
      <c r="Y558" s="92">
        <f t="shared" si="48"/>
        <v>0</v>
      </c>
      <c r="Z558" s="92">
        <f t="shared" si="49"/>
        <v>0</v>
      </c>
      <c r="AA558" s="92">
        <f t="shared" si="50"/>
        <v>0</v>
      </c>
      <c r="AB558" s="92">
        <f t="shared" si="51"/>
        <v>0</v>
      </c>
      <c r="AC558" s="92"/>
      <c r="AD558" s="92">
        <v>0</v>
      </c>
      <c r="AE558" s="92">
        <f t="shared" si="52"/>
        <v>0</v>
      </c>
      <c r="AF558" s="93">
        <v>0</v>
      </c>
      <c r="AG558" s="89"/>
      <c r="AH558" s="94"/>
      <c r="AI558" s="95" t="s">
        <v>4346</v>
      </c>
      <c r="AJ558" s="96" t="s">
        <v>4347</v>
      </c>
      <c r="AK558" s="97"/>
      <c r="AL558" s="89" t="s">
        <v>1049</v>
      </c>
      <c r="AM558" s="100" t="s">
        <v>3275</v>
      </c>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114"/>
      <c r="CQ558" s="115"/>
      <c r="CR558" s="114"/>
      <c r="CS558" s="115"/>
      <c r="CT558" s="114"/>
      <c r="CU558" s="115"/>
      <c r="CV558" s="99">
        <f t="shared" si="53"/>
        <v>0</v>
      </c>
      <c r="CW558" s="114"/>
      <c r="CX558" s="115"/>
      <c r="CY558" s="114"/>
      <c r="CZ558" s="115"/>
      <c r="DA558" s="115"/>
      <c r="DB558" s="115"/>
      <c r="DC558" s="114"/>
      <c r="DD558" s="115"/>
      <c r="DE558" s="97"/>
      <c r="DF558" s="269"/>
    </row>
    <row r="559" spans="1:110" s="270" customFormat="1" x14ac:dyDescent="0.2">
      <c r="A559" s="89">
        <v>40648</v>
      </c>
      <c r="B559" s="90" t="s">
        <v>3316</v>
      </c>
      <c r="C559" s="90" t="s">
        <v>4323</v>
      </c>
      <c r="D559" s="90" t="s">
        <v>4264</v>
      </c>
      <c r="E559" s="90" t="str">
        <f>VLOOKUP(B559&amp;C559,Divipola!$C$2:$F$1138,4,FALSE)</f>
        <v>73001</v>
      </c>
      <c r="F559" s="90"/>
      <c r="G559" s="101"/>
      <c r="H559" s="101"/>
      <c r="I559" s="101"/>
      <c r="J559" s="101"/>
      <c r="K559" s="101"/>
      <c r="L559" s="101"/>
      <c r="M559" s="101"/>
      <c r="N559" s="101"/>
      <c r="O559" s="101"/>
      <c r="P559" s="101"/>
      <c r="Q559" s="101"/>
      <c r="R559" s="101"/>
      <c r="S559" s="101"/>
      <c r="T559" s="101"/>
      <c r="U559" s="101"/>
      <c r="V559" s="101"/>
      <c r="W559" s="91"/>
      <c r="X559" s="89"/>
      <c r="Y559" s="92">
        <f t="shared" si="48"/>
        <v>0</v>
      </c>
      <c r="Z559" s="92">
        <f t="shared" si="49"/>
        <v>0</v>
      </c>
      <c r="AA559" s="92">
        <f t="shared" si="50"/>
        <v>0</v>
      </c>
      <c r="AB559" s="92">
        <f t="shared" si="51"/>
        <v>0</v>
      </c>
      <c r="AC559" s="92"/>
      <c r="AD559" s="92">
        <v>0</v>
      </c>
      <c r="AE559" s="92">
        <f t="shared" si="52"/>
        <v>0</v>
      </c>
      <c r="AF559" s="93">
        <v>0</v>
      </c>
      <c r="AG559" s="89"/>
      <c r="AH559" s="94"/>
      <c r="AI559" s="95" t="s">
        <v>4346</v>
      </c>
      <c r="AJ559" s="96" t="s">
        <v>4347</v>
      </c>
      <c r="AK559" s="97"/>
      <c r="AL559" s="89" t="s">
        <v>2798</v>
      </c>
      <c r="AM559" s="100" t="s">
        <v>286</v>
      </c>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114"/>
      <c r="CQ559" s="115"/>
      <c r="CR559" s="114"/>
      <c r="CS559" s="115"/>
      <c r="CT559" s="114"/>
      <c r="CU559" s="115"/>
      <c r="CV559" s="99">
        <f t="shared" si="53"/>
        <v>0</v>
      </c>
      <c r="CW559" s="114"/>
      <c r="CX559" s="115"/>
      <c r="CY559" s="114"/>
      <c r="CZ559" s="115"/>
      <c r="DA559" s="115"/>
      <c r="DB559" s="115"/>
      <c r="DC559" s="114"/>
      <c r="DD559" s="115"/>
      <c r="DE559" s="97"/>
      <c r="DF559" s="269"/>
    </row>
    <row r="560" spans="1:110" s="270" customFormat="1" ht="60" x14ac:dyDescent="0.2">
      <c r="A560" s="89">
        <v>40648</v>
      </c>
      <c r="B560" s="90" t="s">
        <v>3316</v>
      </c>
      <c r="C560" s="90" t="s">
        <v>2284</v>
      </c>
      <c r="D560" s="90" t="s">
        <v>2362</v>
      </c>
      <c r="E560" s="90" t="str">
        <f>VLOOKUP(B560&amp;C560,Divipola!$C$2:$F$1138,4,FALSE)</f>
        <v>73520</v>
      </c>
      <c r="F560" s="90"/>
      <c r="G560" s="101"/>
      <c r="H560" s="101"/>
      <c r="I560" s="101"/>
      <c r="J560" s="101">
        <v>306</v>
      </c>
      <c r="K560" s="101">
        <v>80</v>
      </c>
      <c r="L560" s="101"/>
      <c r="M560" s="101">
        <v>26</v>
      </c>
      <c r="N560" s="101"/>
      <c r="O560" s="101"/>
      <c r="P560" s="101"/>
      <c r="Q560" s="101"/>
      <c r="R560" s="101"/>
      <c r="S560" s="101"/>
      <c r="T560" s="101"/>
      <c r="U560" s="101"/>
      <c r="V560" s="101"/>
      <c r="W560" s="91"/>
      <c r="X560" s="89"/>
      <c r="Y560" s="92">
        <f t="shared" si="48"/>
        <v>0</v>
      </c>
      <c r="Z560" s="92">
        <f t="shared" si="49"/>
        <v>0</v>
      </c>
      <c r="AA560" s="92">
        <f t="shared" si="50"/>
        <v>0</v>
      </c>
      <c r="AB560" s="92">
        <f t="shared" si="51"/>
        <v>0</v>
      </c>
      <c r="AC560" s="92"/>
      <c r="AD560" s="92">
        <v>0</v>
      </c>
      <c r="AE560" s="92">
        <f t="shared" si="52"/>
        <v>0</v>
      </c>
      <c r="AF560" s="93">
        <v>0</v>
      </c>
      <c r="AG560" s="89"/>
      <c r="AH560" s="94"/>
      <c r="AI560" s="95" t="s">
        <v>4346</v>
      </c>
      <c r="AJ560" s="96" t="s">
        <v>4347</v>
      </c>
      <c r="AK560" s="97"/>
      <c r="AL560" s="89" t="s">
        <v>2798</v>
      </c>
      <c r="AM560" s="100" t="s">
        <v>2764</v>
      </c>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114"/>
      <c r="CQ560" s="115"/>
      <c r="CR560" s="114"/>
      <c r="CS560" s="115"/>
      <c r="CT560" s="114"/>
      <c r="CU560" s="115"/>
      <c r="CV560" s="99">
        <f t="shared" si="53"/>
        <v>0</v>
      </c>
      <c r="CW560" s="114"/>
      <c r="CX560" s="115"/>
      <c r="CY560" s="114"/>
      <c r="CZ560" s="115"/>
      <c r="DA560" s="115"/>
      <c r="DB560" s="115"/>
      <c r="DC560" s="114"/>
      <c r="DD560" s="115"/>
      <c r="DE560" s="97"/>
      <c r="DF560" s="269"/>
    </row>
    <row r="561" spans="1:110" s="270" customFormat="1" ht="24" x14ac:dyDescent="0.2">
      <c r="A561" s="89">
        <v>40648</v>
      </c>
      <c r="B561" s="90" t="s">
        <v>3316</v>
      </c>
      <c r="C561" s="90" t="s">
        <v>4304</v>
      </c>
      <c r="D561" s="90" t="s">
        <v>2362</v>
      </c>
      <c r="E561" s="90" t="str">
        <f>VLOOKUP(B561&amp;C561,Divipola!$C$2:$F$1138,4,FALSE)</f>
        <v>73555</v>
      </c>
      <c r="F561" s="90"/>
      <c r="G561" s="101"/>
      <c r="H561" s="101"/>
      <c r="I561" s="101"/>
      <c r="J561" s="101">
        <v>650</v>
      </c>
      <c r="K561" s="101">
        <v>128</v>
      </c>
      <c r="L561" s="101"/>
      <c r="M561" s="101">
        <v>61</v>
      </c>
      <c r="N561" s="101"/>
      <c r="O561" s="101"/>
      <c r="P561" s="101"/>
      <c r="Q561" s="101"/>
      <c r="R561" s="101"/>
      <c r="S561" s="101"/>
      <c r="T561" s="101"/>
      <c r="U561" s="101"/>
      <c r="V561" s="101"/>
      <c r="W561" s="91"/>
      <c r="X561" s="89"/>
      <c r="Y561" s="92">
        <f t="shared" si="48"/>
        <v>0</v>
      </c>
      <c r="Z561" s="92">
        <f t="shared" si="49"/>
        <v>0</v>
      </c>
      <c r="AA561" s="92">
        <f t="shared" si="50"/>
        <v>0</v>
      </c>
      <c r="AB561" s="92">
        <f t="shared" si="51"/>
        <v>0</v>
      </c>
      <c r="AC561" s="92"/>
      <c r="AD561" s="92">
        <v>0</v>
      </c>
      <c r="AE561" s="92">
        <f t="shared" si="52"/>
        <v>0</v>
      </c>
      <c r="AF561" s="93">
        <v>0</v>
      </c>
      <c r="AG561" s="89"/>
      <c r="AH561" s="94"/>
      <c r="AI561" s="95" t="s">
        <v>4346</v>
      </c>
      <c r="AJ561" s="96" t="s">
        <v>4347</v>
      </c>
      <c r="AK561" s="97"/>
      <c r="AL561" s="89" t="s">
        <v>2798</v>
      </c>
      <c r="AM561" s="100" t="s">
        <v>2765</v>
      </c>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114"/>
      <c r="CQ561" s="115"/>
      <c r="CR561" s="114"/>
      <c r="CS561" s="115"/>
      <c r="CT561" s="114"/>
      <c r="CU561" s="115"/>
      <c r="CV561" s="99">
        <f t="shared" si="53"/>
        <v>0</v>
      </c>
      <c r="CW561" s="114"/>
      <c r="CX561" s="115"/>
      <c r="CY561" s="114"/>
      <c r="CZ561" s="115"/>
      <c r="DA561" s="115"/>
      <c r="DB561" s="115"/>
      <c r="DC561" s="114"/>
      <c r="DD561" s="115"/>
      <c r="DE561" s="97"/>
      <c r="DF561" s="269"/>
    </row>
    <row r="562" spans="1:110" s="270" customFormat="1" ht="60" x14ac:dyDescent="0.2">
      <c r="A562" s="89">
        <v>40648</v>
      </c>
      <c r="B562" s="90" t="s">
        <v>4244</v>
      </c>
      <c r="C562" s="90" t="s">
        <v>4276</v>
      </c>
      <c r="D562" s="90" t="s">
        <v>4264</v>
      </c>
      <c r="E562" s="90" t="str">
        <f>VLOOKUP(B562&amp;C562,Divipola!$C$2:$F$1138,4,FALSE)</f>
        <v>76113</v>
      </c>
      <c r="F562" s="90"/>
      <c r="G562" s="101"/>
      <c r="H562" s="101"/>
      <c r="I562" s="101"/>
      <c r="J562" s="101">
        <v>2345</v>
      </c>
      <c r="K562" s="101">
        <v>469</v>
      </c>
      <c r="L562" s="101"/>
      <c r="M562" s="101">
        <v>469</v>
      </c>
      <c r="N562" s="101"/>
      <c r="O562" s="101"/>
      <c r="P562" s="101"/>
      <c r="Q562" s="101"/>
      <c r="R562" s="101"/>
      <c r="S562" s="101"/>
      <c r="T562" s="101"/>
      <c r="U562" s="101"/>
      <c r="V562" s="101"/>
      <c r="W562" s="91"/>
      <c r="X562" s="89"/>
      <c r="Y562" s="92">
        <f t="shared" si="48"/>
        <v>0</v>
      </c>
      <c r="Z562" s="92">
        <f t="shared" si="49"/>
        <v>0</v>
      </c>
      <c r="AA562" s="92">
        <f t="shared" si="50"/>
        <v>0</v>
      </c>
      <c r="AB562" s="92">
        <f t="shared" si="51"/>
        <v>0</v>
      </c>
      <c r="AC562" s="92"/>
      <c r="AD562" s="92">
        <v>40000000</v>
      </c>
      <c r="AE562" s="92">
        <f t="shared" si="52"/>
        <v>40000000</v>
      </c>
      <c r="AF562" s="93">
        <v>0</v>
      </c>
      <c r="AG562" s="89"/>
      <c r="AH562" s="94"/>
      <c r="AI562" s="95" t="s">
        <v>4346</v>
      </c>
      <c r="AJ562" s="96" t="s">
        <v>4347</v>
      </c>
      <c r="AK562" s="97"/>
      <c r="AL562" s="89"/>
      <c r="AM562" s="100" t="s">
        <v>4129</v>
      </c>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114"/>
      <c r="CQ562" s="115"/>
      <c r="CR562" s="114"/>
      <c r="CS562" s="115"/>
      <c r="CT562" s="114"/>
      <c r="CU562" s="115"/>
      <c r="CV562" s="99">
        <f t="shared" si="53"/>
        <v>0</v>
      </c>
      <c r="CW562" s="114"/>
      <c r="CX562" s="115"/>
      <c r="CY562" s="114"/>
      <c r="CZ562" s="115"/>
      <c r="DA562" s="115"/>
      <c r="DB562" s="115"/>
      <c r="DC562" s="114"/>
      <c r="DD562" s="115"/>
      <c r="DE562" s="97"/>
      <c r="DF562" s="269"/>
    </row>
    <row r="563" spans="1:110" s="270" customFormat="1" ht="120" x14ac:dyDescent="0.2">
      <c r="A563" s="89">
        <v>40648</v>
      </c>
      <c r="B563" s="90" t="s">
        <v>4244</v>
      </c>
      <c r="C563" s="90" t="s">
        <v>2282</v>
      </c>
      <c r="D563" s="90" t="s">
        <v>4264</v>
      </c>
      <c r="E563" s="90" t="str">
        <f>VLOOKUP(B563&amp;C563,Divipola!$C$2:$F$1138,4,FALSE)</f>
        <v>76111</v>
      </c>
      <c r="F563" s="90"/>
      <c r="G563" s="101"/>
      <c r="H563" s="101"/>
      <c r="I563" s="101"/>
      <c r="J563" s="101">
        <v>650</v>
      </c>
      <c r="K563" s="101">
        <v>130</v>
      </c>
      <c r="L563" s="101"/>
      <c r="M563" s="101">
        <v>130</v>
      </c>
      <c r="N563" s="101"/>
      <c r="O563" s="101"/>
      <c r="P563" s="101">
        <v>5</v>
      </c>
      <c r="Q563" s="101"/>
      <c r="R563" s="101"/>
      <c r="S563" s="101"/>
      <c r="T563" s="101"/>
      <c r="U563" s="101"/>
      <c r="V563" s="101"/>
      <c r="W563" s="91"/>
      <c r="X563" s="89"/>
      <c r="Y563" s="92">
        <f t="shared" si="48"/>
        <v>0</v>
      </c>
      <c r="Z563" s="92">
        <f t="shared" si="49"/>
        <v>0</v>
      </c>
      <c r="AA563" s="92">
        <f t="shared" si="50"/>
        <v>0</v>
      </c>
      <c r="AB563" s="92">
        <f t="shared" si="51"/>
        <v>0</v>
      </c>
      <c r="AC563" s="92"/>
      <c r="AD563" s="92">
        <v>55000000</v>
      </c>
      <c r="AE563" s="92">
        <f t="shared" si="52"/>
        <v>55000000</v>
      </c>
      <c r="AF563" s="93">
        <v>0</v>
      </c>
      <c r="AG563" s="89"/>
      <c r="AH563" s="94"/>
      <c r="AI563" s="95" t="s">
        <v>4346</v>
      </c>
      <c r="AJ563" s="96" t="s">
        <v>4347</v>
      </c>
      <c r="AK563" s="97"/>
      <c r="AL563" s="89"/>
      <c r="AM563" s="100" t="s">
        <v>1162</v>
      </c>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114"/>
      <c r="CQ563" s="115"/>
      <c r="CR563" s="114"/>
      <c r="CS563" s="115"/>
      <c r="CT563" s="114"/>
      <c r="CU563" s="115"/>
      <c r="CV563" s="99">
        <f t="shared" si="53"/>
        <v>0</v>
      </c>
      <c r="CW563" s="114"/>
      <c r="CX563" s="115"/>
      <c r="CY563" s="114"/>
      <c r="CZ563" s="115"/>
      <c r="DA563" s="115"/>
      <c r="DB563" s="115"/>
      <c r="DC563" s="114"/>
      <c r="DD563" s="115"/>
      <c r="DE563" s="97"/>
      <c r="DF563" s="269"/>
    </row>
    <row r="564" spans="1:110" s="270" customFormat="1" ht="22.5" x14ac:dyDescent="0.2">
      <c r="A564" s="89">
        <v>40648</v>
      </c>
      <c r="B564" s="90" t="s">
        <v>4244</v>
      </c>
      <c r="C564" s="90" t="s">
        <v>2242</v>
      </c>
      <c r="D564" s="90" t="s">
        <v>2362</v>
      </c>
      <c r="E564" s="90" t="str">
        <f>VLOOKUP(B564&amp;C564,Divipola!$C$2:$F$1138,4,FALSE)</f>
        <v>76377</v>
      </c>
      <c r="F564" s="90"/>
      <c r="G564" s="101"/>
      <c r="H564" s="101"/>
      <c r="I564" s="101"/>
      <c r="J564" s="101">
        <v>20</v>
      </c>
      <c r="K564" s="101">
        <v>4</v>
      </c>
      <c r="L564" s="101"/>
      <c r="M564" s="101">
        <v>4</v>
      </c>
      <c r="N564" s="101"/>
      <c r="O564" s="101"/>
      <c r="P564" s="101"/>
      <c r="Q564" s="101"/>
      <c r="R564" s="101"/>
      <c r="S564" s="101"/>
      <c r="T564" s="101"/>
      <c r="U564" s="101"/>
      <c r="V564" s="101"/>
      <c r="W564" s="91"/>
      <c r="X564" s="89"/>
      <c r="Y564" s="92">
        <f t="shared" si="48"/>
        <v>0</v>
      </c>
      <c r="Z564" s="92">
        <f t="shared" si="49"/>
        <v>0</v>
      </c>
      <c r="AA564" s="92">
        <f t="shared" si="50"/>
        <v>0</v>
      </c>
      <c r="AB564" s="92">
        <f t="shared" si="51"/>
        <v>0</v>
      </c>
      <c r="AC564" s="92"/>
      <c r="AD564" s="92">
        <v>0</v>
      </c>
      <c r="AE564" s="92">
        <f t="shared" si="52"/>
        <v>0</v>
      </c>
      <c r="AF564" s="93">
        <v>0</v>
      </c>
      <c r="AG564" s="89"/>
      <c r="AH564" s="94"/>
      <c r="AI564" s="95" t="s">
        <v>4336</v>
      </c>
      <c r="AJ564" s="96" t="s">
        <v>4337</v>
      </c>
      <c r="AK564" s="97"/>
      <c r="AL564" s="89"/>
      <c r="AM564" s="100" t="s">
        <v>4197</v>
      </c>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114"/>
      <c r="CQ564" s="115"/>
      <c r="CR564" s="114"/>
      <c r="CS564" s="115"/>
      <c r="CT564" s="114"/>
      <c r="CU564" s="115"/>
      <c r="CV564" s="99">
        <f t="shared" si="53"/>
        <v>0</v>
      </c>
      <c r="CW564" s="114"/>
      <c r="CX564" s="115"/>
      <c r="CY564" s="114"/>
      <c r="CZ564" s="115"/>
      <c r="DA564" s="115"/>
      <c r="DB564" s="115"/>
      <c r="DC564" s="114"/>
      <c r="DD564" s="115"/>
      <c r="DE564" s="97"/>
      <c r="DF564" s="269"/>
    </row>
    <row r="565" spans="1:110" s="270" customFormat="1" ht="48" x14ac:dyDescent="0.2">
      <c r="A565" s="89">
        <v>40648</v>
      </c>
      <c r="B565" s="90" t="s">
        <v>4244</v>
      </c>
      <c r="C565" s="90" t="s">
        <v>3360</v>
      </c>
      <c r="D565" s="90" t="s">
        <v>4264</v>
      </c>
      <c r="E565" s="90" t="str">
        <f>VLOOKUP(B565&amp;C565,Divipola!$C$2:$F$1138,4,FALSE)</f>
        <v>76823</v>
      </c>
      <c r="F565" s="90"/>
      <c r="G565" s="101"/>
      <c r="H565" s="101"/>
      <c r="I565" s="101"/>
      <c r="J565" s="101">
        <v>600</v>
      </c>
      <c r="K565" s="101">
        <v>120</v>
      </c>
      <c r="L565" s="101"/>
      <c r="M565" s="101">
        <v>120</v>
      </c>
      <c r="N565" s="101"/>
      <c r="O565" s="101"/>
      <c r="P565" s="101"/>
      <c r="Q565" s="101"/>
      <c r="R565" s="101"/>
      <c r="S565" s="101"/>
      <c r="T565" s="101"/>
      <c r="U565" s="101"/>
      <c r="V565" s="101"/>
      <c r="W565" s="91"/>
      <c r="X565" s="89"/>
      <c r="Y565" s="92">
        <f t="shared" si="48"/>
        <v>0</v>
      </c>
      <c r="Z565" s="92">
        <f t="shared" si="49"/>
        <v>0</v>
      </c>
      <c r="AA565" s="92">
        <f t="shared" si="50"/>
        <v>0</v>
      </c>
      <c r="AB565" s="92">
        <f t="shared" si="51"/>
        <v>0</v>
      </c>
      <c r="AC565" s="92"/>
      <c r="AD565" s="92">
        <v>40000000</v>
      </c>
      <c r="AE565" s="92">
        <f t="shared" si="52"/>
        <v>40000000</v>
      </c>
      <c r="AF565" s="93">
        <v>0</v>
      </c>
      <c r="AG565" s="89"/>
      <c r="AH565" s="94"/>
      <c r="AI565" s="95" t="s">
        <v>4346</v>
      </c>
      <c r="AJ565" s="96" t="s">
        <v>4347</v>
      </c>
      <c r="AK565" s="97"/>
      <c r="AL565" s="89"/>
      <c r="AM565" s="100" t="s">
        <v>253</v>
      </c>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114"/>
      <c r="CQ565" s="115"/>
      <c r="CR565" s="114"/>
      <c r="CS565" s="115"/>
      <c r="CT565" s="114"/>
      <c r="CU565" s="115"/>
      <c r="CV565" s="99">
        <f t="shared" si="53"/>
        <v>0</v>
      </c>
      <c r="CW565" s="114"/>
      <c r="CX565" s="115"/>
      <c r="CY565" s="114"/>
      <c r="CZ565" s="115"/>
      <c r="DA565" s="115"/>
      <c r="DB565" s="115"/>
      <c r="DC565" s="114"/>
      <c r="DD565" s="115"/>
      <c r="DE565" s="97"/>
      <c r="DF565" s="269"/>
    </row>
    <row r="566" spans="1:110" s="270" customFormat="1" ht="36" x14ac:dyDescent="0.2">
      <c r="A566" s="89">
        <v>40649</v>
      </c>
      <c r="B566" s="90" t="s">
        <v>2218</v>
      </c>
      <c r="C566" s="90" t="s">
        <v>3245</v>
      </c>
      <c r="D566" s="90" t="s">
        <v>2362</v>
      </c>
      <c r="E566" s="90" t="str">
        <f>VLOOKUP(B566&amp;C566,Divipola!$C$2:$F$1138,4,FALSE)</f>
        <v>05541</v>
      </c>
      <c r="F566" s="90"/>
      <c r="G566" s="101"/>
      <c r="H566" s="101"/>
      <c r="I566" s="101"/>
      <c r="J566" s="101">
        <v>220</v>
      </c>
      <c r="K566" s="101">
        <v>44</v>
      </c>
      <c r="L566" s="101">
        <v>4</v>
      </c>
      <c r="M566" s="101">
        <v>40</v>
      </c>
      <c r="N566" s="101"/>
      <c r="O566" s="101"/>
      <c r="P566" s="101"/>
      <c r="Q566" s="101"/>
      <c r="R566" s="101"/>
      <c r="S566" s="101"/>
      <c r="T566" s="101"/>
      <c r="U566" s="101"/>
      <c r="V566" s="101"/>
      <c r="W566" s="91"/>
      <c r="X566" s="89"/>
      <c r="Y566" s="92">
        <f t="shared" si="48"/>
        <v>0</v>
      </c>
      <c r="Z566" s="92">
        <f t="shared" si="49"/>
        <v>0</v>
      </c>
      <c r="AA566" s="92">
        <f t="shared" si="50"/>
        <v>0</v>
      </c>
      <c r="AB566" s="92">
        <f t="shared" si="51"/>
        <v>0</v>
      </c>
      <c r="AC566" s="92"/>
      <c r="AD566" s="92">
        <v>0</v>
      </c>
      <c r="AE566" s="92">
        <f t="shared" si="52"/>
        <v>0</v>
      </c>
      <c r="AF566" s="93">
        <v>0</v>
      </c>
      <c r="AG566" s="89"/>
      <c r="AH566" s="94"/>
      <c r="AI566" s="102" t="s">
        <v>4336</v>
      </c>
      <c r="AJ566" s="96" t="s">
        <v>4337</v>
      </c>
      <c r="AK566" s="97"/>
      <c r="AL566" s="89"/>
      <c r="AM566" s="100" t="s">
        <v>3252</v>
      </c>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114"/>
      <c r="CQ566" s="115"/>
      <c r="CR566" s="114"/>
      <c r="CS566" s="115"/>
      <c r="CT566" s="114"/>
      <c r="CU566" s="115"/>
      <c r="CV566" s="99">
        <f t="shared" si="53"/>
        <v>0</v>
      </c>
      <c r="CW566" s="114"/>
      <c r="CX566" s="115"/>
      <c r="CY566" s="114"/>
      <c r="CZ566" s="115"/>
      <c r="DA566" s="115"/>
      <c r="DB566" s="115"/>
      <c r="DC566" s="114"/>
      <c r="DD566" s="115"/>
      <c r="DE566" s="97"/>
      <c r="DF566" s="269"/>
    </row>
    <row r="567" spans="1:110" s="270" customFormat="1" ht="36" x14ac:dyDescent="0.2">
      <c r="A567" s="89">
        <v>40649</v>
      </c>
      <c r="B567" s="90" t="s">
        <v>2218</v>
      </c>
      <c r="C567" s="90" t="s">
        <v>3547</v>
      </c>
      <c r="D567" s="90" t="s">
        <v>4264</v>
      </c>
      <c r="E567" s="90" t="str">
        <f>VLOOKUP(B567&amp;C567,Divipola!$C$2:$F$1138,4,FALSE)</f>
        <v>05579</v>
      </c>
      <c r="F567" s="90"/>
      <c r="G567" s="101"/>
      <c r="H567" s="101"/>
      <c r="I567" s="101"/>
      <c r="J567" s="101">
        <v>120</v>
      </c>
      <c r="K567" s="101">
        <v>24</v>
      </c>
      <c r="L567" s="101"/>
      <c r="M567" s="101">
        <v>24</v>
      </c>
      <c r="N567" s="101"/>
      <c r="O567" s="101"/>
      <c r="P567" s="101"/>
      <c r="Q567" s="101"/>
      <c r="R567" s="101"/>
      <c r="S567" s="101"/>
      <c r="T567" s="101"/>
      <c r="U567" s="101"/>
      <c r="V567" s="101"/>
      <c r="W567" s="91"/>
      <c r="X567" s="89"/>
      <c r="Y567" s="92">
        <f t="shared" si="48"/>
        <v>0</v>
      </c>
      <c r="Z567" s="92">
        <f t="shared" si="49"/>
        <v>0</v>
      </c>
      <c r="AA567" s="92">
        <f t="shared" si="50"/>
        <v>0</v>
      </c>
      <c r="AB567" s="92">
        <f t="shared" si="51"/>
        <v>0</v>
      </c>
      <c r="AC567" s="92"/>
      <c r="AD567" s="92">
        <v>0</v>
      </c>
      <c r="AE567" s="92">
        <f t="shared" si="52"/>
        <v>0</v>
      </c>
      <c r="AF567" s="93">
        <v>0</v>
      </c>
      <c r="AG567" s="89"/>
      <c r="AH567" s="94"/>
      <c r="AI567" s="102" t="s">
        <v>4336</v>
      </c>
      <c r="AJ567" s="96" t="s">
        <v>4337</v>
      </c>
      <c r="AK567" s="97"/>
      <c r="AL567" s="89"/>
      <c r="AM567" s="100" t="s">
        <v>3272</v>
      </c>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114"/>
      <c r="CQ567" s="115"/>
      <c r="CR567" s="114"/>
      <c r="CS567" s="115"/>
      <c r="CT567" s="114"/>
      <c r="CU567" s="115"/>
      <c r="CV567" s="99">
        <f t="shared" si="53"/>
        <v>0</v>
      </c>
      <c r="CW567" s="114"/>
      <c r="CX567" s="115"/>
      <c r="CY567" s="114"/>
      <c r="CZ567" s="115"/>
      <c r="DA567" s="115"/>
      <c r="DB567" s="115"/>
      <c r="DC567" s="114"/>
      <c r="DD567" s="115"/>
      <c r="DE567" s="97"/>
      <c r="DF567" s="277"/>
    </row>
    <row r="568" spans="1:110" s="270" customFormat="1" ht="24" x14ac:dyDescent="0.2">
      <c r="A568" s="89">
        <v>40649</v>
      </c>
      <c r="B568" s="90" t="s">
        <v>2218</v>
      </c>
      <c r="C568" s="90" t="s">
        <v>3536</v>
      </c>
      <c r="D568" s="90" t="s">
        <v>2362</v>
      </c>
      <c r="E568" s="90" t="str">
        <f>VLOOKUP(B568&amp;C568,Divipola!$C$2:$F$1138,4,FALSE)</f>
        <v>05591</v>
      </c>
      <c r="F568" s="90"/>
      <c r="G568" s="101"/>
      <c r="H568" s="101"/>
      <c r="I568" s="101"/>
      <c r="J568" s="101">
        <v>107</v>
      </c>
      <c r="K568" s="101">
        <v>39</v>
      </c>
      <c r="L568" s="101"/>
      <c r="M568" s="101">
        <v>39</v>
      </c>
      <c r="N568" s="101"/>
      <c r="O568" s="101"/>
      <c r="P568" s="101"/>
      <c r="Q568" s="101"/>
      <c r="R568" s="101"/>
      <c r="S568" s="101"/>
      <c r="T568" s="101"/>
      <c r="U568" s="101"/>
      <c r="V568" s="101"/>
      <c r="W568" s="91"/>
      <c r="X568" s="89"/>
      <c r="Y568" s="92">
        <f t="shared" si="48"/>
        <v>0</v>
      </c>
      <c r="Z568" s="92">
        <f t="shared" si="49"/>
        <v>0</v>
      </c>
      <c r="AA568" s="92">
        <f t="shared" si="50"/>
        <v>0</v>
      </c>
      <c r="AB568" s="92">
        <f t="shared" si="51"/>
        <v>0</v>
      </c>
      <c r="AC568" s="92"/>
      <c r="AD568" s="92">
        <v>0</v>
      </c>
      <c r="AE568" s="92">
        <f t="shared" si="52"/>
        <v>0</v>
      </c>
      <c r="AF568" s="93">
        <v>0</v>
      </c>
      <c r="AG568" s="89"/>
      <c r="AH568" s="94"/>
      <c r="AI568" s="102" t="s">
        <v>4336</v>
      </c>
      <c r="AJ568" s="96" t="s">
        <v>4337</v>
      </c>
      <c r="AK568" s="97"/>
      <c r="AL568" s="89"/>
      <c r="AM568" s="100" t="s">
        <v>947</v>
      </c>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114"/>
      <c r="CQ568" s="115"/>
      <c r="CR568" s="114"/>
      <c r="CS568" s="115"/>
      <c r="CT568" s="114"/>
      <c r="CU568" s="115"/>
      <c r="CV568" s="99">
        <f t="shared" si="53"/>
        <v>0</v>
      </c>
      <c r="CW568" s="114"/>
      <c r="CX568" s="115"/>
      <c r="CY568" s="114"/>
      <c r="CZ568" s="115"/>
      <c r="DA568" s="115"/>
      <c r="DB568" s="115"/>
      <c r="DC568" s="114"/>
      <c r="DD568" s="115"/>
      <c r="DE568" s="97"/>
      <c r="DF568" s="269"/>
    </row>
    <row r="569" spans="1:110" s="270" customFormat="1" ht="84" x14ac:dyDescent="0.2">
      <c r="A569" s="89">
        <v>40649</v>
      </c>
      <c r="B569" s="90" t="s">
        <v>4261</v>
      </c>
      <c r="C569" s="90" t="s">
        <v>2866</v>
      </c>
      <c r="D569" s="90" t="s">
        <v>2362</v>
      </c>
      <c r="E569" s="90" t="str">
        <f>VLOOKUP(B569&amp;C569,Divipola!$C$2:$F$1138,4,FALSE)</f>
        <v>15368</v>
      </c>
      <c r="F569" s="90"/>
      <c r="G569" s="101"/>
      <c r="H569" s="101"/>
      <c r="I569" s="101"/>
      <c r="J569" s="101">
        <v>2760</v>
      </c>
      <c r="K569" s="101">
        <v>552</v>
      </c>
      <c r="L569" s="101">
        <v>327</v>
      </c>
      <c r="M569" s="101">
        <v>107</v>
      </c>
      <c r="N569" s="101"/>
      <c r="O569" s="101">
        <v>1</v>
      </c>
      <c r="P569" s="101"/>
      <c r="Q569" s="101"/>
      <c r="R569" s="101"/>
      <c r="S569" s="101"/>
      <c r="T569" s="101">
        <v>20</v>
      </c>
      <c r="U569" s="101"/>
      <c r="V569" s="101"/>
      <c r="W569" s="91"/>
      <c r="X569" s="89"/>
      <c r="Y569" s="92">
        <f t="shared" si="48"/>
        <v>140000000</v>
      </c>
      <c r="Z569" s="92">
        <f t="shared" si="49"/>
        <v>0</v>
      </c>
      <c r="AA569" s="92">
        <f t="shared" si="50"/>
        <v>0</v>
      </c>
      <c r="AB569" s="92">
        <f t="shared" si="51"/>
        <v>0</v>
      </c>
      <c r="AC569" s="92"/>
      <c r="AD569" s="92">
        <v>0</v>
      </c>
      <c r="AE569" s="92">
        <f t="shared" si="52"/>
        <v>140000000</v>
      </c>
      <c r="AF569" s="93">
        <v>0</v>
      </c>
      <c r="AG569" s="89"/>
      <c r="AH569" s="94"/>
      <c r="AI569" s="95" t="s">
        <v>4346</v>
      </c>
      <c r="AJ569" s="96" t="s">
        <v>4347</v>
      </c>
      <c r="AK569" s="97"/>
      <c r="AL569" s="89"/>
      <c r="AM569" s="100" t="s">
        <v>2383</v>
      </c>
      <c r="AN569" s="91"/>
      <c r="AO569" s="91"/>
      <c r="AP569" s="91"/>
      <c r="AQ569" s="91"/>
      <c r="AR569" s="91"/>
      <c r="AS569" s="91"/>
      <c r="AT569" s="91"/>
      <c r="AU569" s="91"/>
      <c r="AV569" s="91">
        <v>2000</v>
      </c>
      <c r="AW569" s="91">
        <f>2000*21000</f>
        <v>42000000</v>
      </c>
      <c r="AX569" s="91"/>
      <c r="AY569" s="91"/>
      <c r="AZ569" s="91">
        <v>1000</v>
      </c>
      <c r="BA569" s="91">
        <f>1000*56000</f>
        <v>56000000</v>
      </c>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v>2000</v>
      </c>
      <c r="CK569" s="91">
        <f>2000*21000</f>
        <v>42000000</v>
      </c>
      <c r="CL569" s="91"/>
      <c r="CM569" s="91"/>
      <c r="CN569" s="91"/>
      <c r="CO569" s="91"/>
      <c r="CP569" s="114"/>
      <c r="CQ569" s="115"/>
      <c r="CR569" s="114"/>
      <c r="CS569" s="115"/>
      <c r="CT569" s="114"/>
      <c r="CU569" s="115"/>
      <c r="CV569" s="99">
        <f t="shared" si="53"/>
        <v>140000000</v>
      </c>
      <c r="CW569" s="114"/>
      <c r="CX569" s="115"/>
      <c r="CY569" s="114"/>
      <c r="CZ569" s="115"/>
      <c r="DA569" s="115"/>
      <c r="DB569" s="115"/>
      <c r="DC569" s="114"/>
      <c r="DD569" s="115"/>
      <c r="DE569" s="97"/>
      <c r="DF569" s="269"/>
    </row>
    <row r="570" spans="1:110" s="270" customFormat="1" ht="84" x14ac:dyDescent="0.2">
      <c r="A570" s="89">
        <v>40649</v>
      </c>
      <c r="B570" s="90" t="s">
        <v>4261</v>
      </c>
      <c r="C570" s="90" t="s">
        <v>2872</v>
      </c>
      <c r="D570" s="90" t="s">
        <v>4264</v>
      </c>
      <c r="E570" s="90" t="str">
        <f>VLOOKUP(B570&amp;C570,Divipola!$C$2:$F$1138,4,FALSE)</f>
        <v>15676</v>
      </c>
      <c r="F570" s="90"/>
      <c r="G570" s="101"/>
      <c r="H570" s="101"/>
      <c r="I570" s="101"/>
      <c r="J570" s="101">
        <f>1070*5</f>
        <v>5350</v>
      </c>
      <c r="K570" s="101">
        <f>375+270+400+25</f>
        <v>1070</v>
      </c>
      <c r="L570" s="101"/>
      <c r="M570" s="101">
        <v>100</v>
      </c>
      <c r="N570" s="101"/>
      <c r="O570" s="101"/>
      <c r="P570" s="101"/>
      <c r="Q570" s="101"/>
      <c r="R570" s="101"/>
      <c r="S570" s="101"/>
      <c r="T570" s="101"/>
      <c r="U570" s="101"/>
      <c r="V570" s="101">
        <f>1572+1024+1900+300</f>
        <v>4796</v>
      </c>
      <c r="W570" s="91"/>
      <c r="X570" s="89"/>
      <c r="Y570" s="92">
        <f t="shared" si="48"/>
        <v>0</v>
      </c>
      <c r="Z570" s="92">
        <f t="shared" si="49"/>
        <v>0</v>
      </c>
      <c r="AA570" s="92">
        <f t="shared" si="50"/>
        <v>0</v>
      </c>
      <c r="AB570" s="92">
        <f t="shared" si="51"/>
        <v>0</v>
      </c>
      <c r="AC570" s="92"/>
      <c r="AD570" s="92">
        <v>100000000</v>
      </c>
      <c r="AE570" s="92">
        <f t="shared" si="52"/>
        <v>100000000</v>
      </c>
      <c r="AF570" s="93">
        <v>0</v>
      </c>
      <c r="AG570" s="89"/>
      <c r="AH570" s="94"/>
      <c r="AI570" s="102" t="s">
        <v>4346</v>
      </c>
      <c r="AJ570" s="96" t="s">
        <v>4347</v>
      </c>
      <c r="AK570" s="97"/>
      <c r="AL570" s="89" t="s">
        <v>1049</v>
      </c>
      <c r="AM570" s="100" t="s">
        <v>906</v>
      </c>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114"/>
      <c r="CQ570" s="115"/>
      <c r="CR570" s="114"/>
      <c r="CS570" s="115"/>
      <c r="CT570" s="114"/>
      <c r="CU570" s="115"/>
      <c r="CV570" s="99">
        <f t="shared" si="53"/>
        <v>0</v>
      </c>
      <c r="CW570" s="114"/>
      <c r="CX570" s="115"/>
      <c r="CY570" s="114"/>
      <c r="CZ570" s="115"/>
      <c r="DA570" s="115"/>
      <c r="DB570" s="115"/>
      <c r="DC570" s="114"/>
      <c r="DD570" s="115"/>
      <c r="DE570" s="97"/>
      <c r="DF570" s="269"/>
    </row>
    <row r="571" spans="1:110" s="270" customFormat="1" ht="36" x14ac:dyDescent="0.2">
      <c r="A571" s="89">
        <v>40649</v>
      </c>
      <c r="B571" s="90" t="s">
        <v>4386</v>
      </c>
      <c r="C571" s="90" t="s">
        <v>857</v>
      </c>
      <c r="D571" s="90" t="s">
        <v>4264</v>
      </c>
      <c r="E571" s="90" t="str">
        <f>VLOOKUP(B571&amp;C571,Divipola!$C$2:$F$1138,4,FALSE)</f>
        <v>20175</v>
      </c>
      <c r="F571" s="90"/>
      <c r="G571" s="101"/>
      <c r="H571" s="101"/>
      <c r="I571" s="101"/>
      <c r="J571" s="101">
        <v>95</v>
      </c>
      <c r="K571" s="101">
        <v>19</v>
      </c>
      <c r="L571" s="101"/>
      <c r="M571" s="101">
        <v>19</v>
      </c>
      <c r="N571" s="101"/>
      <c r="O571" s="101"/>
      <c r="P571" s="101"/>
      <c r="Q571" s="101"/>
      <c r="R571" s="101"/>
      <c r="S571" s="101"/>
      <c r="T571" s="101"/>
      <c r="U571" s="101"/>
      <c r="V571" s="101"/>
      <c r="W571" s="91"/>
      <c r="X571" s="89"/>
      <c r="Y571" s="92">
        <f t="shared" si="48"/>
        <v>0</v>
      </c>
      <c r="Z571" s="92">
        <f t="shared" si="49"/>
        <v>0</v>
      </c>
      <c r="AA571" s="92">
        <f t="shared" si="50"/>
        <v>0</v>
      </c>
      <c r="AB571" s="92">
        <f t="shared" si="51"/>
        <v>0</v>
      </c>
      <c r="AC571" s="92"/>
      <c r="AD571" s="92">
        <v>0</v>
      </c>
      <c r="AE571" s="92">
        <f t="shared" si="52"/>
        <v>0</v>
      </c>
      <c r="AF571" s="93">
        <v>0</v>
      </c>
      <c r="AG571" s="89"/>
      <c r="AH571" s="94"/>
      <c r="AI571" s="102" t="s">
        <v>4346</v>
      </c>
      <c r="AJ571" s="96" t="s">
        <v>4347</v>
      </c>
      <c r="AK571" s="97"/>
      <c r="AL571" s="89" t="s">
        <v>1049</v>
      </c>
      <c r="AM571" s="100" t="s">
        <v>949</v>
      </c>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114"/>
      <c r="CQ571" s="115"/>
      <c r="CR571" s="114"/>
      <c r="CS571" s="115"/>
      <c r="CT571" s="114"/>
      <c r="CU571" s="115"/>
      <c r="CV571" s="99">
        <f t="shared" si="53"/>
        <v>0</v>
      </c>
      <c r="CW571" s="114"/>
      <c r="CX571" s="115"/>
      <c r="CY571" s="114"/>
      <c r="CZ571" s="115"/>
      <c r="DA571" s="115"/>
      <c r="DB571" s="115"/>
      <c r="DC571" s="114"/>
      <c r="DD571" s="115"/>
      <c r="DE571" s="97"/>
      <c r="DF571" s="269"/>
    </row>
    <row r="572" spans="1:110" s="270" customFormat="1" ht="24" x14ac:dyDescent="0.2">
      <c r="A572" s="89">
        <v>40649</v>
      </c>
      <c r="B572" s="90" t="s">
        <v>4344</v>
      </c>
      <c r="C572" s="90" t="s">
        <v>4510</v>
      </c>
      <c r="D572" s="90" t="s">
        <v>2362</v>
      </c>
      <c r="E572" s="90" t="str">
        <f>VLOOKUP(B572&amp;C572,Divipola!$C$2:$F$1138,4,FALSE)</f>
        <v>25099</v>
      </c>
      <c r="F572" s="90"/>
      <c r="G572" s="101">
        <v>1</v>
      </c>
      <c r="H572" s="101">
        <v>3</v>
      </c>
      <c r="I572" s="302"/>
      <c r="J572" s="101"/>
      <c r="K572" s="101"/>
      <c r="L572" s="101"/>
      <c r="M572" s="101"/>
      <c r="N572" s="101"/>
      <c r="O572" s="101"/>
      <c r="P572" s="101"/>
      <c r="Q572" s="101"/>
      <c r="R572" s="101"/>
      <c r="S572" s="101"/>
      <c r="T572" s="101"/>
      <c r="U572" s="101"/>
      <c r="V572" s="101"/>
      <c r="W572" s="91"/>
      <c r="X572" s="89"/>
      <c r="Y572" s="92">
        <f t="shared" si="48"/>
        <v>0</v>
      </c>
      <c r="Z572" s="92">
        <f t="shared" si="49"/>
        <v>0</v>
      </c>
      <c r="AA572" s="92">
        <f t="shared" si="50"/>
        <v>0</v>
      </c>
      <c r="AB572" s="92">
        <f t="shared" si="51"/>
        <v>0</v>
      </c>
      <c r="AC572" s="92"/>
      <c r="AD572" s="92">
        <v>0</v>
      </c>
      <c r="AE572" s="92">
        <f t="shared" si="52"/>
        <v>0</v>
      </c>
      <c r="AF572" s="93">
        <v>0</v>
      </c>
      <c r="AG572" s="89"/>
      <c r="AH572" s="94"/>
      <c r="AI572" s="102" t="s">
        <v>4336</v>
      </c>
      <c r="AJ572" s="96" t="s">
        <v>4337</v>
      </c>
      <c r="AK572" s="285"/>
      <c r="AL572" s="303"/>
      <c r="AM572" s="100" t="s">
        <v>4152</v>
      </c>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114"/>
      <c r="CQ572" s="115"/>
      <c r="CR572" s="114"/>
      <c r="CS572" s="115"/>
      <c r="CT572" s="114"/>
      <c r="CU572" s="115"/>
      <c r="CV572" s="99">
        <f t="shared" si="53"/>
        <v>0</v>
      </c>
      <c r="CW572" s="114"/>
      <c r="CX572" s="115"/>
      <c r="CY572" s="114"/>
      <c r="CZ572" s="115"/>
      <c r="DA572" s="115"/>
      <c r="DB572" s="115"/>
      <c r="DC572" s="114"/>
      <c r="DD572" s="115"/>
      <c r="DE572" s="97"/>
      <c r="DF572" s="269"/>
    </row>
    <row r="573" spans="1:110" s="270" customFormat="1" ht="24" x14ac:dyDescent="0.2">
      <c r="A573" s="89">
        <v>40649</v>
      </c>
      <c r="B573" s="90" t="s">
        <v>4219</v>
      </c>
      <c r="C573" s="90" t="s">
        <v>2249</v>
      </c>
      <c r="D573" s="90" t="s">
        <v>2362</v>
      </c>
      <c r="E573" s="90" t="str">
        <f>VLOOKUP(B573&amp;C573,Divipola!$C$2:$F$1138,4,FALSE)</f>
        <v>41770</v>
      </c>
      <c r="F573" s="90"/>
      <c r="G573" s="101"/>
      <c r="H573" s="101"/>
      <c r="I573" s="101"/>
      <c r="J573" s="101">
        <v>5</v>
      </c>
      <c r="K573" s="101">
        <v>1</v>
      </c>
      <c r="L573" s="101"/>
      <c r="M573" s="101">
        <v>1</v>
      </c>
      <c r="N573" s="101"/>
      <c r="O573" s="101"/>
      <c r="P573" s="101"/>
      <c r="Q573" s="101"/>
      <c r="R573" s="101"/>
      <c r="S573" s="101"/>
      <c r="T573" s="101"/>
      <c r="U573" s="101"/>
      <c r="V573" s="101"/>
      <c r="W573" s="91"/>
      <c r="X573" s="89"/>
      <c r="Y573" s="92">
        <f t="shared" si="48"/>
        <v>0</v>
      </c>
      <c r="Z573" s="92">
        <f t="shared" si="49"/>
        <v>0</v>
      </c>
      <c r="AA573" s="92">
        <f t="shared" si="50"/>
        <v>0</v>
      </c>
      <c r="AB573" s="92">
        <f t="shared" si="51"/>
        <v>0</v>
      </c>
      <c r="AC573" s="92"/>
      <c r="AD573" s="92">
        <v>0</v>
      </c>
      <c r="AE573" s="92">
        <f t="shared" si="52"/>
        <v>0</v>
      </c>
      <c r="AF573" s="93">
        <v>0</v>
      </c>
      <c r="AG573" s="89"/>
      <c r="AH573" s="94"/>
      <c r="AI573" s="95" t="s">
        <v>4336</v>
      </c>
      <c r="AJ573" s="96" t="s">
        <v>4337</v>
      </c>
      <c r="AK573" s="97"/>
      <c r="AL573" s="89"/>
      <c r="AM573" s="100" t="s">
        <v>2721</v>
      </c>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114"/>
      <c r="CQ573" s="115"/>
      <c r="CR573" s="114"/>
      <c r="CS573" s="115"/>
      <c r="CT573" s="114"/>
      <c r="CU573" s="115"/>
      <c r="CV573" s="99">
        <f t="shared" si="53"/>
        <v>0</v>
      </c>
      <c r="CW573" s="114"/>
      <c r="CX573" s="115"/>
      <c r="CY573" s="114"/>
      <c r="CZ573" s="115"/>
      <c r="DA573" s="115"/>
      <c r="DB573" s="115"/>
      <c r="DC573" s="114"/>
      <c r="DD573" s="115"/>
      <c r="DE573" s="97"/>
      <c r="DF573" s="269"/>
    </row>
    <row r="574" spans="1:110" s="270" customFormat="1" ht="48" x14ac:dyDescent="0.2">
      <c r="A574" s="89">
        <v>40649</v>
      </c>
      <c r="B574" s="90" t="s">
        <v>860</v>
      </c>
      <c r="C574" s="90" t="s">
        <v>2211</v>
      </c>
      <c r="D574" s="90" t="s">
        <v>4264</v>
      </c>
      <c r="E574" s="90" t="str">
        <f>VLOOKUP(B574&amp;C574,Divipola!$C$2:$F$1138,4,FALSE)</f>
        <v>50313</v>
      </c>
      <c r="F574" s="90"/>
      <c r="G574" s="101"/>
      <c r="H574" s="101"/>
      <c r="I574" s="101"/>
      <c r="J574" s="101">
        <v>280</v>
      </c>
      <c r="K574" s="101">
        <v>56</v>
      </c>
      <c r="L574" s="101"/>
      <c r="M574" s="101">
        <v>56</v>
      </c>
      <c r="N574" s="101"/>
      <c r="O574" s="101"/>
      <c r="P574" s="101"/>
      <c r="Q574" s="101"/>
      <c r="R574" s="101"/>
      <c r="S574" s="101"/>
      <c r="T574" s="101"/>
      <c r="U574" s="101"/>
      <c r="V574" s="101"/>
      <c r="W574" s="91"/>
      <c r="X574" s="89"/>
      <c r="Y574" s="92">
        <f t="shared" si="48"/>
        <v>0</v>
      </c>
      <c r="Z574" s="92">
        <f t="shared" si="49"/>
        <v>0</v>
      </c>
      <c r="AA574" s="92">
        <f t="shared" si="50"/>
        <v>0</v>
      </c>
      <c r="AB574" s="92">
        <f t="shared" si="51"/>
        <v>0</v>
      </c>
      <c r="AC574" s="92"/>
      <c r="AD574" s="92">
        <v>0</v>
      </c>
      <c r="AE574" s="92">
        <f t="shared" si="52"/>
        <v>0</v>
      </c>
      <c r="AF574" s="93">
        <v>0</v>
      </c>
      <c r="AG574" s="89"/>
      <c r="AH574" s="94"/>
      <c r="AI574" s="95" t="s">
        <v>4346</v>
      </c>
      <c r="AJ574" s="96" t="s">
        <v>4347</v>
      </c>
      <c r="AK574" s="97"/>
      <c r="AL574" s="89" t="s">
        <v>2798</v>
      </c>
      <c r="AM574" s="100" t="s">
        <v>2719</v>
      </c>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114"/>
      <c r="CQ574" s="115"/>
      <c r="CR574" s="114"/>
      <c r="CS574" s="115"/>
      <c r="CT574" s="114"/>
      <c r="CU574" s="115"/>
      <c r="CV574" s="99">
        <f t="shared" si="53"/>
        <v>0</v>
      </c>
      <c r="CW574" s="114"/>
      <c r="CX574" s="115"/>
      <c r="CY574" s="114"/>
      <c r="CZ574" s="115"/>
      <c r="DA574" s="115"/>
      <c r="DB574" s="115"/>
      <c r="DC574" s="114"/>
      <c r="DD574" s="115"/>
      <c r="DE574" s="97"/>
      <c r="DF574" s="269"/>
    </row>
    <row r="575" spans="1:110" s="270" customFormat="1" ht="84" x14ac:dyDescent="0.2">
      <c r="A575" s="89">
        <v>40649</v>
      </c>
      <c r="B575" s="90" t="s">
        <v>4221</v>
      </c>
      <c r="C575" s="90" t="s">
        <v>3556</v>
      </c>
      <c r="D575" s="90" t="s">
        <v>4264</v>
      </c>
      <c r="E575" s="90" t="str">
        <f>VLOOKUP(B575&amp;C575,Divipola!$C$2:$F$1138,4,FALSE)</f>
        <v>54520</v>
      </c>
      <c r="F575" s="90"/>
      <c r="G575" s="101"/>
      <c r="H575" s="101"/>
      <c r="I575" s="101"/>
      <c r="J575" s="101">
        <v>301</v>
      </c>
      <c r="K575" s="101">
        <v>80</v>
      </c>
      <c r="L575" s="101"/>
      <c r="M575" s="101">
        <v>80</v>
      </c>
      <c r="N575" s="101">
        <v>1</v>
      </c>
      <c r="O575" s="101"/>
      <c r="P575" s="101"/>
      <c r="Q575" s="101"/>
      <c r="R575" s="101"/>
      <c r="S575" s="101"/>
      <c r="T575" s="101"/>
      <c r="U575" s="101"/>
      <c r="V575" s="101"/>
      <c r="W575" s="91"/>
      <c r="X575" s="89"/>
      <c r="Y575" s="92">
        <f t="shared" si="48"/>
        <v>0</v>
      </c>
      <c r="Z575" s="92">
        <f t="shared" si="49"/>
        <v>0</v>
      </c>
      <c r="AA575" s="92">
        <f t="shared" si="50"/>
        <v>88974900</v>
      </c>
      <c r="AB575" s="92">
        <f t="shared" si="51"/>
        <v>0</v>
      </c>
      <c r="AC575" s="92">
        <f>30000*1133+3000*16419.8+2500*13900.28+600*55450.32</f>
        <v>151270292</v>
      </c>
      <c r="AD575" s="5">
        <v>0</v>
      </c>
      <c r="AE575" s="92">
        <f t="shared" si="52"/>
        <v>240245192</v>
      </c>
      <c r="AF575" s="93">
        <v>0</v>
      </c>
      <c r="AG575" s="89"/>
      <c r="AH575" s="94"/>
      <c r="AI575" s="95" t="s">
        <v>4346</v>
      </c>
      <c r="AJ575" s="96" t="s">
        <v>4347</v>
      </c>
      <c r="AK575" s="97"/>
      <c r="AL575" s="89" t="s">
        <v>1049</v>
      </c>
      <c r="AM575" s="100" t="s">
        <v>1113</v>
      </c>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114"/>
      <c r="CQ575" s="115"/>
      <c r="CR575" s="114"/>
      <c r="CS575" s="115"/>
      <c r="CT575" s="114"/>
      <c r="CU575" s="115"/>
      <c r="CV575" s="99">
        <f t="shared" si="53"/>
        <v>0</v>
      </c>
      <c r="CW575" s="114"/>
      <c r="CX575" s="115"/>
      <c r="CY575" s="114"/>
      <c r="CZ575" s="115"/>
      <c r="DA575" s="115">
        <v>2000</v>
      </c>
      <c r="DB575" s="115">
        <f>2000*25745.04</f>
        <v>51490080</v>
      </c>
      <c r="DC575" s="114">
        <v>1500</v>
      </c>
      <c r="DD575" s="115">
        <f>1500*24989.88</f>
        <v>37484820</v>
      </c>
      <c r="DE575" s="97"/>
      <c r="DF575" s="269"/>
    </row>
    <row r="576" spans="1:110" s="270" customFormat="1" ht="60" x14ac:dyDescent="0.2">
      <c r="A576" s="89">
        <v>40649</v>
      </c>
      <c r="B576" s="90" t="s">
        <v>2226</v>
      </c>
      <c r="C576" s="90" t="s">
        <v>4243</v>
      </c>
      <c r="D576" s="90" t="s">
        <v>4264</v>
      </c>
      <c r="E576" s="90" t="str">
        <f>VLOOKUP(B576&amp;C576,Divipola!$C$2:$F$1138,4,FALSE)</f>
        <v>68081</v>
      </c>
      <c r="F576" s="90"/>
      <c r="G576" s="101"/>
      <c r="H576" s="101"/>
      <c r="I576" s="101"/>
      <c r="J576" s="101">
        <f>237*5</f>
        <v>1185</v>
      </c>
      <c r="K576" s="101">
        <v>237</v>
      </c>
      <c r="L576" s="101"/>
      <c r="M576" s="101"/>
      <c r="N576" s="101"/>
      <c r="O576" s="101"/>
      <c r="P576" s="101"/>
      <c r="Q576" s="101"/>
      <c r="R576" s="101"/>
      <c r="S576" s="101"/>
      <c r="T576" s="101"/>
      <c r="U576" s="101"/>
      <c r="V576" s="101"/>
      <c r="W576" s="91"/>
      <c r="X576" s="89"/>
      <c r="Y576" s="92">
        <f t="shared" si="48"/>
        <v>0</v>
      </c>
      <c r="Z576" s="92">
        <f t="shared" si="49"/>
        <v>0</v>
      </c>
      <c r="AA576" s="92">
        <f t="shared" si="50"/>
        <v>0</v>
      </c>
      <c r="AB576" s="92">
        <f t="shared" si="51"/>
        <v>0</v>
      </c>
      <c r="AC576" s="92"/>
      <c r="AD576" s="92">
        <v>0</v>
      </c>
      <c r="AE576" s="92">
        <f t="shared" si="52"/>
        <v>0</v>
      </c>
      <c r="AF576" s="93">
        <v>0</v>
      </c>
      <c r="AG576" s="89"/>
      <c r="AH576" s="94"/>
      <c r="AI576" s="95" t="s">
        <v>4346</v>
      </c>
      <c r="AJ576" s="96" t="s">
        <v>4347</v>
      </c>
      <c r="AK576" s="97"/>
      <c r="AL576" s="89" t="s">
        <v>1049</v>
      </c>
      <c r="AM576" s="100" t="s">
        <v>2786</v>
      </c>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114"/>
      <c r="CQ576" s="115"/>
      <c r="CR576" s="114"/>
      <c r="CS576" s="115"/>
      <c r="CT576" s="114"/>
      <c r="CU576" s="115"/>
      <c r="CV576" s="99">
        <f t="shared" si="53"/>
        <v>0</v>
      </c>
      <c r="CW576" s="114"/>
      <c r="CX576" s="115"/>
      <c r="CY576" s="114"/>
      <c r="CZ576" s="115"/>
      <c r="DA576" s="115"/>
      <c r="DB576" s="115"/>
      <c r="DC576" s="114"/>
      <c r="DD576" s="115"/>
      <c r="DE576" s="97"/>
      <c r="DF576" s="269"/>
    </row>
    <row r="577" spans="1:110" s="270" customFormat="1" ht="24" x14ac:dyDescent="0.2">
      <c r="A577" s="89">
        <v>40649</v>
      </c>
      <c r="B577" s="90" t="s">
        <v>2226</v>
      </c>
      <c r="C577" s="90" t="s">
        <v>3380</v>
      </c>
      <c r="D577" s="90" t="s">
        <v>4264</v>
      </c>
      <c r="E577" s="90" t="str">
        <f>VLOOKUP(B577&amp;C577,Divipola!$C$2:$F$1138,4,FALSE)</f>
        <v>68575</v>
      </c>
      <c r="F577" s="90"/>
      <c r="G577" s="101"/>
      <c r="H577" s="101"/>
      <c r="I577" s="101"/>
      <c r="J577" s="101">
        <f>361*4.5</f>
        <v>1624.5</v>
      </c>
      <c r="K577" s="101">
        <v>361</v>
      </c>
      <c r="L577" s="101"/>
      <c r="M577" s="101">
        <v>361</v>
      </c>
      <c r="N577" s="101"/>
      <c r="O577" s="101"/>
      <c r="P577" s="101"/>
      <c r="Q577" s="101"/>
      <c r="R577" s="101"/>
      <c r="S577" s="101"/>
      <c r="T577" s="101"/>
      <c r="U577" s="101"/>
      <c r="V577" s="101"/>
      <c r="W577" s="91"/>
      <c r="X577" s="89"/>
      <c r="Y577" s="92">
        <f t="shared" si="48"/>
        <v>0</v>
      </c>
      <c r="Z577" s="92">
        <f t="shared" si="49"/>
        <v>0</v>
      </c>
      <c r="AA577" s="92">
        <f t="shared" si="50"/>
        <v>0</v>
      </c>
      <c r="AB577" s="92">
        <f t="shared" si="51"/>
        <v>0</v>
      </c>
      <c r="AC577" s="92"/>
      <c r="AD577" s="92">
        <v>0</v>
      </c>
      <c r="AE577" s="92">
        <f t="shared" si="52"/>
        <v>0</v>
      </c>
      <c r="AF577" s="93">
        <v>0</v>
      </c>
      <c r="AG577" s="89"/>
      <c r="AH577" s="94"/>
      <c r="AI577" s="95" t="s">
        <v>4346</v>
      </c>
      <c r="AJ577" s="96" t="s">
        <v>4347</v>
      </c>
      <c r="AK577" s="97"/>
      <c r="AL577" s="89" t="s">
        <v>1049</v>
      </c>
      <c r="AM577" s="100" t="s">
        <v>2722</v>
      </c>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114"/>
      <c r="CQ577" s="115"/>
      <c r="CR577" s="114"/>
      <c r="CS577" s="115"/>
      <c r="CT577" s="114"/>
      <c r="CU577" s="115"/>
      <c r="CV577" s="99">
        <f t="shared" si="53"/>
        <v>0</v>
      </c>
      <c r="CW577" s="114"/>
      <c r="CX577" s="115"/>
      <c r="CY577" s="114"/>
      <c r="CZ577" s="115"/>
      <c r="DA577" s="115"/>
      <c r="DB577" s="115"/>
      <c r="DC577" s="114"/>
      <c r="DD577" s="115"/>
      <c r="DE577" s="97"/>
      <c r="DF577" s="269"/>
    </row>
    <row r="578" spans="1:110" s="270" customFormat="1" ht="108" x14ac:dyDescent="0.2">
      <c r="A578" s="89">
        <v>40649</v>
      </c>
      <c r="B578" s="90" t="s">
        <v>4244</v>
      </c>
      <c r="C578" s="90" t="s">
        <v>2247</v>
      </c>
      <c r="D578" s="90" t="s">
        <v>4264</v>
      </c>
      <c r="E578" s="90" t="str">
        <f>VLOOKUP(B578&amp;C578,Divipola!$C$2:$F$1138,4,FALSE)</f>
        <v>76622</v>
      </c>
      <c r="F578" s="90"/>
      <c r="G578" s="101"/>
      <c r="H578" s="101"/>
      <c r="I578" s="101"/>
      <c r="J578" s="101">
        <v>657</v>
      </c>
      <c r="K578" s="101">
        <v>180</v>
      </c>
      <c r="L578" s="101"/>
      <c r="M578" s="101">
        <v>180</v>
      </c>
      <c r="N578" s="101"/>
      <c r="O578" s="101"/>
      <c r="P578" s="101"/>
      <c r="Q578" s="101"/>
      <c r="R578" s="101"/>
      <c r="S578" s="101"/>
      <c r="T578" s="101"/>
      <c r="U578" s="101"/>
      <c r="V578" s="101"/>
      <c r="W578" s="91"/>
      <c r="X578" s="89"/>
      <c r="Y578" s="92">
        <f t="shared" si="48"/>
        <v>0</v>
      </c>
      <c r="Z578" s="92">
        <f t="shared" si="49"/>
        <v>0</v>
      </c>
      <c r="AA578" s="92">
        <f t="shared" si="50"/>
        <v>0</v>
      </c>
      <c r="AB578" s="92">
        <f t="shared" si="51"/>
        <v>0</v>
      </c>
      <c r="AC578" s="92"/>
      <c r="AD578" s="92">
        <v>148640000</v>
      </c>
      <c r="AE578" s="92">
        <f t="shared" si="52"/>
        <v>148640000</v>
      </c>
      <c r="AF578" s="93">
        <v>0</v>
      </c>
      <c r="AG578" s="89"/>
      <c r="AH578" s="94"/>
      <c r="AI578" s="95" t="s">
        <v>4346</v>
      </c>
      <c r="AJ578" s="96" t="s">
        <v>4347</v>
      </c>
      <c r="AK578" s="97"/>
      <c r="AL578" s="89"/>
      <c r="AM578" s="100" t="s">
        <v>2824</v>
      </c>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114"/>
      <c r="CQ578" s="115"/>
      <c r="CR578" s="114"/>
      <c r="CS578" s="115"/>
      <c r="CT578" s="114"/>
      <c r="CU578" s="115"/>
      <c r="CV578" s="99">
        <f t="shared" si="53"/>
        <v>0</v>
      </c>
      <c r="CW578" s="114"/>
      <c r="CX578" s="115"/>
      <c r="CY578" s="114"/>
      <c r="CZ578" s="115"/>
      <c r="DA578" s="115"/>
      <c r="DB578" s="115"/>
      <c r="DC578" s="114"/>
      <c r="DD578" s="115"/>
      <c r="DE578" s="97">
        <v>4</v>
      </c>
      <c r="DF578" s="269"/>
    </row>
    <row r="579" spans="1:110" s="270" customFormat="1" ht="72" x14ac:dyDescent="0.2">
      <c r="A579" s="89">
        <v>40649</v>
      </c>
      <c r="B579" s="90" t="s">
        <v>4244</v>
      </c>
      <c r="C579" s="90" t="s">
        <v>3492</v>
      </c>
      <c r="D579" s="90" t="s">
        <v>4264</v>
      </c>
      <c r="E579" s="90" t="str">
        <f>VLOOKUP(B579&amp;C579,Divipola!$C$2:$F$1138,4,FALSE)</f>
        <v>76670</v>
      </c>
      <c r="F579" s="90"/>
      <c r="G579" s="101"/>
      <c r="H579" s="101"/>
      <c r="I579" s="101"/>
      <c r="J579" s="101">
        <v>400</v>
      </c>
      <c r="K579" s="101">
        <v>80</v>
      </c>
      <c r="L579" s="101"/>
      <c r="M579" s="101">
        <v>80</v>
      </c>
      <c r="N579" s="101"/>
      <c r="O579" s="101"/>
      <c r="P579" s="101"/>
      <c r="Q579" s="101"/>
      <c r="R579" s="101"/>
      <c r="S579" s="101"/>
      <c r="T579" s="101"/>
      <c r="U579" s="101"/>
      <c r="V579" s="101"/>
      <c r="W579" s="91"/>
      <c r="X579" s="89"/>
      <c r="Y579" s="92">
        <f t="shared" ref="Y579:Y642" si="54">CV579</f>
        <v>0</v>
      </c>
      <c r="Z579" s="92">
        <f t="shared" ref="Z579:Z642" si="55">CZ579</f>
        <v>0</v>
      </c>
      <c r="AA579" s="92">
        <f t="shared" ref="AA579:AA642" si="56">DB579+DD579</f>
        <v>0</v>
      </c>
      <c r="AB579" s="92">
        <f t="shared" ref="AB579:AB642" si="57">CX579</f>
        <v>0</v>
      </c>
      <c r="AC579" s="92"/>
      <c r="AD579" s="92">
        <v>30000000</v>
      </c>
      <c r="AE579" s="92">
        <f t="shared" ref="AE579:AE642" si="58">Y579+Z579+AA579+AB579+AC579+AD579</f>
        <v>30000000</v>
      </c>
      <c r="AF579" s="93">
        <v>0</v>
      </c>
      <c r="AG579" s="89"/>
      <c r="AH579" s="94"/>
      <c r="AI579" s="95" t="s">
        <v>4346</v>
      </c>
      <c r="AJ579" s="96" t="s">
        <v>4347</v>
      </c>
      <c r="AK579" s="97"/>
      <c r="AL579" s="89"/>
      <c r="AM579" s="100" t="s">
        <v>2029</v>
      </c>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114"/>
      <c r="CQ579" s="115"/>
      <c r="CR579" s="114"/>
      <c r="CS579" s="115"/>
      <c r="CT579" s="114"/>
      <c r="CU579" s="115"/>
      <c r="CV579" s="99">
        <f t="shared" ref="CV579:CV642" si="59">AO579+AQ579+AS579+AU579+AW579+AY579+BA579+BC579+BE579+BG579+BI579+BK579+BM579+BO579+BQ579+BS579+BU579+BW579+BY579+CA579+CC579+CE579+CG579+CI579+CK579+CM579+CO579+CQ579+CS579+CU579</f>
        <v>0</v>
      </c>
      <c r="CW579" s="114"/>
      <c r="CX579" s="115"/>
      <c r="CY579" s="114"/>
      <c r="CZ579" s="115"/>
      <c r="DA579" s="115"/>
      <c r="DB579" s="115"/>
      <c r="DC579" s="114"/>
      <c r="DD579" s="115"/>
      <c r="DE579" s="97"/>
      <c r="DF579" s="269"/>
    </row>
    <row r="580" spans="1:110" s="270" customFormat="1" ht="48" x14ac:dyDescent="0.2">
      <c r="A580" s="89">
        <v>40649</v>
      </c>
      <c r="B580" s="90" t="s">
        <v>4244</v>
      </c>
      <c r="C580" s="90" t="s">
        <v>3384</v>
      </c>
      <c r="D580" s="90" t="s">
        <v>4264</v>
      </c>
      <c r="E580" s="90" t="str">
        <f>VLOOKUP(B580&amp;C580,Divipola!$C$2:$F$1138,4,FALSE)</f>
        <v>76892</v>
      </c>
      <c r="F580" s="90"/>
      <c r="G580" s="101"/>
      <c r="H580" s="101"/>
      <c r="I580" s="101"/>
      <c r="J580" s="101">
        <v>2000</v>
      </c>
      <c r="K580" s="101">
        <v>400</v>
      </c>
      <c r="L580" s="101"/>
      <c r="M580" s="101">
        <v>400</v>
      </c>
      <c r="N580" s="101"/>
      <c r="O580" s="101"/>
      <c r="P580" s="101"/>
      <c r="Q580" s="101"/>
      <c r="R580" s="101"/>
      <c r="S580" s="101"/>
      <c r="T580" s="101"/>
      <c r="U580" s="101"/>
      <c r="V580" s="101"/>
      <c r="W580" s="91"/>
      <c r="X580" s="89"/>
      <c r="Y580" s="92">
        <f t="shared" si="54"/>
        <v>0</v>
      </c>
      <c r="Z580" s="92">
        <f t="shared" si="55"/>
        <v>0</v>
      </c>
      <c r="AA580" s="92">
        <f t="shared" si="56"/>
        <v>0</v>
      </c>
      <c r="AB580" s="92">
        <f t="shared" si="57"/>
        <v>0</v>
      </c>
      <c r="AC580" s="92"/>
      <c r="AD580" s="92">
        <v>0</v>
      </c>
      <c r="AE580" s="92">
        <f t="shared" si="58"/>
        <v>0</v>
      </c>
      <c r="AF580" s="93">
        <v>0</v>
      </c>
      <c r="AG580" s="89"/>
      <c r="AH580" s="94"/>
      <c r="AI580" s="95" t="s">
        <v>4336</v>
      </c>
      <c r="AJ580" s="96" t="s">
        <v>4337</v>
      </c>
      <c r="AK580" s="97"/>
      <c r="AL580" s="89"/>
      <c r="AM580" s="100" t="s">
        <v>3586</v>
      </c>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114"/>
      <c r="CQ580" s="115"/>
      <c r="CR580" s="114"/>
      <c r="CS580" s="115"/>
      <c r="CT580" s="114"/>
      <c r="CU580" s="115"/>
      <c r="CV580" s="99">
        <f t="shared" si="59"/>
        <v>0</v>
      </c>
      <c r="CW580" s="114"/>
      <c r="CX580" s="115"/>
      <c r="CY580" s="114"/>
      <c r="CZ580" s="115"/>
      <c r="DA580" s="115"/>
      <c r="DB580" s="115"/>
      <c r="DC580" s="114"/>
      <c r="DD580" s="115"/>
      <c r="DE580" s="97"/>
      <c r="DF580" s="269"/>
    </row>
    <row r="581" spans="1:110" s="270" customFormat="1" ht="48" x14ac:dyDescent="0.2">
      <c r="A581" s="89">
        <v>40650</v>
      </c>
      <c r="B581" s="90" t="s">
        <v>2218</v>
      </c>
      <c r="C581" s="90" t="s">
        <v>3528</v>
      </c>
      <c r="D581" s="90" t="s">
        <v>4264</v>
      </c>
      <c r="E581" s="90" t="str">
        <f>VLOOKUP(B581&amp;C581,Divipola!$C$2:$F$1138,4,FALSE)</f>
        <v>05030</v>
      </c>
      <c r="F581" s="90"/>
      <c r="G581" s="302"/>
      <c r="H581" s="302"/>
      <c r="I581" s="302"/>
      <c r="J581" s="101">
        <v>65</v>
      </c>
      <c r="K581" s="101">
        <v>13</v>
      </c>
      <c r="L581" s="101">
        <v>5</v>
      </c>
      <c r="M581" s="101">
        <v>8</v>
      </c>
      <c r="N581" s="101"/>
      <c r="O581" s="101"/>
      <c r="P581" s="101"/>
      <c r="Q581" s="101"/>
      <c r="R581" s="101"/>
      <c r="S581" s="101"/>
      <c r="T581" s="101"/>
      <c r="U581" s="101"/>
      <c r="V581" s="101"/>
      <c r="W581" s="91"/>
      <c r="X581" s="89"/>
      <c r="Y581" s="92">
        <f t="shared" si="54"/>
        <v>0</v>
      </c>
      <c r="Z581" s="92">
        <f t="shared" si="55"/>
        <v>0</v>
      </c>
      <c r="AA581" s="92">
        <f t="shared" si="56"/>
        <v>0</v>
      </c>
      <c r="AB581" s="92">
        <f t="shared" si="57"/>
        <v>0</v>
      </c>
      <c r="AC581" s="92"/>
      <c r="AD581" s="92">
        <v>0</v>
      </c>
      <c r="AE581" s="92">
        <f t="shared" si="58"/>
        <v>0</v>
      </c>
      <c r="AF581" s="93">
        <v>0</v>
      </c>
      <c r="AG581" s="89"/>
      <c r="AH581" s="94"/>
      <c r="AI581" s="102" t="s">
        <v>4336</v>
      </c>
      <c r="AJ581" s="96" t="s">
        <v>4337</v>
      </c>
      <c r="AK581" s="285"/>
      <c r="AL581" s="284"/>
      <c r="AM581" s="100" t="s">
        <v>3251</v>
      </c>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114"/>
      <c r="CQ581" s="115"/>
      <c r="CR581" s="114"/>
      <c r="CS581" s="115"/>
      <c r="CT581" s="114"/>
      <c r="CU581" s="115"/>
      <c r="CV581" s="99">
        <f t="shared" si="59"/>
        <v>0</v>
      </c>
      <c r="CW581" s="114"/>
      <c r="CX581" s="115"/>
      <c r="CY581" s="114"/>
      <c r="CZ581" s="115"/>
      <c r="DA581" s="115"/>
      <c r="DB581" s="115"/>
      <c r="DC581" s="114"/>
      <c r="DD581" s="115"/>
      <c r="DE581" s="97"/>
      <c r="DF581" s="269"/>
    </row>
    <row r="582" spans="1:110" s="270" customFormat="1" ht="24" x14ac:dyDescent="0.2">
      <c r="A582" s="89">
        <v>40650</v>
      </c>
      <c r="B582" s="90" t="s">
        <v>2218</v>
      </c>
      <c r="C582" s="90" t="s">
        <v>3297</v>
      </c>
      <c r="D582" s="90" t="s">
        <v>2362</v>
      </c>
      <c r="E582" s="90" t="str">
        <f>VLOOKUP(B582&amp;C582,Divipola!$C$2:$F$1138,4,FALSE)</f>
        <v>05001</v>
      </c>
      <c r="F582" s="90"/>
      <c r="G582" s="302"/>
      <c r="H582" s="302"/>
      <c r="I582" s="302"/>
      <c r="J582" s="101">
        <v>200</v>
      </c>
      <c r="K582" s="101">
        <v>50</v>
      </c>
      <c r="L582" s="101">
        <v>3</v>
      </c>
      <c r="M582" s="101">
        <v>47</v>
      </c>
      <c r="N582" s="101"/>
      <c r="O582" s="101"/>
      <c r="P582" s="101"/>
      <c r="Q582" s="101"/>
      <c r="R582" s="101"/>
      <c r="S582" s="101"/>
      <c r="T582" s="101"/>
      <c r="U582" s="101"/>
      <c r="V582" s="101"/>
      <c r="W582" s="91"/>
      <c r="X582" s="89"/>
      <c r="Y582" s="92">
        <f t="shared" si="54"/>
        <v>0</v>
      </c>
      <c r="Z582" s="92">
        <f t="shared" si="55"/>
        <v>0</v>
      </c>
      <c r="AA582" s="92">
        <f t="shared" si="56"/>
        <v>0</v>
      </c>
      <c r="AB582" s="92">
        <f t="shared" si="57"/>
        <v>0</v>
      </c>
      <c r="AC582" s="92"/>
      <c r="AD582" s="92">
        <v>0</v>
      </c>
      <c r="AE582" s="92">
        <f t="shared" si="58"/>
        <v>0</v>
      </c>
      <c r="AF582" s="93">
        <v>0</v>
      </c>
      <c r="AG582" s="89"/>
      <c r="AH582" s="94"/>
      <c r="AI582" s="102" t="s">
        <v>4336</v>
      </c>
      <c r="AJ582" s="96" t="s">
        <v>4337</v>
      </c>
      <c r="AK582" s="285"/>
      <c r="AL582" s="303"/>
      <c r="AM582" s="100" t="s">
        <v>2134</v>
      </c>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114"/>
      <c r="CQ582" s="115"/>
      <c r="CR582" s="114"/>
      <c r="CS582" s="115"/>
      <c r="CT582" s="114"/>
      <c r="CU582" s="115"/>
      <c r="CV582" s="99">
        <f t="shared" si="59"/>
        <v>0</v>
      </c>
      <c r="CW582" s="114"/>
      <c r="CX582" s="115"/>
      <c r="CY582" s="114"/>
      <c r="CZ582" s="115"/>
      <c r="DA582" s="115"/>
      <c r="DB582" s="115"/>
      <c r="DC582" s="114"/>
      <c r="DD582" s="115"/>
      <c r="DE582" s="97"/>
      <c r="DF582" s="269"/>
    </row>
    <row r="583" spans="1:110" s="270" customFormat="1" ht="36" x14ac:dyDescent="0.2">
      <c r="A583" s="89">
        <v>40650</v>
      </c>
      <c r="B583" s="90" t="s">
        <v>3301</v>
      </c>
      <c r="C583" s="90" t="s">
        <v>4321</v>
      </c>
      <c r="D583" s="90" t="s">
        <v>4264</v>
      </c>
      <c r="E583" s="90" t="str">
        <f>VLOOKUP(B583&amp;C583,Divipola!$C$2:$F$1138,4,FALSE)</f>
        <v>81736</v>
      </c>
      <c r="F583" s="90"/>
      <c r="G583" s="101"/>
      <c r="H583" s="101"/>
      <c r="I583" s="101"/>
      <c r="J583" s="101">
        <v>57</v>
      </c>
      <c r="K583" s="101">
        <v>13</v>
      </c>
      <c r="L583" s="101"/>
      <c r="M583" s="101">
        <v>13</v>
      </c>
      <c r="N583" s="101"/>
      <c r="O583" s="101"/>
      <c r="P583" s="101"/>
      <c r="Q583" s="101"/>
      <c r="R583" s="101"/>
      <c r="S583" s="101"/>
      <c r="T583" s="101"/>
      <c r="U583" s="101"/>
      <c r="V583" s="101"/>
      <c r="W583" s="91"/>
      <c r="X583" s="89"/>
      <c r="Y583" s="92">
        <f t="shared" si="54"/>
        <v>0</v>
      </c>
      <c r="Z583" s="92">
        <f t="shared" si="55"/>
        <v>0</v>
      </c>
      <c r="AA583" s="92">
        <f t="shared" si="56"/>
        <v>0</v>
      </c>
      <c r="AB583" s="92">
        <f t="shared" si="57"/>
        <v>0</v>
      </c>
      <c r="AC583" s="92"/>
      <c r="AD583" s="92">
        <v>0</v>
      </c>
      <c r="AE583" s="92">
        <f t="shared" si="58"/>
        <v>0</v>
      </c>
      <c r="AF583" s="93">
        <v>0</v>
      </c>
      <c r="AG583" s="89"/>
      <c r="AH583" s="94"/>
      <c r="AI583" s="95" t="s">
        <v>4346</v>
      </c>
      <c r="AJ583" s="96" t="s">
        <v>4347</v>
      </c>
      <c r="AK583" s="97"/>
      <c r="AL583" s="105" t="s">
        <v>2798</v>
      </c>
      <c r="AM583" s="100" t="s">
        <v>948</v>
      </c>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114"/>
      <c r="CQ583" s="115"/>
      <c r="CR583" s="114"/>
      <c r="CS583" s="115"/>
      <c r="CT583" s="114"/>
      <c r="CU583" s="115"/>
      <c r="CV583" s="99">
        <f t="shared" si="59"/>
        <v>0</v>
      </c>
      <c r="CW583" s="114"/>
      <c r="CX583" s="115"/>
      <c r="CY583" s="114"/>
      <c r="CZ583" s="115"/>
      <c r="DA583" s="115"/>
      <c r="DB583" s="115"/>
      <c r="DC583" s="114"/>
      <c r="DD583" s="115"/>
      <c r="DE583" s="97"/>
      <c r="DF583" s="6"/>
    </row>
    <row r="584" spans="1:110" s="270" customFormat="1" ht="36" x14ac:dyDescent="0.2">
      <c r="A584" s="89">
        <v>40650</v>
      </c>
      <c r="B584" s="90" t="s">
        <v>4261</v>
      </c>
      <c r="C584" s="90" t="s">
        <v>2864</v>
      </c>
      <c r="D584" s="90" t="s">
        <v>2362</v>
      </c>
      <c r="E584" s="90" t="str">
        <f>VLOOKUP(B584&amp;C584,Divipola!$C$2:$F$1138,4,FALSE)</f>
        <v>15299</v>
      </c>
      <c r="F584" s="90"/>
      <c r="G584" s="101"/>
      <c r="H584" s="101"/>
      <c r="I584" s="101"/>
      <c r="J584" s="101"/>
      <c r="K584" s="101"/>
      <c r="L584" s="101"/>
      <c r="M584" s="101"/>
      <c r="N584" s="101">
        <v>1</v>
      </c>
      <c r="O584" s="101"/>
      <c r="P584" s="101"/>
      <c r="Q584" s="101"/>
      <c r="R584" s="101"/>
      <c r="S584" s="101"/>
      <c r="T584" s="101"/>
      <c r="U584" s="101"/>
      <c r="V584" s="101"/>
      <c r="W584" s="91"/>
      <c r="X584" s="89"/>
      <c r="Y584" s="92">
        <f t="shared" si="54"/>
        <v>0</v>
      </c>
      <c r="Z584" s="92">
        <f t="shared" si="55"/>
        <v>0</v>
      </c>
      <c r="AA584" s="92">
        <f t="shared" si="56"/>
        <v>0</v>
      </c>
      <c r="AB584" s="92">
        <f t="shared" si="57"/>
        <v>0</v>
      </c>
      <c r="AC584" s="92"/>
      <c r="AD584" s="92">
        <v>0</v>
      </c>
      <c r="AE584" s="92">
        <f t="shared" si="58"/>
        <v>0</v>
      </c>
      <c r="AF584" s="93">
        <v>0</v>
      </c>
      <c r="AG584" s="89"/>
      <c r="AH584" s="94"/>
      <c r="AI584" s="102" t="s">
        <v>4346</v>
      </c>
      <c r="AJ584" s="96" t="s">
        <v>4347</v>
      </c>
      <c r="AK584" s="97"/>
      <c r="AL584" s="89" t="s">
        <v>1049</v>
      </c>
      <c r="AM584" s="100" t="s">
        <v>2723</v>
      </c>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114"/>
      <c r="CQ584" s="115"/>
      <c r="CR584" s="114"/>
      <c r="CS584" s="115"/>
      <c r="CT584" s="114"/>
      <c r="CU584" s="115"/>
      <c r="CV584" s="99">
        <f t="shared" si="59"/>
        <v>0</v>
      </c>
      <c r="CW584" s="114"/>
      <c r="CX584" s="115"/>
      <c r="CY584" s="114"/>
      <c r="CZ584" s="115"/>
      <c r="DA584" s="115"/>
      <c r="DB584" s="115"/>
      <c r="DC584" s="114"/>
      <c r="DD584" s="115"/>
      <c r="DE584" s="97"/>
      <c r="DF584" s="269"/>
    </row>
    <row r="585" spans="1:110" s="270" customFormat="1" ht="132" x14ac:dyDescent="0.2">
      <c r="A585" s="89">
        <v>40650</v>
      </c>
      <c r="B585" s="90" t="s">
        <v>4261</v>
      </c>
      <c r="C585" s="90" t="s">
        <v>2868</v>
      </c>
      <c r="D585" s="90" t="s">
        <v>4264</v>
      </c>
      <c r="E585" s="90" t="str">
        <f>VLOOKUP(B585&amp;C585,Divipola!$C$2:$F$1138,4,FALSE)</f>
        <v>15516</v>
      </c>
      <c r="F585" s="90"/>
      <c r="G585" s="101"/>
      <c r="H585" s="101"/>
      <c r="I585" s="101"/>
      <c r="J585" s="101">
        <v>1195</v>
      </c>
      <c r="K585" s="101">
        <v>239</v>
      </c>
      <c r="L585" s="101"/>
      <c r="M585" s="101">
        <v>239</v>
      </c>
      <c r="N585" s="101"/>
      <c r="O585" s="101"/>
      <c r="P585" s="101"/>
      <c r="Q585" s="101"/>
      <c r="R585" s="101"/>
      <c r="S585" s="101"/>
      <c r="T585" s="101"/>
      <c r="U585" s="101"/>
      <c r="V585" s="101"/>
      <c r="W585" s="91"/>
      <c r="X585" s="89"/>
      <c r="Y585" s="92">
        <f t="shared" si="54"/>
        <v>0</v>
      </c>
      <c r="Z585" s="92">
        <f t="shared" si="55"/>
        <v>0</v>
      </c>
      <c r="AA585" s="92">
        <f t="shared" si="56"/>
        <v>0</v>
      </c>
      <c r="AB585" s="92">
        <f t="shared" si="57"/>
        <v>0</v>
      </c>
      <c r="AC585" s="92"/>
      <c r="AD585" s="92">
        <v>13000000</v>
      </c>
      <c r="AE585" s="92">
        <f t="shared" si="58"/>
        <v>13000000</v>
      </c>
      <c r="AF585" s="93">
        <v>0</v>
      </c>
      <c r="AG585" s="89"/>
      <c r="AH585" s="94"/>
      <c r="AI585" s="102" t="s">
        <v>4346</v>
      </c>
      <c r="AJ585" s="96" t="s">
        <v>4347</v>
      </c>
      <c r="AK585" s="97"/>
      <c r="AL585" s="89" t="s">
        <v>1049</v>
      </c>
      <c r="AM585" s="100" t="s">
        <v>1122</v>
      </c>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114"/>
      <c r="CQ585" s="115"/>
      <c r="CR585" s="114"/>
      <c r="CS585" s="115"/>
      <c r="CT585" s="114"/>
      <c r="CU585" s="115"/>
      <c r="CV585" s="99">
        <f t="shared" si="59"/>
        <v>0</v>
      </c>
      <c r="CW585" s="114"/>
      <c r="CX585" s="115"/>
      <c r="CY585" s="114"/>
      <c r="CZ585" s="115"/>
      <c r="DA585" s="115"/>
      <c r="DB585" s="115"/>
      <c r="DC585" s="114"/>
      <c r="DD585" s="115"/>
      <c r="DE585" s="97"/>
      <c r="DF585" s="269"/>
    </row>
    <row r="586" spans="1:110" s="270" customFormat="1" ht="24" x14ac:dyDescent="0.2">
      <c r="A586" s="89">
        <v>40650</v>
      </c>
      <c r="B586" s="90" t="s">
        <v>2225</v>
      </c>
      <c r="C586" s="90" t="s">
        <v>3381</v>
      </c>
      <c r="D586" s="90" t="s">
        <v>4264</v>
      </c>
      <c r="E586" s="90" t="str">
        <f>VLOOKUP(B586&amp;C586,Divipola!$C$2:$F$1138,4,FALSE)</f>
        <v>27615</v>
      </c>
      <c r="F586" s="90"/>
      <c r="G586" s="101"/>
      <c r="H586" s="101"/>
      <c r="I586" s="101"/>
      <c r="J586" s="101">
        <f>672*4</f>
        <v>2688</v>
      </c>
      <c r="K586" s="101">
        <v>672</v>
      </c>
      <c r="L586" s="101"/>
      <c r="M586" s="101"/>
      <c r="N586" s="101"/>
      <c r="O586" s="101"/>
      <c r="P586" s="101"/>
      <c r="Q586" s="101"/>
      <c r="R586" s="101"/>
      <c r="S586" s="101"/>
      <c r="T586" s="101"/>
      <c r="U586" s="101"/>
      <c r="V586" s="101"/>
      <c r="W586" s="91"/>
      <c r="X586" s="89"/>
      <c r="Y586" s="92">
        <f t="shared" si="54"/>
        <v>0</v>
      </c>
      <c r="Z586" s="92">
        <f t="shared" si="55"/>
        <v>0</v>
      </c>
      <c r="AA586" s="92">
        <f t="shared" si="56"/>
        <v>0</v>
      </c>
      <c r="AB586" s="92">
        <f t="shared" si="57"/>
        <v>0</v>
      </c>
      <c r="AC586" s="92"/>
      <c r="AD586" s="92">
        <v>0</v>
      </c>
      <c r="AE586" s="92">
        <f t="shared" si="58"/>
        <v>0</v>
      </c>
      <c r="AF586" s="93">
        <v>0</v>
      </c>
      <c r="AG586" s="89"/>
      <c r="AH586" s="94"/>
      <c r="AI586" s="95" t="s">
        <v>4336</v>
      </c>
      <c r="AJ586" s="96" t="s">
        <v>4337</v>
      </c>
      <c r="AK586" s="97"/>
      <c r="AL586" s="89"/>
      <c r="AM586" s="100" t="s">
        <v>2718</v>
      </c>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114"/>
      <c r="CQ586" s="115"/>
      <c r="CR586" s="114"/>
      <c r="CS586" s="115"/>
      <c r="CT586" s="114"/>
      <c r="CU586" s="115"/>
      <c r="CV586" s="99">
        <f t="shared" si="59"/>
        <v>0</v>
      </c>
      <c r="CW586" s="114"/>
      <c r="CX586" s="115"/>
      <c r="CY586" s="114"/>
      <c r="CZ586" s="115"/>
      <c r="DA586" s="115"/>
      <c r="DB586" s="115"/>
      <c r="DC586" s="114"/>
      <c r="DD586" s="115"/>
      <c r="DE586" s="97"/>
      <c r="DF586" s="269"/>
    </row>
    <row r="587" spans="1:110" s="270" customFormat="1" ht="60" x14ac:dyDescent="0.2">
      <c r="A587" s="89">
        <v>40650</v>
      </c>
      <c r="B587" s="90" t="s">
        <v>4344</v>
      </c>
      <c r="C587" s="90" t="s">
        <v>4224</v>
      </c>
      <c r="D587" s="90" t="s">
        <v>2362</v>
      </c>
      <c r="E587" s="90" t="str">
        <f>VLOOKUP(B587&amp;C587,Divipola!$C$2:$F$1138,4,FALSE)</f>
        <v>25599</v>
      </c>
      <c r="F587" s="90"/>
      <c r="G587" s="302"/>
      <c r="H587" s="302"/>
      <c r="I587" s="302"/>
      <c r="J587" s="101">
        <v>15</v>
      </c>
      <c r="K587" s="101">
        <v>4</v>
      </c>
      <c r="L587" s="101"/>
      <c r="M587" s="101">
        <v>4</v>
      </c>
      <c r="N587" s="101">
        <v>1</v>
      </c>
      <c r="O587" s="101"/>
      <c r="P587" s="101"/>
      <c r="Q587" s="101"/>
      <c r="R587" s="101"/>
      <c r="S587" s="101"/>
      <c r="T587" s="101"/>
      <c r="U587" s="101"/>
      <c r="V587" s="101"/>
      <c r="W587" s="91"/>
      <c r="X587" s="89"/>
      <c r="Y587" s="92">
        <f t="shared" si="54"/>
        <v>0</v>
      </c>
      <c r="Z587" s="92">
        <f t="shared" si="55"/>
        <v>0</v>
      </c>
      <c r="AA587" s="92">
        <f t="shared" si="56"/>
        <v>0</v>
      </c>
      <c r="AB587" s="92">
        <f t="shared" si="57"/>
        <v>0</v>
      </c>
      <c r="AC587" s="92"/>
      <c r="AD587" s="92">
        <v>0</v>
      </c>
      <c r="AE587" s="92">
        <f t="shared" si="58"/>
        <v>0</v>
      </c>
      <c r="AF587" s="93">
        <v>0</v>
      </c>
      <c r="AG587" s="89"/>
      <c r="AH587" s="94"/>
      <c r="AI587" s="102" t="s">
        <v>4336</v>
      </c>
      <c r="AJ587" s="96" t="s">
        <v>4337</v>
      </c>
      <c r="AK587" s="285"/>
      <c r="AL587" s="303"/>
      <c r="AM587" s="100" t="s">
        <v>2388</v>
      </c>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114"/>
      <c r="CQ587" s="115"/>
      <c r="CR587" s="114"/>
      <c r="CS587" s="115"/>
      <c r="CT587" s="114"/>
      <c r="CU587" s="115"/>
      <c r="CV587" s="99">
        <f t="shared" si="59"/>
        <v>0</v>
      </c>
      <c r="CW587" s="114"/>
      <c r="CX587" s="115"/>
      <c r="CY587" s="114"/>
      <c r="CZ587" s="115"/>
      <c r="DA587" s="115"/>
      <c r="DB587" s="115"/>
      <c r="DC587" s="114"/>
      <c r="DD587" s="115"/>
      <c r="DE587" s="97"/>
      <c r="DF587" s="269"/>
    </row>
    <row r="588" spans="1:110" s="270" customFormat="1" ht="120" x14ac:dyDescent="0.2">
      <c r="A588" s="89">
        <v>40650</v>
      </c>
      <c r="B588" s="90" t="s">
        <v>4344</v>
      </c>
      <c r="C588" s="90" t="s">
        <v>3450</v>
      </c>
      <c r="D588" s="90" t="s">
        <v>4264</v>
      </c>
      <c r="E588" s="90" t="str">
        <f>VLOOKUP(B588&amp;C588,Divipola!$C$2:$F$1138,4,FALSE)</f>
        <v>25175</v>
      </c>
      <c r="F588" s="90"/>
      <c r="G588" s="302"/>
      <c r="H588" s="302"/>
      <c r="I588" s="302"/>
      <c r="J588" s="101">
        <v>80</v>
      </c>
      <c r="K588" s="101">
        <v>4</v>
      </c>
      <c r="L588" s="101"/>
      <c r="M588" s="101">
        <v>4</v>
      </c>
      <c r="N588" s="101"/>
      <c r="O588" s="101"/>
      <c r="P588" s="101"/>
      <c r="Q588" s="101"/>
      <c r="R588" s="101"/>
      <c r="S588" s="101"/>
      <c r="T588" s="101">
        <v>1</v>
      </c>
      <c r="U588" s="101"/>
      <c r="V588" s="101"/>
      <c r="W588" s="91"/>
      <c r="X588" s="89"/>
      <c r="Y588" s="92">
        <f t="shared" si="54"/>
        <v>0</v>
      </c>
      <c r="Z588" s="92">
        <f t="shared" si="55"/>
        <v>0</v>
      </c>
      <c r="AA588" s="92">
        <f t="shared" si="56"/>
        <v>0</v>
      </c>
      <c r="AB588" s="92">
        <f t="shared" si="57"/>
        <v>0</v>
      </c>
      <c r="AC588" s="92"/>
      <c r="AD588" s="92">
        <v>0</v>
      </c>
      <c r="AE588" s="92">
        <f t="shared" si="58"/>
        <v>0</v>
      </c>
      <c r="AF588" s="93">
        <v>0</v>
      </c>
      <c r="AG588" s="89"/>
      <c r="AH588" s="94"/>
      <c r="AI588" s="102" t="s">
        <v>4336</v>
      </c>
      <c r="AJ588" s="96" t="s">
        <v>4337</v>
      </c>
      <c r="AK588" s="285"/>
      <c r="AL588" s="303"/>
      <c r="AM588" s="100" t="s">
        <v>3265</v>
      </c>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114"/>
      <c r="CQ588" s="115"/>
      <c r="CR588" s="114"/>
      <c r="CS588" s="115"/>
      <c r="CT588" s="114"/>
      <c r="CU588" s="115"/>
      <c r="CV588" s="99">
        <f t="shared" si="59"/>
        <v>0</v>
      </c>
      <c r="CW588" s="114"/>
      <c r="CX588" s="115"/>
      <c r="CY588" s="114"/>
      <c r="CZ588" s="115"/>
      <c r="DA588" s="115"/>
      <c r="DB588" s="115"/>
      <c r="DC588" s="114"/>
      <c r="DD588" s="115"/>
      <c r="DE588" s="97"/>
      <c r="DF588" s="269"/>
    </row>
    <row r="589" spans="1:110" s="270" customFormat="1" ht="24" x14ac:dyDescent="0.2">
      <c r="A589" s="89">
        <v>40650</v>
      </c>
      <c r="B589" s="90" t="s">
        <v>4344</v>
      </c>
      <c r="C589" s="90" t="s">
        <v>4231</v>
      </c>
      <c r="D589" s="90" t="s">
        <v>2362</v>
      </c>
      <c r="E589" s="90" t="str">
        <f>VLOOKUP(B589&amp;C589,Divipola!$C$2:$F$1138,4,FALSE)</f>
        <v>25290</v>
      </c>
      <c r="F589" s="90"/>
      <c r="G589" s="101"/>
      <c r="H589" s="101"/>
      <c r="I589" s="101"/>
      <c r="J589" s="101">
        <v>140</v>
      </c>
      <c r="K589" s="101">
        <v>70</v>
      </c>
      <c r="L589" s="101"/>
      <c r="M589" s="101">
        <v>70</v>
      </c>
      <c r="N589" s="101"/>
      <c r="O589" s="101"/>
      <c r="P589" s="101"/>
      <c r="Q589" s="101"/>
      <c r="R589" s="101"/>
      <c r="S589" s="101"/>
      <c r="T589" s="101"/>
      <c r="U589" s="101"/>
      <c r="V589" s="101"/>
      <c r="W589" s="91"/>
      <c r="X589" s="89"/>
      <c r="Y589" s="92">
        <f t="shared" si="54"/>
        <v>0</v>
      </c>
      <c r="Z589" s="92">
        <f t="shared" si="55"/>
        <v>0</v>
      </c>
      <c r="AA589" s="92">
        <f t="shared" si="56"/>
        <v>0</v>
      </c>
      <c r="AB589" s="92">
        <f t="shared" si="57"/>
        <v>0</v>
      </c>
      <c r="AC589" s="92"/>
      <c r="AD589" s="92">
        <v>0</v>
      </c>
      <c r="AE589" s="92">
        <f t="shared" si="58"/>
        <v>0</v>
      </c>
      <c r="AF589" s="93">
        <v>0</v>
      </c>
      <c r="AG589" s="89"/>
      <c r="AH589" s="94"/>
      <c r="AI589" s="102" t="s">
        <v>4336</v>
      </c>
      <c r="AJ589" s="96" t="s">
        <v>4337</v>
      </c>
      <c r="AK589" s="97"/>
      <c r="AL589" s="89"/>
      <c r="AM589" s="100" t="s">
        <v>2727</v>
      </c>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114"/>
      <c r="CQ589" s="115"/>
      <c r="CR589" s="114"/>
      <c r="CS589" s="115"/>
      <c r="CT589" s="114"/>
      <c r="CU589" s="115"/>
      <c r="CV589" s="99">
        <f t="shared" si="59"/>
        <v>0</v>
      </c>
      <c r="CW589" s="114"/>
      <c r="CX589" s="115"/>
      <c r="CY589" s="114"/>
      <c r="CZ589" s="115"/>
      <c r="DA589" s="115"/>
      <c r="DB589" s="115"/>
      <c r="DC589" s="114"/>
      <c r="DD589" s="115"/>
      <c r="DE589" s="97"/>
      <c r="DF589" s="269"/>
    </row>
    <row r="590" spans="1:110" s="270" customFormat="1" ht="36" x14ac:dyDescent="0.2">
      <c r="A590" s="89">
        <v>40650</v>
      </c>
      <c r="B590" s="90" t="s">
        <v>4344</v>
      </c>
      <c r="C590" s="90" t="s">
        <v>2213</v>
      </c>
      <c r="D590" s="90" t="s">
        <v>4264</v>
      </c>
      <c r="E590" s="90" t="str">
        <f>VLOOKUP(B590&amp;C590,Divipola!$C$2:$F$1138,4,FALSE)</f>
        <v>25322</v>
      </c>
      <c r="F590" s="90"/>
      <c r="G590" s="302"/>
      <c r="H590" s="302"/>
      <c r="I590" s="302"/>
      <c r="J590" s="101">
        <v>15</v>
      </c>
      <c r="K590" s="101">
        <v>3</v>
      </c>
      <c r="L590" s="101"/>
      <c r="M590" s="101">
        <v>3</v>
      </c>
      <c r="N590" s="101"/>
      <c r="O590" s="101"/>
      <c r="P590" s="101"/>
      <c r="Q590" s="101"/>
      <c r="R590" s="101"/>
      <c r="S590" s="101"/>
      <c r="T590" s="101"/>
      <c r="U590" s="101"/>
      <c r="V590" s="101"/>
      <c r="W590" s="91"/>
      <c r="X590" s="89"/>
      <c r="Y590" s="92">
        <f t="shared" si="54"/>
        <v>0</v>
      </c>
      <c r="Z590" s="92">
        <f t="shared" si="55"/>
        <v>0</v>
      </c>
      <c r="AA590" s="92">
        <f t="shared" si="56"/>
        <v>0</v>
      </c>
      <c r="AB590" s="92">
        <f t="shared" si="57"/>
        <v>0</v>
      </c>
      <c r="AC590" s="92"/>
      <c r="AD590" s="92">
        <v>0</v>
      </c>
      <c r="AE590" s="92">
        <f t="shared" si="58"/>
        <v>0</v>
      </c>
      <c r="AF590" s="93">
        <v>0</v>
      </c>
      <c r="AG590" s="89"/>
      <c r="AH590" s="94"/>
      <c r="AI590" s="102" t="s">
        <v>4336</v>
      </c>
      <c r="AJ590" s="96" t="s">
        <v>4337</v>
      </c>
      <c r="AK590" s="285"/>
      <c r="AL590" s="303"/>
      <c r="AM590" s="100" t="s">
        <v>3262</v>
      </c>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114"/>
      <c r="CQ590" s="115"/>
      <c r="CR590" s="114"/>
      <c r="CS590" s="115"/>
      <c r="CT590" s="114"/>
      <c r="CU590" s="115"/>
      <c r="CV590" s="99">
        <f t="shared" si="59"/>
        <v>0</v>
      </c>
      <c r="CW590" s="114"/>
      <c r="CX590" s="115"/>
      <c r="CY590" s="114"/>
      <c r="CZ590" s="115"/>
      <c r="DA590" s="115"/>
      <c r="DB590" s="115"/>
      <c r="DC590" s="114"/>
      <c r="DD590" s="115"/>
      <c r="DE590" s="97"/>
      <c r="DF590" s="269"/>
    </row>
    <row r="591" spans="1:110" s="270" customFormat="1" ht="24" x14ac:dyDescent="0.2">
      <c r="A591" s="89">
        <v>40650</v>
      </c>
      <c r="B591" s="90" t="s">
        <v>4344</v>
      </c>
      <c r="C591" s="90" t="s">
        <v>2215</v>
      </c>
      <c r="D591" s="90" t="s">
        <v>4264</v>
      </c>
      <c r="E591" s="90" t="str">
        <f>VLOOKUP(B591&amp;C591,Divipola!$C$2:$F$1138,4,FALSE)</f>
        <v>25407</v>
      </c>
      <c r="F591" s="90"/>
      <c r="G591" s="302"/>
      <c r="H591" s="302"/>
      <c r="I591" s="302"/>
      <c r="J591" s="101">
        <v>8</v>
      </c>
      <c r="K591" s="101">
        <v>2</v>
      </c>
      <c r="L591" s="101"/>
      <c r="M591" s="101">
        <v>2</v>
      </c>
      <c r="N591" s="101"/>
      <c r="O591" s="101"/>
      <c r="P591" s="101"/>
      <c r="Q591" s="101"/>
      <c r="R591" s="101"/>
      <c r="S591" s="101"/>
      <c r="T591" s="101"/>
      <c r="U591" s="101"/>
      <c r="V591" s="101"/>
      <c r="W591" s="91"/>
      <c r="X591" s="89"/>
      <c r="Y591" s="92">
        <f t="shared" si="54"/>
        <v>0</v>
      </c>
      <c r="Z591" s="92">
        <f t="shared" si="55"/>
        <v>0</v>
      </c>
      <c r="AA591" s="92">
        <f t="shared" si="56"/>
        <v>0</v>
      </c>
      <c r="AB591" s="92">
        <f t="shared" si="57"/>
        <v>0</v>
      </c>
      <c r="AC591" s="92"/>
      <c r="AD591" s="92">
        <v>0</v>
      </c>
      <c r="AE591" s="92">
        <f t="shared" si="58"/>
        <v>0</v>
      </c>
      <c r="AF591" s="93">
        <v>0</v>
      </c>
      <c r="AG591" s="89"/>
      <c r="AH591" s="94"/>
      <c r="AI591" s="102" t="s">
        <v>4336</v>
      </c>
      <c r="AJ591" s="96" t="s">
        <v>4337</v>
      </c>
      <c r="AK591" s="285"/>
      <c r="AL591" s="303"/>
      <c r="AM591" s="100" t="s">
        <v>3264</v>
      </c>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114"/>
      <c r="CQ591" s="115"/>
      <c r="CR591" s="114"/>
      <c r="CS591" s="115"/>
      <c r="CT591" s="114"/>
      <c r="CU591" s="115"/>
      <c r="CV591" s="99">
        <f t="shared" si="59"/>
        <v>0</v>
      </c>
      <c r="CW591" s="114"/>
      <c r="CX591" s="115"/>
      <c r="CY591" s="114"/>
      <c r="CZ591" s="115"/>
      <c r="DA591" s="115"/>
      <c r="DB591" s="115"/>
      <c r="DC591" s="114"/>
      <c r="DD591" s="115"/>
      <c r="DE591" s="97"/>
      <c r="DF591" s="269"/>
    </row>
    <row r="592" spans="1:110" s="270" customFormat="1" ht="36" x14ac:dyDescent="0.2">
      <c r="A592" s="89">
        <v>40650</v>
      </c>
      <c r="B592" s="90" t="s">
        <v>4344</v>
      </c>
      <c r="C592" s="90" t="s">
        <v>4515</v>
      </c>
      <c r="D592" s="90" t="s">
        <v>4264</v>
      </c>
      <c r="E592" s="90" t="str">
        <f>VLOOKUP(B592&amp;C592,Divipola!$C$2:$F$1138,4,FALSE)</f>
        <v>25736</v>
      </c>
      <c r="F592" s="90"/>
      <c r="G592" s="302"/>
      <c r="H592" s="302"/>
      <c r="I592" s="302"/>
      <c r="J592" s="101">
        <v>27</v>
      </c>
      <c r="K592" s="101">
        <v>9</v>
      </c>
      <c r="L592" s="101"/>
      <c r="M592" s="101">
        <v>9</v>
      </c>
      <c r="N592" s="101"/>
      <c r="O592" s="101"/>
      <c r="P592" s="101"/>
      <c r="Q592" s="101"/>
      <c r="R592" s="101"/>
      <c r="S592" s="101"/>
      <c r="T592" s="101"/>
      <c r="U592" s="101"/>
      <c r="V592" s="101"/>
      <c r="W592" s="91"/>
      <c r="X592" s="89"/>
      <c r="Y592" s="92">
        <f t="shared" si="54"/>
        <v>0</v>
      </c>
      <c r="Z592" s="92">
        <f t="shared" si="55"/>
        <v>0</v>
      </c>
      <c r="AA592" s="92">
        <f t="shared" si="56"/>
        <v>0</v>
      </c>
      <c r="AB592" s="92">
        <f t="shared" si="57"/>
        <v>0</v>
      </c>
      <c r="AC592" s="92"/>
      <c r="AD592" s="92">
        <v>0</v>
      </c>
      <c r="AE592" s="92">
        <f t="shared" si="58"/>
        <v>0</v>
      </c>
      <c r="AF592" s="93">
        <v>0</v>
      </c>
      <c r="AG592" s="89"/>
      <c r="AH592" s="94"/>
      <c r="AI592" s="102" t="s">
        <v>4336</v>
      </c>
      <c r="AJ592" s="96" t="s">
        <v>4337</v>
      </c>
      <c r="AK592" s="285"/>
      <c r="AL592" s="303"/>
      <c r="AM592" s="100" t="s">
        <v>3263</v>
      </c>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114"/>
      <c r="CQ592" s="115"/>
      <c r="CR592" s="114"/>
      <c r="CS592" s="115"/>
      <c r="CT592" s="114"/>
      <c r="CU592" s="115"/>
      <c r="CV592" s="99">
        <f t="shared" si="59"/>
        <v>0</v>
      </c>
      <c r="CW592" s="114"/>
      <c r="CX592" s="115"/>
      <c r="CY592" s="114"/>
      <c r="CZ592" s="115"/>
      <c r="DA592" s="115"/>
      <c r="DB592" s="115"/>
      <c r="DC592" s="114"/>
      <c r="DD592" s="115"/>
      <c r="DE592" s="97"/>
      <c r="DF592" s="269"/>
    </row>
    <row r="593" spans="1:110" s="270" customFormat="1" ht="24" x14ac:dyDescent="0.2">
      <c r="A593" s="89">
        <v>40650</v>
      </c>
      <c r="B593" s="90" t="s">
        <v>4344</v>
      </c>
      <c r="C593" s="90" t="s">
        <v>4280</v>
      </c>
      <c r="D593" s="90" t="s">
        <v>2362</v>
      </c>
      <c r="E593" s="90" t="str">
        <f>VLOOKUP(B593&amp;C593,Divipola!$C$2:$F$1138,4,FALSE)</f>
        <v>25841</v>
      </c>
      <c r="F593" s="90"/>
      <c r="G593" s="302"/>
      <c r="H593" s="302"/>
      <c r="I593" s="302"/>
      <c r="J593" s="101">
        <v>5</v>
      </c>
      <c r="K593" s="101">
        <v>1</v>
      </c>
      <c r="L593" s="101"/>
      <c r="M593" s="101">
        <v>1</v>
      </c>
      <c r="N593" s="101"/>
      <c r="O593" s="101"/>
      <c r="P593" s="101"/>
      <c r="Q593" s="101"/>
      <c r="R593" s="101"/>
      <c r="S593" s="101"/>
      <c r="T593" s="101"/>
      <c r="U593" s="101"/>
      <c r="V593" s="101">
        <v>300</v>
      </c>
      <c r="W593" s="91"/>
      <c r="X593" s="89"/>
      <c r="Y593" s="92">
        <f t="shared" si="54"/>
        <v>0</v>
      </c>
      <c r="Z593" s="92">
        <f t="shared" si="55"/>
        <v>0</v>
      </c>
      <c r="AA593" s="92">
        <f t="shared" si="56"/>
        <v>0</v>
      </c>
      <c r="AB593" s="92">
        <f t="shared" si="57"/>
        <v>0</v>
      </c>
      <c r="AC593" s="92"/>
      <c r="AD593" s="92">
        <v>0</v>
      </c>
      <c r="AE593" s="92">
        <f t="shared" si="58"/>
        <v>0</v>
      </c>
      <c r="AF593" s="93">
        <v>0</v>
      </c>
      <c r="AG593" s="89"/>
      <c r="AH593" s="94"/>
      <c r="AI593" s="102" t="s">
        <v>4336</v>
      </c>
      <c r="AJ593" s="96" t="s">
        <v>4337</v>
      </c>
      <c r="AK593" s="285"/>
      <c r="AL593" s="303"/>
      <c r="AM593" s="100" t="s">
        <v>3261</v>
      </c>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114"/>
      <c r="CQ593" s="115"/>
      <c r="CR593" s="114"/>
      <c r="CS593" s="115"/>
      <c r="CT593" s="114"/>
      <c r="CU593" s="115"/>
      <c r="CV593" s="99">
        <f t="shared" si="59"/>
        <v>0</v>
      </c>
      <c r="CW593" s="114"/>
      <c r="CX593" s="115"/>
      <c r="CY593" s="114"/>
      <c r="CZ593" s="115"/>
      <c r="DA593" s="115"/>
      <c r="DB593" s="115"/>
      <c r="DC593" s="114"/>
      <c r="DD593" s="115"/>
      <c r="DE593" s="97"/>
      <c r="DF593" s="269"/>
    </row>
    <row r="594" spans="1:110" s="270" customFormat="1" ht="48" x14ac:dyDescent="0.2">
      <c r="A594" s="89">
        <v>40650</v>
      </c>
      <c r="B594" s="90" t="s">
        <v>4344</v>
      </c>
      <c r="C594" s="90" t="s">
        <v>3324</v>
      </c>
      <c r="D594" s="90" t="s">
        <v>2362</v>
      </c>
      <c r="E594" s="90" t="str">
        <f>VLOOKUP(B594&amp;C594,Divipola!$C$2:$F$1138,4,FALSE)</f>
        <v>25843</v>
      </c>
      <c r="F594" s="90"/>
      <c r="G594" s="101"/>
      <c r="H594" s="101"/>
      <c r="I594" s="101"/>
      <c r="J594" s="101"/>
      <c r="K594" s="101"/>
      <c r="L594" s="101"/>
      <c r="M594" s="101"/>
      <c r="N594" s="101">
        <v>1</v>
      </c>
      <c r="O594" s="101"/>
      <c r="P594" s="101"/>
      <c r="Q594" s="101"/>
      <c r="R594" s="101"/>
      <c r="S594" s="101"/>
      <c r="T594" s="101"/>
      <c r="U594" s="101"/>
      <c r="V594" s="101"/>
      <c r="W594" s="91"/>
      <c r="X594" s="89"/>
      <c r="Y594" s="92">
        <f t="shared" si="54"/>
        <v>0</v>
      </c>
      <c r="Z594" s="92">
        <f t="shared" si="55"/>
        <v>0</v>
      </c>
      <c r="AA594" s="92">
        <f t="shared" si="56"/>
        <v>0</v>
      </c>
      <c r="AB594" s="92">
        <f t="shared" si="57"/>
        <v>0</v>
      </c>
      <c r="AC594" s="92"/>
      <c r="AD594" s="92">
        <v>0</v>
      </c>
      <c r="AE594" s="92">
        <f t="shared" si="58"/>
        <v>0</v>
      </c>
      <c r="AF594" s="93">
        <v>0</v>
      </c>
      <c r="AG594" s="89"/>
      <c r="AH594" s="94"/>
      <c r="AI594" s="102" t="s">
        <v>4336</v>
      </c>
      <c r="AJ594" s="96" t="s">
        <v>4337</v>
      </c>
      <c r="AK594" s="97"/>
      <c r="AL594" s="89"/>
      <c r="AM594" s="100" t="s">
        <v>2342</v>
      </c>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114"/>
      <c r="CQ594" s="115"/>
      <c r="CR594" s="114"/>
      <c r="CS594" s="115"/>
      <c r="CT594" s="114"/>
      <c r="CU594" s="115"/>
      <c r="CV594" s="99">
        <f t="shared" si="59"/>
        <v>0</v>
      </c>
      <c r="CW594" s="114"/>
      <c r="CX594" s="115"/>
      <c r="CY594" s="114"/>
      <c r="CZ594" s="115"/>
      <c r="DA594" s="115"/>
      <c r="DB594" s="115"/>
      <c r="DC594" s="114"/>
      <c r="DD594" s="115"/>
      <c r="DE594" s="97"/>
      <c r="DF594" s="269"/>
    </row>
    <row r="595" spans="1:110" s="270" customFormat="1" ht="84" x14ac:dyDescent="0.2">
      <c r="A595" s="89">
        <v>40650</v>
      </c>
      <c r="B595" s="90" t="s">
        <v>4219</v>
      </c>
      <c r="C595" s="90" t="s">
        <v>3467</v>
      </c>
      <c r="D595" s="90" t="s">
        <v>4264</v>
      </c>
      <c r="E595" s="90" t="str">
        <f>VLOOKUP(B595&amp;C595,Divipola!$C$2:$F$1138,4,FALSE)</f>
        <v>41016</v>
      </c>
      <c r="F595" s="90"/>
      <c r="G595" s="302"/>
      <c r="H595" s="302"/>
      <c r="I595" s="302"/>
      <c r="J595" s="101">
        <f>32*5</f>
        <v>160</v>
      </c>
      <c r="K595" s="101">
        <v>32</v>
      </c>
      <c r="L595" s="101"/>
      <c r="M595" s="101"/>
      <c r="N595" s="101"/>
      <c r="O595" s="101"/>
      <c r="P595" s="101"/>
      <c r="Q595" s="101"/>
      <c r="R595" s="101"/>
      <c r="S595" s="101"/>
      <c r="T595" s="101"/>
      <c r="U595" s="101"/>
      <c r="V595" s="101"/>
      <c r="W595" s="91"/>
      <c r="X595" s="89"/>
      <c r="Y595" s="92">
        <f t="shared" si="54"/>
        <v>0</v>
      </c>
      <c r="Z595" s="92">
        <f t="shared" si="55"/>
        <v>0</v>
      </c>
      <c r="AA595" s="92">
        <f t="shared" si="56"/>
        <v>0</v>
      </c>
      <c r="AB595" s="92">
        <f t="shared" si="57"/>
        <v>0</v>
      </c>
      <c r="AC595" s="92"/>
      <c r="AD595" s="92">
        <v>0</v>
      </c>
      <c r="AE595" s="92">
        <f t="shared" si="58"/>
        <v>0</v>
      </c>
      <c r="AF595" s="93">
        <v>0</v>
      </c>
      <c r="AG595" s="89"/>
      <c r="AH595" s="94"/>
      <c r="AI595" s="95" t="s">
        <v>4336</v>
      </c>
      <c r="AJ595" s="96" t="s">
        <v>4337</v>
      </c>
      <c r="AK595" s="285"/>
      <c r="AL595" s="303"/>
      <c r="AM595" s="100" t="s">
        <v>3258</v>
      </c>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114"/>
      <c r="CQ595" s="115"/>
      <c r="CR595" s="114"/>
      <c r="CS595" s="115"/>
      <c r="CT595" s="114"/>
      <c r="CU595" s="115"/>
      <c r="CV595" s="99">
        <f t="shared" si="59"/>
        <v>0</v>
      </c>
      <c r="CW595" s="114"/>
      <c r="CX595" s="115"/>
      <c r="CY595" s="114"/>
      <c r="CZ595" s="115"/>
      <c r="DA595" s="115"/>
      <c r="DB595" s="115"/>
      <c r="DC595" s="114"/>
      <c r="DD595" s="115"/>
      <c r="DE595" s="97"/>
      <c r="DF595" s="269"/>
    </row>
    <row r="596" spans="1:110" s="270" customFormat="1" ht="24" x14ac:dyDescent="0.2">
      <c r="A596" s="89">
        <v>40650</v>
      </c>
      <c r="B596" s="90" t="s">
        <v>4219</v>
      </c>
      <c r="C596" s="90" t="s">
        <v>956</v>
      </c>
      <c r="D596" s="90" t="s">
        <v>3346</v>
      </c>
      <c r="E596" s="90" t="str">
        <f>VLOOKUP(B596&amp;C596,Divipola!$C$2:$F$1138,4,FALSE)</f>
        <v>41298</v>
      </c>
      <c r="F596" s="90"/>
      <c r="G596" s="302"/>
      <c r="H596" s="302"/>
      <c r="I596" s="302"/>
      <c r="J596" s="101">
        <v>30</v>
      </c>
      <c r="K596" s="101">
        <v>6</v>
      </c>
      <c r="L596" s="101"/>
      <c r="M596" s="101">
        <v>6</v>
      </c>
      <c r="N596" s="101"/>
      <c r="O596" s="101"/>
      <c r="P596" s="101"/>
      <c r="Q596" s="101"/>
      <c r="R596" s="101"/>
      <c r="S596" s="101"/>
      <c r="T596" s="101"/>
      <c r="U596" s="101"/>
      <c r="V596" s="101"/>
      <c r="W596" s="91"/>
      <c r="X596" s="89"/>
      <c r="Y596" s="92">
        <f t="shared" si="54"/>
        <v>0</v>
      </c>
      <c r="Z596" s="92">
        <f t="shared" si="55"/>
        <v>0</v>
      </c>
      <c r="AA596" s="92">
        <f t="shared" si="56"/>
        <v>0</v>
      </c>
      <c r="AB596" s="92">
        <f t="shared" si="57"/>
        <v>0</v>
      </c>
      <c r="AC596" s="92"/>
      <c r="AD596" s="92">
        <v>0</v>
      </c>
      <c r="AE596" s="92">
        <f t="shared" si="58"/>
        <v>0</v>
      </c>
      <c r="AF596" s="93">
        <v>0</v>
      </c>
      <c r="AG596" s="89"/>
      <c r="AH596" s="94"/>
      <c r="AI596" s="95" t="s">
        <v>4336</v>
      </c>
      <c r="AJ596" s="96" t="s">
        <v>4337</v>
      </c>
      <c r="AK596" s="285"/>
      <c r="AL596" s="303"/>
      <c r="AM596" s="100" t="s">
        <v>3259</v>
      </c>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114"/>
      <c r="CQ596" s="115"/>
      <c r="CR596" s="114"/>
      <c r="CS596" s="115"/>
      <c r="CT596" s="114"/>
      <c r="CU596" s="115"/>
      <c r="CV596" s="99">
        <f t="shared" si="59"/>
        <v>0</v>
      </c>
      <c r="CW596" s="114"/>
      <c r="CX596" s="115"/>
      <c r="CY596" s="114"/>
      <c r="CZ596" s="115"/>
      <c r="DA596" s="115"/>
      <c r="DB596" s="115"/>
      <c r="DC596" s="114"/>
      <c r="DD596" s="115"/>
      <c r="DE596" s="97"/>
      <c r="DF596" s="269"/>
    </row>
    <row r="597" spans="1:110" s="270" customFormat="1" x14ac:dyDescent="0.2">
      <c r="A597" s="89">
        <v>40650</v>
      </c>
      <c r="B597" s="90" t="s">
        <v>4219</v>
      </c>
      <c r="C597" s="90" t="s">
        <v>956</v>
      </c>
      <c r="D597" s="90" t="s">
        <v>4264</v>
      </c>
      <c r="E597" s="90" t="str">
        <f>VLOOKUP(B597&amp;C597,Divipola!$C$2:$F$1138,4,FALSE)</f>
        <v>41298</v>
      </c>
      <c r="F597" s="90"/>
      <c r="G597" s="302"/>
      <c r="H597" s="302"/>
      <c r="I597" s="302"/>
      <c r="J597" s="101">
        <f>133*4</f>
        <v>532</v>
      </c>
      <c r="K597" s="101">
        <f>7+126</f>
        <v>133</v>
      </c>
      <c r="L597" s="101"/>
      <c r="M597" s="101">
        <v>133</v>
      </c>
      <c r="N597" s="101"/>
      <c r="O597" s="101"/>
      <c r="P597" s="101"/>
      <c r="Q597" s="101"/>
      <c r="R597" s="101"/>
      <c r="S597" s="101"/>
      <c r="T597" s="101"/>
      <c r="U597" s="101"/>
      <c r="V597" s="101"/>
      <c r="W597" s="91"/>
      <c r="X597" s="89"/>
      <c r="Y597" s="92">
        <f t="shared" si="54"/>
        <v>0</v>
      </c>
      <c r="Z597" s="92">
        <f t="shared" si="55"/>
        <v>0</v>
      </c>
      <c r="AA597" s="92">
        <f t="shared" si="56"/>
        <v>0</v>
      </c>
      <c r="AB597" s="92">
        <f t="shared" si="57"/>
        <v>0</v>
      </c>
      <c r="AC597" s="92"/>
      <c r="AD597" s="92">
        <v>0</v>
      </c>
      <c r="AE597" s="92">
        <f t="shared" si="58"/>
        <v>0</v>
      </c>
      <c r="AF597" s="93">
        <v>0</v>
      </c>
      <c r="AG597" s="89"/>
      <c r="AH597" s="94"/>
      <c r="AI597" s="95" t="s">
        <v>4336</v>
      </c>
      <c r="AJ597" s="96" t="s">
        <v>4337</v>
      </c>
      <c r="AK597" s="285"/>
      <c r="AL597" s="303"/>
      <c r="AM597" s="100" t="s">
        <v>3260</v>
      </c>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114"/>
      <c r="CQ597" s="115"/>
      <c r="CR597" s="114"/>
      <c r="CS597" s="115"/>
      <c r="CT597" s="114"/>
      <c r="CU597" s="115"/>
      <c r="CV597" s="99">
        <f t="shared" si="59"/>
        <v>0</v>
      </c>
      <c r="CW597" s="114"/>
      <c r="CX597" s="115"/>
      <c r="CY597" s="114"/>
      <c r="CZ597" s="115"/>
      <c r="DA597" s="115"/>
      <c r="DB597" s="115"/>
      <c r="DC597" s="114"/>
      <c r="DD597" s="115"/>
      <c r="DE597" s="97"/>
      <c r="DF597" s="6"/>
    </row>
    <row r="598" spans="1:110" s="270" customFormat="1" x14ac:dyDescent="0.2">
      <c r="A598" s="89">
        <v>40650</v>
      </c>
      <c r="B598" s="90" t="s">
        <v>4219</v>
      </c>
      <c r="C598" s="90" t="s">
        <v>4228</v>
      </c>
      <c r="D598" s="90" t="s">
        <v>4264</v>
      </c>
      <c r="E598" s="90" t="str">
        <f>VLOOKUP(B598&amp;C598,Divipola!$C$2:$F$1138,4,FALSE)</f>
        <v>41885</v>
      </c>
      <c r="F598" s="90"/>
      <c r="G598" s="101"/>
      <c r="H598" s="101"/>
      <c r="I598" s="101"/>
      <c r="J598" s="101">
        <v>30</v>
      </c>
      <c r="K598" s="101">
        <v>6</v>
      </c>
      <c r="L598" s="101"/>
      <c r="M598" s="101">
        <v>6</v>
      </c>
      <c r="N598" s="101"/>
      <c r="O598" s="101"/>
      <c r="P598" s="101"/>
      <c r="Q598" s="101"/>
      <c r="R598" s="101"/>
      <c r="S598" s="101"/>
      <c r="T598" s="101"/>
      <c r="U598" s="101"/>
      <c r="V598" s="101"/>
      <c r="W598" s="91"/>
      <c r="X598" s="89"/>
      <c r="Y598" s="92">
        <f t="shared" si="54"/>
        <v>0</v>
      </c>
      <c r="Z598" s="92">
        <f t="shared" si="55"/>
        <v>0</v>
      </c>
      <c r="AA598" s="92">
        <f t="shared" si="56"/>
        <v>0</v>
      </c>
      <c r="AB598" s="92">
        <f t="shared" si="57"/>
        <v>0</v>
      </c>
      <c r="AC598" s="92"/>
      <c r="AD598" s="92">
        <v>0</v>
      </c>
      <c r="AE598" s="92">
        <f t="shared" si="58"/>
        <v>0</v>
      </c>
      <c r="AF598" s="93">
        <v>0</v>
      </c>
      <c r="AG598" s="89"/>
      <c r="AH598" s="94"/>
      <c r="AI598" s="95" t="s">
        <v>4336</v>
      </c>
      <c r="AJ598" s="96" t="s">
        <v>4337</v>
      </c>
      <c r="AK598" s="97"/>
      <c r="AL598" s="89"/>
      <c r="AM598" s="100" t="s">
        <v>2720</v>
      </c>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114"/>
      <c r="CQ598" s="115"/>
      <c r="CR598" s="114"/>
      <c r="CS598" s="115"/>
      <c r="CT598" s="114"/>
      <c r="CU598" s="115"/>
      <c r="CV598" s="99">
        <f t="shared" si="59"/>
        <v>0</v>
      </c>
      <c r="CW598" s="114"/>
      <c r="CX598" s="115"/>
      <c r="CY598" s="114"/>
      <c r="CZ598" s="115"/>
      <c r="DA598" s="115"/>
      <c r="DB598" s="115"/>
      <c r="DC598" s="114"/>
      <c r="DD598" s="115"/>
      <c r="DE598" s="97"/>
      <c r="DF598" s="269"/>
    </row>
    <row r="599" spans="1:110" s="270" customFormat="1" ht="24" x14ac:dyDescent="0.2">
      <c r="A599" s="89">
        <v>40650</v>
      </c>
      <c r="B599" s="90" t="s">
        <v>860</v>
      </c>
      <c r="C599" s="90" t="s">
        <v>2859</v>
      </c>
      <c r="D599" s="90" t="s">
        <v>2362</v>
      </c>
      <c r="E599" s="90" t="str">
        <f>VLOOKUP(B599&amp;C599,Divipola!$C$2:$F$1138,4,FALSE)</f>
        <v>50001</v>
      </c>
      <c r="F599" s="90"/>
      <c r="G599" s="101"/>
      <c r="H599" s="101"/>
      <c r="I599" s="101"/>
      <c r="J599" s="101">
        <v>85</v>
      </c>
      <c r="K599" s="101">
        <v>17</v>
      </c>
      <c r="L599" s="101"/>
      <c r="M599" s="101">
        <v>17</v>
      </c>
      <c r="N599" s="101">
        <v>1</v>
      </c>
      <c r="O599" s="101"/>
      <c r="P599" s="101"/>
      <c r="Q599" s="101"/>
      <c r="R599" s="101"/>
      <c r="S599" s="101"/>
      <c r="T599" s="101"/>
      <c r="U599" s="101"/>
      <c r="V599" s="101"/>
      <c r="W599" s="91"/>
      <c r="X599" s="89"/>
      <c r="Y599" s="92">
        <f t="shared" si="54"/>
        <v>0</v>
      </c>
      <c r="Z599" s="92">
        <f t="shared" si="55"/>
        <v>0</v>
      </c>
      <c r="AA599" s="92">
        <f t="shared" si="56"/>
        <v>0</v>
      </c>
      <c r="AB599" s="92">
        <f t="shared" si="57"/>
        <v>0</v>
      </c>
      <c r="AC599" s="92"/>
      <c r="AD599" s="92">
        <v>0</v>
      </c>
      <c r="AE599" s="92">
        <f t="shared" si="58"/>
        <v>0</v>
      </c>
      <c r="AF599" s="93">
        <v>0</v>
      </c>
      <c r="AG599" s="89"/>
      <c r="AH599" s="94"/>
      <c r="AI599" s="95" t="s">
        <v>4346</v>
      </c>
      <c r="AJ599" s="96" t="s">
        <v>4347</v>
      </c>
      <c r="AK599" s="97"/>
      <c r="AL599" s="89" t="s">
        <v>2798</v>
      </c>
      <c r="AM599" s="100" t="s">
        <v>2724</v>
      </c>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114"/>
      <c r="CQ599" s="115"/>
      <c r="CR599" s="114"/>
      <c r="CS599" s="115"/>
      <c r="CT599" s="114"/>
      <c r="CU599" s="115"/>
      <c r="CV599" s="99">
        <f t="shared" si="59"/>
        <v>0</v>
      </c>
      <c r="CW599" s="114"/>
      <c r="CX599" s="115"/>
      <c r="CY599" s="114"/>
      <c r="CZ599" s="115"/>
      <c r="DA599" s="115"/>
      <c r="DB599" s="115"/>
      <c r="DC599" s="114"/>
      <c r="DD599" s="115"/>
      <c r="DE599" s="97"/>
      <c r="DF599" s="269"/>
    </row>
    <row r="600" spans="1:110" s="270" customFormat="1" ht="36" x14ac:dyDescent="0.2">
      <c r="A600" s="89">
        <v>40650</v>
      </c>
      <c r="B600" s="90" t="s">
        <v>2226</v>
      </c>
      <c r="C600" s="90" t="s">
        <v>4256</v>
      </c>
      <c r="D600" s="90" t="s">
        <v>4264</v>
      </c>
      <c r="E600" s="90" t="str">
        <f>VLOOKUP(B600&amp;C600,Divipola!$C$2:$F$1138,4,FALSE)</f>
        <v>68092</v>
      </c>
      <c r="F600" s="90"/>
      <c r="G600" s="302"/>
      <c r="H600" s="302"/>
      <c r="I600" s="302"/>
      <c r="J600" s="101">
        <v>10</v>
      </c>
      <c r="K600" s="101">
        <v>2</v>
      </c>
      <c r="L600" s="302"/>
      <c r="M600" s="101">
        <v>2</v>
      </c>
      <c r="N600" s="101"/>
      <c r="O600" s="101"/>
      <c r="P600" s="101"/>
      <c r="Q600" s="101"/>
      <c r="R600" s="101"/>
      <c r="S600" s="101"/>
      <c r="T600" s="101"/>
      <c r="U600" s="101"/>
      <c r="V600" s="101"/>
      <c r="W600" s="91"/>
      <c r="X600" s="89"/>
      <c r="Y600" s="92">
        <f t="shared" si="54"/>
        <v>0</v>
      </c>
      <c r="Z600" s="92">
        <f t="shared" si="55"/>
        <v>0</v>
      </c>
      <c r="AA600" s="92">
        <f t="shared" si="56"/>
        <v>0</v>
      </c>
      <c r="AB600" s="92">
        <f t="shared" si="57"/>
        <v>0</v>
      </c>
      <c r="AC600" s="92"/>
      <c r="AD600" s="92">
        <v>0</v>
      </c>
      <c r="AE600" s="92">
        <f t="shared" si="58"/>
        <v>0</v>
      </c>
      <c r="AF600" s="93">
        <v>0</v>
      </c>
      <c r="AG600" s="89"/>
      <c r="AH600" s="94"/>
      <c r="AI600" s="95" t="s">
        <v>4346</v>
      </c>
      <c r="AJ600" s="96" t="s">
        <v>4347</v>
      </c>
      <c r="AK600" s="97"/>
      <c r="AL600" s="89" t="s">
        <v>1049</v>
      </c>
      <c r="AM600" s="100" t="s">
        <v>3250</v>
      </c>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114"/>
      <c r="CQ600" s="115"/>
      <c r="CR600" s="114"/>
      <c r="CS600" s="115"/>
      <c r="CT600" s="114"/>
      <c r="CU600" s="115"/>
      <c r="CV600" s="99">
        <f t="shared" si="59"/>
        <v>0</v>
      </c>
      <c r="CW600" s="114"/>
      <c r="CX600" s="115"/>
      <c r="CY600" s="114"/>
      <c r="CZ600" s="115"/>
      <c r="DA600" s="115"/>
      <c r="DB600" s="115"/>
      <c r="DC600" s="114"/>
      <c r="DD600" s="115"/>
      <c r="DE600" s="97"/>
      <c r="DF600" s="269"/>
    </row>
    <row r="601" spans="1:110" s="270" customFormat="1" ht="36" x14ac:dyDescent="0.2">
      <c r="A601" s="89">
        <v>40650</v>
      </c>
      <c r="B601" s="90" t="s">
        <v>3316</v>
      </c>
      <c r="C601" s="90" t="s">
        <v>869</v>
      </c>
      <c r="D601" s="90" t="s">
        <v>4264</v>
      </c>
      <c r="E601" s="90" t="str">
        <f>VLOOKUP(B601&amp;C601,Divipola!$C$2:$F$1138,4,FALSE)</f>
        <v>73030</v>
      </c>
      <c r="F601" s="90"/>
      <c r="G601" s="101"/>
      <c r="H601" s="101"/>
      <c r="I601" s="101"/>
      <c r="J601" s="101">
        <v>1935</v>
      </c>
      <c r="K601" s="101">
        <v>387</v>
      </c>
      <c r="L601" s="101">
        <v>7</v>
      </c>
      <c r="M601" s="101">
        <v>380</v>
      </c>
      <c r="N601" s="101"/>
      <c r="O601" s="101"/>
      <c r="P601" s="101"/>
      <c r="Q601" s="101"/>
      <c r="R601" s="101"/>
      <c r="S601" s="101"/>
      <c r="T601" s="101"/>
      <c r="U601" s="101"/>
      <c r="V601" s="101"/>
      <c r="W601" s="91"/>
      <c r="X601" s="89"/>
      <c r="Y601" s="92">
        <f t="shared" si="54"/>
        <v>0</v>
      </c>
      <c r="Z601" s="92">
        <f t="shared" si="55"/>
        <v>0</v>
      </c>
      <c r="AA601" s="92">
        <f t="shared" si="56"/>
        <v>0</v>
      </c>
      <c r="AB601" s="92">
        <f t="shared" si="57"/>
        <v>0</v>
      </c>
      <c r="AC601" s="92"/>
      <c r="AD601" s="92">
        <v>0</v>
      </c>
      <c r="AE601" s="92">
        <f t="shared" si="58"/>
        <v>0</v>
      </c>
      <c r="AF601" s="93">
        <v>0</v>
      </c>
      <c r="AG601" s="89"/>
      <c r="AH601" s="94"/>
      <c r="AI601" s="95" t="s">
        <v>4346</v>
      </c>
      <c r="AJ601" s="96" t="s">
        <v>4347</v>
      </c>
      <c r="AK601" s="97"/>
      <c r="AL601" s="89" t="s">
        <v>2798</v>
      </c>
      <c r="AM601" s="121" t="s">
        <v>4578</v>
      </c>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114"/>
      <c r="CQ601" s="115"/>
      <c r="CR601" s="114"/>
      <c r="CS601" s="115"/>
      <c r="CT601" s="114"/>
      <c r="CU601" s="115"/>
      <c r="CV601" s="99">
        <f t="shared" si="59"/>
        <v>0</v>
      </c>
      <c r="CW601" s="114"/>
      <c r="CX601" s="115"/>
      <c r="CY601" s="114"/>
      <c r="CZ601" s="115"/>
      <c r="DA601" s="115"/>
      <c r="DB601" s="115"/>
      <c r="DC601" s="114"/>
      <c r="DD601" s="115"/>
      <c r="DE601" s="97"/>
      <c r="DF601" s="269"/>
    </row>
    <row r="602" spans="1:110" s="270" customFormat="1" ht="60" x14ac:dyDescent="0.2">
      <c r="A602" s="89">
        <v>40650</v>
      </c>
      <c r="B602" s="90" t="s">
        <v>3316</v>
      </c>
      <c r="C602" s="90" t="s">
        <v>4363</v>
      </c>
      <c r="D602" s="90" t="s">
        <v>4264</v>
      </c>
      <c r="E602" s="90" t="str">
        <f>VLOOKUP(B602&amp;C602,Divipola!$C$2:$F$1138,4,FALSE)</f>
        <v>73200</v>
      </c>
      <c r="F602" s="90"/>
      <c r="G602" s="101"/>
      <c r="H602" s="101"/>
      <c r="I602" s="101"/>
      <c r="J602" s="101">
        <f>273*5</f>
        <v>1365</v>
      </c>
      <c r="K602" s="101">
        <v>273</v>
      </c>
      <c r="L602" s="101">
        <v>37</v>
      </c>
      <c r="M602" s="101">
        <f>273-37</f>
        <v>236</v>
      </c>
      <c r="N602" s="101"/>
      <c r="O602" s="101"/>
      <c r="P602" s="101"/>
      <c r="Q602" s="101"/>
      <c r="R602" s="101"/>
      <c r="S602" s="101"/>
      <c r="T602" s="101"/>
      <c r="U602" s="101"/>
      <c r="V602" s="101"/>
      <c r="W602" s="91"/>
      <c r="X602" s="89"/>
      <c r="Y602" s="92">
        <f t="shared" si="54"/>
        <v>33730400</v>
      </c>
      <c r="Z602" s="92">
        <f t="shared" si="55"/>
        <v>17000000</v>
      </c>
      <c r="AA602" s="92">
        <f t="shared" si="56"/>
        <v>0</v>
      </c>
      <c r="AB602" s="92">
        <f t="shared" si="57"/>
        <v>0</v>
      </c>
      <c r="AC602" s="92"/>
      <c r="AD602" s="92">
        <v>253582544</v>
      </c>
      <c r="AE602" s="92">
        <f t="shared" si="58"/>
        <v>304312944</v>
      </c>
      <c r="AF602" s="93">
        <v>0</v>
      </c>
      <c r="AG602" s="89"/>
      <c r="AH602" s="94"/>
      <c r="AI602" s="95" t="s">
        <v>4346</v>
      </c>
      <c r="AJ602" s="96" t="s">
        <v>4347</v>
      </c>
      <c r="AK602" s="97"/>
      <c r="AL602" s="89"/>
      <c r="AM602" s="100" t="s">
        <v>2111</v>
      </c>
      <c r="AN602" s="91"/>
      <c r="AO602" s="91"/>
      <c r="AP602" s="91"/>
      <c r="AQ602" s="91"/>
      <c r="AR602" s="91"/>
      <c r="AS602" s="91"/>
      <c r="AT602" s="91"/>
      <c r="AU602" s="91"/>
      <c r="AV602" s="91"/>
      <c r="AW602" s="91"/>
      <c r="AX602" s="91"/>
      <c r="AY602" s="91"/>
      <c r="AZ602" s="91">
        <v>200</v>
      </c>
      <c r="BA602" s="91">
        <f>200*56000</f>
        <v>11200000</v>
      </c>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v>400</v>
      </c>
      <c r="CO602" s="91">
        <f>400*18000</f>
        <v>7200000</v>
      </c>
      <c r="CP602" s="114">
        <v>200</v>
      </c>
      <c r="CQ602" s="115">
        <f>200*36952</f>
        <v>7390400</v>
      </c>
      <c r="CR602" s="114">
        <v>200</v>
      </c>
      <c r="CS602" s="115">
        <f>200*39700</f>
        <v>7940000</v>
      </c>
      <c r="CT602" s="114"/>
      <c r="CU602" s="115"/>
      <c r="CV602" s="99">
        <f t="shared" si="59"/>
        <v>33730400</v>
      </c>
      <c r="CW602" s="114"/>
      <c r="CX602" s="115"/>
      <c r="CY602" s="114">
        <v>200</v>
      </c>
      <c r="CZ602" s="115">
        <f>200*85000</f>
        <v>17000000</v>
      </c>
      <c r="DA602" s="115"/>
      <c r="DB602" s="115"/>
      <c r="DC602" s="114"/>
      <c r="DD602" s="115"/>
      <c r="DE602" s="97">
        <v>2</v>
      </c>
      <c r="DF602" s="269"/>
    </row>
    <row r="603" spans="1:110" s="270" customFormat="1" ht="24" x14ac:dyDescent="0.2">
      <c r="A603" s="89">
        <v>40650</v>
      </c>
      <c r="B603" s="90" t="s">
        <v>3316</v>
      </c>
      <c r="C603" s="90" t="s">
        <v>4323</v>
      </c>
      <c r="D603" s="90" t="s">
        <v>2362</v>
      </c>
      <c r="E603" s="90" t="str">
        <f>VLOOKUP(B603&amp;C603,Divipola!$C$2:$F$1138,4,FALSE)</f>
        <v>73001</v>
      </c>
      <c r="F603" s="90"/>
      <c r="G603" s="302"/>
      <c r="H603" s="302"/>
      <c r="I603" s="302"/>
      <c r="J603" s="101">
        <v>12</v>
      </c>
      <c r="K603" s="101">
        <v>2</v>
      </c>
      <c r="L603" s="101"/>
      <c r="M603" s="101">
        <v>1</v>
      </c>
      <c r="N603" s="101"/>
      <c r="O603" s="101"/>
      <c r="P603" s="101"/>
      <c r="Q603" s="101"/>
      <c r="R603" s="101"/>
      <c r="S603" s="101"/>
      <c r="T603" s="101"/>
      <c r="U603" s="101"/>
      <c r="V603" s="101"/>
      <c r="W603" s="91"/>
      <c r="X603" s="89"/>
      <c r="Y603" s="92">
        <f t="shared" si="54"/>
        <v>0</v>
      </c>
      <c r="Z603" s="92">
        <f t="shared" si="55"/>
        <v>0</v>
      </c>
      <c r="AA603" s="92">
        <f t="shared" si="56"/>
        <v>0</v>
      </c>
      <c r="AB603" s="92">
        <f t="shared" si="57"/>
        <v>0</v>
      </c>
      <c r="AC603" s="92"/>
      <c r="AD603" s="92">
        <v>0</v>
      </c>
      <c r="AE603" s="92">
        <f t="shared" si="58"/>
        <v>0</v>
      </c>
      <c r="AF603" s="93">
        <v>0</v>
      </c>
      <c r="AG603" s="89"/>
      <c r="AH603" s="94"/>
      <c r="AI603" s="95" t="s">
        <v>4346</v>
      </c>
      <c r="AJ603" s="96" t="s">
        <v>4347</v>
      </c>
      <c r="AK603" s="97"/>
      <c r="AL603" s="89" t="s">
        <v>2798</v>
      </c>
      <c r="AM603" s="100" t="s">
        <v>3253</v>
      </c>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114"/>
      <c r="CQ603" s="115"/>
      <c r="CR603" s="114"/>
      <c r="CS603" s="115"/>
      <c r="CT603" s="114"/>
      <c r="CU603" s="115"/>
      <c r="CV603" s="99">
        <f t="shared" si="59"/>
        <v>0</v>
      </c>
      <c r="CW603" s="114"/>
      <c r="CX603" s="115"/>
      <c r="CY603" s="114"/>
      <c r="CZ603" s="115"/>
      <c r="DA603" s="115"/>
      <c r="DB603" s="115"/>
      <c r="DC603" s="114"/>
      <c r="DD603" s="115"/>
      <c r="DE603" s="97"/>
      <c r="DF603" s="269"/>
    </row>
    <row r="604" spans="1:110" s="270" customFormat="1" ht="48" x14ac:dyDescent="0.2">
      <c r="A604" s="89">
        <v>40650</v>
      </c>
      <c r="B604" s="90" t="s">
        <v>3316</v>
      </c>
      <c r="C604" s="90" t="s">
        <v>2275</v>
      </c>
      <c r="D604" s="90" t="s">
        <v>4264</v>
      </c>
      <c r="E604" s="90" t="str">
        <f>VLOOKUP(B604&amp;C604,Divipola!$C$2:$F$1138,4,FALSE)</f>
        <v>73483</v>
      </c>
      <c r="F604" s="90"/>
      <c r="G604" s="302"/>
      <c r="H604" s="302"/>
      <c r="I604" s="302"/>
      <c r="J604" s="101">
        <v>750</v>
      </c>
      <c r="K604" s="101">
        <v>150</v>
      </c>
      <c r="L604" s="101"/>
      <c r="M604" s="101">
        <v>150</v>
      </c>
      <c r="N604" s="101"/>
      <c r="O604" s="101"/>
      <c r="P604" s="101"/>
      <c r="Q604" s="101"/>
      <c r="R604" s="101"/>
      <c r="S604" s="101"/>
      <c r="T604" s="101"/>
      <c r="U604" s="101"/>
      <c r="V604" s="101"/>
      <c r="W604" s="91"/>
      <c r="X604" s="89"/>
      <c r="Y604" s="92">
        <f t="shared" si="54"/>
        <v>0</v>
      </c>
      <c r="Z604" s="92">
        <f t="shared" si="55"/>
        <v>0</v>
      </c>
      <c r="AA604" s="92">
        <f t="shared" si="56"/>
        <v>0</v>
      </c>
      <c r="AB604" s="92">
        <f t="shared" si="57"/>
        <v>0</v>
      </c>
      <c r="AC604" s="92"/>
      <c r="AD604" s="92">
        <v>0</v>
      </c>
      <c r="AE604" s="92">
        <f t="shared" si="58"/>
        <v>0</v>
      </c>
      <c r="AF604" s="93">
        <v>0</v>
      </c>
      <c r="AG604" s="89"/>
      <c r="AH604" s="94"/>
      <c r="AI604" s="95" t="s">
        <v>4346</v>
      </c>
      <c r="AJ604" s="96" t="s">
        <v>4347</v>
      </c>
      <c r="AK604" s="97"/>
      <c r="AL604" s="89" t="s">
        <v>2798</v>
      </c>
      <c r="AM604" s="100" t="s">
        <v>3254</v>
      </c>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114"/>
      <c r="CQ604" s="115"/>
      <c r="CR604" s="114"/>
      <c r="CS604" s="115"/>
      <c r="CT604" s="114"/>
      <c r="CU604" s="115"/>
      <c r="CV604" s="99">
        <f t="shared" si="59"/>
        <v>0</v>
      </c>
      <c r="CW604" s="114"/>
      <c r="CX604" s="115"/>
      <c r="CY604" s="114"/>
      <c r="CZ604" s="115"/>
      <c r="DA604" s="115"/>
      <c r="DB604" s="115"/>
      <c r="DC604" s="114"/>
      <c r="DD604" s="115"/>
      <c r="DE604" s="97"/>
      <c r="DF604" s="269"/>
    </row>
    <row r="605" spans="1:110" s="270" customFormat="1" ht="24" x14ac:dyDescent="0.2">
      <c r="A605" s="89">
        <v>40650</v>
      </c>
      <c r="B605" s="90" t="s">
        <v>3316</v>
      </c>
      <c r="C605" s="90" t="s">
        <v>1959</v>
      </c>
      <c r="D605" s="90" t="s">
        <v>4264</v>
      </c>
      <c r="E605" s="90" t="str">
        <f>VLOOKUP(B605&amp;C605,Divipola!$C$2:$F$1138,4,FALSE)</f>
        <v>73547</v>
      </c>
      <c r="F605" s="90"/>
      <c r="G605" s="101"/>
      <c r="H605" s="101"/>
      <c r="I605" s="101"/>
      <c r="J605" s="101">
        <v>50</v>
      </c>
      <c r="K605" s="101">
        <v>10</v>
      </c>
      <c r="L605" s="101"/>
      <c r="M605" s="101">
        <v>10</v>
      </c>
      <c r="N605" s="101"/>
      <c r="O605" s="101"/>
      <c r="P605" s="101"/>
      <c r="Q605" s="101"/>
      <c r="R605" s="101"/>
      <c r="S605" s="101"/>
      <c r="T605" s="101"/>
      <c r="U605" s="101"/>
      <c r="V605" s="101"/>
      <c r="W605" s="91"/>
      <c r="X605" s="89"/>
      <c r="Y605" s="92">
        <f t="shared" si="54"/>
        <v>0</v>
      </c>
      <c r="Z605" s="92">
        <f t="shared" si="55"/>
        <v>0</v>
      </c>
      <c r="AA605" s="92">
        <f t="shared" si="56"/>
        <v>0</v>
      </c>
      <c r="AB605" s="92">
        <f t="shared" si="57"/>
        <v>0</v>
      </c>
      <c r="AC605" s="92"/>
      <c r="AD605" s="92">
        <v>0</v>
      </c>
      <c r="AE605" s="92">
        <f t="shared" si="58"/>
        <v>0</v>
      </c>
      <c r="AF605" s="93">
        <v>0</v>
      </c>
      <c r="AG605" s="89"/>
      <c r="AH605" s="94"/>
      <c r="AI605" s="95" t="s">
        <v>4346</v>
      </c>
      <c r="AJ605" s="96" t="s">
        <v>4347</v>
      </c>
      <c r="AK605" s="97"/>
      <c r="AL605" s="89" t="s">
        <v>2798</v>
      </c>
      <c r="AM605" s="100" t="s">
        <v>2699</v>
      </c>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114"/>
      <c r="CQ605" s="115"/>
      <c r="CR605" s="114"/>
      <c r="CS605" s="115"/>
      <c r="CT605" s="114"/>
      <c r="CU605" s="115"/>
      <c r="CV605" s="99">
        <f t="shared" si="59"/>
        <v>0</v>
      </c>
      <c r="CW605" s="114"/>
      <c r="CX605" s="115"/>
      <c r="CY605" s="114"/>
      <c r="CZ605" s="115"/>
      <c r="DA605" s="115"/>
      <c r="DB605" s="115"/>
      <c r="DC605" s="114"/>
      <c r="DD605" s="115"/>
      <c r="DE605" s="97"/>
      <c r="DF605" s="269"/>
    </row>
    <row r="606" spans="1:110" s="270" customFormat="1" ht="24" x14ac:dyDescent="0.2">
      <c r="A606" s="89">
        <v>40650</v>
      </c>
      <c r="B606" s="90" t="s">
        <v>3316</v>
      </c>
      <c r="C606" s="90" t="s">
        <v>3375</v>
      </c>
      <c r="D606" s="90" t="s">
        <v>4264</v>
      </c>
      <c r="E606" s="90" t="str">
        <f>VLOOKUP(B606&amp;C606,Divipola!$C$2:$F$1138,4,FALSE)</f>
        <v>73563</v>
      </c>
      <c r="F606" s="90"/>
      <c r="G606" s="101"/>
      <c r="H606" s="101"/>
      <c r="I606" s="101"/>
      <c r="J606" s="101"/>
      <c r="K606" s="101"/>
      <c r="L606" s="101"/>
      <c r="M606" s="101"/>
      <c r="N606" s="101"/>
      <c r="O606" s="101"/>
      <c r="P606" s="101"/>
      <c r="Q606" s="101"/>
      <c r="R606" s="101"/>
      <c r="S606" s="101"/>
      <c r="T606" s="101"/>
      <c r="U606" s="101"/>
      <c r="V606" s="101"/>
      <c r="W606" s="91"/>
      <c r="X606" s="89"/>
      <c r="Y606" s="92">
        <f t="shared" si="54"/>
        <v>0</v>
      </c>
      <c r="Z606" s="92">
        <f t="shared" si="55"/>
        <v>0</v>
      </c>
      <c r="AA606" s="92">
        <f t="shared" si="56"/>
        <v>0</v>
      </c>
      <c r="AB606" s="92">
        <f t="shared" si="57"/>
        <v>0</v>
      </c>
      <c r="AC606" s="92"/>
      <c r="AD606" s="92">
        <v>0</v>
      </c>
      <c r="AE606" s="92">
        <f t="shared" si="58"/>
        <v>0</v>
      </c>
      <c r="AF606" s="93">
        <v>0</v>
      </c>
      <c r="AG606" s="89"/>
      <c r="AH606" s="94"/>
      <c r="AI606" s="95" t="s">
        <v>4346</v>
      </c>
      <c r="AJ606" s="96" t="s">
        <v>4347</v>
      </c>
      <c r="AK606" s="97"/>
      <c r="AL606" s="89" t="s">
        <v>2798</v>
      </c>
      <c r="AM606" s="100" t="s">
        <v>2699</v>
      </c>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114"/>
      <c r="CQ606" s="115"/>
      <c r="CR606" s="114"/>
      <c r="CS606" s="115"/>
      <c r="CT606" s="114"/>
      <c r="CU606" s="115"/>
      <c r="CV606" s="99">
        <f t="shared" si="59"/>
        <v>0</v>
      </c>
      <c r="CW606" s="114"/>
      <c r="CX606" s="115"/>
      <c r="CY606" s="114"/>
      <c r="CZ606" s="115"/>
      <c r="DA606" s="115"/>
      <c r="DB606" s="115"/>
      <c r="DC606" s="114"/>
      <c r="DD606" s="115"/>
      <c r="DE606" s="97"/>
      <c r="DF606" s="269"/>
    </row>
    <row r="607" spans="1:110" s="270" customFormat="1" ht="24" x14ac:dyDescent="0.2">
      <c r="A607" s="89">
        <v>40650</v>
      </c>
      <c r="B607" s="90" t="s">
        <v>3316</v>
      </c>
      <c r="C607" s="90" t="s">
        <v>4366</v>
      </c>
      <c r="D607" s="90" t="s">
        <v>4264</v>
      </c>
      <c r="E607" s="90" t="str">
        <f>VLOOKUP(B607&amp;C607,Divipola!$C$2:$F$1138,4,FALSE)</f>
        <v>73585</v>
      </c>
      <c r="F607" s="90"/>
      <c r="G607" s="101"/>
      <c r="H607" s="101"/>
      <c r="I607" s="101"/>
      <c r="J607" s="101"/>
      <c r="K607" s="101"/>
      <c r="L607" s="101"/>
      <c r="M607" s="101"/>
      <c r="N607" s="101"/>
      <c r="O607" s="101"/>
      <c r="P607" s="101"/>
      <c r="Q607" s="101"/>
      <c r="R607" s="101"/>
      <c r="S607" s="101"/>
      <c r="T607" s="101"/>
      <c r="U607" s="101"/>
      <c r="V607" s="101">
        <v>500</v>
      </c>
      <c r="W607" s="91" t="s">
        <v>3337</v>
      </c>
      <c r="X607" s="89"/>
      <c r="Y607" s="92">
        <f t="shared" si="54"/>
        <v>0</v>
      </c>
      <c r="Z607" s="92">
        <f t="shared" si="55"/>
        <v>0</v>
      </c>
      <c r="AA607" s="92">
        <f t="shared" si="56"/>
        <v>0</v>
      </c>
      <c r="AB607" s="92">
        <f t="shared" si="57"/>
        <v>0</v>
      </c>
      <c r="AC607" s="92"/>
      <c r="AD607" s="92">
        <v>0</v>
      </c>
      <c r="AE607" s="92">
        <f t="shared" si="58"/>
        <v>0</v>
      </c>
      <c r="AF607" s="93">
        <v>0</v>
      </c>
      <c r="AG607" s="89"/>
      <c r="AH607" s="94"/>
      <c r="AI607" s="95" t="s">
        <v>4346</v>
      </c>
      <c r="AJ607" s="96" t="s">
        <v>4347</v>
      </c>
      <c r="AK607" s="97"/>
      <c r="AL607" s="89" t="s">
        <v>2798</v>
      </c>
      <c r="AM607" s="100" t="s">
        <v>2699</v>
      </c>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114"/>
      <c r="CQ607" s="115"/>
      <c r="CR607" s="114"/>
      <c r="CS607" s="115"/>
      <c r="CT607" s="114"/>
      <c r="CU607" s="115"/>
      <c r="CV607" s="99">
        <f t="shared" si="59"/>
        <v>0</v>
      </c>
      <c r="CW607" s="114"/>
      <c r="CX607" s="115"/>
      <c r="CY607" s="114"/>
      <c r="CZ607" s="115"/>
      <c r="DA607" s="115"/>
      <c r="DB607" s="115"/>
      <c r="DC607" s="114"/>
      <c r="DD607" s="115"/>
      <c r="DE607" s="97"/>
      <c r="DF607" s="269"/>
    </row>
    <row r="608" spans="1:110" s="270" customFormat="1" ht="36" x14ac:dyDescent="0.2">
      <c r="A608" s="89">
        <v>40650</v>
      </c>
      <c r="B608" s="90" t="s">
        <v>4244</v>
      </c>
      <c r="C608" s="90" t="s">
        <v>2867</v>
      </c>
      <c r="D608" s="90" t="s">
        <v>4264</v>
      </c>
      <c r="E608" s="90" t="str">
        <f>VLOOKUP(B608&amp;C608,Divipola!$C$2:$F$1138,4,FALSE)</f>
        <v>76403</v>
      </c>
      <c r="F608" s="90"/>
      <c r="G608" s="101"/>
      <c r="H608" s="101"/>
      <c r="I608" s="101"/>
      <c r="J608" s="101">
        <v>1750</v>
      </c>
      <c r="K608" s="101">
        <v>350</v>
      </c>
      <c r="L608" s="101"/>
      <c r="M608" s="101">
        <v>350</v>
      </c>
      <c r="N608" s="101"/>
      <c r="O608" s="101"/>
      <c r="P608" s="101"/>
      <c r="Q608" s="101"/>
      <c r="R608" s="101"/>
      <c r="S608" s="101"/>
      <c r="T608" s="101"/>
      <c r="U608" s="101"/>
      <c r="V608" s="101"/>
      <c r="W608" s="91"/>
      <c r="X608" s="89"/>
      <c r="Y608" s="92">
        <f t="shared" si="54"/>
        <v>0</v>
      </c>
      <c r="Z608" s="92">
        <f t="shared" si="55"/>
        <v>0</v>
      </c>
      <c r="AA608" s="92">
        <f t="shared" si="56"/>
        <v>0</v>
      </c>
      <c r="AB608" s="92">
        <f t="shared" si="57"/>
        <v>0</v>
      </c>
      <c r="AC608" s="92"/>
      <c r="AD608" s="92">
        <v>0</v>
      </c>
      <c r="AE608" s="92">
        <f t="shared" si="58"/>
        <v>0</v>
      </c>
      <c r="AF608" s="93">
        <v>0</v>
      </c>
      <c r="AG608" s="89"/>
      <c r="AH608" s="94"/>
      <c r="AI608" s="95" t="s">
        <v>4336</v>
      </c>
      <c r="AJ608" s="96" t="s">
        <v>4337</v>
      </c>
      <c r="AK608" s="97"/>
      <c r="AL608" s="89"/>
      <c r="AM608" s="100" t="s">
        <v>2725</v>
      </c>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114"/>
      <c r="CQ608" s="115"/>
      <c r="CR608" s="114"/>
      <c r="CS608" s="115"/>
      <c r="CT608" s="114"/>
      <c r="CU608" s="115"/>
      <c r="CV608" s="99">
        <f t="shared" si="59"/>
        <v>0</v>
      </c>
      <c r="CW608" s="114"/>
      <c r="CX608" s="115"/>
      <c r="CY608" s="114"/>
      <c r="CZ608" s="115"/>
      <c r="DA608" s="115"/>
      <c r="DB608" s="115"/>
      <c r="DC608" s="114"/>
      <c r="DD608" s="115"/>
      <c r="DE608" s="97"/>
      <c r="DF608" s="269"/>
    </row>
    <row r="609" spans="1:110" s="270" customFormat="1" ht="24" x14ac:dyDescent="0.2">
      <c r="A609" s="89">
        <v>40650</v>
      </c>
      <c r="B609" s="90" t="s">
        <v>4244</v>
      </c>
      <c r="C609" s="90" t="s">
        <v>3451</v>
      </c>
      <c r="D609" s="90" t="s">
        <v>4264</v>
      </c>
      <c r="E609" s="90" t="str">
        <f>VLOOKUP(B609&amp;C609,Divipola!$C$2:$F$1138,4,FALSE)</f>
        <v>76834</v>
      </c>
      <c r="F609" s="90"/>
      <c r="G609" s="101"/>
      <c r="H609" s="101"/>
      <c r="I609" s="101"/>
      <c r="J609" s="101">
        <v>1980</v>
      </c>
      <c r="K609" s="101">
        <v>396</v>
      </c>
      <c r="L609" s="101"/>
      <c r="M609" s="101">
        <v>396</v>
      </c>
      <c r="N609" s="101"/>
      <c r="O609" s="101"/>
      <c r="P609" s="101"/>
      <c r="Q609" s="101"/>
      <c r="R609" s="101"/>
      <c r="S609" s="101"/>
      <c r="T609" s="101"/>
      <c r="U609" s="101"/>
      <c r="V609" s="101"/>
      <c r="W609" s="91"/>
      <c r="X609" s="89"/>
      <c r="Y609" s="92">
        <f t="shared" si="54"/>
        <v>0</v>
      </c>
      <c r="Z609" s="92">
        <f t="shared" si="55"/>
        <v>0</v>
      </c>
      <c r="AA609" s="92">
        <f t="shared" si="56"/>
        <v>0</v>
      </c>
      <c r="AB609" s="92">
        <f t="shared" si="57"/>
        <v>0</v>
      </c>
      <c r="AC609" s="92"/>
      <c r="AD609" s="92">
        <v>0</v>
      </c>
      <c r="AE609" s="92">
        <f t="shared" si="58"/>
        <v>0</v>
      </c>
      <c r="AF609" s="93">
        <v>0</v>
      </c>
      <c r="AG609" s="89"/>
      <c r="AH609" s="94"/>
      <c r="AI609" s="95" t="s">
        <v>4336</v>
      </c>
      <c r="AJ609" s="96" t="s">
        <v>4337</v>
      </c>
      <c r="AK609" s="97"/>
      <c r="AL609" s="89"/>
      <c r="AM609" s="100" t="s">
        <v>4194</v>
      </c>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114"/>
      <c r="CQ609" s="115"/>
      <c r="CR609" s="114"/>
      <c r="CS609" s="115"/>
      <c r="CT609" s="114"/>
      <c r="CU609" s="115"/>
      <c r="CV609" s="99">
        <f t="shared" si="59"/>
        <v>0</v>
      </c>
      <c r="CW609" s="114"/>
      <c r="CX609" s="115"/>
      <c r="CY609" s="114"/>
      <c r="CZ609" s="115"/>
      <c r="DA609" s="115"/>
      <c r="DB609" s="115"/>
      <c r="DC609" s="114"/>
      <c r="DD609" s="115"/>
      <c r="DE609" s="97"/>
      <c r="DF609" s="269"/>
    </row>
    <row r="610" spans="1:110" s="270" customFormat="1" ht="36" x14ac:dyDescent="0.2">
      <c r="A610" s="89">
        <v>40651</v>
      </c>
      <c r="B610" s="90" t="s">
        <v>1116</v>
      </c>
      <c r="C610" s="90" t="s">
        <v>1116</v>
      </c>
      <c r="D610" s="90" t="s">
        <v>4264</v>
      </c>
      <c r="E610" s="90" t="str">
        <f>VLOOKUP(B610&amp;C610,Divipola!$C$2:$F$1138,4,FALSE)</f>
        <v>11001</v>
      </c>
      <c r="F610" s="90"/>
      <c r="G610" s="302"/>
      <c r="H610" s="302"/>
      <c r="I610" s="302"/>
      <c r="J610" s="101"/>
      <c r="K610" s="101"/>
      <c r="L610" s="101"/>
      <c r="M610" s="101"/>
      <c r="N610" s="101">
        <v>1</v>
      </c>
      <c r="O610" s="101"/>
      <c r="P610" s="101"/>
      <c r="Q610" s="101"/>
      <c r="R610" s="101"/>
      <c r="S610" s="101"/>
      <c r="T610" s="101"/>
      <c r="U610" s="101"/>
      <c r="V610" s="101"/>
      <c r="W610" s="91"/>
      <c r="X610" s="89"/>
      <c r="Y610" s="92">
        <f t="shared" si="54"/>
        <v>0</v>
      </c>
      <c r="Z610" s="92">
        <f t="shared" si="55"/>
        <v>0</v>
      </c>
      <c r="AA610" s="92">
        <f t="shared" si="56"/>
        <v>0</v>
      </c>
      <c r="AB610" s="92">
        <f t="shared" si="57"/>
        <v>0</v>
      </c>
      <c r="AC610" s="92"/>
      <c r="AD610" s="92">
        <v>0</v>
      </c>
      <c r="AE610" s="92">
        <f t="shared" si="58"/>
        <v>0</v>
      </c>
      <c r="AF610" s="93">
        <v>0</v>
      </c>
      <c r="AG610" s="89"/>
      <c r="AH610" s="94"/>
      <c r="AI610" s="95" t="s">
        <v>4336</v>
      </c>
      <c r="AJ610" s="96" t="s">
        <v>4337</v>
      </c>
      <c r="AK610" s="285"/>
      <c r="AL610" s="303"/>
      <c r="AM610" s="100" t="s">
        <v>2790</v>
      </c>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114"/>
      <c r="CQ610" s="115"/>
      <c r="CR610" s="114"/>
      <c r="CS610" s="115"/>
      <c r="CT610" s="114"/>
      <c r="CU610" s="115"/>
      <c r="CV610" s="99">
        <f t="shared" si="59"/>
        <v>0</v>
      </c>
      <c r="CW610" s="114"/>
      <c r="CX610" s="115"/>
      <c r="CY610" s="114"/>
      <c r="CZ610" s="115"/>
      <c r="DA610" s="115"/>
      <c r="DB610" s="115"/>
      <c r="DC610" s="114"/>
      <c r="DD610" s="115"/>
      <c r="DE610" s="97"/>
      <c r="DF610" s="269"/>
    </row>
    <row r="611" spans="1:110" s="270" customFormat="1" ht="84" x14ac:dyDescent="0.2">
      <c r="A611" s="89">
        <v>40651</v>
      </c>
      <c r="B611" s="90" t="s">
        <v>4352</v>
      </c>
      <c r="C611" s="90" t="s">
        <v>4356</v>
      </c>
      <c r="D611" s="90" t="s">
        <v>4264</v>
      </c>
      <c r="E611" s="90" t="str">
        <f>VLOOKUP(B611&amp;C611,Divipola!$C$2:$F$1138,4,FALSE)</f>
        <v>13160</v>
      </c>
      <c r="F611" s="90"/>
      <c r="G611" s="302"/>
      <c r="H611" s="302"/>
      <c r="I611" s="302"/>
      <c r="J611" s="101">
        <f>1717*5</f>
        <v>8585</v>
      </c>
      <c r="K611" s="101">
        <v>1717</v>
      </c>
      <c r="L611" s="101"/>
      <c r="M611" s="101">
        <v>1717</v>
      </c>
      <c r="N611" s="101"/>
      <c r="O611" s="101"/>
      <c r="P611" s="101"/>
      <c r="Q611" s="101"/>
      <c r="R611" s="101"/>
      <c r="S611" s="101"/>
      <c r="T611" s="101"/>
      <c r="U611" s="101"/>
      <c r="V611" s="101"/>
      <c r="W611" s="91"/>
      <c r="X611" s="89"/>
      <c r="Y611" s="92">
        <f t="shared" si="54"/>
        <v>102597200</v>
      </c>
      <c r="Z611" s="92">
        <f t="shared" si="55"/>
        <v>178500000</v>
      </c>
      <c r="AA611" s="92">
        <f t="shared" si="56"/>
        <v>0</v>
      </c>
      <c r="AB611" s="92">
        <f t="shared" si="57"/>
        <v>0</v>
      </c>
      <c r="AC611" s="92"/>
      <c r="AD611" s="92">
        <v>0</v>
      </c>
      <c r="AE611" s="92">
        <f t="shared" si="58"/>
        <v>281097200</v>
      </c>
      <c r="AF611" s="93">
        <v>0</v>
      </c>
      <c r="AG611" s="89"/>
      <c r="AH611" s="94"/>
      <c r="AI611" s="95" t="s">
        <v>4346</v>
      </c>
      <c r="AJ611" s="96" t="s">
        <v>4347</v>
      </c>
      <c r="AK611" s="285"/>
      <c r="AL611" s="303"/>
      <c r="AM611" s="100" t="s">
        <v>2387</v>
      </c>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v>50</v>
      </c>
      <c r="CA611" s="91">
        <f>50*499960</f>
        <v>24998000</v>
      </c>
      <c r="CB611" s="91"/>
      <c r="CC611" s="91"/>
      <c r="CD611" s="91"/>
      <c r="CE611" s="91"/>
      <c r="CF611" s="91"/>
      <c r="CG611" s="91"/>
      <c r="CH611" s="91"/>
      <c r="CI611" s="91"/>
      <c r="CJ611" s="91"/>
      <c r="CK611" s="91"/>
      <c r="CL611" s="91"/>
      <c r="CM611" s="91"/>
      <c r="CN611" s="91"/>
      <c r="CO611" s="91"/>
      <c r="CP611" s="114">
        <v>2100</v>
      </c>
      <c r="CQ611" s="115">
        <f>2100*36952</f>
        <v>77599200</v>
      </c>
      <c r="CR611" s="114"/>
      <c r="CS611" s="115"/>
      <c r="CT611" s="114"/>
      <c r="CU611" s="115"/>
      <c r="CV611" s="99">
        <f t="shared" si="59"/>
        <v>102597200</v>
      </c>
      <c r="CW611" s="114"/>
      <c r="CX611" s="115"/>
      <c r="CY611" s="114">
        <v>2100</v>
      </c>
      <c r="CZ611" s="115">
        <f>2100*85000</f>
        <v>178500000</v>
      </c>
      <c r="DA611" s="115"/>
      <c r="DB611" s="115"/>
      <c r="DC611" s="114"/>
      <c r="DD611" s="115"/>
      <c r="DE611" s="97"/>
      <c r="DF611" s="269"/>
    </row>
    <row r="612" spans="1:110" s="270" customFormat="1" ht="36" x14ac:dyDescent="0.2">
      <c r="A612" s="89">
        <v>40651</v>
      </c>
      <c r="B612" s="90" t="s">
        <v>4261</v>
      </c>
      <c r="C612" s="90" t="s">
        <v>2639</v>
      </c>
      <c r="D612" s="90" t="s">
        <v>2362</v>
      </c>
      <c r="E612" s="90" t="str">
        <f>VLOOKUP(B612&amp;C612,Divipola!$C$2:$F$1138,4,FALSE)</f>
        <v>15218</v>
      </c>
      <c r="F612" s="4"/>
      <c r="G612" s="274"/>
      <c r="H612" s="274"/>
      <c r="I612" s="274"/>
      <c r="J612" s="124">
        <v>260</v>
      </c>
      <c r="K612" s="124">
        <v>52</v>
      </c>
      <c r="L612" s="124"/>
      <c r="M612" s="124">
        <v>52</v>
      </c>
      <c r="N612" s="208"/>
      <c r="O612" s="208"/>
      <c r="P612" s="208"/>
      <c r="Q612" s="208"/>
      <c r="R612" s="208"/>
      <c r="S612" s="208"/>
      <c r="T612" s="208"/>
      <c r="U612" s="208"/>
      <c r="V612" s="208"/>
      <c r="W612" s="19"/>
      <c r="X612" s="17"/>
      <c r="Y612" s="5">
        <f t="shared" si="54"/>
        <v>0</v>
      </c>
      <c r="Z612" s="5">
        <f t="shared" si="55"/>
        <v>0</v>
      </c>
      <c r="AA612" s="5">
        <f t="shared" si="56"/>
        <v>0</v>
      </c>
      <c r="AB612" s="5">
        <f t="shared" si="57"/>
        <v>0</v>
      </c>
      <c r="AC612" s="5"/>
      <c r="AD612" s="5">
        <v>0</v>
      </c>
      <c r="AE612" s="5">
        <f t="shared" si="58"/>
        <v>0</v>
      </c>
      <c r="AF612" s="70">
        <v>0</v>
      </c>
      <c r="AG612" s="17"/>
      <c r="AH612" s="18"/>
      <c r="AI612" s="47" t="s">
        <v>4346</v>
      </c>
      <c r="AJ612" s="73" t="s">
        <v>4347</v>
      </c>
      <c r="AK612" s="275"/>
      <c r="AL612" s="89" t="s">
        <v>2798</v>
      </c>
      <c r="AM612" s="100" t="s">
        <v>4443</v>
      </c>
      <c r="AN612" s="19"/>
      <c r="AO612" s="19"/>
      <c r="AP612" s="19"/>
      <c r="AQ612" s="19"/>
      <c r="AR612" s="19"/>
      <c r="AS612" s="19"/>
      <c r="AT612" s="19"/>
      <c r="AU612" s="19"/>
      <c r="AV612" s="19"/>
      <c r="AW612" s="19"/>
      <c r="AX612" s="107"/>
      <c r="AY612" s="107"/>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39"/>
      <c r="CO612" s="138"/>
      <c r="CP612" s="139"/>
      <c r="CQ612" s="138"/>
      <c r="CR612" s="139"/>
      <c r="CS612" s="138"/>
      <c r="CT612" s="72"/>
      <c r="CU612" s="139"/>
      <c r="CV612" s="99">
        <f t="shared" si="59"/>
        <v>0</v>
      </c>
      <c r="CW612" s="139"/>
      <c r="CX612" s="138"/>
      <c r="CY612" s="138"/>
      <c r="CZ612" s="138"/>
      <c r="DA612" s="139"/>
      <c r="DB612" s="138"/>
      <c r="DC612" s="45"/>
      <c r="DD612" s="138"/>
      <c r="DE612" s="45"/>
      <c r="DF612" s="269"/>
    </row>
    <row r="613" spans="1:110" s="270" customFormat="1" ht="144" x14ac:dyDescent="0.2">
      <c r="A613" s="89">
        <v>40651</v>
      </c>
      <c r="B613" s="90" t="s">
        <v>4261</v>
      </c>
      <c r="C613" s="90" t="s">
        <v>2863</v>
      </c>
      <c r="D613" s="90" t="s">
        <v>4264</v>
      </c>
      <c r="E613" s="90" t="str">
        <f>VLOOKUP(B613&amp;C613,Divipola!$C$2:$F$1138,4,FALSE)</f>
        <v>15238</v>
      </c>
      <c r="F613" s="90"/>
      <c r="G613" s="101"/>
      <c r="H613" s="101"/>
      <c r="I613" s="101"/>
      <c r="J613" s="101">
        <f>827*5</f>
        <v>4135</v>
      </c>
      <c r="K613" s="101">
        <v>827</v>
      </c>
      <c r="L613" s="101"/>
      <c r="M613" s="101">
        <v>10</v>
      </c>
      <c r="N613" s="101"/>
      <c r="O613" s="101"/>
      <c r="P613" s="101"/>
      <c r="Q613" s="101"/>
      <c r="R613" s="101"/>
      <c r="S613" s="101"/>
      <c r="T613" s="101"/>
      <c r="U613" s="101"/>
      <c r="V613" s="101">
        <v>1297</v>
      </c>
      <c r="W613" s="91"/>
      <c r="X613" s="89"/>
      <c r="Y613" s="92">
        <f t="shared" si="54"/>
        <v>0</v>
      </c>
      <c r="Z613" s="92">
        <f t="shared" si="55"/>
        <v>0</v>
      </c>
      <c r="AA613" s="92">
        <f t="shared" si="56"/>
        <v>0</v>
      </c>
      <c r="AB613" s="92">
        <f t="shared" si="57"/>
        <v>0</v>
      </c>
      <c r="AC613" s="92"/>
      <c r="AD613" s="92">
        <v>50000000</v>
      </c>
      <c r="AE613" s="92">
        <f t="shared" si="58"/>
        <v>50000000</v>
      </c>
      <c r="AF613" s="93">
        <v>0</v>
      </c>
      <c r="AG613" s="89"/>
      <c r="AH613" s="94"/>
      <c r="AI613" s="102" t="s">
        <v>4346</v>
      </c>
      <c r="AJ613" s="96" t="s">
        <v>4347</v>
      </c>
      <c r="AK613" s="97"/>
      <c r="AL613" s="89" t="s">
        <v>1049</v>
      </c>
      <c r="AM613" s="100" t="s">
        <v>2377</v>
      </c>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114"/>
      <c r="CQ613" s="115"/>
      <c r="CR613" s="114"/>
      <c r="CS613" s="115"/>
      <c r="CT613" s="114"/>
      <c r="CU613" s="115"/>
      <c r="CV613" s="99">
        <f t="shared" si="59"/>
        <v>0</v>
      </c>
      <c r="CW613" s="114"/>
      <c r="CX613" s="115"/>
      <c r="CY613" s="114"/>
      <c r="CZ613" s="115"/>
      <c r="DA613" s="115"/>
      <c r="DB613" s="115"/>
      <c r="DC613" s="114"/>
      <c r="DD613" s="115"/>
      <c r="DE613" s="97"/>
      <c r="DF613" s="269"/>
    </row>
    <row r="614" spans="1:110" s="270" customFormat="1" ht="108" x14ac:dyDescent="0.2">
      <c r="A614" s="89">
        <v>40651</v>
      </c>
      <c r="B614" s="90" t="s">
        <v>4261</v>
      </c>
      <c r="C614" s="90" t="s">
        <v>3554</v>
      </c>
      <c r="D614" s="90" t="s">
        <v>4264</v>
      </c>
      <c r="E614" s="90" t="str">
        <f>VLOOKUP(B614&amp;C614,Divipola!$C$2:$F$1138,4,FALSE)</f>
        <v>15469</v>
      </c>
      <c r="F614" s="90"/>
      <c r="G614" s="101"/>
      <c r="H614" s="101"/>
      <c r="I614" s="101"/>
      <c r="J614" s="101">
        <v>1226</v>
      </c>
      <c r="K614" s="101">
        <v>308</v>
      </c>
      <c r="L614" s="101"/>
      <c r="M614" s="101">
        <v>308</v>
      </c>
      <c r="N614" s="101"/>
      <c r="O614" s="101"/>
      <c r="P614" s="101"/>
      <c r="Q614" s="101"/>
      <c r="R614" s="101"/>
      <c r="S614" s="101"/>
      <c r="T614" s="101">
        <v>9</v>
      </c>
      <c r="U614" s="101"/>
      <c r="V614" s="101"/>
      <c r="W614" s="91"/>
      <c r="X614" s="89"/>
      <c r="Y614" s="92">
        <f t="shared" si="54"/>
        <v>0</v>
      </c>
      <c r="Z614" s="92">
        <f t="shared" si="55"/>
        <v>0</v>
      </c>
      <c r="AA614" s="92">
        <f t="shared" si="56"/>
        <v>0</v>
      </c>
      <c r="AB614" s="92">
        <f t="shared" si="57"/>
        <v>0</v>
      </c>
      <c r="AC614" s="92"/>
      <c r="AD614" s="92">
        <v>0</v>
      </c>
      <c r="AE614" s="92">
        <f t="shared" si="58"/>
        <v>0</v>
      </c>
      <c r="AF614" s="93">
        <v>0</v>
      </c>
      <c r="AG614" s="89"/>
      <c r="AH614" s="94"/>
      <c r="AI614" s="102" t="s">
        <v>4346</v>
      </c>
      <c r="AJ614" s="96" t="s">
        <v>4347</v>
      </c>
      <c r="AK614" s="97"/>
      <c r="AL614" s="89" t="s">
        <v>1049</v>
      </c>
      <c r="AM614" s="100" t="s">
        <v>2384</v>
      </c>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114"/>
      <c r="CQ614" s="115"/>
      <c r="CR614" s="114"/>
      <c r="CS614" s="115"/>
      <c r="CT614" s="114"/>
      <c r="CU614" s="115"/>
      <c r="CV614" s="99">
        <f t="shared" si="59"/>
        <v>0</v>
      </c>
      <c r="CW614" s="114"/>
      <c r="CX614" s="115"/>
      <c r="CY614" s="114"/>
      <c r="CZ614" s="115"/>
      <c r="DA614" s="115"/>
      <c r="DB614" s="115"/>
      <c r="DC614" s="114"/>
      <c r="DD614" s="115"/>
      <c r="DE614" s="97"/>
      <c r="DF614" s="269"/>
    </row>
    <row r="615" spans="1:110" s="270" customFormat="1" ht="144" x14ac:dyDescent="0.2">
      <c r="A615" s="89">
        <v>40651</v>
      </c>
      <c r="B615" s="90" t="s">
        <v>4261</v>
      </c>
      <c r="C615" s="90" t="s">
        <v>2869</v>
      </c>
      <c r="D615" s="90" t="s">
        <v>4264</v>
      </c>
      <c r="E615" s="90" t="str">
        <f>VLOOKUP(B615&amp;C615,Divipola!$C$2:$F$1138,4,FALSE)</f>
        <v>15572</v>
      </c>
      <c r="F615" s="90"/>
      <c r="G615" s="101"/>
      <c r="H615" s="101"/>
      <c r="I615" s="101"/>
      <c r="J615" s="101">
        <v>7060</v>
      </c>
      <c r="K615" s="101">
        <v>1412</v>
      </c>
      <c r="L615" s="101"/>
      <c r="M615" s="101">
        <v>1412</v>
      </c>
      <c r="N615" s="101"/>
      <c r="O615" s="101"/>
      <c r="P615" s="101"/>
      <c r="Q615" s="101"/>
      <c r="R615" s="101"/>
      <c r="S615" s="101"/>
      <c r="T615" s="101"/>
      <c r="U615" s="101"/>
      <c r="V615" s="101"/>
      <c r="W615" s="91"/>
      <c r="X615" s="89"/>
      <c r="Y615" s="92">
        <f t="shared" si="54"/>
        <v>277606000</v>
      </c>
      <c r="Z615" s="92">
        <f t="shared" si="55"/>
        <v>331500000</v>
      </c>
      <c r="AA615" s="92">
        <f t="shared" si="56"/>
        <v>15000000</v>
      </c>
      <c r="AB615" s="92">
        <f t="shared" si="57"/>
        <v>0</v>
      </c>
      <c r="AC615" s="123">
        <f>3*3082500+3000*8500+100*18000+50*108000</f>
        <v>41947500</v>
      </c>
      <c r="AD615" s="92">
        <v>20000000</v>
      </c>
      <c r="AE615" s="92">
        <f t="shared" si="58"/>
        <v>686053500</v>
      </c>
      <c r="AF615" s="93">
        <v>0</v>
      </c>
      <c r="AG615" s="89"/>
      <c r="AH615" s="94"/>
      <c r="AI615" s="95" t="s">
        <v>4346</v>
      </c>
      <c r="AJ615" s="96" t="s">
        <v>4347</v>
      </c>
      <c r="AK615" s="97"/>
      <c r="AL615" s="89"/>
      <c r="AM615" s="100" t="s">
        <v>950</v>
      </c>
      <c r="AN615" s="91"/>
      <c r="AO615" s="91"/>
      <c r="AP615" s="91"/>
      <c r="AQ615" s="91"/>
      <c r="AR615" s="91"/>
      <c r="AS615" s="91"/>
      <c r="AT615" s="91"/>
      <c r="AU615" s="91"/>
      <c r="AV615" s="91"/>
      <c r="AW615" s="91"/>
      <c r="AX615" s="91"/>
      <c r="AY615" s="91"/>
      <c r="AZ615" s="91">
        <v>500</v>
      </c>
      <c r="BA615" s="91">
        <f>500*56000</f>
        <v>28000000</v>
      </c>
      <c r="BB615" s="91"/>
      <c r="BC615" s="91"/>
      <c r="BD615" s="91">
        <v>3000</v>
      </c>
      <c r="BE615" s="91">
        <f>3000*24000</f>
        <v>72000000</v>
      </c>
      <c r="BF615" s="91"/>
      <c r="BG615" s="91"/>
      <c r="BH615" s="91"/>
      <c r="BI615" s="91"/>
      <c r="BJ615" s="91"/>
      <c r="BK615" s="91"/>
      <c r="BL615" s="91">
        <v>500</v>
      </c>
      <c r="BM615" s="91">
        <f>500*25500</f>
        <v>12750000</v>
      </c>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v>3000</v>
      </c>
      <c r="CO615" s="91">
        <f>3000*18000</f>
        <v>54000000</v>
      </c>
      <c r="CP615" s="114">
        <v>3000</v>
      </c>
      <c r="CQ615" s="115">
        <f>3000*36952</f>
        <v>110856000</v>
      </c>
      <c r="CR615" s="114"/>
      <c r="CS615" s="115"/>
      <c r="CT615" s="114"/>
      <c r="CU615" s="115"/>
      <c r="CV615" s="99">
        <f t="shared" si="59"/>
        <v>277606000</v>
      </c>
      <c r="CW615" s="114"/>
      <c r="CX615" s="115"/>
      <c r="CY615" s="114">
        <f>2000+1900</f>
        <v>3900</v>
      </c>
      <c r="CZ615" s="115">
        <f>2000*85000+1900*85000</f>
        <v>331500000</v>
      </c>
      <c r="DA615" s="115"/>
      <c r="DB615" s="115"/>
      <c r="DC615" s="114">
        <v>500</v>
      </c>
      <c r="DD615" s="115">
        <f>500*30000</f>
        <v>15000000</v>
      </c>
      <c r="DE615" s="97"/>
      <c r="DF615" s="269"/>
    </row>
    <row r="616" spans="1:110" s="270" customFormat="1" ht="48" x14ac:dyDescent="0.2">
      <c r="A616" s="89">
        <v>40651</v>
      </c>
      <c r="B616" s="106" t="s">
        <v>4261</v>
      </c>
      <c r="C616" s="106" t="s">
        <v>4389</v>
      </c>
      <c r="D616" s="90" t="s">
        <v>4264</v>
      </c>
      <c r="E616" s="90" t="str">
        <f>VLOOKUP(B616&amp;C616,Divipola!$C$2:$F$1138,4,FALSE)</f>
        <v>15600</v>
      </c>
      <c r="F616" s="90"/>
      <c r="G616" s="129"/>
      <c r="H616" s="129"/>
      <c r="I616" s="129"/>
      <c r="J616" s="129">
        <f>280*5</f>
        <v>1400</v>
      </c>
      <c r="K616" s="129">
        <v>280</v>
      </c>
      <c r="L616" s="129"/>
      <c r="M616" s="129">
        <v>280</v>
      </c>
      <c r="N616" s="129"/>
      <c r="O616" s="129"/>
      <c r="P616" s="129"/>
      <c r="Q616" s="129"/>
      <c r="R616" s="129"/>
      <c r="S616" s="129"/>
      <c r="T616" s="129"/>
      <c r="U616" s="129"/>
      <c r="V616" s="129"/>
      <c r="W616" s="107"/>
      <c r="X616" s="105"/>
      <c r="Y616" s="92">
        <f t="shared" si="54"/>
        <v>0</v>
      </c>
      <c r="Z616" s="92">
        <f t="shared" si="55"/>
        <v>0</v>
      </c>
      <c r="AA616" s="92">
        <f t="shared" si="56"/>
        <v>0</v>
      </c>
      <c r="AB616" s="92">
        <f t="shared" si="57"/>
        <v>0</v>
      </c>
      <c r="AC616" s="92"/>
      <c r="AD616" s="92">
        <v>20000000</v>
      </c>
      <c r="AE616" s="92">
        <f t="shared" si="58"/>
        <v>20000000</v>
      </c>
      <c r="AF616" s="93">
        <v>0</v>
      </c>
      <c r="AG616" s="105"/>
      <c r="AH616" s="108"/>
      <c r="AI616" s="102" t="s">
        <v>4346</v>
      </c>
      <c r="AJ616" s="96" t="s">
        <v>4347</v>
      </c>
      <c r="AK616" s="97"/>
      <c r="AL616" s="89" t="s">
        <v>1049</v>
      </c>
      <c r="AM616" s="112" t="s">
        <v>3224</v>
      </c>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18"/>
      <c r="CO616" s="119"/>
      <c r="CP616" s="118"/>
      <c r="CQ616" s="119"/>
      <c r="CR616" s="118"/>
      <c r="CS616" s="119"/>
      <c r="CT616" s="113"/>
      <c r="CU616" s="118"/>
      <c r="CV616" s="99">
        <f t="shared" si="59"/>
        <v>0</v>
      </c>
      <c r="CW616" s="118"/>
      <c r="CX616" s="119"/>
      <c r="CY616" s="119"/>
      <c r="CZ616" s="119"/>
      <c r="DA616" s="118"/>
      <c r="DB616" s="119"/>
      <c r="DC616" s="111"/>
      <c r="DD616" s="119"/>
      <c r="DE616" s="111"/>
      <c r="DF616" s="269"/>
    </row>
    <row r="617" spans="1:110" s="270" customFormat="1" ht="36" x14ac:dyDescent="0.2">
      <c r="A617" s="89">
        <v>40651</v>
      </c>
      <c r="B617" s="90" t="s">
        <v>4261</v>
      </c>
      <c r="C617" s="90" t="s">
        <v>1345</v>
      </c>
      <c r="D617" s="90" t="s">
        <v>4264</v>
      </c>
      <c r="E617" s="90" t="str">
        <f>VLOOKUP(B617&amp;C617,Divipola!$C$2:$F$1138,4,FALSE)</f>
        <v>15810</v>
      </c>
      <c r="F617" s="4"/>
      <c r="G617" s="274"/>
      <c r="H617" s="274"/>
      <c r="I617" s="274"/>
      <c r="J617" s="124">
        <v>260</v>
      </c>
      <c r="K617" s="124">
        <v>52</v>
      </c>
      <c r="L617" s="124">
        <v>36</v>
      </c>
      <c r="M617" s="124">
        <v>11</v>
      </c>
      <c r="N617" s="208"/>
      <c r="O617" s="208"/>
      <c r="P617" s="208"/>
      <c r="Q617" s="208"/>
      <c r="R617" s="208"/>
      <c r="S617" s="208"/>
      <c r="T617" s="208"/>
      <c r="U617" s="208"/>
      <c r="V617" s="208"/>
      <c r="W617" s="19"/>
      <c r="X617" s="17"/>
      <c r="Y617" s="5">
        <f t="shared" si="54"/>
        <v>0</v>
      </c>
      <c r="Z617" s="5">
        <f t="shared" si="55"/>
        <v>0</v>
      </c>
      <c r="AA617" s="5">
        <f t="shared" si="56"/>
        <v>0</v>
      </c>
      <c r="AB617" s="5">
        <f t="shared" si="57"/>
        <v>0</v>
      </c>
      <c r="AC617" s="5"/>
      <c r="AD617" s="5">
        <v>0</v>
      </c>
      <c r="AE617" s="5">
        <f t="shared" si="58"/>
        <v>0</v>
      </c>
      <c r="AF617" s="70">
        <v>0</v>
      </c>
      <c r="AG617" s="17"/>
      <c r="AH617" s="18"/>
      <c r="AI617" s="47" t="s">
        <v>4346</v>
      </c>
      <c r="AJ617" s="73" t="s">
        <v>4347</v>
      </c>
      <c r="AK617" s="275"/>
      <c r="AL617" s="89" t="s">
        <v>2798</v>
      </c>
      <c r="AM617" s="100" t="s">
        <v>4444</v>
      </c>
      <c r="AN617" s="19"/>
      <c r="AO617" s="19"/>
      <c r="AP617" s="19"/>
      <c r="AQ617" s="19"/>
      <c r="AR617" s="19"/>
      <c r="AS617" s="19"/>
      <c r="AT617" s="19"/>
      <c r="AU617" s="19"/>
      <c r="AV617" s="19"/>
      <c r="AW617" s="19"/>
      <c r="AX617" s="107"/>
      <c r="AY617" s="107"/>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39"/>
      <c r="CO617" s="138"/>
      <c r="CP617" s="139"/>
      <c r="CQ617" s="138"/>
      <c r="CR617" s="139"/>
      <c r="CS617" s="138"/>
      <c r="CT617" s="72"/>
      <c r="CU617" s="139"/>
      <c r="CV617" s="99">
        <f t="shared" si="59"/>
        <v>0</v>
      </c>
      <c r="CW617" s="139"/>
      <c r="CX617" s="138"/>
      <c r="CY617" s="138"/>
      <c r="CZ617" s="138"/>
      <c r="DA617" s="139"/>
      <c r="DB617" s="138"/>
      <c r="DC617" s="45"/>
      <c r="DD617" s="138"/>
      <c r="DE617" s="45"/>
      <c r="DF617" s="269"/>
    </row>
    <row r="618" spans="1:110" s="270" customFormat="1" ht="48" x14ac:dyDescent="0.2">
      <c r="A618" s="89">
        <v>40651</v>
      </c>
      <c r="B618" s="90" t="s">
        <v>4261</v>
      </c>
      <c r="C618" s="90" t="s">
        <v>4230</v>
      </c>
      <c r="D618" s="90" t="s">
        <v>2362</v>
      </c>
      <c r="E618" s="90" t="str">
        <f>VLOOKUP(B618&amp;C618,Divipola!$C$2:$F$1138,4,FALSE)</f>
        <v>15001</v>
      </c>
      <c r="F618" s="90"/>
      <c r="G618" s="302"/>
      <c r="H618" s="302"/>
      <c r="I618" s="302"/>
      <c r="J618" s="101">
        <v>3</v>
      </c>
      <c r="K618" s="101"/>
      <c r="L618" s="101"/>
      <c r="M618" s="101"/>
      <c r="N618" s="101"/>
      <c r="O618" s="101"/>
      <c r="P618" s="101"/>
      <c r="Q618" s="101"/>
      <c r="R618" s="101"/>
      <c r="S618" s="101"/>
      <c r="T618" s="101"/>
      <c r="U618" s="101"/>
      <c r="V618" s="101"/>
      <c r="W618" s="91"/>
      <c r="X618" s="89"/>
      <c r="Y618" s="92">
        <f t="shared" si="54"/>
        <v>0</v>
      </c>
      <c r="Z618" s="92">
        <f t="shared" si="55"/>
        <v>0</v>
      </c>
      <c r="AA618" s="92">
        <f t="shared" si="56"/>
        <v>0</v>
      </c>
      <c r="AB618" s="92">
        <f t="shared" si="57"/>
        <v>0</v>
      </c>
      <c r="AC618" s="92"/>
      <c r="AD618" s="92">
        <v>0</v>
      </c>
      <c r="AE618" s="92">
        <f t="shared" si="58"/>
        <v>0</v>
      </c>
      <c r="AF618" s="93">
        <v>0</v>
      </c>
      <c r="AG618" s="89"/>
      <c r="AH618" s="94"/>
      <c r="AI618" s="102" t="s">
        <v>4346</v>
      </c>
      <c r="AJ618" s="96" t="s">
        <v>4347</v>
      </c>
      <c r="AK618" s="97"/>
      <c r="AL618" s="89" t="s">
        <v>1049</v>
      </c>
      <c r="AM618" s="100" t="s">
        <v>2135</v>
      </c>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114"/>
      <c r="CQ618" s="115"/>
      <c r="CR618" s="114"/>
      <c r="CS618" s="115"/>
      <c r="CT618" s="114"/>
      <c r="CU618" s="115"/>
      <c r="CV618" s="99">
        <f t="shared" si="59"/>
        <v>0</v>
      </c>
      <c r="CW618" s="114"/>
      <c r="CX618" s="115"/>
      <c r="CY618" s="114"/>
      <c r="CZ618" s="115"/>
      <c r="DA618" s="115"/>
      <c r="DB618" s="115"/>
      <c r="DC618" s="114"/>
      <c r="DD618" s="115"/>
      <c r="DE618" s="97"/>
      <c r="DF618" s="269">
        <v>1663</v>
      </c>
    </row>
    <row r="619" spans="1:110" s="270" customFormat="1" ht="36" x14ac:dyDescent="0.2">
      <c r="A619" s="89">
        <v>40651</v>
      </c>
      <c r="B619" s="90" t="s">
        <v>4296</v>
      </c>
      <c r="C619" s="90" t="s">
        <v>2227</v>
      </c>
      <c r="D619" s="90" t="s">
        <v>2362</v>
      </c>
      <c r="E619" s="90" t="str">
        <f>VLOOKUP(B619&amp;C619,Divipola!$C$2:$F$1138,4,FALSE)</f>
        <v>19050</v>
      </c>
      <c r="F619" s="90"/>
      <c r="G619" s="302"/>
      <c r="H619" s="302"/>
      <c r="I619" s="302"/>
      <c r="J619" s="101">
        <v>36</v>
      </c>
      <c r="K619" s="101">
        <v>8</v>
      </c>
      <c r="L619" s="101"/>
      <c r="M619" s="101">
        <v>8</v>
      </c>
      <c r="N619" s="101"/>
      <c r="O619" s="101"/>
      <c r="P619" s="101"/>
      <c r="Q619" s="101"/>
      <c r="R619" s="101"/>
      <c r="S619" s="101"/>
      <c r="T619" s="101"/>
      <c r="U619" s="101"/>
      <c r="V619" s="101"/>
      <c r="W619" s="91"/>
      <c r="X619" s="89"/>
      <c r="Y619" s="92">
        <f t="shared" si="54"/>
        <v>0</v>
      </c>
      <c r="Z619" s="92">
        <f t="shared" si="55"/>
        <v>0</v>
      </c>
      <c r="AA619" s="92">
        <f t="shared" si="56"/>
        <v>0</v>
      </c>
      <c r="AB619" s="92">
        <f t="shared" si="57"/>
        <v>0</v>
      </c>
      <c r="AC619" s="92"/>
      <c r="AD619" s="92">
        <v>0</v>
      </c>
      <c r="AE619" s="92">
        <f t="shared" si="58"/>
        <v>0</v>
      </c>
      <c r="AF619" s="93">
        <v>0</v>
      </c>
      <c r="AG619" s="89"/>
      <c r="AH619" s="94"/>
      <c r="AI619" s="95" t="s">
        <v>4336</v>
      </c>
      <c r="AJ619" s="96" t="s">
        <v>4337</v>
      </c>
      <c r="AK619" s="285"/>
      <c r="AL619" s="303"/>
      <c r="AM619" s="100" t="s">
        <v>2791</v>
      </c>
      <c r="AN619" s="89"/>
      <c r="AO619" s="90"/>
      <c r="AP619" s="90"/>
      <c r="AQ619" s="90"/>
      <c r="AR619" s="90"/>
      <c r="AS619" s="90"/>
      <c r="AT619" s="302"/>
      <c r="AU619" s="302"/>
      <c r="AV619" s="302"/>
      <c r="AW619" s="101"/>
      <c r="AX619" s="101"/>
      <c r="AY619" s="101"/>
      <c r="AZ619" s="101"/>
      <c r="BA619" s="101"/>
      <c r="BB619" s="101"/>
      <c r="BC619" s="101"/>
      <c r="BD619" s="101"/>
      <c r="BE619" s="101"/>
      <c r="BF619" s="101"/>
      <c r="BG619" s="101"/>
      <c r="BH619" s="101"/>
      <c r="BI619" s="101"/>
      <c r="BJ619" s="91"/>
      <c r="BK619" s="89"/>
      <c r="BL619" s="92"/>
      <c r="BM619" s="92"/>
      <c r="BN619" s="92"/>
      <c r="BO619" s="92"/>
      <c r="BP619" s="92"/>
      <c r="BQ619" s="92"/>
      <c r="BR619" s="92"/>
      <c r="BS619" s="93"/>
      <c r="BT619" s="89"/>
      <c r="BU619" s="94"/>
      <c r="BV619" s="89"/>
      <c r="BW619" s="96"/>
      <c r="BX619" s="285"/>
      <c r="BY619" s="303"/>
      <c r="BZ619" s="100"/>
      <c r="CA619" s="89"/>
      <c r="CB619" s="90"/>
      <c r="CC619" s="90"/>
      <c r="CD619" s="90"/>
      <c r="CE619" s="90"/>
      <c r="CF619" s="90"/>
      <c r="CG619" s="302"/>
      <c r="CH619" s="302"/>
      <c r="CI619" s="302"/>
      <c r="CJ619" s="101"/>
      <c r="CK619" s="101"/>
      <c r="CL619" s="101"/>
      <c r="CM619" s="101"/>
      <c r="CN619" s="101"/>
      <c r="CO619" s="101"/>
      <c r="CP619" s="101"/>
      <c r="CQ619" s="101"/>
      <c r="CR619" s="101"/>
      <c r="CS619" s="101"/>
      <c r="CT619" s="101"/>
      <c r="CU619" s="101"/>
      <c r="CV619" s="99">
        <f t="shared" si="59"/>
        <v>0</v>
      </c>
      <c r="CW619" s="91"/>
      <c r="CX619" s="89"/>
      <c r="CY619" s="92"/>
      <c r="CZ619" s="92"/>
      <c r="DA619" s="92"/>
      <c r="DB619" s="92"/>
      <c r="DC619" s="92"/>
      <c r="DD619" s="92"/>
      <c r="DE619" s="92"/>
      <c r="DF619" s="269"/>
    </row>
    <row r="620" spans="1:110" s="270" customFormat="1" ht="72" x14ac:dyDescent="0.2">
      <c r="A620" s="89">
        <v>40651</v>
      </c>
      <c r="B620" s="90" t="s">
        <v>4386</v>
      </c>
      <c r="C620" s="90" t="s">
        <v>4377</v>
      </c>
      <c r="D620" s="90" t="s">
        <v>4264</v>
      </c>
      <c r="E620" s="90" t="str">
        <f>VLOOKUP(B620&amp;C620,Divipola!$C$2:$F$1138,4,FALSE)</f>
        <v>20295</v>
      </c>
      <c r="F620" s="90"/>
      <c r="G620" s="302"/>
      <c r="H620" s="302"/>
      <c r="I620" s="302"/>
      <c r="J620" s="101"/>
      <c r="K620" s="101"/>
      <c r="L620" s="101"/>
      <c r="M620" s="101"/>
      <c r="N620" s="101">
        <v>1</v>
      </c>
      <c r="O620" s="101"/>
      <c r="P620" s="101"/>
      <c r="Q620" s="101"/>
      <c r="R620" s="101"/>
      <c r="S620" s="101"/>
      <c r="T620" s="101"/>
      <c r="U620" s="101"/>
      <c r="V620" s="101"/>
      <c r="W620" s="91"/>
      <c r="X620" s="89"/>
      <c r="Y620" s="92">
        <f t="shared" si="54"/>
        <v>0</v>
      </c>
      <c r="Z620" s="92">
        <f t="shared" si="55"/>
        <v>0</v>
      </c>
      <c r="AA620" s="92">
        <f t="shared" si="56"/>
        <v>0</v>
      </c>
      <c r="AB620" s="92">
        <f t="shared" si="57"/>
        <v>0</v>
      </c>
      <c r="AC620" s="92"/>
      <c r="AD620" s="92">
        <v>0</v>
      </c>
      <c r="AE620" s="92">
        <f t="shared" si="58"/>
        <v>0</v>
      </c>
      <c r="AF620" s="93">
        <v>0</v>
      </c>
      <c r="AG620" s="89"/>
      <c r="AH620" s="94"/>
      <c r="AI620" s="95" t="s">
        <v>4346</v>
      </c>
      <c r="AJ620" s="96" t="s">
        <v>4347</v>
      </c>
      <c r="AK620" s="97"/>
      <c r="AL620" s="89" t="s">
        <v>1049</v>
      </c>
      <c r="AM620" s="100" t="s">
        <v>2265</v>
      </c>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114"/>
      <c r="CQ620" s="115"/>
      <c r="CR620" s="114"/>
      <c r="CS620" s="115"/>
      <c r="CT620" s="114"/>
      <c r="CU620" s="115"/>
      <c r="CV620" s="99">
        <f t="shared" si="59"/>
        <v>0</v>
      </c>
      <c r="CW620" s="114"/>
      <c r="CX620" s="115"/>
      <c r="CY620" s="114"/>
      <c r="CZ620" s="115"/>
      <c r="DA620" s="115"/>
      <c r="DB620" s="115"/>
      <c r="DC620" s="114"/>
      <c r="DD620" s="115"/>
      <c r="DE620" s="97"/>
      <c r="DF620" s="269"/>
    </row>
    <row r="621" spans="1:110" s="270" customFormat="1" ht="24" x14ac:dyDescent="0.2">
      <c r="A621" s="89">
        <v>40651</v>
      </c>
      <c r="B621" s="90" t="s">
        <v>4344</v>
      </c>
      <c r="C621" s="90" t="s">
        <v>3546</v>
      </c>
      <c r="D621" s="90" t="s">
        <v>4264</v>
      </c>
      <c r="E621" s="90" t="str">
        <f>VLOOKUP(B621&amp;C621,Divipola!$C$2:$F$1138,4,FALSE)</f>
        <v>25181</v>
      </c>
      <c r="F621" s="90"/>
      <c r="G621" s="101">
        <v>1</v>
      </c>
      <c r="H621" s="101">
        <v>1</v>
      </c>
      <c r="I621" s="101"/>
      <c r="J621" s="101"/>
      <c r="K621" s="101"/>
      <c r="L621" s="101"/>
      <c r="M621" s="101"/>
      <c r="N621" s="101"/>
      <c r="O621" s="101"/>
      <c r="P621" s="101"/>
      <c r="Q621" s="101"/>
      <c r="R621" s="101"/>
      <c r="S621" s="101"/>
      <c r="T621" s="101"/>
      <c r="U621" s="101"/>
      <c r="V621" s="101"/>
      <c r="W621" s="91"/>
      <c r="X621" s="89"/>
      <c r="Y621" s="92">
        <f t="shared" si="54"/>
        <v>0</v>
      </c>
      <c r="Z621" s="92">
        <f t="shared" si="55"/>
        <v>0</v>
      </c>
      <c r="AA621" s="92">
        <f t="shared" si="56"/>
        <v>0</v>
      </c>
      <c r="AB621" s="92">
        <f t="shared" si="57"/>
        <v>0</v>
      </c>
      <c r="AC621" s="92"/>
      <c r="AD621" s="92">
        <v>0</v>
      </c>
      <c r="AE621" s="92">
        <f t="shared" si="58"/>
        <v>0</v>
      </c>
      <c r="AF621" s="93">
        <v>0</v>
      </c>
      <c r="AG621" s="89"/>
      <c r="AH621" s="94"/>
      <c r="AI621" s="102" t="s">
        <v>4336</v>
      </c>
      <c r="AJ621" s="96" t="s">
        <v>4337</v>
      </c>
      <c r="AK621" s="97"/>
      <c r="AL621" s="89"/>
      <c r="AM621" s="100" t="s">
        <v>2706</v>
      </c>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114"/>
      <c r="CQ621" s="115"/>
      <c r="CR621" s="114"/>
      <c r="CS621" s="115"/>
      <c r="CT621" s="114"/>
      <c r="CU621" s="115"/>
      <c r="CV621" s="99">
        <f t="shared" si="59"/>
        <v>0</v>
      </c>
      <c r="CW621" s="114"/>
      <c r="CX621" s="115"/>
      <c r="CY621" s="114"/>
      <c r="CZ621" s="115"/>
      <c r="DA621" s="115"/>
      <c r="DB621" s="115"/>
      <c r="DC621" s="114"/>
      <c r="DD621" s="115"/>
      <c r="DE621" s="97"/>
      <c r="DF621" s="269"/>
    </row>
    <row r="622" spans="1:110" s="270" customFormat="1" ht="84" x14ac:dyDescent="0.2">
      <c r="A622" s="89">
        <v>40651</v>
      </c>
      <c r="B622" s="90" t="s">
        <v>4344</v>
      </c>
      <c r="C622" s="90" t="s">
        <v>2210</v>
      </c>
      <c r="D622" s="90" t="s">
        <v>4264</v>
      </c>
      <c r="E622" s="90" t="str">
        <f>VLOOKUP(B622&amp;C622,Divipola!$C$2:$F$1138,4,FALSE)</f>
        <v>25288</v>
      </c>
      <c r="F622" s="90"/>
      <c r="G622" s="101"/>
      <c r="H622" s="101"/>
      <c r="I622" s="101"/>
      <c r="J622" s="101">
        <v>380</v>
      </c>
      <c r="K622" s="101">
        <v>115</v>
      </c>
      <c r="L622" s="101"/>
      <c r="M622" s="101">
        <v>115</v>
      </c>
      <c r="N622" s="101"/>
      <c r="O622" s="101"/>
      <c r="P622" s="101"/>
      <c r="Q622" s="101"/>
      <c r="R622" s="101"/>
      <c r="S622" s="101"/>
      <c r="T622" s="101"/>
      <c r="U622" s="101"/>
      <c r="V622" s="101"/>
      <c r="W622" s="91"/>
      <c r="X622" s="89"/>
      <c r="Y622" s="92">
        <f t="shared" si="54"/>
        <v>0</v>
      </c>
      <c r="Z622" s="92">
        <f t="shared" si="55"/>
        <v>0</v>
      </c>
      <c r="AA622" s="92">
        <f t="shared" si="56"/>
        <v>0</v>
      </c>
      <c r="AB622" s="92">
        <f t="shared" si="57"/>
        <v>0</v>
      </c>
      <c r="AC622" s="92"/>
      <c r="AD622" s="92">
        <v>0</v>
      </c>
      <c r="AE622" s="92">
        <f t="shared" si="58"/>
        <v>0</v>
      </c>
      <c r="AF622" s="93">
        <v>0</v>
      </c>
      <c r="AG622" s="89"/>
      <c r="AH622" s="94"/>
      <c r="AI622" s="102" t="s">
        <v>4336</v>
      </c>
      <c r="AJ622" s="96" t="s">
        <v>4337</v>
      </c>
      <c r="AK622" s="97"/>
      <c r="AL622" s="89"/>
      <c r="AM622" s="100" t="s">
        <v>2708</v>
      </c>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114"/>
      <c r="CQ622" s="115"/>
      <c r="CR622" s="114"/>
      <c r="CS622" s="115"/>
      <c r="CT622" s="114"/>
      <c r="CU622" s="115"/>
      <c r="CV622" s="99">
        <f t="shared" si="59"/>
        <v>0</v>
      </c>
      <c r="CW622" s="114"/>
      <c r="CX622" s="115"/>
      <c r="CY622" s="114"/>
      <c r="CZ622" s="115"/>
      <c r="DA622" s="115"/>
      <c r="DB622" s="115"/>
      <c r="DC622" s="114"/>
      <c r="DD622" s="115"/>
      <c r="DE622" s="97"/>
      <c r="DF622" s="269"/>
    </row>
    <row r="623" spans="1:110" s="270" customFormat="1" ht="48" x14ac:dyDescent="0.2">
      <c r="A623" s="89">
        <v>40651</v>
      </c>
      <c r="B623" s="90" t="s">
        <v>4344</v>
      </c>
      <c r="C623" s="90" t="s">
        <v>2212</v>
      </c>
      <c r="D623" s="90" t="s">
        <v>4264</v>
      </c>
      <c r="E623" s="90" t="str">
        <f>VLOOKUP(B623&amp;C623,Divipola!$C$2:$F$1138,4,FALSE)</f>
        <v>25317</v>
      </c>
      <c r="F623" s="90"/>
      <c r="G623" s="302"/>
      <c r="H623" s="302"/>
      <c r="I623" s="302"/>
      <c r="J623" s="101"/>
      <c r="K623" s="101"/>
      <c r="L623" s="101"/>
      <c r="M623" s="101"/>
      <c r="N623" s="101">
        <v>1</v>
      </c>
      <c r="O623" s="101"/>
      <c r="P623" s="101"/>
      <c r="Q623" s="101"/>
      <c r="R623" s="101"/>
      <c r="S623" s="101"/>
      <c r="T623" s="101"/>
      <c r="U623" s="101"/>
      <c r="V623" s="101"/>
      <c r="W623" s="91"/>
      <c r="X623" s="89"/>
      <c r="Y623" s="92">
        <f t="shared" si="54"/>
        <v>0</v>
      </c>
      <c r="Z623" s="92">
        <f t="shared" si="55"/>
        <v>0</v>
      </c>
      <c r="AA623" s="92">
        <f t="shared" si="56"/>
        <v>0</v>
      </c>
      <c r="AB623" s="92">
        <f t="shared" si="57"/>
        <v>0</v>
      </c>
      <c r="AC623" s="92"/>
      <c r="AD623" s="92">
        <v>0</v>
      </c>
      <c r="AE623" s="92">
        <f t="shared" si="58"/>
        <v>0</v>
      </c>
      <c r="AF623" s="93">
        <v>0</v>
      </c>
      <c r="AG623" s="89"/>
      <c r="AH623" s="94"/>
      <c r="AI623" s="102" t="s">
        <v>4336</v>
      </c>
      <c r="AJ623" s="96" t="s">
        <v>4337</v>
      </c>
      <c r="AK623" s="285"/>
      <c r="AL623" s="303"/>
      <c r="AM623" s="100" t="s">
        <v>3255</v>
      </c>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114"/>
      <c r="CQ623" s="115"/>
      <c r="CR623" s="114"/>
      <c r="CS623" s="115"/>
      <c r="CT623" s="114"/>
      <c r="CU623" s="115"/>
      <c r="CV623" s="99">
        <f t="shared" si="59"/>
        <v>0</v>
      </c>
      <c r="CW623" s="114"/>
      <c r="CX623" s="115"/>
      <c r="CY623" s="114"/>
      <c r="CZ623" s="115"/>
      <c r="DA623" s="115"/>
      <c r="DB623" s="115"/>
      <c r="DC623" s="114"/>
      <c r="DD623" s="115"/>
      <c r="DE623" s="97"/>
      <c r="DF623" s="269"/>
    </row>
    <row r="624" spans="1:110" s="270" customFormat="1" ht="204" x14ac:dyDescent="0.2">
      <c r="A624" s="89">
        <v>40651</v>
      </c>
      <c r="B624" s="90" t="s">
        <v>4344</v>
      </c>
      <c r="C624" s="90" t="s">
        <v>4517</v>
      </c>
      <c r="D624" s="90" t="s">
        <v>4264</v>
      </c>
      <c r="E624" s="90" t="str">
        <f>VLOOKUP(B624&amp;C624,Divipola!$C$2:$F$1138,4,FALSE)</f>
        <v>25851</v>
      </c>
      <c r="F624" s="90"/>
      <c r="G624" s="101">
        <v>3</v>
      </c>
      <c r="H624" s="101">
        <v>15</v>
      </c>
      <c r="I624" s="101"/>
      <c r="J624" s="101">
        <v>696</v>
      </c>
      <c r="K624" s="101">
        <v>329</v>
      </c>
      <c r="L624" s="101">
        <v>120</v>
      </c>
      <c r="M624" s="101">
        <v>238</v>
      </c>
      <c r="N624" s="101"/>
      <c r="O624" s="101"/>
      <c r="P624" s="101"/>
      <c r="Q624" s="101"/>
      <c r="R624" s="101"/>
      <c r="S624" s="101"/>
      <c r="T624" s="101"/>
      <c r="U624" s="101"/>
      <c r="V624" s="101"/>
      <c r="W624" s="91"/>
      <c r="X624" s="89"/>
      <c r="Y624" s="92">
        <f t="shared" si="54"/>
        <v>15999950</v>
      </c>
      <c r="Z624" s="92">
        <f t="shared" si="55"/>
        <v>0</v>
      </c>
      <c r="AA624" s="92">
        <f t="shared" si="56"/>
        <v>0</v>
      </c>
      <c r="AB624" s="92">
        <f t="shared" si="57"/>
        <v>1818000</v>
      </c>
      <c r="AC624" s="123">
        <f>100*20880+2*1716800+2400*1218+80*22574+20*66352+34626812+50*34533.2+50*13340+20*22620+2100000</f>
        <v>51150632</v>
      </c>
      <c r="AD624" s="92">
        <f>393600000+25500000</f>
        <v>419100000</v>
      </c>
      <c r="AE624" s="92">
        <f t="shared" si="58"/>
        <v>488068582</v>
      </c>
      <c r="AF624" s="93">
        <v>0</v>
      </c>
      <c r="AG624" s="89"/>
      <c r="AH624" s="94"/>
      <c r="AI624" s="95" t="s">
        <v>4346</v>
      </c>
      <c r="AJ624" s="96" t="s">
        <v>4347</v>
      </c>
      <c r="AK624" s="97"/>
      <c r="AL624" s="89"/>
      <c r="AM624" s="100" t="s">
        <v>1143</v>
      </c>
      <c r="AN624" s="91"/>
      <c r="AO624" s="91"/>
      <c r="AP624" s="91"/>
      <c r="AQ624" s="91"/>
      <c r="AR624" s="91"/>
      <c r="AS624" s="91"/>
      <c r="AT624" s="91"/>
      <c r="AU624" s="91"/>
      <c r="AV624" s="91"/>
      <c r="AW624" s="91"/>
      <c r="AX624" s="91"/>
      <c r="AY624" s="91"/>
      <c r="AZ624" s="91"/>
      <c r="BA624" s="91"/>
      <c r="BB624" s="91"/>
      <c r="BC624" s="91"/>
      <c r="BD624" s="91">
        <v>50</v>
      </c>
      <c r="BE624" s="91">
        <f>50*23999</f>
        <v>1199950</v>
      </c>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114">
        <v>400</v>
      </c>
      <c r="CQ624" s="115">
        <f>400*37000</f>
        <v>14800000</v>
      </c>
      <c r="CR624" s="114"/>
      <c r="CS624" s="115"/>
      <c r="CT624" s="114"/>
      <c r="CU624" s="115"/>
      <c r="CV624" s="99">
        <f t="shared" si="59"/>
        <v>15999950</v>
      </c>
      <c r="CW624" s="114">
        <v>2000</v>
      </c>
      <c r="CX624" s="115">
        <f>2000*909</f>
        <v>1818000</v>
      </c>
      <c r="CY624" s="114"/>
      <c r="CZ624" s="115"/>
      <c r="DA624" s="115"/>
      <c r="DB624" s="115"/>
      <c r="DC624" s="114"/>
      <c r="DD624" s="115"/>
      <c r="DE624" s="97">
        <v>2</v>
      </c>
      <c r="DF624" s="269"/>
    </row>
    <row r="625" spans="1:255" s="270" customFormat="1" ht="24" x14ac:dyDescent="0.2">
      <c r="A625" s="89">
        <v>40651</v>
      </c>
      <c r="B625" s="90" t="s">
        <v>860</v>
      </c>
      <c r="C625" s="90" t="s">
        <v>4361</v>
      </c>
      <c r="D625" s="90" t="s">
        <v>4264</v>
      </c>
      <c r="E625" s="90" t="str">
        <f>VLOOKUP(B625&amp;C625,Divipola!$C$2:$F$1138,4,FALSE)</f>
        <v>50006</v>
      </c>
      <c r="F625" s="90"/>
      <c r="G625" s="302"/>
      <c r="H625" s="302"/>
      <c r="I625" s="302"/>
      <c r="J625" s="101"/>
      <c r="K625" s="101"/>
      <c r="L625" s="101"/>
      <c r="M625" s="101"/>
      <c r="N625" s="101"/>
      <c r="O625" s="101"/>
      <c r="P625" s="101"/>
      <c r="Q625" s="101"/>
      <c r="R625" s="101"/>
      <c r="S625" s="101"/>
      <c r="T625" s="101"/>
      <c r="U625" s="101"/>
      <c r="V625" s="101"/>
      <c r="W625" s="91"/>
      <c r="X625" s="89"/>
      <c r="Y625" s="92">
        <f t="shared" si="54"/>
        <v>0</v>
      </c>
      <c r="Z625" s="92">
        <f t="shared" si="55"/>
        <v>0</v>
      </c>
      <c r="AA625" s="92">
        <f t="shared" si="56"/>
        <v>0</v>
      </c>
      <c r="AB625" s="92">
        <f t="shared" si="57"/>
        <v>0</v>
      </c>
      <c r="AC625" s="92"/>
      <c r="AD625" s="92">
        <v>0</v>
      </c>
      <c r="AE625" s="92">
        <f t="shared" si="58"/>
        <v>0</v>
      </c>
      <c r="AF625" s="93">
        <v>0</v>
      </c>
      <c r="AG625" s="89"/>
      <c r="AH625" s="94"/>
      <c r="AI625" s="95" t="s">
        <v>4346</v>
      </c>
      <c r="AJ625" s="96" t="s">
        <v>4347</v>
      </c>
      <c r="AK625" s="97"/>
      <c r="AL625" s="89" t="s">
        <v>2798</v>
      </c>
      <c r="AM625" s="100" t="s">
        <v>2266</v>
      </c>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114"/>
      <c r="CQ625" s="115"/>
      <c r="CR625" s="114"/>
      <c r="CS625" s="115"/>
      <c r="CT625" s="114"/>
      <c r="CU625" s="115"/>
      <c r="CV625" s="99">
        <f t="shared" si="59"/>
        <v>0</v>
      </c>
      <c r="CW625" s="114"/>
      <c r="CX625" s="115"/>
      <c r="CY625" s="114"/>
      <c r="CZ625" s="115"/>
      <c r="DA625" s="115"/>
      <c r="DB625" s="115"/>
      <c r="DC625" s="114"/>
      <c r="DD625" s="115"/>
      <c r="DE625" s="97"/>
      <c r="DF625" s="269"/>
    </row>
    <row r="626" spans="1:255" s="270" customFormat="1" ht="48" x14ac:dyDescent="0.2">
      <c r="A626" s="89">
        <v>40651</v>
      </c>
      <c r="B626" s="90" t="s">
        <v>4387</v>
      </c>
      <c r="C626" s="90" t="s">
        <v>848</v>
      </c>
      <c r="D626" s="90" t="s">
        <v>2362</v>
      </c>
      <c r="E626" s="90" t="str">
        <f>VLOOKUP(B626&amp;C626,Divipola!$C$2:$F$1138,4,FALSE)</f>
        <v>52019</v>
      </c>
      <c r="F626" s="90"/>
      <c r="G626" s="101"/>
      <c r="H626" s="101"/>
      <c r="I626" s="101"/>
      <c r="J626" s="101">
        <v>628</v>
      </c>
      <c r="K626" s="101">
        <v>243</v>
      </c>
      <c r="L626" s="101">
        <v>23</v>
      </c>
      <c r="M626" s="101">
        <v>220</v>
      </c>
      <c r="N626" s="101"/>
      <c r="O626" s="101"/>
      <c r="P626" s="101"/>
      <c r="Q626" s="101"/>
      <c r="R626" s="101"/>
      <c r="S626" s="101"/>
      <c r="T626" s="101">
        <v>2</v>
      </c>
      <c r="U626" s="101"/>
      <c r="V626" s="101"/>
      <c r="W626" s="91"/>
      <c r="X626" s="105"/>
      <c r="Y626" s="92">
        <f t="shared" si="54"/>
        <v>0</v>
      </c>
      <c r="Z626" s="92">
        <f t="shared" si="55"/>
        <v>0</v>
      </c>
      <c r="AA626" s="92">
        <f t="shared" si="56"/>
        <v>0</v>
      </c>
      <c r="AB626" s="92">
        <f t="shared" si="57"/>
        <v>0</v>
      </c>
      <c r="AC626" s="92"/>
      <c r="AD626" s="92">
        <v>0</v>
      </c>
      <c r="AE626" s="92">
        <f t="shared" si="58"/>
        <v>0</v>
      </c>
      <c r="AF626" s="93">
        <v>0</v>
      </c>
      <c r="AG626" s="105"/>
      <c r="AH626" s="108"/>
      <c r="AI626" s="109" t="s">
        <v>4336</v>
      </c>
      <c r="AJ626" s="110" t="s">
        <v>4337</v>
      </c>
      <c r="AK626" s="111"/>
      <c r="AL626" s="105" t="s">
        <v>1069</v>
      </c>
      <c r="AM626" s="121" t="s">
        <v>4500</v>
      </c>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18"/>
      <c r="CO626" s="119"/>
      <c r="CP626" s="118"/>
      <c r="CQ626" s="119"/>
      <c r="CR626" s="118"/>
      <c r="CS626" s="119"/>
      <c r="CT626" s="113"/>
      <c r="CU626" s="118"/>
      <c r="CV626" s="99">
        <f t="shared" si="59"/>
        <v>0</v>
      </c>
      <c r="CW626" s="118"/>
      <c r="CX626" s="119"/>
      <c r="CY626" s="119"/>
      <c r="CZ626" s="119"/>
      <c r="DA626" s="118"/>
      <c r="DB626" s="119"/>
      <c r="DC626" s="111"/>
      <c r="DD626" s="119"/>
      <c r="DE626" s="111"/>
      <c r="DF626" s="269"/>
    </row>
    <row r="627" spans="1:255" s="270" customFormat="1" ht="24" x14ac:dyDescent="0.2">
      <c r="A627" s="89">
        <v>40651</v>
      </c>
      <c r="B627" s="90" t="s">
        <v>4387</v>
      </c>
      <c r="C627" s="90" t="s">
        <v>512</v>
      </c>
      <c r="D627" s="90" t="s">
        <v>2362</v>
      </c>
      <c r="E627" s="90" t="str">
        <f>VLOOKUP(B627&amp;C627,Divipola!$C$2:$F$1138,4,FALSE)</f>
        <v>52540</v>
      </c>
      <c r="F627" s="90"/>
      <c r="G627" s="101"/>
      <c r="H627" s="101"/>
      <c r="I627" s="101"/>
      <c r="J627" s="101"/>
      <c r="K627" s="101"/>
      <c r="L627" s="101"/>
      <c r="M627" s="101"/>
      <c r="N627" s="101">
        <v>1</v>
      </c>
      <c r="O627" s="101"/>
      <c r="P627" s="101"/>
      <c r="Q627" s="101"/>
      <c r="R627" s="101"/>
      <c r="S627" s="101"/>
      <c r="T627" s="101"/>
      <c r="U627" s="101"/>
      <c r="V627" s="101">
        <v>20</v>
      </c>
      <c r="W627" s="91"/>
      <c r="X627" s="105"/>
      <c r="Y627" s="92">
        <f t="shared" si="54"/>
        <v>0</v>
      </c>
      <c r="Z627" s="92">
        <f t="shared" si="55"/>
        <v>0</v>
      </c>
      <c r="AA627" s="92">
        <f t="shared" si="56"/>
        <v>0</v>
      </c>
      <c r="AB627" s="92">
        <f t="shared" si="57"/>
        <v>0</v>
      </c>
      <c r="AC627" s="92"/>
      <c r="AD627" s="92">
        <v>0</v>
      </c>
      <c r="AE627" s="92">
        <f t="shared" si="58"/>
        <v>0</v>
      </c>
      <c r="AF627" s="93">
        <v>0</v>
      </c>
      <c r="AG627" s="105"/>
      <c r="AH627" s="108"/>
      <c r="AI627" s="109" t="s">
        <v>4336</v>
      </c>
      <c r="AJ627" s="110" t="s">
        <v>4337</v>
      </c>
      <c r="AK627" s="111"/>
      <c r="AL627" s="105" t="s">
        <v>1069</v>
      </c>
      <c r="AM627" s="121" t="s">
        <v>4501</v>
      </c>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18"/>
      <c r="CO627" s="119"/>
      <c r="CP627" s="118"/>
      <c r="CQ627" s="119"/>
      <c r="CR627" s="118"/>
      <c r="CS627" s="119"/>
      <c r="CT627" s="113"/>
      <c r="CU627" s="118"/>
      <c r="CV627" s="99">
        <f t="shared" si="59"/>
        <v>0</v>
      </c>
      <c r="CW627" s="118"/>
      <c r="CX627" s="119"/>
      <c r="CY627" s="119"/>
      <c r="CZ627" s="119"/>
      <c r="DA627" s="118"/>
      <c r="DB627" s="119"/>
      <c r="DC627" s="111"/>
      <c r="DD627" s="119"/>
      <c r="DE627" s="111"/>
      <c r="DF627" s="269"/>
    </row>
    <row r="628" spans="1:255" s="42" customFormat="1" ht="48" x14ac:dyDescent="0.2">
      <c r="A628" s="89">
        <v>40651</v>
      </c>
      <c r="B628" s="90" t="s">
        <v>4221</v>
      </c>
      <c r="C628" s="90" t="s">
        <v>803</v>
      </c>
      <c r="D628" s="90" t="s">
        <v>2362</v>
      </c>
      <c r="E628" s="90" t="str">
        <f>VLOOKUP(B628&amp;C628,Divipola!$C$2:$F$1138,4,FALSE)</f>
        <v>54051</v>
      </c>
      <c r="F628" s="90"/>
      <c r="G628" s="302"/>
      <c r="H628" s="302"/>
      <c r="I628" s="302"/>
      <c r="J628" s="101">
        <v>650</v>
      </c>
      <c r="K628" s="101">
        <v>130</v>
      </c>
      <c r="L628" s="101">
        <v>104</v>
      </c>
      <c r="M628" s="101">
        <v>26</v>
      </c>
      <c r="N628" s="101">
        <v>1</v>
      </c>
      <c r="O628" s="101">
        <v>2</v>
      </c>
      <c r="P628" s="101"/>
      <c r="Q628" s="101">
        <v>9</v>
      </c>
      <c r="R628" s="101"/>
      <c r="S628" s="101"/>
      <c r="T628" s="101"/>
      <c r="U628" s="101"/>
      <c r="V628" s="101"/>
      <c r="W628" s="91"/>
      <c r="X628" s="89"/>
      <c r="Y628" s="92">
        <f t="shared" si="54"/>
        <v>0</v>
      </c>
      <c r="Z628" s="92">
        <f t="shared" si="55"/>
        <v>0</v>
      </c>
      <c r="AA628" s="92">
        <f t="shared" si="56"/>
        <v>0</v>
      </c>
      <c r="AB628" s="92">
        <f t="shared" si="57"/>
        <v>0</v>
      </c>
      <c r="AC628" s="92"/>
      <c r="AD628" s="92">
        <v>0</v>
      </c>
      <c r="AE628" s="92">
        <f t="shared" si="58"/>
        <v>0</v>
      </c>
      <c r="AF628" s="93">
        <v>0</v>
      </c>
      <c r="AG628" s="89"/>
      <c r="AH628" s="94"/>
      <c r="AI628" s="102" t="s">
        <v>4336</v>
      </c>
      <c r="AJ628" s="96" t="s">
        <v>4337</v>
      </c>
      <c r="AK628" s="285"/>
      <c r="AL628" s="303"/>
      <c r="AM628" s="100" t="s">
        <v>2268</v>
      </c>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114"/>
      <c r="CQ628" s="115"/>
      <c r="CR628" s="114"/>
      <c r="CS628" s="115"/>
      <c r="CT628" s="114"/>
      <c r="CU628" s="115"/>
      <c r="CV628" s="99">
        <f t="shared" si="59"/>
        <v>0</v>
      </c>
      <c r="CW628" s="114"/>
      <c r="CX628" s="115"/>
      <c r="CY628" s="114"/>
      <c r="CZ628" s="115"/>
      <c r="DA628" s="115"/>
      <c r="DB628" s="115"/>
      <c r="DC628" s="114"/>
      <c r="DD628" s="115"/>
      <c r="DE628" s="97"/>
      <c r="DF628" s="269"/>
      <c r="DG628" s="270"/>
      <c r="DH628" s="270"/>
      <c r="DI628" s="270"/>
      <c r="DJ628" s="270"/>
      <c r="DK628" s="270"/>
      <c r="DL628" s="270"/>
      <c r="DM628" s="270"/>
      <c r="DN628" s="270"/>
      <c r="DO628" s="270"/>
      <c r="DP628" s="270"/>
      <c r="DQ628" s="270"/>
      <c r="DR628" s="270"/>
      <c r="DS628" s="270"/>
      <c r="DT628" s="270"/>
      <c r="DU628" s="270"/>
      <c r="DV628" s="270"/>
      <c r="DW628" s="270"/>
      <c r="DX628" s="270"/>
      <c r="DY628" s="270"/>
      <c r="DZ628" s="270"/>
      <c r="EA628" s="270"/>
      <c r="EB628" s="270"/>
      <c r="EC628" s="270"/>
      <c r="ED628" s="270"/>
      <c r="EE628" s="270"/>
      <c r="EF628" s="270"/>
      <c r="EG628" s="270"/>
      <c r="EH628" s="270"/>
      <c r="EI628" s="270"/>
      <c r="EJ628" s="270"/>
      <c r="EK628" s="270"/>
      <c r="EL628" s="270"/>
      <c r="EM628" s="270"/>
      <c r="EN628" s="270"/>
      <c r="EO628" s="270"/>
      <c r="EP628" s="270"/>
      <c r="EQ628" s="270"/>
      <c r="ER628" s="270"/>
      <c r="ES628" s="270"/>
      <c r="ET628" s="270"/>
      <c r="EU628" s="270"/>
      <c r="EV628" s="270"/>
      <c r="EW628" s="270"/>
      <c r="EX628" s="270"/>
      <c r="EY628" s="270"/>
      <c r="EZ628" s="270"/>
      <c r="FA628" s="270"/>
      <c r="FB628" s="270"/>
      <c r="FC628" s="270"/>
      <c r="FD628" s="270"/>
      <c r="FE628" s="270"/>
      <c r="FF628" s="270"/>
      <c r="FG628" s="270"/>
      <c r="FH628" s="270"/>
      <c r="FI628" s="270"/>
      <c r="FJ628" s="270"/>
      <c r="FK628" s="270"/>
      <c r="FL628" s="270"/>
      <c r="FM628" s="270"/>
      <c r="FN628" s="270"/>
      <c r="FO628" s="270"/>
      <c r="FP628" s="270"/>
      <c r="FQ628" s="270"/>
      <c r="FR628" s="270"/>
      <c r="FS628" s="270"/>
      <c r="FT628" s="270"/>
      <c r="FU628" s="270"/>
      <c r="FV628" s="270"/>
      <c r="FW628" s="270"/>
      <c r="FX628" s="270"/>
      <c r="FY628" s="270"/>
      <c r="FZ628" s="270"/>
      <c r="GA628" s="270"/>
      <c r="GB628" s="270"/>
      <c r="GC628" s="270"/>
      <c r="GD628" s="270"/>
      <c r="GE628" s="270"/>
      <c r="GF628" s="270"/>
      <c r="GG628" s="270"/>
      <c r="GH628" s="270"/>
      <c r="GI628" s="270"/>
      <c r="GJ628" s="270"/>
      <c r="GK628" s="270"/>
      <c r="GL628" s="270"/>
      <c r="GM628" s="270"/>
      <c r="GN628" s="270"/>
      <c r="GO628" s="270"/>
      <c r="GP628" s="270"/>
      <c r="GQ628" s="270"/>
      <c r="GR628" s="270"/>
      <c r="GS628" s="270"/>
      <c r="GT628" s="270"/>
      <c r="GU628" s="270"/>
      <c r="GV628" s="270"/>
      <c r="GW628" s="270"/>
      <c r="GX628" s="270"/>
      <c r="GY628" s="270"/>
      <c r="GZ628" s="270"/>
      <c r="HA628" s="270"/>
      <c r="HB628" s="270"/>
      <c r="HC628" s="270"/>
      <c r="HD628" s="270"/>
      <c r="HE628" s="270"/>
      <c r="HF628" s="270"/>
      <c r="HG628" s="270"/>
      <c r="HH628" s="270"/>
      <c r="HI628" s="270"/>
      <c r="HJ628" s="270"/>
      <c r="HK628" s="270"/>
      <c r="HL628" s="270"/>
      <c r="HM628" s="270"/>
      <c r="HN628" s="270"/>
      <c r="HO628" s="270"/>
      <c r="HP628" s="270"/>
      <c r="HQ628" s="270"/>
      <c r="HR628" s="270"/>
      <c r="HS628" s="270"/>
      <c r="HT628" s="270"/>
      <c r="HU628" s="270"/>
      <c r="HV628" s="270"/>
      <c r="HW628" s="270"/>
      <c r="HX628" s="270"/>
      <c r="HY628" s="270"/>
      <c r="HZ628" s="270"/>
      <c r="IA628" s="270"/>
      <c r="IB628" s="270"/>
      <c r="IC628" s="270"/>
      <c r="ID628" s="270"/>
      <c r="IE628" s="270"/>
      <c r="IF628" s="270"/>
      <c r="IG628" s="270"/>
      <c r="IH628" s="270"/>
      <c r="II628" s="270"/>
      <c r="IJ628" s="270"/>
      <c r="IK628" s="270"/>
      <c r="IL628" s="270"/>
      <c r="IM628" s="270"/>
      <c r="IN628" s="270"/>
      <c r="IO628" s="270"/>
      <c r="IP628" s="270"/>
      <c r="IQ628" s="270"/>
      <c r="IR628" s="270"/>
      <c r="IS628" s="270"/>
      <c r="IT628" s="270"/>
      <c r="IU628" s="270"/>
    </row>
    <row r="629" spans="1:255" s="270" customFormat="1" ht="48" x14ac:dyDescent="0.2">
      <c r="A629" s="89">
        <v>40651</v>
      </c>
      <c r="B629" s="90" t="s">
        <v>4221</v>
      </c>
      <c r="C629" s="90" t="s">
        <v>850</v>
      </c>
      <c r="D629" s="90" t="s">
        <v>4264</v>
      </c>
      <c r="E629" s="90" t="str">
        <f>VLOOKUP(B629&amp;C629,Divipola!$C$2:$F$1138,4,FALSE)</f>
        <v>54128</v>
      </c>
      <c r="F629" s="90"/>
      <c r="G629" s="302"/>
      <c r="H629" s="302"/>
      <c r="I629" s="302"/>
      <c r="J629" s="101"/>
      <c r="K629" s="101"/>
      <c r="L629" s="101"/>
      <c r="M629" s="101"/>
      <c r="N629" s="101"/>
      <c r="O629" s="101"/>
      <c r="P629" s="101"/>
      <c r="Q629" s="101"/>
      <c r="R629" s="101"/>
      <c r="S629" s="101"/>
      <c r="T629" s="101"/>
      <c r="U629" s="101"/>
      <c r="V629" s="101"/>
      <c r="W629" s="91"/>
      <c r="X629" s="89"/>
      <c r="Y629" s="92">
        <f t="shared" si="54"/>
        <v>0</v>
      </c>
      <c r="Z629" s="92">
        <f t="shared" si="55"/>
        <v>0</v>
      </c>
      <c r="AA629" s="92">
        <f t="shared" si="56"/>
        <v>0</v>
      </c>
      <c r="AB629" s="92">
        <f t="shared" si="57"/>
        <v>0</v>
      </c>
      <c r="AC629" s="92"/>
      <c r="AD629" s="92">
        <v>0</v>
      </c>
      <c r="AE629" s="92">
        <f t="shared" si="58"/>
        <v>0</v>
      </c>
      <c r="AF629" s="93">
        <v>0</v>
      </c>
      <c r="AG629" s="89"/>
      <c r="AH629" s="94"/>
      <c r="AI629" s="102" t="s">
        <v>4336</v>
      </c>
      <c r="AJ629" s="96" t="s">
        <v>4337</v>
      </c>
      <c r="AK629" s="285"/>
      <c r="AL629" s="303"/>
      <c r="AM629" s="100" t="s">
        <v>2133</v>
      </c>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114"/>
      <c r="CQ629" s="115"/>
      <c r="CR629" s="114"/>
      <c r="CS629" s="115"/>
      <c r="CT629" s="114"/>
      <c r="CU629" s="115"/>
      <c r="CV629" s="99">
        <f t="shared" si="59"/>
        <v>0</v>
      </c>
      <c r="CW629" s="114"/>
      <c r="CX629" s="115"/>
      <c r="CY629" s="114"/>
      <c r="CZ629" s="115"/>
      <c r="DA629" s="115"/>
      <c r="DB629" s="115"/>
      <c r="DC629" s="114"/>
      <c r="DD629" s="115"/>
      <c r="DE629" s="97"/>
      <c r="DF629" s="46"/>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c r="EO629" s="42"/>
      <c r="EP629" s="42"/>
      <c r="EQ629" s="42"/>
      <c r="ER629" s="42"/>
      <c r="ES629" s="42"/>
      <c r="ET629" s="42"/>
      <c r="EU629" s="42"/>
      <c r="EV629" s="42"/>
      <c r="EW629" s="42"/>
      <c r="EX629" s="42"/>
      <c r="EY629" s="42"/>
      <c r="EZ629" s="42"/>
      <c r="FA629" s="42"/>
      <c r="FB629" s="42"/>
      <c r="FC629" s="42"/>
      <c r="FD629" s="42"/>
      <c r="FE629" s="42"/>
      <c r="FF629" s="42"/>
      <c r="FG629" s="42"/>
      <c r="FH629" s="42"/>
      <c r="FI629" s="42"/>
      <c r="FJ629" s="42"/>
      <c r="FK629" s="42"/>
      <c r="FL629" s="42"/>
      <c r="FM629" s="42"/>
      <c r="FN629" s="42"/>
      <c r="FO629" s="42"/>
      <c r="FP629" s="42"/>
      <c r="FQ629" s="42"/>
      <c r="FR629" s="42"/>
      <c r="FS629" s="42"/>
      <c r="FT629" s="42"/>
      <c r="FU629" s="42"/>
      <c r="FV629" s="42"/>
      <c r="FW629" s="42"/>
      <c r="FX629" s="42"/>
      <c r="FY629" s="42"/>
      <c r="FZ629" s="42"/>
      <c r="GA629" s="42"/>
      <c r="GB629" s="42"/>
      <c r="GC629" s="42"/>
      <c r="GD629" s="42"/>
      <c r="GE629" s="42"/>
      <c r="GF629" s="42"/>
      <c r="GG629" s="42"/>
      <c r="GH629" s="42"/>
      <c r="GI629" s="42"/>
      <c r="GJ629" s="42"/>
      <c r="GK629" s="42"/>
      <c r="GL629" s="42"/>
      <c r="GM629" s="42"/>
      <c r="GN629" s="42"/>
      <c r="GO629" s="42"/>
      <c r="GP629" s="42"/>
      <c r="GQ629" s="42"/>
      <c r="GR629" s="42"/>
      <c r="GS629" s="42"/>
      <c r="GT629" s="42"/>
      <c r="GU629" s="42"/>
      <c r="GV629" s="42"/>
      <c r="GW629" s="42"/>
      <c r="GX629" s="42"/>
      <c r="GY629" s="42"/>
      <c r="GZ629" s="42"/>
      <c r="HA629" s="42"/>
      <c r="HB629" s="42"/>
      <c r="HC629" s="42"/>
      <c r="HD629" s="42"/>
      <c r="HE629" s="42"/>
      <c r="HF629" s="42"/>
      <c r="HG629" s="42"/>
      <c r="HH629" s="42"/>
      <c r="HI629" s="42"/>
      <c r="HJ629" s="42"/>
      <c r="HK629" s="42"/>
      <c r="HL629" s="42"/>
      <c r="HM629" s="42"/>
      <c r="HN629" s="42"/>
      <c r="HO629" s="42"/>
      <c r="HP629" s="42"/>
      <c r="HQ629" s="42"/>
      <c r="HR629" s="42"/>
      <c r="HS629" s="42"/>
      <c r="HT629" s="42"/>
      <c r="HU629" s="42"/>
      <c r="HV629" s="42"/>
      <c r="HW629" s="42"/>
      <c r="HX629" s="42"/>
      <c r="HY629" s="42"/>
      <c r="HZ629" s="42"/>
      <c r="IA629" s="42"/>
      <c r="IB629" s="42"/>
      <c r="IC629" s="42"/>
      <c r="ID629" s="42"/>
      <c r="IE629" s="42"/>
      <c r="IF629" s="42"/>
      <c r="IG629" s="42"/>
      <c r="IH629" s="42"/>
      <c r="II629" s="42"/>
      <c r="IJ629" s="42"/>
      <c r="IK629" s="42"/>
      <c r="IL629" s="42"/>
      <c r="IM629" s="42"/>
      <c r="IN629" s="42"/>
      <c r="IO629" s="42"/>
      <c r="IP629" s="42"/>
      <c r="IQ629" s="42"/>
      <c r="IR629" s="42"/>
      <c r="IS629" s="42"/>
      <c r="IT629" s="42"/>
      <c r="IU629" s="42"/>
    </row>
    <row r="630" spans="1:255" s="270" customFormat="1" ht="84" x14ac:dyDescent="0.2">
      <c r="A630" s="89">
        <v>40651</v>
      </c>
      <c r="B630" s="90" t="s">
        <v>4221</v>
      </c>
      <c r="C630" s="90" t="s">
        <v>3392</v>
      </c>
      <c r="D630" s="90" t="s">
        <v>4264</v>
      </c>
      <c r="E630" s="90" t="str">
        <f>VLOOKUP(B630&amp;C630,Divipola!$C$2:$F$1138,4,FALSE)</f>
        <v>54172</v>
      </c>
      <c r="F630" s="90"/>
      <c r="G630" s="302"/>
      <c r="H630" s="101">
        <v>1</v>
      </c>
      <c r="I630" s="302"/>
      <c r="J630" s="101">
        <v>40</v>
      </c>
      <c r="K630" s="101">
        <v>8</v>
      </c>
      <c r="L630" s="101">
        <v>8</v>
      </c>
      <c r="M630" s="101"/>
      <c r="N630" s="101">
        <v>1</v>
      </c>
      <c r="O630" s="101"/>
      <c r="P630" s="101"/>
      <c r="Q630" s="101"/>
      <c r="R630" s="101"/>
      <c r="S630" s="101"/>
      <c r="T630" s="101">
        <v>1</v>
      </c>
      <c r="U630" s="101">
        <v>1</v>
      </c>
      <c r="V630" s="101"/>
      <c r="W630" s="91"/>
      <c r="X630" s="89"/>
      <c r="Y630" s="92">
        <f t="shared" si="54"/>
        <v>0</v>
      </c>
      <c r="Z630" s="92">
        <f t="shared" si="55"/>
        <v>0</v>
      </c>
      <c r="AA630" s="92">
        <f t="shared" si="56"/>
        <v>0</v>
      </c>
      <c r="AB630" s="92">
        <f t="shared" si="57"/>
        <v>0</v>
      </c>
      <c r="AC630" s="92"/>
      <c r="AD630" s="92">
        <v>0</v>
      </c>
      <c r="AE630" s="92">
        <f t="shared" si="58"/>
        <v>0</v>
      </c>
      <c r="AF630" s="93">
        <v>0</v>
      </c>
      <c r="AG630" s="89"/>
      <c r="AH630" s="94"/>
      <c r="AI630" s="102" t="s">
        <v>4336</v>
      </c>
      <c r="AJ630" s="96" t="s">
        <v>4337</v>
      </c>
      <c r="AK630" s="285"/>
      <c r="AL630" s="303"/>
      <c r="AM630" s="100" t="s">
        <v>3257</v>
      </c>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114"/>
      <c r="CQ630" s="115"/>
      <c r="CR630" s="114"/>
      <c r="CS630" s="115"/>
      <c r="CT630" s="114"/>
      <c r="CU630" s="115"/>
      <c r="CV630" s="99">
        <f t="shared" si="59"/>
        <v>0</v>
      </c>
      <c r="CW630" s="114"/>
      <c r="CX630" s="115"/>
      <c r="CY630" s="114"/>
      <c r="CZ630" s="115"/>
      <c r="DA630" s="115"/>
      <c r="DB630" s="115"/>
      <c r="DC630" s="114"/>
      <c r="DD630" s="115"/>
      <c r="DE630" s="97"/>
      <c r="DF630" s="269"/>
    </row>
    <row r="631" spans="1:255" s="270" customFormat="1" ht="24" x14ac:dyDescent="0.2">
      <c r="A631" s="89">
        <v>40651</v>
      </c>
      <c r="B631" s="90" t="s">
        <v>4221</v>
      </c>
      <c r="C631" s="90" t="s">
        <v>4301</v>
      </c>
      <c r="D631" s="90" t="s">
        <v>4264</v>
      </c>
      <c r="E631" s="90" t="str">
        <f>VLOOKUP(B631&amp;C631,Divipola!$C$2:$F$1138,4,FALSE)</f>
        <v>54405</v>
      </c>
      <c r="F631" s="90"/>
      <c r="G631" s="302"/>
      <c r="H631" s="302"/>
      <c r="I631" s="302"/>
      <c r="J631" s="101">
        <v>8</v>
      </c>
      <c r="K631" s="101">
        <v>2</v>
      </c>
      <c r="L631" s="101"/>
      <c r="M631" s="101">
        <v>2</v>
      </c>
      <c r="N631" s="101"/>
      <c r="O631" s="101"/>
      <c r="P631" s="101"/>
      <c r="Q631" s="101"/>
      <c r="R631" s="101"/>
      <c r="S631" s="101"/>
      <c r="T631" s="101"/>
      <c r="U631" s="101"/>
      <c r="V631" s="101"/>
      <c r="W631" s="91"/>
      <c r="X631" s="89"/>
      <c r="Y631" s="92">
        <f t="shared" si="54"/>
        <v>0</v>
      </c>
      <c r="Z631" s="92">
        <f t="shared" si="55"/>
        <v>0</v>
      </c>
      <c r="AA631" s="92">
        <f t="shared" si="56"/>
        <v>0</v>
      </c>
      <c r="AB631" s="92">
        <f t="shared" si="57"/>
        <v>0</v>
      </c>
      <c r="AC631" s="92"/>
      <c r="AD631" s="92">
        <v>0</v>
      </c>
      <c r="AE631" s="92">
        <f t="shared" si="58"/>
        <v>0</v>
      </c>
      <c r="AF631" s="93">
        <v>0</v>
      </c>
      <c r="AG631" s="89"/>
      <c r="AH631" s="94"/>
      <c r="AI631" s="102" t="s">
        <v>4336</v>
      </c>
      <c r="AJ631" s="96" t="s">
        <v>4337</v>
      </c>
      <c r="AK631" s="285"/>
      <c r="AL631" s="303"/>
      <c r="AM631" s="100" t="s">
        <v>3256</v>
      </c>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114"/>
      <c r="CQ631" s="115"/>
      <c r="CR631" s="114"/>
      <c r="CS631" s="115"/>
      <c r="CT631" s="114"/>
      <c r="CU631" s="115"/>
      <c r="CV631" s="99">
        <f t="shared" si="59"/>
        <v>0</v>
      </c>
      <c r="CW631" s="114"/>
      <c r="CX631" s="115"/>
      <c r="CY631" s="114"/>
      <c r="CZ631" s="115"/>
      <c r="DA631" s="115"/>
      <c r="DB631" s="115"/>
      <c r="DC631" s="114"/>
      <c r="DD631" s="115"/>
      <c r="DE631" s="97"/>
      <c r="DF631" s="269"/>
    </row>
    <row r="632" spans="1:255" s="270" customFormat="1" ht="24" x14ac:dyDescent="0.2">
      <c r="A632" s="89">
        <v>40651</v>
      </c>
      <c r="B632" s="90" t="s">
        <v>4221</v>
      </c>
      <c r="C632" s="90" t="s">
        <v>3388</v>
      </c>
      <c r="D632" s="90" t="s">
        <v>2362</v>
      </c>
      <c r="E632" s="90" t="str">
        <f>VLOOKUP(B632&amp;C632,Divipola!$C$2:$F$1138,4,FALSE)</f>
        <v>54599</v>
      </c>
      <c r="F632" s="90"/>
      <c r="G632" s="302"/>
      <c r="H632" s="302"/>
      <c r="I632" s="101">
        <v>2</v>
      </c>
      <c r="J632" s="101">
        <v>5</v>
      </c>
      <c r="K632" s="101">
        <v>1</v>
      </c>
      <c r="L632" s="101">
        <v>1</v>
      </c>
      <c r="M632" s="101"/>
      <c r="N632" s="101"/>
      <c r="O632" s="101"/>
      <c r="P632" s="101"/>
      <c r="Q632" s="101"/>
      <c r="R632" s="101"/>
      <c r="S632" s="101"/>
      <c r="T632" s="101"/>
      <c r="U632" s="101"/>
      <c r="V632" s="101"/>
      <c r="W632" s="91"/>
      <c r="X632" s="89"/>
      <c r="Y632" s="92">
        <f t="shared" si="54"/>
        <v>0</v>
      </c>
      <c r="Z632" s="92">
        <f t="shared" si="55"/>
        <v>0</v>
      </c>
      <c r="AA632" s="92">
        <f t="shared" si="56"/>
        <v>0</v>
      </c>
      <c r="AB632" s="92">
        <f t="shared" si="57"/>
        <v>0</v>
      </c>
      <c r="AC632" s="92"/>
      <c r="AD632" s="92">
        <v>0</v>
      </c>
      <c r="AE632" s="92">
        <f t="shared" si="58"/>
        <v>0</v>
      </c>
      <c r="AF632" s="93">
        <v>0</v>
      </c>
      <c r="AG632" s="89"/>
      <c r="AH632" s="94"/>
      <c r="AI632" s="102" t="s">
        <v>4336</v>
      </c>
      <c r="AJ632" s="96" t="s">
        <v>4337</v>
      </c>
      <c r="AK632" s="285"/>
      <c r="AL632" s="303"/>
      <c r="AM632" s="100" t="s">
        <v>3266</v>
      </c>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114"/>
      <c r="CQ632" s="115"/>
      <c r="CR632" s="114"/>
      <c r="CS632" s="115"/>
      <c r="CT632" s="114"/>
      <c r="CU632" s="115"/>
      <c r="CV632" s="99">
        <f t="shared" si="59"/>
        <v>0</v>
      </c>
      <c r="CW632" s="114"/>
      <c r="CX632" s="115"/>
      <c r="CY632" s="114"/>
      <c r="CZ632" s="115"/>
      <c r="DA632" s="115"/>
      <c r="DB632" s="115"/>
      <c r="DC632" s="114"/>
      <c r="DD632" s="115"/>
      <c r="DE632" s="97"/>
      <c r="DF632" s="269"/>
    </row>
    <row r="633" spans="1:255" s="270" customFormat="1" ht="24" x14ac:dyDescent="0.2">
      <c r="A633" s="89">
        <v>40651</v>
      </c>
      <c r="B633" s="90" t="s">
        <v>4221</v>
      </c>
      <c r="C633" s="90" t="s">
        <v>3388</v>
      </c>
      <c r="D633" s="90" t="s">
        <v>4264</v>
      </c>
      <c r="E633" s="90" t="str">
        <f>VLOOKUP(B633&amp;C633,Divipola!$C$2:$F$1138,4,FALSE)</f>
        <v>54599</v>
      </c>
      <c r="F633" s="90"/>
      <c r="G633" s="302"/>
      <c r="H633" s="302"/>
      <c r="I633" s="302"/>
      <c r="J633" s="101">
        <v>998</v>
      </c>
      <c r="K633" s="101">
        <v>280</v>
      </c>
      <c r="L633" s="101"/>
      <c r="M633" s="101">
        <v>280</v>
      </c>
      <c r="N633" s="101">
        <v>1</v>
      </c>
      <c r="O633" s="101"/>
      <c r="P633" s="101"/>
      <c r="Q633" s="101"/>
      <c r="R633" s="101"/>
      <c r="S633" s="101"/>
      <c r="T633" s="101"/>
      <c r="U633" s="101"/>
      <c r="V633" s="101"/>
      <c r="W633" s="91"/>
      <c r="X633" s="89"/>
      <c r="Y633" s="92">
        <f t="shared" si="54"/>
        <v>0</v>
      </c>
      <c r="Z633" s="92">
        <f t="shared" si="55"/>
        <v>0</v>
      </c>
      <c r="AA633" s="92">
        <f t="shared" si="56"/>
        <v>0</v>
      </c>
      <c r="AB633" s="92">
        <f t="shared" si="57"/>
        <v>0</v>
      </c>
      <c r="AC633" s="92"/>
      <c r="AD633" s="92">
        <v>0</v>
      </c>
      <c r="AE633" s="92">
        <f t="shared" si="58"/>
        <v>0</v>
      </c>
      <c r="AF633" s="93">
        <v>0</v>
      </c>
      <c r="AG633" s="89"/>
      <c r="AH633" s="94"/>
      <c r="AI633" s="102" t="s">
        <v>4336</v>
      </c>
      <c r="AJ633" s="96" t="s">
        <v>4337</v>
      </c>
      <c r="AK633" s="285"/>
      <c r="AL633" s="303"/>
      <c r="AM633" s="100" t="s">
        <v>2264</v>
      </c>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114"/>
      <c r="CQ633" s="115"/>
      <c r="CR633" s="114"/>
      <c r="CS633" s="115"/>
      <c r="CT633" s="114"/>
      <c r="CU633" s="115"/>
      <c r="CV633" s="99">
        <f t="shared" si="59"/>
        <v>0</v>
      </c>
      <c r="CW633" s="114"/>
      <c r="CX633" s="115"/>
      <c r="CY633" s="114"/>
      <c r="CZ633" s="115"/>
      <c r="DA633" s="115"/>
      <c r="DB633" s="115"/>
      <c r="DC633" s="114"/>
      <c r="DD633" s="115"/>
      <c r="DE633" s="97"/>
      <c r="DF633" s="269"/>
    </row>
    <row r="634" spans="1:255" s="270" customFormat="1" ht="108" x14ac:dyDescent="0.2">
      <c r="A634" s="89">
        <v>40651</v>
      </c>
      <c r="B634" s="90" t="s">
        <v>4221</v>
      </c>
      <c r="C634" s="90" t="s">
        <v>3296</v>
      </c>
      <c r="D634" s="90" t="s">
        <v>4264</v>
      </c>
      <c r="E634" s="90" t="str">
        <f>VLOOKUP(B634&amp;C634,Divipola!$C$2:$F$1138,4,FALSE)</f>
        <v>54673</v>
      </c>
      <c r="F634" s="90"/>
      <c r="G634" s="302"/>
      <c r="H634" s="302"/>
      <c r="I634" s="302"/>
      <c r="J634" s="101">
        <v>183</v>
      </c>
      <c r="K634" s="101">
        <v>54</v>
      </c>
      <c r="L634" s="101"/>
      <c r="M634" s="101">
        <v>54</v>
      </c>
      <c r="N634" s="101">
        <v>1</v>
      </c>
      <c r="O634" s="101">
        <v>1</v>
      </c>
      <c r="P634" s="101"/>
      <c r="Q634" s="101">
        <v>1</v>
      </c>
      <c r="R634" s="101"/>
      <c r="S634" s="101"/>
      <c r="T634" s="101"/>
      <c r="U634" s="101"/>
      <c r="V634" s="101"/>
      <c r="W634" s="91"/>
      <c r="X634" s="89"/>
      <c r="Y634" s="92">
        <f t="shared" si="54"/>
        <v>0</v>
      </c>
      <c r="Z634" s="92">
        <f t="shared" si="55"/>
        <v>0</v>
      </c>
      <c r="AA634" s="92">
        <f t="shared" si="56"/>
        <v>0</v>
      </c>
      <c r="AB634" s="92">
        <f t="shared" si="57"/>
        <v>0</v>
      </c>
      <c r="AC634" s="92"/>
      <c r="AD634" s="92">
        <v>0</v>
      </c>
      <c r="AE634" s="92">
        <f t="shared" si="58"/>
        <v>0</v>
      </c>
      <c r="AF634" s="93">
        <v>0</v>
      </c>
      <c r="AG634" s="89"/>
      <c r="AH634" s="94"/>
      <c r="AI634" s="102" t="s">
        <v>4336</v>
      </c>
      <c r="AJ634" s="96" t="s">
        <v>4337</v>
      </c>
      <c r="AK634" s="285"/>
      <c r="AL634" s="303"/>
      <c r="AM634" s="100" t="s">
        <v>54</v>
      </c>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114"/>
      <c r="CQ634" s="115"/>
      <c r="CR634" s="114"/>
      <c r="CS634" s="115"/>
      <c r="CT634" s="114"/>
      <c r="CU634" s="115"/>
      <c r="CV634" s="99">
        <f t="shared" si="59"/>
        <v>0</v>
      </c>
      <c r="CW634" s="114"/>
      <c r="CX634" s="115"/>
      <c r="CY634" s="114"/>
      <c r="CZ634" s="115"/>
      <c r="DA634" s="115"/>
      <c r="DB634" s="115"/>
      <c r="DC634" s="114"/>
      <c r="DD634" s="115"/>
      <c r="DE634" s="97"/>
      <c r="DF634" s="269"/>
    </row>
    <row r="635" spans="1:255" s="270" customFormat="1" ht="60" x14ac:dyDescent="0.2">
      <c r="A635" s="89">
        <v>40651</v>
      </c>
      <c r="B635" s="90" t="s">
        <v>3316</v>
      </c>
      <c r="C635" s="90" t="s">
        <v>3132</v>
      </c>
      <c r="D635" s="90" t="s">
        <v>4264</v>
      </c>
      <c r="E635" s="90" t="str">
        <f>VLOOKUP(B635&amp;C635,Divipola!$C$2:$F$1138,4,FALSE)</f>
        <v>73675</v>
      </c>
      <c r="F635" s="90"/>
      <c r="G635" s="101"/>
      <c r="H635" s="101"/>
      <c r="I635" s="101"/>
      <c r="J635" s="101">
        <f>550*5</f>
        <v>2750</v>
      </c>
      <c r="K635" s="101">
        <v>550</v>
      </c>
      <c r="L635" s="101"/>
      <c r="M635" s="101">
        <v>37</v>
      </c>
      <c r="N635" s="101"/>
      <c r="O635" s="101"/>
      <c r="P635" s="101"/>
      <c r="Q635" s="101"/>
      <c r="R635" s="101"/>
      <c r="S635" s="101"/>
      <c r="T635" s="101"/>
      <c r="U635" s="101"/>
      <c r="V635" s="101"/>
      <c r="W635" s="91"/>
      <c r="X635" s="89"/>
      <c r="Y635" s="92">
        <f t="shared" si="54"/>
        <v>0</v>
      </c>
      <c r="Z635" s="92">
        <f t="shared" si="55"/>
        <v>0</v>
      </c>
      <c r="AA635" s="92">
        <f t="shared" si="56"/>
        <v>0</v>
      </c>
      <c r="AB635" s="92">
        <f t="shared" si="57"/>
        <v>0</v>
      </c>
      <c r="AC635" s="92"/>
      <c r="AD635" s="92">
        <v>40000000</v>
      </c>
      <c r="AE635" s="92">
        <f t="shared" si="58"/>
        <v>40000000</v>
      </c>
      <c r="AF635" s="93">
        <v>0</v>
      </c>
      <c r="AG635" s="89"/>
      <c r="AH635" s="94"/>
      <c r="AI635" s="95" t="s">
        <v>4346</v>
      </c>
      <c r="AJ635" s="96" t="s">
        <v>4347</v>
      </c>
      <c r="AK635" s="97"/>
      <c r="AL635" s="89" t="s">
        <v>2798</v>
      </c>
      <c r="AM635" s="100" t="s">
        <v>2033</v>
      </c>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114"/>
      <c r="CQ635" s="115"/>
      <c r="CR635" s="114"/>
      <c r="CS635" s="115"/>
      <c r="CT635" s="114"/>
      <c r="CU635" s="115"/>
      <c r="CV635" s="99">
        <f t="shared" si="59"/>
        <v>0</v>
      </c>
      <c r="CW635" s="114"/>
      <c r="CX635" s="115"/>
      <c r="CY635" s="114"/>
      <c r="CZ635" s="115"/>
      <c r="DA635" s="115"/>
      <c r="DB635" s="115"/>
      <c r="DC635" s="114"/>
      <c r="DD635" s="115"/>
      <c r="DE635" s="97"/>
      <c r="DF635" s="269"/>
    </row>
    <row r="636" spans="1:255" s="270" customFormat="1" ht="96" x14ac:dyDescent="0.2">
      <c r="A636" s="89">
        <v>40652</v>
      </c>
      <c r="B636" s="90" t="s">
        <v>1116</v>
      </c>
      <c r="C636" s="90" t="s">
        <v>1116</v>
      </c>
      <c r="D636" s="90" t="s">
        <v>4264</v>
      </c>
      <c r="E636" s="90" t="str">
        <f>VLOOKUP(B636&amp;C636,Divipola!$C$2:$F$1138,4,FALSE)</f>
        <v>11001</v>
      </c>
      <c r="F636" s="90"/>
      <c r="G636" s="302"/>
      <c r="H636" s="302"/>
      <c r="I636" s="302"/>
      <c r="J636" s="101"/>
      <c r="K636" s="101"/>
      <c r="L636" s="101"/>
      <c r="M636" s="101"/>
      <c r="N636" s="101"/>
      <c r="O636" s="101"/>
      <c r="P636" s="101"/>
      <c r="Q636" s="101"/>
      <c r="R636" s="101"/>
      <c r="S636" s="101"/>
      <c r="T636" s="101"/>
      <c r="U636" s="101"/>
      <c r="V636" s="101"/>
      <c r="W636" s="91"/>
      <c r="X636" s="89"/>
      <c r="Y636" s="92">
        <f t="shared" si="54"/>
        <v>0</v>
      </c>
      <c r="Z636" s="92">
        <f t="shared" si="55"/>
        <v>0</v>
      </c>
      <c r="AA636" s="92">
        <f t="shared" si="56"/>
        <v>0</v>
      </c>
      <c r="AB636" s="92">
        <f t="shared" si="57"/>
        <v>0</v>
      </c>
      <c r="AC636" s="92"/>
      <c r="AD636" s="92">
        <v>0</v>
      </c>
      <c r="AE636" s="92">
        <f t="shared" si="58"/>
        <v>0</v>
      </c>
      <c r="AF636" s="93">
        <v>0</v>
      </c>
      <c r="AG636" s="89"/>
      <c r="AH636" s="94"/>
      <c r="AI636" s="95" t="s">
        <v>4336</v>
      </c>
      <c r="AJ636" s="96" t="s">
        <v>4337</v>
      </c>
      <c r="AK636" s="285"/>
      <c r="AL636" s="303"/>
      <c r="AM636" s="100" t="s">
        <v>2267</v>
      </c>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114"/>
      <c r="CQ636" s="115"/>
      <c r="CR636" s="114"/>
      <c r="CS636" s="115"/>
      <c r="CT636" s="114"/>
      <c r="CU636" s="115"/>
      <c r="CV636" s="99">
        <f t="shared" si="59"/>
        <v>0</v>
      </c>
      <c r="CW636" s="114"/>
      <c r="CX636" s="115"/>
      <c r="CY636" s="114"/>
      <c r="CZ636" s="115"/>
      <c r="DA636" s="115"/>
      <c r="DB636" s="115"/>
      <c r="DC636" s="114"/>
      <c r="DD636" s="115"/>
      <c r="DE636" s="97"/>
      <c r="DF636" s="269"/>
    </row>
    <row r="637" spans="1:255" s="270" customFormat="1" ht="36" x14ac:dyDescent="0.2">
      <c r="A637" s="89">
        <v>40652</v>
      </c>
      <c r="B637" s="90" t="s">
        <v>1116</v>
      </c>
      <c r="C637" s="90" t="s">
        <v>1116</v>
      </c>
      <c r="D637" s="90" t="s">
        <v>2362</v>
      </c>
      <c r="E637" s="90" t="str">
        <f>VLOOKUP(B637&amp;C637,Divipola!$C$2:$F$1138,4,FALSE)</f>
        <v>11001</v>
      </c>
      <c r="F637" s="90"/>
      <c r="G637" s="101"/>
      <c r="H637" s="101"/>
      <c r="I637" s="101"/>
      <c r="J637" s="101">
        <v>12</v>
      </c>
      <c r="K637" s="101">
        <v>2</v>
      </c>
      <c r="L637" s="101"/>
      <c r="M637" s="101">
        <v>1</v>
      </c>
      <c r="N637" s="101"/>
      <c r="O637" s="101"/>
      <c r="P637" s="101"/>
      <c r="Q637" s="101"/>
      <c r="R637" s="101"/>
      <c r="S637" s="101"/>
      <c r="T637" s="101"/>
      <c r="U637" s="101"/>
      <c r="V637" s="101"/>
      <c r="W637" s="91"/>
      <c r="X637" s="89"/>
      <c r="Y637" s="92">
        <f t="shared" si="54"/>
        <v>0</v>
      </c>
      <c r="Z637" s="92">
        <f t="shared" si="55"/>
        <v>0</v>
      </c>
      <c r="AA637" s="92">
        <f t="shared" si="56"/>
        <v>0</v>
      </c>
      <c r="AB637" s="92">
        <f t="shared" si="57"/>
        <v>0</v>
      </c>
      <c r="AC637" s="92"/>
      <c r="AD637" s="92">
        <v>0</v>
      </c>
      <c r="AE637" s="92">
        <f t="shared" si="58"/>
        <v>0</v>
      </c>
      <c r="AF637" s="93">
        <v>0</v>
      </c>
      <c r="AG637" s="89"/>
      <c r="AH637" s="94"/>
      <c r="AI637" s="95" t="s">
        <v>4336</v>
      </c>
      <c r="AJ637" s="96" t="s">
        <v>4337</v>
      </c>
      <c r="AK637" s="97"/>
      <c r="AL637" s="89"/>
      <c r="AM637" s="100" t="s">
        <v>2702</v>
      </c>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114"/>
      <c r="CQ637" s="115"/>
      <c r="CR637" s="114"/>
      <c r="CS637" s="115"/>
      <c r="CT637" s="114"/>
      <c r="CU637" s="115"/>
      <c r="CV637" s="99">
        <f t="shared" si="59"/>
        <v>0</v>
      </c>
      <c r="CW637" s="114"/>
      <c r="CX637" s="115"/>
      <c r="CY637" s="114"/>
      <c r="CZ637" s="115"/>
      <c r="DA637" s="115"/>
      <c r="DB637" s="115"/>
      <c r="DC637" s="114"/>
      <c r="DD637" s="115"/>
      <c r="DE637" s="97"/>
      <c r="DF637" s="269"/>
    </row>
    <row r="638" spans="1:255" s="270" customFormat="1" x14ac:dyDescent="0.2">
      <c r="A638" s="89">
        <v>40652</v>
      </c>
      <c r="B638" s="90" t="s">
        <v>4352</v>
      </c>
      <c r="C638" s="90" t="s">
        <v>4358</v>
      </c>
      <c r="D638" s="90" t="s">
        <v>4264</v>
      </c>
      <c r="E638" s="90" t="str">
        <f>VLOOKUP(B638&amp;C638,Divipola!$C$2:$F$1138,4,FALSE)</f>
        <v>13001</v>
      </c>
      <c r="F638" s="90"/>
      <c r="G638" s="101"/>
      <c r="H638" s="101"/>
      <c r="I638" s="101"/>
      <c r="J638" s="101">
        <f>300*5</f>
        <v>1500</v>
      </c>
      <c r="K638" s="101">
        <v>300</v>
      </c>
      <c r="L638" s="101"/>
      <c r="M638" s="101"/>
      <c r="N638" s="101"/>
      <c r="O638" s="101"/>
      <c r="P638" s="101"/>
      <c r="Q638" s="101"/>
      <c r="R638" s="101"/>
      <c r="S638" s="101"/>
      <c r="T638" s="101"/>
      <c r="U638" s="101"/>
      <c r="V638" s="101"/>
      <c r="W638" s="91"/>
      <c r="X638" s="89"/>
      <c r="Y638" s="92">
        <f t="shared" si="54"/>
        <v>10978500</v>
      </c>
      <c r="Z638" s="92">
        <f t="shared" si="55"/>
        <v>25500000</v>
      </c>
      <c r="AA638" s="92">
        <f t="shared" si="56"/>
        <v>0</v>
      </c>
      <c r="AB638" s="92">
        <f t="shared" si="57"/>
        <v>0</v>
      </c>
      <c r="AC638" s="92"/>
      <c r="AD638" s="92">
        <v>0</v>
      </c>
      <c r="AE638" s="92">
        <f t="shared" si="58"/>
        <v>36478500</v>
      </c>
      <c r="AF638" s="93">
        <v>0</v>
      </c>
      <c r="AG638" s="89"/>
      <c r="AH638" s="94"/>
      <c r="AI638" s="95" t="s">
        <v>4346</v>
      </c>
      <c r="AJ638" s="96" t="s">
        <v>4347</v>
      </c>
      <c r="AK638" s="97"/>
      <c r="AL638" s="89"/>
      <c r="AM638" s="100" t="s">
        <v>224</v>
      </c>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114">
        <v>300</v>
      </c>
      <c r="CQ638" s="115">
        <f>300*36595</f>
        <v>10978500</v>
      </c>
      <c r="CR638" s="114"/>
      <c r="CS638" s="115"/>
      <c r="CT638" s="114"/>
      <c r="CU638" s="115"/>
      <c r="CV638" s="99">
        <f t="shared" si="59"/>
        <v>10978500</v>
      </c>
      <c r="CW638" s="114"/>
      <c r="CX638" s="115"/>
      <c r="CY638" s="114">
        <v>300</v>
      </c>
      <c r="CZ638" s="115">
        <f>300*85000</f>
        <v>25500000</v>
      </c>
      <c r="DA638" s="115"/>
      <c r="DB638" s="115"/>
      <c r="DC638" s="114"/>
      <c r="DD638" s="115"/>
      <c r="DE638" s="97"/>
      <c r="DF638" s="269"/>
    </row>
    <row r="639" spans="1:255" s="270" customFormat="1" ht="24" x14ac:dyDescent="0.2">
      <c r="A639" s="89">
        <v>40652</v>
      </c>
      <c r="B639" s="90" t="s">
        <v>4261</v>
      </c>
      <c r="C639" s="90" t="s">
        <v>4261</v>
      </c>
      <c r="D639" s="90" t="s">
        <v>2362</v>
      </c>
      <c r="E639" s="90" t="str">
        <f>VLOOKUP(B639&amp;C639,Divipola!$C$2:$F$1138,4,FALSE)</f>
        <v>15104</v>
      </c>
      <c r="F639" s="4"/>
      <c r="G639" s="274"/>
      <c r="H639" s="274"/>
      <c r="I639" s="274"/>
      <c r="J639" s="124">
        <v>145</v>
      </c>
      <c r="K639" s="124">
        <v>29</v>
      </c>
      <c r="L639" s="124"/>
      <c r="M639" s="124"/>
      <c r="N639" s="208"/>
      <c r="O639" s="208"/>
      <c r="P639" s="208"/>
      <c r="Q639" s="208"/>
      <c r="R639" s="208"/>
      <c r="S639" s="208"/>
      <c r="T639" s="208"/>
      <c r="U639" s="208"/>
      <c r="V639" s="208"/>
      <c r="W639" s="19"/>
      <c r="X639" s="17"/>
      <c r="Y639" s="5">
        <f t="shared" si="54"/>
        <v>0</v>
      </c>
      <c r="Z639" s="5">
        <f t="shared" si="55"/>
        <v>0</v>
      </c>
      <c r="AA639" s="5">
        <f t="shared" si="56"/>
        <v>0</v>
      </c>
      <c r="AB639" s="5">
        <f t="shared" si="57"/>
        <v>0</v>
      </c>
      <c r="AC639" s="5"/>
      <c r="AD639" s="5">
        <v>0</v>
      </c>
      <c r="AE639" s="5">
        <f t="shared" si="58"/>
        <v>0</v>
      </c>
      <c r="AF639" s="70">
        <v>0</v>
      </c>
      <c r="AG639" s="17"/>
      <c r="AH639" s="18"/>
      <c r="AI639" s="47" t="s">
        <v>4346</v>
      </c>
      <c r="AJ639" s="73" t="s">
        <v>4347</v>
      </c>
      <c r="AK639" s="275"/>
      <c r="AL639" s="89" t="s">
        <v>2798</v>
      </c>
      <c r="AM639" s="100" t="s">
        <v>4442</v>
      </c>
      <c r="AN639" s="19"/>
      <c r="AO639" s="19"/>
      <c r="AP639" s="19"/>
      <c r="AQ639" s="19"/>
      <c r="AR639" s="19"/>
      <c r="AS639" s="19"/>
      <c r="AT639" s="19"/>
      <c r="AU639" s="19"/>
      <c r="AV639" s="19"/>
      <c r="AW639" s="19"/>
      <c r="AX639" s="107"/>
      <c r="AY639" s="107"/>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39"/>
      <c r="CO639" s="138"/>
      <c r="CP639" s="139"/>
      <c r="CQ639" s="138"/>
      <c r="CR639" s="139"/>
      <c r="CS639" s="138"/>
      <c r="CT639" s="72"/>
      <c r="CU639" s="139"/>
      <c r="CV639" s="99">
        <f t="shared" si="59"/>
        <v>0</v>
      </c>
      <c r="CW639" s="139"/>
      <c r="CX639" s="138"/>
      <c r="CY639" s="138"/>
      <c r="CZ639" s="138"/>
      <c r="DA639" s="139"/>
      <c r="DB639" s="138"/>
      <c r="DC639" s="45"/>
      <c r="DD639" s="138"/>
      <c r="DE639" s="45"/>
      <c r="DF639" s="269"/>
    </row>
    <row r="640" spans="1:255" s="270" customFormat="1" ht="24" x14ac:dyDescent="0.2">
      <c r="A640" s="89">
        <v>40652</v>
      </c>
      <c r="B640" s="90" t="s">
        <v>4261</v>
      </c>
      <c r="C640" s="90" t="s">
        <v>71</v>
      </c>
      <c r="D640" s="90" t="s">
        <v>2362</v>
      </c>
      <c r="E640" s="90" t="str">
        <f>VLOOKUP(B640&amp;C640,Divipola!$C$2:$F$1138,4,FALSE)</f>
        <v>15212</v>
      </c>
      <c r="F640" s="4"/>
      <c r="G640" s="274"/>
      <c r="H640" s="274"/>
      <c r="I640" s="274"/>
      <c r="J640" s="124">
        <v>500</v>
      </c>
      <c r="K640" s="124">
        <v>100</v>
      </c>
      <c r="L640" s="124"/>
      <c r="M640" s="124"/>
      <c r="N640" s="208"/>
      <c r="O640" s="208"/>
      <c r="P640" s="208"/>
      <c r="Q640" s="208"/>
      <c r="R640" s="208"/>
      <c r="S640" s="208"/>
      <c r="T640" s="208"/>
      <c r="U640" s="208"/>
      <c r="V640" s="208"/>
      <c r="W640" s="19"/>
      <c r="X640" s="17"/>
      <c r="Y640" s="5">
        <f t="shared" si="54"/>
        <v>0</v>
      </c>
      <c r="Z640" s="5">
        <f t="shared" si="55"/>
        <v>0</v>
      </c>
      <c r="AA640" s="5">
        <f t="shared" si="56"/>
        <v>0</v>
      </c>
      <c r="AB640" s="5">
        <f t="shared" si="57"/>
        <v>0</v>
      </c>
      <c r="AC640" s="5"/>
      <c r="AD640" s="5">
        <v>0</v>
      </c>
      <c r="AE640" s="5">
        <f t="shared" si="58"/>
        <v>0</v>
      </c>
      <c r="AF640" s="70">
        <v>0</v>
      </c>
      <c r="AG640" s="17"/>
      <c r="AH640" s="18"/>
      <c r="AI640" s="47" t="s">
        <v>4346</v>
      </c>
      <c r="AJ640" s="73" t="s">
        <v>4347</v>
      </c>
      <c r="AK640" s="275"/>
      <c r="AL640" s="89" t="s">
        <v>2798</v>
      </c>
      <c r="AM640" s="100" t="s">
        <v>4439</v>
      </c>
      <c r="AN640" s="19"/>
      <c r="AO640" s="19"/>
      <c r="AP640" s="19"/>
      <c r="AQ640" s="19"/>
      <c r="AR640" s="19"/>
      <c r="AS640" s="19"/>
      <c r="AT640" s="19"/>
      <c r="AU640" s="19"/>
      <c r="AV640" s="19"/>
      <c r="AW640" s="19"/>
      <c r="AX640" s="107"/>
      <c r="AY640" s="107"/>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39"/>
      <c r="CO640" s="138"/>
      <c r="CP640" s="139"/>
      <c r="CQ640" s="138"/>
      <c r="CR640" s="139"/>
      <c r="CS640" s="138"/>
      <c r="CT640" s="72"/>
      <c r="CU640" s="139"/>
      <c r="CV640" s="99">
        <f t="shared" si="59"/>
        <v>0</v>
      </c>
      <c r="CW640" s="139"/>
      <c r="CX640" s="138"/>
      <c r="CY640" s="138"/>
      <c r="CZ640" s="138"/>
      <c r="DA640" s="139"/>
      <c r="DB640" s="138"/>
      <c r="DC640" s="45"/>
      <c r="DD640" s="138"/>
      <c r="DE640" s="45"/>
      <c r="DF640" s="269"/>
    </row>
    <row r="641" spans="1:110" s="270" customFormat="1" ht="24" x14ac:dyDescent="0.2">
      <c r="A641" s="89">
        <v>40652</v>
      </c>
      <c r="B641" s="90" t="s">
        <v>4261</v>
      </c>
      <c r="C641" s="90" t="s">
        <v>2863</v>
      </c>
      <c r="D641" s="90" t="s">
        <v>4264</v>
      </c>
      <c r="E641" s="90" t="str">
        <f>VLOOKUP(B641&amp;C641,Divipola!$C$2:$F$1138,4,FALSE)</f>
        <v>15238</v>
      </c>
      <c r="F641" s="4"/>
      <c r="G641" s="274"/>
      <c r="H641" s="274"/>
      <c r="I641" s="274"/>
      <c r="J641" s="124">
        <v>50</v>
      </c>
      <c r="K641" s="124">
        <v>10</v>
      </c>
      <c r="L641" s="124"/>
      <c r="M641" s="124">
        <v>10</v>
      </c>
      <c r="N641" s="208"/>
      <c r="O641" s="208"/>
      <c r="P641" s="208"/>
      <c r="Q641" s="208"/>
      <c r="R641" s="208"/>
      <c r="S641" s="208"/>
      <c r="T641" s="208"/>
      <c r="U641" s="208"/>
      <c r="V641" s="208"/>
      <c r="W641" s="19"/>
      <c r="X641" s="17"/>
      <c r="Y641" s="5">
        <f t="shared" si="54"/>
        <v>0</v>
      </c>
      <c r="Z641" s="5">
        <f t="shared" si="55"/>
        <v>0</v>
      </c>
      <c r="AA641" s="5">
        <f t="shared" si="56"/>
        <v>0</v>
      </c>
      <c r="AB641" s="5">
        <f t="shared" si="57"/>
        <v>0</v>
      </c>
      <c r="AC641" s="5"/>
      <c r="AD641" s="5">
        <v>0</v>
      </c>
      <c r="AE641" s="5">
        <f t="shared" si="58"/>
        <v>0</v>
      </c>
      <c r="AF641" s="70">
        <v>0</v>
      </c>
      <c r="AG641" s="17"/>
      <c r="AH641" s="18"/>
      <c r="AI641" s="47" t="s">
        <v>4346</v>
      </c>
      <c r="AJ641" s="73" t="s">
        <v>4347</v>
      </c>
      <c r="AK641" s="275"/>
      <c r="AL641" s="89" t="s">
        <v>2798</v>
      </c>
      <c r="AM641" s="100" t="s">
        <v>4440</v>
      </c>
      <c r="AN641" s="19"/>
      <c r="AO641" s="19"/>
      <c r="AP641" s="19"/>
      <c r="AQ641" s="19"/>
      <c r="AR641" s="19"/>
      <c r="AS641" s="19"/>
      <c r="AT641" s="19"/>
      <c r="AU641" s="19"/>
      <c r="AV641" s="19"/>
      <c r="AW641" s="19"/>
      <c r="AX641" s="107"/>
      <c r="AY641" s="107"/>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39"/>
      <c r="CO641" s="138"/>
      <c r="CP641" s="139"/>
      <c r="CQ641" s="138"/>
      <c r="CR641" s="139"/>
      <c r="CS641" s="138"/>
      <c r="CT641" s="72"/>
      <c r="CU641" s="139"/>
      <c r="CV641" s="99">
        <f t="shared" si="59"/>
        <v>0</v>
      </c>
      <c r="CW641" s="139"/>
      <c r="CX641" s="138"/>
      <c r="CY641" s="138"/>
      <c r="CZ641" s="138"/>
      <c r="DA641" s="139"/>
      <c r="DB641" s="138"/>
      <c r="DC641" s="45"/>
      <c r="DD641" s="138"/>
      <c r="DE641" s="45"/>
      <c r="DF641" s="269"/>
    </row>
    <row r="642" spans="1:110" s="270" customFormat="1" ht="24" x14ac:dyDescent="0.2">
      <c r="A642" s="89">
        <v>40652</v>
      </c>
      <c r="B642" s="90" t="s">
        <v>4261</v>
      </c>
      <c r="C642" s="90" t="s">
        <v>1340</v>
      </c>
      <c r="D642" s="90" t="s">
        <v>4264</v>
      </c>
      <c r="E642" s="90" t="str">
        <f>VLOOKUP(B642&amp;C642,Divipola!$C$2:$F$1138,4,FALSE)</f>
        <v>15806</v>
      </c>
      <c r="F642" s="4"/>
      <c r="G642" s="274"/>
      <c r="H642" s="274"/>
      <c r="I642" s="274"/>
      <c r="J642" s="124">
        <v>450</v>
      </c>
      <c r="K642" s="124">
        <v>90</v>
      </c>
      <c r="L642" s="124"/>
      <c r="M642" s="124">
        <v>7</v>
      </c>
      <c r="N642" s="208"/>
      <c r="O642" s="208"/>
      <c r="P642" s="208"/>
      <c r="Q642" s="208"/>
      <c r="R642" s="208"/>
      <c r="S642" s="208"/>
      <c r="T642" s="208"/>
      <c r="U642" s="208"/>
      <c r="V642" s="208"/>
      <c r="W642" s="19"/>
      <c r="X642" s="17"/>
      <c r="Y642" s="5">
        <f t="shared" si="54"/>
        <v>0</v>
      </c>
      <c r="Z642" s="5">
        <f t="shared" si="55"/>
        <v>0</v>
      </c>
      <c r="AA642" s="5">
        <f t="shared" si="56"/>
        <v>0</v>
      </c>
      <c r="AB642" s="5">
        <f t="shared" si="57"/>
        <v>0</v>
      </c>
      <c r="AC642" s="5"/>
      <c r="AD642" s="5">
        <v>0</v>
      </c>
      <c r="AE642" s="5">
        <f t="shared" si="58"/>
        <v>0</v>
      </c>
      <c r="AF642" s="70">
        <v>0</v>
      </c>
      <c r="AG642" s="17"/>
      <c r="AH642" s="18"/>
      <c r="AI642" s="47" t="s">
        <v>4346</v>
      </c>
      <c r="AJ642" s="73" t="s">
        <v>4347</v>
      </c>
      <c r="AK642" s="275"/>
      <c r="AL642" s="89" t="s">
        <v>2798</v>
      </c>
      <c r="AM642" s="100" t="s">
        <v>4441</v>
      </c>
      <c r="AN642" s="19"/>
      <c r="AO642" s="19"/>
      <c r="AP642" s="19"/>
      <c r="AQ642" s="19"/>
      <c r="AR642" s="19"/>
      <c r="AS642" s="19"/>
      <c r="AT642" s="19"/>
      <c r="AU642" s="19"/>
      <c r="AV642" s="19"/>
      <c r="AW642" s="19"/>
      <c r="AX642" s="107"/>
      <c r="AY642" s="107"/>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39"/>
      <c r="CO642" s="138"/>
      <c r="CP642" s="139"/>
      <c r="CQ642" s="138"/>
      <c r="CR642" s="139"/>
      <c r="CS642" s="138"/>
      <c r="CT642" s="72"/>
      <c r="CU642" s="139"/>
      <c r="CV642" s="99">
        <f t="shared" si="59"/>
        <v>0</v>
      </c>
      <c r="CW642" s="139"/>
      <c r="CX642" s="138"/>
      <c r="CY642" s="138"/>
      <c r="CZ642" s="138"/>
      <c r="DA642" s="139"/>
      <c r="DB642" s="138"/>
      <c r="DC642" s="45"/>
      <c r="DD642" s="138"/>
      <c r="DE642" s="45"/>
      <c r="DF642" s="269"/>
    </row>
    <row r="643" spans="1:110" s="270" customFormat="1" ht="132" x14ac:dyDescent="0.2">
      <c r="A643" s="89">
        <v>40652</v>
      </c>
      <c r="B643" s="90" t="s">
        <v>4261</v>
      </c>
      <c r="C643" s="90" t="s">
        <v>4230</v>
      </c>
      <c r="D643" s="90" t="s">
        <v>4264</v>
      </c>
      <c r="E643" s="90" t="str">
        <f>VLOOKUP(B643&amp;C643,Divipola!$C$2:$F$1138,4,FALSE)</f>
        <v>15001</v>
      </c>
      <c r="F643" s="90"/>
      <c r="G643" s="101"/>
      <c r="H643" s="101"/>
      <c r="I643" s="101"/>
      <c r="J643" s="101">
        <v>2028</v>
      </c>
      <c r="K643" s="101">
        <v>563</v>
      </c>
      <c r="L643" s="101"/>
      <c r="M643" s="101">
        <v>563</v>
      </c>
      <c r="N643" s="101">
        <v>11</v>
      </c>
      <c r="O643" s="101"/>
      <c r="P643" s="101"/>
      <c r="Q643" s="101"/>
      <c r="R643" s="101"/>
      <c r="S643" s="101">
        <v>2</v>
      </c>
      <c r="T643" s="101">
        <v>3</v>
      </c>
      <c r="U643" s="101"/>
      <c r="V643" s="101"/>
      <c r="W643" s="91"/>
      <c r="X643" s="89"/>
      <c r="Y643" s="92">
        <f t="shared" ref="Y643:Y706" si="60">CV643</f>
        <v>0</v>
      </c>
      <c r="Z643" s="92">
        <f t="shared" ref="Z643:Z706" si="61">CZ643</f>
        <v>0</v>
      </c>
      <c r="AA643" s="92">
        <f t="shared" ref="AA643:AA706" si="62">DB643+DD643</f>
        <v>0</v>
      </c>
      <c r="AB643" s="92">
        <f t="shared" ref="AB643:AB706" si="63">CX643</f>
        <v>0</v>
      </c>
      <c r="AC643" s="92"/>
      <c r="AD643" s="92">
        <v>0</v>
      </c>
      <c r="AE643" s="92">
        <f t="shared" ref="AE643:AE706" si="64">Y643+Z643+AA643+AB643+AC643+AD643</f>
        <v>0</v>
      </c>
      <c r="AF643" s="93">
        <v>0</v>
      </c>
      <c r="AG643" s="89"/>
      <c r="AH643" s="94"/>
      <c r="AI643" s="102" t="s">
        <v>4346</v>
      </c>
      <c r="AJ643" s="96" t="s">
        <v>4347</v>
      </c>
      <c r="AK643" s="97"/>
      <c r="AL643" s="89" t="s">
        <v>1049</v>
      </c>
      <c r="AM643" s="100" t="s">
        <v>2698</v>
      </c>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114"/>
      <c r="CQ643" s="115"/>
      <c r="CR643" s="114"/>
      <c r="CS643" s="115"/>
      <c r="CT643" s="114"/>
      <c r="CU643" s="115"/>
      <c r="CV643" s="99">
        <f t="shared" ref="CV643:CV706" si="65">AO643+AQ643+AS643+AU643+AW643+AY643+BA643+BC643+BE643+BG643+BI643+BK643+BM643+BO643+BQ643+BS643+BU643+BW643+BY643+CA643+CC643+CE643+CG643+CI643+CK643+CM643+CO643+CQ643+CS643+CU643</f>
        <v>0</v>
      </c>
      <c r="CW643" s="114"/>
      <c r="CX643" s="115"/>
      <c r="CY643" s="114"/>
      <c r="CZ643" s="115"/>
      <c r="DA643" s="115"/>
      <c r="DB643" s="115"/>
      <c r="DC643" s="114"/>
      <c r="DD643" s="115"/>
      <c r="DE643" s="97"/>
      <c r="DF643" s="269"/>
    </row>
    <row r="644" spans="1:110" s="270" customFormat="1" ht="36" x14ac:dyDescent="0.2">
      <c r="A644" s="89">
        <v>40652</v>
      </c>
      <c r="B644" s="90" t="s">
        <v>4296</v>
      </c>
      <c r="C644" s="90" t="s">
        <v>804</v>
      </c>
      <c r="D644" s="90" t="s">
        <v>4264</v>
      </c>
      <c r="E644" s="90" t="str">
        <f>VLOOKUP(B644&amp;C644,Divipola!$C$2:$F$1138,4,FALSE)</f>
        <v>19110</v>
      </c>
      <c r="F644" s="90"/>
      <c r="G644" s="101"/>
      <c r="H644" s="101"/>
      <c r="I644" s="101"/>
      <c r="J644" s="101">
        <v>100</v>
      </c>
      <c r="K644" s="101">
        <v>20</v>
      </c>
      <c r="L644" s="101"/>
      <c r="M644" s="101">
        <v>20</v>
      </c>
      <c r="N644" s="101"/>
      <c r="O644" s="101"/>
      <c r="P644" s="101"/>
      <c r="Q644" s="101"/>
      <c r="R644" s="101"/>
      <c r="S644" s="101"/>
      <c r="T644" s="101"/>
      <c r="U644" s="101"/>
      <c r="V644" s="101"/>
      <c r="W644" s="91"/>
      <c r="X644" s="89"/>
      <c r="Y644" s="92">
        <f t="shared" si="60"/>
        <v>0</v>
      </c>
      <c r="Z644" s="92">
        <f t="shared" si="61"/>
        <v>0</v>
      </c>
      <c r="AA644" s="92">
        <f t="shared" si="62"/>
        <v>0</v>
      </c>
      <c r="AB644" s="92">
        <f t="shared" si="63"/>
        <v>0</v>
      </c>
      <c r="AC644" s="92"/>
      <c r="AD644" s="92">
        <v>0</v>
      </c>
      <c r="AE644" s="92">
        <f t="shared" si="64"/>
        <v>0</v>
      </c>
      <c r="AF644" s="93">
        <v>0</v>
      </c>
      <c r="AG644" s="89"/>
      <c r="AH644" s="94"/>
      <c r="AI644" s="95" t="s">
        <v>4336</v>
      </c>
      <c r="AJ644" s="96" t="s">
        <v>4337</v>
      </c>
      <c r="AK644" s="97"/>
      <c r="AL644" s="89"/>
      <c r="AM644" s="100" t="s">
        <v>2703</v>
      </c>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114"/>
      <c r="CQ644" s="115"/>
      <c r="CR644" s="114"/>
      <c r="CS644" s="115"/>
      <c r="CT644" s="114"/>
      <c r="CU644" s="115"/>
      <c r="CV644" s="99">
        <f t="shared" si="65"/>
        <v>0</v>
      </c>
      <c r="CW644" s="114"/>
      <c r="CX644" s="115"/>
      <c r="CY644" s="114"/>
      <c r="CZ644" s="115"/>
      <c r="DA644" s="115"/>
      <c r="DB644" s="115"/>
      <c r="DC644" s="114"/>
      <c r="DD644" s="115"/>
      <c r="DE644" s="97"/>
      <c r="DF644" s="269"/>
    </row>
    <row r="645" spans="1:110" s="270" customFormat="1" ht="60" x14ac:dyDescent="0.2">
      <c r="A645" s="89">
        <v>40652</v>
      </c>
      <c r="B645" s="90" t="s">
        <v>4296</v>
      </c>
      <c r="C645" s="90" t="s">
        <v>3374</v>
      </c>
      <c r="D645" s="90" t="s">
        <v>4264</v>
      </c>
      <c r="E645" s="90" t="str">
        <f>VLOOKUP(B645&amp;C645,Divipola!$C$2:$F$1138,4,FALSE)</f>
        <v>19845</v>
      </c>
      <c r="F645" s="90"/>
      <c r="G645" s="101"/>
      <c r="H645" s="101"/>
      <c r="I645" s="101"/>
      <c r="J645" s="101">
        <v>400</v>
      </c>
      <c r="K645" s="101">
        <v>80</v>
      </c>
      <c r="L645" s="101"/>
      <c r="M645" s="101">
        <v>80</v>
      </c>
      <c r="N645" s="101"/>
      <c r="O645" s="101"/>
      <c r="P645" s="101"/>
      <c r="Q645" s="101"/>
      <c r="R645" s="101"/>
      <c r="S645" s="101"/>
      <c r="T645" s="101"/>
      <c r="U645" s="101"/>
      <c r="V645" s="101"/>
      <c r="W645" s="91"/>
      <c r="X645" s="89"/>
      <c r="Y645" s="92">
        <f t="shared" si="60"/>
        <v>0</v>
      </c>
      <c r="Z645" s="92">
        <f t="shared" si="61"/>
        <v>0</v>
      </c>
      <c r="AA645" s="92">
        <f t="shared" si="62"/>
        <v>0</v>
      </c>
      <c r="AB645" s="92">
        <f t="shared" si="63"/>
        <v>0</v>
      </c>
      <c r="AC645" s="92"/>
      <c r="AD645" s="92">
        <v>30000000</v>
      </c>
      <c r="AE645" s="92">
        <f t="shared" si="64"/>
        <v>30000000</v>
      </c>
      <c r="AF645" s="93">
        <v>0</v>
      </c>
      <c r="AG645" s="89"/>
      <c r="AH645" s="94"/>
      <c r="AI645" s="102" t="s">
        <v>4346</v>
      </c>
      <c r="AJ645" s="96" t="s">
        <v>4347</v>
      </c>
      <c r="AK645" s="97"/>
      <c r="AL645" s="89"/>
      <c r="AM645" s="100" t="s">
        <v>813</v>
      </c>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114"/>
      <c r="CQ645" s="115"/>
      <c r="CR645" s="114"/>
      <c r="CS645" s="115"/>
      <c r="CT645" s="114"/>
      <c r="CU645" s="115"/>
      <c r="CV645" s="99">
        <f t="shared" si="65"/>
        <v>0</v>
      </c>
      <c r="CW645" s="114"/>
      <c r="CX645" s="115"/>
      <c r="CY645" s="114"/>
      <c r="CZ645" s="115"/>
      <c r="DA645" s="115"/>
      <c r="DB645" s="115"/>
      <c r="DC645" s="114"/>
      <c r="DD645" s="115"/>
      <c r="DE645" s="97"/>
      <c r="DF645" s="269"/>
    </row>
    <row r="646" spans="1:110" s="270" customFormat="1" ht="60" x14ac:dyDescent="0.2">
      <c r="A646" s="89">
        <v>40652</v>
      </c>
      <c r="B646" s="90" t="s">
        <v>4344</v>
      </c>
      <c r="C646" s="90" t="s">
        <v>3526</v>
      </c>
      <c r="D646" s="90" t="s">
        <v>4264</v>
      </c>
      <c r="E646" s="90" t="str">
        <f>VLOOKUP(B646&amp;C646,Divipola!$C$2:$F$1138,4,FALSE)</f>
        <v>25148</v>
      </c>
      <c r="F646" s="90"/>
      <c r="G646" s="302"/>
      <c r="H646" s="302"/>
      <c r="I646" s="302"/>
      <c r="J646" s="101">
        <v>968</v>
      </c>
      <c r="K646" s="101">
        <v>311</v>
      </c>
      <c r="L646" s="101">
        <v>3</v>
      </c>
      <c r="M646" s="101">
        <v>195</v>
      </c>
      <c r="N646" s="101"/>
      <c r="O646" s="101"/>
      <c r="P646" s="101">
        <v>1</v>
      </c>
      <c r="Q646" s="101"/>
      <c r="R646" s="101"/>
      <c r="S646" s="101"/>
      <c r="T646" s="101"/>
      <c r="U646" s="101"/>
      <c r="V646" s="101"/>
      <c r="W646" s="91"/>
      <c r="X646" s="89"/>
      <c r="Y646" s="92">
        <f t="shared" si="60"/>
        <v>38350000</v>
      </c>
      <c r="Z646" s="92">
        <f t="shared" si="61"/>
        <v>42500000</v>
      </c>
      <c r="AA646" s="92">
        <f t="shared" si="62"/>
        <v>0</v>
      </c>
      <c r="AB646" s="92">
        <f t="shared" si="63"/>
        <v>0</v>
      </c>
      <c r="AC646" s="92"/>
      <c r="AD646" s="92">
        <v>0</v>
      </c>
      <c r="AE646" s="92">
        <f t="shared" si="64"/>
        <v>80850000</v>
      </c>
      <c r="AF646" s="93">
        <v>0</v>
      </c>
      <c r="AG646" s="89"/>
      <c r="AH646" s="94"/>
      <c r="AI646" s="102" t="s">
        <v>4346</v>
      </c>
      <c r="AJ646" s="96" t="s">
        <v>4347</v>
      </c>
      <c r="AK646" s="285"/>
      <c r="AL646" s="303"/>
      <c r="AM646" s="100" t="s">
        <v>2389</v>
      </c>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114">
        <v>500</v>
      </c>
      <c r="CQ646" s="115">
        <f>500*37000</f>
        <v>18500000</v>
      </c>
      <c r="CR646" s="114">
        <v>500</v>
      </c>
      <c r="CS646" s="115">
        <f>500*39700</f>
        <v>19850000</v>
      </c>
      <c r="CT646" s="114"/>
      <c r="CU646" s="115"/>
      <c r="CV646" s="99">
        <f t="shared" si="65"/>
        <v>38350000</v>
      </c>
      <c r="CW646" s="114"/>
      <c r="CX646" s="115"/>
      <c r="CY646" s="114">
        <v>500</v>
      </c>
      <c r="CZ646" s="115">
        <f>500*85000</f>
        <v>42500000</v>
      </c>
      <c r="DA646" s="115"/>
      <c r="DB646" s="115"/>
      <c r="DC646" s="114"/>
      <c r="DD646" s="115"/>
      <c r="DE646" s="97"/>
      <c r="DF646" s="269"/>
    </row>
    <row r="647" spans="1:110" s="270" customFormat="1" ht="96" x14ac:dyDescent="0.2">
      <c r="A647" s="89">
        <v>40652</v>
      </c>
      <c r="B647" s="90" t="s">
        <v>4344</v>
      </c>
      <c r="C647" s="90" t="s">
        <v>3450</v>
      </c>
      <c r="D647" s="90" t="s">
        <v>4264</v>
      </c>
      <c r="E647" s="90" t="str">
        <f>VLOOKUP(B647&amp;C647,Divipola!$C$2:$F$1138,4,FALSE)</f>
        <v>25175</v>
      </c>
      <c r="F647" s="90"/>
      <c r="G647" s="101"/>
      <c r="H647" s="101"/>
      <c r="I647" s="101"/>
      <c r="J647" s="101">
        <v>4104</v>
      </c>
      <c r="K647" s="101">
        <v>1411</v>
      </c>
      <c r="L647" s="101"/>
      <c r="M647" s="101">
        <v>1411</v>
      </c>
      <c r="N647" s="101"/>
      <c r="O647" s="101"/>
      <c r="P647" s="101"/>
      <c r="Q647" s="101"/>
      <c r="R647" s="101"/>
      <c r="S647" s="101"/>
      <c r="T647" s="101"/>
      <c r="U647" s="101"/>
      <c r="V647" s="101"/>
      <c r="W647" s="91"/>
      <c r="X647" s="89"/>
      <c r="Y647" s="92">
        <f t="shared" si="60"/>
        <v>0</v>
      </c>
      <c r="Z647" s="92">
        <f t="shared" si="61"/>
        <v>0</v>
      </c>
      <c r="AA647" s="92">
        <f t="shared" si="62"/>
        <v>0</v>
      </c>
      <c r="AB647" s="92">
        <f t="shared" si="63"/>
        <v>0</v>
      </c>
      <c r="AC647" s="92"/>
      <c r="AD647" s="92">
        <v>0</v>
      </c>
      <c r="AE647" s="92">
        <f t="shared" si="64"/>
        <v>0</v>
      </c>
      <c r="AF647" s="93">
        <v>0</v>
      </c>
      <c r="AG647" s="89"/>
      <c r="AH647" s="94"/>
      <c r="AI647" s="102" t="s">
        <v>4336</v>
      </c>
      <c r="AJ647" s="96" t="s">
        <v>4337</v>
      </c>
      <c r="AK647" s="97"/>
      <c r="AL647" s="89"/>
      <c r="AM647" s="100" t="s">
        <v>2700</v>
      </c>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114"/>
      <c r="CQ647" s="115"/>
      <c r="CR647" s="114"/>
      <c r="CS647" s="115"/>
      <c r="CT647" s="114"/>
      <c r="CU647" s="115"/>
      <c r="CV647" s="99">
        <f t="shared" si="65"/>
        <v>0</v>
      </c>
      <c r="CW647" s="114"/>
      <c r="CX647" s="115"/>
      <c r="CY647" s="114"/>
      <c r="CZ647" s="115"/>
      <c r="DA647" s="115"/>
      <c r="DB647" s="115"/>
      <c r="DC647" s="114"/>
      <c r="DD647" s="115"/>
      <c r="DE647" s="97"/>
      <c r="DF647" s="269"/>
    </row>
    <row r="648" spans="1:110" s="270" customFormat="1" ht="36" x14ac:dyDescent="0.2">
      <c r="A648" s="89">
        <v>40652</v>
      </c>
      <c r="B648" s="90" t="s">
        <v>4344</v>
      </c>
      <c r="C648" s="90" t="s">
        <v>2208</v>
      </c>
      <c r="D648" s="90" t="s">
        <v>2362</v>
      </c>
      <c r="E648" s="90" t="str">
        <f>VLOOKUP(B648&amp;C648,Divipola!$C$2:$F$1138,4,FALSE)</f>
        <v>25200</v>
      </c>
      <c r="F648" s="90"/>
      <c r="G648" s="302"/>
      <c r="H648" s="302"/>
      <c r="I648" s="302"/>
      <c r="J648" s="101">
        <v>45</v>
      </c>
      <c r="K648" s="101">
        <v>7</v>
      </c>
      <c r="L648" s="101"/>
      <c r="M648" s="101">
        <v>7</v>
      </c>
      <c r="N648" s="101"/>
      <c r="O648" s="101"/>
      <c r="P648" s="101"/>
      <c r="Q648" s="101"/>
      <c r="R648" s="101"/>
      <c r="S648" s="101"/>
      <c r="T648" s="101"/>
      <c r="U648" s="101"/>
      <c r="V648" s="101"/>
      <c r="W648" s="91"/>
      <c r="X648" s="89"/>
      <c r="Y648" s="92">
        <f t="shared" si="60"/>
        <v>0</v>
      </c>
      <c r="Z648" s="92">
        <f t="shared" si="61"/>
        <v>0</v>
      </c>
      <c r="AA648" s="92">
        <f t="shared" si="62"/>
        <v>0</v>
      </c>
      <c r="AB648" s="92">
        <f t="shared" si="63"/>
        <v>0</v>
      </c>
      <c r="AC648" s="92"/>
      <c r="AD648" s="92">
        <v>0</v>
      </c>
      <c r="AE648" s="92">
        <f t="shared" si="64"/>
        <v>0</v>
      </c>
      <c r="AF648" s="93">
        <v>0</v>
      </c>
      <c r="AG648" s="89"/>
      <c r="AH648" s="94"/>
      <c r="AI648" s="102" t="s">
        <v>4336</v>
      </c>
      <c r="AJ648" s="96" t="s">
        <v>4337</v>
      </c>
      <c r="AK648" s="285"/>
      <c r="AL648" s="303"/>
      <c r="AM648" s="100" t="s">
        <v>2697</v>
      </c>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114"/>
      <c r="CQ648" s="115"/>
      <c r="CR648" s="114"/>
      <c r="CS648" s="115"/>
      <c r="CT648" s="114"/>
      <c r="CU648" s="115"/>
      <c r="CV648" s="99">
        <f t="shared" si="65"/>
        <v>0</v>
      </c>
      <c r="CW648" s="114"/>
      <c r="CX648" s="115"/>
      <c r="CY648" s="114"/>
      <c r="CZ648" s="115"/>
      <c r="DA648" s="115"/>
      <c r="DB648" s="115"/>
      <c r="DC648" s="114"/>
      <c r="DD648" s="115"/>
      <c r="DE648" s="97"/>
      <c r="DF648" s="269"/>
    </row>
    <row r="649" spans="1:110" s="270" customFormat="1" x14ac:dyDescent="0.2">
      <c r="A649" s="89">
        <v>40652</v>
      </c>
      <c r="B649" s="90" t="s">
        <v>4344</v>
      </c>
      <c r="C649" s="90" t="s">
        <v>3501</v>
      </c>
      <c r="D649" s="90" t="s">
        <v>2362</v>
      </c>
      <c r="E649" s="90" t="str">
        <f>VLOOKUP(B649&amp;C649,Divipola!$C$2:$F$1138,4,FALSE)</f>
        <v>25377</v>
      </c>
      <c r="F649" s="90"/>
      <c r="G649" s="302"/>
      <c r="H649" s="302"/>
      <c r="I649" s="302"/>
      <c r="J649" s="101">
        <v>5</v>
      </c>
      <c r="K649" s="101">
        <v>1</v>
      </c>
      <c r="L649" s="101"/>
      <c r="M649" s="101">
        <v>1</v>
      </c>
      <c r="N649" s="101"/>
      <c r="O649" s="101"/>
      <c r="P649" s="101"/>
      <c r="Q649" s="101"/>
      <c r="R649" s="101"/>
      <c r="S649" s="101"/>
      <c r="T649" s="101"/>
      <c r="U649" s="101"/>
      <c r="V649" s="101"/>
      <c r="W649" s="91"/>
      <c r="X649" s="89"/>
      <c r="Y649" s="92">
        <f t="shared" si="60"/>
        <v>0</v>
      </c>
      <c r="Z649" s="92">
        <f t="shared" si="61"/>
        <v>0</v>
      </c>
      <c r="AA649" s="92">
        <f t="shared" si="62"/>
        <v>0</v>
      </c>
      <c r="AB649" s="92">
        <f t="shared" si="63"/>
        <v>0</v>
      </c>
      <c r="AC649" s="92"/>
      <c r="AD649" s="92">
        <v>0</v>
      </c>
      <c r="AE649" s="92">
        <f t="shared" si="64"/>
        <v>0</v>
      </c>
      <c r="AF649" s="93">
        <v>0</v>
      </c>
      <c r="AG649" s="89"/>
      <c r="AH649" s="94"/>
      <c r="AI649" s="102" t="s">
        <v>4336</v>
      </c>
      <c r="AJ649" s="96" t="s">
        <v>4337</v>
      </c>
      <c r="AK649" s="285"/>
      <c r="AL649" s="303"/>
      <c r="AM649" s="100" t="s">
        <v>4409</v>
      </c>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114"/>
      <c r="CQ649" s="115"/>
      <c r="CR649" s="114"/>
      <c r="CS649" s="115"/>
      <c r="CT649" s="114"/>
      <c r="CU649" s="115"/>
      <c r="CV649" s="99">
        <f t="shared" si="65"/>
        <v>0</v>
      </c>
      <c r="CW649" s="114"/>
      <c r="CX649" s="115"/>
      <c r="CY649" s="114"/>
      <c r="CZ649" s="115"/>
      <c r="DA649" s="115"/>
      <c r="DB649" s="115"/>
      <c r="DC649" s="114"/>
      <c r="DD649" s="115"/>
      <c r="DE649" s="97"/>
      <c r="DF649" s="269"/>
    </row>
    <row r="650" spans="1:110" s="270" customFormat="1" ht="48" x14ac:dyDescent="0.2">
      <c r="A650" s="89">
        <v>40652</v>
      </c>
      <c r="B650" s="90" t="s">
        <v>4344</v>
      </c>
      <c r="C650" s="90" t="s">
        <v>3501</v>
      </c>
      <c r="D650" s="90" t="s">
        <v>4264</v>
      </c>
      <c r="E650" s="90" t="str">
        <f>VLOOKUP(B650&amp;C650,Divipola!$C$2:$F$1138,4,FALSE)</f>
        <v>25377</v>
      </c>
      <c r="F650" s="90"/>
      <c r="G650" s="101"/>
      <c r="H650" s="101"/>
      <c r="I650" s="101"/>
      <c r="J650" s="101">
        <v>150</v>
      </c>
      <c r="K650" s="101">
        <v>36</v>
      </c>
      <c r="L650" s="101"/>
      <c r="M650" s="101">
        <v>36</v>
      </c>
      <c r="N650" s="101"/>
      <c r="O650" s="101"/>
      <c r="P650" s="101"/>
      <c r="Q650" s="101"/>
      <c r="R650" s="101"/>
      <c r="S650" s="101"/>
      <c r="T650" s="101"/>
      <c r="U650" s="101"/>
      <c r="V650" s="101"/>
      <c r="W650" s="91"/>
      <c r="X650" s="89"/>
      <c r="Y650" s="92">
        <f t="shared" si="60"/>
        <v>0</v>
      </c>
      <c r="Z650" s="92">
        <f t="shared" si="61"/>
        <v>0</v>
      </c>
      <c r="AA650" s="92">
        <f t="shared" si="62"/>
        <v>0</v>
      </c>
      <c r="AB650" s="92">
        <f t="shared" si="63"/>
        <v>0</v>
      </c>
      <c r="AC650" s="92"/>
      <c r="AD650" s="92">
        <v>0</v>
      </c>
      <c r="AE650" s="92">
        <f t="shared" si="64"/>
        <v>0</v>
      </c>
      <c r="AF650" s="93">
        <v>0</v>
      </c>
      <c r="AG650" s="89"/>
      <c r="AH650" s="94"/>
      <c r="AI650" s="102" t="s">
        <v>4336</v>
      </c>
      <c r="AJ650" s="96" t="s">
        <v>4337</v>
      </c>
      <c r="AK650" s="97"/>
      <c r="AL650" s="89"/>
      <c r="AM650" s="100" t="s">
        <v>2343</v>
      </c>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114"/>
      <c r="CQ650" s="115"/>
      <c r="CR650" s="114"/>
      <c r="CS650" s="115"/>
      <c r="CT650" s="114"/>
      <c r="CU650" s="115"/>
      <c r="CV650" s="99">
        <f t="shared" si="65"/>
        <v>0</v>
      </c>
      <c r="CW650" s="114"/>
      <c r="CX650" s="115"/>
      <c r="CY650" s="114"/>
      <c r="CZ650" s="115"/>
      <c r="DA650" s="115"/>
      <c r="DB650" s="115"/>
      <c r="DC650" s="114"/>
      <c r="DD650" s="115"/>
      <c r="DE650" s="97"/>
      <c r="DF650" s="269"/>
    </row>
    <row r="651" spans="1:110" s="270" customFormat="1" ht="24" x14ac:dyDescent="0.2">
      <c r="A651" s="89">
        <v>40652</v>
      </c>
      <c r="B651" s="90" t="s">
        <v>4344</v>
      </c>
      <c r="C651" s="90" t="s">
        <v>2214</v>
      </c>
      <c r="D651" s="90" t="s">
        <v>2362</v>
      </c>
      <c r="E651" s="90" t="str">
        <f>VLOOKUP(B651&amp;C651,Divipola!$C$2:$F$1138,4,FALSE)</f>
        <v>25394</v>
      </c>
      <c r="F651" s="90"/>
      <c r="G651" s="101"/>
      <c r="H651" s="101"/>
      <c r="I651" s="101"/>
      <c r="J651" s="101">
        <v>31</v>
      </c>
      <c r="K651" s="101">
        <v>7</v>
      </c>
      <c r="L651" s="101">
        <v>3</v>
      </c>
      <c r="M651" s="101">
        <v>4</v>
      </c>
      <c r="N651" s="101"/>
      <c r="O651" s="101"/>
      <c r="P651" s="101"/>
      <c r="Q651" s="101"/>
      <c r="R651" s="101"/>
      <c r="S651" s="101"/>
      <c r="T651" s="101"/>
      <c r="U651" s="101"/>
      <c r="V651" s="101"/>
      <c r="W651" s="91"/>
      <c r="X651" s="89"/>
      <c r="Y651" s="92">
        <f t="shared" si="60"/>
        <v>0</v>
      </c>
      <c r="Z651" s="92">
        <f t="shared" si="61"/>
        <v>0</v>
      </c>
      <c r="AA651" s="92">
        <f t="shared" si="62"/>
        <v>0</v>
      </c>
      <c r="AB651" s="92">
        <f t="shared" si="63"/>
        <v>0</v>
      </c>
      <c r="AC651" s="92"/>
      <c r="AD651" s="92">
        <v>0</v>
      </c>
      <c r="AE651" s="92">
        <f t="shared" si="64"/>
        <v>0</v>
      </c>
      <c r="AF651" s="93">
        <v>0</v>
      </c>
      <c r="AG651" s="89"/>
      <c r="AH651" s="94"/>
      <c r="AI651" s="102" t="s">
        <v>4336</v>
      </c>
      <c r="AJ651" s="96" t="s">
        <v>4337</v>
      </c>
      <c r="AK651" s="97"/>
      <c r="AL651" s="89"/>
      <c r="AM651" s="100" t="s">
        <v>3639</v>
      </c>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114"/>
      <c r="CQ651" s="115"/>
      <c r="CR651" s="114"/>
      <c r="CS651" s="115"/>
      <c r="CT651" s="114"/>
      <c r="CU651" s="115"/>
      <c r="CV651" s="99">
        <f t="shared" si="65"/>
        <v>0</v>
      </c>
      <c r="CW651" s="114"/>
      <c r="CX651" s="115"/>
      <c r="CY651" s="114"/>
      <c r="CZ651" s="115"/>
      <c r="DA651" s="115"/>
      <c r="DB651" s="115"/>
      <c r="DC651" s="114"/>
      <c r="DD651" s="115"/>
      <c r="DE651" s="97"/>
      <c r="DF651" s="269"/>
    </row>
    <row r="652" spans="1:110" s="270" customFormat="1" ht="36" x14ac:dyDescent="0.2">
      <c r="A652" s="89">
        <v>40652</v>
      </c>
      <c r="B652" s="90" t="s">
        <v>4344</v>
      </c>
      <c r="C652" s="90" t="s">
        <v>3371</v>
      </c>
      <c r="D652" s="90" t="s">
        <v>2362</v>
      </c>
      <c r="E652" s="90" t="str">
        <f>VLOOKUP(B652&amp;C652,Divipola!$C$2:$F$1138,4,FALSE)</f>
        <v>25402</v>
      </c>
      <c r="F652" s="90"/>
      <c r="G652" s="302"/>
      <c r="H652" s="302"/>
      <c r="I652" s="302"/>
      <c r="J652" s="101">
        <v>212</v>
      </c>
      <c r="K652" s="101">
        <v>85</v>
      </c>
      <c r="L652" s="101"/>
      <c r="M652" s="101">
        <v>85</v>
      </c>
      <c r="N652" s="101"/>
      <c r="O652" s="101"/>
      <c r="P652" s="101"/>
      <c r="Q652" s="101"/>
      <c r="R652" s="101"/>
      <c r="S652" s="101"/>
      <c r="T652" s="101"/>
      <c r="U652" s="101"/>
      <c r="V652" s="101"/>
      <c r="W652" s="91"/>
      <c r="X652" s="89"/>
      <c r="Y652" s="92">
        <f t="shared" si="60"/>
        <v>0</v>
      </c>
      <c r="Z652" s="92">
        <f t="shared" si="61"/>
        <v>0</v>
      </c>
      <c r="AA652" s="92">
        <f t="shared" si="62"/>
        <v>0</v>
      </c>
      <c r="AB652" s="92">
        <f t="shared" si="63"/>
        <v>0</v>
      </c>
      <c r="AC652" s="92"/>
      <c r="AD652" s="92">
        <v>0</v>
      </c>
      <c r="AE652" s="92">
        <f t="shared" si="64"/>
        <v>0</v>
      </c>
      <c r="AF652" s="93">
        <v>0</v>
      </c>
      <c r="AG652" s="89"/>
      <c r="AH652" s="94"/>
      <c r="AI652" s="102" t="s">
        <v>4336</v>
      </c>
      <c r="AJ652" s="96" t="s">
        <v>4337</v>
      </c>
      <c r="AK652" s="285"/>
      <c r="AL652" s="303"/>
      <c r="AM652" s="100" t="s">
        <v>2271</v>
      </c>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114"/>
      <c r="CQ652" s="115"/>
      <c r="CR652" s="114"/>
      <c r="CS652" s="115"/>
      <c r="CT652" s="114"/>
      <c r="CU652" s="115"/>
      <c r="CV652" s="99">
        <f t="shared" si="65"/>
        <v>0</v>
      </c>
      <c r="CW652" s="114"/>
      <c r="CX652" s="115"/>
      <c r="CY652" s="114"/>
      <c r="CZ652" s="115"/>
      <c r="DA652" s="115"/>
      <c r="DB652" s="115"/>
      <c r="DC652" s="114"/>
      <c r="DD652" s="115"/>
      <c r="DE652" s="97"/>
      <c r="DF652" s="269"/>
    </row>
    <row r="653" spans="1:110" s="270" customFormat="1" ht="36" x14ac:dyDescent="0.2">
      <c r="A653" s="89">
        <v>40652</v>
      </c>
      <c r="B653" s="90" t="s">
        <v>4344</v>
      </c>
      <c r="C653" s="90" t="s">
        <v>3319</v>
      </c>
      <c r="D653" s="90" t="s">
        <v>2362</v>
      </c>
      <c r="E653" s="90" t="str">
        <f>VLOOKUP(B653&amp;C653,Divipola!$C$2:$F$1138,4,FALSE)</f>
        <v>25799</v>
      </c>
      <c r="F653" s="90"/>
      <c r="G653" s="101"/>
      <c r="H653" s="101"/>
      <c r="I653" s="101"/>
      <c r="J653" s="101">
        <v>115</v>
      </c>
      <c r="K653" s="101">
        <v>29</v>
      </c>
      <c r="L653" s="101"/>
      <c r="M653" s="101">
        <v>29</v>
      </c>
      <c r="N653" s="101"/>
      <c r="O653" s="101"/>
      <c r="P653" s="101"/>
      <c r="Q653" s="101"/>
      <c r="R653" s="101"/>
      <c r="S653" s="101"/>
      <c r="T653" s="101"/>
      <c r="U653" s="101"/>
      <c r="V653" s="101"/>
      <c r="W653" s="91"/>
      <c r="X653" s="89"/>
      <c r="Y653" s="92">
        <f t="shared" si="60"/>
        <v>0</v>
      </c>
      <c r="Z653" s="92">
        <f t="shared" si="61"/>
        <v>0</v>
      </c>
      <c r="AA653" s="92">
        <f t="shared" si="62"/>
        <v>0</v>
      </c>
      <c r="AB653" s="92">
        <f t="shared" si="63"/>
        <v>0</v>
      </c>
      <c r="AC653" s="92"/>
      <c r="AD653" s="92">
        <v>0</v>
      </c>
      <c r="AE653" s="92">
        <f t="shared" si="64"/>
        <v>0</v>
      </c>
      <c r="AF653" s="93">
        <v>0</v>
      </c>
      <c r="AG653" s="89"/>
      <c r="AH653" s="94"/>
      <c r="AI653" s="102" t="s">
        <v>4336</v>
      </c>
      <c r="AJ653" s="96" t="s">
        <v>4337</v>
      </c>
      <c r="AK653" s="97"/>
      <c r="AL653" s="89"/>
      <c r="AM653" s="100" t="s">
        <v>2701</v>
      </c>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114"/>
      <c r="CQ653" s="115"/>
      <c r="CR653" s="114"/>
      <c r="CS653" s="115"/>
      <c r="CT653" s="114"/>
      <c r="CU653" s="115"/>
      <c r="CV653" s="99">
        <f t="shared" si="65"/>
        <v>0</v>
      </c>
      <c r="CW653" s="114"/>
      <c r="CX653" s="115"/>
      <c r="CY653" s="114"/>
      <c r="CZ653" s="115"/>
      <c r="DA653" s="115"/>
      <c r="DB653" s="115"/>
      <c r="DC653" s="114"/>
      <c r="DD653" s="115"/>
      <c r="DE653" s="97"/>
      <c r="DF653" s="269"/>
    </row>
    <row r="654" spans="1:110" s="270" customFormat="1" ht="72" x14ac:dyDescent="0.2">
      <c r="A654" s="89">
        <v>40652</v>
      </c>
      <c r="B654" s="90" t="s">
        <v>4344</v>
      </c>
      <c r="C654" s="90" t="s">
        <v>3324</v>
      </c>
      <c r="D654" s="90" t="s">
        <v>4264</v>
      </c>
      <c r="E654" s="90" t="str">
        <f>VLOOKUP(B654&amp;C654,Divipola!$C$2:$F$1138,4,FALSE)</f>
        <v>25843</v>
      </c>
      <c r="F654" s="90"/>
      <c r="G654" s="302"/>
      <c r="H654" s="302"/>
      <c r="I654" s="302"/>
      <c r="J654" s="101">
        <v>136</v>
      </c>
      <c r="K654" s="101">
        <v>24</v>
      </c>
      <c r="L654" s="101"/>
      <c r="M654" s="101">
        <v>24</v>
      </c>
      <c r="N654" s="101"/>
      <c r="O654" s="101"/>
      <c r="P654" s="101"/>
      <c r="Q654" s="101"/>
      <c r="R654" s="101"/>
      <c r="S654" s="101"/>
      <c r="T654" s="101"/>
      <c r="U654" s="101"/>
      <c r="V654" s="101"/>
      <c r="W654" s="91"/>
      <c r="X654" s="89"/>
      <c r="Y654" s="92">
        <f t="shared" si="60"/>
        <v>0</v>
      </c>
      <c r="Z654" s="92">
        <f t="shared" si="61"/>
        <v>0</v>
      </c>
      <c r="AA654" s="92">
        <f t="shared" si="62"/>
        <v>0</v>
      </c>
      <c r="AB654" s="92">
        <f t="shared" si="63"/>
        <v>0</v>
      </c>
      <c r="AC654" s="92"/>
      <c r="AD654" s="92">
        <v>0</v>
      </c>
      <c r="AE654" s="92">
        <f t="shared" si="64"/>
        <v>0</v>
      </c>
      <c r="AF654" s="93">
        <v>0</v>
      </c>
      <c r="AG654" s="89"/>
      <c r="AH654" s="94"/>
      <c r="AI654" s="102" t="s">
        <v>4336</v>
      </c>
      <c r="AJ654" s="96" t="s">
        <v>4337</v>
      </c>
      <c r="AK654" s="285"/>
      <c r="AL654" s="303"/>
      <c r="AM654" s="100" t="s">
        <v>2269</v>
      </c>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114"/>
      <c r="CQ654" s="115"/>
      <c r="CR654" s="114"/>
      <c r="CS654" s="115"/>
      <c r="CT654" s="114"/>
      <c r="CU654" s="115"/>
      <c r="CV654" s="99">
        <f t="shared" si="65"/>
        <v>0</v>
      </c>
      <c r="CW654" s="114"/>
      <c r="CX654" s="115"/>
      <c r="CY654" s="114"/>
      <c r="CZ654" s="115"/>
      <c r="DA654" s="115"/>
      <c r="DB654" s="115"/>
      <c r="DC654" s="114"/>
      <c r="DD654" s="115"/>
      <c r="DE654" s="97"/>
      <c r="DF654" s="269"/>
    </row>
    <row r="655" spans="1:110" s="270" customFormat="1" ht="72" x14ac:dyDescent="0.2">
      <c r="A655" s="89">
        <v>40652</v>
      </c>
      <c r="B655" s="90" t="s">
        <v>4344</v>
      </c>
      <c r="C655" s="90" t="s">
        <v>843</v>
      </c>
      <c r="D655" s="90" t="s">
        <v>2362</v>
      </c>
      <c r="E655" s="90" t="str">
        <f>VLOOKUP(B655&amp;C655,Divipola!$C$2:$F$1138,4,FALSE)</f>
        <v>25867</v>
      </c>
      <c r="F655" s="90"/>
      <c r="G655" s="302"/>
      <c r="H655" s="302"/>
      <c r="I655" s="302"/>
      <c r="J655" s="101">
        <v>380</v>
      </c>
      <c r="K655" s="101">
        <v>120</v>
      </c>
      <c r="L655" s="101"/>
      <c r="M655" s="101">
        <v>120</v>
      </c>
      <c r="N655" s="101"/>
      <c r="O655" s="101"/>
      <c r="P655" s="101"/>
      <c r="Q655" s="101"/>
      <c r="R655" s="101"/>
      <c r="S655" s="101"/>
      <c r="T655" s="101"/>
      <c r="U655" s="101"/>
      <c r="V655" s="101"/>
      <c r="W655" s="91"/>
      <c r="X655" s="89"/>
      <c r="Y655" s="92">
        <f t="shared" si="60"/>
        <v>0</v>
      </c>
      <c r="Z655" s="92">
        <f t="shared" si="61"/>
        <v>0</v>
      </c>
      <c r="AA655" s="92">
        <f t="shared" si="62"/>
        <v>0</v>
      </c>
      <c r="AB655" s="92">
        <f t="shared" si="63"/>
        <v>0</v>
      </c>
      <c r="AC655" s="92"/>
      <c r="AD655" s="92">
        <v>0</v>
      </c>
      <c r="AE655" s="92">
        <f t="shared" si="64"/>
        <v>0</v>
      </c>
      <c r="AF655" s="93">
        <v>0</v>
      </c>
      <c r="AG655" s="89"/>
      <c r="AH655" s="94"/>
      <c r="AI655" s="102" t="s">
        <v>4336</v>
      </c>
      <c r="AJ655" s="96" t="s">
        <v>4337</v>
      </c>
      <c r="AK655" s="285"/>
      <c r="AL655" s="303"/>
      <c r="AM655" s="100" t="s">
        <v>4410</v>
      </c>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114"/>
      <c r="CQ655" s="115"/>
      <c r="CR655" s="114"/>
      <c r="CS655" s="115"/>
      <c r="CT655" s="114"/>
      <c r="CU655" s="115"/>
      <c r="CV655" s="99">
        <f t="shared" si="65"/>
        <v>0</v>
      </c>
      <c r="CW655" s="114"/>
      <c r="CX655" s="115"/>
      <c r="CY655" s="114"/>
      <c r="CZ655" s="115"/>
      <c r="DA655" s="115"/>
      <c r="DB655" s="115"/>
      <c r="DC655" s="114"/>
      <c r="DD655" s="115"/>
      <c r="DE655" s="97"/>
      <c r="DF655" s="269"/>
    </row>
    <row r="656" spans="1:110" s="270" customFormat="1" ht="48" x14ac:dyDescent="0.2">
      <c r="A656" s="89">
        <v>40652</v>
      </c>
      <c r="B656" s="90" t="s">
        <v>4344</v>
      </c>
      <c r="C656" s="90" t="s">
        <v>3472</v>
      </c>
      <c r="D656" s="90" t="s">
        <v>4264</v>
      </c>
      <c r="E656" s="90" t="str">
        <f>VLOOKUP(B656&amp;C656,Divipola!$C$2:$F$1138,4,FALSE)</f>
        <v>25875</v>
      </c>
      <c r="F656" s="90"/>
      <c r="G656" s="302"/>
      <c r="H656" s="302"/>
      <c r="I656" s="302"/>
      <c r="J656" s="101">
        <v>50</v>
      </c>
      <c r="K656" s="101">
        <v>10</v>
      </c>
      <c r="L656" s="101"/>
      <c r="M656" s="101">
        <v>10</v>
      </c>
      <c r="N656" s="101"/>
      <c r="O656" s="101"/>
      <c r="P656" s="101"/>
      <c r="Q656" s="101"/>
      <c r="R656" s="101"/>
      <c r="S656" s="101"/>
      <c r="T656" s="101"/>
      <c r="U656" s="101"/>
      <c r="V656" s="101"/>
      <c r="W656" s="91"/>
      <c r="X656" s="89"/>
      <c r="Y656" s="92">
        <f t="shared" si="60"/>
        <v>0</v>
      </c>
      <c r="Z656" s="92">
        <f t="shared" si="61"/>
        <v>0</v>
      </c>
      <c r="AA656" s="92">
        <f t="shared" si="62"/>
        <v>0</v>
      </c>
      <c r="AB656" s="92">
        <f t="shared" si="63"/>
        <v>0</v>
      </c>
      <c r="AC656" s="92"/>
      <c r="AD656" s="92">
        <v>0</v>
      </c>
      <c r="AE656" s="92">
        <f t="shared" si="64"/>
        <v>0</v>
      </c>
      <c r="AF656" s="93">
        <v>0</v>
      </c>
      <c r="AG656" s="89"/>
      <c r="AH656" s="94"/>
      <c r="AI656" s="102" t="s">
        <v>4336</v>
      </c>
      <c r="AJ656" s="96" t="s">
        <v>4337</v>
      </c>
      <c r="AK656" s="285"/>
      <c r="AL656" s="303"/>
      <c r="AM656" s="100" t="s">
        <v>2270</v>
      </c>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114"/>
      <c r="CQ656" s="115"/>
      <c r="CR656" s="114"/>
      <c r="CS656" s="115"/>
      <c r="CT656" s="114"/>
      <c r="CU656" s="115"/>
      <c r="CV656" s="99">
        <f t="shared" si="65"/>
        <v>0</v>
      </c>
      <c r="CW656" s="114"/>
      <c r="CX656" s="115"/>
      <c r="CY656" s="114"/>
      <c r="CZ656" s="115"/>
      <c r="DA656" s="115"/>
      <c r="DB656" s="115"/>
      <c r="DC656" s="114"/>
      <c r="DD656" s="115"/>
      <c r="DE656" s="97"/>
      <c r="DF656" s="269"/>
    </row>
    <row r="657" spans="1:255" s="270" customFormat="1" ht="132" x14ac:dyDescent="0.2">
      <c r="A657" s="89">
        <v>40652</v>
      </c>
      <c r="B657" s="90" t="s">
        <v>4219</v>
      </c>
      <c r="C657" s="90" t="s">
        <v>3467</v>
      </c>
      <c r="D657" s="90" t="s">
        <v>4264</v>
      </c>
      <c r="E657" s="90" t="str">
        <f>VLOOKUP(B657&amp;C657,Divipola!$C$2:$F$1138,4,FALSE)</f>
        <v>41016</v>
      </c>
      <c r="F657" s="90"/>
      <c r="G657" s="302"/>
      <c r="H657" s="302"/>
      <c r="I657" s="302"/>
      <c r="J657" s="101">
        <v>10</v>
      </c>
      <c r="K657" s="101">
        <v>2</v>
      </c>
      <c r="L657" s="101"/>
      <c r="M657" s="101">
        <v>2</v>
      </c>
      <c r="N657" s="101"/>
      <c r="O657" s="101"/>
      <c r="P657" s="101"/>
      <c r="Q657" s="101"/>
      <c r="R657" s="101"/>
      <c r="S657" s="101"/>
      <c r="T657" s="101"/>
      <c r="U657" s="101"/>
      <c r="V657" s="101"/>
      <c r="W657" s="91"/>
      <c r="X657" s="89"/>
      <c r="Y657" s="92">
        <f t="shared" si="60"/>
        <v>0</v>
      </c>
      <c r="Z657" s="92">
        <f t="shared" si="61"/>
        <v>0</v>
      </c>
      <c r="AA657" s="92">
        <f t="shared" si="62"/>
        <v>0</v>
      </c>
      <c r="AB657" s="92">
        <f t="shared" si="63"/>
        <v>0</v>
      </c>
      <c r="AC657" s="92"/>
      <c r="AD657" s="92">
        <v>0</v>
      </c>
      <c r="AE657" s="92">
        <f t="shared" si="64"/>
        <v>0</v>
      </c>
      <c r="AF657" s="93">
        <v>0</v>
      </c>
      <c r="AG657" s="89"/>
      <c r="AH657" s="94"/>
      <c r="AI657" s="95" t="s">
        <v>4336</v>
      </c>
      <c r="AJ657" s="96" t="s">
        <v>4337</v>
      </c>
      <c r="AK657" s="285"/>
      <c r="AL657" s="303"/>
      <c r="AM657" s="100" t="s">
        <v>3435</v>
      </c>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114"/>
      <c r="CQ657" s="115"/>
      <c r="CR657" s="114"/>
      <c r="CS657" s="115"/>
      <c r="CT657" s="114"/>
      <c r="CU657" s="115"/>
      <c r="CV657" s="99">
        <f t="shared" si="65"/>
        <v>0</v>
      </c>
      <c r="CW657" s="114"/>
      <c r="CX657" s="115"/>
      <c r="CY657" s="114"/>
      <c r="CZ657" s="115"/>
      <c r="DA657" s="115"/>
      <c r="DB657" s="115"/>
      <c r="DC657" s="114"/>
      <c r="DD657" s="115"/>
      <c r="DE657" s="97"/>
      <c r="DF657" s="269"/>
    </row>
    <row r="658" spans="1:255" s="270" customFormat="1" x14ac:dyDescent="0.2">
      <c r="A658" s="89">
        <v>40652</v>
      </c>
      <c r="B658" s="90" t="s">
        <v>4219</v>
      </c>
      <c r="C658" s="90" t="s">
        <v>3353</v>
      </c>
      <c r="D658" s="90" t="s">
        <v>2362</v>
      </c>
      <c r="E658" s="90" t="str">
        <f>VLOOKUP(B658&amp;C658,Divipola!$C$2:$F$1138,4,FALSE)</f>
        <v>41357</v>
      </c>
      <c r="F658" s="101"/>
      <c r="G658" s="101"/>
      <c r="H658" s="101"/>
      <c r="I658" s="101"/>
      <c r="J658" s="101">
        <v>20</v>
      </c>
      <c r="K658" s="101">
        <v>4</v>
      </c>
      <c r="L658" s="101"/>
      <c r="M658" s="101">
        <v>4</v>
      </c>
      <c r="N658" s="101"/>
      <c r="O658" s="101"/>
      <c r="P658" s="101"/>
      <c r="Q658" s="101"/>
      <c r="R658" s="101"/>
      <c r="S658" s="101"/>
      <c r="T658" s="101"/>
      <c r="U658" s="91"/>
      <c r="V658" s="89"/>
      <c r="W658" s="92"/>
      <c r="X658" s="92"/>
      <c r="Y658" s="92">
        <f t="shared" si="60"/>
        <v>0</v>
      </c>
      <c r="Z658" s="92">
        <f t="shared" si="61"/>
        <v>0</v>
      </c>
      <c r="AA658" s="92">
        <f t="shared" si="62"/>
        <v>0</v>
      </c>
      <c r="AB658" s="92">
        <f t="shared" si="63"/>
        <v>0</v>
      </c>
      <c r="AC658" s="92"/>
      <c r="AD658" s="92">
        <v>0</v>
      </c>
      <c r="AE658" s="92">
        <f t="shared" si="64"/>
        <v>0</v>
      </c>
      <c r="AF658" s="93">
        <v>0</v>
      </c>
      <c r="AG658" s="89"/>
      <c r="AH658" s="96"/>
      <c r="AI658" s="95" t="s">
        <v>4336</v>
      </c>
      <c r="AJ658" s="96" t="s">
        <v>4337</v>
      </c>
      <c r="AK658" s="100"/>
      <c r="AL658" s="281"/>
      <c r="AM658" s="100" t="s">
        <v>2696</v>
      </c>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114"/>
      <c r="CQ658" s="115"/>
      <c r="CR658" s="114"/>
      <c r="CS658" s="115"/>
      <c r="CT658" s="114"/>
      <c r="CU658" s="115"/>
      <c r="CV658" s="99">
        <f t="shared" si="65"/>
        <v>0</v>
      </c>
      <c r="CW658" s="114"/>
      <c r="CX658" s="115"/>
      <c r="CY658" s="114"/>
      <c r="CZ658" s="115"/>
      <c r="DA658" s="115"/>
      <c r="DB658" s="115"/>
      <c r="DC658" s="114"/>
      <c r="DD658" s="115"/>
      <c r="DE658" s="97"/>
      <c r="DF658" s="269"/>
    </row>
    <row r="659" spans="1:255" s="270" customFormat="1" ht="78.75" x14ac:dyDescent="0.2">
      <c r="A659" s="89">
        <v>40652</v>
      </c>
      <c r="B659" s="90" t="s">
        <v>4219</v>
      </c>
      <c r="C659" s="90" t="s">
        <v>3298</v>
      </c>
      <c r="D659" s="90" t="s">
        <v>4264</v>
      </c>
      <c r="E659" s="90" t="str">
        <f>VLOOKUP(B659&amp;C659,Divipola!$C$2:$F$1138,4,FALSE)</f>
        <v>41872</v>
      </c>
      <c r="F659" s="90"/>
      <c r="G659" s="302"/>
      <c r="H659" s="302"/>
      <c r="I659" s="302"/>
      <c r="J659" s="101">
        <v>95</v>
      </c>
      <c r="K659" s="101">
        <v>19</v>
      </c>
      <c r="L659" s="101"/>
      <c r="M659" s="101">
        <v>19</v>
      </c>
      <c r="N659" s="101">
        <v>1</v>
      </c>
      <c r="O659" s="101"/>
      <c r="P659" s="101"/>
      <c r="Q659" s="101"/>
      <c r="R659" s="101"/>
      <c r="S659" s="101"/>
      <c r="T659" s="101"/>
      <c r="U659" s="101"/>
      <c r="V659" s="101"/>
      <c r="W659" s="304" t="s">
        <v>2785</v>
      </c>
      <c r="X659" s="89"/>
      <c r="Y659" s="92">
        <f t="shared" si="60"/>
        <v>0</v>
      </c>
      <c r="Z659" s="92">
        <f t="shared" si="61"/>
        <v>0</v>
      </c>
      <c r="AA659" s="92">
        <f t="shared" si="62"/>
        <v>0</v>
      </c>
      <c r="AB659" s="92">
        <f t="shared" si="63"/>
        <v>0</v>
      </c>
      <c r="AC659" s="92"/>
      <c r="AD659" s="92">
        <v>0</v>
      </c>
      <c r="AE659" s="92">
        <f t="shared" si="64"/>
        <v>0</v>
      </c>
      <c r="AF659" s="93">
        <v>0</v>
      </c>
      <c r="AG659" s="89"/>
      <c r="AH659" s="94"/>
      <c r="AI659" s="95" t="s">
        <v>4336</v>
      </c>
      <c r="AJ659" s="96" t="s">
        <v>4337</v>
      </c>
      <c r="AK659" s="285"/>
      <c r="AL659" s="303"/>
      <c r="AM659" s="100" t="s">
        <v>3783</v>
      </c>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114"/>
      <c r="CQ659" s="115"/>
      <c r="CR659" s="114"/>
      <c r="CS659" s="115"/>
      <c r="CT659" s="114"/>
      <c r="CU659" s="115"/>
      <c r="CV659" s="99">
        <f t="shared" si="65"/>
        <v>0</v>
      </c>
      <c r="CW659" s="114"/>
      <c r="CX659" s="115"/>
      <c r="CY659" s="114"/>
      <c r="CZ659" s="115"/>
      <c r="DA659" s="115"/>
      <c r="DB659" s="115"/>
      <c r="DC659" s="114"/>
      <c r="DD659" s="115"/>
      <c r="DE659" s="97"/>
      <c r="DF659" s="269"/>
    </row>
    <row r="660" spans="1:255" s="270" customFormat="1" ht="48" x14ac:dyDescent="0.2">
      <c r="A660" s="89">
        <v>40652</v>
      </c>
      <c r="B660" s="90" t="s">
        <v>4221</v>
      </c>
      <c r="C660" s="90" t="s">
        <v>4345</v>
      </c>
      <c r="D660" s="90" t="s">
        <v>4264</v>
      </c>
      <c r="E660" s="90">
        <f>VLOOKUP(B660&amp;C660,Divipola!$C$2:$F$1138,4,FALSE)</f>
        <v>54</v>
      </c>
      <c r="F660" s="90"/>
      <c r="G660" s="101"/>
      <c r="H660" s="101"/>
      <c r="I660" s="101"/>
      <c r="J660" s="101"/>
      <c r="K660" s="101"/>
      <c r="L660" s="101"/>
      <c r="M660" s="101"/>
      <c r="N660" s="101"/>
      <c r="O660" s="101"/>
      <c r="P660" s="101"/>
      <c r="Q660" s="101"/>
      <c r="R660" s="101"/>
      <c r="S660" s="101"/>
      <c r="T660" s="101"/>
      <c r="U660" s="101"/>
      <c r="V660" s="101"/>
      <c r="W660" s="91"/>
      <c r="X660" s="89"/>
      <c r="Y660" s="92">
        <f t="shared" si="60"/>
        <v>0</v>
      </c>
      <c r="Z660" s="92">
        <f t="shared" si="61"/>
        <v>0</v>
      </c>
      <c r="AA660" s="92">
        <f t="shared" si="62"/>
        <v>0</v>
      </c>
      <c r="AB660" s="92">
        <f t="shared" si="63"/>
        <v>0</v>
      </c>
      <c r="AC660" s="92"/>
      <c r="AD660" s="92">
        <v>530000000</v>
      </c>
      <c r="AE660" s="92">
        <f t="shared" si="64"/>
        <v>530000000</v>
      </c>
      <c r="AF660" s="93">
        <v>0</v>
      </c>
      <c r="AG660" s="89"/>
      <c r="AH660" s="94"/>
      <c r="AI660" s="95" t="s">
        <v>4346</v>
      </c>
      <c r="AJ660" s="96" t="s">
        <v>4347</v>
      </c>
      <c r="AK660" s="97"/>
      <c r="AL660" s="89"/>
      <c r="AM660" s="98" t="s">
        <v>1048</v>
      </c>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114"/>
      <c r="CQ660" s="115"/>
      <c r="CR660" s="114"/>
      <c r="CS660" s="115"/>
      <c r="CT660" s="114"/>
      <c r="CU660" s="115"/>
      <c r="CV660" s="99">
        <f t="shared" si="65"/>
        <v>0</v>
      </c>
      <c r="CW660" s="114"/>
      <c r="CX660" s="115"/>
      <c r="CY660" s="114"/>
      <c r="CZ660" s="115"/>
      <c r="DA660" s="115"/>
      <c r="DB660" s="115"/>
      <c r="DC660" s="114"/>
      <c r="DD660" s="115"/>
      <c r="DE660" s="97">
        <v>2</v>
      </c>
      <c r="DF660" s="269"/>
    </row>
    <row r="661" spans="1:255" s="270" customFormat="1" ht="204" x14ac:dyDescent="0.2">
      <c r="A661" s="89">
        <v>40652</v>
      </c>
      <c r="B661" s="90" t="s">
        <v>4221</v>
      </c>
      <c r="C661" s="90" t="s">
        <v>4380</v>
      </c>
      <c r="D661" s="90" t="s">
        <v>4264</v>
      </c>
      <c r="E661" s="90" t="str">
        <f>VLOOKUP(B661&amp;C661,Divipola!$C$2:$F$1138,4,FALSE)</f>
        <v>54347</v>
      </c>
      <c r="F661" s="90"/>
      <c r="G661" s="302"/>
      <c r="H661" s="302"/>
      <c r="I661" s="302"/>
      <c r="J661" s="101">
        <v>512</v>
      </c>
      <c r="K661" s="101">
        <v>128</v>
      </c>
      <c r="L661" s="101">
        <v>27</v>
      </c>
      <c r="M661" s="101">
        <v>101</v>
      </c>
      <c r="N661" s="101">
        <v>2</v>
      </c>
      <c r="O661" s="101"/>
      <c r="P661" s="101"/>
      <c r="Q661" s="101"/>
      <c r="R661" s="101"/>
      <c r="S661" s="101"/>
      <c r="T661" s="101"/>
      <c r="U661" s="101"/>
      <c r="V661" s="101"/>
      <c r="W661" s="91"/>
      <c r="X661" s="89"/>
      <c r="Y661" s="92">
        <f t="shared" si="60"/>
        <v>0</v>
      </c>
      <c r="Z661" s="92">
        <f t="shared" si="61"/>
        <v>0</v>
      </c>
      <c r="AA661" s="92">
        <f t="shared" si="62"/>
        <v>85000000</v>
      </c>
      <c r="AB661" s="92">
        <f t="shared" si="63"/>
        <v>0</v>
      </c>
      <c r="AC661" s="92">
        <f>900*56000</f>
        <v>50400000</v>
      </c>
      <c r="AD661" s="92">
        <v>84000000</v>
      </c>
      <c r="AE661" s="92">
        <f t="shared" si="64"/>
        <v>219400000</v>
      </c>
      <c r="AF661" s="93">
        <v>0</v>
      </c>
      <c r="AG661" s="89"/>
      <c r="AH661" s="94"/>
      <c r="AI661" s="102" t="s">
        <v>4346</v>
      </c>
      <c r="AJ661" s="96" t="s">
        <v>4347</v>
      </c>
      <c r="AK661" s="285"/>
      <c r="AL661" s="303"/>
      <c r="AM661" s="121" t="s">
        <v>2108</v>
      </c>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114"/>
      <c r="CQ661" s="115"/>
      <c r="CR661" s="114"/>
      <c r="CS661" s="115"/>
      <c r="CT661" s="114"/>
      <c r="CU661" s="115"/>
      <c r="CV661" s="99">
        <f t="shared" si="65"/>
        <v>0</v>
      </c>
      <c r="CW661" s="114"/>
      <c r="CX661" s="115"/>
      <c r="CY661" s="114"/>
      <c r="CZ661" s="115"/>
      <c r="DA661" s="115">
        <v>800</v>
      </c>
      <c r="DB661" s="115">
        <f>800*25000</f>
        <v>20000000</v>
      </c>
      <c r="DC661" s="114">
        <v>2500</v>
      </c>
      <c r="DD661" s="115">
        <f>2500*26000</f>
        <v>65000000</v>
      </c>
      <c r="DE661" s="97" t="s">
        <v>4127</v>
      </c>
      <c r="DF661" s="269"/>
    </row>
    <row r="662" spans="1:255" s="270" customFormat="1" ht="22.5" x14ac:dyDescent="0.2">
      <c r="A662" s="89">
        <v>40652</v>
      </c>
      <c r="B662" s="90" t="s">
        <v>4348</v>
      </c>
      <c r="C662" s="90" t="s">
        <v>4365</v>
      </c>
      <c r="D662" s="90" t="s">
        <v>2362</v>
      </c>
      <c r="E662" s="90" t="str">
        <f>VLOOKUP(B662&amp;C662,Divipola!$C$2:$F$1138,4,FALSE)</f>
        <v>66682</v>
      </c>
      <c r="F662" s="101"/>
      <c r="G662" s="101"/>
      <c r="H662" s="101"/>
      <c r="I662" s="101"/>
      <c r="J662" s="101">
        <v>5</v>
      </c>
      <c r="K662" s="101">
        <v>1</v>
      </c>
      <c r="L662" s="101"/>
      <c r="M662" s="101">
        <v>1</v>
      </c>
      <c r="N662" s="101"/>
      <c r="O662" s="101"/>
      <c r="P662" s="101"/>
      <c r="Q662" s="101"/>
      <c r="R662" s="101"/>
      <c r="S662" s="101"/>
      <c r="T662" s="101"/>
      <c r="U662" s="91"/>
      <c r="V662" s="89"/>
      <c r="W662" s="92"/>
      <c r="X662" s="92"/>
      <c r="Y662" s="92">
        <f t="shared" si="60"/>
        <v>0</v>
      </c>
      <c r="Z662" s="92">
        <f t="shared" si="61"/>
        <v>0</v>
      </c>
      <c r="AA662" s="92">
        <f t="shared" si="62"/>
        <v>0</v>
      </c>
      <c r="AB662" s="92">
        <f t="shared" si="63"/>
        <v>0</v>
      </c>
      <c r="AC662" s="92"/>
      <c r="AD662" s="92">
        <v>0</v>
      </c>
      <c r="AE662" s="92">
        <f t="shared" si="64"/>
        <v>0</v>
      </c>
      <c r="AF662" s="93">
        <v>0</v>
      </c>
      <c r="AG662" s="89"/>
      <c r="AH662" s="96"/>
      <c r="AI662" s="102" t="s">
        <v>4336</v>
      </c>
      <c r="AJ662" s="96" t="s">
        <v>4337</v>
      </c>
      <c r="AK662" s="100"/>
      <c r="AL662" s="89"/>
      <c r="AM662" s="90" t="s">
        <v>875</v>
      </c>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114"/>
      <c r="CQ662" s="115"/>
      <c r="CR662" s="114"/>
      <c r="CS662" s="115"/>
      <c r="CT662" s="114"/>
      <c r="CU662" s="115"/>
      <c r="CV662" s="99">
        <f t="shared" si="65"/>
        <v>0</v>
      </c>
      <c r="CW662" s="114"/>
      <c r="CX662" s="115"/>
      <c r="CY662" s="114"/>
      <c r="CZ662" s="115"/>
      <c r="DA662" s="115"/>
      <c r="DB662" s="115"/>
      <c r="DC662" s="114"/>
      <c r="DD662" s="115"/>
      <c r="DE662" s="97"/>
      <c r="DF662" s="269"/>
    </row>
    <row r="663" spans="1:255" s="270" customFormat="1" ht="24" x14ac:dyDescent="0.2">
      <c r="A663" s="89">
        <v>40652</v>
      </c>
      <c r="B663" s="90" t="s">
        <v>2226</v>
      </c>
      <c r="C663" s="90" t="s">
        <v>3464</v>
      </c>
      <c r="D663" s="90" t="s">
        <v>2362</v>
      </c>
      <c r="E663" s="90" t="str">
        <f>VLOOKUP(B663&amp;C663,Divipola!$C$2:$F$1138,4,FALSE)</f>
        <v>68298</v>
      </c>
      <c r="F663" s="90"/>
      <c r="G663" s="302"/>
      <c r="H663" s="302"/>
      <c r="I663" s="302"/>
      <c r="J663" s="101">
        <v>17</v>
      </c>
      <c r="K663" s="101">
        <v>3</v>
      </c>
      <c r="L663" s="302"/>
      <c r="M663" s="101">
        <v>3</v>
      </c>
      <c r="N663" s="101"/>
      <c r="O663" s="101"/>
      <c r="P663" s="101"/>
      <c r="Q663" s="101"/>
      <c r="R663" s="101"/>
      <c r="S663" s="101"/>
      <c r="T663" s="101"/>
      <c r="U663" s="101"/>
      <c r="V663" s="101"/>
      <c r="W663" s="91"/>
      <c r="X663" s="89"/>
      <c r="Y663" s="92">
        <f t="shared" si="60"/>
        <v>0</v>
      </c>
      <c r="Z663" s="92">
        <f t="shared" si="61"/>
        <v>0</v>
      </c>
      <c r="AA663" s="92">
        <f t="shared" si="62"/>
        <v>0</v>
      </c>
      <c r="AB663" s="92">
        <f t="shared" si="63"/>
        <v>0</v>
      </c>
      <c r="AC663" s="92"/>
      <c r="AD663" s="92">
        <v>0</v>
      </c>
      <c r="AE663" s="92">
        <f t="shared" si="64"/>
        <v>0</v>
      </c>
      <c r="AF663" s="93">
        <v>0</v>
      </c>
      <c r="AG663" s="89"/>
      <c r="AH663" s="94"/>
      <c r="AI663" s="95" t="s">
        <v>4346</v>
      </c>
      <c r="AJ663" s="96" t="s">
        <v>4347</v>
      </c>
      <c r="AK663" s="97"/>
      <c r="AL663" s="89" t="s">
        <v>1049</v>
      </c>
      <c r="AM663" s="100" t="s">
        <v>2789</v>
      </c>
      <c r="AN663" s="89"/>
      <c r="AO663" s="90"/>
      <c r="AP663" s="90"/>
      <c r="AQ663" s="90"/>
      <c r="AR663" s="90"/>
      <c r="AS663" s="90"/>
      <c r="AT663" s="302"/>
      <c r="AU663" s="302"/>
      <c r="AV663" s="302"/>
      <c r="AW663" s="101"/>
      <c r="AX663" s="101"/>
      <c r="AY663" s="150"/>
      <c r="AZ663" s="101"/>
      <c r="BA663" s="101"/>
      <c r="BB663" s="101"/>
      <c r="BC663" s="101"/>
      <c r="BD663" s="101"/>
      <c r="BE663" s="101"/>
      <c r="BF663" s="101"/>
      <c r="BG663" s="101"/>
      <c r="BH663" s="101"/>
      <c r="BI663" s="101"/>
      <c r="BJ663" s="91"/>
      <c r="BK663" s="89"/>
      <c r="BL663" s="92"/>
      <c r="BM663" s="92"/>
      <c r="BN663" s="92"/>
      <c r="BO663" s="92"/>
      <c r="BP663" s="92"/>
      <c r="BQ663" s="92"/>
      <c r="BR663" s="92"/>
      <c r="BS663" s="93"/>
      <c r="BT663" s="89"/>
      <c r="BU663" s="94"/>
      <c r="BV663" s="89"/>
      <c r="BW663" s="96"/>
      <c r="BX663" s="285"/>
      <c r="BY663" s="284"/>
      <c r="BZ663" s="100"/>
      <c r="CA663" s="89"/>
      <c r="CB663" s="90"/>
      <c r="CC663" s="90"/>
      <c r="CD663" s="90"/>
      <c r="CE663" s="90"/>
      <c r="CF663" s="90"/>
      <c r="CG663" s="302"/>
      <c r="CH663" s="302"/>
      <c r="CI663" s="302"/>
      <c r="CJ663" s="101"/>
      <c r="CK663" s="101"/>
      <c r="CL663" s="302"/>
      <c r="CM663" s="101"/>
      <c r="CN663" s="101"/>
      <c r="CO663" s="101"/>
      <c r="CP663" s="101"/>
      <c r="CQ663" s="101"/>
      <c r="CR663" s="101"/>
      <c r="CS663" s="101"/>
      <c r="CT663" s="101"/>
      <c r="CU663" s="101"/>
      <c r="CV663" s="99">
        <f t="shared" si="65"/>
        <v>0</v>
      </c>
      <c r="CW663" s="91"/>
      <c r="CX663" s="89"/>
      <c r="CY663" s="92"/>
      <c r="CZ663" s="92"/>
      <c r="DA663" s="92"/>
      <c r="DB663" s="92"/>
      <c r="DC663" s="92"/>
      <c r="DD663" s="92"/>
      <c r="DE663" s="92"/>
      <c r="DF663" s="269"/>
    </row>
    <row r="664" spans="1:255" s="270" customFormat="1" ht="24" x14ac:dyDescent="0.2">
      <c r="A664" s="89">
        <v>40652</v>
      </c>
      <c r="B664" s="90" t="s">
        <v>2226</v>
      </c>
      <c r="C664" s="90" t="s">
        <v>309</v>
      </c>
      <c r="D664" s="90" t="s">
        <v>2362</v>
      </c>
      <c r="E664" s="90" t="str">
        <f>VLOOKUP(B664&amp;C664,Divipola!$C$2:$F$1138,4,FALSE)</f>
        <v>68572</v>
      </c>
      <c r="F664" s="90"/>
      <c r="G664" s="302"/>
      <c r="H664" s="302"/>
      <c r="I664" s="302"/>
      <c r="J664" s="101">
        <v>22</v>
      </c>
      <c r="K664" s="101">
        <v>4</v>
      </c>
      <c r="L664" s="302"/>
      <c r="M664" s="101">
        <v>4</v>
      </c>
      <c r="N664" s="101"/>
      <c r="O664" s="101"/>
      <c r="P664" s="101"/>
      <c r="Q664" s="101"/>
      <c r="R664" s="101"/>
      <c r="S664" s="101"/>
      <c r="T664" s="101"/>
      <c r="U664" s="101"/>
      <c r="V664" s="101"/>
      <c r="W664" s="91"/>
      <c r="X664" s="89"/>
      <c r="Y664" s="92">
        <f t="shared" si="60"/>
        <v>0</v>
      </c>
      <c r="Z664" s="92">
        <f t="shared" si="61"/>
        <v>0</v>
      </c>
      <c r="AA664" s="92">
        <f t="shared" si="62"/>
        <v>0</v>
      </c>
      <c r="AB664" s="92">
        <f t="shared" si="63"/>
        <v>0</v>
      </c>
      <c r="AC664" s="92"/>
      <c r="AD664" s="92">
        <v>0</v>
      </c>
      <c r="AE664" s="92">
        <f t="shared" si="64"/>
        <v>0</v>
      </c>
      <c r="AF664" s="93">
        <v>0</v>
      </c>
      <c r="AG664" s="89"/>
      <c r="AH664" s="94"/>
      <c r="AI664" s="95" t="s">
        <v>4346</v>
      </c>
      <c r="AJ664" s="96" t="s">
        <v>4347</v>
      </c>
      <c r="AK664" s="97"/>
      <c r="AL664" s="89" t="s">
        <v>1049</v>
      </c>
      <c r="AM664" s="100" t="s">
        <v>2787</v>
      </c>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114"/>
      <c r="CQ664" s="115"/>
      <c r="CR664" s="114"/>
      <c r="CS664" s="115"/>
      <c r="CT664" s="114"/>
      <c r="CU664" s="115"/>
      <c r="CV664" s="99">
        <f t="shared" si="65"/>
        <v>0</v>
      </c>
      <c r="CW664" s="114"/>
      <c r="CX664" s="115"/>
      <c r="CY664" s="114"/>
      <c r="CZ664" s="115"/>
      <c r="DA664" s="115"/>
      <c r="DB664" s="115"/>
      <c r="DC664" s="114"/>
      <c r="DD664" s="115"/>
      <c r="DE664" s="97"/>
      <c r="DF664" s="46"/>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row>
    <row r="665" spans="1:255" s="270" customFormat="1" ht="24" x14ac:dyDescent="0.2">
      <c r="A665" s="89">
        <v>40652</v>
      </c>
      <c r="B665" s="90" t="s">
        <v>2226</v>
      </c>
      <c r="C665" s="90" t="s">
        <v>309</v>
      </c>
      <c r="D665" s="90" t="s">
        <v>4264</v>
      </c>
      <c r="E665" s="90" t="str">
        <f>VLOOKUP(B665&amp;C665,Divipola!$C$2:$F$1138,4,FALSE)</f>
        <v>68572</v>
      </c>
      <c r="F665" s="90"/>
      <c r="G665" s="302"/>
      <c r="H665" s="302"/>
      <c r="I665" s="302"/>
      <c r="J665" s="101">
        <v>10</v>
      </c>
      <c r="K665" s="101">
        <v>2</v>
      </c>
      <c r="L665" s="302"/>
      <c r="M665" s="101">
        <v>2</v>
      </c>
      <c r="N665" s="101"/>
      <c r="O665" s="101"/>
      <c r="P665" s="101"/>
      <c r="Q665" s="101"/>
      <c r="R665" s="101"/>
      <c r="S665" s="101"/>
      <c r="T665" s="101"/>
      <c r="U665" s="101"/>
      <c r="V665" s="101"/>
      <c r="W665" s="91"/>
      <c r="X665" s="89"/>
      <c r="Y665" s="92">
        <f t="shared" si="60"/>
        <v>0</v>
      </c>
      <c r="Z665" s="92">
        <f t="shared" si="61"/>
        <v>0</v>
      </c>
      <c r="AA665" s="92">
        <f t="shared" si="62"/>
        <v>0</v>
      </c>
      <c r="AB665" s="92">
        <f t="shared" si="63"/>
        <v>0</v>
      </c>
      <c r="AC665" s="92"/>
      <c r="AD665" s="92">
        <v>0</v>
      </c>
      <c r="AE665" s="92">
        <f t="shared" si="64"/>
        <v>0</v>
      </c>
      <c r="AF665" s="93">
        <v>0</v>
      </c>
      <c r="AG665" s="89"/>
      <c r="AH665" s="94"/>
      <c r="AI665" s="95" t="s">
        <v>4346</v>
      </c>
      <c r="AJ665" s="96" t="s">
        <v>4347</v>
      </c>
      <c r="AK665" s="97"/>
      <c r="AL665" s="89" t="s">
        <v>1049</v>
      </c>
      <c r="AM665" s="100" t="s">
        <v>2788</v>
      </c>
      <c r="AN665" s="89"/>
      <c r="AO665" s="90"/>
      <c r="AP665" s="90"/>
      <c r="AQ665" s="90"/>
      <c r="AR665" s="90"/>
      <c r="AS665" s="90"/>
      <c r="AT665" s="302"/>
      <c r="AU665" s="302"/>
      <c r="AV665" s="302"/>
      <c r="AW665" s="101"/>
      <c r="AX665" s="101"/>
      <c r="AY665" s="150"/>
      <c r="AZ665" s="101"/>
      <c r="BA665" s="101"/>
      <c r="BB665" s="101"/>
      <c r="BC665" s="101"/>
      <c r="BD665" s="101"/>
      <c r="BE665" s="101"/>
      <c r="BF665" s="101"/>
      <c r="BG665" s="101"/>
      <c r="BH665" s="101"/>
      <c r="BI665" s="101"/>
      <c r="BJ665" s="91"/>
      <c r="BK665" s="89"/>
      <c r="BL665" s="92"/>
      <c r="BM665" s="92"/>
      <c r="BN665" s="92"/>
      <c r="BO665" s="92"/>
      <c r="BP665" s="92"/>
      <c r="BQ665" s="92"/>
      <c r="BR665" s="92"/>
      <c r="BS665" s="93"/>
      <c r="BT665" s="89"/>
      <c r="BU665" s="94"/>
      <c r="BV665" s="89"/>
      <c r="BW665" s="96"/>
      <c r="BX665" s="285"/>
      <c r="BY665" s="284"/>
      <c r="BZ665" s="100"/>
      <c r="CA665" s="89"/>
      <c r="CB665" s="90"/>
      <c r="CC665" s="90"/>
      <c r="CD665" s="90"/>
      <c r="CE665" s="90"/>
      <c r="CF665" s="90"/>
      <c r="CG665" s="302"/>
      <c r="CH665" s="302"/>
      <c r="CI665" s="302"/>
      <c r="CJ665" s="101"/>
      <c r="CK665" s="101"/>
      <c r="CL665" s="302"/>
      <c r="CM665" s="101"/>
      <c r="CN665" s="101"/>
      <c r="CO665" s="101"/>
      <c r="CP665" s="101"/>
      <c r="CQ665" s="101"/>
      <c r="CR665" s="101"/>
      <c r="CS665" s="101"/>
      <c r="CT665" s="101"/>
      <c r="CU665" s="101"/>
      <c r="CV665" s="99">
        <f t="shared" si="65"/>
        <v>0</v>
      </c>
      <c r="CW665" s="91"/>
      <c r="CX665" s="89"/>
      <c r="CY665" s="92"/>
      <c r="CZ665" s="92"/>
      <c r="DA665" s="92"/>
      <c r="DB665" s="92"/>
      <c r="DC665" s="92"/>
      <c r="DD665" s="92"/>
      <c r="DE665" s="92"/>
      <c r="DF665" s="269"/>
    </row>
    <row r="666" spans="1:255" s="270" customFormat="1" ht="24" x14ac:dyDescent="0.2">
      <c r="A666" s="89">
        <v>40652</v>
      </c>
      <c r="B666" s="90" t="s">
        <v>4244</v>
      </c>
      <c r="C666" s="90" t="s">
        <v>3393</v>
      </c>
      <c r="D666" s="90" t="s">
        <v>4264</v>
      </c>
      <c r="E666" s="90" t="str">
        <f>VLOOKUP(B666&amp;C666,Divipola!$C$2:$F$1138,4,FALSE)</f>
        <v>76147</v>
      </c>
      <c r="F666" s="90"/>
      <c r="G666" s="101"/>
      <c r="H666" s="101"/>
      <c r="I666" s="101"/>
      <c r="J666" s="101">
        <v>400</v>
      </c>
      <c r="K666" s="101">
        <v>80</v>
      </c>
      <c r="L666" s="101"/>
      <c r="M666" s="101">
        <v>80</v>
      </c>
      <c r="N666" s="101"/>
      <c r="O666" s="101"/>
      <c r="P666" s="101"/>
      <c r="Q666" s="101"/>
      <c r="R666" s="101"/>
      <c r="S666" s="101"/>
      <c r="T666" s="101"/>
      <c r="U666" s="101"/>
      <c r="V666" s="101"/>
      <c r="W666" s="91"/>
      <c r="X666" s="89"/>
      <c r="Y666" s="92">
        <f t="shared" si="60"/>
        <v>0</v>
      </c>
      <c r="Z666" s="92">
        <f t="shared" si="61"/>
        <v>0</v>
      </c>
      <c r="AA666" s="92">
        <f t="shared" si="62"/>
        <v>0</v>
      </c>
      <c r="AB666" s="92">
        <f t="shared" si="63"/>
        <v>0</v>
      </c>
      <c r="AC666" s="92"/>
      <c r="AD666" s="92">
        <v>0</v>
      </c>
      <c r="AE666" s="92">
        <f t="shared" si="64"/>
        <v>0</v>
      </c>
      <c r="AF666" s="93">
        <v>0</v>
      </c>
      <c r="AG666" s="89"/>
      <c r="AH666" s="94"/>
      <c r="AI666" s="95" t="s">
        <v>4336</v>
      </c>
      <c r="AJ666" s="96" t="s">
        <v>4337</v>
      </c>
      <c r="AK666" s="97"/>
      <c r="AL666" s="89"/>
      <c r="AM666" s="100" t="s">
        <v>2354</v>
      </c>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114"/>
      <c r="CQ666" s="115"/>
      <c r="CR666" s="114"/>
      <c r="CS666" s="115"/>
      <c r="CT666" s="114"/>
      <c r="CU666" s="115"/>
      <c r="CV666" s="99">
        <f t="shared" si="65"/>
        <v>0</v>
      </c>
      <c r="CW666" s="114"/>
      <c r="CX666" s="115"/>
      <c r="CY666" s="114"/>
      <c r="CZ666" s="115"/>
      <c r="DA666" s="115"/>
      <c r="DB666" s="115"/>
      <c r="DC666" s="114"/>
      <c r="DD666" s="115"/>
      <c r="DE666" s="97"/>
      <c r="DF666" s="269"/>
    </row>
    <row r="667" spans="1:255" s="270" customFormat="1" ht="24" x14ac:dyDescent="0.2">
      <c r="A667" s="89">
        <v>40652</v>
      </c>
      <c r="B667" s="90" t="s">
        <v>4244</v>
      </c>
      <c r="C667" s="90" t="s">
        <v>4319</v>
      </c>
      <c r="D667" s="90" t="s">
        <v>2362</v>
      </c>
      <c r="E667" s="90" t="str">
        <f>VLOOKUP(B667&amp;C667,Divipola!$C$2:$F$1138,4,FALSE)</f>
        <v>76828</v>
      </c>
      <c r="F667" s="90"/>
      <c r="G667" s="101"/>
      <c r="H667" s="101"/>
      <c r="I667" s="101"/>
      <c r="J667" s="101">
        <v>100</v>
      </c>
      <c r="K667" s="101">
        <v>20</v>
      </c>
      <c r="L667" s="101">
        <v>1</v>
      </c>
      <c r="M667" s="101">
        <v>19</v>
      </c>
      <c r="N667" s="101"/>
      <c r="O667" s="101"/>
      <c r="P667" s="101"/>
      <c r="Q667" s="101"/>
      <c r="R667" s="101"/>
      <c r="S667" s="101"/>
      <c r="T667" s="101"/>
      <c r="U667" s="101"/>
      <c r="V667" s="101"/>
      <c r="W667" s="91"/>
      <c r="X667" s="89"/>
      <c r="Y667" s="92">
        <f t="shared" si="60"/>
        <v>0</v>
      </c>
      <c r="Z667" s="92">
        <f t="shared" si="61"/>
        <v>0</v>
      </c>
      <c r="AA667" s="92">
        <f t="shared" si="62"/>
        <v>0</v>
      </c>
      <c r="AB667" s="92">
        <f t="shared" si="63"/>
        <v>0</v>
      </c>
      <c r="AC667" s="92"/>
      <c r="AD667" s="92">
        <v>0</v>
      </c>
      <c r="AE667" s="92">
        <f t="shared" si="64"/>
        <v>0</v>
      </c>
      <c r="AF667" s="93">
        <v>0</v>
      </c>
      <c r="AG667" s="89"/>
      <c r="AH667" s="94"/>
      <c r="AI667" s="95" t="s">
        <v>4336</v>
      </c>
      <c r="AJ667" s="96" t="s">
        <v>4337</v>
      </c>
      <c r="AK667" s="97"/>
      <c r="AL667" s="89"/>
      <c r="AM667" s="100" t="s">
        <v>997</v>
      </c>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114"/>
      <c r="CQ667" s="115"/>
      <c r="CR667" s="114"/>
      <c r="CS667" s="115"/>
      <c r="CT667" s="114"/>
      <c r="CU667" s="115"/>
      <c r="CV667" s="99">
        <f t="shared" si="65"/>
        <v>0</v>
      </c>
      <c r="CW667" s="114"/>
      <c r="CX667" s="115"/>
      <c r="CY667" s="114"/>
      <c r="CZ667" s="115"/>
      <c r="DA667" s="115"/>
      <c r="DB667" s="115"/>
      <c r="DC667" s="114"/>
      <c r="DD667" s="115"/>
      <c r="DE667" s="97"/>
      <c r="DF667" s="269"/>
    </row>
    <row r="668" spans="1:255" s="270" customFormat="1" ht="48" x14ac:dyDescent="0.2">
      <c r="A668" s="89">
        <v>40652</v>
      </c>
      <c r="B668" s="90" t="s">
        <v>4244</v>
      </c>
      <c r="C668" s="90" t="s">
        <v>3451</v>
      </c>
      <c r="D668" s="90" t="s">
        <v>4264</v>
      </c>
      <c r="E668" s="90" t="str">
        <f>VLOOKUP(B668&amp;C668,Divipola!$C$2:$F$1138,4,FALSE)</f>
        <v>76834</v>
      </c>
      <c r="F668" s="90"/>
      <c r="G668" s="101">
        <v>1</v>
      </c>
      <c r="H668" s="101"/>
      <c r="I668" s="101"/>
      <c r="J668" s="101"/>
      <c r="K668" s="101"/>
      <c r="L668" s="101"/>
      <c r="M668" s="101"/>
      <c r="N668" s="101"/>
      <c r="O668" s="101"/>
      <c r="P668" s="101"/>
      <c r="Q668" s="101"/>
      <c r="R668" s="101"/>
      <c r="S668" s="101"/>
      <c r="T668" s="101"/>
      <c r="U668" s="101"/>
      <c r="V668" s="101"/>
      <c r="W668" s="91"/>
      <c r="X668" s="89"/>
      <c r="Y668" s="92">
        <f t="shared" si="60"/>
        <v>0</v>
      </c>
      <c r="Z668" s="92">
        <f t="shared" si="61"/>
        <v>0</v>
      </c>
      <c r="AA668" s="92">
        <f t="shared" si="62"/>
        <v>0</v>
      </c>
      <c r="AB668" s="92">
        <f t="shared" si="63"/>
        <v>0</v>
      </c>
      <c r="AC668" s="92"/>
      <c r="AD668" s="92">
        <v>0</v>
      </c>
      <c r="AE668" s="92">
        <f t="shared" si="64"/>
        <v>0</v>
      </c>
      <c r="AF668" s="93">
        <v>0</v>
      </c>
      <c r="AG668" s="89"/>
      <c r="AH668" s="94"/>
      <c r="AI668" s="95" t="s">
        <v>4336</v>
      </c>
      <c r="AJ668" s="96" t="s">
        <v>4337</v>
      </c>
      <c r="AK668" s="97"/>
      <c r="AL668" s="89"/>
      <c r="AM668" s="100" t="s">
        <v>3563</v>
      </c>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114"/>
      <c r="CQ668" s="115"/>
      <c r="CR668" s="114"/>
      <c r="CS668" s="115"/>
      <c r="CT668" s="114"/>
      <c r="CU668" s="115"/>
      <c r="CV668" s="99">
        <f t="shared" si="65"/>
        <v>0</v>
      </c>
      <c r="CW668" s="114"/>
      <c r="CX668" s="115"/>
      <c r="CY668" s="114"/>
      <c r="CZ668" s="115"/>
      <c r="DA668" s="115"/>
      <c r="DB668" s="115"/>
      <c r="DC668" s="114"/>
      <c r="DD668" s="115"/>
      <c r="DE668" s="97"/>
      <c r="DF668" s="269"/>
    </row>
    <row r="669" spans="1:255" s="270" customFormat="1" ht="36" x14ac:dyDescent="0.2">
      <c r="A669" s="89">
        <v>40653</v>
      </c>
      <c r="B669" s="90" t="s">
        <v>2218</v>
      </c>
      <c r="C669" s="90" t="s">
        <v>4413</v>
      </c>
      <c r="D669" s="90" t="s">
        <v>4264</v>
      </c>
      <c r="E669" s="90" t="str">
        <f>VLOOKUP(B669&amp;C669,Divipola!$C$2:$F$1138,4,FALSE)</f>
        <v>05120</v>
      </c>
      <c r="F669" s="90"/>
      <c r="G669" s="101"/>
      <c r="H669" s="101"/>
      <c r="I669" s="101"/>
      <c r="J669" s="101">
        <v>100</v>
      </c>
      <c r="K669" s="101">
        <v>20</v>
      </c>
      <c r="L669" s="101"/>
      <c r="M669" s="101">
        <v>20</v>
      </c>
      <c r="N669" s="101"/>
      <c r="O669" s="101"/>
      <c r="P669" s="101"/>
      <c r="Q669" s="101"/>
      <c r="R669" s="101"/>
      <c r="S669" s="101"/>
      <c r="T669" s="101"/>
      <c r="U669" s="101"/>
      <c r="V669" s="101"/>
      <c r="W669" s="91"/>
      <c r="X669" s="89"/>
      <c r="Y669" s="92">
        <f t="shared" si="60"/>
        <v>0</v>
      </c>
      <c r="Z669" s="92">
        <f t="shared" si="61"/>
        <v>0</v>
      </c>
      <c r="AA669" s="92">
        <f t="shared" si="62"/>
        <v>0</v>
      </c>
      <c r="AB669" s="92">
        <f t="shared" si="63"/>
        <v>0</v>
      </c>
      <c r="AC669" s="92"/>
      <c r="AD669" s="92">
        <v>0</v>
      </c>
      <c r="AE669" s="92">
        <f t="shared" si="64"/>
        <v>0</v>
      </c>
      <c r="AF669" s="93">
        <v>0</v>
      </c>
      <c r="AG669" s="89"/>
      <c r="AH669" s="94"/>
      <c r="AI669" s="102" t="s">
        <v>4336</v>
      </c>
      <c r="AJ669" s="96" t="s">
        <v>4337</v>
      </c>
      <c r="AK669" s="97"/>
      <c r="AL669" s="89"/>
      <c r="AM669" s="100" t="s">
        <v>3636</v>
      </c>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114"/>
      <c r="CQ669" s="115"/>
      <c r="CR669" s="114"/>
      <c r="CS669" s="115"/>
      <c r="CT669" s="114"/>
      <c r="CU669" s="115"/>
      <c r="CV669" s="99">
        <f t="shared" si="65"/>
        <v>0</v>
      </c>
      <c r="CW669" s="114"/>
      <c r="CX669" s="115"/>
      <c r="CY669" s="114"/>
      <c r="CZ669" s="115"/>
      <c r="DA669" s="115"/>
      <c r="DB669" s="115"/>
      <c r="DC669" s="114"/>
      <c r="DD669" s="115"/>
      <c r="DE669" s="97"/>
      <c r="DF669" s="269"/>
    </row>
    <row r="670" spans="1:255" s="270" customFormat="1" ht="36" x14ac:dyDescent="0.2">
      <c r="A670" s="89">
        <v>40653</v>
      </c>
      <c r="B670" s="106" t="s">
        <v>2218</v>
      </c>
      <c r="C670" s="106" t="s">
        <v>4307</v>
      </c>
      <c r="D670" s="90" t="s">
        <v>2362</v>
      </c>
      <c r="E670" s="90" t="str">
        <f>VLOOKUP(B670&amp;C670,Divipola!$C$2:$F$1138,4,FALSE)</f>
        <v>05789</v>
      </c>
      <c r="F670" s="90"/>
      <c r="G670" s="129"/>
      <c r="H670" s="129"/>
      <c r="I670" s="129"/>
      <c r="J670" s="129">
        <f>173*5</f>
        <v>865</v>
      </c>
      <c r="K670" s="129">
        <v>173</v>
      </c>
      <c r="L670" s="129"/>
      <c r="M670" s="129">
        <v>173</v>
      </c>
      <c r="N670" s="129"/>
      <c r="O670" s="129"/>
      <c r="P670" s="129"/>
      <c r="Q670" s="129"/>
      <c r="R670" s="129"/>
      <c r="S670" s="129"/>
      <c r="T670" s="129"/>
      <c r="U670" s="129"/>
      <c r="V670" s="129"/>
      <c r="W670" s="107"/>
      <c r="X670" s="105"/>
      <c r="Y670" s="117">
        <f t="shared" si="60"/>
        <v>0</v>
      </c>
      <c r="Z670" s="117">
        <f t="shared" si="61"/>
        <v>8500000</v>
      </c>
      <c r="AA670" s="117">
        <f t="shared" si="62"/>
        <v>36006400</v>
      </c>
      <c r="AB670" s="117">
        <f t="shared" si="63"/>
        <v>0</v>
      </c>
      <c r="AC670" s="124">
        <f>4000*1104+2000*40035</f>
        <v>84486000</v>
      </c>
      <c r="AD670" s="117">
        <v>0</v>
      </c>
      <c r="AE670" s="92">
        <f t="shared" si="64"/>
        <v>128992400</v>
      </c>
      <c r="AF670" s="93">
        <v>0</v>
      </c>
      <c r="AG670" s="105"/>
      <c r="AH670" s="108"/>
      <c r="AI670" s="109" t="s">
        <v>4346</v>
      </c>
      <c r="AJ670" s="110" t="s">
        <v>4347</v>
      </c>
      <c r="AK670" s="111"/>
      <c r="AL670" s="105"/>
      <c r="AM670" s="112" t="s">
        <v>4189</v>
      </c>
      <c r="AN670" s="107"/>
      <c r="AO670" s="107"/>
      <c r="AP670" s="107"/>
      <c r="AQ670" s="107"/>
      <c r="AR670" s="107"/>
      <c r="AS670" s="107"/>
      <c r="AT670" s="107"/>
      <c r="AU670" s="107"/>
      <c r="AV670" s="91"/>
      <c r="AW670" s="91"/>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18"/>
      <c r="CQ670" s="119"/>
      <c r="CR670" s="118"/>
      <c r="CS670" s="119"/>
      <c r="CT670" s="118"/>
      <c r="CU670" s="119"/>
      <c r="CV670" s="99">
        <f t="shared" si="65"/>
        <v>0</v>
      </c>
      <c r="CW670" s="118"/>
      <c r="CX670" s="119"/>
      <c r="CY670" s="118">
        <v>100</v>
      </c>
      <c r="CZ670" s="119">
        <f>100*85000</f>
        <v>8500000</v>
      </c>
      <c r="DA670" s="119"/>
      <c r="DB670" s="119"/>
      <c r="DC670" s="118">
        <f>800+800</f>
        <v>1600</v>
      </c>
      <c r="DD670" s="119">
        <f>800*17168+800*27840</f>
        <v>36006400</v>
      </c>
      <c r="DE670" s="111"/>
      <c r="DF670" s="269"/>
    </row>
    <row r="671" spans="1:255" s="270" customFormat="1" ht="36" x14ac:dyDescent="0.2">
      <c r="A671" s="89">
        <v>40653</v>
      </c>
      <c r="B671" s="90" t="s">
        <v>2218</v>
      </c>
      <c r="C671" s="90" t="s">
        <v>4257</v>
      </c>
      <c r="D671" s="90" t="s">
        <v>4264</v>
      </c>
      <c r="E671" s="90" t="str">
        <f>VLOOKUP(B671&amp;C671,Divipola!$C$2:$F$1138,4,FALSE)</f>
        <v>05854</v>
      </c>
      <c r="F671" s="90"/>
      <c r="G671" s="101"/>
      <c r="H671" s="101"/>
      <c r="I671" s="101"/>
      <c r="J671" s="101">
        <v>750</v>
      </c>
      <c r="K671" s="101">
        <v>150</v>
      </c>
      <c r="L671" s="101"/>
      <c r="M671" s="101">
        <v>150</v>
      </c>
      <c r="N671" s="101"/>
      <c r="O671" s="101"/>
      <c r="P671" s="101"/>
      <c r="Q671" s="101"/>
      <c r="R671" s="101"/>
      <c r="S671" s="101"/>
      <c r="T671" s="101"/>
      <c r="U671" s="101"/>
      <c r="V671" s="101"/>
      <c r="W671" s="91"/>
      <c r="X671" s="89"/>
      <c r="Y671" s="92">
        <f t="shared" si="60"/>
        <v>0</v>
      </c>
      <c r="Z671" s="92">
        <f t="shared" si="61"/>
        <v>0</v>
      </c>
      <c r="AA671" s="92">
        <f t="shared" si="62"/>
        <v>0</v>
      </c>
      <c r="AB671" s="92">
        <f t="shared" si="63"/>
        <v>0</v>
      </c>
      <c r="AC671" s="92"/>
      <c r="AD671" s="92">
        <v>0</v>
      </c>
      <c r="AE671" s="92">
        <f t="shared" si="64"/>
        <v>0</v>
      </c>
      <c r="AF671" s="93">
        <v>0</v>
      </c>
      <c r="AG671" s="89"/>
      <c r="AH671" s="94"/>
      <c r="AI671" s="102" t="s">
        <v>4336</v>
      </c>
      <c r="AJ671" s="96" t="s">
        <v>4337</v>
      </c>
      <c r="AK671" s="97"/>
      <c r="AL671" s="89"/>
      <c r="AM671" s="100" t="s">
        <v>1066</v>
      </c>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114"/>
      <c r="CQ671" s="115"/>
      <c r="CR671" s="114"/>
      <c r="CS671" s="115"/>
      <c r="CT671" s="114"/>
      <c r="CU671" s="115"/>
      <c r="CV671" s="99">
        <f t="shared" si="65"/>
        <v>0</v>
      </c>
      <c r="CW671" s="114"/>
      <c r="CX671" s="115"/>
      <c r="CY671" s="114"/>
      <c r="CZ671" s="115"/>
      <c r="DA671" s="115"/>
      <c r="DB671" s="115"/>
      <c r="DC671" s="114"/>
      <c r="DD671" s="115"/>
      <c r="DE671" s="97"/>
      <c r="DF671" s="269"/>
    </row>
    <row r="672" spans="1:255" s="270" customFormat="1" ht="60" x14ac:dyDescent="0.2">
      <c r="A672" s="89">
        <v>40653</v>
      </c>
      <c r="B672" s="90" t="s">
        <v>1116</v>
      </c>
      <c r="C672" s="90" t="s">
        <v>1116</v>
      </c>
      <c r="D672" s="90" t="s">
        <v>4264</v>
      </c>
      <c r="E672" s="90" t="str">
        <f>VLOOKUP(B672&amp;C672,Divipola!$C$2:$F$1138,4,FALSE)</f>
        <v>11001</v>
      </c>
      <c r="F672" s="90"/>
      <c r="G672" s="101"/>
      <c r="H672" s="101"/>
      <c r="I672" s="101"/>
      <c r="J672" s="101">
        <v>68</v>
      </c>
      <c r="K672" s="101">
        <v>17</v>
      </c>
      <c r="L672" s="101"/>
      <c r="M672" s="101">
        <v>17</v>
      </c>
      <c r="N672" s="101"/>
      <c r="O672" s="101"/>
      <c r="P672" s="101"/>
      <c r="Q672" s="101"/>
      <c r="R672" s="101"/>
      <c r="S672" s="101"/>
      <c r="T672" s="101"/>
      <c r="U672" s="101"/>
      <c r="V672" s="101"/>
      <c r="W672" s="91"/>
      <c r="X672" s="89"/>
      <c r="Y672" s="92">
        <f t="shared" si="60"/>
        <v>0</v>
      </c>
      <c r="Z672" s="92">
        <f t="shared" si="61"/>
        <v>0</v>
      </c>
      <c r="AA672" s="92">
        <f t="shared" si="62"/>
        <v>0</v>
      </c>
      <c r="AB672" s="92">
        <f t="shared" si="63"/>
        <v>0</v>
      </c>
      <c r="AC672" s="92"/>
      <c r="AD672" s="92">
        <v>0</v>
      </c>
      <c r="AE672" s="92">
        <f t="shared" si="64"/>
        <v>0</v>
      </c>
      <c r="AF672" s="93">
        <v>0</v>
      </c>
      <c r="AG672" s="89"/>
      <c r="AH672" s="94"/>
      <c r="AI672" s="95" t="s">
        <v>4336</v>
      </c>
      <c r="AJ672" s="96" t="s">
        <v>4337</v>
      </c>
      <c r="AK672" s="97"/>
      <c r="AL672" s="89"/>
      <c r="AM672" s="100" t="s">
        <v>3267</v>
      </c>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114"/>
      <c r="CQ672" s="115"/>
      <c r="CR672" s="114"/>
      <c r="CS672" s="115"/>
      <c r="CT672" s="114"/>
      <c r="CU672" s="115"/>
      <c r="CV672" s="99">
        <f t="shared" si="65"/>
        <v>0</v>
      </c>
      <c r="CW672" s="114"/>
      <c r="CX672" s="115"/>
      <c r="CY672" s="114"/>
      <c r="CZ672" s="115"/>
      <c r="DA672" s="115"/>
      <c r="DB672" s="115"/>
      <c r="DC672" s="114"/>
      <c r="DD672" s="115"/>
      <c r="DE672" s="97"/>
      <c r="DF672" s="269"/>
    </row>
    <row r="673" spans="1:110" s="270" customFormat="1" ht="36" x14ac:dyDescent="0.2">
      <c r="A673" s="89">
        <v>40653</v>
      </c>
      <c r="B673" s="90" t="s">
        <v>4352</v>
      </c>
      <c r="C673" s="90" t="s">
        <v>4345</v>
      </c>
      <c r="D673" s="90" t="s">
        <v>4264</v>
      </c>
      <c r="E673" s="90">
        <f>VLOOKUP(B673&amp;C673,Divipola!$C$2:$F$1138,4,FALSE)</f>
        <v>13</v>
      </c>
      <c r="F673" s="90"/>
      <c r="G673" s="101"/>
      <c r="H673" s="101"/>
      <c r="I673" s="101"/>
      <c r="J673" s="101"/>
      <c r="K673" s="101"/>
      <c r="L673" s="101"/>
      <c r="M673" s="101"/>
      <c r="N673" s="101"/>
      <c r="O673" s="101"/>
      <c r="P673" s="101"/>
      <c r="Q673" s="101"/>
      <c r="R673" s="101"/>
      <c r="S673" s="101"/>
      <c r="T673" s="101"/>
      <c r="U673" s="101"/>
      <c r="V673" s="101"/>
      <c r="W673" s="91"/>
      <c r="X673" s="89"/>
      <c r="Y673" s="92">
        <f t="shared" si="60"/>
        <v>200000000</v>
      </c>
      <c r="Z673" s="92">
        <f t="shared" si="61"/>
        <v>0</v>
      </c>
      <c r="AA673" s="92">
        <f t="shared" si="62"/>
        <v>0</v>
      </c>
      <c r="AB673" s="92">
        <f t="shared" si="63"/>
        <v>454570000</v>
      </c>
      <c r="AC673" s="92"/>
      <c r="AD673" s="92">
        <v>99993500</v>
      </c>
      <c r="AE673" s="92">
        <f t="shared" si="64"/>
        <v>754563500</v>
      </c>
      <c r="AF673" s="93">
        <v>0</v>
      </c>
      <c r="AG673" s="89"/>
      <c r="AH673" s="94"/>
      <c r="AI673" s="95" t="s">
        <v>4346</v>
      </c>
      <c r="AJ673" s="96" t="s">
        <v>4347</v>
      </c>
      <c r="AK673" s="97"/>
      <c r="AL673" s="89"/>
      <c r="AM673" s="100" t="s">
        <v>917</v>
      </c>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v>400</v>
      </c>
      <c r="CA673" s="91">
        <f>400*500000</f>
        <v>200000000</v>
      </c>
      <c r="CB673" s="91"/>
      <c r="CC673" s="91"/>
      <c r="CD673" s="91"/>
      <c r="CE673" s="91"/>
      <c r="CF673" s="91"/>
      <c r="CG673" s="91"/>
      <c r="CH673" s="91"/>
      <c r="CI673" s="91"/>
      <c r="CJ673" s="91"/>
      <c r="CK673" s="91"/>
      <c r="CL673" s="91"/>
      <c r="CM673" s="91"/>
      <c r="CN673" s="91"/>
      <c r="CO673" s="91"/>
      <c r="CP673" s="114"/>
      <c r="CQ673" s="115"/>
      <c r="CR673" s="114"/>
      <c r="CS673" s="115"/>
      <c r="CT673" s="114"/>
      <c r="CU673" s="115"/>
      <c r="CV673" s="99">
        <f t="shared" si="65"/>
        <v>200000000</v>
      </c>
      <c r="CW673" s="114">
        <f>200000+300000</f>
        <v>500000</v>
      </c>
      <c r="CX673" s="115">
        <f>100000*904.8+100000*910+150000*910+150000*910.6</f>
        <v>454570000</v>
      </c>
      <c r="CY673" s="114"/>
      <c r="CZ673" s="115"/>
      <c r="DA673" s="115"/>
      <c r="DB673" s="115"/>
      <c r="DC673" s="114"/>
      <c r="DD673" s="115"/>
      <c r="DE673" s="97"/>
      <c r="DF673" s="269"/>
    </row>
    <row r="674" spans="1:110" s="270" customFormat="1" ht="84" x14ac:dyDescent="0.2">
      <c r="A674" s="89">
        <v>40653</v>
      </c>
      <c r="B674" s="90" t="s">
        <v>4261</v>
      </c>
      <c r="C674" s="90" t="s">
        <v>3533</v>
      </c>
      <c r="D674" s="90" t="s">
        <v>2362</v>
      </c>
      <c r="E674" s="90" t="str">
        <f>VLOOKUP(B674&amp;C674,Divipola!$C$2:$F$1138,4,FALSE)</f>
        <v>15131</v>
      </c>
      <c r="F674" s="90"/>
      <c r="G674" s="101"/>
      <c r="H674" s="101"/>
      <c r="I674" s="101"/>
      <c r="J674" s="101">
        <v>65</v>
      </c>
      <c r="K674" s="101">
        <v>13</v>
      </c>
      <c r="L674" s="101"/>
      <c r="M674" s="101">
        <v>13</v>
      </c>
      <c r="N674" s="101">
        <v>3</v>
      </c>
      <c r="O674" s="101"/>
      <c r="P674" s="101"/>
      <c r="Q674" s="101"/>
      <c r="R674" s="101"/>
      <c r="S674" s="101"/>
      <c r="T674" s="101"/>
      <c r="U674" s="101"/>
      <c r="V674" s="101"/>
      <c r="W674" s="91"/>
      <c r="X674" s="89">
        <v>40673</v>
      </c>
      <c r="Y674" s="92">
        <f t="shared" si="60"/>
        <v>0</v>
      </c>
      <c r="Z674" s="92">
        <f t="shared" si="61"/>
        <v>0</v>
      </c>
      <c r="AA674" s="92">
        <f t="shared" si="62"/>
        <v>0</v>
      </c>
      <c r="AB674" s="92">
        <f t="shared" si="63"/>
        <v>0</v>
      </c>
      <c r="AC674" s="92"/>
      <c r="AD674" s="92">
        <v>76000000</v>
      </c>
      <c r="AE674" s="92">
        <f t="shared" si="64"/>
        <v>76000000</v>
      </c>
      <c r="AF674" s="93">
        <v>0</v>
      </c>
      <c r="AG674" s="89"/>
      <c r="AH674" s="94"/>
      <c r="AI674" s="95" t="s">
        <v>4346</v>
      </c>
      <c r="AJ674" s="96" t="s">
        <v>4347</v>
      </c>
      <c r="AK674" s="97"/>
      <c r="AL674" s="89" t="s">
        <v>4265</v>
      </c>
      <c r="AM674" s="100" t="s">
        <v>1104</v>
      </c>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114"/>
      <c r="CQ674" s="115"/>
      <c r="CR674" s="114"/>
      <c r="CS674" s="115"/>
      <c r="CT674" s="114"/>
      <c r="CU674" s="115"/>
      <c r="CV674" s="99">
        <f t="shared" si="65"/>
        <v>0</v>
      </c>
      <c r="CW674" s="114"/>
      <c r="CX674" s="115"/>
      <c r="CY674" s="114"/>
      <c r="CZ674" s="115"/>
      <c r="DA674" s="115"/>
      <c r="DB674" s="115"/>
      <c r="DC674" s="114"/>
      <c r="DD674" s="115"/>
      <c r="DE674" s="97">
        <v>2</v>
      </c>
      <c r="DF674" s="269"/>
    </row>
    <row r="675" spans="1:110" s="270" customFormat="1" ht="24" x14ac:dyDescent="0.2">
      <c r="A675" s="89">
        <v>40653</v>
      </c>
      <c r="B675" s="90" t="s">
        <v>4261</v>
      </c>
      <c r="C675" s="90" t="s">
        <v>1184</v>
      </c>
      <c r="D675" s="90" t="s">
        <v>2362</v>
      </c>
      <c r="E675" s="90" t="str">
        <f>VLOOKUP(B675&amp;C675,Divipola!$C$2:$F$1138,4,FALSE)</f>
        <v>15362</v>
      </c>
      <c r="F675" s="4"/>
      <c r="G675" s="274"/>
      <c r="H675" s="274"/>
      <c r="I675" s="274"/>
      <c r="J675" s="124">
        <v>36</v>
      </c>
      <c r="K675" s="124">
        <v>11</v>
      </c>
      <c r="L675" s="124">
        <v>2</v>
      </c>
      <c r="M675" s="124">
        <v>6</v>
      </c>
      <c r="N675" s="208"/>
      <c r="O675" s="208"/>
      <c r="P675" s="208"/>
      <c r="Q675" s="208"/>
      <c r="R675" s="208"/>
      <c r="S675" s="208"/>
      <c r="T675" s="208"/>
      <c r="U675" s="208"/>
      <c r="V675" s="208"/>
      <c r="W675" s="19"/>
      <c r="X675" s="17"/>
      <c r="Y675" s="5">
        <f t="shared" si="60"/>
        <v>0</v>
      </c>
      <c r="Z675" s="5">
        <f t="shared" si="61"/>
        <v>0</v>
      </c>
      <c r="AA675" s="5">
        <f t="shared" si="62"/>
        <v>0</v>
      </c>
      <c r="AB675" s="5">
        <f t="shared" si="63"/>
        <v>0</v>
      </c>
      <c r="AC675" s="5"/>
      <c r="AD675" s="5">
        <v>0</v>
      </c>
      <c r="AE675" s="5">
        <f t="shared" si="64"/>
        <v>0</v>
      </c>
      <c r="AF675" s="70">
        <v>0</v>
      </c>
      <c r="AG675" s="17"/>
      <c r="AH675" s="18"/>
      <c r="AI675" s="47" t="s">
        <v>4336</v>
      </c>
      <c r="AJ675" s="73" t="s">
        <v>4337</v>
      </c>
      <c r="AK675" s="275"/>
      <c r="AL675" s="276"/>
      <c r="AM675" s="100" t="s">
        <v>4438</v>
      </c>
      <c r="AN675" s="19"/>
      <c r="AO675" s="19"/>
      <c r="AP675" s="19"/>
      <c r="AQ675" s="19"/>
      <c r="AR675" s="19"/>
      <c r="AS675" s="19"/>
      <c r="AT675" s="19"/>
      <c r="AU675" s="19"/>
      <c r="AV675" s="19"/>
      <c r="AW675" s="19"/>
      <c r="AX675" s="107"/>
      <c r="AY675" s="107"/>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39"/>
      <c r="CO675" s="138"/>
      <c r="CP675" s="139"/>
      <c r="CQ675" s="138"/>
      <c r="CR675" s="139"/>
      <c r="CS675" s="138"/>
      <c r="CT675" s="72"/>
      <c r="CU675" s="139"/>
      <c r="CV675" s="99">
        <f t="shared" si="65"/>
        <v>0</v>
      </c>
      <c r="CW675" s="139"/>
      <c r="CX675" s="138"/>
      <c r="CY675" s="138"/>
      <c r="CZ675" s="138"/>
      <c r="DA675" s="139"/>
      <c r="DB675" s="138"/>
      <c r="DC675" s="45"/>
      <c r="DD675" s="138"/>
      <c r="DE675" s="45"/>
      <c r="DF675" s="269">
        <v>1730</v>
      </c>
    </row>
    <row r="676" spans="1:110" s="270" customFormat="1" ht="36" x14ac:dyDescent="0.2">
      <c r="A676" s="89">
        <v>40653</v>
      </c>
      <c r="B676" s="90" t="s">
        <v>4261</v>
      </c>
      <c r="C676" s="90" t="s">
        <v>1317</v>
      </c>
      <c r="D676" s="90" t="s">
        <v>4264</v>
      </c>
      <c r="E676" s="90" t="str">
        <f>VLOOKUP(B676&amp;C676,Divipola!$C$2:$F$1138,4,FALSE)</f>
        <v>15762</v>
      </c>
      <c r="F676" s="4"/>
      <c r="G676" s="274"/>
      <c r="H676" s="274"/>
      <c r="I676" s="274"/>
      <c r="J676" s="124">
        <v>115</v>
      </c>
      <c r="K676" s="124">
        <v>23</v>
      </c>
      <c r="L676" s="124"/>
      <c r="M676" s="124"/>
      <c r="N676" s="208"/>
      <c r="O676" s="208"/>
      <c r="P676" s="208"/>
      <c r="Q676" s="208"/>
      <c r="R676" s="208"/>
      <c r="S676" s="208"/>
      <c r="T676" s="208"/>
      <c r="U676" s="208"/>
      <c r="V676" s="208"/>
      <c r="W676" s="19"/>
      <c r="X676" s="17"/>
      <c r="Y676" s="5">
        <f t="shared" si="60"/>
        <v>0</v>
      </c>
      <c r="Z676" s="5">
        <f t="shared" si="61"/>
        <v>0</v>
      </c>
      <c r="AA676" s="5">
        <f t="shared" si="62"/>
        <v>0</v>
      </c>
      <c r="AB676" s="5">
        <f t="shared" si="63"/>
        <v>0</v>
      </c>
      <c r="AC676" s="5"/>
      <c r="AD676" s="5">
        <v>0</v>
      </c>
      <c r="AE676" s="5">
        <f t="shared" si="64"/>
        <v>0</v>
      </c>
      <c r="AF676" s="70">
        <v>0</v>
      </c>
      <c r="AG676" s="17"/>
      <c r="AH676" s="18"/>
      <c r="AI676" s="47" t="s">
        <v>4346</v>
      </c>
      <c r="AJ676" s="73" t="s">
        <v>4347</v>
      </c>
      <c r="AK676" s="275"/>
      <c r="AL676" s="100" t="s">
        <v>2090</v>
      </c>
      <c r="AM676" s="100" t="s">
        <v>4437</v>
      </c>
      <c r="AN676" s="19"/>
      <c r="AO676" s="19"/>
      <c r="AP676" s="19"/>
      <c r="AQ676" s="19"/>
      <c r="AR676" s="19"/>
      <c r="AS676" s="19"/>
      <c r="AT676" s="19"/>
      <c r="AU676" s="19"/>
      <c r="AV676" s="19"/>
      <c r="AW676" s="19"/>
      <c r="AX676" s="107"/>
      <c r="AY676" s="107"/>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39"/>
      <c r="CO676" s="138"/>
      <c r="CP676" s="139"/>
      <c r="CQ676" s="138"/>
      <c r="CR676" s="139"/>
      <c r="CS676" s="138"/>
      <c r="CT676" s="72"/>
      <c r="CU676" s="139"/>
      <c r="CV676" s="99">
        <f t="shared" si="65"/>
        <v>0</v>
      </c>
      <c r="CW676" s="139"/>
      <c r="CX676" s="138"/>
      <c r="CY676" s="138"/>
      <c r="CZ676" s="138"/>
      <c r="DA676" s="139"/>
      <c r="DB676" s="138"/>
      <c r="DC676" s="45"/>
      <c r="DD676" s="138"/>
      <c r="DE676" s="45"/>
      <c r="DF676" s="269"/>
    </row>
    <row r="677" spans="1:110" s="270" customFormat="1" ht="24" x14ac:dyDescent="0.2">
      <c r="A677" s="89">
        <v>40653</v>
      </c>
      <c r="B677" s="90" t="s">
        <v>2225</v>
      </c>
      <c r="C677" s="90" t="s">
        <v>2205</v>
      </c>
      <c r="D677" s="90" t="s">
        <v>2362</v>
      </c>
      <c r="E677" s="90" t="str">
        <f>VLOOKUP(B677&amp;C677,Divipola!$C$2:$F$1138,4,FALSE)</f>
        <v>27001</v>
      </c>
      <c r="F677" s="90"/>
      <c r="G677" s="101"/>
      <c r="H677" s="101"/>
      <c r="I677" s="101"/>
      <c r="J677" s="101">
        <v>16</v>
      </c>
      <c r="K677" s="101">
        <v>2</v>
      </c>
      <c r="L677" s="101"/>
      <c r="M677" s="101">
        <v>2</v>
      </c>
      <c r="N677" s="101"/>
      <c r="O677" s="101"/>
      <c r="P677" s="101"/>
      <c r="Q677" s="101"/>
      <c r="R677" s="101"/>
      <c r="S677" s="101"/>
      <c r="T677" s="101"/>
      <c r="U677" s="101"/>
      <c r="V677" s="101"/>
      <c r="W677" s="91"/>
      <c r="X677" s="89"/>
      <c r="Y677" s="92">
        <f t="shared" si="60"/>
        <v>0</v>
      </c>
      <c r="Z677" s="92">
        <f t="shared" si="61"/>
        <v>0</v>
      </c>
      <c r="AA677" s="92">
        <f t="shared" si="62"/>
        <v>0</v>
      </c>
      <c r="AB677" s="92">
        <f t="shared" si="63"/>
        <v>0</v>
      </c>
      <c r="AC677" s="92"/>
      <c r="AD677" s="92">
        <v>0</v>
      </c>
      <c r="AE677" s="92">
        <f t="shared" si="64"/>
        <v>0</v>
      </c>
      <c r="AF677" s="93">
        <v>0</v>
      </c>
      <c r="AG677" s="89"/>
      <c r="AH677" s="94"/>
      <c r="AI677" s="95" t="s">
        <v>4336</v>
      </c>
      <c r="AJ677" s="96" t="s">
        <v>4337</v>
      </c>
      <c r="AK677" s="97"/>
      <c r="AL677" s="89"/>
      <c r="AM677" s="100" t="s">
        <v>2704</v>
      </c>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114"/>
      <c r="CQ677" s="115"/>
      <c r="CR677" s="114"/>
      <c r="CS677" s="115"/>
      <c r="CT677" s="114"/>
      <c r="CU677" s="115"/>
      <c r="CV677" s="99">
        <f t="shared" si="65"/>
        <v>0</v>
      </c>
      <c r="CW677" s="114"/>
      <c r="CX677" s="115"/>
      <c r="CY677" s="114"/>
      <c r="CZ677" s="115"/>
      <c r="DA677" s="115"/>
      <c r="DB677" s="115"/>
      <c r="DC677" s="114"/>
      <c r="DD677" s="115"/>
      <c r="DE677" s="97"/>
      <c r="DF677" s="269"/>
    </row>
    <row r="678" spans="1:110" s="270" customFormat="1" ht="36" x14ac:dyDescent="0.2">
      <c r="A678" s="89">
        <v>40653</v>
      </c>
      <c r="B678" s="90" t="s">
        <v>2225</v>
      </c>
      <c r="C678" s="90" t="s">
        <v>4241</v>
      </c>
      <c r="D678" s="90" t="s">
        <v>3346</v>
      </c>
      <c r="E678" s="90" t="str">
        <f>VLOOKUP(B678&amp;C678,Divipola!$C$2:$F$1138,4,FALSE)</f>
        <v>27660</v>
      </c>
      <c r="F678" s="90"/>
      <c r="G678" s="101"/>
      <c r="H678" s="101"/>
      <c r="I678" s="101"/>
      <c r="J678" s="101">
        <f>580*5</f>
        <v>2900</v>
      </c>
      <c r="K678" s="101">
        <f>30+550</f>
        <v>580</v>
      </c>
      <c r="L678" s="101"/>
      <c r="M678" s="101">
        <v>30</v>
      </c>
      <c r="N678" s="101"/>
      <c r="O678" s="101"/>
      <c r="P678" s="101"/>
      <c r="Q678" s="101"/>
      <c r="R678" s="101"/>
      <c r="S678" s="101"/>
      <c r="T678" s="101"/>
      <c r="U678" s="101"/>
      <c r="V678" s="101"/>
      <c r="W678" s="91"/>
      <c r="X678" s="89"/>
      <c r="Y678" s="92">
        <f t="shared" si="60"/>
        <v>5600000</v>
      </c>
      <c r="Z678" s="92">
        <f t="shared" si="61"/>
        <v>0</v>
      </c>
      <c r="AA678" s="92">
        <f t="shared" si="62"/>
        <v>44000000</v>
      </c>
      <c r="AB678" s="92">
        <f t="shared" si="63"/>
        <v>0</v>
      </c>
      <c r="AC678" s="92"/>
      <c r="AD678" s="92">
        <v>25000000</v>
      </c>
      <c r="AE678" s="92">
        <f t="shared" si="64"/>
        <v>74600000</v>
      </c>
      <c r="AF678" s="93">
        <v>0</v>
      </c>
      <c r="AG678" s="89"/>
      <c r="AH678" s="94"/>
      <c r="AI678" s="95" t="s">
        <v>4346</v>
      </c>
      <c r="AJ678" s="96" t="s">
        <v>4347</v>
      </c>
      <c r="AK678" s="97"/>
      <c r="AL678" s="89"/>
      <c r="AM678" s="100" t="s">
        <v>2113</v>
      </c>
      <c r="AN678" s="91"/>
      <c r="AO678" s="91"/>
      <c r="AP678" s="91"/>
      <c r="AQ678" s="91"/>
      <c r="AR678" s="91"/>
      <c r="AS678" s="91"/>
      <c r="AT678" s="91"/>
      <c r="AU678" s="91"/>
      <c r="AV678" s="91"/>
      <c r="AW678" s="91"/>
      <c r="AX678" s="91"/>
      <c r="AY678" s="91"/>
      <c r="AZ678" s="91">
        <v>100</v>
      </c>
      <c r="BA678" s="91">
        <f>100*56000</f>
        <v>5600000</v>
      </c>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114"/>
      <c r="CQ678" s="115"/>
      <c r="CR678" s="114"/>
      <c r="CS678" s="115"/>
      <c r="CT678" s="114"/>
      <c r="CU678" s="115"/>
      <c r="CV678" s="99">
        <f t="shared" si="65"/>
        <v>5600000</v>
      </c>
      <c r="CW678" s="114"/>
      <c r="CX678" s="115"/>
      <c r="CY678" s="114"/>
      <c r="CZ678" s="115"/>
      <c r="DA678" s="115"/>
      <c r="DB678" s="115"/>
      <c r="DC678" s="114">
        <v>2000</v>
      </c>
      <c r="DD678" s="115">
        <f>2000*22000</f>
        <v>44000000</v>
      </c>
      <c r="DE678" s="97"/>
      <c r="DF678" s="269"/>
    </row>
    <row r="679" spans="1:110" s="270" customFormat="1" x14ac:dyDescent="0.2">
      <c r="A679" s="89">
        <v>40653</v>
      </c>
      <c r="B679" s="90" t="s">
        <v>4282</v>
      </c>
      <c r="C679" s="90" t="s">
        <v>4345</v>
      </c>
      <c r="D679" s="90" t="s">
        <v>4264</v>
      </c>
      <c r="E679" s="90">
        <f>VLOOKUP(B679&amp;C679,Divipola!$C$2:$F$1138,4,FALSE)</f>
        <v>23</v>
      </c>
      <c r="F679" s="90"/>
      <c r="G679" s="101"/>
      <c r="H679" s="101"/>
      <c r="I679" s="101"/>
      <c r="J679" s="101"/>
      <c r="K679" s="101"/>
      <c r="L679" s="101"/>
      <c r="M679" s="101"/>
      <c r="N679" s="101"/>
      <c r="O679" s="101"/>
      <c r="P679" s="101"/>
      <c r="Q679" s="101"/>
      <c r="R679" s="101"/>
      <c r="S679" s="101"/>
      <c r="T679" s="101"/>
      <c r="U679" s="101"/>
      <c r="V679" s="101"/>
      <c r="W679" s="91"/>
      <c r="X679" s="89"/>
      <c r="Y679" s="92">
        <f t="shared" si="60"/>
        <v>0</v>
      </c>
      <c r="Z679" s="92">
        <f t="shared" si="61"/>
        <v>0</v>
      </c>
      <c r="AA679" s="92">
        <f t="shared" si="62"/>
        <v>0</v>
      </c>
      <c r="AB679" s="92">
        <f t="shared" si="63"/>
        <v>91060000</v>
      </c>
      <c r="AC679" s="92"/>
      <c r="AD679" s="92">
        <v>0</v>
      </c>
      <c r="AE679" s="92">
        <f t="shared" si="64"/>
        <v>91060000</v>
      </c>
      <c r="AF679" s="93">
        <v>0</v>
      </c>
      <c r="AG679" s="89"/>
      <c r="AH679" s="94"/>
      <c r="AI679" s="95" t="s">
        <v>4346</v>
      </c>
      <c r="AJ679" s="96" t="s">
        <v>4347</v>
      </c>
      <c r="AK679" s="97"/>
      <c r="AL679" s="89"/>
      <c r="AM679" s="100"/>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114"/>
      <c r="CQ679" s="115"/>
      <c r="CR679" s="114"/>
      <c r="CS679" s="115"/>
      <c r="CT679" s="114"/>
      <c r="CU679" s="115"/>
      <c r="CV679" s="99">
        <f t="shared" si="65"/>
        <v>0</v>
      </c>
      <c r="CW679" s="114">
        <v>100000</v>
      </c>
      <c r="CX679" s="115">
        <f>100000*910.6</f>
        <v>91060000</v>
      </c>
      <c r="CY679" s="114"/>
      <c r="CZ679" s="115"/>
      <c r="DA679" s="115"/>
      <c r="DB679" s="115"/>
      <c r="DC679" s="114"/>
      <c r="DD679" s="115"/>
      <c r="DE679" s="97"/>
      <c r="DF679" s="269"/>
    </row>
    <row r="680" spans="1:110" s="270" customFormat="1" ht="96" x14ac:dyDescent="0.2">
      <c r="A680" s="89">
        <v>40653</v>
      </c>
      <c r="B680" s="90" t="s">
        <v>4344</v>
      </c>
      <c r="C680" s="90" t="s">
        <v>4511</v>
      </c>
      <c r="D680" s="90" t="s">
        <v>4264</v>
      </c>
      <c r="E680" s="90" t="str">
        <f>VLOOKUP(B680&amp;C680,Divipola!$C$2:$F$1138,4,FALSE)</f>
        <v>25183</v>
      </c>
      <c r="F680" s="90"/>
      <c r="G680" s="101"/>
      <c r="H680" s="101"/>
      <c r="I680" s="101"/>
      <c r="J680" s="101">
        <v>111</v>
      </c>
      <c r="K680" s="101">
        <v>28</v>
      </c>
      <c r="L680" s="101">
        <v>4</v>
      </c>
      <c r="M680" s="101">
        <v>7</v>
      </c>
      <c r="N680" s="101"/>
      <c r="O680" s="101"/>
      <c r="P680" s="101"/>
      <c r="Q680" s="101"/>
      <c r="R680" s="101"/>
      <c r="S680" s="101"/>
      <c r="T680" s="101"/>
      <c r="U680" s="101"/>
      <c r="V680" s="101">
        <v>450</v>
      </c>
      <c r="W680" s="91"/>
      <c r="X680" s="89"/>
      <c r="Y680" s="92">
        <f t="shared" si="60"/>
        <v>0</v>
      </c>
      <c r="Z680" s="92">
        <f t="shared" si="61"/>
        <v>0</v>
      </c>
      <c r="AA680" s="92">
        <f t="shared" si="62"/>
        <v>0</v>
      </c>
      <c r="AB680" s="92">
        <f t="shared" si="63"/>
        <v>0</v>
      </c>
      <c r="AC680" s="92"/>
      <c r="AD680" s="92">
        <v>0</v>
      </c>
      <c r="AE680" s="92">
        <f t="shared" si="64"/>
        <v>0</v>
      </c>
      <c r="AF680" s="93">
        <v>0</v>
      </c>
      <c r="AG680" s="89"/>
      <c r="AH680" s="94"/>
      <c r="AI680" s="102" t="s">
        <v>4336</v>
      </c>
      <c r="AJ680" s="96" t="s">
        <v>4337</v>
      </c>
      <c r="AK680" s="97"/>
      <c r="AL680" s="89"/>
      <c r="AM680" s="100" t="s">
        <v>4540</v>
      </c>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114"/>
      <c r="CQ680" s="115"/>
      <c r="CR680" s="114"/>
      <c r="CS680" s="115"/>
      <c r="CT680" s="114"/>
      <c r="CU680" s="115"/>
      <c r="CV680" s="99">
        <f t="shared" si="65"/>
        <v>0</v>
      </c>
      <c r="CW680" s="114"/>
      <c r="CX680" s="115"/>
      <c r="CY680" s="114"/>
      <c r="CZ680" s="115"/>
      <c r="DA680" s="115"/>
      <c r="DB680" s="115"/>
      <c r="DC680" s="114"/>
      <c r="DD680" s="115"/>
      <c r="DE680" s="97"/>
      <c r="DF680" s="269"/>
    </row>
    <row r="681" spans="1:110" s="270" customFormat="1" ht="36" x14ac:dyDescent="0.2">
      <c r="A681" s="89">
        <v>40653</v>
      </c>
      <c r="B681" s="90" t="s">
        <v>4344</v>
      </c>
      <c r="C681" s="90" t="s">
        <v>3552</v>
      </c>
      <c r="D681" s="90" t="s">
        <v>4264</v>
      </c>
      <c r="E681" s="90" t="str">
        <f>VLOOKUP(B681&amp;C681,Divipola!$C$2:$F$1138,4,FALSE)</f>
        <v>25320</v>
      </c>
      <c r="F681" s="90"/>
      <c r="G681" s="101"/>
      <c r="H681" s="101"/>
      <c r="I681" s="101"/>
      <c r="J681" s="101">
        <v>658</v>
      </c>
      <c r="K681" s="101">
        <v>232</v>
      </c>
      <c r="L681" s="101"/>
      <c r="M681" s="101">
        <v>232</v>
      </c>
      <c r="N681" s="101"/>
      <c r="O681" s="101"/>
      <c r="P681" s="101"/>
      <c r="Q681" s="101"/>
      <c r="R681" s="101"/>
      <c r="S681" s="101"/>
      <c r="T681" s="101"/>
      <c r="U681" s="101"/>
      <c r="V681" s="101"/>
      <c r="W681" s="91"/>
      <c r="X681" s="89"/>
      <c r="Y681" s="92">
        <f t="shared" si="60"/>
        <v>11400000</v>
      </c>
      <c r="Z681" s="92">
        <f t="shared" si="61"/>
        <v>27795000</v>
      </c>
      <c r="AA681" s="92">
        <f t="shared" si="62"/>
        <v>22000000</v>
      </c>
      <c r="AB681" s="92">
        <f t="shared" si="63"/>
        <v>0</v>
      </c>
      <c r="AC681" s="92"/>
      <c r="AD681" s="92">
        <v>0</v>
      </c>
      <c r="AE681" s="92">
        <f t="shared" si="64"/>
        <v>61195000</v>
      </c>
      <c r="AF681" s="93">
        <v>0</v>
      </c>
      <c r="AG681" s="89"/>
      <c r="AH681" s="94"/>
      <c r="AI681" s="95" t="s">
        <v>4346</v>
      </c>
      <c r="AJ681" s="96" t="s">
        <v>4347</v>
      </c>
      <c r="AK681" s="97"/>
      <c r="AL681" s="89"/>
      <c r="AM681" s="100" t="s">
        <v>2709</v>
      </c>
      <c r="AN681" s="91"/>
      <c r="AO681" s="91"/>
      <c r="AP681" s="91"/>
      <c r="AQ681" s="91"/>
      <c r="AR681" s="91"/>
      <c r="AS681" s="91"/>
      <c r="AT681" s="91"/>
      <c r="AU681" s="91"/>
      <c r="AV681" s="91"/>
      <c r="AW681" s="91"/>
      <c r="AX681" s="91"/>
      <c r="AY681" s="91"/>
      <c r="AZ681" s="91">
        <v>100</v>
      </c>
      <c r="BA681" s="91">
        <f>100*56000</f>
        <v>5600000</v>
      </c>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v>100</v>
      </c>
      <c r="CK681" s="91">
        <f>100*21000</f>
        <v>2100000</v>
      </c>
      <c r="CL681" s="91"/>
      <c r="CM681" s="91"/>
      <c r="CN681" s="91"/>
      <c r="CO681" s="91"/>
      <c r="CP681" s="114">
        <v>100</v>
      </c>
      <c r="CQ681" s="115">
        <f>100*37000</f>
        <v>3700000</v>
      </c>
      <c r="CR681" s="114"/>
      <c r="CS681" s="115"/>
      <c r="CT681" s="114"/>
      <c r="CU681" s="115"/>
      <c r="CV681" s="99">
        <f t="shared" si="65"/>
        <v>11400000</v>
      </c>
      <c r="CW681" s="114"/>
      <c r="CX681" s="115"/>
      <c r="CY681" s="114">
        <v>327</v>
      </c>
      <c r="CZ681" s="115">
        <f>327*85000</f>
        <v>27795000</v>
      </c>
      <c r="DA681" s="115"/>
      <c r="DB681" s="115"/>
      <c r="DC681" s="114">
        <v>1000</v>
      </c>
      <c r="DD681" s="115">
        <f>1000*22000</f>
        <v>22000000</v>
      </c>
      <c r="DE681" s="97"/>
      <c r="DF681" s="269"/>
    </row>
    <row r="682" spans="1:110" s="270" customFormat="1" ht="36" x14ac:dyDescent="0.2">
      <c r="A682" s="89">
        <v>40653</v>
      </c>
      <c r="B682" s="90" t="s">
        <v>4344</v>
      </c>
      <c r="C682" s="90" t="s">
        <v>2281</v>
      </c>
      <c r="D682" s="90" t="s">
        <v>2362</v>
      </c>
      <c r="E682" s="90" t="str">
        <f>VLOOKUP(B682&amp;C682,Divipola!$C$2:$F$1138,4,FALSE)</f>
        <v>25335</v>
      </c>
      <c r="F682" s="90"/>
      <c r="G682" s="101"/>
      <c r="H682" s="101"/>
      <c r="I682" s="101"/>
      <c r="J682" s="101">
        <v>140</v>
      </c>
      <c r="K682" s="101">
        <v>32</v>
      </c>
      <c r="L682" s="101"/>
      <c r="M682" s="101">
        <v>32</v>
      </c>
      <c r="N682" s="101"/>
      <c r="O682" s="101"/>
      <c r="P682" s="101"/>
      <c r="Q682" s="101"/>
      <c r="R682" s="101"/>
      <c r="S682" s="101"/>
      <c r="T682" s="101"/>
      <c r="U682" s="101"/>
      <c r="V682" s="101"/>
      <c r="W682" s="91"/>
      <c r="X682" s="89"/>
      <c r="Y682" s="92">
        <f t="shared" si="60"/>
        <v>0</v>
      </c>
      <c r="Z682" s="92">
        <f t="shared" si="61"/>
        <v>0</v>
      </c>
      <c r="AA682" s="92">
        <f t="shared" si="62"/>
        <v>0</v>
      </c>
      <c r="AB682" s="92">
        <f t="shared" si="63"/>
        <v>0</v>
      </c>
      <c r="AC682" s="92"/>
      <c r="AD682" s="92">
        <v>0</v>
      </c>
      <c r="AE682" s="92">
        <f t="shared" si="64"/>
        <v>0</v>
      </c>
      <c r="AF682" s="93">
        <v>0</v>
      </c>
      <c r="AG682" s="89"/>
      <c r="AH682" s="94"/>
      <c r="AI682" s="102" t="s">
        <v>4336</v>
      </c>
      <c r="AJ682" s="96" t="s">
        <v>4337</v>
      </c>
      <c r="AK682" s="97"/>
      <c r="AL682" s="89"/>
      <c r="AM682" s="100" t="s">
        <v>2710</v>
      </c>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114"/>
      <c r="CQ682" s="115"/>
      <c r="CR682" s="114"/>
      <c r="CS682" s="115"/>
      <c r="CT682" s="114"/>
      <c r="CU682" s="115"/>
      <c r="CV682" s="99">
        <f t="shared" si="65"/>
        <v>0</v>
      </c>
      <c r="CW682" s="114"/>
      <c r="CX682" s="115"/>
      <c r="CY682" s="114"/>
      <c r="CZ682" s="115"/>
      <c r="DA682" s="115"/>
      <c r="DB682" s="115"/>
      <c r="DC682" s="114"/>
      <c r="DD682" s="115"/>
      <c r="DE682" s="97"/>
      <c r="DF682" s="269"/>
    </row>
    <row r="683" spans="1:110" s="270" customFormat="1" ht="36" x14ac:dyDescent="0.2">
      <c r="A683" s="89">
        <v>40653</v>
      </c>
      <c r="B683" s="90" t="s">
        <v>4344</v>
      </c>
      <c r="C683" s="90" t="s">
        <v>4251</v>
      </c>
      <c r="D683" s="90" t="s">
        <v>4264</v>
      </c>
      <c r="E683" s="90" t="str">
        <f>VLOOKUP(B683&amp;C683,Divipola!$C$2:$F$1138,4,FALSE)</f>
        <v>25513</v>
      </c>
      <c r="F683" s="90"/>
      <c r="G683" s="101"/>
      <c r="H683" s="101"/>
      <c r="I683" s="101"/>
      <c r="J683" s="101">
        <v>170</v>
      </c>
      <c r="K683" s="101">
        <v>47</v>
      </c>
      <c r="L683" s="101"/>
      <c r="M683" s="101">
        <v>47</v>
      </c>
      <c r="N683" s="101"/>
      <c r="O683" s="101">
        <v>1</v>
      </c>
      <c r="P683" s="101"/>
      <c r="Q683" s="101"/>
      <c r="R683" s="101"/>
      <c r="S683" s="101"/>
      <c r="T683" s="101"/>
      <c r="U683" s="101"/>
      <c r="V683" s="101"/>
      <c r="W683" s="91"/>
      <c r="X683" s="89"/>
      <c r="Y683" s="92">
        <f t="shared" si="60"/>
        <v>0</v>
      </c>
      <c r="Z683" s="92">
        <f t="shared" si="61"/>
        <v>0</v>
      </c>
      <c r="AA683" s="92">
        <f t="shared" si="62"/>
        <v>0</v>
      </c>
      <c r="AB683" s="92">
        <f t="shared" si="63"/>
        <v>0</v>
      </c>
      <c r="AC683" s="92"/>
      <c r="AD683" s="92">
        <v>0</v>
      </c>
      <c r="AE683" s="92">
        <f t="shared" si="64"/>
        <v>0</v>
      </c>
      <c r="AF683" s="93">
        <v>0</v>
      </c>
      <c r="AG683" s="89"/>
      <c r="AH683" s="94"/>
      <c r="AI683" s="102" t="s">
        <v>4336</v>
      </c>
      <c r="AJ683" s="96" t="s">
        <v>4337</v>
      </c>
      <c r="AK683" s="97"/>
      <c r="AL683" s="89"/>
      <c r="AM683" s="100" t="s">
        <v>2341</v>
      </c>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114"/>
      <c r="CQ683" s="115"/>
      <c r="CR683" s="114"/>
      <c r="CS683" s="115"/>
      <c r="CT683" s="114"/>
      <c r="CU683" s="115"/>
      <c r="CV683" s="99">
        <f t="shared" si="65"/>
        <v>0</v>
      </c>
      <c r="CW683" s="114"/>
      <c r="CX683" s="115"/>
      <c r="CY683" s="114"/>
      <c r="CZ683" s="115"/>
      <c r="DA683" s="115"/>
      <c r="DB683" s="115"/>
      <c r="DC683" s="114"/>
      <c r="DD683" s="115"/>
      <c r="DE683" s="97"/>
      <c r="DF683" s="269"/>
    </row>
    <row r="684" spans="1:110" s="270" customFormat="1" x14ac:dyDescent="0.2">
      <c r="A684" s="89">
        <v>40653</v>
      </c>
      <c r="B684" s="90" t="s">
        <v>4344</v>
      </c>
      <c r="C684" s="90" t="s">
        <v>3445</v>
      </c>
      <c r="D684" s="90" t="s">
        <v>4264</v>
      </c>
      <c r="E684" s="90" t="str">
        <f>VLOOKUP(B684&amp;C684,Divipola!$C$2:$F$1138,4,FALSE)</f>
        <v>25612</v>
      </c>
      <c r="F684" s="90"/>
      <c r="G684" s="101"/>
      <c r="H684" s="101"/>
      <c r="I684" s="101"/>
      <c r="J684" s="101">
        <v>495</v>
      </c>
      <c r="K684" s="101">
        <v>148</v>
      </c>
      <c r="L684" s="101"/>
      <c r="M684" s="101">
        <v>148</v>
      </c>
      <c r="N684" s="101"/>
      <c r="O684" s="101"/>
      <c r="P684" s="101"/>
      <c r="Q684" s="101"/>
      <c r="R684" s="101"/>
      <c r="S684" s="101"/>
      <c r="T684" s="101"/>
      <c r="U684" s="101"/>
      <c r="V684" s="101"/>
      <c r="W684" s="91"/>
      <c r="X684" s="89"/>
      <c r="Y684" s="92">
        <f t="shared" si="60"/>
        <v>15357800</v>
      </c>
      <c r="Z684" s="92">
        <f t="shared" si="61"/>
        <v>32130000</v>
      </c>
      <c r="AA684" s="92">
        <f t="shared" si="62"/>
        <v>0</v>
      </c>
      <c r="AB684" s="92">
        <f t="shared" si="63"/>
        <v>0</v>
      </c>
      <c r="AC684" s="92"/>
      <c r="AD684" s="92">
        <v>0</v>
      </c>
      <c r="AE684" s="92">
        <f t="shared" si="64"/>
        <v>47487800</v>
      </c>
      <c r="AF684" s="93">
        <v>0</v>
      </c>
      <c r="AG684" s="89"/>
      <c r="AH684" s="94"/>
      <c r="AI684" s="95" t="s">
        <v>4346</v>
      </c>
      <c r="AJ684" s="96" t="s">
        <v>4347</v>
      </c>
      <c r="AK684" s="97"/>
      <c r="AL684" s="89"/>
      <c r="AM684" s="100"/>
      <c r="AN684" s="91"/>
      <c r="AO684" s="91"/>
      <c r="AP684" s="91"/>
      <c r="AQ684" s="91"/>
      <c r="AR684" s="91"/>
      <c r="AS684" s="91"/>
      <c r="AT684" s="91"/>
      <c r="AU684" s="91"/>
      <c r="AV684" s="91"/>
      <c r="AW684" s="91"/>
      <c r="AX684" s="91"/>
      <c r="AY684" s="91"/>
      <c r="AZ684" s="91">
        <v>20</v>
      </c>
      <c r="BA684" s="91">
        <f>20*68000</f>
        <v>1360000</v>
      </c>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v>5</v>
      </c>
      <c r="CA684" s="91">
        <f>5*500000</f>
        <v>2500000</v>
      </c>
      <c r="CB684" s="91"/>
      <c r="CC684" s="91"/>
      <c r="CD684" s="91"/>
      <c r="CE684" s="91"/>
      <c r="CF684" s="91"/>
      <c r="CG684" s="91"/>
      <c r="CH684" s="91"/>
      <c r="CI684" s="91"/>
      <c r="CJ684" s="91"/>
      <c r="CK684" s="91"/>
      <c r="CL684" s="91"/>
      <c r="CM684" s="91"/>
      <c r="CN684" s="91"/>
      <c r="CO684" s="91"/>
      <c r="CP684" s="114">
        <v>150</v>
      </c>
      <c r="CQ684" s="115">
        <f>150*36952</f>
        <v>5542800</v>
      </c>
      <c r="CR684" s="114">
        <v>150</v>
      </c>
      <c r="CS684" s="115">
        <f>150*39700</f>
        <v>5955000</v>
      </c>
      <c r="CT684" s="114"/>
      <c r="CU684" s="115"/>
      <c r="CV684" s="99">
        <f t="shared" si="65"/>
        <v>15357800</v>
      </c>
      <c r="CW684" s="114"/>
      <c r="CX684" s="115"/>
      <c r="CY684" s="114">
        <v>378</v>
      </c>
      <c r="CZ684" s="115">
        <f>378*85000</f>
        <v>32130000</v>
      </c>
      <c r="DA684" s="115"/>
      <c r="DB684" s="115"/>
      <c r="DC684" s="114"/>
      <c r="DD684" s="115"/>
      <c r="DE684" s="97"/>
      <c r="DF684" s="269"/>
    </row>
    <row r="685" spans="1:110" s="270" customFormat="1" ht="72" x14ac:dyDescent="0.2">
      <c r="A685" s="89">
        <v>40653</v>
      </c>
      <c r="B685" s="106" t="s">
        <v>4344</v>
      </c>
      <c r="C685" s="106" t="s">
        <v>1809</v>
      </c>
      <c r="D685" s="90" t="s">
        <v>4264</v>
      </c>
      <c r="E685" s="90" t="str">
        <f>VLOOKUP(B685&amp;C685,Divipola!$C$2:$F$1138,4,FALSE)</f>
        <v>25779</v>
      </c>
      <c r="F685" s="90"/>
      <c r="G685" s="302"/>
      <c r="H685" s="302"/>
      <c r="I685" s="302"/>
      <c r="J685" s="129">
        <v>146</v>
      </c>
      <c r="K685" s="129">
        <v>41</v>
      </c>
      <c r="L685" s="129"/>
      <c r="M685" s="129">
        <v>41</v>
      </c>
      <c r="N685" s="129">
        <v>4</v>
      </c>
      <c r="O685" s="129">
        <v>2</v>
      </c>
      <c r="P685" s="129"/>
      <c r="Q685" s="129">
        <v>2</v>
      </c>
      <c r="R685" s="129"/>
      <c r="S685" s="129"/>
      <c r="T685" s="129"/>
      <c r="U685" s="129"/>
      <c r="V685" s="129">
        <v>900</v>
      </c>
      <c r="W685" s="107">
        <v>0</v>
      </c>
      <c r="X685" s="105"/>
      <c r="Y685" s="92">
        <f t="shared" si="60"/>
        <v>0</v>
      </c>
      <c r="Z685" s="92">
        <f t="shared" si="61"/>
        <v>0</v>
      </c>
      <c r="AA685" s="92">
        <f t="shared" si="62"/>
        <v>0</v>
      </c>
      <c r="AB685" s="92">
        <f t="shared" si="63"/>
        <v>0</v>
      </c>
      <c r="AC685" s="92"/>
      <c r="AD685" s="92">
        <v>0</v>
      </c>
      <c r="AE685" s="92">
        <f t="shared" si="64"/>
        <v>0</v>
      </c>
      <c r="AF685" s="93">
        <v>0</v>
      </c>
      <c r="AG685" s="105"/>
      <c r="AH685" s="108"/>
      <c r="AI685" s="109" t="s">
        <v>4336</v>
      </c>
      <c r="AJ685" s="110" t="s">
        <v>4337</v>
      </c>
      <c r="AK685" s="111"/>
      <c r="AL685" s="105"/>
      <c r="AM685" s="112" t="s">
        <v>17</v>
      </c>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18"/>
      <c r="CO685" s="119"/>
      <c r="CP685" s="118"/>
      <c r="CQ685" s="119"/>
      <c r="CR685" s="118"/>
      <c r="CS685" s="119"/>
      <c r="CT685" s="113"/>
      <c r="CU685" s="118"/>
      <c r="CV685" s="99">
        <f t="shared" si="65"/>
        <v>0</v>
      </c>
      <c r="CW685" s="118"/>
      <c r="CX685" s="119"/>
      <c r="CY685" s="119"/>
      <c r="CZ685" s="119"/>
      <c r="DA685" s="118"/>
      <c r="DB685" s="119"/>
      <c r="DC685" s="111"/>
      <c r="DD685" s="119"/>
      <c r="DE685" s="111"/>
      <c r="DF685" s="269"/>
    </row>
    <row r="686" spans="1:110" s="270" customFormat="1" x14ac:dyDescent="0.2">
      <c r="A686" s="89">
        <v>40653</v>
      </c>
      <c r="B686" s="90" t="s">
        <v>4344</v>
      </c>
      <c r="C686" s="90" t="s">
        <v>3474</v>
      </c>
      <c r="D686" s="90" t="s">
        <v>2362</v>
      </c>
      <c r="E686" s="90" t="str">
        <f>VLOOKUP(B686&amp;C686,Divipola!$C$2:$F$1138,4,FALSE)</f>
        <v>25885</v>
      </c>
      <c r="F686" s="90"/>
      <c r="G686" s="101"/>
      <c r="H686" s="101"/>
      <c r="I686" s="101"/>
      <c r="J686" s="101">
        <v>160</v>
      </c>
      <c r="K686" s="101">
        <v>35</v>
      </c>
      <c r="L686" s="101"/>
      <c r="M686" s="101">
        <v>35</v>
      </c>
      <c r="N686" s="101"/>
      <c r="O686" s="101"/>
      <c r="P686" s="101"/>
      <c r="Q686" s="101"/>
      <c r="R686" s="101"/>
      <c r="S686" s="101"/>
      <c r="T686" s="101"/>
      <c r="U686" s="101"/>
      <c r="V686" s="101"/>
      <c r="W686" s="91"/>
      <c r="X686" s="89"/>
      <c r="Y686" s="92">
        <f t="shared" si="60"/>
        <v>0</v>
      </c>
      <c r="Z686" s="92">
        <f t="shared" si="61"/>
        <v>0</v>
      </c>
      <c r="AA686" s="92">
        <f t="shared" si="62"/>
        <v>0</v>
      </c>
      <c r="AB686" s="92">
        <f t="shared" si="63"/>
        <v>0</v>
      </c>
      <c r="AC686" s="92"/>
      <c r="AD686" s="92">
        <v>0</v>
      </c>
      <c r="AE686" s="92">
        <f t="shared" si="64"/>
        <v>0</v>
      </c>
      <c r="AF686" s="93">
        <v>0</v>
      </c>
      <c r="AG686" s="89"/>
      <c r="AH686" s="94"/>
      <c r="AI686" s="102" t="s">
        <v>4336</v>
      </c>
      <c r="AJ686" s="96" t="s">
        <v>4337</v>
      </c>
      <c r="AK686" s="97"/>
      <c r="AL686" s="89"/>
      <c r="AM686" s="100" t="s">
        <v>2707</v>
      </c>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114"/>
      <c r="CQ686" s="115"/>
      <c r="CR686" s="114"/>
      <c r="CS686" s="115"/>
      <c r="CT686" s="114"/>
      <c r="CU686" s="115"/>
      <c r="CV686" s="99">
        <f t="shared" si="65"/>
        <v>0</v>
      </c>
      <c r="CW686" s="114"/>
      <c r="CX686" s="115"/>
      <c r="CY686" s="114"/>
      <c r="CZ686" s="115"/>
      <c r="DA686" s="115"/>
      <c r="DB686" s="115"/>
      <c r="DC686" s="114"/>
      <c r="DD686" s="115"/>
      <c r="DE686" s="97"/>
      <c r="DF686" s="269"/>
    </row>
    <row r="687" spans="1:110" s="270" customFormat="1" ht="36" x14ac:dyDescent="0.2">
      <c r="A687" s="89">
        <v>40653</v>
      </c>
      <c r="B687" s="90" t="s">
        <v>4344</v>
      </c>
      <c r="C687" s="90" t="s">
        <v>3475</v>
      </c>
      <c r="D687" s="90" t="s">
        <v>4264</v>
      </c>
      <c r="E687" s="90" t="str">
        <f>VLOOKUP(B687&amp;C687,Divipola!$C$2:$F$1138,4,FALSE)</f>
        <v>25899</v>
      </c>
      <c r="F687" s="90"/>
      <c r="G687" s="101"/>
      <c r="H687" s="101"/>
      <c r="I687" s="101"/>
      <c r="J687" s="101">
        <v>12</v>
      </c>
      <c r="K687" s="101">
        <v>3</v>
      </c>
      <c r="L687" s="101"/>
      <c r="M687" s="101">
        <v>3</v>
      </c>
      <c r="N687" s="101">
        <v>1</v>
      </c>
      <c r="O687" s="101"/>
      <c r="P687" s="101"/>
      <c r="Q687" s="101"/>
      <c r="R687" s="101"/>
      <c r="S687" s="101"/>
      <c r="T687" s="101"/>
      <c r="U687" s="101"/>
      <c r="V687" s="101"/>
      <c r="W687" s="91"/>
      <c r="X687" s="89"/>
      <c r="Y687" s="92">
        <f t="shared" si="60"/>
        <v>0</v>
      </c>
      <c r="Z687" s="92">
        <f t="shared" si="61"/>
        <v>0</v>
      </c>
      <c r="AA687" s="92">
        <f t="shared" si="62"/>
        <v>0</v>
      </c>
      <c r="AB687" s="92">
        <f t="shared" si="63"/>
        <v>0</v>
      </c>
      <c r="AC687" s="92"/>
      <c r="AD687" s="92">
        <v>0</v>
      </c>
      <c r="AE687" s="92">
        <f t="shared" si="64"/>
        <v>0</v>
      </c>
      <c r="AF687" s="93">
        <v>0</v>
      </c>
      <c r="AG687" s="89"/>
      <c r="AH687" s="94"/>
      <c r="AI687" s="102" t="s">
        <v>4336</v>
      </c>
      <c r="AJ687" s="96" t="s">
        <v>4337</v>
      </c>
      <c r="AK687" s="97"/>
      <c r="AL687" s="89"/>
      <c r="AM687" s="100" t="s">
        <v>2711</v>
      </c>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114"/>
      <c r="CQ687" s="115"/>
      <c r="CR687" s="114"/>
      <c r="CS687" s="115"/>
      <c r="CT687" s="114"/>
      <c r="CU687" s="115"/>
      <c r="CV687" s="99">
        <f t="shared" si="65"/>
        <v>0</v>
      </c>
      <c r="CW687" s="114"/>
      <c r="CX687" s="115"/>
      <c r="CY687" s="114"/>
      <c r="CZ687" s="115"/>
      <c r="DA687" s="115"/>
      <c r="DB687" s="115"/>
      <c r="DC687" s="114"/>
      <c r="DD687" s="115"/>
      <c r="DE687" s="97"/>
      <c r="DF687" s="269"/>
    </row>
    <row r="688" spans="1:110" s="270" customFormat="1" ht="72" x14ac:dyDescent="0.2">
      <c r="A688" s="89">
        <v>40653</v>
      </c>
      <c r="B688" s="90" t="s">
        <v>4219</v>
      </c>
      <c r="C688" s="90" t="s">
        <v>3351</v>
      </c>
      <c r="D688" s="90" t="s">
        <v>4264</v>
      </c>
      <c r="E688" s="90" t="str">
        <f>VLOOKUP(B688&amp;C688,Divipola!$C$2:$F$1138,4,FALSE)</f>
        <v>41349</v>
      </c>
      <c r="F688" s="90"/>
      <c r="G688" s="101"/>
      <c r="H688" s="101"/>
      <c r="I688" s="101"/>
      <c r="J688" s="101"/>
      <c r="K688" s="101"/>
      <c r="L688" s="101"/>
      <c r="M688" s="101"/>
      <c r="N688" s="101">
        <v>1</v>
      </c>
      <c r="O688" s="101">
        <v>1</v>
      </c>
      <c r="P688" s="101"/>
      <c r="Q688" s="101"/>
      <c r="R688" s="101"/>
      <c r="S688" s="101"/>
      <c r="T688" s="101"/>
      <c r="U688" s="101"/>
      <c r="V688" s="101"/>
      <c r="W688" s="91"/>
      <c r="X688" s="89"/>
      <c r="Y688" s="92">
        <f t="shared" si="60"/>
        <v>0</v>
      </c>
      <c r="Z688" s="92">
        <f t="shared" si="61"/>
        <v>0</v>
      </c>
      <c r="AA688" s="92">
        <f t="shared" si="62"/>
        <v>0</v>
      </c>
      <c r="AB688" s="92">
        <f t="shared" si="63"/>
        <v>0</v>
      </c>
      <c r="AC688" s="92"/>
      <c r="AD688" s="92">
        <v>0</v>
      </c>
      <c r="AE688" s="92">
        <f t="shared" si="64"/>
        <v>0</v>
      </c>
      <c r="AF688" s="93">
        <v>0</v>
      </c>
      <c r="AG688" s="89"/>
      <c r="AH688" s="94"/>
      <c r="AI688" s="95" t="s">
        <v>4336</v>
      </c>
      <c r="AJ688" s="96" t="s">
        <v>4337</v>
      </c>
      <c r="AK688" s="97"/>
      <c r="AL688" s="89"/>
      <c r="AM688" s="100" t="s">
        <v>3637</v>
      </c>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114"/>
      <c r="CQ688" s="115"/>
      <c r="CR688" s="114"/>
      <c r="CS688" s="115"/>
      <c r="CT688" s="114"/>
      <c r="CU688" s="115"/>
      <c r="CV688" s="99">
        <f t="shared" si="65"/>
        <v>0</v>
      </c>
      <c r="CW688" s="114"/>
      <c r="CX688" s="115"/>
      <c r="CY688" s="114"/>
      <c r="CZ688" s="115"/>
      <c r="DA688" s="115"/>
      <c r="DB688" s="115"/>
      <c r="DC688" s="114"/>
      <c r="DD688" s="115"/>
      <c r="DE688" s="97"/>
      <c r="DF688" s="269"/>
    </row>
    <row r="689" spans="1:255" s="270" customFormat="1" ht="72" x14ac:dyDescent="0.2">
      <c r="A689" s="89">
        <v>40653</v>
      </c>
      <c r="B689" s="90" t="s">
        <v>4219</v>
      </c>
      <c r="C689" s="90" t="s">
        <v>3351</v>
      </c>
      <c r="D689" s="90" t="s">
        <v>2362</v>
      </c>
      <c r="E689" s="90" t="str">
        <f>VLOOKUP(B689&amp;C689,Divipola!$C$2:$F$1138,4,FALSE)</f>
        <v>41349</v>
      </c>
      <c r="F689" s="90"/>
      <c r="G689" s="101"/>
      <c r="H689" s="101"/>
      <c r="I689" s="101"/>
      <c r="J689" s="101"/>
      <c r="K689" s="101"/>
      <c r="L689" s="101"/>
      <c r="M689" s="101"/>
      <c r="N689" s="101"/>
      <c r="O689" s="101"/>
      <c r="P689" s="101"/>
      <c r="Q689" s="101"/>
      <c r="R689" s="101"/>
      <c r="S689" s="101"/>
      <c r="T689" s="101"/>
      <c r="U689" s="101"/>
      <c r="V689" s="101"/>
      <c r="W689" s="91"/>
      <c r="X689" s="89"/>
      <c r="Y689" s="92">
        <f t="shared" si="60"/>
        <v>0</v>
      </c>
      <c r="Z689" s="92">
        <f t="shared" si="61"/>
        <v>0</v>
      </c>
      <c r="AA689" s="92">
        <f t="shared" si="62"/>
        <v>0</v>
      </c>
      <c r="AB689" s="92">
        <f t="shared" si="63"/>
        <v>0</v>
      </c>
      <c r="AC689" s="92"/>
      <c r="AD689" s="92">
        <v>0</v>
      </c>
      <c r="AE689" s="92">
        <f t="shared" si="64"/>
        <v>0</v>
      </c>
      <c r="AF689" s="93">
        <v>0</v>
      </c>
      <c r="AG689" s="89"/>
      <c r="AH689" s="94"/>
      <c r="AI689" s="95" t="s">
        <v>4336</v>
      </c>
      <c r="AJ689" s="96" t="s">
        <v>4337</v>
      </c>
      <c r="AK689" s="97"/>
      <c r="AL689" s="89"/>
      <c r="AM689" s="100" t="s">
        <v>2339</v>
      </c>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114"/>
      <c r="CQ689" s="115"/>
      <c r="CR689" s="114"/>
      <c r="CS689" s="115"/>
      <c r="CT689" s="114"/>
      <c r="CU689" s="115"/>
      <c r="CV689" s="99">
        <f t="shared" si="65"/>
        <v>0</v>
      </c>
      <c r="CW689" s="114"/>
      <c r="CX689" s="115"/>
      <c r="CY689" s="114"/>
      <c r="CZ689" s="115"/>
      <c r="DA689" s="115"/>
      <c r="DB689" s="115"/>
      <c r="DC689" s="114"/>
      <c r="DD689" s="115"/>
      <c r="DE689" s="97"/>
      <c r="DF689" s="269"/>
    </row>
    <row r="690" spans="1:255" s="270" customFormat="1" ht="84" x14ac:dyDescent="0.2">
      <c r="A690" s="89">
        <v>40653</v>
      </c>
      <c r="B690" s="90" t="s">
        <v>4387</v>
      </c>
      <c r="C690" s="90" t="s">
        <v>2243</v>
      </c>
      <c r="D690" s="90" t="s">
        <v>2362</v>
      </c>
      <c r="E690" s="90" t="str">
        <f>VLOOKUP(B690&amp;C690,Divipola!$C$2:$F$1138,4,FALSE)</f>
        <v>52083</v>
      </c>
      <c r="F690" s="90"/>
      <c r="G690" s="101"/>
      <c r="H690" s="101"/>
      <c r="I690" s="101"/>
      <c r="J690" s="101">
        <v>539</v>
      </c>
      <c r="K690" s="101">
        <v>205</v>
      </c>
      <c r="L690" s="101">
        <v>12</v>
      </c>
      <c r="M690" s="101">
        <v>123</v>
      </c>
      <c r="N690" s="101">
        <v>6</v>
      </c>
      <c r="O690" s="101"/>
      <c r="P690" s="101"/>
      <c r="Q690" s="101"/>
      <c r="R690" s="101">
        <v>1</v>
      </c>
      <c r="S690" s="101"/>
      <c r="T690" s="101">
        <v>3</v>
      </c>
      <c r="U690" s="101"/>
      <c r="V690" s="101"/>
      <c r="W690" s="91"/>
      <c r="X690" s="105"/>
      <c r="Y690" s="92">
        <f t="shared" si="60"/>
        <v>0</v>
      </c>
      <c r="Z690" s="92">
        <f t="shared" si="61"/>
        <v>0</v>
      </c>
      <c r="AA690" s="92">
        <f t="shared" si="62"/>
        <v>0</v>
      </c>
      <c r="AB690" s="92">
        <f t="shared" si="63"/>
        <v>0</v>
      </c>
      <c r="AC690" s="92"/>
      <c r="AD690" s="92">
        <v>0</v>
      </c>
      <c r="AE690" s="92">
        <f t="shared" si="64"/>
        <v>0</v>
      </c>
      <c r="AF690" s="93">
        <v>0</v>
      </c>
      <c r="AG690" s="105"/>
      <c r="AH690" s="108"/>
      <c r="AI690" s="109" t="s">
        <v>4336</v>
      </c>
      <c r="AJ690" s="110" t="s">
        <v>4337</v>
      </c>
      <c r="AK690" s="111"/>
      <c r="AL690" s="105" t="s">
        <v>1069</v>
      </c>
      <c r="AM690" s="121" t="s">
        <v>4502</v>
      </c>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18"/>
      <c r="CO690" s="119"/>
      <c r="CP690" s="118"/>
      <c r="CQ690" s="119"/>
      <c r="CR690" s="118"/>
      <c r="CS690" s="119"/>
      <c r="CT690" s="113"/>
      <c r="CU690" s="118"/>
      <c r="CV690" s="99">
        <f t="shared" si="65"/>
        <v>0</v>
      </c>
      <c r="CW690" s="118"/>
      <c r="CX690" s="119"/>
      <c r="CY690" s="119"/>
      <c r="CZ690" s="119"/>
      <c r="DA690" s="118"/>
      <c r="DB690" s="119"/>
      <c r="DC690" s="111"/>
      <c r="DD690" s="119"/>
      <c r="DE690" s="111"/>
      <c r="DF690" s="46"/>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row>
    <row r="691" spans="1:255" s="42" customFormat="1" ht="60" x14ac:dyDescent="0.2">
      <c r="A691" s="89">
        <v>40653</v>
      </c>
      <c r="B691" s="90" t="s">
        <v>4350</v>
      </c>
      <c r="C691" s="90" t="s">
        <v>3535</v>
      </c>
      <c r="D691" s="90" t="s">
        <v>2362</v>
      </c>
      <c r="E691" s="90" t="str">
        <f>VLOOKUP(B691&amp;C691,Divipola!$C$2:$F$1138,4,FALSE)</f>
        <v>63130</v>
      </c>
      <c r="F691" s="90"/>
      <c r="G691" s="101"/>
      <c r="H691" s="101"/>
      <c r="I691" s="101"/>
      <c r="J691" s="101">
        <v>10</v>
      </c>
      <c r="K691" s="101">
        <v>2</v>
      </c>
      <c r="L691" s="101"/>
      <c r="M691" s="101">
        <v>2</v>
      </c>
      <c r="N691" s="101"/>
      <c r="O691" s="101"/>
      <c r="P691" s="101">
        <v>1</v>
      </c>
      <c r="Q691" s="101"/>
      <c r="R691" s="101"/>
      <c r="S691" s="101"/>
      <c r="T691" s="101"/>
      <c r="U691" s="101"/>
      <c r="V691" s="101"/>
      <c r="W691" s="91"/>
      <c r="X691" s="89"/>
      <c r="Y691" s="92">
        <f t="shared" si="60"/>
        <v>0</v>
      </c>
      <c r="Z691" s="92">
        <f t="shared" si="61"/>
        <v>0</v>
      </c>
      <c r="AA691" s="92">
        <f t="shared" si="62"/>
        <v>0</v>
      </c>
      <c r="AB691" s="92">
        <f t="shared" si="63"/>
        <v>0</v>
      </c>
      <c r="AC691" s="92"/>
      <c r="AD691" s="92">
        <v>0</v>
      </c>
      <c r="AE691" s="92">
        <f t="shared" si="64"/>
        <v>0</v>
      </c>
      <c r="AF691" s="93">
        <v>0</v>
      </c>
      <c r="AG691" s="89"/>
      <c r="AH691" s="94"/>
      <c r="AI691" s="95" t="s">
        <v>4336</v>
      </c>
      <c r="AJ691" s="96" t="s">
        <v>4337</v>
      </c>
      <c r="AK691" s="97"/>
      <c r="AL691" s="89"/>
      <c r="AM691" s="100" t="s">
        <v>2756</v>
      </c>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114"/>
      <c r="CQ691" s="115"/>
      <c r="CR691" s="114"/>
      <c r="CS691" s="115"/>
      <c r="CT691" s="114"/>
      <c r="CU691" s="115"/>
      <c r="CV691" s="99">
        <f t="shared" si="65"/>
        <v>0</v>
      </c>
      <c r="CW691" s="114"/>
      <c r="CX691" s="115"/>
      <c r="CY691" s="114"/>
      <c r="CZ691" s="115"/>
      <c r="DA691" s="115"/>
      <c r="DB691" s="115"/>
      <c r="DC691" s="114"/>
      <c r="DD691" s="115"/>
      <c r="DE691" s="97"/>
      <c r="DF691" s="269">
        <v>1731</v>
      </c>
      <c r="DG691" s="270"/>
      <c r="DH691" s="270"/>
      <c r="DI691" s="270"/>
      <c r="DJ691" s="270"/>
      <c r="DK691" s="270"/>
      <c r="DL691" s="270"/>
      <c r="DM691" s="270"/>
      <c r="DN691" s="270"/>
      <c r="DO691" s="270"/>
      <c r="DP691" s="270"/>
      <c r="DQ691" s="270"/>
      <c r="DR691" s="270"/>
      <c r="DS691" s="270"/>
      <c r="DT691" s="270"/>
      <c r="DU691" s="270"/>
      <c r="DV691" s="270"/>
      <c r="DW691" s="270"/>
      <c r="DX691" s="270"/>
      <c r="DY691" s="270"/>
      <c r="DZ691" s="270"/>
      <c r="EA691" s="270"/>
      <c r="EB691" s="270"/>
      <c r="EC691" s="270"/>
      <c r="ED691" s="270"/>
      <c r="EE691" s="270"/>
      <c r="EF691" s="270"/>
      <c r="EG691" s="270"/>
      <c r="EH691" s="270"/>
      <c r="EI691" s="270"/>
      <c r="EJ691" s="270"/>
      <c r="EK691" s="270"/>
      <c r="EL691" s="270"/>
      <c r="EM691" s="270"/>
      <c r="EN691" s="270"/>
      <c r="EO691" s="270"/>
      <c r="EP691" s="270"/>
      <c r="EQ691" s="270"/>
      <c r="ER691" s="270"/>
      <c r="ES691" s="270"/>
      <c r="ET691" s="270"/>
      <c r="EU691" s="270"/>
      <c r="EV691" s="270"/>
      <c r="EW691" s="270"/>
      <c r="EX691" s="270"/>
      <c r="EY691" s="270"/>
      <c r="EZ691" s="270"/>
      <c r="FA691" s="270"/>
      <c r="FB691" s="270"/>
      <c r="FC691" s="270"/>
      <c r="FD691" s="270"/>
      <c r="FE691" s="270"/>
      <c r="FF691" s="270"/>
      <c r="FG691" s="270"/>
      <c r="FH691" s="270"/>
      <c r="FI691" s="270"/>
      <c r="FJ691" s="270"/>
      <c r="FK691" s="270"/>
      <c r="FL691" s="270"/>
      <c r="FM691" s="270"/>
      <c r="FN691" s="270"/>
      <c r="FO691" s="270"/>
      <c r="FP691" s="270"/>
      <c r="FQ691" s="270"/>
      <c r="FR691" s="270"/>
      <c r="FS691" s="270"/>
      <c r="FT691" s="270"/>
      <c r="FU691" s="270"/>
      <c r="FV691" s="270"/>
      <c r="FW691" s="270"/>
      <c r="FX691" s="270"/>
      <c r="FY691" s="270"/>
      <c r="FZ691" s="270"/>
      <c r="GA691" s="270"/>
      <c r="GB691" s="270"/>
      <c r="GC691" s="270"/>
      <c r="GD691" s="270"/>
      <c r="GE691" s="270"/>
      <c r="GF691" s="270"/>
      <c r="GG691" s="270"/>
      <c r="GH691" s="270"/>
      <c r="GI691" s="270"/>
      <c r="GJ691" s="270"/>
      <c r="GK691" s="270"/>
      <c r="GL691" s="270"/>
      <c r="GM691" s="270"/>
      <c r="GN691" s="270"/>
      <c r="GO691" s="270"/>
      <c r="GP691" s="270"/>
      <c r="GQ691" s="270"/>
      <c r="GR691" s="270"/>
      <c r="GS691" s="270"/>
      <c r="GT691" s="270"/>
      <c r="GU691" s="270"/>
      <c r="GV691" s="270"/>
      <c r="GW691" s="270"/>
      <c r="GX691" s="270"/>
      <c r="GY691" s="270"/>
      <c r="GZ691" s="270"/>
      <c r="HA691" s="270"/>
      <c r="HB691" s="270"/>
      <c r="HC691" s="270"/>
      <c r="HD691" s="270"/>
      <c r="HE691" s="270"/>
      <c r="HF691" s="270"/>
      <c r="HG691" s="270"/>
      <c r="HH691" s="270"/>
      <c r="HI691" s="270"/>
      <c r="HJ691" s="270"/>
      <c r="HK691" s="270"/>
      <c r="HL691" s="270"/>
      <c r="HM691" s="270"/>
      <c r="HN691" s="270"/>
      <c r="HO691" s="270"/>
      <c r="HP691" s="270"/>
      <c r="HQ691" s="270"/>
      <c r="HR691" s="270"/>
      <c r="HS691" s="270"/>
      <c r="HT691" s="270"/>
      <c r="HU691" s="270"/>
      <c r="HV691" s="270"/>
      <c r="HW691" s="270"/>
      <c r="HX691" s="270"/>
      <c r="HY691" s="270"/>
      <c r="HZ691" s="270"/>
      <c r="IA691" s="270"/>
      <c r="IB691" s="270"/>
      <c r="IC691" s="270"/>
      <c r="ID691" s="270"/>
      <c r="IE691" s="270"/>
      <c r="IF691" s="270"/>
      <c r="IG691" s="270"/>
      <c r="IH691" s="270"/>
      <c r="II691" s="270"/>
      <c r="IJ691" s="270"/>
      <c r="IK691" s="270"/>
      <c r="IL691" s="270"/>
      <c r="IM691" s="270"/>
      <c r="IN691" s="270"/>
      <c r="IO691" s="270"/>
      <c r="IP691" s="270"/>
      <c r="IQ691" s="270"/>
      <c r="IR691" s="270"/>
      <c r="IS691" s="270"/>
      <c r="IT691" s="270"/>
      <c r="IU691" s="270"/>
    </row>
    <row r="692" spans="1:255" s="270" customFormat="1" ht="36" x14ac:dyDescent="0.2">
      <c r="A692" s="89">
        <v>40653</v>
      </c>
      <c r="B692" s="90" t="s">
        <v>4350</v>
      </c>
      <c r="C692" s="90" t="s">
        <v>3361</v>
      </c>
      <c r="D692" s="90" t="s">
        <v>2362</v>
      </c>
      <c r="E692" s="90" t="str">
        <f>VLOOKUP(B692&amp;C692,Divipola!$C$2:$F$1138,4,FALSE)</f>
        <v>63548</v>
      </c>
      <c r="F692" s="90"/>
      <c r="G692" s="101"/>
      <c r="H692" s="101"/>
      <c r="I692" s="101"/>
      <c r="J692" s="101">
        <v>5</v>
      </c>
      <c r="K692" s="101">
        <v>1</v>
      </c>
      <c r="L692" s="101"/>
      <c r="M692" s="101">
        <v>1</v>
      </c>
      <c r="N692" s="101"/>
      <c r="O692" s="101"/>
      <c r="P692" s="101"/>
      <c r="Q692" s="101"/>
      <c r="R692" s="101"/>
      <c r="S692" s="101"/>
      <c r="T692" s="101"/>
      <c r="U692" s="101"/>
      <c r="V692" s="101"/>
      <c r="W692" s="91"/>
      <c r="X692" s="89"/>
      <c r="Y692" s="92">
        <f t="shared" si="60"/>
        <v>0</v>
      </c>
      <c r="Z692" s="92">
        <f t="shared" si="61"/>
        <v>0</v>
      </c>
      <c r="AA692" s="92">
        <f t="shared" si="62"/>
        <v>0</v>
      </c>
      <c r="AB692" s="92">
        <f t="shared" si="63"/>
        <v>0</v>
      </c>
      <c r="AC692" s="92"/>
      <c r="AD692" s="92">
        <v>0</v>
      </c>
      <c r="AE692" s="92">
        <f t="shared" si="64"/>
        <v>0</v>
      </c>
      <c r="AF692" s="93">
        <v>0</v>
      </c>
      <c r="AG692" s="89"/>
      <c r="AH692" s="94"/>
      <c r="AI692" s="95" t="s">
        <v>4336</v>
      </c>
      <c r="AJ692" s="96" t="s">
        <v>4337</v>
      </c>
      <c r="AK692" s="97"/>
      <c r="AL692" s="89"/>
      <c r="AM692" s="100" t="s">
        <v>2757</v>
      </c>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114"/>
      <c r="CQ692" s="115"/>
      <c r="CR692" s="114"/>
      <c r="CS692" s="115"/>
      <c r="CT692" s="114"/>
      <c r="CU692" s="115"/>
      <c r="CV692" s="99">
        <f t="shared" si="65"/>
        <v>0</v>
      </c>
      <c r="CW692" s="114"/>
      <c r="CX692" s="115"/>
      <c r="CY692" s="114"/>
      <c r="CZ692" s="115"/>
      <c r="DA692" s="115"/>
      <c r="DB692" s="115"/>
      <c r="DC692" s="114"/>
      <c r="DD692" s="115"/>
      <c r="DE692" s="97"/>
      <c r="DF692" s="269"/>
    </row>
    <row r="693" spans="1:255" s="270" customFormat="1" ht="48" x14ac:dyDescent="0.2">
      <c r="A693" s="89">
        <v>40653</v>
      </c>
      <c r="B693" s="90" t="s">
        <v>4348</v>
      </c>
      <c r="C693" s="90" t="s">
        <v>2228</v>
      </c>
      <c r="D693" s="90" t="s">
        <v>4264</v>
      </c>
      <c r="E693" s="90" t="str">
        <f>VLOOKUP(B693&amp;C693,Divipola!$C$2:$F$1138,4,FALSE)</f>
        <v>66001</v>
      </c>
      <c r="F693" s="90"/>
      <c r="G693" s="101"/>
      <c r="H693" s="101"/>
      <c r="I693" s="101"/>
      <c r="J693" s="101">
        <v>1600</v>
      </c>
      <c r="K693" s="101">
        <v>320</v>
      </c>
      <c r="L693" s="101"/>
      <c r="M693" s="101">
        <v>320</v>
      </c>
      <c r="N693" s="101"/>
      <c r="O693" s="101"/>
      <c r="P693" s="101"/>
      <c r="Q693" s="101"/>
      <c r="R693" s="101"/>
      <c r="S693" s="101"/>
      <c r="T693" s="101"/>
      <c r="U693" s="101"/>
      <c r="V693" s="101"/>
      <c r="W693" s="91"/>
      <c r="X693" s="89"/>
      <c r="Y693" s="92">
        <f t="shared" si="60"/>
        <v>0</v>
      </c>
      <c r="Z693" s="92">
        <f t="shared" si="61"/>
        <v>0</v>
      </c>
      <c r="AA693" s="92">
        <f t="shared" si="62"/>
        <v>0</v>
      </c>
      <c r="AB693" s="92">
        <f t="shared" si="63"/>
        <v>0</v>
      </c>
      <c r="AC693" s="92"/>
      <c r="AD693" s="92">
        <v>0</v>
      </c>
      <c r="AE693" s="92">
        <f t="shared" si="64"/>
        <v>0</v>
      </c>
      <c r="AF693" s="93">
        <v>0</v>
      </c>
      <c r="AG693" s="89"/>
      <c r="AH693" s="94"/>
      <c r="AI693" s="95" t="s">
        <v>4336</v>
      </c>
      <c r="AJ693" s="96" t="s">
        <v>4337</v>
      </c>
      <c r="AK693" s="97"/>
      <c r="AL693" s="89"/>
      <c r="AM693" s="100" t="s">
        <v>3635</v>
      </c>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114"/>
      <c r="CQ693" s="115"/>
      <c r="CR693" s="114"/>
      <c r="CS693" s="115"/>
      <c r="CT693" s="114"/>
      <c r="CU693" s="115"/>
      <c r="CV693" s="99">
        <f t="shared" si="65"/>
        <v>0</v>
      </c>
      <c r="CW693" s="114"/>
      <c r="CX693" s="115"/>
      <c r="CY693" s="114"/>
      <c r="CZ693" s="115"/>
      <c r="DA693" s="115"/>
      <c r="DB693" s="115"/>
      <c r="DC693" s="114"/>
      <c r="DD693" s="115"/>
      <c r="DE693" s="97"/>
      <c r="DF693" s="269"/>
    </row>
    <row r="694" spans="1:255" s="270" customFormat="1" ht="36" x14ac:dyDescent="0.2">
      <c r="A694" s="89">
        <v>40653</v>
      </c>
      <c r="B694" s="90" t="s">
        <v>2226</v>
      </c>
      <c r="C694" s="90" t="s">
        <v>2978</v>
      </c>
      <c r="D694" s="90" t="s">
        <v>4264</v>
      </c>
      <c r="E694" s="90" t="str">
        <f>VLOOKUP(B694&amp;C694,Divipola!$C$2:$F$1138,4,FALSE)</f>
        <v>68573</v>
      </c>
      <c r="F694" s="90"/>
      <c r="G694" s="101"/>
      <c r="H694" s="101"/>
      <c r="I694" s="101"/>
      <c r="J694" s="101">
        <v>1095</v>
      </c>
      <c r="K694" s="101">
        <v>219</v>
      </c>
      <c r="L694" s="101"/>
      <c r="M694" s="101">
        <v>219</v>
      </c>
      <c r="N694" s="101"/>
      <c r="O694" s="101"/>
      <c r="P694" s="101"/>
      <c r="Q694" s="101"/>
      <c r="R694" s="101"/>
      <c r="S694" s="101"/>
      <c r="T694" s="101"/>
      <c r="U694" s="101"/>
      <c r="V694" s="101"/>
      <c r="W694" s="91"/>
      <c r="X694" s="89"/>
      <c r="Y694" s="92">
        <f t="shared" si="60"/>
        <v>0</v>
      </c>
      <c r="Z694" s="92">
        <f t="shared" si="61"/>
        <v>0</v>
      </c>
      <c r="AA694" s="92">
        <f t="shared" si="62"/>
        <v>0</v>
      </c>
      <c r="AB694" s="92">
        <f t="shared" si="63"/>
        <v>0</v>
      </c>
      <c r="AC694" s="92"/>
      <c r="AD694" s="92">
        <v>0</v>
      </c>
      <c r="AE694" s="92">
        <f t="shared" si="64"/>
        <v>0</v>
      </c>
      <c r="AF694" s="93">
        <v>0</v>
      </c>
      <c r="AG694" s="89"/>
      <c r="AH694" s="94"/>
      <c r="AI694" s="95" t="s">
        <v>4346</v>
      </c>
      <c r="AJ694" s="96" t="s">
        <v>4347</v>
      </c>
      <c r="AK694" s="97"/>
      <c r="AL694" s="89" t="s">
        <v>1049</v>
      </c>
      <c r="AM694" s="100" t="s">
        <v>3638</v>
      </c>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114"/>
      <c r="CQ694" s="115"/>
      <c r="CR694" s="114"/>
      <c r="CS694" s="115"/>
      <c r="CT694" s="114"/>
      <c r="CU694" s="115"/>
      <c r="CV694" s="99">
        <f t="shared" si="65"/>
        <v>0</v>
      </c>
      <c r="CW694" s="114"/>
      <c r="CX694" s="115"/>
      <c r="CY694" s="114"/>
      <c r="CZ694" s="115"/>
      <c r="DA694" s="115"/>
      <c r="DB694" s="115"/>
      <c r="DC694" s="114"/>
      <c r="DD694" s="115"/>
      <c r="DE694" s="97"/>
      <c r="DF694" s="269"/>
    </row>
    <row r="695" spans="1:255" s="270" customFormat="1" x14ac:dyDescent="0.2">
      <c r="A695" s="89">
        <v>40653</v>
      </c>
      <c r="B695" s="90" t="s">
        <v>2204</v>
      </c>
      <c r="C695" s="90" t="s">
        <v>4345</v>
      </c>
      <c r="D695" s="90" t="s">
        <v>4264</v>
      </c>
      <c r="E695" s="90">
        <f>VLOOKUP(B695&amp;C695,Divipola!$C$2:$F$1138,4,FALSE)</f>
        <v>70</v>
      </c>
      <c r="F695" s="90"/>
      <c r="G695" s="101"/>
      <c r="H695" s="101"/>
      <c r="I695" s="101"/>
      <c r="J695" s="101"/>
      <c r="K695" s="101"/>
      <c r="L695" s="101"/>
      <c r="M695" s="101"/>
      <c r="N695" s="101"/>
      <c r="O695" s="101"/>
      <c r="P695" s="101"/>
      <c r="Q695" s="101"/>
      <c r="R695" s="101"/>
      <c r="S695" s="101"/>
      <c r="T695" s="101"/>
      <c r="U695" s="101"/>
      <c r="V695" s="101"/>
      <c r="W695" s="91"/>
      <c r="X695" s="89"/>
      <c r="Y695" s="92">
        <f t="shared" si="60"/>
        <v>19998400</v>
      </c>
      <c r="Z695" s="92">
        <f t="shared" si="61"/>
        <v>0</v>
      </c>
      <c r="AA695" s="92">
        <f t="shared" si="62"/>
        <v>0</v>
      </c>
      <c r="AB695" s="92">
        <f t="shared" si="63"/>
        <v>90016000</v>
      </c>
      <c r="AC695" s="92"/>
      <c r="AD695" s="92">
        <v>0</v>
      </c>
      <c r="AE695" s="92">
        <f t="shared" si="64"/>
        <v>110014400</v>
      </c>
      <c r="AF695" s="93">
        <v>0</v>
      </c>
      <c r="AG695" s="89"/>
      <c r="AH695" s="94"/>
      <c r="AI695" s="95" t="s">
        <v>4346</v>
      </c>
      <c r="AJ695" s="96" t="s">
        <v>4347</v>
      </c>
      <c r="AK695" s="97"/>
      <c r="AL695" s="89"/>
      <c r="AM695" s="100"/>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v>40</v>
      </c>
      <c r="CA695" s="91">
        <f>40*499960</f>
        <v>19998400</v>
      </c>
      <c r="CB695" s="91"/>
      <c r="CC695" s="91"/>
      <c r="CD695" s="91"/>
      <c r="CE695" s="91"/>
      <c r="CF695" s="91"/>
      <c r="CG695" s="91"/>
      <c r="CH695" s="91"/>
      <c r="CI695" s="91"/>
      <c r="CJ695" s="91"/>
      <c r="CK695" s="91"/>
      <c r="CL695" s="91"/>
      <c r="CM695" s="91"/>
      <c r="CN695" s="91"/>
      <c r="CO695" s="91"/>
      <c r="CP695" s="114"/>
      <c r="CQ695" s="115"/>
      <c r="CR695" s="114"/>
      <c r="CS695" s="115"/>
      <c r="CT695" s="114"/>
      <c r="CU695" s="115"/>
      <c r="CV695" s="99">
        <f t="shared" si="65"/>
        <v>19998400</v>
      </c>
      <c r="CW695" s="114">
        <v>100000</v>
      </c>
      <c r="CX695" s="115">
        <f>100000*900.16</f>
        <v>90016000</v>
      </c>
      <c r="CY695" s="114"/>
      <c r="CZ695" s="115"/>
      <c r="DA695" s="115"/>
      <c r="DB695" s="115"/>
      <c r="DC695" s="114"/>
      <c r="DD695" s="115"/>
      <c r="DE695" s="97"/>
      <c r="DF695" s="269"/>
    </row>
    <row r="696" spans="1:255" s="270" customFormat="1" x14ac:dyDescent="0.2">
      <c r="A696" s="89">
        <v>40653</v>
      </c>
      <c r="B696" s="90" t="s">
        <v>3316</v>
      </c>
      <c r="C696" s="90" t="s">
        <v>4345</v>
      </c>
      <c r="D696" s="90" t="s">
        <v>4264</v>
      </c>
      <c r="E696" s="90">
        <f>VLOOKUP(B696&amp;C696,Divipola!$C$2:$F$1138,4,FALSE)</f>
        <v>73</v>
      </c>
      <c r="F696" s="90"/>
      <c r="G696" s="101"/>
      <c r="H696" s="101"/>
      <c r="I696" s="101"/>
      <c r="J696" s="101"/>
      <c r="K696" s="101"/>
      <c r="L696" s="101"/>
      <c r="M696" s="101"/>
      <c r="N696" s="101"/>
      <c r="O696" s="101"/>
      <c r="P696" s="101"/>
      <c r="Q696" s="101"/>
      <c r="R696" s="101"/>
      <c r="S696" s="101"/>
      <c r="T696" s="101"/>
      <c r="U696" s="101"/>
      <c r="V696" s="101"/>
      <c r="W696" s="91"/>
      <c r="X696" s="89"/>
      <c r="Y696" s="92">
        <f t="shared" si="60"/>
        <v>700773440</v>
      </c>
      <c r="Z696" s="92">
        <f t="shared" si="61"/>
        <v>340000000</v>
      </c>
      <c r="AA696" s="92">
        <f t="shared" si="62"/>
        <v>0</v>
      </c>
      <c r="AB696" s="92">
        <f t="shared" si="63"/>
        <v>0</v>
      </c>
      <c r="AC696" s="92"/>
      <c r="AD696" s="92">
        <v>0</v>
      </c>
      <c r="AE696" s="92">
        <f t="shared" si="64"/>
        <v>1040773440</v>
      </c>
      <c r="AF696" s="93">
        <v>0</v>
      </c>
      <c r="AG696" s="89"/>
      <c r="AH696" s="94"/>
      <c r="AI696" s="95" t="s">
        <v>4346</v>
      </c>
      <c r="AJ696" s="96" t="s">
        <v>4347</v>
      </c>
      <c r="AK696" s="97"/>
      <c r="AL696" s="89"/>
      <c r="AM696" s="100"/>
      <c r="AN696" s="91"/>
      <c r="AO696" s="91"/>
      <c r="AP696" s="91"/>
      <c r="AQ696" s="91"/>
      <c r="AR696" s="91"/>
      <c r="AS696" s="91"/>
      <c r="AT696" s="91"/>
      <c r="AU696" s="91"/>
      <c r="AV696" s="91"/>
      <c r="AW696" s="91"/>
      <c r="AX696" s="91"/>
      <c r="AY696" s="91"/>
      <c r="AZ696" s="91">
        <v>3000</v>
      </c>
      <c r="BA696" s="91">
        <f>3000*56000</f>
        <v>168000000</v>
      </c>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v>200</v>
      </c>
      <c r="CA696" s="91">
        <f>200*500000</f>
        <v>100000000</v>
      </c>
      <c r="CB696" s="91"/>
      <c r="CC696" s="91"/>
      <c r="CD696" s="91"/>
      <c r="CE696" s="91"/>
      <c r="CF696" s="91"/>
      <c r="CG696" s="91"/>
      <c r="CH696" s="91"/>
      <c r="CI696" s="91"/>
      <c r="CJ696" s="91">
        <v>6000</v>
      </c>
      <c r="CK696" s="91">
        <f>6000*20996</f>
        <v>125976000</v>
      </c>
      <c r="CL696" s="91"/>
      <c r="CM696" s="91"/>
      <c r="CN696" s="91"/>
      <c r="CO696" s="91"/>
      <c r="CP696" s="114">
        <v>4000</v>
      </c>
      <c r="CQ696" s="115">
        <f>4000*36999.36</f>
        <v>147997440</v>
      </c>
      <c r="CR696" s="114">
        <v>4000</v>
      </c>
      <c r="CS696" s="115">
        <f>4000*39700</f>
        <v>158800000</v>
      </c>
      <c r="CT696" s="114"/>
      <c r="CU696" s="115"/>
      <c r="CV696" s="99">
        <f t="shared" si="65"/>
        <v>700773440</v>
      </c>
      <c r="CW696" s="114"/>
      <c r="CX696" s="115"/>
      <c r="CY696" s="114">
        <v>4000</v>
      </c>
      <c r="CZ696" s="115">
        <f>4000*85000</f>
        <v>340000000</v>
      </c>
      <c r="DA696" s="115"/>
      <c r="DB696" s="115"/>
      <c r="DC696" s="114"/>
      <c r="DD696" s="115"/>
      <c r="DE696" s="97"/>
      <c r="DF696" s="269"/>
    </row>
    <row r="697" spans="1:255" s="270" customFormat="1" ht="36" x14ac:dyDescent="0.2">
      <c r="A697" s="89">
        <v>40653</v>
      </c>
      <c r="B697" s="90" t="s">
        <v>3316</v>
      </c>
      <c r="C697" s="90" t="s">
        <v>805</v>
      </c>
      <c r="D697" s="90" t="s">
        <v>4264</v>
      </c>
      <c r="E697" s="90" t="str">
        <f>VLOOKUP(B697&amp;C697,Divipola!$C$2:$F$1138,4,FALSE)</f>
        <v>73347</v>
      </c>
      <c r="F697" s="90"/>
      <c r="G697" s="101"/>
      <c r="H697" s="101"/>
      <c r="I697" s="101"/>
      <c r="J697" s="101">
        <f>483*5</f>
        <v>2415</v>
      </c>
      <c r="K697" s="101">
        <v>483</v>
      </c>
      <c r="L697" s="101">
        <v>1</v>
      </c>
      <c r="M697" s="101"/>
      <c r="N697" s="101">
        <v>1</v>
      </c>
      <c r="O697" s="101"/>
      <c r="P697" s="101"/>
      <c r="Q697" s="101"/>
      <c r="R697" s="101"/>
      <c r="S697" s="101"/>
      <c r="T697" s="101"/>
      <c r="U697" s="101"/>
      <c r="V697" s="101"/>
      <c r="W697" s="91"/>
      <c r="X697" s="89"/>
      <c r="Y697" s="92">
        <f t="shared" si="60"/>
        <v>0</v>
      </c>
      <c r="Z697" s="92">
        <f t="shared" si="61"/>
        <v>0</v>
      </c>
      <c r="AA697" s="92">
        <f t="shared" si="62"/>
        <v>0</v>
      </c>
      <c r="AB697" s="92">
        <f t="shared" si="63"/>
        <v>0</v>
      </c>
      <c r="AC697" s="92"/>
      <c r="AD697" s="92">
        <v>0</v>
      </c>
      <c r="AE697" s="92">
        <f t="shared" si="64"/>
        <v>0</v>
      </c>
      <c r="AF697" s="93">
        <v>0</v>
      </c>
      <c r="AG697" s="89"/>
      <c r="AH697" s="94"/>
      <c r="AI697" s="95" t="s">
        <v>4346</v>
      </c>
      <c r="AJ697" s="96" t="s">
        <v>4347</v>
      </c>
      <c r="AK697" s="97"/>
      <c r="AL697" s="89" t="s">
        <v>2798</v>
      </c>
      <c r="AM697" s="100" t="s">
        <v>909</v>
      </c>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114"/>
      <c r="CQ697" s="115"/>
      <c r="CR697" s="114"/>
      <c r="CS697" s="115"/>
      <c r="CT697" s="114"/>
      <c r="CU697" s="115"/>
      <c r="CV697" s="99">
        <f t="shared" si="65"/>
        <v>0</v>
      </c>
      <c r="CW697" s="114"/>
      <c r="CX697" s="115"/>
      <c r="CY697" s="114"/>
      <c r="CZ697" s="115"/>
      <c r="DA697" s="115"/>
      <c r="DB697" s="115"/>
      <c r="DC697" s="114"/>
      <c r="DD697" s="115"/>
      <c r="DE697" s="97"/>
      <c r="DF697" s="269"/>
    </row>
    <row r="698" spans="1:255" s="270" customFormat="1" ht="48" x14ac:dyDescent="0.2">
      <c r="A698" s="89">
        <v>40653</v>
      </c>
      <c r="B698" s="90" t="s">
        <v>4244</v>
      </c>
      <c r="C698" s="90" t="s">
        <v>4226</v>
      </c>
      <c r="D698" s="90" t="s">
        <v>4264</v>
      </c>
      <c r="E698" s="90" t="str">
        <f>VLOOKUP(B698&amp;C698,Divipola!$C$2:$F$1138,4,FALSE)</f>
        <v>76364</v>
      </c>
      <c r="F698" s="90"/>
      <c r="G698" s="101"/>
      <c r="H698" s="101"/>
      <c r="I698" s="101"/>
      <c r="J698" s="101">
        <v>400</v>
      </c>
      <c r="K698" s="101">
        <v>100</v>
      </c>
      <c r="L698" s="101"/>
      <c r="M698" s="101">
        <v>100</v>
      </c>
      <c r="N698" s="101"/>
      <c r="O698" s="101"/>
      <c r="P698" s="101"/>
      <c r="Q698" s="101"/>
      <c r="R698" s="101"/>
      <c r="S698" s="101"/>
      <c r="T698" s="101"/>
      <c r="U698" s="101"/>
      <c r="V698" s="101"/>
      <c r="W698" s="91"/>
      <c r="X698" s="89"/>
      <c r="Y698" s="92">
        <f t="shared" si="60"/>
        <v>0</v>
      </c>
      <c r="Z698" s="92">
        <f t="shared" si="61"/>
        <v>0</v>
      </c>
      <c r="AA698" s="92">
        <f t="shared" si="62"/>
        <v>0</v>
      </c>
      <c r="AB698" s="92">
        <f t="shared" si="63"/>
        <v>0</v>
      </c>
      <c r="AC698" s="92"/>
      <c r="AD698" s="92">
        <v>0</v>
      </c>
      <c r="AE698" s="92">
        <f t="shared" si="64"/>
        <v>0</v>
      </c>
      <c r="AF698" s="93">
        <v>0</v>
      </c>
      <c r="AG698" s="89"/>
      <c r="AH698" s="94"/>
      <c r="AI698" s="95" t="s">
        <v>4336</v>
      </c>
      <c r="AJ698" s="96" t="s">
        <v>4337</v>
      </c>
      <c r="AK698" s="97"/>
      <c r="AL698" s="89"/>
      <c r="AM698" s="100" t="s">
        <v>2705</v>
      </c>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114"/>
      <c r="CQ698" s="115"/>
      <c r="CR698" s="114"/>
      <c r="CS698" s="115"/>
      <c r="CT698" s="114"/>
      <c r="CU698" s="115"/>
      <c r="CV698" s="99">
        <f t="shared" si="65"/>
        <v>0</v>
      </c>
      <c r="CW698" s="114"/>
      <c r="CX698" s="115"/>
      <c r="CY698" s="114"/>
      <c r="CZ698" s="115"/>
      <c r="DA698" s="115"/>
      <c r="DB698" s="115"/>
      <c r="DC698" s="114"/>
      <c r="DD698" s="115"/>
      <c r="DE698" s="97"/>
      <c r="DF698" s="269"/>
    </row>
    <row r="699" spans="1:255" s="270" customFormat="1" x14ac:dyDescent="0.2">
      <c r="A699" s="89">
        <v>40654</v>
      </c>
      <c r="B699" s="90" t="s">
        <v>2218</v>
      </c>
      <c r="C699" s="90" t="s">
        <v>4345</v>
      </c>
      <c r="D699" s="90" t="s">
        <v>4264</v>
      </c>
      <c r="E699" s="90">
        <f>VLOOKUP(B699&amp;C699,Divipola!$C$2:$F$1138,4,FALSE)</f>
        <v>5</v>
      </c>
      <c r="F699" s="90"/>
      <c r="G699" s="101"/>
      <c r="H699" s="101"/>
      <c r="I699" s="101"/>
      <c r="J699" s="101"/>
      <c r="K699" s="101"/>
      <c r="L699" s="101"/>
      <c r="M699" s="101"/>
      <c r="N699" s="101"/>
      <c r="O699" s="101"/>
      <c r="P699" s="101"/>
      <c r="Q699" s="101"/>
      <c r="R699" s="101"/>
      <c r="S699" s="101"/>
      <c r="T699" s="101"/>
      <c r="U699" s="101"/>
      <c r="V699" s="101"/>
      <c r="W699" s="91"/>
      <c r="X699" s="89"/>
      <c r="Y699" s="92">
        <f t="shared" si="60"/>
        <v>197540000</v>
      </c>
      <c r="Z699" s="92">
        <f t="shared" si="61"/>
        <v>212500000</v>
      </c>
      <c r="AA699" s="92">
        <f t="shared" si="62"/>
        <v>0</v>
      </c>
      <c r="AB699" s="92">
        <f t="shared" si="63"/>
        <v>0</v>
      </c>
      <c r="AC699" s="92"/>
      <c r="AD699" s="92">
        <v>0</v>
      </c>
      <c r="AE699" s="92">
        <f t="shared" si="64"/>
        <v>410040000</v>
      </c>
      <c r="AF699" s="93">
        <v>0</v>
      </c>
      <c r="AG699" s="89"/>
      <c r="AH699" s="94"/>
      <c r="AI699" s="95" t="s">
        <v>4346</v>
      </c>
      <c r="AJ699" s="96" t="s">
        <v>4347</v>
      </c>
      <c r="AK699" s="97"/>
      <c r="AL699" s="89"/>
      <c r="AM699" s="100"/>
      <c r="AN699" s="91"/>
      <c r="AO699" s="91"/>
      <c r="AP699" s="91"/>
      <c r="AQ699" s="91"/>
      <c r="AR699" s="91"/>
      <c r="AS699" s="91"/>
      <c r="AT699" s="91"/>
      <c r="AU699" s="91"/>
      <c r="AV699" s="91"/>
      <c r="AW699" s="91"/>
      <c r="AX699" s="91"/>
      <c r="AY699" s="91"/>
      <c r="AZ699" s="91">
        <v>2500</v>
      </c>
      <c r="BA699" s="91">
        <f>2500*56000</f>
        <v>140000000</v>
      </c>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v>10</v>
      </c>
      <c r="CA699" s="91">
        <f>10*504000</f>
        <v>5040000</v>
      </c>
      <c r="CB699" s="91"/>
      <c r="CC699" s="91"/>
      <c r="CD699" s="91"/>
      <c r="CE699" s="91"/>
      <c r="CF699" s="91"/>
      <c r="CG699" s="91"/>
      <c r="CH699" s="91"/>
      <c r="CI699" s="91"/>
      <c r="CJ699" s="91">
        <v>2500</v>
      </c>
      <c r="CK699" s="91">
        <f>2500*21000</f>
        <v>52500000</v>
      </c>
      <c r="CL699" s="91"/>
      <c r="CM699" s="91"/>
      <c r="CN699" s="91"/>
      <c r="CO699" s="91"/>
      <c r="CP699" s="114"/>
      <c r="CQ699" s="115"/>
      <c r="CR699" s="114"/>
      <c r="CS699" s="115"/>
      <c r="CT699" s="114"/>
      <c r="CU699" s="115"/>
      <c r="CV699" s="99">
        <f t="shared" si="65"/>
        <v>197540000</v>
      </c>
      <c r="CW699" s="114"/>
      <c r="CX699" s="115"/>
      <c r="CY699" s="114">
        <v>2500</v>
      </c>
      <c r="CZ699" s="115">
        <f>2500*85000</f>
        <v>212500000</v>
      </c>
      <c r="DA699" s="115"/>
      <c r="DB699" s="115"/>
      <c r="DC699" s="114"/>
      <c r="DD699" s="115"/>
      <c r="DE699" s="97"/>
      <c r="DF699" s="269"/>
    </row>
    <row r="700" spans="1:255" s="270" customFormat="1" ht="24" x14ac:dyDescent="0.2">
      <c r="A700" s="89">
        <v>40654</v>
      </c>
      <c r="B700" s="90" t="s">
        <v>2218</v>
      </c>
      <c r="C700" s="90" t="s">
        <v>3244</v>
      </c>
      <c r="D700" s="90" t="s">
        <v>2362</v>
      </c>
      <c r="E700" s="90" t="str">
        <f>VLOOKUP(B700&amp;C700,Divipola!$C$2:$F$1138,4,FALSE)</f>
        <v>05360</v>
      </c>
      <c r="F700" s="90"/>
      <c r="G700" s="101"/>
      <c r="H700" s="101"/>
      <c r="I700" s="101"/>
      <c r="J700" s="101">
        <v>65</v>
      </c>
      <c r="K700" s="101">
        <v>13</v>
      </c>
      <c r="L700" s="101">
        <v>3</v>
      </c>
      <c r="M700" s="101">
        <v>10</v>
      </c>
      <c r="N700" s="101"/>
      <c r="O700" s="101"/>
      <c r="P700" s="101"/>
      <c r="Q700" s="101"/>
      <c r="R700" s="101"/>
      <c r="S700" s="101"/>
      <c r="T700" s="101"/>
      <c r="U700" s="101"/>
      <c r="V700" s="101"/>
      <c r="W700" s="91"/>
      <c r="X700" s="89"/>
      <c r="Y700" s="92">
        <f t="shared" si="60"/>
        <v>0</v>
      </c>
      <c r="Z700" s="92">
        <f t="shared" si="61"/>
        <v>0</v>
      </c>
      <c r="AA700" s="92">
        <f t="shared" si="62"/>
        <v>0</v>
      </c>
      <c r="AB700" s="92">
        <f t="shared" si="63"/>
        <v>0</v>
      </c>
      <c r="AC700" s="92"/>
      <c r="AD700" s="92">
        <v>0</v>
      </c>
      <c r="AE700" s="92">
        <f t="shared" si="64"/>
        <v>0</v>
      </c>
      <c r="AF700" s="93">
        <v>0</v>
      </c>
      <c r="AG700" s="89"/>
      <c r="AH700" s="94"/>
      <c r="AI700" s="102" t="s">
        <v>4336</v>
      </c>
      <c r="AJ700" s="96" t="s">
        <v>4337</v>
      </c>
      <c r="AK700" s="97"/>
      <c r="AL700" s="89"/>
      <c r="AM700" s="100" t="s">
        <v>1067</v>
      </c>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114"/>
      <c r="CQ700" s="115"/>
      <c r="CR700" s="114"/>
      <c r="CS700" s="115"/>
      <c r="CT700" s="114"/>
      <c r="CU700" s="115"/>
      <c r="CV700" s="99">
        <f t="shared" si="65"/>
        <v>0</v>
      </c>
      <c r="CW700" s="114"/>
      <c r="CX700" s="115"/>
      <c r="CY700" s="114"/>
      <c r="CZ700" s="115"/>
      <c r="DA700" s="115"/>
      <c r="DB700" s="115"/>
      <c r="DC700" s="114"/>
      <c r="DD700" s="115"/>
      <c r="DE700" s="97"/>
      <c r="DF700" s="269">
        <v>1734</v>
      </c>
    </row>
    <row r="701" spans="1:255" s="42" customFormat="1" x14ac:dyDescent="0.2">
      <c r="A701" s="89">
        <v>40654</v>
      </c>
      <c r="B701" s="90" t="s">
        <v>4261</v>
      </c>
      <c r="C701" s="90" t="s">
        <v>4345</v>
      </c>
      <c r="D701" s="90" t="s">
        <v>4264</v>
      </c>
      <c r="E701" s="90">
        <f>VLOOKUP(B701&amp;C701,Divipola!$C$2:$F$1138,4,FALSE)</f>
        <v>15</v>
      </c>
      <c r="F701" s="90"/>
      <c r="G701" s="101"/>
      <c r="H701" s="101"/>
      <c r="I701" s="101"/>
      <c r="J701" s="101"/>
      <c r="K701" s="101"/>
      <c r="L701" s="101"/>
      <c r="M701" s="101"/>
      <c r="N701" s="101"/>
      <c r="O701" s="101"/>
      <c r="P701" s="101"/>
      <c r="Q701" s="101"/>
      <c r="R701" s="101"/>
      <c r="S701" s="101"/>
      <c r="T701" s="101"/>
      <c r="U701" s="101"/>
      <c r="V701" s="101"/>
      <c r="W701" s="91"/>
      <c r="X701" s="89"/>
      <c r="Y701" s="92">
        <f t="shared" si="60"/>
        <v>319786490</v>
      </c>
      <c r="Z701" s="92">
        <f t="shared" si="61"/>
        <v>340000000</v>
      </c>
      <c r="AA701" s="92">
        <f t="shared" si="62"/>
        <v>0</v>
      </c>
      <c r="AB701" s="92">
        <f t="shared" si="63"/>
        <v>54636000</v>
      </c>
      <c r="AC701" s="92"/>
      <c r="AD701" s="92">
        <v>0</v>
      </c>
      <c r="AE701" s="92">
        <f t="shared" si="64"/>
        <v>714422490</v>
      </c>
      <c r="AF701" s="93">
        <v>0</v>
      </c>
      <c r="AG701" s="89"/>
      <c r="AH701" s="94"/>
      <c r="AI701" s="95" t="s">
        <v>4346</v>
      </c>
      <c r="AJ701" s="96" t="s">
        <v>4347</v>
      </c>
      <c r="AK701" s="97"/>
      <c r="AL701" s="89"/>
      <c r="AM701" s="100"/>
      <c r="AN701" s="91"/>
      <c r="AO701" s="91"/>
      <c r="AP701" s="91"/>
      <c r="AQ701" s="91"/>
      <c r="AR701" s="91"/>
      <c r="AS701" s="91"/>
      <c r="AT701" s="91"/>
      <c r="AU701" s="91"/>
      <c r="AV701" s="91"/>
      <c r="AW701" s="91"/>
      <c r="AX701" s="91"/>
      <c r="AY701" s="91"/>
      <c r="AZ701" s="91">
        <v>2000</v>
      </c>
      <c r="BA701" s="91">
        <f>2000*56000</f>
        <v>112000000</v>
      </c>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v>25</v>
      </c>
      <c r="CA701" s="91">
        <f>15*500000+10*498249</f>
        <v>12482490</v>
      </c>
      <c r="CB701" s="91"/>
      <c r="CC701" s="91"/>
      <c r="CD701" s="91"/>
      <c r="CE701" s="91"/>
      <c r="CF701" s="91"/>
      <c r="CG701" s="91"/>
      <c r="CH701" s="91"/>
      <c r="CI701" s="91"/>
      <c r="CJ701" s="91">
        <v>2000</v>
      </c>
      <c r="CK701" s="91">
        <f>2000*21000</f>
        <v>42000000</v>
      </c>
      <c r="CL701" s="91"/>
      <c r="CM701" s="91"/>
      <c r="CN701" s="91"/>
      <c r="CO701" s="91"/>
      <c r="CP701" s="114">
        <v>2000</v>
      </c>
      <c r="CQ701" s="115">
        <f>2000*36952</f>
        <v>73904000</v>
      </c>
      <c r="CR701" s="114">
        <v>2000</v>
      </c>
      <c r="CS701" s="115">
        <f>2000*39700</f>
        <v>79400000</v>
      </c>
      <c r="CT701" s="114"/>
      <c r="CU701" s="115"/>
      <c r="CV701" s="99">
        <f t="shared" si="65"/>
        <v>319786490</v>
      </c>
      <c r="CW701" s="114">
        <v>60000</v>
      </c>
      <c r="CX701" s="115">
        <f>60000*910.6</f>
        <v>54636000</v>
      </c>
      <c r="CY701" s="114">
        <f>2000+2000</f>
        <v>4000</v>
      </c>
      <c r="CZ701" s="115">
        <f>2000*85000+2000*85000</f>
        <v>340000000</v>
      </c>
      <c r="DA701" s="115"/>
      <c r="DB701" s="115"/>
      <c r="DC701" s="114"/>
      <c r="DD701" s="115"/>
      <c r="DE701" s="97"/>
      <c r="DF701" s="269"/>
      <c r="DG701" s="270"/>
      <c r="DH701" s="270"/>
      <c r="DI701" s="270"/>
      <c r="DJ701" s="270"/>
      <c r="DK701" s="270"/>
      <c r="DL701" s="270"/>
      <c r="DM701" s="270"/>
      <c r="DN701" s="270"/>
      <c r="DO701" s="270"/>
      <c r="DP701" s="270"/>
      <c r="DQ701" s="270"/>
      <c r="DR701" s="270"/>
      <c r="DS701" s="270"/>
      <c r="DT701" s="270"/>
      <c r="DU701" s="270"/>
      <c r="DV701" s="270"/>
      <c r="DW701" s="270"/>
      <c r="DX701" s="270"/>
      <c r="DY701" s="270"/>
      <c r="DZ701" s="270"/>
      <c r="EA701" s="270"/>
      <c r="EB701" s="270"/>
      <c r="EC701" s="270"/>
      <c r="ED701" s="270"/>
      <c r="EE701" s="270"/>
      <c r="EF701" s="270"/>
      <c r="EG701" s="270"/>
      <c r="EH701" s="270"/>
      <c r="EI701" s="270"/>
      <c r="EJ701" s="270"/>
      <c r="EK701" s="270"/>
      <c r="EL701" s="270"/>
      <c r="EM701" s="270"/>
      <c r="EN701" s="270"/>
      <c r="EO701" s="270"/>
      <c r="EP701" s="270"/>
      <c r="EQ701" s="270"/>
      <c r="ER701" s="270"/>
      <c r="ES701" s="270"/>
      <c r="ET701" s="270"/>
      <c r="EU701" s="270"/>
      <c r="EV701" s="270"/>
      <c r="EW701" s="270"/>
      <c r="EX701" s="270"/>
      <c r="EY701" s="270"/>
      <c r="EZ701" s="270"/>
      <c r="FA701" s="270"/>
      <c r="FB701" s="270"/>
      <c r="FC701" s="270"/>
      <c r="FD701" s="270"/>
      <c r="FE701" s="270"/>
      <c r="FF701" s="270"/>
      <c r="FG701" s="270"/>
      <c r="FH701" s="270"/>
      <c r="FI701" s="270"/>
      <c r="FJ701" s="270"/>
      <c r="FK701" s="270"/>
      <c r="FL701" s="270"/>
      <c r="FM701" s="270"/>
      <c r="FN701" s="270"/>
      <c r="FO701" s="270"/>
      <c r="FP701" s="270"/>
      <c r="FQ701" s="270"/>
      <c r="FR701" s="270"/>
      <c r="FS701" s="270"/>
      <c r="FT701" s="270"/>
      <c r="FU701" s="270"/>
      <c r="FV701" s="270"/>
      <c r="FW701" s="270"/>
      <c r="FX701" s="270"/>
      <c r="FY701" s="270"/>
      <c r="FZ701" s="270"/>
      <c r="GA701" s="270"/>
      <c r="GB701" s="270"/>
      <c r="GC701" s="270"/>
      <c r="GD701" s="270"/>
      <c r="GE701" s="270"/>
      <c r="GF701" s="270"/>
      <c r="GG701" s="270"/>
      <c r="GH701" s="270"/>
      <c r="GI701" s="270"/>
      <c r="GJ701" s="270"/>
      <c r="GK701" s="270"/>
      <c r="GL701" s="270"/>
      <c r="GM701" s="270"/>
      <c r="GN701" s="270"/>
      <c r="GO701" s="270"/>
      <c r="GP701" s="270"/>
      <c r="GQ701" s="270"/>
      <c r="GR701" s="270"/>
      <c r="GS701" s="270"/>
      <c r="GT701" s="270"/>
      <c r="GU701" s="270"/>
      <c r="GV701" s="270"/>
      <c r="GW701" s="270"/>
      <c r="GX701" s="270"/>
      <c r="GY701" s="270"/>
      <c r="GZ701" s="270"/>
      <c r="HA701" s="270"/>
      <c r="HB701" s="270"/>
      <c r="HC701" s="270"/>
      <c r="HD701" s="270"/>
      <c r="HE701" s="270"/>
      <c r="HF701" s="270"/>
      <c r="HG701" s="270"/>
      <c r="HH701" s="270"/>
      <c r="HI701" s="270"/>
      <c r="HJ701" s="270"/>
      <c r="HK701" s="270"/>
      <c r="HL701" s="270"/>
      <c r="HM701" s="270"/>
      <c r="HN701" s="270"/>
      <c r="HO701" s="270"/>
      <c r="HP701" s="270"/>
      <c r="HQ701" s="270"/>
      <c r="HR701" s="270"/>
      <c r="HS701" s="270"/>
      <c r="HT701" s="270"/>
      <c r="HU701" s="270"/>
      <c r="HV701" s="270"/>
      <c r="HW701" s="270"/>
      <c r="HX701" s="270"/>
      <c r="HY701" s="270"/>
      <c r="HZ701" s="270"/>
      <c r="IA701" s="270"/>
      <c r="IB701" s="270"/>
      <c r="IC701" s="270"/>
      <c r="ID701" s="270"/>
      <c r="IE701" s="270"/>
      <c r="IF701" s="270"/>
      <c r="IG701" s="270"/>
      <c r="IH701" s="270"/>
      <c r="II701" s="270"/>
      <c r="IJ701" s="270"/>
      <c r="IK701" s="270"/>
      <c r="IL701" s="270"/>
      <c r="IM701" s="270"/>
      <c r="IN701" s="270"/>
      <c r="IO701" s="270"/>
      <c r="IP701" s="270"/>
      <c r="IQ701" s="270"/>
      <c r="IR701" s="270"/>
      <c r="IS701" s="270"/>
      <c r="IT701" s="270"/>
      <c r="IU701" s="270"/>
    </row>
    <row r="702" spans="1:255" s="270" customFormat="1" ht="24" x14ac:dyDescent="0.2">
      <c r="A702" s="89">
        <v>40654</v>
      </c>
      <c r="B702" s="90" t="s">
        <v>3533</v>
      </c>
      <c r="C702" s="90" t="s">
        <v>3370</v>
      </c>
      <c r="D702" s="90" t="s">
        <v>2362</v>
      </c>
      <c r="E702" s="90" t="str">
        <f>VLOOKUP(B702&amp;C702,Divipola!$C$2:$F$1138,4,FALSE)</f>
        <v>17388</v>
      </c>
      <c r="F702" s="90"/>
      <c r="G702" s="101"/>
      <c r="H702" s="101"/>
      <c r="I702" s="101"/>
      <c r="J702" s="101">
        <v>85</v>
      </c>
      <c r="K702" s="101">
        <v>17</v>
      </c>
      <c r="L702" s="101"/>
      <c r="M702" s="101">
        <v>17</v>
      </c>
      <c r="N702" s="101">
        <v>1</v>
      </c>
      <c r="O702" s="101"/>
      <c r="P702" s="101"/>
      <c r="Q702" s="101"/>
      <c r="R702" s="101"/>
      <c r="S702" s="101"/>
      <c r="T702" s="101"/>
      <c r="U702" s="101"/>
      <c r="V702" s="101"/>
      <c r="W702" s="91"/>
      <c r="X702" s="89"/>
      <c r="Y702" s="92">
        <f t="shared" si="60"/>
        <v>0</v>
      </c>
      <c r="Z702" s="92">
        <f t="shared" si="61"/>
        <v>0</v>
      </c>
      <c r="AA702" s="92">
        <f t="shared" si="62"/>
        <v>0</v>
      </c>
      <c r="AB702" s="92">
        <f t="shared" si="63"/>
        <v>0</v>
      </c>
      <c r="AC702" s="92"/>
      <c r="AD702" s="92">
        <v>0</v>
      </c>
      <c r="AE702" s="92">
        <f t="shared" si="64"/>
        <v>0</v>
      </c>
      <c r="AF702" s="93">
        <v>0</v>
      </c>
      <c r="AG702" s="89"/>
      <c r="AH702" s="94"/>
      <c r="AI702" s="102" t="s">
        <v>4336</v>
      </c>
      <c r="AJ702" s="96" t="s">
        <v>4337</v>
      </c>
      <c r="AK702" s="97"/>
      <c r="AL702" s="89"/>
      <c r="AM702" s="100" t="s">
        <v>3590</v>
      </c>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114"/>
      <c r="CQ702" s="115"/>
      <c r="CR702" s="114"/>
      <c r="CS702" s="115"/>
      <c r="CT702" s="114"/>
      <c r="CU702" s="115"/>
      <c r="CV702" s="99">
        <f t="shared" si="65"/>
        <v>0</v>
      </c>
      <c r="CW702" s="114"/>
      <c r="CX702" s="115"/>
      <c r="CY702" s="114"/>
      <c r="CZ702" s="115"/>
      <c r="DA702" s="115"/>
      <c r="DB702" s="115"/>
      <c r="DC702" s="114"/>
      <c r="DD702" s="115"/>
      <c r="DE702" s="97"/>
      <c r="DF702" s="46"/>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2"/>
      <c r="EU702" s="42"/>
      <c r="EV702" s="42"/>
      <c r="EW702" s="42"/>
      <c r="EX702" s="42"/>
      <c r="EY702" s="42"/>
      <c r="EZ702" s="42"/>
      <c r="FA702" s="42"/>
      <c r="FB702" s="42"/>
      <c r="FC702" s="42"/>
      <c r="FD702" s="42"/>
      <c r="FE702" s="42"/>
      <c r="FF702" s="42"/>
      <c r="FG702" s="42"/>
      <c r="FH702" s="42"/>
      <c r="FI702" s="42"/>
      <c r="FJ702" s="42"/>
      <c r="FK702" s="42"/>
      <c r="FL702" s="42"/>
      <c r="FM702" s="42"/>
      <c r="FN702" s="42"/>
      <c r="FO702" s="42"/>
      <c r="FP702" s="42"/>
      <c r="FQ702" s="42"/>
      <c r="FR702" s="42"/>
      <c r="FS702" s="42"/>
      <c r="FT702" s="42"/>
      <c r="FU702" s="42"/>
      <c r="FV702" s="42"/>
      <c r="FW702" s="42"/>
      <c r="FX702" s="42"/>
      <c r="FY702" s="42"/>
      <c r="FZ702" s="42"/>
      <c r="GA702" s="42"/>
      <c r="GB702" s="42"/>
      <c r="GC702" s="42"/>
      <c r="GD702" s="42"/>
      <c r="GE702" s="42"/>
      <c r="GF702" s="42"/>
      <c r="GG702" s="42"/>
      <c r="GH702" s="42"/>
      <c r="GI702" s="42"/>
      <c r="GJ702" s="42"/>
      <c r="GK702" s="42"/>
      <c r="GL702" s="42"/>
      <c r="GM702" s="42"/>
      <c r="GN702" s="42"/>
      <c r="GO702" s="42"/>
      <c r="GP702" s="42"/>
      <c r="GQ702" s="42"/>
      <c r="GR702" s="42"/>
      <c r="GS702" s="42"/>
      <c r="GT702" s="42"/>
      <c r="GU702" s="42"/>
      <c r="GV702" s="42"/>
      <c r="GW702" s="42"/>
      <c r="GX702" s="42"/>
      <c r="GY702" s="42"/>
      <c r="GZ702" s="42"/>
      <c r="HA702" s="42"/>
      <c r="HB702" s="42"/>
      <c r="HC702" s="42"/>
      <c r="HD702" s="42"/>
      <c r="HE702" s="42"/>
      <c r="HF702" s="42"/>
      <c r="HG702" s="42"/>
      <c r="HH702" s="42"/>
      <c r="HI702" s="42"/>
      <c r="HJ702" s="42"/>
      <c r="HK702" s="42"/>
      <c r="HL702" s="42"/>
      <c r="HM702" s="42"/>
      <c r="HN702" s="42"/>
      <c r="HO702" s="42"/>
      <c r="HP702" s="42"/>
      <c r="HQ702" s="42"/>
      <c r="HR702" s="42"/>
      <c r="HS702" s="42"/>
      <c r="HT702" s="42"/>
      <c r="HU702" s="42"/>
      <c r="HV702" s="42"/>
      <c r="HW702" s="42"/>
      <c r="HX702" s="42"/>
      <c r="HY702" s="42"/>
      <c r="HZ702" s="42"/>
      <c r="IA702" s="42"/>
      <c r="IB702" s="42"/>
      <c r="IC702" s="42"/>
      <c r="ID702" s="42"/>
      <c r="IE702" s="42"/>
      <c r="IF702" s="42"/>
      <c r="IG702" s="42"/>
      <c r="IH702" s="42"/>
      <c r="II702" s="42"/>
      <c r="IJ702" s="42"/>
      <c r="IK702" s="42"/>
      <c r="IL702" s="42"/>
      <c r="IM702" s="42"/>
      <c r="IN702" s="42"/>
      <c r="IO702" s="42"/>
      <c r="IP702" s="42"/>
      <c r="IQ702" s="42"/>
      <c r="IR702" s="42"/>
      <c r="IS702" s="42"/>
      <c r="IT702" s="42"/>
      <c r="IU702" s="42"/>
    </row>
    <row r="703" spans="1:255" s="270" customFormat="1" ht="24" x14ac:dyDescent="0.2">
      <c r="A703" s="89">
        <v>40654</v>
      </c>
      <c r="B703" s="90" t="s">
        <v>4344</v>
      </c>
      <c r="C703" s="90" t="s">
        <v>1027</v>
      </c>
      <c r="D703" s="90" t="s">
        <v>2362</v>
      </c>
      <c r="E703" s="90" t="str">
        <f>VLOOKUP(B703&amp;C703,Divipola!$C$2:$F$1138,4,FALSE)</f>
        <v>25224</v>
      </c>
      <c r="F703" s="90"/>
      <c r="G703" s="101"/>
      <c r="H703" s="101"/>
      <c r="I703" s="101"/>
      <c r="J703" s="101">
        <v>120</v>
      </c>
      <c r="K703" s="101">
        <v>28</v>
      </c>
      <c r="L703" s="101"/>
      <c r="M703" s="101">
        <v>28</v>
      </c>
      <c r="N703" s="101"/>
      <c r="O703" s="101"/>
      <c r="P703" s="101"/>
      <c r="Q703" s="101"/>
      <c r="R703" s="101"/>
      <c r="S703" s="101"/>
      <c r="T703" s="101"/>
      <c r="U703" s="101"/>
      <c r="V703" s="101"/>
      <c r="W703" s="91"/>
      <c r="X703" s="89"/>
      <c r="Y703" s="92">
        <f t="shared" si="60"/>
        <v>0</v>
      </c>
      <c r="Z703" s="92">
        <f t="shared" si="61"/>
        <v>0</v>
      </c>
      <c r="AA703" s="92">
        <f t="shared" si="62"/>
        <v>0</v>
      </c>
      <c r="AB703" s="92">
        <f t="shared" si="63"/>
        <v>0</v>
      </c>
      <c r="AC703" s="92"/>
      <c r="AD703" s="92">
        <v>0</v>
      </c>
      <c r="AE703" s="92">
        <f t="shared" si="64"/>
        <v>0</v>
      </c>
      <c r="AF703" s="93">
        <v>0</v>
      </c>
      <c r="AG703" s="89"/>
      <c r="AH703" s="94"/>
      <c r="AI703" s="102" t="s">
        <v>4336</v>
      </c>
      <c r="AJ703" s="96" t="s">
        <v>4337</v>
      </c>
      <c r="AK703" s="97"/>
      <c r="AL703" s="89"/>
      <c r="AM703" s="100" t="s">
        <v>2345</v>
      </c>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114"/>
      <c r="CQ703" s="115"/>
      <c r="CR703" s="114"/>
      <c r="CS703" s="115"/>
      <c r="CT703" s="114"/>
      <c r="CU703" s="115"/>
      <c r="CV703" s="99">
        <f t="shared" si="65"/>
        <v>0</v>
      </c>
      <c r="CW703" s="114"/>
      <c r="CX703" s="115"/>
      <c r="CY703" s="114"/>
      <c r="CZ703" s="115"/>
      <c r="DA703" s="115"/>
      <c r="DB703" s="115"/>
      <c r="DC703" s="114"/>
      <c r="DD703" s="115"/>
      <c r="DE703" s="97"/>
      <c r="DF703" s="269"/>
    </row>
    <row r="704" spans="1:255" s="270" customFormat="1" ht="168" x14ac:dyDescent="0.2">
      <c r="A704" s="89">
        <v>40654</v>
      </c>
      <c r="B704" s="106" t="s">
        <v>4344</v>
      </c>
      <c r="C704" s="106" t="s">
        <v>1736</v>
      </c>
      <c r="D704" s="90" t="s">
        <v>2362</v>
      </c>
      <c r="E704" s="90" t="str">
        <f>VLOOKUP(B704&amp;C704,Divipola!$C$2:$F$1138,4,FALSE)</f>
        <v>25386</v>
      </c>
      <c r="F704" s="305"/>
      <c r="G704" s="305"/>
      <c r="H704" s="129"/>
      <c r="I704" s="129"/>
      <c r="J704" s="129">
        <v>350</v>
      </c>
      <c r="K704" s="129">
        <v>60</v>
      </c>
      <c r="L704" s="129">
        <v>60</v>
      </c>
      <c r="M704" s="129"/>
      <c r="N704" s="129"/>
      <c r="O704" s="129"/>
      <c r="P704" s="129"/>
      <c r="Q704" s="129"/>
      <c r="R704" s="129"/>
      <c r="S704" s="129"/>
      <c r="T704" s="129"/>
      <c r="U704" s="107"/>
      <c r="V704" s="105"/>
      <c r="W704" s="92"/>
      <c r="X704" s="92"/>
      <c r="Y704" s="92">
        <f t="shared" si="60"/>
        <v>0</v>
      </c>
      <c r="Z704" s="92">
        <f t="shared" si="61"/>
        <v>0</v>
      </c>
      <c r="AA704" s="92">
        <f t="shared" si="62"/>
        <v>0</v>
      </c>
      <c r="AB704" s="92">
        <f t="shared" si="63"/>
        <v>0</v>
      </c>
      <c r="AC704" s="92"/>
      <c r="AD704" s="93">
        <v>0</v>
      </c>
      <c r="AE704" s="5">
        <f t="shared" si="64"/>
        <v>0</v>
      </c>
      <c r="AF704" s="93">
        <v>0</v>
      </c>
      <c r="AG704" s="109"/>
      <c r="AH704" s="108"/>
      <c r="AI704" s="109" t="s">
        <v>4336</v>
      </c>
      <c r="AJ704" s="110" t="s">
        <v>4337</v>
      </c>
      <c r="AK704" s="280"/>
      <c r="AL704" s="281"/>
      <c r="AM704" s="112" t="s">
        <v>2365</v>
      </c>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18"/>
      <c r="CO704" s="119"/>
      <c r="CP704" s="118"/>
      <c r="CQ704" s="119"/>
      <c r="CR704" s="118"/>
      <c r="CS704" s="119"/>
      <c r="CT704" s="113"/>
      <c r="CU704" s="118"/>
      <c r="CV704" s="99">
        <f t="shared" si="65"/>
        <v>0</v>
      </c>
      <c r="CW704" s="118"/>
      <c r="CX704" s="119"/>
      <c r="CY704" s="119"/>
      <c r="CZ704" s="119"/>
      <c r="DA704" s="118"/>
      <c r="DB704" s="119"/>
      <c r="DC704" s="111"/>
      <c r="DD704" s="119"/>
      <c r="DE704" s="111"/>
      <c r="DF704" s="269"/>
    </row>
    <row r="705" spans="1:255" s="270" customFormat="1" ht="60" x14ac:dyDescent="0.2">
      <c r="A705" s="89">
        <v>40654</v>
      </c>
      <c r="B705" s="90" t="s">
        <v>4344</v>
      </c>
      <c r="C705" s="90" t="s">
        <v>4273</v>
      </c>
      <c r="D705" s="90" t="s">
        <v>4264</v>
      </c>
      <c r="E705" s="90" t="str">
        <f>VLOOKUP(B705&amp;C705,Divipola!$C$2:$F$1138,4,FALSE)</f>
        <v>25745</v>
      </c>
      <c r="F705" s="90"/>
      <c r="G705" s="101"/>
      <c r="H705" s="101"/>
      <c r="I705" s="101"/>
      <c r="J705" s="101">
        <v>1603</v>
      </c>
      <c r="K705" s="101">
        <v>492</v>
      </c>
      <c r="L705" s="101"/>
      <c r="M705" s="101">
        <v>492</v>
      </c>
      <c r="N705" s="101"/>
      <c r="O705" s="101"/>
      <c r="P705" s="101"/>
      <c r="Q705" s="101"/>
      <c r="R705" s="101"/>
      <c r="S705" s="101"/>
      <c r="T705" s="101"/>
      <c r="U705" s="101"/>
      <c r="V705" s="101"/>
      <c r="W705" s="91"/>
      <c r="X705" s="89"/>
      <c r="Y705" s="92">
        <f t="shared" si="60"/>
        <v>0</v>
      </c>
      <c r="Z705" s="92">
        <f t="shared" si="61"/>
        <v>0</v>
      </c>
      <c r="AA705" s="92">
        <f t="shared" si="62"/>
        <v>0</v>
      </c>
      <c r="AB705" s="92">
        <f t="shared" si="63"/>
        <v>0</v>
      </c>
      <c r="AC705" s="92"/>
      <c r="AD705" s="92">
        <v>0</v>
      </c>
      <c r="AE705" s="92">
        <f t="shared" si="64"/>
        <v>0</v>
      </c>
      <c r="AF705" s="93">
        <v>0</v>
      </c>
      <c r="AG705" s="89"/>
      <c r="AH705" s="94"/>
      <c r="AI705" s="102" t="s">
        <v>4336</v>
      </c>
      <c r="AJ705" s="96" t="s">
        <v>4337</v>
      </c>
      <c r="AK705" s="97"/>
      <c r="AL705" s="89"/>
      <c r="AM705" s="100" t="s">
        <v>4138</v>
      </c>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114"/>
      <c r="CQ705" s="115"/>
      <c r="CR705" s="114"/>
      <c r="CS705" s="115"/>
      <c r="CT705" s="114"/>
      <c r="CU705" s="115"/>
      <c r="CV705" s="99">
        <f t="shared" si="65"/>
        <v>0</v>
      </c>
      <c r="CW705" s="114"/>
      <c r="CX705" s="115"/>
      <c r="CY705" s="114"/>
      <c r="CZ705" s="115"/>
      <c r="DA705" s="115"/>
      <c r="DB705" s="115"/>
      <c r="DC705" s="114"/>
      <c r="DD705" s="115"/>
      <c r="DE705" s="97"/>
      <c r="DF705" s="269"/>
    </row>
    <row r="706" spans="1:255" s="270" customFormat="1" ht="24" x14ac:dyDescent="0.2">
      <c r="A706" s="89">
        <v>40654</v>
      </c>
      <c r="B706" s="90" t="s">
        <v>4344</v>
      </c>
      <c r="C706" s="90" t="s">
        <v>2253</v>
      </c>
      <c r="D706" s="90" t="s">
        <v>4264</v>
      </c>
      <c r="E706" s="90" t="str">
        <f>VLOOKUP(B706&amp;C706,Divipola!$C$2:$F$1138,4,FALSE)</f>
        <v>25817</v>
      </c>
      <c r="F706" s="90"/>
      <c r="G706" s="101"/>
      <c r="H706" s="101"/>
      <c r="I706" s="101"/>
      <c r="J706" s="101"/>
      <c r="K706" s="101"/>
      <c r="L706" s="101"/>
      <c r="M706" s="101"/>
      <c r="N706" s="101"/>
      <c r="O706" s="101"/>
      <c r="P706" s="101"/>
      <c r="Q706" s="101"/>
      <c r="R706" s="101"/>
      <c r="S706" s="101"/>
      <c r="T706" s="101"/>
      <c r="U706" s="101"/>
      <c r="V706" s="101"/>
      <c r="W706" s="91"/>
      <c r="X706" s="89"/>
      <c r="Y706" s="92">
        <f t="shared" si="60"/>
        <v>0</v>
      </c>
      <c r="Z706" s="92">
        <f t="shared" si="61"/>
        <v>0</v>
      </c>
      <c r="AA706" s="92">
        <f t="shared" si="62"/>
        <v>0</v>
      </c>
      <c r="AB706" s="92">
        <f t="shared" si="63"/>
        <v>0</v>
      </c>
      <c r="AC706" s="92"/>
      <c r="AD706" s="92">
        <v>0</v>
      </c>
      <c r="AE706" s="92">
        <f t="shared" si="64"/>
        <v>0</v>
      </c>
      <c r="AF706" s="93">
        <v>0</v>
      </c>
      <c r="AG706" s="89"/>
      <c r="AH706" s="94"/>
      <c r="AI706" s="102" t="s">
        <v>4336</v>
      </c>
      <c r="AJ706" s="96" t="s">
        <v>4337</v>
      </c>
      <c r="AK706" s="97"/>
      <c r="AL706" s="89"/>
      <c r="AM706" s="100" t="s">
        <v>2344</v>
      </c>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114"/>
      <c r="CQ706" s="115"/>
      <c r="CR706" s="114"/>
      <c r="CS706" s="115"/>
      <c r="CT706" s="114"/>
      <c r="CU706" s="115"/>
      <c r="CV706" s="99">
        <f t="shared" si="65"/>
        <v>0</v>
      </c>
      <c r="CW706" s="114"/>
      <c r="CX706" s="115"/>
      <c r="CY706" s="114"/>
      <c r="CZ706" s="115"/>
      <c r="DA706" s="115"/>
      <c r="DB706" s="115"/>
      <c r="DC706" s="114"/>
      <c r="DD706" s="115"/>
      <c r="DE706" s="97"/>
      <c r="DF706" s="269"/>
    </row>
    <row r="707" spans="1:255" s="270" customFormat="1" ht="36" x14ac:dyDescent="0.2">
      <c r="A707" s="89">
        <v>40654</v>
      </c>
      <c r="B707" s="90" t="s">
        <v>4344</v>
      </c>
      <c r="C707" s="90" t="s">
        <v>4518</v>
      </c>
      <c r="D707" s="90" t="s">
        <v>2362</v>
      </c>
      <c r="E707" s="90" t="str">
        <f>VLOOKUP(B707&amp;C707,Divipola!$C$2:$F$1138,4,FALSE)</f>
        <v>25873</v>
      </c>
      <c r="F707" s="90"/>
      <c r="G707" s="101">
        <v>1</v>
      </c>
      <c r="H707" s="101"/>
      <c r="I707" s="101"/>
      <c r="J707" s="101"/>
      <c r="K707" s="101"/>
      <c r="L707" s="101"/>
      <c r="M707" s="101"/>
      <c r="N707" s="101"/>
      <c r="O707" s="101"/>
      <c r="P707" s="101"/>
      <c r="Q707" s="101"/>
      <c r="R707" s="101"/>
      <c r="S707" s="101"/>
      <c r="T707" s="101"/>
      <c r="U707" s="101"/>
      <c r="V707" s="101"/>
      <c r="W707" s="91"/>
      <c r="X707" s="89"/>
      <c r="Y707" s="92">
        <f t="shared" ref="Y707:Y770" si="66">CV707</f>
        <v>0</v>
      </c>
      <c r="Z707" s="92">
        <f t="shared" ref="Z707:Z770" si="67">CZ707</f>
        <v>0</v>
      </c>
      <c r="AA707" s="92">
        <f t="shared" ref="AA707:AA770" si="68">DB707+DD707</f>
        <v>0</v>
      </c>
      <c r="AB707" s="92">
        <f t="shared" ref="AB707:AB770" si="69">CX707</f>
        <v>0</v>
      </c>
      <c r="AC707" s="92"/>
      <c r="AD707" s="92">
        <v>0</v>
      </c>
      <c r="AE707" s="92">
        <f t="shared" ref="AE707:AE770" si="70">Y707+Z707+AA707+AB707+AC707+AD707</f>
        <v>0</v>
      </c>
      <c r="AF707" s="93">
        <v>0</v>
      </c>
      <c r="AG707" s="89"/>
      <c r="AH707" s="94"/>
      <c r="AI707" s="102" t="s">
        <v>4336</v>
      </c>
      <c r="AJ707" s="96" t="s">
        <v>4337</v>
      </c>
      <c r="AK707" s="97"/>
      <c r="AL707" s="89"/>
      <c r="AM707" s="100" t="s">
        <v>1065</v>
      </c>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114"/>
      <c r="CQ707" s="115"/>
      <c r="CR707" s="114"/>
      <c r="CS707" s="115"/>
      <c r="CT707" s="114"/>
      <c r="CU707" s="115"/>
      <c r="CV707" s="99">
        <f t="shared" ref="CV707:CV770" si="71">AO707+AQ707+AS707+AU707+AW707+AY707+BA707+BC707+BE707+BG707+BI707+BK707+BM707+BO707+BQ707+BS707+BU707+BW707+BY707+CA707+CC707+CE707+CG707+CI707+CK707+CM707+CO707+CQ707+CS707+CU707</f>
        <v>0</v>
      </c>
      <c r="CW707" s="114"/>
      <c r="CX707" s="115"/>
      <c r="CY707" s="114"/>
      <c r="CZ707" s="115"/>
      <c r="DA707" s="115"/>
      <c r="DB707" s="115"/>
      <c r="DC707" s="114"/>
      <c r="DD707" s="115"/>
      <c r="DE707" s="97"/>
      <c r="DF707" s="269"/>
    </row>
    <row r="708" spans="1:255" s="270" customFormat="1" x14ac:dyDescent="0.2">
      <c r="A708" s="89">
        <v>40654</v>
      </c>
      <c r="B708" s="90" t="s">
        <v>4344</v>
      </c>
      <c r="C708" s="90" t="s">
        <v>3475</v>
      </c>
      <c r="D708" s="90" t="s">
        <v>2362</v>
      </c>
      <c r="E708" s="90" t="str">
        <f>VLOOKUP(B708&amp;C708,Divipola!$C$2:$F$1138,4,FALSE)</f>
        <v>25899</v>
      </c>
      <c r="F708" s="90"/>
      <c r="G708" s="101"/>
      <c r="H708" s="101"/>
      <c r="I708" s="101"/>
      <c r="J708" s="101">
        <v>4</v>
      </c>
      <c r="K708" s="101">
        <v>1</v>
      </c>
      <c r="L708" s="101"/>
      <c r="M708" s="101">
        <v>1</v>
      </c>
      <c r="N708" s="101"/>
      <c r="O708" s="101"/>
      <c r="P708" s="101"/>
      <c r="Q708" s="101"/>
      <c r="R708" s="101"/>
      <c r="S708" s="101"/>
      <c r="T708" s="101"/>
      <c r="U708" s="101"/>
      <c r="V708" s="101"/>
      <c r="W708" s="91"/>
      <c r="X708" s="89"/>
      <c r="Y708" s="92">
        <f t="shared" si="66"/>
        <v>0</v>
      </c>
      <c r="Z708" s="92">
        <f t="shared" si="67"/>
        <v>0</v>
      </c>
      <c r="AA708" s="92">
        <f t="shared" si="68"/>
        <v>0</v>
      </c>
      <c r="AB708" s="92">
        <f t="shared" si="69"/>
        <v>0</v>
      </c>
      <c r="AC708" s="92"/>
      <c r="AD708" s="92">
        <v>0</v>
      </c>
      <c r="AE708" s="92">
        <f t="shared" si="70"/>
        <v>0</v>
      </c>
      <c r="AF708" s="93">
        <v>0</v>
      </c>
      <c r="AG708" s="89"/>
      <c r="AH708" s="94"/>
      <c r="AI708" s="102" t="s">
        <v>4336</v>
      </c>
      <c r="AJ708" s="96" t="s">
        <v>4337</v>
      </c>
      <c r="AK708" s="97"/>
      <c r="AL708" s="89"/>
      <c r="AM708" s="100" t="s">
        <v>3530</v>
      </c>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114"/>
      <c r="CQ708" s="115"/>
      <c r="CR708" s="114"/>
      <c r="CS708" s="115"/>
      <c r="CT708" s="114"/>
      <c r="CU708" s="115"/>
      <c r="CV708" s="99">
        <f t="shared" si="71"/>
        <v>0</v>
      </c>
      <c r="CW708" s="114"/>
      <c r="CX708" s="115"/>
      <c r="CY708" s="114"/>
      <c r="CZ708" s="115"/>
      <c r="DA708" s="115"/>
      <c r="DB708" s="115"/>
      <c r="DC708" s="114"/>
      <c r="DD708" s="115"/>
      <c r="DE708" s="97"/>
      <c r="DF708" s="269"/>
    </row>
    <row r="709" spans="1:255" s="270" customFormat="1" ht="48" x14ac:dyDescent="0.2">
      <c r="A709" s="89">
        <v>40654</v>
      </c>
      <c r="B709" s="90" t="s">
        <v>4219</v>
      </c>
      <c r="C709" s="90" t="s">
        <v>796</v>
      </c>
      <c r="D709" s="90" t="s">
        <v>2362</v>
      </c>
      <c r="E709" s="90" t="str">
        <f>VLOOKUP(B709&amp;C709,Divipola!$C$2:$F$1138,4,FALSE)</f>
        <v>41006</v>
      </c>
      <c r="F709" s="90"/>
      <c r="G709" s="101"/>
      <c r="H709" s="101"/>
      <c r="I709" s="101"/>
      <c r="J709" s="101">
        <v>5</v>
      </c>
      <c r="K709" s="101">
        <v>1</v>
      </c>
      <c r="L709" s="101"/>
      <c r="M709" s="101">
        <v>1</v>
      </c>
      <c r="N709" s="101">
        <v>1</v>
      </c>
      <c r="O709" s="101"/>
      <c r="P709" s="101"/>
      <c r="Q709" s="101"/>
      <c r="R709" s="101"/>
      <c r="S709" s="101"/>
      <c r="T709" s="101"/>
      <c r="U709" s="101"/>
      <c r="V709" s="101"/>
      <c r="W709" s="91"/>
      <c r="X709" s="89"/>
      <c r="Y709" s="92">
        <f t="shared" si="66"/>
        <v>0</v>
      </c>
      <c r="Z709" s="92">
        <f t="shared" si="67"/>
        <v>0</v>
      </c>
      <c r="AA709" s="92">
        <f t="shared" si="68"/>
        <v>0</v>
      </c>
      <c r="AB709" s="92">
        <f t="shared" si="69"/>
        <v>0</v>
      </c>
      <c r="AC709" s="92"/>
      <c r="AD709" s="92">
        <v>0</v>
      </c>
      <c r="AE709" s="92">
        <f t="shared" si="70"/>
        <v>0</v>
      </c>
      <c r="AF709" s="93">
        <v>0</v>
      </c>
      <c r="AG709" s="89"/>
      <c r="AH709" s="94"/>
      <c r="AI709" s="95" t="s">
        <v>4336</v>
      </c>
      <c r="AJ709" s="96" t="s">
        <v>4337</v>
      </c>
      <c r="AK709" s="97"/>
      <c r="AL709" s="89"/>
      <c r="AM709" s="100" t="s">
        <v>2352</v>
      </c>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114"/>
      <c r="CQ709" s="115"/>
      <c r="CR709" s="114"/>
      <c r="CS709" s="115"/>
      <c r="CT709" s="114"/>
      <c r="CU709" s="115"/>
      <c r="CV709" s="99">
        <f t="shared" si="71"/>
        <v>0</v>
      </c>
      <c r="CW709" s="114"/>
      <c r="CX709" s="115"/>
      <c r="CY709" s="114"/>
      <c r="CZ709" s="115"/>
      <c r="DA709" s="115"/>
      <c r="DB709" s="115"/>
      <c r="DC709" s="114"/>
      <c r="DD709" s="115"/>
      <c r="DE709" s="97"/>
      <c r="DF709" s="269"/>
    </row>
    <row r="710" spans="1:255" s="270" customFormat="1" ht="24" x14ac:dyDescent="0.2">
      <c r="A710" s="89">
        <v>40654</v>
      </c>
      <c r="B710" s="90" t="s">
        <v>4219</v>
      </c>
      <c r="C710" s="90" t="s">
        <v>64</v>
      </c>
      <c r="D710" s="90" t="s">
        <v>2362</v>
      </c>
      <c r="E710" s="90" t="str">
        <f>VLOOKUP(B710&amp;C710,Divipola!$C$2:$F$1138,4,FALSE)</f>
        <v>41013</v>
      </c>
      <c r="F710" s="90"/>
      <c r="G710" s="101"/>
      <c r="H710" s="101"/>
      <c r="I710" s="101"/>
      <c r="J710" s="101">
        <f>65*5</f>
        <v>325</v>
      </c>
      <c r="K710" s="101">
        <v>65</v>
      </c>
      <c r="L710" s="101"/>
      <c r="M710" s="101">
        <v>65</v>
      </c>
      <c r="N710" s="101"/>
      <c r="O710" s="101"/>
      <c r="P710" s="101"/>
      <c r="Q710" s="101"/>
      <c r="R710" s="101"/>
      <c r="S710" s="101"/>
      <c r="T710" s="101"/>
      <c r="U710" s="101"/>
      <c r="V710" s="101"/>
      <c r="W710" s="91"/>
      <c r="X710" s="89"/>
      <c r="Y710" s="92">
        <f t="shared" si="66"/>
        <v>0</v>
      </c>
      <c r="Z710" s="92">
        <f t="shared" si="67"/>
        <v>0</v>
      </c>
      <c r="AA710" s="92">
        <f t="shared" si="68"/>
        <v>0</v>
      </c>
      <c r="AB710" s="92">
        <f t="shared" si="69"/>
        <v>0</v>
      </c>
      <c r="AC710" s="92"/>
      <c r="AD710" s="92">
        <v>0</v>
      </c>
      <c r="AE710" s="92">
        <f t="shared" si="70"/>
        <v>0</v>
      </c>
      <c r="AF710" s="93">
        <v>0</v>
      </c>
      <c r="AG710" s="89"/>
      <c r="AH710" s="94"/>
      <c r="AI710" s="95" t="s">
        <v>4336</v>
      </c>
      <c r="AJ710" s="96" t="s">
        <v>4337</v>
      </c>
      <c r="AK710" s="97"/>
      <c r="AL710" s="89"/>
      <c r="AM710" s="100" t="s">
        <v>2351</v>
      </c>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114"/>
      <c r="CQ710" s="115"/>
      <c r="CR710" s="114"/>
      <c r="CS710" s="115"/>
      <c r="CT710" s="114"/>
      <c r="CU710" s="115"/>
      <c r="CV710" s="99">
        <f t="shared" si="71"/>
        <v>0</v>
      </c>
      <c r="CW710" s="114"/>
      <c r="CX710" s="115"/>
      <c r="CY710" s="114"/>
      <c r="CZ710" s="115"/>
      <c r="DA710" s="115"/>
      <c r="DB710" s="115"/>
      <c r="DC710" s="114"/>
      <c r="DD710" s="115"/>
      <c r="DE710" s="97"/>
      <c r="DF710" s="269"/>
    </row>
    <row r="711" spans="1:255" s="270" customFormat="1" x14ac:dyDescent="0.2">
      <c r="A711" s="89">
        <v>40654</v>
      </c>
      <c r="B711" s="90" t="s">
        <v>4219</v>
      </c>
      <c r="C711" s="90" t="s">
        <v>3396</v>
      </c>
      <c r="D711" s="90" t="s">
        <v>2362</v>
      </c>
      <c r="E711" s="90" t="str">
        <f>VLOOKUP(B711&amp;C711,Divipola!$C$2:$F$1138,4,FALSE)</f>
        <v>41020</v>
      </c>
      <c r="F711" s="90"/>
      <c r="G711" s="101"/>
      <c r="H711" s="101"/>
      <c r="I711" s="101"/>
      <c r="J711" s="101">
        <f>122*5</f>
        <v>610</v>
      </c>
      <c r="K711" s="101">
        <v>122</v>
      </c>
      <c r="L711" s="101">
        <v>1</v>
      </c>
      <c r="M711" s="101">
        <v>121</v>
      </c>
      <c r="N711" s="101">
        <v>1</v>
      </c>
      <c r="O711" s="101"/>
      <c r="P711" s="101"/>
      <c r="Q711" s="101"/>
      <c r="R711" s="101"/>
      <c r="S711" s="101"/>
      <c r="T711" s="101"/>
      <c r="U711" s="101"/>
      <c r="V711" s="101"/>
      <c r="W711" s="91"/>
      <c r="X711" s="89"/>
      <c r="Y711" s="92">
        <f t="shared" si="66"/>
        <v>0</v>
      </c>
      <c r="Z711" s="92">
        <f t="shared" si="67"/>
        <v>0</v>
      </c>
      <c r="AA711" s="92">
        <f t="shared" si="68"/>
        <v>0</v>
      </c>
      <c r="AB711" s="92">
        <f t="shared" si="69"/>
        <v>0</v>
      </c>
      <c r="AC711" s="92"/>
      <c r="AD711" s="92">
        <v>0</v>
      </c>
      <c r="AE711" s="92">
        <f t="shared" si="70"/>
        <v>0</v>
      </c>
      <c r="AF711" s="93">
        <v>0</v>
      </c>
      <c r="AG711" s="89"/>
      <c r="AH711" s="94"/>
      <c r="AI711" s="95" t="s">
        <v>4336</v>
      </c>
      <c r="AJ711" s="96" t="s">
        <v>4337</v>
      </c>
      <c r="AK711" s="97"/>
      <c r="AL711" s="89"/>
      <c r="AM711" s="100" t="s">
        <v>2713</v>
      </c>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114"/>
      <c r="CQ711" s="115"/>
      <c r="CR711" s="114"/>
      <c r="CS711" s="115"/>
      <c r="CT711" s="114"/>
      <c r="CU711" s="115"/>
      <c r="CV711" s="99">
        <f t="shared" si="71"/>
        <v>0</v>
      </c>
      <c r="CW711" s="114"/>
      <c r="CX711" s="115"/>
      <c r="CY711" s="114"/>
      <c r="CZ711" s="115"/>
      <c r="DA711" s="115"/>
      <c r="DB711" s="115"/>
      <c r="DC711" s="114"/>
      <c r="DD711" s="115"/>
      <c r="DE711" s="97"/>
      <c r="DF711" s="269"/>
    </row>
    <row r="712" spans="1:255" s="270" customFormat="1" ht="36" x14ac:dyDescent="0.2">
      <c r="A712" s="89">
        <v>40654</v>
      </c>
      <c r="B712" s="90" t="s">
        <v>4219</v>
      </c>
      <c r="C712" s="90" t="s">
        <v>4521</v>
      </c>
      <c r="D712" s="90" t="s">
        <v>2362</v>
      </c>
      <c r="E712" s="90" t="str">
        <f>VLOOKUP(B712&amp;C712,Divipola!$C$2:$F$1138,4,FALSE)</f>
        <v>41132</v>
      </c>
      <c r="F712" s="90"/>
      <c r="G712" s="101"/>
      <c r="H712" s="101"/>
      <c r="I712" s="101"/>
      <c r="J712" s="101">
        <f>1316*3.7</f>
        <v>4869.2</v>
      </c>
      <c r="K712" s="101">
        <v>1316</v>
      </c>
      <c r="L712" s="101"/>
      <c r="M712" s="101"/>
      <c r="N712" s="101"/>
      <c r="O712" s="101"/>
      <c r="P712" s="101"/>
      <c r="Q712" s="101"/>
      <c r="R712" s="101"/>
      <c r="S712" s="101"/>
      <c r="T712" s="101"/>
      <c r="U712" s="101"/>
      <c r="V712" s="101"/>
      <c r="W712" s="91"/>
      <c r="X712" s="89"/>
      <c r="Y712" s="92">
        <f t="shared" si="66"/>
        <v>0</v>
      </c>
      <c r="Z712" s="92">
        <f t="shared" si="67"/>
        <v>0</v>
      </c>
      <c r="AA712" s="92">
        <f t="shared" si="68"/>
        <v>0</v>
      </c>
      <c r="AB712" s="92">
        <f t="shared" si="69"/>
        <v>0</v>
      </c>
      <c r="AC712" s="92"/>
      <c r="AD712" s="92">
        <v>0</v>
      </c>
      <c r="AE712" s="92">
        <f t="shared" si="70"/>
        <v>0</v>
      </c>
      <c r="AF712" s="93">
        <v>0</v>
      </c>
      <c r="AG712" s="89"/>
      <c r="AH712" s="94"/>
      <c r="AI712" s="95" t="s">
        <v>4336</v>
      </c>
      <c r="AJ712" s="96" t="s">
        <v>4337</v>
      </c>
      <c r="AK712" s="97"/>
      <c r="AL712" s="89"/>
      <c r="AM712" s="100" t="s">
        <v>2353</v>
      </c>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114"/>
      <c r="CQ712" s="115"/>
      <c r="CR712" s="114"/>
      <c r="CS712" s="115"/>
      <c r="CT712" s="114"/>
      <c r="CU712" s="115"/>
      <c r="CV712" s="99">
        <f t="shared" si="71"/>
        <v>0</v>
      </c>
      <c r="CW712" s="114"/>
      <c r="CX712" s="115"/>
      <c r="CY712" s="114"/>
      <c r="CZ712" s="115"/>
      <c r="DA712" s="115"/>
      <c r="DB712" s="115"/>
      <c r="DC712" s="114"/>
      <c r="DD712" s="115"/>
      <c r="DE712" s="97"/>
      <c r="DF712" s="269"/>
    </row>
    <row r="713" spans="1:255" s="270" customFormat="1" ht="24" x14ac:dyDescent="0.2">
      <c r="A713" s="89">
        <v>40654</v>
      </c>
      <c r="B713" s="90" t="s">
        <v>4219</v>
      </c>
      <c r="C713" s="90" t="s">
        <v>795</v>
      </c>
      <c r="D713" s="90" t="s">
        <v>4264</v>
      </c>
      <c r="E713" s="90" t="str">
        <f>VLOOKUP(B713&amp;C713,Divipola!$C$2:$F$1138,4,FALSE)</f>
        <v>41660</v>
      </c>
      <c r="F713" s="90"/>
      <c r="G713" s="101"/>
      <c r="H713" s="101"/>
      <c r="I713" s="101"/>
      <c r="J713" s="101">
        <v>60</v>
      </c>
      <c r="K713" s="101">
        <v>12</v>
      </c>
      <c r="L713" s="101"/>
      <c r="M713" s="101">
        <v>12</v>
      </c>
      <c r="N713" s="101"/>
      <c r="O713" s="101"/>
      <c r="P713" s="101"/>
      <c r="Q713" s="101"/>
      <c r="R713" s="101"/>
      <c r="S713" s="101"/>
      <c r="T713" s="101"/>
      <c r="U713" s="101"/>
      <c r="V713" s="101"/>
      <c r="W713" s="91"/>
      <c r="X713" s="89"/>
      <c r="Y713" s="92">
        <f t="shared" si="66"/>
        <v>0</v>
      </c>
      <c r="Z713" s="92">
        <f t="shared" si="67"/>
        <v>0</v>
      </c>
      <c r="AA713" s="92">
        <f t="shared" si="68"/>
        <v>0</v>
      </c>
      <c r="AB713" s="92">
        <f t="shared" si="69"/>
        <v>0</v>
      </c>
      <c r="AC713" s="92"/>
      <c r="AD713" s="92">
        <v>0</v>
      </c>
      <c r="AE713" s="92">
        <f t="shared" si="70"/>
        <v>0</v>
      </c>
      <c r="AF713" s="93">
        <v>0</v>
      </c>
      <c r="AG713" s="89"/>
      <c r="AH713" s="94"/>
      <c r="AI713" s="95" t="s">
        <v>4336</v>
      </c>
      <c r="AJ713" s="96" t="s">
        <v>4337</v>
      </c>
      <c r="AK713" s="97"/>
      <c r="AL713" s="89"/>
      <c r="AM713" s="100" t="s">
        <v>3572</v>
      </c>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114"/>
      <c r="CQ713" s="115"/>
      <c r="CR713" s="114"/>
      <c r="CS713" s="115"/>
      <c r="CT713" s="114"/>
      <c r="CU713" s="115"/>
      <c r="CV713" s="99">
        <f t="shared" si="71"/>
        <v>0</v>
      </c>
      <c r="CW713" s="114"/>
      <c r="CX713" s="115"/>
      <c r="CY713" s="114"/>
      <c r="CZ713" s="115"/>
      <c r="DA713" s="115"/>
      <c r="DB713" s="115"/>
      <c r="DC713" s="114"/>
      <c r="DD713" s="115"/>
      <c r="DE713" s="97"/>
      <c r="DF713" s="269"/>
    </row>
    <row r="714" spans="1:255" s="270" customFormat="1" ht="36" x14ac:dyDescent="0.2">
      <c r="A714" s="89">
        <v>40654</v>
      </c>
      <c r="B714" s="90" t="s">
        <v>4219</v>
      </c>
      <c r="C714" s="90" t="s">
        <v>3498</v>
      </c>
      <c r="D714" s="90" t="s">
        <v>4264</v>
      </c>
      <c r="E714" s="90" t="str">
        <f>VLOOKUP(B714&amp;C714,Divipola!$C$2:$F$1138,4,FALSE)</f>
        <v>41799</v>
      </c>
      <c r="F714" s="90"/>
      <c r="G714" s="101"/>
      <c r="H714" s="101"/>
      <c r="I714" s="101"/>
      <c r="J714" s="101">
        <f>37*5</f>
        <v>185</v>
      </c>
      <c r="K714" s="101">
        <v>37</v>
      </c>
      <c r="L714" s="101"/>
      <c r="M714" s="101">
        <v>37</v>
      </c>
      <c r="N714" s="101"/>
      <c r="O714" s="101"/>
      <c r="P714" s="101"/>
      <c r="Q714" s="101">
        <v>1</v>
      </c>
      <c r="R714" s="101"/>
      <c r="S714" s="101"/>
      <c r="T714" s="101"/>
      <c r="U714" s="101"/>
      <c r="V714" s="101"/>
      <c r="W714" s="91"/>
      <c r="X714" s="89"/>
      <c r="Y714" s="92">
        <f t="shared" si="66"/>
        <v>0</v>
      </c>
      <c r="Z714" s="92">
        <f t="shared" si="67"/>
        <v>0</v>
      </c>
      <c r="AA714" s="92">
        <f t="shared" si="68"/>
        <v>0</v>
      </c>
      <c r="AB714" s="92">
        <f t="shared" si="69"/>
        <v>0</v>
      </c>
      <c r="AC714" s="92"/>
      <c r="AD714" s="92">
        <v>0</v>
      </c>
      <c r="AE714" s="92">
        <f t="shared" si="70"/>
        <v>0</v>
      </c>
      <c r="AF714" s="93">
        <v>0</v>
      </c>
      <c r="AG714" s="89"/>
      <c r="AH714" s="94"/>
      <c r="AI714" s="95" t="s">
        <v>4336</v>
      </c>
      <c r="AJ714" s="96" t="s">
        <v>4337</v>
      </c>
      <c r="AK714" s="97"/>
      <c r="AL714" s="89"/>
      <c r="AM714" s="100" t="s">
        <v>2340</v>
      </c>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114"/>
      <c r="CQ714" s="115"/>
      <c r="CR714" s="114"/>
      <c r="CS714" s="115"/>
      <c r="CT714" s="114"/>
      <c r="CU714" s="115"/>
      <c r="CV714" s="99">
        <f t="shared" si="71"/>
        <v>0</v>
      </c>
      <c r="CW714" s="114"/>
      <c r="CX714" s="115"/>
      <c r="CY714" s="114"/>
      <c r="CZ714" s="115"/>
      <c r="DA714" s="115"/>
      <c r="DB714" s="115"/>
      <c r="DC714" s="114"/>
      <c r="DD714" s="115"/>
      <c r="DE714" s="97"/>
      <c r="DF714" s="269">
        <v>1733</v>
      </c>
    </row>
    <row r="715" spans="1:255" s="270" customFormat="1" ht="48" x14ac:dyDescent="0.2">
      <c r="A715" s="89">
        <v>40654</v>
      </c>
      <c r="B715" s="90" t="s">
        <v>4219</v>
      </c>
      <c r="C715" s="90" t="s">
        <v>3242</v>
      </c>
      <c r="D715" s="90" t="s">
        <v>2362</v>
      </c>
      <c r="E715" s="90" t="str">
        <f>VLOOKUP(B715&amp;C715,Divipola!$C$2:$F$1138,4,FALSE)</f>
        <v>41801</v>
      </c>
      <c r="F715" s="90"/>
      <c r="G715" s="101"/>
      <c r="H715" s="101"/>
      <c r="I715" s="101"/>
      <c r="J715" s="101">
        <f>33*5</f>
        <v>165</v>
      </c>
      <c r="K715" s="101">
        <f>31+2</f>
        <v>33</v>
      </c>
      <c r="L715" s="101"/>
      <c r="M715" s="101">
        <v>33</v>
      </c>
      <c r="N715" s="101"/>
      <c r="O715" s="101"/>
      <c r="P715" s="101"/>
      <c r="Q715" s="101"/>
      <c r="R715" s="101"/>
      <c r="S715" s="101"/>
      <c r="T715" s="101"/>
      <c r="U715" s="101"/>
      <c r="V715" s="101"/>
      <c r="W715" s="91"/>
      <c r="X715" s="89"/>
      <c r="Y715" s="92">
        <f t="shared" si="66"/>
        <v>0</v>
      </c>
      <c r="Z715" s="92">
        <f t="shared" si="67"/>
        <v>0</v>
      </c>
      <c r="AA715" s="92">
        <f t="shared" si="68"/>
        <v>0</v>
      </c>
      <c r="AB715" s="92">
        <f t="shared" si="69"/>
        <v>0</v>
      </c>
      <c r="AC715" s="92"/>
      <c r="AD715" s="92">
        <v>0</v>
      </c>
      <c r="AE715" s="92">
        <f t="shared" si="70"/>
        <v>0</v>
      </c>
      <c r="AF715" s="93">
        <v>0</v>
      </c>
      <c r="AG715" s="89"/>
      <c r="AH715" s="94"/>
      <c r="AI715" s="95" t="s">
        <v>4336</v>
      </c>
      <c r="AJ715" s="96" t="s">
        <v>4337</v>
      </c>
      <c r="AK715" s="97"/>
      <c r="AL715" s="89"/>
      <c r="AM715" s="121" t="s">
        <v>2348</v>
      </c>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114"/>
      <c r="CQ715" s="115"/>
      <c r="CR715" s="114"/>
      <c r="CS715" s="115"/>
      <c r="CT715" s="114"/>
      <c r="CU715" s="115"/>
      <c r="CV715" s="99">
        <f t="shared" si="71"/>
        <v>0</v>
      </c>
      <c r="CW715" s="114"/>
      <c r="CX715" s="115"/>
      <c r="CY715" s="114"/>
      <c r="CZ715" s="115"/>
      <c r="DA715" s="115"/>
      <c r="DB715" s="115"/>
      <c r="DC715" s="114"/>
      <c r="DD715" s="115"/>
      <c r="DE715" s="97"/>
      <c r="DF715" s="269"/>
    </row>
    <row r="716" spans="1:255" s="270" customFormat="1" x14ac:dyDescent="0.2">
      <c r="A716" s="89">
        <v>40654</v>
      </c>
      <c r="B716" s="90" t="s">
        <v>4308</v>
      </c>
      <c r="C716" s="90" t="s">
        <v>4345</v>
      </c>
      <c r="D716" s="90" t="s">
        <v>4264</v>
      </c>
      <c r="E716" s="90">
        <f>VLOOKUP(B716&amp;C716,Divipola!$C$2:$F$1138,4,FALSE)</f>
        <v>47</v>
      </c>
      <c r="F716" s="90"/>
      <c r="G716" s="101"/>
      <c r="H716" s="101"/>
      <c r="I716" s="101"/>
      <c r="J716" s="101"/>
      <c r="K716" s="101"/>
      <c r="L716" s="101"/>
      <c r="M716" s="101"/>
      <c r="N716" s="101"/>
      <c r="O716" s="101"/>
      <c r="P716" s="101"/>
      <c r="Q716" s="101"/>
      <c r="R716" s="101"/>
      <c r="S716" s="101"/>
      <c r="T716" s="101"/>
      <c r="U716" s="101"/>
      <c r="V716" s="101"/>
      <c r="W716" s="91"/>
      <c r="X716" s="89"/>
      <c r="Y716" s="92">
        <f t="shared" si="66"/>
        <v>0</v>
      </c>
      <c r="Z716" s="92">
        <f t="shared" si="67"/>
        <v>0</v>
      </c>
      <c r="AA716" s="92">
        <f t="shared" si="68"/>
        <v>0</v>
      </c>
      <c r="AB716" s="92">
        <f t="shared" si="69"/>
        <v>452797000</v>
      </c>
      <c r="AC716" s="92"/>
      <c r="AD716" s="92">
        <v>0</v>
      </c>
      <c r="AE716" s="92">
        <f t="shared" si="70"/>
        <v>452797000</v>
      </c>
      <c r="AF716" s="93">
        <v>0</v>
      </c>
      <c r="AG716" s="89"/>
      <c r="AH716" s="94"/>
      <c r="AI716" s="95" t="s">
        <v>4346</v>
      </c>
      <c r="AJ716" s="96" t="s">
        <v>4347</v>
      </c>
      <c r="AK716" s="97"/>
      <c r="AL716" s="89"/>
      <c r="AM716" s="100"/>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114"/>
      <c r="CQ716" s="115"/>
      <c r="CR716" s="114"/>
      <c r="CS716" s="115"/>
      <c r="CT716" s="114"/>
      <c r="CU716" s="115"/>
      <c r="CV716" s="99">
        <f t="shared" si="71"/>
        <v>0</v>
      </c>
      <c r="CW716" s="114">
        <v>500000</v>
      </c>
      <c r="CX716" s="115">
        <f>200000*899+300000*909.99</f>
        <v>452797000</v>
      </c>
      <c r="CY716" s="114"/>
      <c r="CZ716" s="115"/>
      <c r="DA716" s="115"/>
      <c r="DB716" s="115"/>
      <c r="DC716" s="114"/>
      <c r="DD716" s="115"/>
      <c r="DE716" s="97"/>
      <c r="DF716" s="269"/>
    </row>
    <row r="717" spans="1:255" s="270" customFormat="1" ht="22.5" x14ac:dyDescent="0.2">
      <c r="A717" s="89">
        <v>40654</v>
      </c>
      <c r="B717" s="90" t="s">
        <v>4387</v>
      </c>
      <c r="C717" s="90" t="s">
        <v>506</v>
      </c>
      <c r="D717" s="90" t="s">
        <v>2362</v>
      </c>
      <c r="E717" s="90" t="str">
        <f>VLOOKUP(B717&amp;C717,Divipola!$C$2:$F$1138,4,FALSE)</f>
        <v>52435</v>
      </c>
      <c r="F717" s="90"/>
      <c r="G717" s="101"/>
      <c r="H717" s="101"/>
      <c r="I717" s="101"/>
      <c r="J717" s="101">
        <v>32</v>
      </c>
      <c r="K717" s="101">
        <v>8</v>
      </c>
      <c r="L717" s="101"/>
      <c r="M717" s="101">
        <v>8</v>
      </c>
      <c r="N717" s="101">
        <v>1</v>
      </c>
      <c r="O717" s="101"/>
      <c r="P717" s="101"/>
      <c r="Q717" s="101"/>
      <c r="R717" s="101"/>
      <c r="S717" s="101"/>
      <c r="T717" s="101"/>
      <c r="U717" s="101"/>
      <c r="V717" s="101"/>
      <c r="W717" s="91"/>
      <c r="X717" s="105"/>
      <c r="Y717" s="92">
        <f t="shared" si="66"/>
        <v>0</v>
      </c>
      <c r="Z717" s="92">
        <f t="shared" si="67"/>
        <v>0</v>
      </c>
      <c r="AA717" s="92">
        <f t="shared" si="68"/>
        <v>0</v>
      </c>
      <c r="AB717" s="92">
        <f t="shared" si="69"/>
        <v>0</v>
      </c>
      <c r="AC717" s="92"/>
      <c r="AD717" s="92">
        <v>0</v>
      </c>
      <c r="AE717" s="92">
        <f t="shared" si="70"/>
        <v>0</v>
      </c>
      <c r="AF717" s="93">
        <v>0</v>
      </c>
      <c r="AG717" s="105"/>
      <c r="AH717" s="108"/>
      <c r="AI717" s="109" t="s">
        <v>4336</v>
      </c>
      <c r="AJ717" s="110" t="s">
        <v>4337</v>
      </c>
      <c r="AK717" s="111"/>
      <c r="AL717" s="105" t="s">
        <v>1069</v>
      </c>
      <c r="AM717" s="121"/>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18"/>
      <c r="CO717" s="119"/>
      <c r="CP717" s="118"/>
      <c r="CQ717" s="119"/>
      <c r="CR717" s="118"/>
      <c r="CS717" s="119"/>
      <c r="CT717" s="113"/>
      <c r="CU717" s="118"/>
      <c r="CV717" s="99">
        <f t="shared" si="71"/>
        <v>0</v>
      </c>
      <c r="CW717" s="118"/>
      <c r="CX717" s="119"/>
      <c r="CY717" s="119"/>
      <c r="CZ717" s="119"/>
      <c r="DA717" s="118"/>
      <c r="DB717" s="119"/>
      <c r="DC717" s="111"/>
      <c r="DD717" s="119"/>
      <c r="DE717" s="111"/>
      <c r="DF717" s="269"/>
    </row>
    <row r="718" spans="1:255" s="270" customFormat="1" ht="168" x14ac:dyDescent="0.2">
      <c r="A718" s="89">
        <v>40654</v>
      </c>
      <c r="B718" s="90" t="s">
        <v>4221</v>
      </c>
      <c r="C718" s="90" t="s">
        <v>4225</v>
      </c>
      <c r="D718" s="90" t="s">
        <v>2362</v>
      </c>
      <c r="E718" s="90" t="str">
        <f>VLOOKUP(B718&amp;C718,Divipola!$C$2:$F$1138,4,FALSE)</f>
        <v>54099</v>
      </c>
      <c r="F718" s="90"/>
      <c r="G718" s="101"/>
      <c r="H718" s="101"/>
      <c r="I718" s="101"/>
      <c r="J718" s="101">
        <v>1280</v>
      </c>
      <c r="K718" s="101">
        <v>256</v>
      </c>
      <c r="L718" s="101">
        <v>3</v>
      </c>
      <c r="M718" s="101">
        <v>200</v>
      </c>
      <c r="N718" s="101">
        <v>9</v>
      </c>
      <c r="O718" s="101"/>
      <c r="P718" s="101"/>
      <c r="Q718" s="101">
        <v>1</v>
      </c>
      <c r="R718" s="101"/>
      <c r="S718" s="101"/>
      <c r="T718" s="101"/>
      <c r="U718" s="101"/>
      <c r="V718" s="101"/>
      <c r="W718" s="91"/>
      <c r="X718" s="89"/>
      <c r="Y718" s="92">
        <f t="shared" si="66"/>
        <v>0</v>
      </c>
      <c r="Z718" s="92">
        <f t="shared" si="67"/>
        <v>0</v>
      </c>
      <c r="AA718" s="92">
        <f t="shared" si="68"/>
        <v>0</v>
      </c>
      <c r="AB718" s="92">
        <f t="shared" si="69"/>
        <v>0</v>
      </c>
      <c r="AC718" s="92"/>
      <c r="AD718" s="92">
        <v>135000000</v>
      </c>
      <c r="AE718" s="92">
        <f t="shared" si="70"/>
        <v>135000000</v>
      </c>
      <c r="AF718" s="93">
        <v>0</v>
      </c>
      <c r="AG718" s="89"/>
      <c r="AH718" s="94"/>
      <c r="AI718" s="95" t="s">
        <v>4346</v>
      </c>
      <c r="AJ718" s="96" t="s">
        <v>4347</v>
      </c>
      <c r="AK718" s="97"/>
      <c r="AL718" s="89" t="s">
        <v>1049</v>
      </c>
      <c r="AM718" s="100" t="s">
        <v>2801</v>
      </c>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114"/>
      <c r="CQ718" s="115"/>
      <c r="CR718" s="114"/>
      <c r="CS718" s="115"/>
      <c r="CT718" s="114"/>
      <c r="CU718" s="115"/>
      <c r="CV718" s="99">
        <f t="shared" si="71"/>
        <v>0</v>
      </c>
      <c r="CW718" s="114"/>
      <c r="CX718" s="115"/>
      <c r="CY718" s="114"/>
      <c r="CZ718" s="115"/>
      <c r="DA718" s="115"/>
      <c r="DB718" s="115"/>
      <c r="DC718" s="114"/>
      <c r="DD718" s="115"/>
      <c r="DE718" s="97"/>
      <c r="DF718" s="269"/>
    </row>
    <row r="719" spans="1:255" s="270" customFormat="1" ht="24" x14ac:dyDescent="0.2">
      <c r="A719" s="89">
        <v>40654</v>
      </c>
      <c r="B719" s="90" t="s">
        <v>4221</v>
      </c>
      <c r="C719" s="90" t="s">
        <v>3392</v>
      </c>
      <c r="D719" s="90" t="s">
        <v>2362</v>
      </c>
      <c r="E719" s="90" t="str">
        <f>VLOOKUP(B719&amp;C719,Divipola!$C$2:$F$1138,4,FALSE)</f>
        <v>54172</v>
      </c>
      <c r="F719" s="90"/>
      <c r="G719" s="101"/>
      <c r="H719" s="101"/>
      <c r="I719" s="101"/>
      <c r="J719" s="101">
        <v>312</v>
      </c>
      <c r="K719" s="101">
        <v>78</v>
      </c>
      <c r="L719" s="101"/>
      <c r="M719" s="101">
        <v>78</v>
      </c>
      <c r="N719" s="101"/>
      <c r="O719" s="101"/>
      <c r="P719" s="101"/>
      <c r="Q719" s="101"/>
      <c r="R719" s="101"/>
      <c r="S719" s="101"/>
      <c r="T719" s="101"/>
      <c r="U719" s="101"/>
      <c r="V719" s="101"/>
      <c r="W719" s="91"/>
      <c r="X719" s="89"/>
      <c r="Y719" s="92">
        <f t="shared" si="66"/>
        <v>0</v>
      </c>
      <c r="Z719" s="92">
        <f t="shared" si="67"/>
        <v>0</v>
      </c>
      <c r="AA719" s="92">
        <f t="shared" si="68"/>
        <v>0</v>
      </c>
      <c r="AB719" s="92">
        <f t="shared" si="69"/>
        <v>0</v>
      </c>
      <c r="AC719" s="92"/>
      <c r="AD719" s="92">
        <v>0</v>
      </c>
      <c r="AE719" s="92">
        <f t="shared" si="70"/>
        <v>0</v>
      </c>
      <c r="AF719" s="93">
        <v>0</v>
      </c>
      <c r="AG719" s="89"/>
      <c r="AH719" s="94"/>
      <c r="AI719" s="102" t="s">
        <v>4336</v>
      </c>
      <c r="AJ719" s="96" t="s">
        <v>4337</v>
      </c>
      <c r="AK719" s="97"/>
      <c r="AL719" s="89"/>
      <c r="AM719" s="100" t="s">
        <v>2349</v>
      </c>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114"/>
      <c r="CQ719" s="115"/>
      <c r="CR719" s="114"/>
      <c r="CS719" s="115"/>
      <c r="CT719" s="114"/>
      <c r="CU719" s="115"/>
      <c r="CV719" s="99">
        <f t="shared" si="71"/>
        <v>0</v>
      </c>
      <c r="CW719" s="114"/>
      <c r="CX719" s="115"/>
      <c r="CY719" s="114"/>
      <c r="CZ719" s="115"/>
      <c r="DA719" s="115"/>
      <c r="DB719" s="115"/>
      <c r="DC719" s="114"/>
      <c r="DD719" s="115"/>
      <c r="DE719" s="97"/>
      <c r="DF719" s="269"/>
    </row>
    <row r="720" spans="1:255" s="42" customFormat="1" ht="96" x14ac:dyDescent="0.2">
      <c r="A720" s="89">
        <v>40654</v>
      </c>
      <c r="B720" s="90" t="s">
        <v>4221</v>
      </c>
      <c r="C720" s="90" t="s">
        <v>4222</v>
      </c>
      <c r="D720" s="90" t="s">
        <v>2860</v>
      </c>
      <c r="E720" s="90" t="str">
        <f>VLOOKUP(B720&amp;C720,Divipola!$C$2:$F$1138,4,FALSE)</f>
        <v>54223</v>
      </c>
      <c r="F720" s="90"/>
      <c r="G720" s="101"/>
      <c r="H720" s="101"/>
      <c r="I720" s="101"/>
      <c r="J720" s="101">
        <v>3042</v>
      </c>
      <c r="K720" s="101">
        <v>702</v>
      </c>
      <c r="L720" s="101">
        <v>35</v>
      </c>
      <c r="M720" s="101">
        <f>702-35</f>
        <v>667</v>
      </c>
      <c r="N720" s="101"/>
      <c r="O720" s="101"/>
      <c r="P720" s="101"/>
      <c r="Q720" s="101"/>
      <c r="R720" s="101"/>
      <c r="S720" s="101"/>
      <c r="T720" s="101"/>
      <c r="U720" s="101"/>
      <c r="V720" s="101"/>
      <c r="W720" s="91"/>
      <c r="X720" s="89"/>
      <c r="Y720" s="92">
        <f t="shared" si="66"/>
        <v>0</v>
      </c>
      <c r="Z720" s="92">
        <f t="shared" si="67"/>
        <v>0</v>
      </c>
      <c r="AA720" s="92">
        <f t="shared" si="68"/>
        <v>59505600</v>
      </c>
      <c r="AB720" s="92">
        <f t="shared" si="69"/>
        <v>0</v>
      </c>
      <c r="AC720" s="92">
        <f>200*410+15000*1600+100*1160+50*1340+200*54000+19800*475.6+4900*1345.6+2450*1554.4</f>
        <v>54883600</v>
      </c>
      <c r="AD720" s="92">
        <v>15000000</v>
      </c>
      <c r="AE720" s="92">
        <f t="shared" si="70"/>
        <v>129389200</v>
      </c>
      <c r="AF720" s="93">
        <v>0</v>
      </c>
      <c r="AG720" s="89"/>
      <c r="AH720" s="94"/>
      <c r="AI720" s="95" t="s">
        <v>4346</v>
      </c>
      <c r="AJ720" s="96" t="s">
        <v>4347</v>
      </c>
      <c r="AK720" s="97"/>
      <c r="AL720" s="89" t="s">
        <v>1049</v>
      </c>
      <c r="AM720" s="100" t="s">
        <v>2846</v>
      </c>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114"/>
      <c r="CQ720" s="115"/>
      <c r="CR720" s="114"/>
      <c r="CS720" s="115"/>
      <c r="CT720" s="114"/>
      <c r="CU720" s="115"/>
      <c r="CV720" s="99">
        <f t="shared" si="71"/>
        <v>0</v>
      </c>
      <c r="CW720" s="114"/>
      <c r="CX720" s="115"/>
      <c r="CY720" s="114"/>
      <c r="CZ720" s="115"/>
      <c r="DA720" s="115">
        <v>1200</v>
      </c>
      <c r="DB720" s="115">
        <f>1200*25000</f>
        <v>30000000</v>
      </c>
      <c r="DC720" s="114">
        <v>1200</v>
      </c>
      <c r="DD720" s="115">
        <f>1200*22500+7200*348</f>
        <v>29505600</v>
      </c>
      <c r="DE720" s="97"/>
      <c r="DF720" s="269"/>
      <c r="DG720" s="270"/>
      <c r="DH720" s="270"/>
      <c r="DI720" s="270"/>
      <c r="DJ720" s="270"/>
      <c r="DK720" s="270"/>
      <c r="DL720" s="270"/>
      <c r="DM720" s="270"/>
      <c r="DN720" s="270"/>
      <c r="DO720" s="270"/>
      <c r="DP720" s="270"/>
      <c r="DQ720" s="270"/>
      <c r="DR720" s="270"/>
      <c r="DS720" s="270"/>
      <c r="DT720" s="270"/>
      <c r="DU720" s="270"/>
      <c r="DV720" s="270"/>
      <c r="DW720" s="270"/>
      <c r="DX720" s="270"/>
      <c r="DY720" s="270"/>
      <c r="DZ720" s="270"/>
      <c r="EA720" s="270"/>
      <c r="EB720" s="270"/>
      <c r="EC720" s="270"/>
      <c r="ED720" s="270"/>
      <c r="EE720" s="270"/>
      <c r="EF720" s="270"/>
      <c r="EG720" s="270"/>
      <c r="EH720" s="270"/>
      <c r="EI720" s="270"/>
      <c r="EJ720" s="270"/>
      <c r="EK720" s="270"/>
      <c r="EL720" s="270"/>
      <c r="EM720" s="270"/>
      <c r="EN720" s="270"/>
      <c r="EO720" s="270"/>
      <c r="EP720" s="270"/>
      <c r="EQ720" s="270"/>
      <c r="ER720" s="270"/>
      <c r="ES720" s="270"/>
      <c r="ET720" s="270"/>
      <c r="EU720" s="270"/>
      <c r="EV720" s="270"/>
      <c r="EW720" s="270"/>
      <c r="EX720" s="270"/>
      <c r="EY720" s="270"/>
      <c r="EZ720" s="270"/>
      <c r="FA720" s="270"/>
      <c r="FB720" s="270"/>
      <c r="FC720" s="270"/>
      <c r="FD720" s="270"/>
      <c r="FE720" s="270"/>
      <c r="FF720" s="270"/>
      <c r="FG720" s="270"/>
      <c r="FH720" s="270"/>
      <c r="FI720" s="270"/>
      <c r="FJ720" s="270"/>
      <c r="FK720" s="270"/>
      <c r="FL720" s="270"/>
      <c r="FM720" s="270"/>
      <c r="FN720" s="270"/>
      <c r="FO720" s="270"/>
      <c r="FP720" s="270"/>
      <c r="FQ720" s="270"/>
      <c r="FR720" s="270"/>
      <c r="FS720" s="270"/>
      <c r="FT720" s="270"/>
      <c r="FU720" s="270"/>
      <c r="FV720" s="270"/>
      <c r="FW720" s="270"/>
      <c r="FX720" s="270"/>
      <c r="FY720" s="270"/>
      <c r="FZ720" s="270"/>
      <c r="GA720" s="270"/>
      <c r="GB720" s="270"/>
      <c r="GC720" s="270"/>
      <c r="GD720" s="270"/>
      <c r="GE720" s="270"/>
      <c r="GF720" s="270"/>
      <c r="GG720" s="270"/>
      <c r="GH720" s="270"/>
      <c r="GI720" s="270"/>
      <c r="GJ720" s="270"/>
      <c r="GK720" s="270"/>
      <c r="GL720" s="270"/>
      <c r="GM720" s="270"/>
      <c r="GN720" s="270"/>
      <c r="GO720" s="270"/>
      <c r="GP720" s="270"/>
      <c r="GQ720" s="270"/>
      <c r="GR720" s="270"/>
      <c r="GS720" s="270"/>
      <c r="GT720" s="270"/>
      <c r="GU720" s="270"/>
      <c r="GV720" s="270"/>
      <c r="GW720" s="270"/>
      <c r="GX720" s="270"/>
      <c r="GY720" s="270"/>
      <c r="GZ720" s="270"/>
      <c r="HA720" s="270"/>
      <c r="HB720" s="270"/>
      <c r="HC720" s="270"/>
      <c r="HD720" s="270"/>
      <c r="HE720" s="270"/>
      <c r="HF720" s="270"/>
      <c r="HG720" s="270"/>
      <c r="HH720" s="270"/>
      <c r="HI720" s="270"/>
      <c r="HJ720" s="270"/>
      <c r="HK720" s="270"/>
      <c r="HL720" s="270"/>
      <c r="HM720" s="270"/>
      <c r="HN720" s="270"/>
      <c r="HO720" s="270"/>
      <c r="HP720" s="270"/>
      <c r="HQ720" s="270"/>
      <c r="HR720" s="270"/>
      <c r="HS720" s="270"/>
      <c r="HT720" s="270"/>
      <c r="HU720" s="270"/>
      <c r="HV720" s="270"/>
      <c r="HW720" s="270"/>
      <c r="HX720" s="270"/>
      <c r="HY720" s="270"/>
      <c r="HZ720" s="270"/>
      <c r="IA720" s="270"/>
      <c r="IB720" s="270"/>
      <c r="IC720" s="270"/>
      <c r="ID720" s="270"/>
      <c r="IE720" s="270"/>
      <c r="IF720" s="270"/>
      <c r="IG720" s="270"/>
      <c r="IH720" s="270"/>
      <c r="II720" s="270"/>
      <c r="IJ720" s="270"/>
      <c r="IK720" s="270"/>
      <c r="IL720" s="270"/>
      <c r="IM720" s="270"/>
      <c r="IN720" s="270"/>
      <c r="IO720" s="270"/>
      <c r="IP720" s="270"/>
      <c r="IQ720" s="270"/>
      <c r="IR720" s="270"/>
      <c r="IS720" s="270"/>
      <c r="IT720" s="270"/>
      <c r="IU720" s="270"/>
    </row>
    <row r="721" spans="1:255" s="270" customFormat="1" ht="204" x14ac:dyDescent="0.2">
      <c r="A721" s="89">
        <v>40654</v>
      </c>
      <c r="B721" s="90" t="s">
        <v>4221</v>
      </c>
      <c r="C721" s="90" t="s">
        <v>3357</v>
      </c>
      <c r="D721" s="90" t="s">
        <v>2362</v>
      </c>
      <c r="E721" s="90" t="str">
        <f>VLOOKUP(B721&amp;C721,Divipola!$C$2:$F$1138,4,FALSE)</f>
        <v>54518</v>
      </c>
      <c r="F721" s="90"/>
      <c r="G721" s="101"/>
      <c r="H721" s="101"/>
      <c r="I721" s="101"/>
      <c r="J721" s="101">
        <v>150</v>
      </c>
      <c r="K721" s="101">
        <v>30</v>
      </c>
      <c r="L721" s="101"/>
      <c r="M721" s="101">
        <v>30</v>
      </c>
      <c r="N721" s="101"/>
      <c r="O721" s="101"/>
      <c r="P721" s="101"/>
      <c r="Q721" s="101"/>
      <c r="R721" s="101"/>
      <c r="S721" s="101"/>
      <c r="T721" s="101"/>
      <c r="U721" s="101">
        <v>1</v>
      </c>
      <c r="V721" s="101"/>
      <c r="W721" s="91"/>
      <c r="X721" s="89"/>
      <c r="Y721" s="92">
        <f t="shared" si="66"/>
        <v>0</v>
      </c>
      <c r="Z721" s="92">
        <f t="shared" si="67"/>
        <v>0</v>
      </c>
      <c r="AA721" s="92">
        <f t="shared" si="68"/>
        <v>0</v>
      </c>
      <c r="AB721" s="92">
        <f t="shared" si="69"/>
        <v>0</v>
      </c>
      <c r="AC721" s="143">
        <f>43*210000+30*900000+9*230000+4*210000+30*110000+94*150000+10000*1200+60*6160+270*15544+10000*1300</f>
        <v>85906480</v>
      </c>
      <c r="AD721" s="92">
        <v>0</v>
      </c>
      <c r="AE721" s="92">
        <f t="shared" si="70"/>
        <v>85906480</v>
      </c>
      <c r="AF721" s="93">
        <v>0</v>
      </c>
      <c r="AG721" s="89"/>
      <c r="AH721" s="94"/>
      <c r="AI721" s="95" t="s">
        <v>4346</v>
      </c>
      <c r="AJ721" s="96" t="s">
        <v>4347</v>
      </c>
      <c r="AK721" s="97"/>
      <c r="AL721" s="89" t="s">
        <v>1049</v>
      </c>
      <c r="AM721" s="121" t="s">
        <v>48</v>
      </c>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114"/>
      <c r="CQ721" s="115"/>
      <c r="CR721" s="114"/>
      <c r="CS721" s="115"/>
      <c r="CT721" s="114"/>
      <c r="CU721" s="115"/>
      <c r="CV721" s="99">
        <f t="shared" si="71"/>
        <v>0</v>
      </c>
      <c r="CW721" s="114"/>
      <c r="CX721" s="115"/>
      <c r="CY721" s="114"/>
      <c r="CZ721" s="115"/>
      <c r="DA721" s="115"/>
      <c r="DB721" s="115"/>
      <c r="DC721" s="114"/>
      <c r="DD721" s="115"/>
      <c r="DE721" s="97"/>
      <c r="DF721" s="46"/>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c r="EO721" s="42"/>
      <c r="EP721" s="42"/>
      <c r="EQ721" s="42"/>
      <c r="ER721" s="42"/>
      <c r="ES721" s="42"/>
      <c r="ET721" s="42"/>
      <c r="EU721" s="42"/>
      <c r="EV721" s="42"/>
      <c r="EW721" s="42"/>
      <c r="EX721" s="42"/>
      <c r="EY721" s="42"/>
      <c r="EZ721" s="42"/>
      <c r="FA721" s="42"/>
      <c r="FB721" s="42"/>
      <c r="FC721" s="42"/>
      <c r="FD721" s="42"/>
      <c r="FE721" s="42"/>
      <c r="FF721" s="42"/>
      <c r="FG721" s="42"/>
      <c r="FH721" s="42"/>
      <c r="FI721" s="42"/>
      <c r="FJ721" s="42"/>
      <c r="FK721" s="42"/>
      <c r="FL721" s="42"/>
      <c r="FM721" s="42"/>
      <c r="FN721" s="42"/>
      <c r="FO721" s="42"/>
      <c r="FP721" s="42"/>
      <c r="FQ721" s="42"/>
      <c r="FR721" s="42"/>
      <c r="FS721" s="42"/>
      <c r="FT721" s="42"/>
      <c r="FU721" s="42"/>
      <c r="FV721" s="42"/>
      <c r="FW721" s="42"/>
      <c r="FX721" s="42"/>
      <c r="FY721" s="42"/>
      <c r="FZ721" s="42"/>
      <c r="GA721" s="42"/>
      <c r="GB721" s="42"/>
      <c r="GC721" s="42"/>
      <c r="GD721" s="42"/>
      <c r="GE721" s="42"/>
      <c r="GF721" s="42"/>
      <c r="GG721" s="42"/>
      <c r="GH721" s="42"/>
      <c r="GI721" s="42"/>
      <c r="GJ721" s="42"/>
      <c r="GK721" s="42"/>
      <c r="GL721" s="42"/>
      <c r="GM721" s="42"/>
      <c r="GN721" s="42"/>
      <c r="GO721" s="42"/>
      <c r="GP721" s="42"/>
      <c r="GQ721" s="42"/>
      <c r="GR721" s="42"/>
      <c r="GS721" s="42"/>
      <c r="GT721" s="42"/>
      <c r="GU721" s="42"/>
      <c r="GV721" s="42"/>
      <c r="GW721" s="42"/>
      <c r="GX721" s="42"/>
      <c r="GY721" s="42"/>
      <c r="GZ721" s="42"/>
      <c r="HA721" s="42"/>
      <c r="HB721" s="42"/>
      <c r="HC721" s="42"/>
      <c r="HD721" s="42"/>
      <c r="HE721" s="42"/>
      <c r="HF721" s="42"/>
      <c r="HG721" s="42"/>
      <c r="HH721" s="42"/>
      <c r="HI721" s="42"/>
      <c r="HJ721" s="42"/>
      <c r="HK721" s="42"/>
      <c r="HL721" s="42"/>
      <c r="HM721" s="42"/>
      <c r="HN721" s="42"/>
      <c r="HO721" s="42"/>
      <c r="HP721" s="42"/>
      <c r="HQ721" s="42"/>
      <c r="HR721" s="42"/>
      <c r="HS721" s="42"/>
      <c r="HT721" s="42"/>
      <c r="HU721" s="42"/>
      <c r="HV721" s="42"/>
      <c r="HW721" s="42"/>
      <c r="HX721" s="42"/>
      <c r="HY721" s="42"/>
      <c r="HZ721" s="42"/>
      <c r="IA721" s="42"/>
      <c r="IB721" s="42"/>
      <c r="IC721" s="42"/>
      <c r="ID721" s="42"/>
      <c r="IE721" s="42"/>
      <c r="IF721" s="42"/>
      <c r="IG721" s="42"/>
      <c r="IH721" s="42"/>
      <c r="II721" s="42"/>
      <c r="IJ721" s="42"/>
      <c r="IK721" s="42"/>
      <c r="IL721" s="42"/>
      <c r="IM721" s="42"/>
      <c r="IN721" s="42"/>
      <c r="IO721" s="42"/>
      <c r="IP721" s="42"/>
      <c r="IQ721" s="42"/>
      <c r="IR721" s="42"/>
      <c r="IS721" s="42"/>
      <c r="IT721" s="42"/>
      <c r="IU721" s="42"/>
    </row>
    <row r="722" spans="1:255" s="270" customFormat="1" ht="36" x14ac:dyDescent="0.2">
      <c r="A722" s="89">
        <v>40654</v>
      </c>
      <c r="B722" s="90" t="s">
        <v>4350</v>
      </c>
      <c r="C722" s="90" t="s">
        <v>4252</v>
      </c>
      <c r="D722" s="90" t="s">
        <v>4264</v>
      </c>
      <c r="E722" s="90" t="str">
        <f>VLOOKUP(B722&amp;C722,Divipola!$C$2:$F$1138,4,FALSE)</f>
        <v>63690</v>
      </c>
      <c r="F722" s="90"/>
      <c r="G722" s="101"/>
      <c r="H722" s="101"/>
      <c r="I722" s="101"/>
      <c r="J722" s="101">
        <v>15</v>
      </c>
      <c r="K722" s="101">
        <v>3</v>
      </c>
      <c r="L722" s="101"/>
      <c r="M722" s="101">
        <v>2</v>
      </c>
      <c r="N722" s="101"/>
      <c r="O722" s="101"/>
      <c r="P722" s="101"/>
      <c r="Q722" s="101"/>
      <c r="R722" s="101"/>
      <c r="S722" s="101"/>
      <c r="T722" s="101"/>
      <c r="U722" s="101"/>
      <c r="V722" s="101"/>
      <c r="W722" s="91"/>
      <c r="X722" s="89"/>
      <c r="Y722" s="92">
        <f t="shared" si="66"/>
        <v>0</v>
      </c>
      <c r="Z722" s="92">
        <f t="shared" si="67"/>
        <v>0</v>
      </c>
      <c r="AA722" s="92">
        <f t="shared" si="68"/>
        <v>0</v>
      </c>
      <c r="AB722" s="92">
        <f t="shared" si="69"/>
        <v>0</v>
      </c>
      <c r="AC722" s="92"/>
      <c r="AD722" s="92">
        <v>0</v>
      </c>
      <c r="AE722" s="92">
        <f t="shared" si="70"/>
        <v>0</v>
      </c>
      <c r="AF722" s="93">
        <v>0</v>
      </c>
      <c r="AG722" s="89"/>
      <c r="AH722" s="94"/>
      <c r="AI722" s="95" t="s">
        <v>4336</v>
      </c>
      <c r="AJ722" s="96" t="s">
        <v>4337</v>
      </c>
      <c r="AK722" s="97"/>
      <c r="AL722" s="89"/>
      <c r="AM722" s="100" t="s">
        <v>2754</v>
      </c>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114"/>
      <c r="CQ722" s="115"/>
      <c r="CR722" s="114"/>
      <c r="CS722" s="115"/>
      <c r="CT722" s="114"/>
      <c r="CU722" s="115"/>
      <c r="CV722" s="99">
        <f t="shared" si="71"/>
        <v>0</v>
      </c>
      <c r="CW722" s="114"/>
      <c r="CX722" s="115"/>
      <c r="CY722" s="114"/>
      <c r="CZ722" s="115"/>
      <c r="DA722" s="115"/>
      <c r="DB722" s="115"/>
      <c r="DC722" s="114"/>
      <c r="DD722" s="115"/>
      <c r="DE722" s="97"/>
      <c r="DF722" s="269">
        <v>1736</v>
      </c>
    </row>
    <row r="723" spans="1:255" s="270" customFormat="1" ht="22.5" x14ac:dyDescent="0.2">
      <c r="A723" s="89">
        <v>40654</v>
      </c>
      <c r="B723" s="90" t="s">
        <v>4348</v>
      </c>
      <c r="C723" s="90" t="s">
        <v>4365</v>
      </c>
      <c r="D723" s="90" t="s">
        <v>2362</v>
      </c>
      <c r="E723" s="90" t="str">
        <f>VLOOKUP(B723&amp;C723,Divipola!$C$2:$F$1138,4,FALSE)</f>
        <v>66682</v>
      </c>
      <c r="F723" s="101"/>
      <c r="G723" s="101"/>
      <c r="H723" s="101"/>
      <c r="I723" s="101"/>
      <c r="J723" s="101">
        <v>40</v>
      </c>
      <c r="K723" s="101">
        <v>8</v>
      </c>
      <c r="L723" s="101"/>
      <c r="M723" s="101">
        <v>4</v>
      </c>
      <c r="N723" s="101"/>
      <c r="O723" s="101"/>
      <c r="P723" s="101"/>
      <c r="Q723" s="101"/>
      <c r="R723" s="101"/>
      <c r="S723" s="101"/>
      <c r="T723" s="101"/>
      <c r="U723" s="91"/>
      <c r="V723" s="89"/>
      <c r="W723" s="92"/>
      <c r="X723" s="92"/>
      <c r="Y723" s="92">
        <f t="shared" si="66"/>
        <v>0</v>
      </c>
      <c r="Z723" s="92">
        <f t="shared" si="67"/>
        <v>0</v>
      </c>
      <c r="AA723" s="92">
        <f t="shared" si="68"/>
        <v>0</v>
      </c>
      <c r="AB723" s="92">
        <f t="shared" si="69"/>
        <v>0</v>
      </c>
      <c r="AC723" s="92"/>
      <c r="AD723" s="92">
        <v>0</v>
      </c>
      <c r="AE723" s="92">
        <f t="shared" si="70"/>
        <v>0</v>
      </c>
      <c r="AF723" s="93">
        <v>0</v>
      </c>
      <c r="AG723" s="89"/>
      <c r="AH723" s="96"/>
      <c r="AI723" s="102" t="s">
        <v>4336</v>
      </c>
      <c r="AJ723" s="96" t="s">
        <v>4337</v>
      </c>
      <c r="AK723" s="100"/>
      <c r="AL723" s="89"/>
      <c r="AM723" s="90" t="s">
        <v>321</v>
      </c>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114"/>
      <c r="CQ723" s="115"/>
      <c r="CR723" s="114"/>
      <c r="CS723" s="115"/>
      <c r="CT723" s="114"/>
      <c r="CU723" s="115"/>
      <c r="CV723" s="99">
        <f t="shared" si="71"/>
        <v>0</v>
      </c>
      <c r="CW723" s="114"/>
      <c r="CX723" s="115"/>
      <c r="CY723" s="114"/>
      <c r="CZ723" s="115"/>
      <c r="DA723" s="115"/>
      <c r="DB723" s="115"/>
      <c r="DC723" s="114"/>
      <c r="DD723" s="115"/>
      <c r="DE723" s="97"/>
      <c r="DF723" s="269"/>
    </row>
    <row r="724" spans="1:255" s="270" customFormat="1" ht="24" x14ac:dyDescent="0.2">
      <c r="A724" s="89">
        <v>40654</v>
      </c>
      <c r="B724" s="90" t="s">
        <v>3316</v>
      </c>
      <c r="C724" s="90" t="s">
        <v>4304</v>
      </c>
      <c r="D724" s="90" t="s">
        <v>2362</v>
      </c>
      <c r="E724" s="90" t="str">
        <f>VLOOKUP(B724&amp;C724,Divipola!$C$2:$F$1138,4,FALSE)</f>
        <v>73555</v>
      </c>
      <c r="F724" s="90"/>
      <c r="G724" s="101">
        <v>1</v>
      </c>
      <c r="H724" s="101"/>
      <c r="I724" s="101"/>
      <c r="J724" s="101"/>
      <c r="K724" s="101"/>
      <c r="L724" s="101"/>
      <c r="M724" s="101"/>
      <c r="N724" s="101"/>
      <c r="O724" s="101"/>
      <c r="P724" s="101"/>
      <c r="Q724" s="101"/>
      <c r="R724" s="101"/>
      <c r="S724" s="101"/>
      <c r="T724" s="101"/>
      <c r="U724" s="101"/>
      <c r="V724" s="101"/>
      <c r="W724" s="91"/>
      <c r="X724" s="89"/>
      <c r="Y724" s="92">
        <f t="shared" si="66"/>
        <v>0</v>
      </c>
      <c r="Z724" s="92">
        <f t="shared" si="67"/>
        <v>0</v>
      </c>
      <c r="AA724" s="92">
        <f t="shared" si="68"/>
        <v>0</v>
      </c>
      <c r="AB724" s="92">
        <f t="shared" si="69"/>
        <v>0</v>
      </c>
      <c r="AC724" s="92"/>
      <c r="AD724" s="92">
        <v>0</v>
      </c>
      <c r="AE724" s="92">
        <f t="shared" si="70"/>
        <v>0</v>
      </c>
      <c r="AF724" s="93">
        <v>0</v>
      </c>
      <c r="AG724" s="89"/>
      <c r="AH724" s="94"/>
      <c r="AI724" s="95" t="s">
        <v>4346</v>
      </c>
      <c r="AJ724" s="96" t="s">
        <v>4347</v>
      </c>
      <c r="AK724" s="97"/>
      <c r="AL724" s="89" t="s">
        <v>2798</v>
      </c>
      <c r="AM724" s="100" t="s">
        <v>871</v>
      </c>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114"/>
      <c r="CQ724" s="115"/>
      <c r="CR724" s="114"/>
      <c r="CS724" s="115"/>
      <c r="CT724" s="114"/>
      <c r="CU724" s="115"/>
      <c r="CV724" s="99">
        <f t="shared" si="71"/>
        <v>0</v>
      </c>
      <c r="CW724" s="114"/>
      <c r="CX724" s="115"/>
      <c r="CY724" s="114"/>
      <c r="CZ724" s="115"/>
      <c r="DA724" s="115"/>
      <c r="DB724" s="115"/>
      <c r="DC724" s="114"/>
      <c r="DD724" s="115"/>
      <c r="DE724" s="97"/>
      <c r="DF724" s="269"/>
    </row>
    <row r="725" spans="1:255" s="270" customFormat="1" ht="36" x14ac:dyDescent="0.2">
      <c r="A725" s="89">
        <v>40654</v>
      </c>
      <c r="B725" s="90" t="s">
        <v>4244</v>
      </c>
      <c r="C725" s="90" t="s">
        <v>4352</v>
      </c>
      <c r="D725" s="90" t="s">
        <v>4264</v>
      </c>
      <c r="E725" s="90" t="str">
        <f>VLOOKUP(B725&amp;C725,Divipola!$C$2:$F$1138,4,FALSE)</f>
        <v>76100</v>
      </c>
      <c r="F725" s="90"/>
      <c r="G725" s="101"/>
      <c r="H725" s="101"/>
      <c r="I725" s="101"/>
      <c r="J725" s="101">
        <v>350</v>
      </c>
      <c r="K725" s="101">
        <v>70</v>
      </c>
      <c r="L725" s="101"/>
      <c r="M725" s="101">
        <v>70</v>
      </c>
      <c r="N725" s="101"/>
      <c r="O725" s="101"/>
      <c r="P725" s="101"/>
      <c r="Q725" s="101"/>
      <c r="R725" s="101"/>
      <c r="S725" s="101"/>
      <c r="T725" s="101"/>
      <c r="U725" s="101"/>
      <c r="V725" s="101"/>
      <c r="W725" s="91"/>
      <c r="X725" s="89"/>
      <c r="Y725" s="92">
        <f t="shared" si="66"/>
        <v>0</v>
      </c>
      <c r="Z725" s="92">
        <f t="shared" si="67"/>
        <v>0</v>
      </c>
      <c r="AA725" s="92">
        <f t="shared" si="68"/>
        <v>0</v>
      </c>
      <c r="AB725" s="92">
        <f t="shared" si="69"/>
        <v>0</v>
      </c>
      <c r="AC725" s="92"/>
      <c r="AD725" s="92">
        <v>0</v>
      </c>
      <c r="AE725" s="92">
        <f t="shared" si="70"/>
        <v>0</v>
      </c>
      <c r="AF725" s="93">
        <v>0</v>
      </c>
      <c r="AG725" s="89"/>
      <c r="AH725" s="94"/>
      <c r="AI725" s="95" t="s">
        <v>4336</v>
      </c>
      <c r="AJ725" s="96" t="s">
        <v>4337</v>
      </c>
      <c r="AK725" s="97"/>
      <c r="AL725" s="89"/>
      <c r="AM725" s="100" t="s">
        <v>2357</v>
      </c>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114"/>
      <c r="CQ725" s="115"/>
      <c r="CR725" s="114"/>
      <c r="CS725" s="115"/>
      <c r="CT725" s="114"/>
      <c r="CU725" s="115"/>
      <c r="CV725" s="99">
        <f t="shared" si="71"/>
        <v>0</v>
      </c>
      <c r="CW725" s="114"/>
      <c r="CX725" s="115"/>
      <c r="CY725" s="114"/>
      <c r="CZ725" s="115"/>
      <c r="DA725" s="115"/>
      <c r="DB725" s="115"/>
      <c r="DC725" s="114"/>
      <c r="DD725" s="115"/>
      <c r="DE725" s="97"/>
      <c r="DF725" s="269"/>
    </row>
    <row r="726" spans="1:255" s="270" customFormat="1" ht="72" x14ac:dyDescent="0.2">
      <c r="A726" s="89">
        <v>40654</v>
      </c>
      <c r="B726" s="90" t="s">
        <v>4244</v>
      </c>
      <c r="C726" s="90" t="s">
        <v>4276</v>
      </c>
      <c r="D726" s="90" t="s">
        <v>4264</v>
      </c>
      <c r="E726" s="90" t="str">
        <f>VLOOKUP(B726&amp;C726,Divipola!$C$2:$F$1138,4,FALSE)</f>
        <v>76113</v>
      </c>
      <c r="F726" s="90"/>
      <c r="G726" s="101"/>
      <c r="H726" s="101"/>
      <c r="I726" s="101"/>
      <c r="J726" s="101">
        <v>240</v>
      </c>
      <c r="K726" s="101">
        <v>48</v>
      </c>
      <c r="L726" s="101"/>
      <c r="M726" s="101">
        <v>48</v>
      </c>
      <c r="N726" s="101"/>
      <c r="O726" s="101"/>
      <c r="P726" s="101"/>
      <c r="Q726" s="101"/>
      <c r="R726" s="101"/>
      <c r="S726" s="101"/>
      <c r="T726" s="101"/>
      <c r="U726" s="101"/>
      <c r="V726" s="101"/>
      <c r="W726" s="91"/>
      <c r="X726" s="89"/>
      <c r="Y726" s="92">
        <f t="shared" si="66"/>
        <v>0</v>
      </c>
      <c r="Z726" s="92">
        <f t="shared" si="67"/>
        <v>0</v>
      </c>
      <c r="AA726" s="92">
        <f t="shared" si="68"/>
        <v>26433600</v>
      </c>
      <c r="AB726" s="92">
        <f t="shared" si="69"/>
        <v>0</v>
      </c>
      <c r="AC726" s="124">
        <f>60*44324+28*59334+18*123227+40*45936+3*229506</f>
        <v>9064836</v>
      </c>
      <c r="AD726" s="92">
        <v>0</v>
      </c>
      <c r="AE726" s="92">
        <f t="shared" si="70"/>
        <v>35498436</v>
      </c>
      <c r="AF726" s="93">
        <v>0</v>
      </c>
      <c r="AG726" s="89"/>
      <c r="AH726" s="94"/>
      <c r="AI726" s="95" t="s">
        <v>4346</v>
      </c>
      <c r="AJ726" s="96" t="s">
        <v>4347</v>
      </c>
      <c r="AK726" s="97"/>
      <c r="AL726" s="89"/>
      <c r="AM726" s="100" t="s">
        <v>4120</v>
      </c>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114"/>
      <c r="CQ726" s="115"/>
      <c r="CR726" s="114"/>
      <c r="CS726" s="115"/>
      <c r="CT726" s="114"/>
      <c r="CU726" s="115"/>
      <c r="CV726" s="99">
        <f t="shared" si="71"/>
        <v>0</v>
      </c>
      <c r="CW726" s="114"/>
      <c r="CX726" s="115"/>
      <c r="CY726" s="114"/>
      <c r="CZ726" s="115"/>
      <c r="DA726" s="115"/>
      <c r="DB726" s="115"/>
      <c r="DC726" s="114">
        <v>1200</v>
      </c>
      <c r="DD726" s="115">
        <f>1200*22028</f>
        <v>26433600</v>
      </c>
      <c r="DE726" s="97"/>
      <c r="DF726" s="269"/>
    </row>
    <row r="727" spans="1:255" s="270" customFormat="1" ht="60" x14ac:dyDescent="0.2">
      <c r="A727" s="89">
        <v>40654</v>
      </c>
      <c r="B727" s="90" t="s">
        <v>4244</v>
      </c>
      <c r="C727" s="90" t="s">
        <v>3169</v>
      </c>
      <c r="D727" s="90" t="s">
        <v>4264</v>
      </c>
      <c r="E727" s="90" t="str">
        <f>VLOOKUP(B727&amp;C727,Divipola!$C$2:$F$1138,4,FALSE)</f>
        <v>76318</v>
      </c>
      <c r="F727" s="90"/>
      <c r="G727" s="101"/>
      <c r="H727" s="101"/>
      <c r="I727" s="101"/>
      <c r="J727" s="101">
        <v>30</v>
      </c>
      <c r="K727" s="101">
        <v>6</v>
      </c>
      <c r="L727" s="101"/>
      <c r="M727" s="101">
        <v>6</v>
      </c>
      <c r="N727" s="101"/>
      <c r="O727" s="101"/>
      <c r="P727" s="101"/>
      <c r="Q727" s="101"/>
      <c r="R727" s="101"/>
      <c r="S727" s="101"/>
      <c r="T727" s="101"/>
      <c r="U727" s="101"/>
      <c r="V727" s="101"/>
      <c r="W727" s="91"/>
      <c r="X727" s="89"/>
      <c r="Y727" s="92">
        <f t="shared" si="66"/>
        <v>0</v>
      </c>
      <c r="Z727" s="92">
        <f t="shared" si="67"/>
        <v>0</v>
      </c>
      <c r="AA727" s="92">
        <f t="shared" si="68"/>
        <v>0</v>
      </c>
      <c r="AB727" s="92">
        <f t="shared" si="69"/>
        <v>0</v>
      </c>
      <c r="AC727" s="92"/>
      <c r="AD727" s="92">
        <v>0</v>
      </c>
      <c r="AE727" s="92">
        <f t="shared" si="70"/>
        <v>0</v>
      </c>
      <c r="AF727" s="93">
        <v>0</v>
      </c>
      <c r="AG727" s="89"/>
      <c r="AH727" s="94"/>
      <c r="AI727" s="95" t="s">
        <v>4336</v>
      </c>
      <c r="AJ727" s="96" t="s">
        <v>4337</v>
      </c>
      <c r="AK727" s="97"/>
      <c r="AL727" s="89"/>
      <c r="AM727" s="100" t="s">
        <v>2356</v>
      </c>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114"/>
      <c r="CQ727" s="115"/>
      <c r="CR727" s="114"/>
      <c r="CS727" s="115"/>
      <c r="CT727" s="114"/>
      <c r="CU727" s="115"/>
      <c r="CV727" s="99">
        <f t="shared" si="71"/>
        <v>0</v>
      </c>
      <c r="CW727" s="114"/>
      <c r="CX727" s="115"/>
      <c r="CY727" s="114"/>
      <c r="CZ727" s="115"/>
      <c r="DA727" s="115"/>
      <c r="DB727" s="115"/>
      <c r="DC727" s="114"/>
      <c r="DD727" s="115"/>
      <c r="DE727" s="97"/>
      <c r="DF727" s="269"/>
    </row>
    <row r="728" spans="1:255" s="270" customFormat="1" ht="60" x14ac:dyDescent="0.2">
      <c r="A728" s="89">
        <v>40654</v>
      </c>
      <c r="B728" s="90" t="s">
        <v>4244</v>
      </c>
      <c r="C728" s="90" t="s">
        <v>4226</v>
      </c>
      <c r="D728" s="90" t="s">
        <v>4264</v>
      </c>
      <c r="E728" s="90" t="str">
        <f>VLOOKUP(B728&amp;C728,Divipola!$C$2:$F$1138,4,FALSE)</f>
        <v>76364</v>
      </c>
      <c r="F728" s="90"/>
      <c r="G728" s="101"/>
      <c r="H728" s="101"/>
      <c r="I728" s="101"/>
      <c r="J728" s="101">
        <v>755</v>
      </c>
      <c r="K728" s="101">
        <v>151</v>
      </c>
      <c r="L728" s="101"/>
      <c r="M728" s="101">
        <v>151</v>
      </c>
      <c r="N728" s="101"/>
      <c r="O728" s="101"/>
      <c r="P728" s="101"/>
      <c r="Q728" s="101"/>
      <c r="R728" s="101"/>
      <c r="S728" s="101"/>
      <c r="T728" s="101"/>
      <c r="U728" s="101"/>
      <c r="V728" s="101"/>
      <c r="W728" s="91"/>
      <c r="X728" s="89"/>
      <c r="Y728" s="92">
        <f t="shared" si="66"/>
        <v>0</v>
      </c>
      <c r="Z728" s="92">
        <f t="shared" si="67"/>
        <v>0</v>
      </c>
      <c r="AA728" s="92">
        <f t="shared" si="68"/>
        <v>0</v>
      </c>
      <c r="AB728" s="92">
        <f t="shared" si="69"/>
        <v>0</v>
      </c>
      <c r="AC728" s="92"/>
      <c r="AD728" s="92">
        <v>0</v>
      </c>
      <c r="AE728" s="92">
        <f t="shared" si="70"/>
        <v>0</v>
      </c>
      <c r="AF728" s="93">
        <v>0</v>
      </c>
      <c r="AG728" s="89"/>
      <c r="AH728" s="94"/>
      <c r="AI728" s="95" t="s">
        <v>4336</v>
      </c>
      <c r="AJ728" s="96" t="s">
        <v>4337</v>
      </c>
      <c r="AK728" s="97"/>
      <c r="AL728" s="89"/>
      <c r="AM728" s="100" t="s">
        <v>2355</v>
      </c>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114"/>
      <c r="CQ728" s="115"/>
      <c r="CR728" s="114"/>
      <c r="CS728" s="115"/>
      <c r="CT728" s="114"/>
      <c r="CU728" s="115"/>
      <c r="CV728" s="99">
        <f t="shared" si="71"/>
        <v>0</v>
      </c>
      <c r="CW728" s="114"/>
      <c r="CX728" s="115"/>
      <c r="CY728" s="114"/>
      <c r="CZ728" s="115"/>
      <c r="DA728" s="115"/>
      <c r="DB728" s="115"/>
      <c r="DC728" s="114"/>
      <c r="DD728" s="115"/>
      <c r="DE728" s="97"/>
      <c r="DF728" s="269"/>
    </row>
    <row r="729" spans="1:255" s="42" customFormat="1" ht="24" x14ac:dyDescent="0.2">
      <c r="A729" s="89">
        <v>40654</v>
      </c>
      <c r="B729" s="90" t="s">
        <v>4244</v>
      </c>
      <c r="C729" s="90" t="s">
        <v>4226</v>
      </c>
      <c r="D729" s="90" t="s">
        <v>4264</v>
      </c>
      <c r="E729" s="90" t="str">
        <f>VLOOKUP(B729&amp;C729,Divipola!$C$2:$F$1138,4,FALSE)</f>
        <v>76364</v>
      </c>
      <c r="F729" s="90"/>
      <c r="G729" s="101"/>
      <c r="H729" s="101"/>
      <c r="I729" s="101"/>
      <c r="J729" s="101">
        <v>2555</v>
      </c>
      <c r="K729" s="101">
        <v>511</v>
      </c>
      <c r="L729" s="101"/>
      <c r="M729" s="101">
        <v>511</v>
      </c>
      <c r="N729" s="101"/>
      <c r="O729" s="101"/>
      <c r="P729" s="101"/>
      <c r="Q729" s="101"/>
      <c r="R729" s="101"/>
      <c r="S729" s="101"/>
      <c r="T729" s="101"/>
      <c r="U729" s="101"/>
      <c r="V729" s="101"/>
      <c r="W729" s="91"/>
      <c r="X729" s="89"/>
      <c r="Y729" s="92">
        <f t="shared" si="66"/>
        <v>0</v>
      </c>
      <c r="Z729" s="92">
        <f t="shared" si="67"/>
        <v>0</v>
      </c>
      <c r="AA729" s="92">
        <f t="shared" si="68"/>
        <v>0</v>
      </c>
      <c r="AB729" s="92">
        <f t="shared" si="69"/>
        <v>0</v>
      </c>
      <c r="AC729" s="92"/>
      <c r="AD729" s="92">
        <v>0</v>
      </c>
      <c r="AE729" s="92">
        <f t="shared" si="70"/>
        <v>0</v>
      </c>
      <c r="AF729" s="93">
        <v>0</v>
      </c>
      <c r="AG729" s="89"/>
      <c r="AH729" s="94"/>
      <c r="AI729" s="95" t="s">
        <v>4336</v>
      </c>
      <c r="AJ729" s="96" t="s">
        <v>4337</v>
      </c>
      <c r="AK729" s="97"/>
      <c r="AL729" s="89"/>
      <c r="AM729" s="100" t="s">
        <v>2878</v>
      </c>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114"/>
      <c r="CQ729" s="115"/>
      <c r="CR729" s="114"/>
      <c r="CS729" s="115"/>
      <c r="CT729" s="114"/>
      <c r="CU729" s="115"/>
      <c r="CV729" s="99">
        <f t="shared" si="71"/>
        <v>0</v>
      </c>
      <c r="CW729" s="114"/>
      <c r="CX729" s="115"/>
      <c r="CY729" s="114"/>
      <c r="CZ729" s="115"/>
      <c r="DA729" s="115"/>
      <c r="DB729" s="115"/>
      <c r="DC729" s="114"/>
      <c r="DD729" s="115"/>
      <c r="DE729" s="97"/>
      <c r="DF729" s="269"/>
      <c r="DG729" s="270"/>
      <c r="DH729" s="270"/>
      <c r="DI729" s="270"/>
      <c r="DJ729" s="270"/>
      <c r="DK729" s="270"/>
      <c r="DL729" s="270"/>
      <c r="DM729" s="270"/>
      <c r="DN729" s="270"/>
      <c r="DO729" s="270"/>
      <c r="DP729" s="270"/>
      <c r="DQ729" s="270"/>
      <c r="DR729" s="270"/>
      <c r="DS729" s="270"/>
      <c r="DT729" s="270"/>
      <c r="DU729" s="270"/>
      <c r="DV729" s="270"/>
      <c r="DW729" s="270"/>
      <c r="DX729" s="270"/>
      <c r="DY729" s="270"/>
      <c r="DZ729" s="270"/>
      <c r="EA729" s="270"/>
      <c r="EB729" s="270"/>
      <c r="EC729" s="270"/>
      <c r="ED729" s="270"/>
      <c r="EE729" s="270"/>
      <c r="EF729" s="270"/>
      <c r="EG729" s="270"/>
      <c r="EH729" s="270"/>
      <c r="EI729" s="270"/>
      <c r="EJ729" s="270"/>
      <c r="EK729" s="270"/>
      <c r="EL729" s="270"/>
      <c r="EM729" s="270"/>
      <c r="EN729" s="270"/>
      <c r="EO729" s="270"/>
      <c r="EP729" s="270"/>
      <c r="EQ729" s="270"/>
      <c r="ER729" s="270"/>
      <c r="ES729" s="270"/>
      <c r="ET729" s="270"/>
      <c r="EU729" s="270"/>
      <c r="EV729" s="270"/>
      <c r="EW729" s="270"/>
      <c r="EX729" s="270"/>
      <c r="EY729" s="270"/>
      <c r="EZ729" s="270"/>
      <c r="FA729" s="270"/>
      <c r="FB729" s="270"/>
      <c r="FC729" s="270"/>
      <c r="FD729" s="270"/>
      <c r="FE729" s="270"/>
      <c r="FF729" s="270"/>
      <c r="FG729" s="270"/>
      <c r="FH729" s="270"/>
      <c r="FI729" s="270"/>
      <c r="FJ729" s="270"/>
      <c r="FK729" s="270"/>
      <c r="FL729" s="270"/>
      <c r="FM729" s="270"/>
      <c r="FN729" s="270"/>
      <c r="FO729" s="270"/>
      <c r="FP729" s="270"/>
      <c r="FQ729" s="270"/>
      <c r="FR729" s="270"/>
      <c r="FS729" s="270"/>
      <c r="FT729" s="270"/>
      <c r="FU729" s="270"/>
      <c r="FV729" s="270"/>
      <c r="FW729" s="270"/>
      <c r="FX729" s="270"/>
      <c r="FY729" s="270"/>
      <c r="FZ729" s="270"/>
      <c r="GA729" s="270"/>
      <c r="GB729" s="270"/>
      <c r="GC729" s="270"/>
      <c r="GD729" s="270"/>
      <c r="GE729" s="270"/>
      <c r="GF729" s="270"/>
      <c r="GG729" s="270"/>
      <c r="GH729" s="270"/>
      <c r="GI729" s="270"/>
      <c r="GJ729" s="270"/>
      <c r="GK729" s="270"/>
      <c r="GL729" s="270"/>
      <c r="GM729" s="270"/>
      <c r="GN729" s="270"/>
      <c r="GO729" s="270"/>
      <c r="GP729" s="270"/>
      <c r="GQ729" s="270"/>
      <c r="GR729" s="270"/>
      <c r="GS729" s="270"/>
      <c r="GT729" s="270"/>
      <c r="GU729" s="270"/>
      <c r="GV729" s="270"/>
      <c r="GW729" s="270"/>
      <c r="GX729" s="270"/>
      <c r="GY729" s="270"/>
      <c r="GZ729" s="270"/>
      <c r="HA729" s="270"/>
      <c r="HB729" s="270"/>
      <c r="HC729" s="270"/>
      <c r="HD729" s="270"/>
      <c r="HE729" s="270"/>
      <c r="HF729" s="270"/>
      <c r="HG729" s="270"/>
      <c r="HH729" s="270"/>
      <c r="HI729" s="270"/>
      <c r="HJ729" s="270"/>
      <c r="HK729" s="270"/>
      <c r="HL729" s="270"/>
      <c r="HM729" s="270"/>
      <c r="HN729" s="270"/>
      <c r="HO729" s="270"/>
      <c r="HP729" s="270"/>
      <c r="HQ729" s="270"/>
      <c r="HR729" s="270"/>
      <c r="HS729" s="270"/>
      <c r="HT729" s="270"/>
      <c r="HU729" s="270"/>
      <c r="HV729" s="270"/>
      <c r="HW729" s="270"/>
      <c r="HX729" s="270"/>
      <c r="HY729" s="270"/>
      <c r="HZ729" s="270"/>
      <c r="IA729" s="270"/>
      <c r="IB729" s="270"/>
      <c r="IC729" s="270"/>
      <c r="ID729" s="270"/>
      <c r="IE729" s="270"/>
      <c r="IF729" s="270"/>
      <c r="IG729" s="270"/>
      <c r="IH729" s="270"/>
      <c r="II729" s="270"/>
      <c r="IJ729" s="270"/>
      <c r="IK729" s="270"/>
      <c r="IL729" s="270"/>
      <c r="IM729" s="270"/>
      <c r="IN729" s="270"/>
      <c r="IO729" s="270"/>
      <c r="IP729" s="270"/>
      <c r="IQ729" s="270"/>
      <c r="IR729" s="270"/>
      <c r="IS729" s="270"/>
      <c r="IT729" s="270"/>
      <c r="IU729" s="270"/>
    </row>
    <row r="730" spans="1:255" s="270" customFormat="1" ht="24" x14ac:dyDescent="0.2">
      <c r="A730" s="89">
        <v>40655</v>
      </c>
      <c r="B730" s="90" t="s">
        <v>2218</v>
      </c>
      <c r="C730" s="90" t="s">
        <v>2259</v>
      </c>
      <c r="D730" s="90" t="s">
        <v>2362</v>
      </c>
      <c r="E730" s="90" t="str">
        <f>VLOOKUP(B730&amp;C730,Divipola!$C$2:$F$1138,4,FALSE)</f>
        <v>05079</v>
      </c>
      <c r="F730" s="90"/>
      <c r="G730" s="101">
        <v>2</v>
      </c>
      <c r="H730" s="101">
        <v>3</v>
      </c>
      <c r="I730" s="101"/>
      <c r="J730" s="101"/>
      <c r="K730" s="101">
        <v>1</v>
      </c>
      <c r="L730" s="101">
        <v>1</v>
      </c>
      <c r="M730" s="101"/>
      <c r="N730" s="101"/>
      <c r="O730" s="101"/>
      <c r="P730" s="101"/>
      <c r="Q730" s="101"/>
      <c r="R730" s="101"/>
      <c r="S730" s="101"/>
      <c r="T730" s="101"/>
      <c r="U730" s="101"/>
      <c r="V730" s="101"/>
      <c r="W730" s="91"/>
      <c r="X730" s="89"/>
      <c r="Y730" s="92">
        <f t="shared" si="66"/>
        <v>0</v>
      </c>
      <c r="Z730" s="92">
        <f t="shared" si="67"/>
        <v>0</v>
      </c>
      <c r="AA730" s="92">
        <f t="shared" si="68"/>
        <v>0</v>
      </c>
      <c r="AB730" s="92">
        <f t="shared" si="69"/>
        <v>0</v>
      </c>
      <c r="AC730" s="92"/>
      <c r="AD730" s="92">
        <v>0</v>
      </c>
      <c r="AE730" s="92">
        <f t="shared" si="70"/>
        <v>0</v>
      </c>
      <c r="AF730" s="93">
        <v>0</v>
      </c>
      <c r="AG730" s="89"/>
      <c r="AH730" s="94"/>
      <c r="AI730" s="102" t="s">
        <v>4336</v>
      </c>
      <c r="AJ730" s="96" t="s">
        <v>4337</v>
      </c>
      <c r="AK730" s="97"/>
      <c r="AL730" s="89"/>
      <c r="AM730" s="100" t="s">
        <v>4134</v>
      </c>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114"/>
      <c r="CQ730" s="115"/>
      <c r="CR730" s="114"/>
      <c r="CS730" s="115"/>
      <c r="CT730" s="114"/>
      <c r="CU730" s="115"/>
      <c r="CV730" s="99">
        <f t="shared" si="71"/>
        <v>0</v>
      </c>
      <c r="CW730" s="114"/>
      <c r="CX730" s="115"/>
      <c r="CY730" s="114"/>
      <c r="CZ730" s="115"/>
      <c r="DA730" s="115"/>
      <c r="DB730" s="115"/>
      <c r="DC730" s="114"/>
      <c r="DD730" s="115"/>
      <c r="DE730" s="97"/>
      <c r="DF730" s="269"/>
    </row>
    <row r="731" spans="1:255" s="270" customFormat="1" x14ac:dyDescent="0.2">
      <c r="A731" s="89">
        <v>40655</v>
      </c>
      <c r="B731" s="90" t="s">
        <v>2218</v>
      </c>
      <c r="C731" s="90" t="s">
        <v>2261</v>
      </c>
      <c r="D731" s="90" t="s">
        <v>4264</v>
      </c>
      <c r="E731" s="90" t="str">
        <f>VLOOKUP(B731&amp;C731,Divipola!$C$2:$F$1138,4,FALSE)</f>
        <v>05615</v>
      </c>
      <c r="F731" s="90"/>
      <c r="G731" s="101"/>
      <c r="H731" s="101"/>
      <c r="I731" s="101"/>
      <c r="J731" s="101">
        <v>4000</v>
      </c>
      <c r="K731" s="101">
        <v>800</v>
      </c>
      <c r="L731" s="101"/>
      <c r="M731" s="101">
        <v>800</v>
      </c>
      <c r="N731" s="101"/>
      <c r="O731" s="101"/>
      <c r="P731" s="101"/>
      <c r="Q731" s="101"/>
      <c r="R731" s="101"/>
      <c r="S731" s="101"/>
      <c r="T731" s="101"/>
      <c r="U731" s="101"/>
      <c r="V731" s="101"/>
      <c r="W731" s="91"/>
      <c r="X731" s="89"/>
      <c r="Y731" s="92">
        <f t="shared" si="66"/>
        <v>0</v>
      </c>
      <c r="Z731" s="92">
        <f t="shared" si="67"/>
        <v>0</v>
      </c>
      <c r="AA731" s="92">
        <f t="shared" si="68"/>
        <v>0</v>
      </c>
      <c r="AB731" s="92">
        <f t="shared" si="69"/>
        <v>0</v>
      </c>
      <c r="AC731" s="92"/>
      <c r="AD731" s="92">
        <v>0</v>
      </c>
      <c r="AE731" s="92">
        <f t="shared" si="70"/>
        <v>0</v>
      </c>
      <c r="AF731" s="93">
        <v>0</v>
      </c>
      <c r="AG731" s="89"/>
      <c r="AH731" s="94"/>
      <c r="AI731" s="102" t="s">
        <v>4336</v>
      </c>
      <c r="AJ731" s="96" t="s">
        <v>4337</v>
      </c>
      <c r="AK731" s="97"/>
      <c r="AL731" s="89"/>
      <c r="AM731" s="100" t="s">
        <v>999</v>
      </c>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114"/>
      <c r="CQ731" s="115"/>
      <c r="CR731" s="114"/>
      <c r="CS731" s="115"/>
      <c r="CT731" s="114"/>
      <c r="CU731" s="115"/>
      <c r="CV731" s="99">
        <f t="shared" si="71"/>
        <v>0</v>
      </c>
      <c r="CW731" s="114"/>
      <c r="CX731" s="115"/>
      <c r="CY731" s="114"/>
      <c r="CZ731" s="115"/>
      <c r="DA731" s="115"/>
      <c r="DB731" s="115"/>
      <c r="DC731" s="114"/>
      <c r="DD731" s="115"/>
      <c r="DE731" s="97"/>
      <c r="DF731" s="269"/>
    </row>
    <row r="732" spans="1:255" s="270" customFormat="1" ht="108" x14ac:dyDescent="0.2">
      <c r="A732" s="89">
        <v>40655</v>
      </c>
      <c r="B732" s="90" t="s">
        <v>3301</v>
      </c>
      <c r="C732" s="90" t="s">
        <v>4321</v>
      </c>
      <c r="D732" s="90" t="s">
        <v>2362</v>
      </c>
      <c r="E732" s="90" t="str">
        <f>VLOOKUP(B732&amp;C732,Divipola!$C$2:$F$1138,4,FALSE)</f>
        <v>81736</v>
      </c>
      <c r="F732" s="90"/>
      <c r="G732" s="101"/>
      <c r="H732" s="101"/>
      <c r="I732" s="101"/>
      <c r="J732" s="101"/>
      <c r="K732" s="101"/>
      <c r="L732" s="101"/>
      <c r="M732" s="101"/>
      <c r="N732" s="101"/>
      <c r="O732" s="101"/>
      <c r="P732" s="101"/>
      <c r="Q732" s="101"/>
      <c r="R732" s="101"/>
      <c r="S732" s="101"/>
      <c r="T732" s="101"/>
      <c r="U732" s="101"/>
      <c r="V732" s="101"/>
      <c r="W732" s="91"/>
      <c r="X732" s="89"/>
      <c r="Y732" s="92">
        <f t="shared" si="66"/>
        <v>0</v>
      </c>
      <c r="Z732" s="92">
        <f t="shared" si="67"/>
        <v>0</v>
      </c>
      <c r="AA732" s="92">
        <f t="shared" si="68"/>
        <v>0</v>
      </c>
      <c r="AB732" s="92">
        <f t="shared" si="69"/>
        <v>0</v>
      </c>
      <c r="AC732" s="92"/>
      <c r="AD732" s="92">
        <v>0</v>
      </c>
      <c r="AE732" s="92">
        <f t="shared" si="70"/>
        <v>0</v>
      </c>
      <c r="AF732" s="93">
        <v>0</v>
      </c>
      <c r="AG732" s="89"/>
      <c r="AH732" s="94"/>
      <c r="AI732" s="95" t="s">
        <v>4346</v>
      </c>
      <c r="AJ732" s="96" t="s">
        <v>4347</v>
      </c>
      <c r="AK732" s="97"/>
      <c r="AL732" s="89" t="s">
        <v>2798</v>
      </c>
      <c r="AM732" s="100" t="s">
        <v>52</v>
      </c>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114"/>
      <c r="CQ732" s="115"/>
      <c r="CR732" s="114"/>
      <c r="CS732" s="115"/>
      <c r="CT732" s="114"/>
      <c r="CU732" s="115"/>
      <c r="CV732" s="99">
        <f t="shared" si="71"/>
        <v>0</v>
      </c>
      <c r="CW732" s="114"/>
      <c r="CX732" s="115"/>
      <c r="CY732" s="114"/>
      <c r="CZ732" s="115"/>
      <c r="DA732" s="115"/>
      <c r="DB732" s="115"/>
      <c r="DC732" s="114"/>
      <c r="DD732" s="115"/>
      <c r="DE732" s="97"/>
      <c r="DF732" s="269"/>
    </row>
    <row r="733" spans="1:255" s="270" customFormat="1" ht="132" x14ac:dyDescent="0.2">
      <c r="A733" s="89">
        <v>40655</v>
      </c>
      <c r="B733" s="90" t="s">
        <v>3301</v>
      </c>
      <c r="C733" s="90" t="s">
        <v>4229</v>
      </c>
      <c r="D733" s="90" t="s">
        <v>4264</v>
      </c>
      <c r="E733" s="90" t="str">
        <f>VLOOKUP(B733&amp;C733,Divipola!$C$2:$F$1138,4,FALSE)</f>
        <v>81794</v>
      </c>
      <c r="F733" s="90"/>
      <c r="G733" s="101"/>
      <c r="H733" s="101"/>
      <c r="I733" s="101"/>
      <c r="J733" s="101">
        <v>104</v>
      </c>
      <c r="K733" s="101">
        <v>18</v>
      </c>
      <c r="L733" s="101">
        <v>4</v>
      </c>
      <c r="M733" s="101"/>
      <c r="N733" s="101"/>
      <c r="O733" s="101">
        <v>1</v>
      </c>
      <c r="P733" s="101"/>
      <c r="Q733" s="101"/>
      <c r="R733" s="101"/>
      <c r="S733" s="101"/>
      <c r="T733" s="101">
        <v>1</v>
      </c>
      <c r="U733" s="101"/>
      <c r="V733" s="101"/>
      <c r="W733" s="91"/>
      <c r="X733" s="89"/>
      <c r="Y733" s="92">
        <f t="shared" si="66"/>
        <v>0</v>
      </c>
      <c r="Z733" s="92">
        <f t="shared" si="67"/>
        <v>0</v>
      </c>
      <c r="AA733" s="92">
        <f t="shared" si="68"/>
        <v>0</v>
      </c>
      <c r="AB733" s="92">
        <f t="shared" si="69"/>
        <v>0</v>
      </c>
      <c r="AC733" s="92"/>
      <c r="AD733" s="92">
        <v>0</v>
      </c>
      <c r="AE733" s="92">
        <f t="shared" si="70"/>
        <v>0</v>
      </c>
      <c r="AF733" s="93">
        <v>0</v>
      </c>
      <c r="AG733" s="89"/>
      <c r="AH733" s="94"/>
      <c r="AI733" s="95" t="s">
        <v>4346</v>
      </c>
      <c r="AJ733" s="96" t="s">
        <v>4347</v>
      </c>
      <c r="AK733" s="97"/>
      <c r="AL733" s="89" t="s">
        <v>2798</v>
      </c>
      <c r="AM733" s="100" t="s">
        <v>2185</v>
      </c>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114"/>
      <c r="CQ733" s="115"/>
      <c r="CR733" s="114"/>
      <c r="CS733" s="115"/>
      <c r="CT733" s="114"/>
      <c r="CU733" s="115"/>
      <c r="CV733" s="99">
        <f t="shared" si="71"/>
        <v>0</v>
      </c>
      <c r="CW733" s="114"/>
      <c r="CX733" s="115"/>
      <c r="CY733" s="114"/>
      <c r="CZ733" s="115"/>
      <c r="DA733" s="115"/>
      <c r="DB733" s="115"/>
      <c r="DC733" s="114"/>
      <c r="DD733" s="115"/>
      <c r="DE733" s="97"/>
      <c r="DF733" s="269"/>
    </row>
    <row r="734" spans="1:255" s="270" customFormat="1" ht="36" x14ac:dyDescent="0.2">
      <c r="A734" s="89">
        <v>40655</v>
      </c>
      <c r="B734" s="90" t="s">
        <v>1116</v>
      </c>
      <c r="C734" s="90" t="s">
        <v>1116</v>
      </c>
      <c r="D734" s="90" t="s">
        <v>2362</v>
      </c>
      <c r="E734" s="90" t="str">
        <f>VLOOKUP(B734&amp;C734,Divipola!$C$2:$F$1138,4,FALSE)</f>
        <v>11001</v>
      </c>
      <c r="F734" s="90"/>
      <c r="G734" s="101"/>
      <c r="H734" s="101"/>
      <c r="I734" s="101"/>
      <c r="J734" s="101">
        <v>150</v>
      </c>
      <c r="K734" s="101">
        <v>30</v>
      </c>
      <c r="L734" s="101"/>
      <c r="M734" s="101">
        <v>30</v>
      </c>
      <c r="N734" s="101"/>
      <c r="O734" s="101"/>
      <c r="P734" s="101"/>
      <c r="Q734" s="101"/>
      <c r="R734" s="101"/>
      <c r="S734" s="101"/>
      <c r="T734" s="101"/>
      <c r="U734" s="101"/>
      <c r="V734" s="101"/>
      <c r="W734" s="91"/>
      <c r="X734" s="89"/>
      <c r="Y734" s="92">
        <f t="shared" si="66"/>
        <v>0</v>
      </c>
      <c r="Z734" s="92">
        <f t="shared" si="67"/>
        <v>0</v>
      </c>
      <c r="AA734" s="92">
        <f t="shared" si="68"/>
        <v>0</v>
      </c>
      <c r="AB734" s="92">
        <f t="shared" si="69"/>
        <v>0</v>
      </c>
      <c r="AC734" s="92"/>
      <c r="AD734" s="92">
        <v>0</v>
      </c>
      <c r="AE734" s="92">
        <f t="shared" si="70"/>
        <v>0</v>
      </c>
      <c r="AF734" s="93">
        <v>0</v>
      </c>
      <c r="AG734" s="89"/>
      <c r="AH734" s="94"/>
      <c r="AI734" s="95" t="s">
        <v>4336</v>
      </c>
      <c r="AJ734" s="96" t="s">
        <v>4337</v>
      </c>
      <c r="AK734" s="97"/>
      <c r="AL734" s="89"/>
      <c r="AM734" s="100" t="s">
        <v>994</v>
      </c>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114"/>
      <c r="CQ734" s="115"/>
      <c r="CR734" s="114"/>
      <c r="CS734" s="115"/>
      <c r="CT734" s="114"/>
      <c r="CU734" s="115"/>
      <c r="CV734" s="99">
        <f t="shared" si="71"/>
        <v>0</v>
      </c>
      <c r="CW734" s="114"/>
      <c r="CX734" s="115"/>
      <c r="CY734" s="114"/>
      <c r="CZ734" s="115"/>
      <c r="DA734" s="115"/>
      <c r="DB734" s="115"/>
      <c r="DC734" s="114"/>
      <c r="DD734" s="115"/>
      <c r="DE734" s="97"/>
      <c r="DF734" s="269"/>
    </row>
    <row r="735" spans="1:255" s="270" customFormat="1" ht="24" x14ac:dyDescent="0.2">
      <c r="A735" s="89">
        <v>40655</v>
      </c>
      <c r="B735" s="90" t="s">
        <v>4261</v>
      </c>
      <c r="C735" s="90" t="s">
        <v>2629</v>
      </c>
      <c r="D735" s="90" t="s">
        <v>4264</v>
      </c>
      <c r="E735" s="90" t="str">
        <f>VLOOKUP(B735&amp;C735,Divipola!$C$2:$F$1138,4,FALSE)</f>
        <v>15189</v>
      </c>
      <c r="F735" s="4"/>
      <c r="G735" s="274"/>
      <c r="H735" s="274"/>
      <c r="I735" s="274"/>
      <c r="J735" s="124">
        <v>10</v>
      </c>
      <c r="K735" s="124">
        <v>2</v>
      </c>
      <c r="L735" s="124"/>
      <c r="M735" s="124">
        <v>2</v>
      </c>
      <c r="N735" s="208"/>
      <c r="O735" s="208"/>
      <c r="P735" s="208"/>
      <c r="Q735" s="208"/>
      <c r="R735" s="208"/>
      <c r="S735" s="208"/>
      <c r="T735" s="208"/>
      <c r="U735" s="208"/>
      <c r="V735" s="208"/>
      <c r="W735" s="19"/>
      <c r="X735" s="17"/>
      <c r="Y735" s="5">
        <f t="shared" si="66"/>
        <v>0</v>
      </c>
      <c r="Z735" s="5">
        <f t="shared" si="67"/>
        <v>0</v>
      </c>
      <c r="AA735" s="5">
        <f t="shared" si="68"/>
        <v>0</v>
      </c>
      <c r="AB735" s="5">
        <f t="shared" si="69"/>
        <v>0</v>
      </c>
      <c r="AC735" s="5"/>
      <c r="AD735" s="5">
        <v>0</v>
      </c>
      <c r="AE735" s="5">
        <f t="shared" si="70"/>
        <v>0</v>
      </c>
      <c r="AF735" s="70">
        <v>0</v>
      </c>
      <c r="AG735" s="17"/>
      <c r="AH735" s="18"/>
      <c r="AI735" s="47" t="s">
        <v>4336</v>
      </c>
      <c r="AJ735" s="73" t="s">
        <v>4337</v>
      </c>
      <c r="AK735" s="275"/>
      <c r="AL735" s="276"/>
      <c r="AM735" s="100" t="s">
        <v>4435</v>
      </c>
      <c r="AN735" s="19"/>
      <c r="AO735" s="19"/>
      <c r="AP735" s="19"/>
      <c r="AQ735" s="19"/>
      <c r="AR735" s="19"/>
      <c r="AS735" s="19"/>
      <c r="AT735" s="19"/>
      <c r="AU735" s="19"/>
      <c r="AV735" s="19"/>
      <c r="AW735" s="19"/>
      <c r="AX735" s="107"/>
      <c r="AY735" s="107"/>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39"/>
      <c r="CO735" s="138"/>
      <c r="CP735" s="139"/>
      <c r="CQ735" s="138"/>
      <c r="CR735" s="139"/>
      <c r="CS735" s="138"/>
      <c r="CT735" s="72"/>
      <c r="CU735" s="139"/>
      <c r="CV735" s="99">
        <f t="shared" si="71"/>
        <v>0</v>
      </c>
      <c r="CW735" s="139"/>
      <c r="CX735" s="138"/>
      <c r="CY735" s="138"/>
      <c r="CZ735" s="138"/>
      <c r="DA735" s="139"/>
      <c r="DB735" s="138"/>
      <c r="DC735" s="45"/>
      <c r="DD735" s="138"/>
      <c r="DE735" s="45"/>
      <c r="DF735" s="269"/>
    </row>
    <row r="736" spans="1:255" s="270" customFormat="1" ht="108" x14ac:dyDescent="0.2">
      <c r="A736" s="89">
        <v>40655</v>
      </c>
      <c r="B736" s="90" t="s">
        <v>4261</v>
      </c>
      <c r="C736" s="90" t="s">
        <v>2870</v>
      </c>
      <c r="D736" s="90" t="s">
        <v>4264</v>
      </c>
      <c r="E736" s="90" t="str">
        <f>VLOOKUP(B736&amp;C736,Divipola!$C$2:$F$1138,4,FALSE)</f>
        <v>15580</v>
      </c>
      <c r="F736" s="90"/>
      <c r="G736" s="101"/>
      <c r="H736" s="101"/>
      <c r="I736" s="101"/>
      <c r="J736" s="101">
        <f>337*5</f>
        <v>1685</v>
      </c>
      <c r="K736" s="101">
        <v>337</v>
      </c>
      <c r="L736" s="101"/>
      <c r="M736" s="101">
        <v>337</v>
      </c>
      <c r="N736" s="101"/>
      <c r="O736" s="101"/>
      <c r="P736" s="101"/>
      <c r="Q736" s="101"/>
      <c r="R736" s="101"/>
      <c r="S736" s="101"/>
      <c r="T736" s="101">
        <v>1</v>
      </c>
      <c r="U736" s="101"/>
      <c r="V736" s="101">
        <v>195</v>
      </c>
      <c r="W736" s="91"/>
      <c r="X736" s="89"/>
      <c r="Y736" s="92">
        <f t="shared" si="66"/>
        <v>0</v>
      </c>
      <c r="Z736" s="92">
        <f t="shared" si="67"/>
        <v>0</v>
      </c>
      <c r="AA736" s="92">
        <f t="shared" si="68"/>
        <v>0</v>
      </c>
      <c r="AB736" s="92">
        <f t="shared" si="69"/>
        <v>0</v>
      </c>
      <c r="AC736" s="92"/>
      <c r="AD736" s="92">
        <v>40000000</v>
      </c>
      <c r="AE736" s="92">
        <f t="shared" si="70"/>
        <v>40000000</v>
      </c>
      <c r="AF736" s="93">
        <v>0</v>
      </c>
      <c r="AG736" s="89"/>
      <c r="AH736" s="94"/>
      <c r="AI736" s="102" t="s">
        <v>4346</v>
      </c>
      <c r="AJ736" s="96" t="s">
        <v>4347</v>
      </c>
      <c r="AK736" s="97"/>
      <c r="AL736" s="89" t="s">
        <v>1049</v>
      </c>
      <c r="AM736" s="100" t="s">
        <v>1159</v>
      </c>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114"/>
      <c r="CQ736" s="115"/>
      <c r="CR736" s="114"/>
      <c r="CS736" s="115"/>
      <c r="CT736" s="114"/>
      <c r="CU736" s="115"/>
      <c r="CV736" s="99">
        <f t="shared" si="71"/>
        <v>0</v>
      </c>
      <c r="CW736" s="114"/>
      <c r="CX736" s="115"/>
      <c r="CY736" s="114"/>
      <c r="CZ736" s="115"/>
      <c r="DA736" s="115"/>
      <c r="DB736" s="115"/>
      <c r="DC736" s="114"/>
      <c r="DD736" s="115"/>
      <c r="DE736" s="97"/>
      <c r="DF736" s="269"/>
    </row>
    <row r="737" spans="1:255" s="270" customFormat="1" x14ac:dyDescent="0.2">
      <c r="A737" s="89">
        <v>40655</v>
      </c>
      <c r="B737" s="90" t="s">
        <v>4261</v>
      </c>
      <c r="C737" s="90" t="s">
        <v>2871</v>
      </c>
      <c r="D737" s="90" t="s">
        <v>4264</v>
      </c>
      <c r="E737" s="90" t="str">
        <f>VLOOKUP(B737&amp;C737,Divipola!$C$2:$F$1138,4,FALSE)</f>
        <v>15632</v>
      </c>
      <c r="F737" s="4"/>
      <c r="G737" s="274"/>
      <c r="H737" s="274"/>
      <c r="I737" s="274"/>
      <c r="J737" s="124">
        <v>20</v>
      </c>
      <c r="K737" s="124">
        <v>4</v>
      </c>
      <c r="L737" s="124"/>
      <c r="M737" s="124">
        <v>4</v>
      </c>
      <c r="N737" s="208"/>
      <c r="O737" s="208"/>
      <c r="P737" s="208"/>
      <c r="Q737" s="208"/>
      <c r="R737" s="208"/>
      <c r="S737" s="208"/>
      <c r="T737" s="208"/>
      <c r="U737" s="208"/>
      <c r="V737" s="208"/>
      <c r="W737" s="19"/>
      <c r="X737" s="17"/>
      <c r="Y737" s="5">
        <f t="shared" si="66"/>
        <v>0</v>
      </c>
      <c r="Z737" s="5">
        <f t="shared" si="67"/>
        <v>0</v>
      </c>
      <c r="AA737" s="5">
        <f t="shared" si="68"/>
        <v>0</v>
      </c>
      <c r="AB737" s="5">
        <f t="shared" si="69"/>
        <v>0</v>
      </c>
      <c r="AC737" s="5"/>
      <c r="AD737" s="5">
        <v>0</v>
      </c>
      <c r="AE737" s="5">
        <f t="shared" si="70"/>
        <v>0</v>
      </c>
      <c r="AF737" s="70">
        <v>0</v>
      </c>
      <c r="AG737" s="17"/>
      <c r="AH737" s="18"/>
      <c r="AI737" s="47" t="s">
        <v>4336</v>
      </c>
      <c r="AJ737" s="73" t="s">
        <v>4337</v>
      </c>
      <c r="AK737" s="275"/>
      <c r="AL737" s="276"/>
      <c r="AM737" s="100" t="s">
        <v>4436</v>
      </c>
      <c r="AN737" s="19"/>
      <c r="AO737" s="19"/>
      <c r="AP737" s="19"/>
      <c r="AQ737" s="19"/>
      <c r="AR737" s="19"/>
      <c r="AS737" s="19"/>
      <c r="AT737" s="19"/>
      <c r="AU737" s="19"/>
      <c r="AV737" s="19"/>
      <c r="AW737" s="19"/>
      <c r="AX737" s="107"/>
      <c r="AY737" s="107"/>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39"/>
      <c r="CO737" s="138"/>
      <c r="CP737" s="139"/>
      <c r="CQ737" s="138"/>
      <c r="CR737" s="139"/>
      <c r="CS737" s="138"/>
      <c r="CT737" s="72"/>
      <c r="CU737" s="139"/>
      <c r="CV737" s="99">
        <f t="shared" si="71"/>
        <v>0</v>
      </c>
      <c r="CW737" s="139"/>
      <c r="CX737" s="138"/>
      <c r="CY737" s="138"/>
      <c r="CZ737" s="138"/>
      <c r="DA737" s="139"/>
      <c r="DB737" s="138"/>
      <c r="DC737" s="45"/>
      <c r="DD737" s="138"/>
      <c r="DE737" s="45"/>
      <c r="DF737" s="269"/>
    </row>
    <row r="738" spans="1:255" s="270" customFormat="1" x14ac:dyDescent="0.2">
      <c r="A738" s="89">
        <v>40655</v>
      </c>
      <c r="B738" s="90" t="s">
        <v>3533</v>
      </c>
      <c r="C738" s="90" t="s">
        <v>2244</v>
      </c>
      <c r="D738" s="90" t="s">
        <v>2362</v>
      </c>
      <c r="E738" s="90" t="str">
        <f>VLOOKUP(B738&amp;C738,Divipola!$C$2:$F$1138,4,FALSE)</f>
        <v>17042</v>
      </c>
      <c r="F738" s="90"/>
      <c r="G738" s="101"/>
      <c r="H738" s="101"/>
      <c r="I738" s="101"/>
      <c r="J738" s="101">
        <v>125</v>
      </c>
      <c r="K738" s="101">
        <v>25</v>
      </c>
      <c r="L738" s="101"/>
      <c r="M738" s="101">
        <v>25</v>
      </c>
      <c r="N738" s="101"/>
      <c r="O738" s="101"/>
      <c r="P738" s="101"/>
      <c r="Q738" s="101"/>
      <c r="R738" s="101"/>
      <c r="S738" s="101"/>
      <c r="T738" s="101"/>
      <c r="U738" s="101"/>
      <c r="V738" s="101"/>
      <c r="W738" s="91"/>
      <c r="X738" s="89"/>
      <c r="Y738" s="92">
        <f t="shared" si="66"/>
        <v>0</v>
      </c>
      <c r="Z738" s="92">
        <f t="shared" si="67"/>
        <v>0</v>
      </c>
      <c r="AA738" s="92">
        <f t="shared" si="68"/>
        <v>0</v>
      </c>
      <c r="AB738" s="92">
        <f t="shared" si="69"/>
        <v>0</v>
      </c>
      <c r="AC738" s="92"/>
      <c r="AD738" s="92">
        <v>0</v>
      </c>
      <c r="AE738" s="92">
        <f t="shared" si="70"/>
        <v>0</v>
      </c>
      <c r="AF738" s="93">
        <v>0</v>
      </c>
      <c r="AG738" s="89"/>
      <c r="AH738" s="94"/>
      <c r="AI738" s="102" t="s">
        <v>4336</v>
      </c>
      <c r="AJ738" s="96" t="s">
        <v>4337</v>
      </c>
      <c r="AK738" s="97"/>
      <c r="AL738" s="89"/>
      <c r="AM738" s="100" t="s">
        <v>3269</v>
      </c>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114"/>
      <c r="CQ738" s="115"/>
      <c r="CR738" s="114"/>
      <c r="CS738" s="115"/>
      <c r="CT738" s="114"/>
      <c r="CU738" s="115"/>
      <c r="CV738" s="99">
        <f t="shared" si="71"/>
        <v>0</v>
      </c>
      <c r="CW738" s="114"/>
      <c r="CX738" s="115"/>
      <c r="CY738" s="114"/>
      <c r="CZ738" s="115"/>
      <c r="DA738" s="115"/>
      <c r="DB738" s="115"/>
      <c r="DC738" s="114"/>
      <c r="DD738" s="115"/>
      <c r="DE738" s="97"/>
      <c r="DF738" s="269"/>
    </row>
    <row r="739" spans="1:255" s="270" customFormat="1" ht="36" x14ac:dyDescent="0.2">
      <c r="A739" s="89">
        <v>40655</v>
      </c>
      <c r="B739" s="90" t="s">
        <v>3533</v>
      </c>
      <c r="C739" s="90" t="s">
        <v>968</v>
      </c>
      <c r="D739" s="90" t="s">
        <v>2362</v>
      </c>
      <c r="E739" s="90" t="str">
        <f>VLOOKUP(B739&amp;C739,Divipola!$C$2:$F$1138,4,FALSE)</f>
        <v>17174</v>
      </c>
      <c r="F739" s="90"/>
      <c r="G739" s="101"/>
      <c r="H739" s="101"/>
      <c r="I739" s="101"/>
      <c r="J739" s="101">
        <f>80*5</f>
        <v>400</v>
      </c>
      <c r="K739" s="101">
        <v>80</v>
      </c>
      <c r="L739" s="101">
        <v>6</v>
      </c>
      <c r="M739" s="101">
        <f>23+34</f>
        <v>57</v>
      </c>
      <c r="N739" s="101"/>
      <c r="O739" s="101"/>
      <c r="P739" s="101"/>
      <c r="Q739" s="101"/>
      <c r="R739" s="101"/>
      <c r="S739" s="101"/>
      <c r="T739" s="101"/>
      <c r="U739" s="101"/>
      <c r="V739" s="101"/>
      <c r="W739" s="91"/>
      <c r="X739" s="89"/>
      <c r="Y739" s="92">
        <f t="shared" si="66"/>
        <v>13269820</v>
      </c>
      <c r="Z739" s="92">
        <f t="shared" si="67"/>
        <v>8500000</v>
      </c>
      <c r="AA739" s="92">
        <f t="shared" si="68"/>
        <v>0</v>
      </c>
      <c r="AB739" s="92">
        <f t="shared" si="69"/>
        <v>0</v>
      </c>
      <c r="AC739" s="92"/>
      <c r="AD739" s="92">
        <v>0</v>
      </c>
      <c r="AE739" s="92">
        <f t="shared" si="70"/>
        <v>21769820</v>
      </c>
      <c r="AF739" s="93">
        <v>0</v>
      </c>
      <c r="AG739" s="89"/>
      <c r="AH739" s="94"/>
      <c r="AI739" s="102" t="s">
        <v>4346</v>
      </c>
      <c r="AJ739" s="96" t="s">
        <v>4347</v>
      </c>
      <c r="AK739" s="97"/>
      <c r="AL739" s="89"/>
      <c r="AM739" s="100" t="s">
        <v>2092</v>
      </c>
      <c r="AN739" s="91"/>
      <c r="AO739" s="91"/>
      <c r="AP739" s="91"/>
      <c r="AQ739" s="91"/>
      <c r="AR739" s="91"/>
      <c r="AS739" s="91"/>
      <c r="AT739" s="91"/>
      <c r="AU739" s="91"/>
      <c r="AV739" s="91"/>
      <c r="AW739" s="91"/>
      <c r="AX739" s="91"/>
      <c r="AY739" s="91"/>
      <c r="AZ739" s="91">
        <v>100</v>
      </c>
      <c r="BA739" s="91">
        <f>100*55999</f>
        <v>5599900</v>
      </c>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114">
        <v>100</v>
      </c>
      <c r="CQ739" s="115">
        <f>100*36999.36</f>
        <v>3699936</v>
      </c>
      <c r="CR739" s="114">
        <v>100</v>
      </c>
      <c r="CS739" s="115">
        <f>100*39699.84</f>
        <v>3969983.9999999995</v>
      </c>
      <c r="CT739" s="114"/>
      <c r="CU739" s="115"/>
      <c r="CV739" s="99">
        <f t="shared" si="71"/>
        <v>13269820</v>
      </c>
      <c r="CW739" s="114"/>
      <c r="CX739" s="115"/>
      <c r="CY739" s="114">
        <v>100</v>
      </c>
      <c r="CZ739" s="115">
        <f>100*85000</f>
        <v>8500000</v>
      </c>
      <c r="DA739" s="115"/>
      <c r="DB739" s="115"/>
      <c r="DC739" s="114"/>
      <c r="DD739" s="115"/>
      <c r="DE739" s="97"/>
      <c r="DF739" s="269"/>
    </row>
    <row r="740" spans="1:255" s="270" customFormat="1" x14ac:dyDescent="0.2">
      <c r="A740" s="89">
        <v>40655</v>
      </c>
      <c r="B740" s="90" t="s">
        <v>3533</v>
      </c>
      <c r="C740" s="90" t="s">
        <v>3383</v>
      </c>
      <c r="D740" s="90" t="s">
        <v>2362</v>
      </c>
      <c r="E740" s="90" t="str">
        <f>VLOOKUP(B740&amp;C740,Divipola!$C$2:$F$1138,4,FALSE)</f>
        <v>17524</v>
      </c>
      <c r="F740" s="90"/>
      <c r="G740" s="101"/>
      <c r="H740" s="101"/>
      <c r="I740" s="101"/>
      <c r="J740" s="101">
        <v>55</v>
      </c>
      <c r="K740" s="101">
        <v>11</v>
      </c>
      <c r="L740" s="101"/>
      <c r="M740" s="101">
        <v>11</v>
      </c>
      <c r="N740" s="101"/>
      <c r="O740" s="101"/>
      <c r="P740" s="101"/>
      <c r="Q740" s="101"/>
      <c r="R740" s="101"/>
      <c r="S740" s="101"/>
      <c r="T740" s="101"/>
      <c r="U740" s="101"/>
      <c r="V740" s="101"/>
      <c r="W740" s="91"/>
      <c r="X740" s="89"/>
      <c r="Y740" s="92">
        <f t="shared" si="66"/>
        <v>0</v>
      </c>
      <c r="Z740" s="92">
        <f t="shared" si="67"/>
        <v>0</v>
      </c>
      <c r="AA740" s="92">
        <f t="shared" si="68"/>
        <v>0</v>
      </c>
      <c r="AB740" s="92">
        <f t="shared" si="69"/>
        <v>0</v>
      </c>
      <c r="AC740" s="92"/>
      <c r="AD740" s="92">
        <v>0</v>
      </c>
      <c r="AE740" s="92">
        <f t="shared" si="70"/>
        <v>0</v>
      </c>
      <c r="AF740" s="93">
        <v>0</v>
      </c>
      <c r="AG740" s="89"/>
      <c r="AH740" s="94"/>
      <c r="AI740" s="102" t="s">
        <v>4336</v>
      </c>
      <c r="AJ740" s="96" t="s">
        <v>4337</v>
      </c>
      <c r="AK740" s="97"/>
      <c r="AL740" s="89"/>
      <c r="AM740" s="100" t="s">
        <v>3269</v>
      </c>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114"/>
      <c r="CQ740" s="115"/>
      <c r="CR740" s="114"/>
      <c r="CS740" s="115"/>
      <c r="CT740" s="114"/>
      <c r="CU740" s="115"/>
      <c r="CV740" s="99">
        <f t="shared" si="71"/>
        <v>0</v>
      </c>
      <c r="CW740" s="114"/>
      <c r="CX740" s="115"/>
      <c r="CY740" s="114"/>
      <c r="CZ740" s="115"/>
      <c r="DA740" s="115"/>
      <c r="DB740" s="115"/>
      <c r="DC740" s="114"/>
      <c r="DD740" s="115"/>
      <c r="DE740" s="97"/>
      <c r="DF740" s="46"/>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row>
    <row r="741" spans="1:255" s="270" customFormat="1" ht="84" x14ac:dyDescent="0.2">
      <c r="A741" s="89">
        <v>40655</v>
      </c>
      <c r="B741" s="90" t="s">
        <v>3533</v>
      </c>
      <c r="C741" s="90" t="s">
        <v>2248</v>
      </c>
      <c r="D741" s="90" t="s">
        <v>2362</v>
      </c>
      <c r="E741" s="90" t="str">
        <f>VLOOKUP(B741&amp;C741,Divipola!$C$2:$F$1138,4,FALSE)</f>
        <v>17653</v>
      </c>
      <c r="F741" s="90"/>
      <c r="G741" s="101"/>
      <c r="H741" s="101"/>
      <c r="I741" s="101"/>
      <c r="J741" s="101"/>
      <c r="K741" s="101"/>
      <c r="L741" s="101"/>
      <c r="M741" s="101"/>
      <c r="N741" s="101">
        <v>2</v>
      </c>
      <c r="O741" s="101"/>
      <c r="P741" s="101"/>
      <c r="Q741" s="101">
        <v>1</v>
      </c>
      <c r="R741" s="101"/>
      <c r="S741" s="101"/>
      <c r="T741" s="101"/>
      <c r="U741" s="101"/>
      <c r="V741" s="101"/>
      <c r="W741" s="91"/>
      <c r="X741" s="89"/>
      <c r="Y741" s="92">
        <f t="shared" si="66"/>
        <v>0</v>
      </c>
      <c r="Z741" s="92">
        <f t="shared" si="67"/>
        <v>0</v>
      </c>
      <c r="AA741" s="92">
        <f t="shared" si="68"/>
        <v>0</v>
      </c>
      <c r="AB741" s="92">
        <f t="shared" si="69"/>
        <v>0</v>
      </c>
      <c r="AC741" s="92"/>
      <c r="AD741" s="92">
        <v>40000000</v>
      </c>
      <c r="AE741" s="92">
        <f t="shared" si="70"/>
        <v>40000000</v>
      </c>
      <c r="AF741" s="93">
        <v>0</v>
      </c>
      <c r="AG741" s="89"/>
      <c r="AH741" s="94"/>
      <c r="AI741" s="95" t="s">
        <v>4346</v>
      </c>
      <c r="AJ741" s="96" t="s">
        <v>4347</v>
      </c>
      <c r="AK741" s="97"/>
      <c r="AL741" s="89"/>
      <c r="AM741" s="100" t="s">
        <v>1907</v>
      </c>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114"/>
      <c r="CQ741" s="115"/>
      <c r="CR741" s="114"/>
      <c r="CS741" s="115"/>
      <c r="CT741" s="114"/>
      <c r="CU741" s="115"/>
      <c r="CV741" s="99">
        <f t="shared" si="71"/>
        <v>0</v>
      </c>
      <c r="CW741" s="114"/>
      <c r="CX741" s="115"/>
      <c r="CY741" s="114"/>
      <c r="CZ741" s="115"/>
      <c r="DA741" s="115"/>
      <c r="DB741" s="115"/>
      <c r="DC741" s="114"/>
      <c r="DD741" s="115"/>
      <c r="DE741" s="97"/>
      <c r="DF741" s="269"/>
    </row>
    <row r="742" spans="1:255" s="270" customFormat="1" ht="48" x14ac:dyDescent="0.2">
      <c r="A742" s="89">
        <v>40655</v>
      </c>
      <c r="B742" s="90" t="s">
        <v>4386</v>
      </c>
      <c r="C742" s="90" t="s">
        <v>4317</v>
      </c>
      <c r="D742" s="90" t="s">
        <v>4264</v>
      </c>
      <c r="E742" s="90" t="str">
        <f>VLOOKUP(B742&amp;C742,Divipola!$C$2:$F$1138,4,FALSE)</f>
        <v>20011</v>
      </c>
      <c r="F742" s="90"/>
      <c r="G742" s="101"/>
      <c r="H742" s="101"/>
      <c r="I742" s="101"/>
      <c r="J742" s="101">
        <v>4000</v>
      </c>
      <c r="K742" s="101">
        <v>800</v>
      </c>
      <c r="L742" s="101"/>
      <c r="M742" s="101">
        <v>800</v>
      </c>
      <c r="N742" s="101"/>
      <c r="O742" s="101"/>
      <c r="P742" s="101"/>
      <c r="Q742" s="101"/>
      <c r="R742" s="101"/>
      <c r="S742" s="101"/>
      <c r="T742" s="101"/>
      <c r="U742" s="101"/>
      <c r="V742" s="101"/>
      <c r="W742" s="91"/>
      <c r="X742" s="89"/>
      <c r="Y742" s="92">
        <f t="shared" si="66"/>
        <v>0</v>
      </c>
      <c r="Z742" s="92">
        <f t="shared" si="67"/>
        <v>0</v>
      </c>
      <c r="AA742" s="92">
        <f t="shared" si="68"/>
        <v>0</v>
      </c>
      <c r="AB742" s="92">
        <f t="shared" si="69"/>
        <v>0</v>
      </c>
      <c r="AC742" s="92"/>
      <c r="AD742" s="92">
        <v>0</v>
      </c>
      <c r="AE742" s="92">
        <f t="shared" si="70"/>
        <v>0</v>
      </c>
      <c r="AF742" s="93">
        <v>0</v>
      </c>
      <c r="AG742" s="89"/>
      <c r="AH742" s="94"/>
      <c r="AI742" s="95" t="s">
        <v>4346</v>
      </c>
      <c r="AJ742" s="96" t="s">
        <v>4347</v>
      </c>
      <c r="AK742" s="97"/>
      <c r="AL742" s="89" t="s">
        <v>1049</v>
      </c>
      <c r="AM742" s="100" t="s">
        <v>3719</v>
      </c>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114"/>
      <c r="CQ742" s="115"/>
      <c r="CR742" s="114"/>
      <c r="CS742" s="115"/>
      <c r="CT742" s="114"/>
      <c r="CU742" s="115"/>
      <c r="CV742" s="99">
        <f t="shared" si="71"/>
        <v>0</v>
      </c>
      <c r="CW742" s="114"/>
      <c r="CX742" s="115"/>
      <c r="CY742" s="114"/>
      <c r="CZ742" s="115"/>
      <c r="DA742" s="115"/>
      <c r="DB742" s="115"/>
      <c r="DC742" s="114"/>
      <c r="DD742" s="115"/>
      <c r="DE742" s="97"/>
      <c r="DF742" s="269"/>
    </row>
    <row r="743" spans="1:255" s="270" customFormat="1" ht="132" x14ac:dyDescent="0.2">
      <c r="A743" s="89">
        <v>40655</v>
      </c>
      <c r="B743" s="90" t="s">
        <v>4386</v>
      </c>
      <c r="C743" s="90" t="s">
        <v>4377</v>
      </c>
      <c r="D743" s="90" t="s">
        <v>4264</v>
      </c>
      <c r="E743" s="90" t="str">
        <f>VLOOKUP(B743&amp;C743,Divipola!$C$2:$F$1138,4,FALSE)</f>
        <v>20295</v>
      </c>
      <c r="F743" s="90"/>
      <c r="G743" s="101"/>
      <c r="H743" s="101"/>
      <c r="I743" s="101"/>
      <c r="J743" s="101">
        <v>13500</v>
      </c>
      <c r="K743" s="101">
        <v>2700</v>
      </c>
      <c r="L743" s="101"/>
      <c r="M743" s="101">
        <v>2700</v>
      </c>
      <c r="N743" s="101"/>
      <c r="O743" s="101"/>
      <c r="P743" s="101"/>
      <c r="Q743" s="101"/>
      <c r="R743" s="101"/>
      <c r="S743" s="101"/>
      <c r="T743" s="101"/>
      <c r="U743" s="101"/>
      <c r="V743" s="101"/>
      <c r="W743" s="91"/>
      <c r="X743" s="89"/>
      <c r="Y743" s="92">
        <f t="shared" si="66"/>
        <v>0</v>
      </c>
      <c r="Z743" s="92">
        <f t="shared" si="67"/>
        <v>0</v>
      </c>
      <c r="AA743" s="92">
        <f t="shared" si="68"/>
        <v>0</v>
      </c>
      <c r="AB743" s="92">
        <f t="shared" si="69"/>
        <v>0</v>
      </c>
      <c r="AC743" s="92"/>
      <c r="AD743" s="92">
        <v>219437286</v>
      </c>
      <c r="AE743" s="92">
        <f t="shared" si="70"/>
        <v>219437286</v>
      </c>
      <c r="AF743" s="93">
        <v>0</v>
      </c>
      <c r="AG743" s="89"/>
      <c r="AH743" s="94"/>
      <c r="AI743" s="95" t="s">
        <v>4346</v>
      </c>
      <c r="AJ743" s="96" t="s">
        <v>4347</v>
      </c>
      <c r="AK743" s="97"/>
      <c r="AL743" s="89" t="s">
        <v>1049</v>
      </c>
      <c r="AM743" s="100" t="s">
        <v>3</v>
      </c>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114"/>
      <c r="CQ743" s="115"/>
      <c r="CR743" s="114"/>
      <c r="CS743" s="115"/>
      <c r="CT743" s="114"/>
      <c r="CU743" s="115"/>
      <c r="CV743" s="99">
        <f t="shared" si="71"/>
        <v>0</v>
      </c>
      <c r="CW743" s="114"/>
      <c r="CX743" s="115"/>
      <c r="CY743" s="114"/>
      <c r="CZ743" s="115"/>
      <c r="DA743" s="115"/>
      <c r="DB743" s="115"/>
      <c r="DC743" s="114"/>
      <c r="DD743" s="115"/>
      <c r="DE743" s="97"/>
      <c r="DF743" s="269"/>
    </row>
    <row r="744" spans="1:255" s="270" customFormat="1" ht="84" x14ac:dyDescent="0.2">
      <c r="A744" s="89">
        <v>40655</v>
      </c>
      <c r="B744" s="90" t="s">
        <v>4386</v>
      </c>
      <c r="C744" s="90" t="s">
        <v>4376</v>
      </c>
      <c r="D744" s="90" t="s">
        <v>4264</v>
      </c>
      <c r="E744" s="90" t="str">
        <f>VLOOKUP(B744&amp;C744,Divipola!$C$2:$F$1138,4,FALSE)</f>
        <v>20383</v>
      </c>
      <c r="F744" s="90"/>
      <c r="G744" s="101"/>
      <c r="H744" s="101"/>
      <c r="I744" s="101"/>
      <c r="J744" s="101">
        <v>7000</v>
      </c>
      <c r="K744" s="101">
        <v>1400</v>
      </c>
      <c r="L744" s="101"/>
      <c r="M744" s="101">
        <v>1400</v>
      </c>
      <c r="N744" s="101"/>
      <c r="O744" s="101"/>
      <c r="P744" s="101"/>
      <c r="Q744" s="101"/>
      <c r="R744" s="101"/>
      <c r="S744" s="101"/>
      <c r="T744" s="101"/>
      <c r="U744" s="101"/>
      <c r="V744" s="101"/>
      <c r="W744" s="91"/>
      <c r="X744" s="89"/>
      <c r="Y744" s="92">
        <f t="shared" si="66"/>
        <v>0</v>
      </c>
      <c r="Z744" s="92">
        <f t="shared" si="67"/>
        <v>0</v>
      </c>
      <c r="AA744" s="92">
        <f t="shared" si="68"/>
        <v>0</v>
      </c>
      <c r="AB744" s="92">
        <f t="shared" si="69"/>
        <v>0</v>
      </c>
      <c r="AC744" s="92"/>
      <c r="AD744" s="92">
        <f>173060000+86530000</f>
        <v>259590000</v>
      </c>
      <c r="AE744" s="92">
        <f t="shared" si="70"/>
        <v>259590000</v>
      </c>
      <c r="AF744" s="93">
        <v>0</v>
      </c>
      <c r="AG744" s="89"/>
      <c r="AH744" s="94"/>
      <c r="AI744" s="95" t="s">
        <v>4346</v>
      </c>
      <c r="AJ744" s="96" t="s">
        <v>4347</v>
      </c>
      <c r="AK744" s="97"/>
      <c r="AL744" s="89" t="s">
        <v>1049</v>
      </c>
      <c r="AM744" s="100" t="s">
        <v>4575</v>
      </c>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114"/>
      <c r="CQ744" s="115"/>
      <c r="CR744" s="114"/>
      <c r="CS744" s="115"/>
      <c r="CT744" s="114"/>
      <c r="CU744" s="115"/>
      <c r="CV744" s="99">
        <f t="shared" si="71"/>
        <v>0</v>
      </c>
      <c r="CW744" s="114"/>
      <c r="CX744" s="115"/>
      <c r="CY744" s="114"/>
      <c r="CZ744" s="115"/>
      <c r="DA744" s="115"/>
      <c r="DB744" s="115"/>
      <c r="DC744" s="114"/>
      <c r="DD744" s="115"/>
      <c r="DE744" s="97">
        <v>2</v>
      </c>
      <c r="DF744" s="269"/>
    </row>
    <row r="745" spans="1:255" s="270" customFormat="1" ht="36" x14ac:dyDescent="0.2">
      <c r="A745" s="89">
        <v>40655</v>
      </c>
      <c r="B745" s="90" t="s">
        <v>4386</v>
      </c>
      <c r="C745" s="90" t="s">
        <v>3339</v>
      </c>
      <c r="D745" s="90" t="s">
        <v>4264</v>
      </c>
      <c r="E745" s="90" t="str">
        <f>VLOOKUP(B745&amp;C745,Divipola!$C$2:$F$1138,4,FALSE)</f>
        <v>20770</v>
      </c>
      <c r="F745" s="90"/>
      <c r="G745" s="101"/>
      <c r="H745" s="101"/>
      <c r="I745" s="101"/>
      <c r="J745" s="101">
        <v>1440</v>
      </c>
      <c r="K745" s="101">
        <v>288</v>
      </c>
      <c r="L745" s="101"/>
      <c r="M745" s="101">
        <v>288</v>
      </c>
      <c r="N745" s="101"/>
      <c r="O745" s="101"/>
      <c r="P745" s="101"/>
      <c r="Q745" s="101"/>
      <c r="R745" s="101"/>
      <c r="S745" s="101"/>
      <c r="T745" s="101"/>
      <c r="U745" s="101"/>
      <c r="V745" s="101"/>
      <c r="W745" s="91"/>
      <c r="X745" s="89"/>
      <c r="Y745" s="92">
        <f t="shared" si="66"/>
        <v>0</v>
      </c>
      <c r="Z745" s="92">
        <f t="shared" si="67"/>
        <v>0</v>
      </c>
      <c r="AA745" s="92">
        <f t="shared" si="68"/>
        <v>0</v>
      </c>
      <c r="AB745" s="92">
        <f t="shared" si="69"/>
        <v>0</v>
      </c>
      <c r="AC745" s="92"/>
      <c r="AD745" s="92">
        <v>0</v>
      </c>
      <c r="AE745" s="92">
        <f t="shared" si="70"/>
        <v>0</v>
      </c>
      <c r="AF745" s="93">
        <v>0</v>
      </c>
      <c r="AG745" s="89"/>
      <c r="AH745" s="94"/>
      <c r="AI745" s="95" t="s">
        <v>4346</v>
      </c>
      <c r="AJ745" s="96" t="s">
        <v>4347</v>
      </c>
      <c r="AK745" s="97"/>
      <c r="AL745" s="89" t="s">
        <v>1049</v>
      </c>
      <c r="AM745" s="100" t="s">
        <v>3718</v>
      </c>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114"/>
      <c r="CQ745" s="115"/>
      <c r="CR745" s="114"/>
      <c r="CS745" s="115"/>
      <c r="CT745" s="114"/>
      <c r="CU745" s="115"/>
      <c r="CV745" s="99">
        <f t="shared" si="71"/>
        <v>0</v>
      </c>
      <c r="CW745" s="114"/>
      <c r="CX745" s="115"/>
      <c r="CY745" s="114"/>
      <c r="CZ745" s="115"/>
      <c r="DA745" s="115"/>
      <c r="DB745" s="115"/>
      <c r="DC745" s="114"/>
      <c r="DD745" s="115"/>
      <c r="DE745" s="97"/>
      <c r="DF745" s="269"/>
    </row>
    <row r="746" spans="1:255" s="270" customFormat="1" ht="72" x14ac:dyDescent="0.2">
      <c r="A746" s="89">
        <v>40655</v>
      </c>
      <c r="B746" s="90" t="s">
        <v>4386</v>
      </c>
      <c r="C746" s="90" t="s">
        <v>4357</v>
      </c>
      <c r="D746" s="90" t="s">
        <v>4264</v>
      </c>
      <c r="E746" s="90" t="str">
        <f>VLOOKUP(B746&amp;C746,Divipola!$C$2:$F$1138,4,FALSE)</f>
        <v>20787</v>
      </c>
      <c r="F746" s="90"/>
      <c r="G746" s="101"/>
      <c r="H746" s="101"/>
      <c r="I746" s="101"/>
      <c r="J746" s="101">
        <v>2000</v>
      </c>
      <c r="K746" s="101">
        <v>400</v>
      </c>
      <c r="L746" s="101"/>
      <c r="M746" s="101">
        <v>400</v>
      </c>
      <c r="N746" s="101"/>
      <c r="O746" s="101"/>
      <c r="P746" s="101"/>
      <c r="Q746" s="101"/>
      <c r="R746" s="101"/>
      <c r="S746" s="101"/>
      <c r="T746" s="101"/>
      <c r="U746" s="101"/>
      <c r="V746" s="101"/>
      <c r="W746" s="91"/>
      <c r="X746" s="89"/>
      <c r="Y746" s="92">
        <f t="shared" si="66"/>
        <v>0</v>
      </c>
      <c r="Z746" s="92">
        <f t="shared" si="67"/>
        <v>0</v>
      </c>
      <c r="AA746" s="92">
        <f t="shared" si="68"/>
        <v>0</v>
      </c>
      <c r="AB746" s="92">
        <f t="shared" si="69"/>
        <v>0</v>
      </c>
      <c r="AC746" s="92"/>
      <c r="AD746" s="92">
        <v>0</v>
      </c>
      <c r="AE746" s="92">
        <f t="shared" si="70"/>
        <v>0</v>
      </c>
      <c r="AF746" s="93">
        <v>0</v>
      </c>
      <c r="AG746" s="89"/>
      <c r="AH746" s="94"/>
      <c r="AI746" s="95" t="s">
        <v>4346</v>
      </c>
      <c r="AJ746" s="96" t="s">
        <v>4347</v>
      </c>
      <c r="AK746" s="97"/>
      <c r="AL746" s="89" t="s">
        <v>1049</v>
      </c>
      <c r="AM746" s="100" t="s">
        <v>3717</v>
      </c>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114"/>
      <c r="CQ746" s="115"/>
      <c r="CR746" s="114"/>
      <c r="CS746" s="115"/>
      <c r="CT746" s="114"/>
      <c r="CU746" s="115"/>
      <c r="CV746" s="99">
        <f t="shared" si="71"/>
        <v>0</v>
      </c>
      <c r="CW746" s="114"/>
      <c r="CX746" s="115"/>
      <c r="CY746" s="114"/>
      <c r="CZ746" s="115"/>
      <c r="DA746" s="115"/>
      <c r="DB746" s="115"/>
      <c r="DC746" s="114"/>
      <c r="DD746" s="115"/>
      <c r="DE746" s="97"/>
      <c r="DF746" s="269"/>
    </row>
    <row r="747" spans="1:255" s="270" customFormat="1" ht="60" x14ac:dyDescent="0.2">
      <c r="A747" s="89">
        <v>40655</v>
      </c>
      <c r="B747" s="90" t="s">
        <v>2225</v>
      </c>
      <c r="C747" s="90" t="s">
        <v>4241</v>
      </c>
      <c r="D747" s="90" t="s">
        <v>2362</v>
      </c>
      <c r="E747" s="90" t="str">
        <f>VLOOKUP(B747&amp;C747,Divipola!$C$2:$F$1138,4,FALSE)</f>
        <v>27660</v>
      </c>
      <c r="F747" s="90"/>
      <c r="G747" s="101"/>
      <c r="H747" s="101"/>
      <c r="I747" s="101"/>
      <c r="J747" s="101"/>
      <c r="K747" s="101"/>
      <c r="L747" s="101"/>
      <c r="M747" s="101"/>
      <c r="N747" s="101">
        <v>1</v>
      </c>
      <c r="O747" s="101"/>
      <c r="P747" s="101"/>
      <c r="Q747" s="101"/>
      <c r="R747" s="101"/>
      <c r="S747" s="101"/>
      <c r="T747" s="101"/>
      <c r="U747" s="101"/>
      <c r="V747" s="101"/>
      <c r="W747" s="91"/>
      <c r="X747" s="89"/>
      <c r="Y747" s="92">
        <f t="shared" si="66"/>
        <v>0</v>
      </c>
      <c r="Z747" s="92">
        <f t="shared" si="67"/>
        <v>0</v>
      </c>
      <c r="AA747" s="92">
        <f t="shared" si="68"/>
        <v>0</v>
      </c>
      <c r="AB747" s="92">
        <f t="shared" si="69"/>
        <v>0</v>
      </c>
      <c r="AC747" s="92"/>
      <c r="AD747" s="92">
        <v>0</v>
      </c>
      <c r="AE747" s="92">
        <f t="shared" si="70"/>
        <v>0</v>
      </c>
      <c r="AF747" s="93">
        <v>0</v>
      </c>
      <c r="AG747" s="89"/>
      <c r="AH747" s="94"/>
      <c r="AI747" s="95" t="s">
        <v>4336</v>
      </c>
      <c r="AJ747" s="96" t="s">
        <v>4337</v>
      </c>
      <c r="AK747" s="97"/>
      <c r="AL747" s="89"/>
      <c r="AM747" s="100" t="s">
        <v>4403</v>
      </c>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114"/>
      <c r="CQ747" s="115"/>
      <c r="CR747" s="114"/>
      <c r="CS747" s="115"/>
      <c r="CT747" s="114"/>
      <c r="CU747" s="115"/>
      <c r="CV747" s="99">
        <f t="shared" si="71"/>
        <v>0</v>
      </c>
      <c r="CW747" s="114"/>
      <c r="CX747" s="115"/>
      <c r="CY747" s="114"/>
      <c r="CZ747" s="115"/>
      <c r="DA747" s="115"/>
      <c r="DB747" s="115"/>
      <c r="DC747" s="114"/>
      <c r="DD747" s="115"/>
      <c r="DE747" s="97"/>
      <c r="DF747" s="269"/>
    </row>
    <row r="748" spans="1:255" s="270" customFormat="1" x14ac:dyDescent="0.2">
      <c r="A748" s="89">
        <v>40655</v>
      </c>
      <c r="B748" s="90" t="s">
        <v>4344</v>
      </c>
      <c r="C748" s="90" t="s">
        <v>848</v>
      </c>
      <c r="D748" s="90" t="s">
        <v>2362</v>
      </c>
      <c r="E748" s="90" t="str">
        <f>VLOOKUP(B748&amp;C748,Divipola!$C$2:$F$1138,4,FALSE)</f>
        <v>25019</v>
      </c>
      <c r="F748" s="90"/>
      <c r="G748" s="101"/>
      <c r="H748" s="101"/>
      <c r="I748" s="101"/>
      <c r="J748" s="101">
        <v>50</v>
      </c>
      <c r="K748" s="101">
        <v>10</v>
      </c>
      <c r="L748" s="101"/>
      <c r="M748" s="101">
        <v>10</v>
      </c>
      <c r="N748" s="101"/>
      <c r="O748" s="101"/>
      <c r="P748" s="101"/>
      <c r="Q748" s="101"/>
      <c r="R748" s="101"/>
      <c r="S748" s="101"/>
      <c r="T748" s="101"/>
      <c r="U748" s="101"/>
      <c r="V748" s="101"/>
      <c r="W748" s="91"/>
      <c r="X748" s="89"/>
      <c r="Y748" s="92">
        <f t="shared" si="66"/>
        <v>0</v>
      </c>
      <c r="Z748" s="92">
        <f t="shared" si="67"/>
        <v>0</v>
      </c>
      <c r="AA748" s="92">
        <f t="shared" si="68"/>
        <v>0</v>
      </c>
      <c r="AB748" s="92">
        <f t="shared" si="69"/>
        <v>0</v>
      </c>
      <c r="AC748" s="92"/>
      <c r="AD748" s="92">
        <v>0</v>
      </c>
      <c r="AE748" s="92">
        <f t="shared" si="70"/>
        <v>0</v>
      </c>
      <c r="AF748" s="93">
        <v>0</v>
      </c>
      <c r="AG748" s="89"/>
      <c r="AH748" s="94"/>
      <c r="AI748" s="102" t="s">
        <v>4336</v>
      </c>
      <c r="AJ748" s="96" t="s">
        <v>4337</v>
      </c>
      <c r="AK748" s="97"/>
      <c r="AL748" s="89"/>
      <c r="AM748" s="100" t="s">
        <v>2715</v>
      </c>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114"/>
      <c r="CQ748" s="115"/>
      <c r="CR748" s="114"/>
      <c r="CS748" s="115"/>
      <c r="CT748" s="114"/>
      <c r="CU748" s="115"/>
      <c r="CV748" s="99">
        <f t="shared" si="71"/>
        <v>0</v>
      </c>
      <c r="CW748" s="114"/>
      <c r="CX748" s="115"/>
      <c r="CY748" s="114"/>
      <c r="CZ748" s="115"/>
      <c r="DA748" s="115"/>
      <c r="DB748" s="115"/>
      <c r="DC748" s="114"/>
      <c r="DD748" s="115"/>
      <c r="DE748" s="97"/>
      <c r="DF748" s="269"/>
    </row>
    <row r="749" spans="1:255" s="270" customFormat="1" ht="24" x14ac:dyDescent="0.2">
      <c r="A749" s="89">
        <v>40655</v>
      </c>
      <c r="B749" s="90" t="s">
        <v>4344</v>
      </c>
      <c r="C749" s="90" t="s">
        <v>2257</v>
      </c>
      <c r="D749" s="90" t="s">
        <v>4264</v>
      </c>
      <c r="E749" s="90" t="str">
        <f>VLOOKUP(B749&amp;C749,Divipola!$C$2:$F$1138,4,FALSE)</f>
        <v>25126</v>
      </c>
      <c r="F749" s="90"/>
      <c r="G749" s="101"/>
      <c r="H749" s="101"/>
      <c r="I749" s="101"/>
      <c r="J749" s="101">
        <v>195</v>
      </c>
      <c r="K749" s="101">
        <v>40</v>
      </c>
      <c r="L749" s="101"/>
      <c r="M749" s="101">
        <v>40</v>
      </c>
      <c r="N749" s="101"/>
      <c r="O749" s="101"/>
      <c r="P749" s="101"/>
      <c r="Q749" s="101"/>
      <c r="R749" s="101"/>
      <c r="S749" s="101"/>
      <c r="T749" s="101"/>
      <c r="U749" s="101"/>
      <c r="V749" s="101"/>
      <c r="W749" s="91"/>
      <c r="X749" s="89"/>
      <c r="Y749" s="92">
        <f t="shared" si="66"/>
        <v>0</v>
      </c>
      <c r="Z749" s="92">
        <f t="shared" si="67"/>
        <v>0</v>
      </c>
      <c r="AA749" s="92">
        <f t="shared" si="68"/>
        <v>0</v>
      </c>
      <c r="AB749" s="92">
        <f t="shared" si="69"/>
        <v>0</v>
      </c>
      <c r="AC749" s="92"/>
      <c r="AD749" s="92">
        <v>0</v>
      </c>
      <c r="AE749" s="92">
        <f t="shared" si="70"/>
        <v>0</v>
      </c>
      <c r="AF749" s="93">
        <v>0</v>
      </c>
      <c r="AG749" s="89"/>
      <c r="AH749" s="94"/>
      <c r="AI749" s="102" t="s">
        <v>4336</v>
      </c>
      <c r="AJ749" s="96" t="s">
        <v>4337</v>
      </c>
      <c r="AK749" s="97"/>
      <c r="AL749" s="89"/>
      <c r="AM749" s="100" t="s">
        <v>3580</v>
      </c>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114"/>
      <c r="CQ749" s="115"/>
      <c r="CR749" s="114"/>
      <c r="CS749" s="115"/>
      <c r="CT749" s="114"/>
      <c r="CU749" s="115"/>
      <c r="CV749" s="99">
        <f t="shared" si="71"/>
        <v>0</v>
      </c>
      <c r="CW749" s="114"/>
      <c r="CX749" s="115"/>
      <c r="CY749" s="114"/>
      <c r="CZ749" s="115"/>
      <c r="DA749" s="115"/>
      <c r="DB749" s="115"/>
      <c r="DC749" s="114"/>
      <c r="DD749" s="115"/>
      <c r="DE749" s="97"/>
      <c r="DF749" s="269"/>
    </row>
    <row r="750" spans="1:255" s="270" customFormat="1" ht="48" x14ac:dyDescent="0.2">
      <c r="A750" s="89">
        <v>40655</v>
      </c>
      <c r="B750" s="106" t="s">
        <v>4344</v>
      </c>
      <c r="C750" s="106" t="s">
        <v>4345</v>
      </c>
      <c r="D750" s="90" t="s">
        <v>4264</v>
      </c>
      <c r="E750" s="90">
        <f>VLOOKUP(B750&amp;C750,Divipola!$C$2:$F$1138,4,FALSE)</f>
        <v>25</v>
      </c>
      <c r="F750" s="90"/>
      <c r="G750" s="129"/>
      <c r="H750" s="129"/>
      <c r="I750" s="129"/>
      <c r="J750" s="129"/>
      <c r="K750" s="129"/>
      <c r="L750" s="129"/>
      <c r="M750" s="129"/>
      <c r="N750" s="129"/>
      <c r="O750" s="129"/>
      <c r="P750" s="129"/>
      <c r="Q750" s="129"/>
      <c r="R750" s="129"/>
      <c r="S750" s="129"/>
      <c r="T750" s="129"/>
      <c r="U750" s="129"/>
      <c r="V750" s="129"/>
      <c r="W750" s="107"/>
      <c r="X750" s="105"/>
      <c r="Y750" s="117">
        <f t="shared" si="66"/>
        <v>852196000</v>
      </c>
      <c r="Z750" s="117">
        <f t="shared" si="67"/>
        <v>340000000</v>
      </c>
      <c r="AA750" s="117">
        <f t="shared" si="68"/>
        <v>0</v>
      </c>
      <c r="AB750" s="117">
        <f t="shared" si="69"/>
        <v>9500000</v>
      </c>
      <c r="AC750" s="125">
        <f>2000*10600+2000*3944+2000*13500+2000*4060+3000*18328+150*88624+4*4848800+2*8400000+2*9280000+3*10440000+4*4408000+500*25520+400*6960</f>
        <v>251736800</v>
      </c>
      <c r="AD750" s="117">
        <v>0</v>
      </c>
      <c r="AE750" s="92">
        <f t="shared" si="70"/>
        <v>1453432800</v>
      </c>
      <c r="AF750" s="93">
        <v>0</v>
      </c>
      <c r="AG750" s="105"/>
      <c r="AH750" s="108"/>
      <c r="AI750" s="109" t="s">
        <v>4346</v>
      </c>
      <c r="AJ750" s="110" t="s">
        <v>4347</v>
      </c>
      <c r="AK750" s="111"/>
      <c r="AL750" s="105"/>
      <c r="AM750" s="126" t="s">
        <v>2895</v>
      </c>
      <c r="AN750" s="107"/>
      <c r="AO750" s="107"/>
      <c r="AP750" s="107"/>
      <c r="AQ750" s="107"/>
      <c r="AR750" s="107"/>
      <c r="AS750" s="107"/>
      <c r="AT750" s="107"/>
      <c r="AU750" s="107"/>
      <c r="AV750" s="91">
        <v>1000</v>
      </c>
      <c r="AW750" s="91">
        <f>1000*21000</f>
        <v>21000000</v>
      </c>
      <c r="AX750" s="101">
        <f>100+83</f>
        <v>183</v>
      </c>
      <c r="AY750" s="101">
        <f>80*450000+20*400000+83*5300000</f>
        <v>483900000</v>
      </c>
      <c r="AZ750" s="107">
        <v>3000</v>
      </c>
      <c r="BA750" s="107">
        <f>3000*56000</f>
        <v>168000000</v>
      </c>
      <c r="BB750" s="107"/>
      <c r="BC750" s="107"/>
      <c r="BD750" s="107">
        <v>3000</v>
      </c>
      <c r="BE750" s="107">
        <f>3000*26448</f>
        <v>79344000</v>
      </c>
      <c r="BF750" s="107"/>
      <c r="BG750" s="107"/>
      <c r="BH750" s="107"/>
      <c r="BI750" s="107"/>
      <c r="BJ750" s="107"/>
      <c r="BK750" s="107"/>
      <c r="BL750" s="107"/>
      <c r="BM750" s="107"/>
      <c r="BN750" s="107"/>
      <c r="BO750" s="107"/>
      <c r="BP750" s="107"/>
      <c r="BQ750" s="107"/>
      <c r="BR750" s="107"/>
      <c r="BS750" s="107"/>
      <c r="BT750" s="107"/>
      <c r="BU750" s="107"/>
      <c r="BV750" s="107"/>
      <c r="BW750" s="107"/>
      <c r="BX750" s="107"/>
      <c r="BY750" s="107"/>
      <c r="BZ750" s="107">
        <v>50</v>
      </c>
      <c r="CA750" s="107">
        <f>50*500000</f>
        <v>25000000</v>
      </c>
      <c r="CB750" s="107"/>
      <c r="CC750" s="107"/>
      <c r="CD750" s="107"/>
      <c r="CE750" s="107"/>
      <c r="CF750" s="107"/>
      <c r="CG750" s="107"/>
      <c r="CH750" s="107"/>
      <c r="CI750" s="107"/>
      <c r="CJ750" s="107">
        <v>1000</v>
      </c>
      <c r="CK750" s="107">
        <f>1000*20000</f>
        <v>20000000</v>
      </c>
      <c r="CL750" s="107"/>
      <c r="CM750" s="107"/>
      <c r="CN750" s="107"/>
      <c r="CO750" s="107"/>
      <c r="CP750" s="118">
        <v>1000</v>
      </c>
      <c r="CQ750" s="119">
        <f>1000*36952</f>
        <v>36952000</v>
      </c>
      <c r="CR750" s="118">
        <v>500</v>
      </c>
      <c r="CS750" s="119">
        <f>500*36000</f>
        <v>18000000</v>
      </c>
      <c r="CT750" s="118"/>
      <c r="CU750" s="119"/>
      <c r="CV750" s="99">
        <f t="shared" si="71"/>
        <v>852196000</v>
      </c>
      <c r="CW750" s="118">
        <v>10000</v>
      </c>
      <c r="CX750" s="119">
        <f>10000*950</f>
        <v>9500000</v>
      </c>
      <c r="CY750" s="118">
        <v>4000</v>
      </c>
      <c r="CZ750" s="119">
        <f>4000*85000</f>
        <v>340000000</v>
      </c>
      <c r="DA750" s="119"/>
      <c r="DB750" s="119"/>
      <c r="DC750" s="118"/>
      <c r="DD750" s="119"/>
      <c r="DE750" s="111"/>
      <c r="DF750" s="269"/>
    </row>
    <row r="751" spans="1:255" s="270" customFormat="1" ht="24" x14ac:dyDescent="0.2">
      <c r="A751" s="89">
        <v>40655</v>
      </c>
      <c r="B751" s="90" t="s">
        <v>4344</v>
      </c>
      <c r="C751" s="90" t="s">
        <v>4310</v>
      </c>
      <c r="D751" s="90" t="s">
        <v>4264</v>
      </c>
      <c r="E751" s="90" t="str">
        <f>VLOOKUP(B751&amp;C751,Divipola!$C$2:$F$1138,4,FALSE)</f>
        <v>25258</v>
      </c>
      <c r="F751" s="90"/>
      <c r="G751" s="101"/>
      <c r="H751" s="101"/>
      <c r="I751" s="101"/>
      <c r="J751" s="101">
        <v>66</v>
      </c>
      <c r="K751" s="101">
        <v>15</v>
      </c>
      <c r="L751" s="101"/>
      <c r="M751" s="101">
        <v>15</v>
      </c>
      <c r="N751" s="101"/>
      <c r="O751" s="101"/>
      <c r="P751" s="101"/>
      <c r="Q751" s="101"/>
      <c r="R751" s="101"/>
      <c r="S751" s="101"/>
      <c r="T751" s="101"/>
      <c r="U751" s="101"/>
      <c r="V751" s="101"/>
      <c r="W751" s="91"/>
      <c r="X751" s="89"/>
      <c r="Y751" s="92">
        <f t="shared" si="66"/>
        <v>0</v>
      </c>
      <c r="Z751" s="92">
        <f t="shared" si="67"/>
        <v>0</v>
      </c>
      <c r="AA751" s="92">
        <f t="shared" si="68"/>
        <v>0</v>
      </c>
      <c r="AB751" s="92">
        <f t="shared" si="69"/>
        <v>0</v>
      </c>
      <c r="AC751" s="92"/>
      <c r="AD751" s="92">
        <v>0</v>
      </c>
      <c r="AE751" s="92">
        <f t="shared" si="70"/>
        <v>0</v>
      </c>
      <c r="AF751" s="93">
        <v>0</v>
      </c>
      <c r="AG751" s="89"/>
      <c r="AH751" s="94"/>
      <c r="AI751" s="102" t="s">
        <v>4336</v>
      </c>
      <c r="AJ751" s="96" t="s">
        <v>4337</v>
      </c>
      <c r="AK751" s="97"/>
      <c r="AL751" s="89"/>
      <c r="AM751" s="100" t="s">
        <v>3578</v>
      </c>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114"/>
      <c r="CQ751" s="115"/>
      <c r="CR751" s="114"/>
      <c r="CS751" s="115"/>
      <c r="CT751" s="114"/>
      <c r="CU751" s="115"/>
      <c r="CV751" s="99">
        <f t="shared" si="71"/>
        <v>0</v>
      </c>
      <c r="CW751" s="114"/>
      <c r="CX751" s="115"/>
      <c r="CY751" s="114"/>
      <c r="CZ751" s="115"/>
      <c r="DA751" s="115"/>
      <c r="DB751" s="115"/>
      <c r="DC751" s="114"/>
      <c r="DD751" s="115"/>
      <c r="DE751" s="97"/>
      <c r="DF751" s="269"/>
    </row>
    <row r="752" spans="1:255" s="270" customFormat="1" ht="24" x14ac:dyDescent="0.2">
      <c r="A752" s="89">
        <v>40655</v>
      </c>
      <c r="B752" s="90" t="s">
        <v>4344</v>
      </c>
      <c r="C752" s="90" t="s">
        <v>2215</v>
      </c>
      <c r="D752" s="90" t="s">
        <v>4264</v>
      </c>
      <c r="E752" s="90" t="str">
        <f>VLOOKUP(B752&amp;C752,Divipola!$C$2:$F$1138,4,FALSE)</f>
        <v>25407</v>
      </c>
      <c r="F752" s="90"/>
      <c r="G752" s="101"/>
      <c r="H752" s="101"/>
      <c r="I752" s="101"/>
      <c r="J752" s="101">
        <v>54</v>
      </c>
      <c r="K752" s="101">
        <v>15</v>
      </c>
      <c r="L752" s="101"/>
      <c r="M752" s="101">
        <v>15</v>
      </c>
      <c r="N752" s="101"/>
      <c r="O752" s="101"/>
      <c r="P752" s="101"/>
      <c r="Q752" s="101"/>
      <c r="R752" s="101"/>
      <c r="S752" s="101"/>
      <c r="T752" s="101"/>
      <c r="U752" s="101"/>
      <c r="V752" s="101"/>
      <c r="W752" s="91"/>
      <c r="X752" s="89"/>
      <c r="Y752" s="92">
        <f t="shared" si="66"/>
        <v>0</v>
      </c>
      <c r="Z752" s="92">
        <f t="shared" si="67"/>
        <v>0</v>
      </c>
      <c r="AA752" s="92">
        <f t="shared" si="68"/>
        <v>0</v>
      </c>
      <c r="AB752" s="92">
        <f t="shared" si="69"/>
        <v>0</v>
      </c>
      <c r="AC752" s="92"/>
      <c r="AD752" s="92">
        <v>0</v>
      </c>
      <c r="AE752" s="92">
        <f t="shared" si="70"/>
        <v>0</v>
      </c>
      <c r="AF752" s="93">
        <v>0</v>
      </c>
      <c r="AG752" s="89"/>
      <c r="AH752" s="94"/>
      <c r="AI752" s="102" t="s">
        <v>4336</v>
      </c>
      <c r="AJ752" s="96" t="s">
        <v>4337</v>
      </c>
      <c r="AK752" s="97"/>
      <c r="AL752" s="89"/>
      <c r="AM752" s="100" t="s">
        <v>3579</v>
      </c>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114"/>
      <c r="CQ752" s="115"/>
      <c r="CR752" s="114"/>
      <c r="CS752" s="115"/>
      <c r="CT752" s="114"/>
      <c r="CU752" s="115"/>
      <c r="CV752" s="99">
        <f t="shared" si="71"/>
        <v>0</v>
      </c>
      <c r="CW752" s="114"/>
      <c r="CX752" s="115"/>
      <c r="CY752" s="114"/>
      <c r="CZ752" s="115"/>
      <c r="DA752" s="115"/>
      <c r="DB752" s="115"/>
      <c r="DC752" s="114"/>
      <c r="DD752" s="115"/>
      <c r="DE752" s="97"/>
      <c r="DF752" s="269"/>
    </row>
    <row r="753" spans="1:255" s="270" customFormat="1" ht="36" x14ac:dyDescent="0.2">
      <c r="A753" s="89">
        <v>40655</v>
      </c>
      <c r="B753" s="90" t="s">
        <v>4344</v>
      </c>
      <c r="C753" s="90" t="s">
        <v>3295</v>
      </c>
      <c r="D753" s="90" t="s">
        <v>4264</v>
      </c>
      <c r="E753" s="90" t="str">
        <f>VLOOKUP(B753&amp;C753,Divipola!$C$2:$F$1138,4,FALSE)</f>
        <v>25754</v>
      </c>
      <c r="F753" s="90"/>
      <c r="G753" s="101"/>
      <c r="H753" s="101"/>
      <c r="I753" s="101"/>
      <c r="J753" s="101">
        <v>245</v>
      </c>
      <c r="K753" s="101">
        <v>60</v>
      </c>
      <c r="L753" s="101"/>
      <c r="M753" s="101">
        <v>60</v>
      </c>
      <c r="N753" s="101"/>
      <c r="O753" s="101"/>
      <c r="P753" s="101"/>
      <c r="Q753" s="101"/>
      <c r="R753" s="101"/>
      <c r="S753" s="101"/>
      <c r="T753" s="101"/>
      <c r="U753" s="101"/>
      <c r="V753" s="101"/>
      <c r="W753" s="91"/>
      <c r="X753" s="89"/>
      <c r="Y753" s="92">
        <f t="shared" si="66"/>
        <v>0</v>
      </c>
      <c r="Z753" s="92">
        <f t="shared" si="67"/>
        <v>0</v>
      </c>
      <c r="AA753" s="92">
        <f t="shared" si="68"/>
        <v>0</v>
      </c>
      <c r="AB753" s="92">
        <f t="shared" si="69"/>
        <v>0</v>
      </c>
      <c r="AC753" s="92"/>
      <c r="AD753" s="92">
        <v>0</v>
      </c>
      <c r="AE753" s="92">
        <f t="shared" si="70"/>
        <v>0</v>
      </c>
      <c r="AF753" s="93">
        <v>0</v>
      </c>
      <c r="AG753" s="89"/>
      <c r="AH753" s="94"/>
      <c r="AI753" s="102" t="s">
        <v>4336</v>
      </c>
      <c r="AJ753" s="96" t="s">
        <v>4337</v>
      </c>
      <c r="AK753" s="97"/>
      <c r="AL753" s="89"/>
      <c r="AM753" s="100" t="s">
        <v>3577</v>
      </c>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114"/>
      <c r="CQ753" s="115"/>
      <c r="CR753" s="114"/>
      <c r="CS753" s="115"/>
      <c r="CT753" s="114"/>
      <c r="CU753" s="115"/>
      <c r="CV753" s="99">
        <f t="shared" si="71"/>
        <v>0</v>
      </c>
      <c r="CW753" s="114"/>
      <c r="CX753" s="115"/>
      <c r="CY753" s="114"/>
      <c r="CZ753" s="115"/>
      <c r="DA753" s="115"/>
      <c r="DB753" s="115"/>
      <c r="DC753" s="114"/>
      <c r="DD753" s="115"/>
      <c r="DE753" s="97"/>
      <c r="DF753" s="269"/>
    </row>
    <row r="754" spans="1:255" s="270" customFormat="1" ht="48" x14ac:dyDescent="0.2">
      <c r="A754" s="89">
        <v>40655</v>
      </c>
      <c r="B754" s="90" t="s">
        <v>4344</v>
      </c>
      <c r="C754" s="90" t="s">
        <v>3474</v>
      </c>
      <c r="D754" s="90" t="s">
        <v>2362</v>
      </c>
      <c r="E754" s="90" t="str">
        <f>VLOOKUP(B754&amp;C754,Divipola!$C$2:$F$1138,4,FALSE)</f>
        <v>25885</v>
      </c>
      <c r="F754" s="90"/>
      <c r="G754" s="101"/>
      <c r="H754" s="101">
        <v>4</v>
      </c>
      <c r="I754" s="101"/>
      <c r="J754" s="101">
        <v>42</v>
      </c>
      <c r="K754" s="101">
        <v>10</v>
      </c>
      <c r="L754" s="101">
        <v>4</v>
      </c>
      <c r="M754" s="101">
        <v>6</v>
      </c>
      <c r="N754" s="101"/>
      <c r="O754" s="101"/>
      <c r="P754" s="101"/>
      <c r="Q754" s="101"/>
      <c r="R754" s="101"/>
      <c r="S754" s="101"/>
      <c r="T754" s="101"/>
      <c r="U754" s="101"/>
      <c r="V754" s="101"/>
      <c r="W754" s="91"/>
      <c r="X754" s="89"/>
      <c r="Y754" s="92">
        <f t="shared" si="66"/>
        <v>0</v>
      </c>
      <c r="Z754" s="92">
        <f t="shared" si="67"/>
        <v>0</v>
      </c>
      <c r="AA754" s="92">
        <f t="shared" si="68"/>
        <v>0</v>
      </c>
      <c r="AB754" s="92">
        <f t="shared" si="69"/>
        <v>0</v>
      </c>
      <c r="AC754" s="92"/>
      <c r="AD754" s="92">
        <v>0</v>
      </c>
      <c r="AE754" s="92">
        <f t="shared" si="70"/>
        <v>0</v>
      </c>
      <c r="AF754" s="93">
        <v>0</v>
      </c>
      <c r="AG754" s="89"/>
      <c r="AH754" s="94"/>
      <c r="AI754" s="102" t="s">
        <v>4336</v>
      </c>
      <c r="AJ754" s="96" t="s">
        <v>4337</v>
      </c>
      <c r="AK754" s="97"/>
      <c r="AL754" s="89"/>
      <c r="AM754" s="100" t="s">
        <v>2391</v>
      </c>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114"/>
      <c r="CQ754" s="115"/>
      <c r="CR754" s="114"/>
      <c r="CS754" s="115"/>
      <c r="CT754" s="114"/>
      <c r="CU754" s="115"/>
      <c r="CV754" s="99">
        <f t="shared" si="71"/>
        <v>0</v>
      </c>
      <c r="CW754" s="114"/>
      <c r="CX754" s="115"/>
      <c r="CY754" s="114"/>
      <c r="CZ754" s="115"/>
      <c r="DA754" s="115"/>
      <c r="DB754" s="115"/>
      <c r="DC754" s="114"/>
      <c r="DD754" s="115"/>
      <c r="DE754" s="97"/>
      <c r="DF754" s="269"/>
    </row>
    <row r="755" spans="1:255" s="270" customFormat="1" ht="24" x14ac:dyDescent="0.2">
      <c r="A755" s="89">
        <v>40655</v>
      </c>
      <c r="B755" s="90" t="s">
        <v>4219</v>
      </c>
      <c r="C755" s="90" t="s">
        <v>3503</v>
      </c>
      <c r="D755" s="90" t="s">
        <v>2362</v>
      </c>
      <c r="E755" s="90" t="str">
        <f>VLOOKUP(B755&amp;C755,Divipola!$C$2:$F$1138,4,FALSE)</f>
        <v>41001</v>
      </c>
      <c r="F755" s="90"/>
      <c r="G755" s="101"/>
      <c r="H755" s="101">
        <v>5</v>
      </c>
      <c r="I755" s="101"/>
      <c r="J755" s="101">
        <v>5</v>
      </c>
      <c r="K755" s="101">
        <v>1</v>
      </c>
      <c r="L755" s="101">
        <v>1</v>
      </c>
      <c r="M755" s="101"/>
      <c r="N755" s="101"/>
      <c r="O755" s="101"/>
      <c r="P755" s="101"/>
      <c r="Q755" s="101"/>
      <c r="R755" s="101"/>
      <c r="S755" s="101"/>
      <c r="T755" s="101"/>
      <c r="U755" s="101"/>
      <c r="V755" s="101"/>
      <c r="W755" s="91"/>
      <c r="X755" s="89"/>
      <c r="Y755" s="92">
        <f t="shared" si="66"/>
        <v>0</v>
      </c>
      <c r="Z755" s="92">
        <f t="shared" si="67"/>
        <v>0</v>
      </c>
      <c r="AA755" s="92">
        <f t="shared" si="68"/>
        <v>0</v>
      </c>
      <c r="AB755" s="92">
        <f t="shared" si="69"/>
        <v>0</v>
      </c>
      <c r="AC755" s="92"/>
      <c r="AD755" s="92">
        <v>0</v>
      </c>
      <c r="AE755" s="92">
        <f t="shared" si="70"/>
        <v>0</v>
      </c>
      <c r="AF755" s="93">
        <v>0</v>
      </c>
      <c r="AG755" s="89"/>
      <c r="AH755" s="94"/>
      <c r="AI755" s="95" t="s">
        <v>4336</v>
      </c>
      <c r="AJ755" s="96" t="s">
        <v>4337</v>
      </c>
      <c r="AK755" s="97"/>
      <c r="AL755" s="89"/>
      <c r="AM755" s="100" t="s">
        <v>2714</v>
      </c>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114"/>
      <c r="CQ755" s="115"/>
      <c r="CR755" s="114"/>
      <c r="CS755" s="115"/>
      <c r="CT755" s="114"/>
      <c r="CU755" s="115"/>
      <c r="CV755" s="99">
        <f t="shared" si="71"/>
        <v>0</v>
      </c>
      <c r="CW755" s="114"/>
      <c r="CX755" s="115"/>
      <c r="CY755" s="114"/>
      <c r="CZ755" s="115"/>
      <c r="DA755" s="115"/>
      <c r="DB755" s="115"/>
      <c r="DC755" s="114"/>
      <c r="DD755" s="115"/>
      <c r="DE755" s="97"/>
      <c r="DF755" s="269"/>
    </row>
    <row r="756" spans="1:255" s="270" customFormat="1" ht="60" x14ac:dyDescent="0.2">
      <c r="A756" s="89">
        <v>40655</v>
      </c>
      <c r="B756" s="90" t="s">
        <v>860</v>
      </c>
      <c r="C756" s="90" t="s">
        <v>3389</v>
      </c>
      <c r="D756" s="90" t="s">
        <v>4264</v>
      </c>
      <c r="E756" s="90" t="str">
        <f>VLOOKUP(B756&amp;C756,Divipola!$C$2:$F$1138,4,FALSE)</f>
        <v>50711</v>
      </c>
      <c r="F756" s="90"/>
      <c r="G756" s="101"/>
      <c r="H756" s="101"/>
      <c r="I756" s="101"/>
      <c r="J756" s="101">
        <v>1055</v>
      </c>
      <c r="K756" s="101">
        <v>211</v>
      </c>
      <c r="L756" s="101"/>
      <c r="M756" s="101">
        <v>211</v>
      </c>
      <c r="N756" s="101"/>
      <c r="O756" s="101"/>
      <c r="P756" s="101"/>
      <c r="Q756" s="101"/>
      <c r="R756" s="101"/>
      <c r="S756" s="101"/>
      <c r="T756" s="101"/>
      <c r="U756" s="101"/>
      <c r="V756" s="101"/>
      <c r="W756" s="91"/>
      <c r="X756" s="89"/>
      <c r="Y756" s="92">
        <f t="shared" si="66"/>
        <v>0</v>
      </c>
      <c r="Z756" s="92">
        <f t="shared" si="67"/>
        <v>0</v>
      </c>
      <c r="AA756" s="92">
        <f t="shared" si="68"/>
        <v>0</v>
      </c>
      <c r="AB756" s="92">
        <f t="shared" si="69"/>
        <v>0</v>
      </c>
      <c r="AC756" s="92"/>
      <c r="AD756" s="92">
        <v>0</v>
      </c>
      <c r="AE756" s="92">
        <f t="shared" si="70"/>
        <v>0</v>
      </c>
      <c r="AF756" s="93">
        <v>0</v>
      </c>
      <c r="AG756" s="89"/>
      <c r="AH756" s="94"/>
      <c r="AI756" s="95" t="s">
        <v>4346</v>
      </c>
      <c r="AJ756" s="96" t="s">
        <v>4347</v>
      </c>
      <c r="AK756" s="97"/>
      <c r="AL756" s="105" t="s">
        <v>2823</v>
      </c>
      <c r="AM756" s="100" t="s">
        <v>2758</v>
      </c>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114"/>
      <c r="CQ756" s="115"/>
      <c r="CR756" s="114"/>
      <c r="CS756" s="115"/>
      <c r="CT756" s="114"/>
      <c r="CU756" s="115"/>
      <c r="CV756" s="99">
        <f t="shared" si="71"/>
        <v>0</v>
      </c>
      <c r="CW756" s="114"/>
      <c r="CX756" s="115"/>
      <c r="CY756" s="114"/>
      <c r="CZ756" s="115"/>
      <c r="DA756" s="115"/>
      <c r="DB756" s="115"/>
      <c r="DC756" s="114"/>
      <c r="DD756" s="115"/>
      <c r="DE756" s="97"/>
      <c r="DF756" s="269"/>
    </row>
    <row r="757" spans="1:255" s="270" customFormat="1" x14ac:dyDescent="0.2">
      <c r="A757" s="89">
        <v>40655</v>
      </c>
      <c r="B757" s="90" t="s">
        <v>4387</v>
      </c>
      <c r="C757" s="90" t="s">
        <v>3233</v>
      </c>
      <c r="D757" s="90" t="s">
        <v>2362</v>
      </c>
      <c r="E757" s="90" t="str">
        <f>VLOOKUP(B757&amp;C757,Divipola!$C$2:$F$1138,4,FALSE)</f>
        <v>52838</v>
      </c>
      <c r="F757" s="90"/>
      <c r="G757" s="101"/>
      <c r="H757" s="101">
        <v>7</v>
      </c>
      <c r="I757" s="101"/>
      <c r="J757" s="101">
        <v>7</v>
      </c>
      <c r="K757" s="101">
        <v>1</v>
      </c>
      <c r="L757" s="101">
        <v>1</v>
      </c>
      <c r="M757" s="101"/>
      <c r="N757" s="101"/>
      <c r="O757" s="101"/>
      <c r="P757" s="101"/>
      <c r="Q757" s="101"/>
      <c r="R757" s="101"/>
      <c r="S757" s="101"/>
      <c r="T757" s="101"/>
      <c r="U757" s="101"/>
      <c r="V757" s="101"/>
      <c r="W757" s="91"/>
      <c r="X757" s="89"/>
      <c r="Y757" s="92">
        <f t="shared" si="66"/>
        <v>0</v>
      </c>
      <c r="Z757" s="92">
        <f t="shared" si="67"/>
        <v>0</v>
      </c>
      <c r="AA757" s="92">
        <f t="shared" si="68"/>
        <v>0</v>
      </c>
      <c r="AB757" s="92">
        <f t="shared" si="69"/>
        <v>0</v>
      </c>
      <c r="AC757" s="92"/>
      <c r="AD757" s="92">
        <v>0</v>
      </c>
      <c r="AE757" s="92">
        <f t="shared" si="70"/>
        <v>0</v>
      </c>
      <c r="AF757" s="93">
        <v>0</v>
      </c>
      <c r="AG757" s="89"/>
      <c r="AH757" s="94"/>
      <c r="AI757" s="95" t="s">
        <v>4336</v>
      </c>
      <c r="AJ757" s="96" t="s">
        <v>4337</v>
      </c>
      <c r="AK757" s="97"/>
      <c r="AL757" s="89"/>
      <c r="AM757" s="100" t="s">
        <v>2350</v>
      </c>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114"/>
      <c r="CQ757" s="115"/>
      <c r="CR757" s="114"/>
      <c r="CS757" s="115"/>
      <c r="CT757" s="114"/>
      <c r="CU757" s="115"/>
      <c r="CV757" s="99">
        <f t="shared" si="71"/>
        <v>0</v>
      </c>
      <c r="CW757" s="114"/>
      <c r="CX757" s="115"/>
      <c r="CY757" s="114"/>
      <c r="CZ757" s="115"/>
      <c r="DA757" s="115"/>
      <c r="DB757" s="115"/>
      <c r="DC757" s="114"/>
      <c r="DD757" s="115"/>
      <c r="DE757" s="97"/>
      <c r="DF757" s="269"/>
    </row>
    <row r="758" spans="1:255" s="270" customFormat="1" ht="22.5" x14ac:dyDescent="0.2">
      <c r="A758" s="89">
        <v>40655</v>
      </c>
      <c r="B758" s="90" t="s">
        <v>4221</v>
      </c>
      <c r="C758" s="90" t="s">
        <v>4299</v>
      </c>
      <c r="D758" s="90" t="s">
        <v>4264</v>
      </c>
      <c r="E758" s="90" t="str">
        <f>VLOOKUP(B758&amp;C758,Divipola!$C$2:$F$1138,4,FALSE)</f>
        <v>54001</v>
      </c>
      <c r="F758" s="90"/>
      <c r="G758" s="101"/>
      <c r="H758" s="101"/>
      <c r="I758" s="101"/>
      <c r="J758" s="101">
        <v>935</v>
      </c>
      <c r="K758" s="101">
        <v>187</v>
      </c>
      <c r="L758" s="101"/>
      <c r="M758" s="101">
        <v>187</v>
      </c>
      <c r="N758" s="101"/>
      <c r="O758" s="101"/>
      <c r="P758" s="101"/>
      <c r="Q758" s="101"/>
      <c r="R758" s="101"/>
      <c r="S758" s="101"/>
      <c r="T758" s="101"/>
      <c r="U758" s="101"/>
      <c r="V758" s="101"/>
      <c r="W758" s="91"/>
      <c r="X758" s="89"/>
      <c r="Y758" s="92">
        <f t="shared" si="66"/>
        <v>0</v>
      </c>
      <c r="Z758" s="92">
        <f t="shared" si="67"/>
        <v>0</v>
      </c>
      <c r="AA758" s="92">
        <f t="shared" si="68"/>
        <v>0</v>
      </c>
      <c r="AB758" s="92">
        <f t="shared" si="69"/>
        <v>0</v>
      </c>
      <c r="AC758" s="92"/>
      <c r="AD758" s="92">
        <v>0</v>
      </c>
      <c r="AE758" s="92">
        <f t="shared" si="70"/>
        <v>0</v>
      </c>
      <c r="AF758" s="93">
        <v>0</v>
      </c>
      <c r="AG758" s="89"/>
      <c r="AH758" s="94"/>
      <c r="AI758" s="95" t="s">
        <v>4346</v>
      </c>
      <c r="AJ758" s="96" t="s">
        <v>4347</v>
      </c>
      <c r="AK758" s="97"/>
      <c r="AL758" s="89" t="s">
        <v>1049</v>
      </c>
      <c r="AM758" s="100" t="s">
        <v>3573</v>
      </c>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114"/>
      <c r="CQ758" s="115"/>
      <c r="CR758" s="114"/>
      <c r="CS758" s="115"/>
      <c r="CT758" s="114"/>
      <c r="CU758" s="115"/>
      <c r="CV758" s="99">
        <f t="shared" si="71"/>
        <v>0</v>
      </c>
      <c r="CW758" s="114"/>
      <c r="CX758" s="115"/>
      <c r="CY758" s="114"/>
      <c r="CZ758" s="115"/>
      <c r="DA758" s="115"/>
      <c r="DB758" s="115"/>
      <c r="DC758" s="114"/>
      <c r="DD758" s="115"/>
      <c r="DE758" s="97"/>
      <c r="DF758" s="269"/>
    </row>
    <row r="759" spans="1:255" s="270" customFormat="1" ht="168" x14ac:dyDescent="0.2">
      <c r="A759" s="89">
        <v>40655</v>
      </c>
      <c r="B759" s="90" t="s">
        <v>4221</v>
      </c>
      <c r="C759" s="90" t="s">
        <v>3357</v>
      </c>
      <c r="D759" s="90" t="s">
        <v>4264</v>
      </c>
      <c r="E759" s="90" t="str">
        <f>VLOOKUP(B759&amp;C759,Divipola!$C$2:$F$1138,4,FALSE)</f>
        <v>54518</v>
      </c>
      <c r="F759" s="90"/>
      <c r="G759" s="101"/>
      <c r="H759" s="101"/>
      <c r="I759" s="101"/>
      <c r="J759" s="101">
        <f>240*5</f>
        <v>1200</v>
      </c>
      <c r="K759" s="101">
        <v>240</v>
      </c>
      <c r="L759" s="101"/>
      <c r="M759" s="101">
        <v>240</v>
      </c>
      <c r="N759" s="101"/>
      <c r="O759" s="101"/>
      <c r="P759" s="101"/>
      <c r="Q759" s="101"/>
      <c r="R759" s="101"/>
      <c r="S759" s="101"/>
      <c r="T759" s="101"/>
      <c r="U759" s="101"/>
      <c r="V759" s="101"/>
      <c r="W759" s="91"/>
      <c r="X759" s="89"/>
      <c r="Y759" s="92">
        <f t="shared" si="66"/>
        <v>297169000</v>
      </c>
      <c r="Z759" s="92">
        <f t="shared" si="67"/>
        <v>22950000</v>
      </c>
      <c r="AA759" s="92">
        <f t="shared" si="68"/>
        <v>217075500</v>
      </c>
      <c r="AB759" s="92">
        <f t="shared" si="69"/>
        <v>0</v>
      </c>
      <c r="AC759" s="92">
        <f>50000*952+500*62400+6000*81+1000*53302+500*492369+750*3596+500*715+250*15600+100*200200+250*1247100+4*957000</f>
        <v>721350000</v>
      </c>
      <c r="AD759" s="92">
        <v>0</v>
      </c>
      <c r="AE759" s="92">
        <f t="shared" si="70"/>
        <v>1258544500</v>
      </c>
      <c r="AF759" s="93">
        <v>0</v>
      </c>
      <c r="AG759" s="89"/>
      <c r="AH759" s="94"/>
      <c r="AI759" s="95" t="s">
        <v>4346</v>
      </c>
      <c r="AJ759" s="96" t="s">
        <v>4347</v>
      </c>
      <c r="AK759" s="97"/>
      <c r="AL759" s="89" t="s">
        <v>1049</v>
      </c>
      <c r="AM759" s="100" t="s">
        <v>2795</v>
      </c>
      <c r="AN759" s="91"/>
      <c r="AO759" s="91"/>
      <c r="AP759" s="91"/>
      <c r="AQ759" s="91"/>
      <c r="AR759" s="91"/>
      <c r="AS759" s="91"/>
      <c r="AT759" s="91"/>
      <c r="AU759" s="91"/>
      <c r="AV759" s="91"/>
      <c r="AW759" s="91"/>
      <c r="AX759" s="91"/>
      <c r="AY759" s="91"/>
      <c r="AZ759" s="91">
        <v>270</v>
      </c>
      <c r="BA759" s="91">
        <f>270*56000</f>
        <v>15120000</v>
      </c>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v>500</v>
      </c>
      <c r="CA759" s="91">
        <f>500*500000</f>
        <v>250000000</v>
      </c>
      <c r="CB759" s="91"/>
      <c r="CC759" s="91"/>
      <c r="CD759" s="91"/>
      <c r="CE759" s="91"/>
      <c r="CF759" s="91"/>
      <c r="CG759" s="91"/>
      <c r="CH759" s="91"/>
      <c r="CI759" s="91"/>
      <c r="CJ759" s="91">
        <v>540</v>
      </c>
      <c r="CK759" s="91">
        <f>540*21000</f>
        <v>11340000</v>
      </c>
      <c r="CL759" s="91"/>
      <c r="CM759" s="91"/>
      <c r="CN759" s="91"/>
      <c r="CO759" s="91"/>
      <c r="CP759" s="114">
        <v>270</v>
      </c>
      <c r="CQ759" s="115">
        <f>270*37000</f>
        <v>9990000</v>
      </c>
      <c r="CR759" s="114">
        <v>270</v>
      </c>
      <c r="CS759" s="115">
        <f>270*39700</f>
        <v>10719000</v>
      </c>
      <c r="CT759" s="114"/>
      <c r="CU759" s="115"/>
      <c r="CV759" s="99">
        <f t="shared" si="71"/>
        <v>297169000</v>
      </c>
      <c r="CW759" s="114"/>
      <c r="CX759" s="115"/>
      <c r="CY759" s="114">
        <v>270</v>
      </c>
      <c r="CZ759" s="115">
        <f>270*85000</f>
        <v>22950000</v>
      </c>
      <c r="DA759" s="115">
        <v>5000</v>
      </c>
      <c r="DB759" s="115">
        <f>5000*24309</f>
        <v>121545000</v>
      </c>
      <c r="DC759" s="114">
        <f>1500+1500</f>
        <v>3000</v>
      </c>
      <c r="DD759" s="115">
        <f>1500*19488+1500*44199</f>
        <v>95530500</v>
      </c>
      <c r="DE759" s="97"/>
      <c r="DF759" s="269"/>
    </row>
    <row r="760" spans="1:255" s="42" customFormat="1" ht="120" x14ac:dyDescent="0.2">
      <c r="A760" s="89">
        <v>40655</v>
      </c>
      <c r="B760" s="90" t="s">
        <v>4221</v>
      </c>
      <c r="C760" s="90" t="s">
        <v>3442</v>
      </c>
      <c r="D760" s="90" t="s">
        <v>4264</v>
      </c>
      <c r="E760" s="90" t="str">
        <f>VLOOKUP(B760&amp;C760,Divipola!$C$2:$F$1138,4,FALSE)</f>
        <v>54553</v>
      </c>
      <c r="F760" s="90"/>
      <c r="G760" s="101"/>
      <c r="H760" s="101"/>
      <c r="I760" s="101"/>
      <c r="J760" s="101">
        <v>1960</v>
      </c>
      <c r="K760" s="101">
        <v>490</v>
      </c>
      <c r="L760" s="101"/>
      <c r="M760" s="101">
        <v>490</v>
      </c>
      <c r="N760" s="101"/>
      <c r="O760" s="101"/>
      <c r="P760" s="101"/>
      <c r="Q760" s="101"/>
      <c r="R760" s="101"/>
      <c r="S760" s="101"/>
      <c r="T760" s="101"/>
      <c r="U760" s="101"/>
      <c r="V760" s="101"/>
      <c r="W760" s="91"/>
      <c r="X760" s="89"/>
      <c r="Y760" s="92">
        <f t="shared" si="66"/>
        <v>81950000</v>
      </c>
      <c r="Z760" s="92">
        <f t="shared" si="67"/>
        <v>46750000</v>
      </c>
      <c r="AA760" s="92">
        <f t="shared" si="68"/>
        <v>300000000</v>
      </c>
      <c r="AB760" s="92">
        <f t="shared" si="69"/>
        <v>0</v>
      </c>
      <c r="AC760" s="5">
        <f>14801600+26400000+4036800+315520+621760+742400+1948800+1554400+149997280+20*70000</f>
        <v>201818560</v>
      </c>
      <c r="AD760" s="92">
        <v>0</v>
      </c>
      <c r="AE760" s="92">
        <f t="shared" si="70"/>
        <v>630518560</v>
      </c>
      <c r="AF760" s="93">
        <v>0</v>
      </c>
      <c r="AG760" s="89"/>
      <c r="AH760" s="94"/>
      <c r="AI760" s="102" t="s">
        <v>4346</v>
      </c>
      <c r="AJ760" s="96" t="s">
        <v>4347</v>
      </c>
      <c r="AK760" s="97"/>
      <c r="AL760" s="89"/>
      <c r="AM760" s="100" t="s">
        <v>4432</v>
      </c>
      <c r="AN760" s="91"/>
      <c r="AO760" s="91"/>
      <c r="AP760" s="91"/>
      <c r="AQ760" s="91"/>
      <c r="AR760" s="91"/>
      <c r="AS760" s="91"/>
      <c r="AT760" s="91"/>
      <c r="AU760" s="91"/>
      <c r="AV760" s="91"/>
      <c r="AW760" s="91"/>
      <c r="AX760" s="91"/>
      <c r="AY760" s="91"/>
      <c r="AZ760" s="91">
        <v>1100</v>
      </c>
      <c r="BA760" s="91">
        <f>1100*56000</f>
        <v>61600000</v>
      </c>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114">
        <v>550</v>
      </c>
      <c r="CQ760" s="115">
        <f>550*37000</f>
        <v>20350000</v>
      </c>
      <c r="CR760" s="114"/>
      <c r="CS760" s="115"/>
      <c r="CT760" s="114"/>
      <c r="CU760" s="115"/>
      <c r="CV760" s="99">
        <f t="shared" si="71"/>
        <v>81950000</v>
      </c>
      <c r="CW760" s="114"/>
      <c r="CX760" s="115"/>
      <c r="CY760" s="114">
        <v>550</v>
      </c>
      <c r="CZ760" s="115">
        <f>550*85000</f>
        <v>46750000</v>
      </c>
      <c r="DA760" s="115">
        <v>12000</v>
      </c>
      <c r="DB760" s="115">
        <f>12000*25000</f>
        <v>300000000</v>
      </c>
      <c r="DC760" s="114"/>
      <c r="DD760" s="115"/>
      <c r="DE760" s="97"/>
      <c r="DF760" s="269"/>
      <c r="DG760" s="270"/>
      <c r="DH760" s="270"/>
      <c r="DI760" s="270"/>
      <c r="DJ760" s="270"/>
      <c r="DK760" s="270"/>
      <c r="DL760" s="270"/>
      <c r="DM760" s="270"/>
      <c r="DN760" s="270"/>
      <c r="DO760" s="270"/>
      <c r="DP760" s="270"/>
      <c r="DQ760" s="270"/>
      <c r="DR760" s="270"/>
      <c r="DS760" s="270"/>
      <c r="DT760" s="270"/>
      <c r="DU760" s="270"/>
      <c r="DV760" s="270"/>
      <c r="DW760" s="270"/>
      <c r="DX760" s="270"/>
      <c r="DY760" s="270"/>
      <c r="DZ760" s="270"/>
      <c r="EA760" s="270"/>
      <c r="EB760" s="270"/>
      <c r="EC760" s="270"/>
      <c r="ED760" s="270"/>
      <c r="EE760" s="270"/>
      <c r="EF760" s="270"/>
      <c r="EG760" s="270"/>
      <c r="EH760" s="270"/>
      <c r="EI760" s="270"/>
      <c r="EJ760" s="270"/>
      <c r="EK760" s="270"/>
      <c r="EL760" s="270"/>
      <c r="EM760" s="270"/>
      <c r="EN760" s="270"/>
      <c r="EO760" s="270"/>
      <c r="EP760" s="270"/>
      <c r="EQ760" s="270"/>
      <c r="ER760" s="270"/>
      <c r="ES760" s="270"/>
      <c r="ET760" s="270"/>
      <c r="EU760" s="270"/>
      <c r="EV760" s="270"/>
      <c r="EW760" s="270"/>
      <c r="EX760" s="270"/>
      <c r="EY760" s="270"/>
      <c r="EZ760" s="270"/>
      <c r="FA760" s="270"/>
      <c r="FB760" s="270"/>
      <c r="FC760" s="270"/>
      <c r="FD760" s="270"/>
      <c r="FE760" s="270"/>
      <c r="FF760" s="270"/>
      <c r="FG760" s="270"/>
      <c r="FH760" s="270"/>
      <c r="FI760" s="270"/>
      <c r="FJ760" s="270"/>
      <c r="FK760" s="270"/>
      <c r="FL760" s="270"/>
      <c r="FM760" s="270"/>
      <c r="FN760" s="270"/>
      <c r="FO760" s="270"/>
      <c r="FP760" s="270"/>
      <c r="FQ760" s="270"/>
      <c r="FR760" s="270"/>
      <c r="FS760" s="270"/>
      <c r="FT760" s="270"/>
      <c r="FU760" s="270"/>
      <c r="FV760" s="270"/>
      <c r="FW760" s="270"/>
      <c r="FX760" s="270"/>
      <c r="FY760" s="270"/>
      <c r="FZ760" s="270"/>
      <c r="GA760" s="270"/>
      <c r="GB760" s="270"/>
      <c r="GC760" s="270"/>
      <c r="GD760" s="270"/>
      <c r="GE760" s="270"/>
      <c r="GF760" s="270"/>
      <c r="GG760" s="270"/>
      <c r="GH760" s="270"/>
      <c r="GI760" s="270"/>
      <c r="GJ760" s="270"/>
      <c r="GK760" s="270"/>
      <c r="GL760" s="270"/>
      <c r="GM760" s="270"/>
      <c r="GN760" s="270"/>
      <c r="GO760" s="270"/>
      <c r="GP760" s="270"/>
      <c r="GQ760" s="270"/>
      <c r="GR760" s="270"/>
      <c r="GS760" s="270"/>
      <c r="GT760" s="270"/>
      <c r="GU760" s="270"/>
      <c r="GV760" s="270"/>
      <c r="GW760" s="270"/>
      <c r="GX760" s="270"/>
      <c r="GY760" s="270"/>
      <c r="GZ760" s="270"/>
      <c r="HA760" s="270"/>
      <c r="HB760" s="270"/>
      <c r="HC760" s="270"/>
      <c r="HD760" s="270"/>
      <c r="HE760" s="270"/>
      <c r="HF760" s="270"/>
      <c r="HG760" s="270"/>
      <c r="HH760" s="270"/>
      <c r="HI760" s="270"/>
      <c r="HJ760" s="270"/>
      <c r="HK760" s="270"/>
      <c r="HL760" s="270"/>
      <c r="HM760" s="270"/>
      <c r="HN760" s="270"/>
      <c r="HO760" s="270"/>
      <c r="HP760" s="270"/>
      <c r="HQ760" s="270"/>
      <c r="HR760" s="270"/>
      <c r="HS760" s="270"/>
      <c r="HT760" s="270"/>
      <c r="HU760" s="270"/>
      <c r="HV760" s="270"/>
      <c r="HW760" s="270"/>
      <c r="HX760" s="270"/>
      <c r="HY760" s="270"/>
      <c r="HZ760" s="270"/>
      <c r="IA760" s="270"/>
      <c r="IB760" s="270"/>
      <c r="IC760" s="270"/>
      <c r="ID760" s="270"/>
      <c r="IE760" s="270"/>
      <c r="IF760" s="270"/>
      <c r="IG760" s="270"/>
      <c r="IH760" s="270"/>
      <c r="II760" s="270"/>
      <c r="IJ760" s="270"/>
      <c r="IK760" s="270"/>
      <c r="IL760" s="270"/>
      <c r="IM760" s="270"/>
      <c r="IN760" s="270"/>
      <c r="IO760" s="270"/>
      <c r="IP760" s="270"/>
      <c r="IQ760" s="270"/>
      <c r="IR760" s="270"/>
      <c r="IS760" s="270"/>
      <c r="IT760" s="270"/>
      <c r="IU760" s="270"/>
    </row>
    <row r="761" spans="1:255" s="270" customFormat="1" x14ac:dyDescent="0.2">
      <c r="A761" s="89">
        <v>40655</v>
      </c>
      <c r="B761" s="90" t="s">
        <v>4348</v>
      </c>
      <c r="C761" s="90" t="s">
        <v>3303</v>
      </c>
      <c r="D761" s="90" t="s">
        <v>2362</v>
      </c>
      <c r="E761" s="90" t="str">
        <f>VLOOKUP(B761&amp;C761,Divipola!$C$2:$F$1138,4,FALSE)</f>
        <v>66456</v>
      </c>
      <c r="F761" s="90"/>
      <c r="G761" s="101"/>
      <c r="H761" s="101"/>
      <c r="I761" s="101"/>
      <c r="J761" s="101">
        <v>100</v>
      </c>
      <c r="K761" s="101">
        <v>25</v>
      </c>
      <c r="L761" s="101">
        <v>1</v>
      </c>
      <c r="M761" s="101">
        <v>20</v>
      </c>
      <c r="N761" s="101"/>
      <c r="O761" s="101"/>
      <c r="P761" s="101"/>
      <c r="Q761" s="101"/>
      <c r="R761" s="101"/>
      <c r="S761" s="101"/>
      <c r="T761" s="101"/>
      <c r="U761" s="101"/>
      <c r="V761" s="101"/>
      <c r="W761" s="91"/>
      <c r="X761" s="89"/>
      <c r="Y761" s="92">
        <f t="shared" si="66"/>
        <v>0</v>
      </c>
      <c r="Z761" s="92">
        <f t="shared" si="67"/>
        <v>0</v>
      </c>
      <c r="AA761" s="92">
        <f t="shared" si="68"/>
        <v>0</v>
      </c>
      <c r="AB761" s="92">
        <f t="shared" si="69"/>
        <v>0</v>
      </c>
      <c r="AC761" s="92"/>
      <c r="AD761" s="92">
        <v>0</v>
      </c>
      <c r="AE761" s="92">
        <f t="shared" si="70"/>
        <v>0</v>
      </c>
      <c r="AF761" s="93">
        <v>0</v>
      </c>
      <c r="AG761" s="89"/>
      <c r="AH761" s="94"/>
      <c r="AI761" s="102" t="s">
        <v>4336</v>
      </c>
      <c r="AJ761" s="96" t="s">
        <v>4337</v>
      </c>
      <c r="AK761" s="97"/>
      <c r="AL761" s="89"/>
      <c r="AM761" s="100" t="s">
        <v>996</v>
      </c>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114"/>
      <c r="CQ761" s="115"/>
      <c r="CR761" s="114"/>
      <c r="CS761" s="115"/>
      <c r="CT761" s="114"/>
      <c r="CU761" s="115"/>
      <c r="CV761" s="99">
        <f t="shared" si="71"/>
        <v>0</v>
      </c>
      <c r="CW761" s="114"/>
      <c r="CX761" s="115"/>
      <c r="CY761" s="114"/>
      <c r="CZ761" s="115"/>
      <c r="DA761" s="115"/>
      <c r="DB761" s="115"/>
      <c r="DC761" s="114"/>
      <c r="DD761" s="115"/>
      <c r="DE761" s="97"/>
      <c r="DF761" s="46"/>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c r="EO761" s="42"/>
      <c r="EP761" s="42"/>
      <c r="EQ761" s="42"/>
      <c r="ER761" s="42"/>
      <c r="ES761" s="42"/>
      <c r="ET761" s="42"/>
      <c r="EU761" s="42"/>
      <c r="EV761" s="42"/>
      <c r="EW761" s="42"/>
      <c r="EX761" s="42"/>
      <c r="EY761" s="42"/>
      <c r="EZ761" s="42"/>
      <c r="FA761" s="42"/>
      <c r="FB761" s="42"/>
      <c r="FC761" s="42"/>
      <c r="FD761" s="42"/>
      <c r="FE761" s="42"/>
      <c r="FF761" s="42"/>
      <c r="FG761" s="42"/>
      <c r="FH761" s="42"/>
      <c r="FI761" s="42"/>
      <c r="FJ761" s="42"/>
      <c r="FK761" s="42"/>
      <c r="FL761" s="42"/>
      <c r="FM761" s="42"/>
      <c r="FN761" s="42"/>
      <c r="FO761" s="42"/>
      <c r="FP761" s="42"/>
      <c r="FQ761" s="42"/>
      <c r="FR761" s="42"/>
      <c r="FS761" s="42"/>
      <c r="FT761" s="42"/>
      <c r="FU761" s="42"/>
      <c r="FV761" s="42"/>
      <c r="FW761" s="42"/>
      <c r="FX761" s="42"/>
      <c r="FY761" s="42"/>
      <c r="FZ761" s="42"/>
      <c r="GA761" s="42"/>
      <c r="GB761" s="42"/>
      <c r="GC761" s="42"/>
      <c r="GD761" s="42"/>
      <c r="GE761" s="42"/>
      <c r="GF761" s="42"/>
      <c r="GG761" s="42"/>
      <c r="GH761" s="42"/>
      <c r="GI761" s="42"/>
      <c r="GJ761" s="42"/>
      <c r="GK761" s="42"/>
      <c r="GL761" s="42"/>
      <c r="GM761" s="42"/>
      <c r="GN761" s="42"/>
      <c r="GO761" s="42"/>
      <c r="GP761" s="42"/>
      <c r="GQ761" s="42"/>
      <c r="GR761" s="42"/>
      <c r="GS761" s="42"/>
      <c r="GT761" s="42"/>
      <c r="GU761" s="42"/>
      <c r="GV761" s="42"/>
      <c r="GW761" s="42"/>
      <c r="GX761" s="42"/>
      <c r="GY761" s="42"/>
      <c r="GZ761" s="42"/>
      <c r="HA761" s="42"/>
      <c r="HB761" s="42"/>
      <c r="HC761" s="42"/>
      <c r="HD761" s="42"/>
      <c r="HE761" s="42"/>
      <c r="HF761" s="42"/>
      <c r="HG761" s="42"/>
      <c r="HH761" s="42"/>
      <c r="HI761" s="42"/>
      <c r="HJ761" s="42"/>
      <c r="HK761" s="42"/>
      <c r="HL761" s="42"/>
      <c r="HM761" s="42"/>
      <c r="HN761" s="42"/>
      <c r="HO761" s="42"/>
      <c r="HP761" s="42"/>
      <c r="HQ761" s="42"/>
      <c r="HR761" s="42"/>
      <c r="HS761" s="42"/>
      <c r="HT761" s="42"/>
      <c r="HU761" s="42"/>
      <c r="HV761" s="42"/>
      <c r="HW761" s="42"/>
      <c r="HX761" s="42"/>
      <c r="HY761" s="42"/>
      <c r="HZ761" s="42"/>
      <c r="IA761" s="42"/>
      <c r="IB761" s="42"/>
      <c r="IC761" s="42"/>
      <c r="ID761" s="42"/>
      <c r="IE761" s="42"/>
      <c r="IF761" s="42"/>
      <c r="IG761" s="42"/>
      <c r="IH761" s="42"/>
      <c r="II761" s="42"/>
      <c r="IJ761" s="42"/>
      <c r="IK761" s="42"/>
      <c r="IL761" s="42"/>
      <c r="IM761" s="42"/>
      <c r="IN761" s="42"/>
      <c r="IO761" s="42"/>
      <c r="IP761" s="42"/>
      <c r="IQ761" s="42"/>
      <c r="IR761" s="42"/>
      <c r="IS761" s="42"/>
      <c r="IT761" s="42"/>
      <c r="IU761" s="42"/>
    </row>
    <row r="762" spans="1:255" s="270" customFormat="1" ht="48" x14ac:dyDescent="0.2">
      <c r="A762" s="89">
        <v>40655</v>
      </c>
      <c r="B762" s="106" t="s">
        <v>4348</v>
      </c>
      <c r="C762" s="106" t="s">
        <v>3303</v>
      </c>
      <c r="D762" s="90" t="s">
        <v>2362</v>
      </c>
      <c r="E762" s="90" t="str">
        <f>VLOOKUP(B762&amp;C762,Divipola!$C$2:$F$1138,4,FALSE)</f>
        <v>66456</v>
      </c>
      <c r="F762" s="90"/>
      <c r="G762" s="129"/>
      <c r="H762" s="129"/>
      <c r="I762" s="129"/>
      <c r="J762" s="129"/>
      <c r="K762" s="129"/>
      <c r="L762" s="129"/>
      <c r="M762" s="129"/>
      <c r="N762" s="129"/>
      <c r="O762" s="129"/>
      <c r="P762" s="129"/>
      <c r="Q762" s="129">
        <v>4</v>
      </c>
      <c r="R762" s="129"/>
      <c r="S762" s="129"/>
      <c r="T762" s="129"/>
      <c r="U762" s="129"/>
      <c r="V762" s="129"/>
      <c r="W762" s="107" t="s">
        <v>3337</v>
      </c>
      <c r="X762" s="105"/>
      <c r="Y762" s="92">
        <f t="shared" si="66"/>
        <v>0</v>
      </c>
      <c r="Z762" s="92">
        <f t="shared" si="67"/>
        <v>0</v>
      </c>
      <c r="AA762" s="92">
        <f t="shared" si="68"/>
        <v>0</v>
      </c>
      <c r="AB762" s="92">
        <f t="shared" si="69"/>
        <v>0</v>
      </c>
      <c r="AC762" s="92"/>
      <c r="AD762" s="92">
        <v>0</v>
      </c>
      <c r="AE762" s="92">
        <f t="shared" si="70"/>
        <v>0</v>
      </c>
      <c r="AF762" s="93">
        <v>0</v>
      </c>
      <c r="AG762" s="105"/>
      <c r="AH762" s="108"/>
      <c r="AI762" s="109" t="s">
        <v>4336</v>
      </c>
      <c r="AJ762" s="110" t="s">
        <v>4337</v>
      </c>
      <c r="AK762" s="111"/>
      <c r="AL762" s="105"/>
      <c r="AM762" s="112" t="s">
        <v>367</v>
      </c>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07"/>
      <c r="CN762" s="118"/>
      <c r="CO762" s="119"/>
      <c r="CP762" s="118"/>
      <c r="CQ762" s="119"/>
      <c r="CR762" s="118"/>
      <c r="CS762" s="119"/>
      <c r="CT762" s="113"/>
      <c r="CU762" s="118"/>
      <c r="CV762" s="99">
        <f t="shared" si="71"/>
        <v>0</v>
      </c>
      <c r="CW762" s="118"/>
      <c r="CX762" s="119"/>
      <c r="CY762" s="119"/>
      <c r="CZ762" s="119"/>
      <c r="DA762" s="118"/>
      <c r="DB762" s="119"/>
      <c r="DC762" s="111"/>
      <c r="DD762" s="119"/>
      <c r="DE762" s="111"/>
      <c r="DF762" s="269"/>
    </row>
    <row r="763" spans="1:255" s="270" customFormat="1" ht="24" x14ac:dyDescent="0.2">
      <c r="A763" s="89">
        <v>40655</v>
      </c>
      <c r="B763" s="106" t="s">
        <v>4348</v>
      </c>
      <c r="C763" s="106" t="s">
        <v>1957</v>
      </c>
      <c r="D763" s="90" t="s">
        <v>2362</v>
      </c>
      <c r="E763" s="90" t="str">
        <f>VLOOKUP(B763&amp;C763,Divipola!$C$2:$F$1138,4,FALSE)</f>
        <v>66572</v>
      </c>
      <c r="F763" s="90"/>
      <c r="G763" s="279"/>
      <c r="H763" s="279"/>
      <c r="I763" s="279"/>
      <c r="J763" s="129">
        <v>12</v>
      </c>
      <c r="K763" s="129">
        <v>3</v>
      </c>
      <c r="L763" s="129"/>
      <c r="M763" s="129">
        <v>3</v>
      </c>
      <c r="N763" s="129"/>
      <c r="O763" s="129"/>
      <c r="P763" s="129"/>
      <c r="Q763" s="129"/>
      <c r="R763" s="129"/>
      <c r="S763" s="129"/>
      <c r="T763" s="129"/>
      <c r="U763" s="129"/>
      <c r="V763" s="129"/>
      <c r="W763" s="107"/>
      <c r="X763" s="105"/>
      <c r="Y763" s="92">
        <f t="shared" si="66"/>
        <v>0</v>
      </c>
      <c r="Z763" s="92">
        <f t="shared" si="67"/>
        <v>0</v>
      </c>
      <c r="AA763" s="92">
        <f t="shared" si="68"/>
        <v>0</v>
      </c>
      <c r="AB763" s="92">
        <f t="shared" si="69"/>
        <v>0</v>
      </c>
      <c r="AC763" s="92"/>
      <c r="AD763" s="92">
        <v>0</v>
      </c>
      <c r="AE763" s="92">
        <f t="shared" si="70"/>
        <v>0</v>
      </c>
      <c r="AF763" s="93">
        <v>0</v>
      </c>
      <c r="AG763" s="105"/>
      <c r="AH763" s="108"/>
      <c r="AI763" s="109" t="s">
        <v>4336</v>
      </c>
      <c r="AJ763" s="110" t="s">
        <v>4337</v>
      </c>
      <c r="AK763" s="280"/>
      <c r="AL763" s="281"/>
      <c r="AM763" s="112" t="s">
        <v>2011</v>
      </c>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07"/>
      <c r="CN763" s="118"/>
      <c r="CO763" s="119"/>
      <c r="CP763" s="118"/>
      <c r="CQ763" s="119"/>
      <c r="CR763" s="118"/>
      <c r="CS763" s="119"/>
      <c r="CT763" s="113"/>
      <c r="CU763" s="118"/>
      <c r="CV763" s="99">
        <f t="shared" si="71"/>
        <v>0</v>
      </c>
      <c r="CW763" s="118"/>
      <c r="CX763" s="119"/>
      <c r="CY763" s="119"/>
      <c r="CZ763" s="119"/>
      <c r="DA763" s="118"/>
      <c r="DB763" s="119"/>
      <c r="DC763" s="111"/>
      <c r="DD763" s="119"/>
      <c r="DE763" s="111"/>
      <c r="DF763" s="269"/>
    </row>
    <row r="764" spans="1:255" s="42" customFormat="1" ht="24" x14ac:dyDescent="0.2">
      <c r="A764" s="89">
        <v>40655</v>
      </c>
      <c r="B764" s="90" t="s">
        <v>4348</v>
      </c>
      <c r="C764" s="90" t="s">
        <v>4320</v>
      </c>
      <c r="D764" s="90" t="s">
        <v>2362</v>
      </c>
      <c r="E764" s="90" t="str">
        <f>VLOOKUP(B764&amp;C764,Divipola!$C$2:$F$1138,4,FALSE)</f>
        <v>66687</v>
      </c>
      <c r="F764" s="90"/>
      <c r="G764" s="101"/>
      <c r="H764" s="101"/>
      <c r="I764" s="101"/>
      <c r="J764" s="101">
        <v>45</v>
      </c>
      <c r="K764" s="101">
        <v>9</v>
      </c>
      <c r="L764" s="101"/>
      <c r="M764" s="101">
        <v>9</v>
      </c>
      <c r="N764" s="101"/>
      <c r="O764" s="101"/>
      <c r="P764" s="101"/>
      <c r="Q764" s="101"/>
      <c r="R764" s="101"/>
      <c r="S764" s="101"/>
      <c r="T764" s="101"/>
      <c r="U764" s="101"/>
      <c r="V764" s="101"/>
      <c r="W764" s="91"/>
      <c r="X764" s="89"/>
      <c r="Y764" s="92">
        <f t="shared" si="66"/>
        <v>0</v>
      </c>
      <c r="Z764" s="92">
        <f t="shared" si="67"/>
        <v>0</v>
      </c>
      <c r="AA764" s="92">
        <f t="shared" si="68"/>
        <v>0</v>
      </c>
      <c r="AB764" s="92">
        <f t="shared" si="69"/>
        <v>0</v>
      </c>
      <c r="AC764" s="92"/>
      <c r="AD764" s="92">
        <v>0</v>
      </c>
      <c r="AE764" s="92">
        <f t="shared" si="70"/>
        <v>0</v>
      </c>
      <c r="AF764" s="93">
        <v>0</v>
      </c>
      <c r="AG764" s="89"/>
      <c r="AH764" s="94"/>
      <c r="AI764" s="95" t="s">
        <v>4336</v>
      </c>
      <c r="AJ764" s="96" t="s">
        <v>4337</v>
      </c>
      <c r="AK764" s="97"/>
      <c r="AL764" s="89"/>
      <c r="AM764" s="100" t="s">
        <v>995</v>
      </c>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114"/>
      <c r="CQ764" s="115"/>
      <c r="CR764" s="114"/>
      <c r="CS764" s="115"/>
      <c r="CT764" s="114"/>
      <c r="CU764" s="115"/>
      <c r="CV764" s="99">
        <f t="shared" si="71"/>
        <v>0</v>
      </c>
      <c r="CW764" s="114"/>
      <c r="CX764" s="115"/>
      <c r="CY764" s="114"/>
      <c r="CZ764" s="115"/>
      <c r="DA764" s="115"/>
      <c r="DB764" s="115"/>
      <c r="DC764" s="114"/>
      <c r="DD764" s="115"/>
      <c r="DE764" s="97"/>
      <c r="DF764" s="269"/>
      <c r="DG764" s="270"/>
      <c r="DH764" s="270"/>
      <c r="DI764" s="270"/>
      <c r="DJ764" s="270"/>
      <c r="DK764" s="270"/>
      <c r="DL764" s="270"/>
      <c r="DM764" s="270"/>
      <c r="DN764" s="270"/>
      <c r="DO764" s="270"/>
      <c r="DP764" s="270"/>
      <c r="DQ764" s="270"/>
      <c r="DR764" s="270"/>
      <c r="DS764" s="270"/>
      <c r="DT764" s="270"/>
      <c r="DU764" s="270"/>
      <c r="DV764" s="270"/>
      <c r="DW764" s="270"/>
      <c r="DX764" s="270"/>
      <c r="DY764" s="270"/>
      <c r="DZ764" s="270"/>
      <c r="EA764" s="270"/>
      <c r="EB764" s="270"/>
      <c r="EC764" s="270"/>
      <c r="ED764" s="270"/>
      <c r="EE764" s="270"/>
      <c r="EF764" s="270"/>
      <c r="EG764" s="270"/>
      <c r="EH764" s="270"/>
      <c r="EI764" s="270"/>
      <c r="EJ764" s="270"/>
      <c r="EK764" s="270"/>
      <c r="EL764" s="270"/>
      <c r="EM764" s="270"/>
      <c r="EN764" s="270"/>
      <c r="EO764" s="270"/>
      <c r="EP764" s="270"/>
      <c r="EQ764" s="270"/>
      <c r="ER764" s="270"/>
      <c r="ES764" s="270"/>
      <c r="ET764" s="270"/>
      <c r="EU764" s="270"/>
      <c r="EV764" s="270"/>
      <c r="EW764" s="270"/>
      <c r="EX764" s="270"/>
      <c r="EY764" s="270"/>
      <c r="EZ764" s="270"/>
      <c r="FA764" s="270"/>
      <c r="FB764" s="270"/>
      <c r="FC764" s="270"/>
      <c r="FD764" s="270"/>
      <c r="FE764" s="270"/>
      <c r="FF764" s="270"/>
      <c r="FG764" s="270"/>
      <c r="FH764" s="270"/>
      <c r="FI764" s="270"/>
      <c r="FJ764" s="270"/>
      <c r="FK764" s="270"/>
      <c r="FL764" s="270"/>
      <c r="FM764" s="270"/>
      <c r="FN764" s="270"/>
      <c r="FO764" s="270"/>
      <c r="FP764" s="270"/>
      <c r="FQ764" s="270"/>
      <c r="FR764" s="270"/>
      <c r="FS764" s="270"/>
      <c r="FT764" s="270"/>
      <c r="FU764" s="270"/>
      <c r="FV764" s="270"/>
      <c r="FW764" s="270"/>
      <c r="FX764" s="270"/>
      <c r="FY764" s="270"/>
      <c r="FZ764" s="270"/>
      <c r="GA764" s="270"/>
      <c r="GB764" s="270"/>
      <c r="GC764" s="270"/>
      <c r="GD764" s="270"/>
      <c r="GE764" s="270"/>
      <c r="GF764" s="270"/>
      <c r="GG764" s="270"/>
      <c r="GH764" s="270"/>
      <c r="GI764" s="270"/>
      <c r="GJ764" s="270"/>
      <c r="GK764" s="270"/>
      <c r="GL764" s="270"/>
      <c r="GM764" s="270"/>
      <c r="GN764" s="270"/>
      <c r="GO764" s="270"/>
      <c r="GP764" s="270"/>
      <c r="GQ764" s="270"/>
      <c r="GR764" s="270"/>
      <c r="GS764" s="270"/>
      <c r="GT764" s="270"/>
      <c r="GU764" s="270"/>
      <c r="GV764" s="270"/>
      <c r="GW764" s="270"/>
      <c r="GX764" s="270"/>
      <c r="GY764" s="270"/>
      <c r="GZ764" s="270"/>
      <c r="HA764" s="270"/>
      <c r="HB764" s="270"/>
      <c r="HC764" s="270"/>
      <c r="HD764" s="270"/>
      <c r="HE764" s="270"/>
      <c r="HF764" s="270"/>
      <c r="HG764" s="270"/>
      <c r="HH764" s="270"/>
      <c r="HI764" s="270"/>
      <c r="HJ764" s="270"/>
      <c r="HK764" s="270"/>
      <c r="HL764" s="270"/>
      <c r="HM764" s="270"/>
      <c r="HN764" s="270"/>
      <c r="HO764" s="270"/>
      <c r="HP764" s="270"/>
      <c r="HQ764" s="270"/>
      <c r="HR764" s="270"/>
      <c r="HS764" s="270"/>
      <c r="HT764" s="270"/>
      <c r="HU764" s="270"/>
      <c r="HV764" s="270"/>
      <c r="HW764" s="270"/>
      <c r="HX764" s="270"/>
      <c r="HY764" s="270"/>
      <c r="HZ764" s="270"/>
      <c r="IA764" s="270"/>
      <c r="IB764" s="270"/>
      <c r="IC764" s="270"/>
      <c r="ID764" s="270"/>
      <c r="IE764" s="270"/>
      <c r="IF764" s="270"/>
      <c r="IG764" s="270"/>
      <c r="IH764" s="270"/>
      <c r="II764" s="270"/>
      <c r="IJ764" s="270"/>
      <c r="IK764" s="270"/>
      <c r="IL764" s="270"/>
      <c r="IM764" s="270"/>
      <c r="IN764" s="270"/>
      <c r="IO764" s="270"/>
      <c r="IP764" s="270"/>
      <c r="IQ764" s="270"/>
      <c r="IR764" s="270"/>
      <c r="IS764" s="270"/>
      <c r="IT764" s="270"/>
      <c r="IU764" s="270"/>
    </row>
    <row r="765" spans="1:255" s="270" customFormat="1" ht="22.5" x14ac:dyDescent="0.2">
      <c r="A765" s="89">
        <v>40655</v>
      </c>
      <c r="B765" s="90" t="s">
        <v>4244</v>
      </c>
      <c r="C765" s="90" t="s">
        <v>2768</v>
      </c>
      <c r="D765" s="90" t="s">
        <v>2362</v>
      </c>
      <c r="E765" s="90" t="str">
        <f>VLOOKUP(B765&amp;C765,Divipola!$C$2:$F$1138,4,FALSE)</f>
        <v>76001</v>
      </c>
      <c r="F765" s="90"/>
      <c r="G765" s="101"/>
      <c r="H765" s="101"/>
      <c r="I765" s="101"/>
      <c r="J765" s="101">
        <v>20</v>
      </c>
      <c r="K765" s="101">
        <v>4</v>
      </c>
      <c r="L765" s="101"/>
      <c r="M765" s="101">
        <v>4</v>
      </c>
      <c r="N765" s="101"/>
      <c r="O765" s="101"/>
      <c r="P765" s="101"/>
      <c r="Q765" s="101"/>
      <c r="R765" s="101"/>
      <c r="S765" s="101"/>
      <c r="T765" s="101"/>
      <c r="U765" s="101"/>
      <c r="V765" s="101"/>
      <c r="W765" s="91"/>
      <c r="X765" s="89"/>
      <c r="Y765" s="92">
        <f t="shared" si="66"/>
        <v>0</v>
      </c>
      <c r="Z765" s="92">
        <f t="shared" si="67"/>
        <v>0</v>
      </c>
      <c r="AA765" s="92">
        <f t="shared" si="68"/>
        <v>0</v>
      </c>
      <c r="AB765" s="92">
        <f t="shared" si="69"/>
        <v>0</v>
      </c>
      <c r="AC765" s="92"/>
      <c r="AD765" s="92">
        <v>0</v>
      </c>
      <c r="AE765" s="92">
        <f t="shared" si="70"/>
        <v>0</v>
      </c>
      <c r="AF765" s="93">
        <v>0</v>
      </c>
      <c r="AG765" s="89"/>
      <c r="AH765" s="94"/>
      <c r="AI765" s="95" t="s">
        <v>4336</v>
      </c>
      <c r="AJ765" s="96" t="s">
        <v>4337</v>
      </c>
      <c r="AK765" s="97"/>
      <c r="AL765" s="89"/>
      <c r="AM765" s="100" t="s">
        <v>998</v>
      </c>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114"/>
      <c r="CQ765" s="115"/>
      <c r="CR765" s="114"/>
      <c r="CS765" s="115"/>
      <c r="CT765" s="114"/>
      <c r="CU765" s="115"/>
      <c r="CV765" s="99">
        <f t="shared" si="71"/>
        <v>0</v>
      </c>
      <c r="CW765" s="114"/>
      <c r="CX765" s="115"/>
      <c r="CY765" s="114"/>
      <c r="CZ765" s="115"/>
      <c r="DA765" s="115"/>
      <c r="DB765" s="115"/>
      <c r="DC765" s="114"/>
      <c r="DD765" s="115"/>
      <c r="DE765" s="97"/>
      <c r="DF765" s="46"/>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c r="EO765" s="42"/>
      <c r="EP765" s="42"/>
      <c r="EQ765" s="42"/>
      <c r="ER765" s="42"/>
      <c r="ES765" s="42"/>
      <c r="ET765" s="42"/>
      <c r="EU765" s="42"/>
      <c r="EV765" s="42"/>
      <c r="EW765" s="42"/>
      <c r="EX765" s="42"/>
      <c r="EY765" s="42"/>
      <c r="EZ765" s="42"/>
      <c r="FA765" s="42"/>
      <c r="FB765" s="42"/>
      <c r="FC765" s="42"/>
      <c r="FD765" s="42"/>
      <c r="FE765" s="42"/>
      <c r="FF765" s="42"/>
      <c r="FG765" s="42"/>
      <c r="FH765" s="42"/>
      <c r="FI765" s="42"/>
      <c r="FJ765" s="42"/>
      <c r="FK765" s="42"/>
      <c r="FL765" s="42"/>
      <c r="FM765" s="42"/>
      <c r="FN765" s="42"/>
      <c r="FO765" s="42"/>
      <c r="FP765" s="42"/>
      <c r="FQ765" s="42"/>
      <c r="FR765" s="42"/>
      <c r="FS765" s="42"/>
      <c r="FT765" s="42"/>
      <c r="FU765" s="42"/>
      <c r="FV765" s="42"/>
      <c r="FW765" s="42"/>
      <c r="FX765" s="42"/>
      <c r="FY765" s="42"/>
      <c r="FZ765" s="42"/>
      <c r="GA765" s="42"/>
      <c r="GB765" s="42"/>
      <c r="GC765" s="42"/>
      <c r="GD765" s="42"/>
      <c r="GE765" s="42"/>
      <c r="GF765" s="42"/>
      <c r="GG765" s="42"/>
      <c r="GH765" s="42"/>
      <c r="GI765" s="42"/>
      <c r="GJ765" s="42"/>
      <c r="GK765" s="42"/>
      <c r="GL765" s="42"/>
      <c r="GM765" s="42"/>
      <c r="GN765" s="42"/>
      <c r="GO765" s="42"/>
      <c r="GP765" s="42"/>
      <c r="GQ765" s="42"/>
      <c r="GR765" s="42"/>
      <c r="GS765" s="42"/>
      <c r="GT765" s="42"/>
      <c r="GU765" s="42"/>
      <c r="GV765" s="42"/>
      <c r="GW765" s="42"/>
      <c r="GX765" s="42"/>
      <c r="GY765" s="42"/>
      <c r="GZ765" s="42"/>
      <c r="HA765" s="42"/>
      <c r="HB765" s="42"/>
      <c r="HC765" s="42"/>
      <c r="HD765" s="42"/>
      <c r="HE765" s="42"/>
      <c r="HF765" s="42"/>
      <c r="HG765" s="42"/>
      <c r="HH765" s="42"/>
      <c r="HI765" s="42"/>
      <c r="HJ765" s="42"/>
      <c r="HK765" s="42"/>
      <c r="HL765" s="42"/>
      <c r="HM765" s="42"/>
      <c r="HN765" s="42"/>
      <c r="HO765" s="42"/>
      <c r="HP765" s="42"/>
      <c r="HQ765" s="42"/>
      <c r="HR765" s="42"/>
      <c r="HS765" s="42"/>
      <c r="HT765" s="42"/>
      <c r="HU765" s="42"/>
      <c r="HV765" s="42"/>
      <c r="HW765" s="42"/>
      <c r="HX765" s="42"/>
      <c r="HY765" s="42"/>
      <c r="HZ765" s="42"/>
      <c r="IA765" s="42"/>
      <c r="IB765" s="42"/>
      <c r="IC765" s="42"/>
      <c r="ID765" s="42"/>
      <c r="IE765" s="42"/>
      <c r="IF765" s="42"/>
      <c r="IG765" s="42"/>
      <c r="IH765" s="42"/>
      <c r="II765" s="42"/>
      <c r="IJ765" s="42"/>
      <c r="IK765" s="42"/>
      <c r="IL765" s="42"/>
      <c r="IM765" s="42"/>
      <c r="IN765" s="42"/>
      <c r="IO765" s="42"/>
      <c r="IP765" s="42"/>
      <c r="IQ765" s="42"/>
      <c r="IR765" s="42"/>
      <c r="IS765" s="42"/>
      <c r="IT765" s="42"/>
      <c r="IU765" s="42"/>
    </row>
    <row r="766" spans="1:255" s="270" customFormat="1" ht="132" x14ac:dyDescent="0.2">
      <c r="A766" s="89">
        <v>40655</v>
      </c>
      <c r="B766" s="90" t="s">
        <v>4244</v>
      </c>
      <c r="C766" s="90" t="s">
        <v>2768</v>
      </c>
      <c r="D766" s="90" t="s">
        <v>4264</v>
      </c>
      <c r="E766" s="90" t="str">
        <f>VLOOKUP(B766&amp;C766,Divipola!$C$2:$F$1138,4,FALSE)</f>
        <v>76001</v>
      </c>
      <c r="F766" s="90"/>
      <c r="G766" s="101"/>
      <c r="H766" s="101">
        <v>4</v>
      </c>
      <c r="I766" s="101"/>
      <c r="J766" s="101">
        <v>11000</v>
      </c>
      <c r="K766" s="101">
        <v>2500</v>
      </c>
      <c r="L766" s="101">
        <v>27</v>
      </c>
      <c r="M766" s="101">
        <v>2473</v>
      </c>
      <c r="N766" s="101"/>
      <c r="O766" s="101"/>
      <c r="P766" s="101"/>
      <c r="Q766" s="101"/>
      <c r="R766" s="101"/>
      <c r="S766" s="101"/>
      <c r="T766" s="101"/>
      <c r="U766" s="101"/>
      <c r="V766" s="101"/>
      <c r="W766" s="91"/>
      <c r="X766" s="89"/>
      <c r="Y766" s="92">
        <f t="shared" si="66"/>
        <v>0</v>
      </c>
      <c r="Z766" s="92">
        <f t="shared" si="67"/>
        <v>0</v>
      </c>
      <c r="AA766" s="92">
        <f t="shared" si="68"/>
        <v>0</v>
      </c>
      <c r="AB766" s="92">
        <f t="shared" si="69"/>
        <v>0</v>
      </c>
      <c r="AC766" s="92"/>
      <c r="AD766" s="92">
        <v>0</v>
      </c>
      <c r="AE766" s="92">
        <f t="shared" si="70"/>
        <v>0</v>
      </c>
      <c r="AF766" s="93">
        <v>0</v>
      </c>
      <c r="AG766" s="89"/>
      <c r="AH766" s="94"/>
      <c r="AI766" s="95" t="s">
        <v>4336</v>
      </c>
      <c r="AJ766" s="96" t="s">
        <v>4337</v>
      </c>
      <c r="AK766" s="97"/>
      <c r="AL766" s="89"/>
      <c r="AM766" s="100" t="s">
        <v>4404</v>
      </c>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114"/>
      <c r="CQ766" s="115"/>
      <c r="CR766" s="114"/>
      <c r="CS766" s="115"/>
      <c r="CT766" s="114"/>
      <c r="CU766" s="115"/>
      <c r="CV766" s="99">
        <f t="shared" si="71"/>
        <v>0</v>
      </c>
      <c r="CW766" s="114"/>
      <c r="CX766" s="115"/>
      <c r="CY766" s="114"/>
      <c r="CZ766" s="115"/>
      <c r="DA766" s="115"/>
      <c r="DB766" s="115"/>
      <c r="DC766" s="114"/>
      <c r="DD766" s="115"/>
      <c r="DE766" s="97"/>
      <c r="DF766" s="269"/>
    </row>
    <row r="767" spans="1:255" s="270" customFormat="1" ht="24" x14ac:dyDescent="0.2">
      <c r="A767" s="89">
        <v>40656</v>
      </c>
      <c r="B767" s="90" t="s">
        <v>2218</v>
      </c>
      <c r="C767" s="90" t="s">
        <v>3363</v>
      </c>
      <c r="D767" s="90" t="s">
        <v>2362</v>
      </c>
      <c r="E767" s="90" t="str">
        <f>VLOOKUP(B767&amp;C767,Divipola!$C$2:$F$1138,4,FALSE)</f>
        <v>05284</v>
      </c>
      <c r="F767" s="90"/>
      <c r="G767" s="101"/>
      <c r="H767" s="101"/>
      <c r="I767" s="101"/>
      <c r="J767" s="101">
        <v>500</v>
      </c>
      <c r="K767" s="101">
        <v>100</v>
      </c>
      <c r="L767" s="101"/>
      <c r="M767" s="101">
        <v>100</v>
      </c>
      <c r="N767" s="101">
        <v>1</v>
      </c>
      <c r="O767" s="101"/>
      <c r="P767" s="101"/>
      <c r="Q767" s="101"/>
      <c r="R767" s="101"/>
      <c r="S767" s="101"/>
      <c r="T767" s="101"/>
      <c r="U767" s="101"/>
      <c r="V767" s="101"/>
      <c r="W767" s="91"/>
      <c r="X767" s="89"/>
      <c r="Y767" s="92">
        <f t="shared" si="66"/>
        <v>0</v>
      </c>
      <c r="Z767" s="92">
        <f t="shared" si="67"/>
        <v>0</v>
      </c>
      <c r="AA767" s="92">
        <f t="shared" si="68"/>
        <v>0</v>
      </c>
      <c r="AB767" s="92">
        <f t="shared" si="69"/>
        <v>0</v>
      </c>
      <c r="AC767" s="92"/>
      <c r="AD767" s="92">
        <v>0</v>
      </c>
      <c r="AE767" s="92">
        <f t="shared" si="70"/>
        <v>0</v>
      </c>
      <c r="AF767" s="93">
        <v>0</v>
      </c>
      <c r="AG767" s="89"/>
      <c r="AH767" s="94"/>
      <c r="AI767" s="102" t="s">
        <v>4336</v>
      </c>
      <c r="AJ767" s="96" t="s">
        <v>4337</v>
      </c>
      <c r="AK767" s="97"/>
      <c r="AL767" s="89"/>
      <c r="AM767" s="100" t="s">
        <v>4528</v>
      </c>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114"/>
      <c r="CQ767" s="115"/>
      <c r="CR767" s="114"/>
      <c r="CS767" s="115"/>
      <c r="CT767" s="114"/>
      <c r="CU767" s="115"/>
      <c r="CV767" s="99">
        <f t="shared" si="71"/>
        <v>0</v>
      </c>
      <c r="CW767" s="114"/>
      <c r="CX767" s="115"/>
      <c r="CY767" s="114"/>
      <c r="CZ767" s="115"/>
      <c r="DA767" s="115"/>
      <c r="DB767" s="115"/>
      <c r="DC767" s="114"/>
      <c r="DD767" s="115"/>
      <c r="DE767" s="97"/>
      <c r="DF767" s="269"/>
    </row>
    <row r="768" spans="1:255" s="270" customFormat="1" ht="24" x14ac:dyDescent="0.2">
      <c r="A768" s="89">
        <v>40656</v>
      </c>
      <c r="B768" s="90" t="s">
        <v>2218</v>
      </c>
      <c r="C768" s="90" t="s">
        <v>3343</v>
      </c>
      <c r="D768" s="90" t="s">
        <v>2362</v>
      </c>
      <c r="E768" s="90" t="str">
        <f>VLOOKUP(B768&amp;C768,Divipola!$C$2:$F$1138,4,FALSE)</f>
        <v>05318</v>
      </c>
      <c r="F768" s="90"/>
      <c r="G768" s="101"/>
      <c r="H768" s="101"/>
      <c r="I768" s="101"/>
      <c r="J768" s="101">
        <v>52</v>
      </c>
      <c r="K768" s="101">
        <v>13</v>
      </c>
      <c r="L768" s="101"/>
      <c r="M768" s="101">
        <v>13</v>
      </c>
      <c r="N768" s="101"/>
      <c r="O768" s="101"/>
      <c r="P768" s="101"/>
      <c r="Q768" s="101"/>
      <c r="R768" s="101"/>
      <c r="S768" s="101"/>
      <c r="T768" s="101"/>
      <c r="U768" s="101"/>
      <c r="V768" s="101"/>
      <c r="W768" s="91"/>
      <c r="X768" s="89"/>
      <c r="Y768" s="92">
        <f t="shared" si="66"/>
        <v>0</v>
      </c>
      <c r="Z768" s="92">
        <f t="shared" si="67"/>
        <v>0</v>
      </c>
      <c r="AA768" s="92">
        <f t="shared" si="68"/>
        <v>0</v>
      </c>
      <c r="AB768" s="92">
        <f t="shared" si="69"/>
        <v>0</v>
      </c>
      <c r="AC768" s="92"/>
      <c r="AD768" s="92">
        <v>0</v>
      </c>
      <c r="AE768" s="92">
        <f t="shared" si="70"/>
        <v>0</v>
      </c>
      <c r="AF768" s="93">
        <v>0</v>
      </c>
      <c r="AG768" s="89"/>
      <c r="AH768" s="94"/>
      <c r="AI768" s="102" t="s">
        <v>4336</v>
      </c>
      <c r="AJ768" s="96" t="s">
        <v>4337</v>
      </c>
      <c r="AK768" s="97"/>
      <c r="AL768" s="89"/>
      <c r="AM768" s="100" t="s">
        <v>4405</v>
      </c>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114"/>
      <c r="CQ768" s="115"/>
      <c r="CR768" s="114"/>
      <c r="CS768" s="115"/>
      <c r="CT768" s="114"/>
      <c r="CU768" s="115"/>
      <c r="CV768" s="99">
        <f t="shared" si="71"/>
        <v>0</v>
      </c>
      <c r="CW768" s="114"/>
      <c r="CX768" s="115"/>
      <c r="CY768" s="114"/>
      <c r="CZ768" s="115"/>
      <c r="DA768" s="115"/>
      <c r="DB768" s="115"/>
      <c r="DC768" s="114"/>
      <c r="DD768" s="115"/>
      <c r="DE768" s="97"/>
      <c r="DF768" s="269"/>
    </row>
    <row r="769" spans="1:255" s="270" customFormat="1" ht="22.5" x14ac:dyDescent="0.2">
      <c r="A769" s="89">
        <v>40656</v>
      </c>
      <c r="B769" s="90" t="s">
        <v>4261</v>
      </c>
      <c r="C769" s="90" t="s">
        <v>2862</v>
      </c>
      <c r="D769" s="90" t="s">
        <v>2362</v>
      </c>
      <c r="E769" s="90" t="str">
        <f>VLOOKUP(B769&amp;C769,Divipola!$C$2:$F$1138,4,FALSE)</f>
        <v>15224</v>
      </c>
      <c r="F769" s="90"/>
      <c r="G769" s="101">
        <v>1</v>
      </c>
      <c r="H769" s="101"/>
      <c r="I769" s="101"/>
      <c r="J769" s="101">
        <v>225</v>
      </c>
      <c r="K769" s="101">
        <v>45</v>
      </c>
      <c r="L769" s="101"/>
      <c r="M769" s="101">
        <v>12</v>
      </c>
      <c r="N769" s="101">
        <v>4</v>
      </c>
      <c r="O769" s="101"/>
      <c r="P769" s="101"/>
      <c r="Q769" s="101"/>
      <c r="R769" s="101"/>
      <c r="S769" s="101"/>
      <c r="T769" s="101"/>
      <c r="U769" s="101"/>
      <c r="V769" s="101"/>
      <c r="W769" s="91"/>
      <c r="X769" s="89"/>
      <c r="Y769" s="92">
        <f t="shared" si="66"/>
        <v>0</v>
      </c>
      <c r="Z769" s="92">
        <f t="shared" si="67"/>
        <v>0</v>
      </c>
      <c r="AA769" s="92">
        <f t="shared" si="68"/>
        <v>0</v>
      </c>
      <c r="AB769" s="92">
        <f t="shared" si="69"/>
        <v>0</v>
      </c>
      <c r="AC769" s="92"/>
      <c r="AD769" s="92">
        <v>0</v>
      </c>
      <c r="AE769" s="92">
        <f t="shared" si="70"/>
        <v>0</v>
      </c>
      <c r="AF769" s="93">
        <v>0</v>
      </c>
      <c r="AG769" s="89"/>
      <c r="AH769" s="94"/>
      <c r="AI769" s="102" t="s">
        <v>4346</v>
      </c>
      <c r="AJ769" s="96" t="s">
        <v>4347</v>
      </c>
      <c r="AK769" s="97"/>
      <c r="AL769" s="89" t="s">
        <v>1049</v>
      </c>
      <c r="AM769" s="100" t="s">
        <v>3565</v>
      </c>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114"/>
      <c r="CQ769" s="115"/>
      <c r="CR769" s="114"/>
      <c r="CS769" s="115"/>
      <c r="CT769" s="114"/>
      <c r="CU769" s="115"/>
      <c r="CV769" s="99">
        <f t="shared" si="71"/>
        <v>0</v>
      </c>
      <c r="CW769" s="114"/>
      <c r="CX769" s="115"/>
      <c r="CY769" s="114"/>
      <c r="CZ769" s="115"/>
      <c r="DA769" s="115"/>
      <c r="DB769" s="115"/>
      <c r="DC769" s="114"/>
      <c r="DD769" s="115"/>
      <c r="DE769" s="97"/>
      <c r="DF769" s="269"/>
    </row>
    <row r="770" spans="1:255" s="270" customFormat="1" ht="24" x14ac:dyDescent="0.2">
      <c r="A770" s="89">
        <v>40656</v>
      </c>
      <c r="B770" s="106" t="s">
        <v>4261</v>
      </c>
      <c r="C770" s="106" t="s">
        <v>2670</v>
      </c>
      <c r="D770" s="90" t="s">
        <v>2362</v>
      </c>
      <c r="E770" s="90" t="str">
        <f>VLOOKUP(B770&amp;C770,Divipola!$C$2:$F$1138,4,FALSE)</f>
        <v>15296</v>
      </c>
      <c r="F770" s="4"/>
      <c r="G770" s="274"/>
      <c r="H770" s="274"/>
      <c r="I770" s="274"/>
      <c r="J770" s="129">
        <v>1100</v>
      </c>
      <c r="K770" s="129">
        <v>220</v>
      </c>
      <c r="L770" s="129">
        <v>24</v>
      </c>
      <c r="M770" s="129">
        <v>186</v>
      </c>
      <c r="N770" s="129"/>
      <c r="O770" s="208"/>
      <c r="P770" s="208"/>
      <c r="Q770" s="208"/>
      <c r="R770" s="208"/>
      <c r="S770" s="208"/>
      <c r="T770" s="208"/>
      <c r="U770" s="208"/>
      <c r="V770" s="208"/>
      <c r="W770" s="19"/>
      <c r="X770" s="17"/>
      <c r="Y770" s="5">
        <f t="shared" si="66"/>
        <v>0</v>
      </c>
      <c r="Z770" s="5">
        <f t="shared" si="67"/>
        <v>0</v>
      </c>
      <c r="AA770" s="5">
        <f t="shared" si="68"/>
        <v>0</v>
      </c>
      <c r="AB770" s="5">
        <f t="shared" si="69"/>
        <v>0</v>
      </c>
      <c r="AC770" s="5"/>
      <c r="AD770" s="5">
        <v>0</v>
      </c>
      <c r="AE770" s="5">
        <f t="shared" si="70"/>
        <v>0</v>
      </c>
      <c r="AF770" s="70">
        <v>0</v>
      </c>
      <c r="AG770" s="17"/>
      <c r="AH770" s="18"/>
      <c r="AI770" s="47" t="s">
        <v>4346</v>
      </c>
      <c r="AJ770" s="73" t="s">
        <v>4347</v>
      </c>
      <c r="AK770" s="275"/>
      <c r="AL770" s="89" t="s">
        <v>2798</v>
      </c>
      <c r="AM770" s="112" t="s">
        <v>1083</v>
      </c>
      <c r="AN770" s="19"/>
      <c r="AO770" s="19"/>
      <c r="AP770" s="19"/>
      <c r="AQ770" s="19"/>
      <c r="AR770" s="19"/>
      <c r="AS770" s="19"/>
      <c r="AT770" s="19"/>
      <c r="AU770" s="19"/>
      <c r="AV770" s="19"/>
      <c r="AW770" s="19"/>
      <c r="AX770" s="107"/>
      <c r="AY770" s="107"/>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39"/>
      <c r="CO770" s="138"/>
      <c r="CP770" s="139"/>
      <c r="CQ770" s="138"/>
      <c r="CR770" s="139"/>
      <c r="CS770" s="138"/>
      <c r="CT770" s="72"/>
      <c r="CU770" s="139"/>
      <c r="CV770" s="99">
        <f t="shared" si="71"/>
        <v>0</v>
      </c>
      <c r="CW770" s="139"/>
      <c r="CX770" s="138"/>
      <c r="CY770" s="138"/>
      <c r="CZ770" s="138"/>
      <c r="DA770" s="139"/>
      <c r="DB770" s="138"/>
      <c r="DC770" s="45"/>
      <c r="DD770" s="138"/>
      <c r="DE770" s="45"/>
      <c r="DF770" s="46"/>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M770" s="42"/>
      <c r="EN770" s="42"/>
      <c r="EO770" s="42"/>
      <c r="EP770" s="42"/>
      <c r="EQ770" s="42"/>
      <c r="ER770" s="42"/>
      <c r="ES770" s="42"/>
      <c r="ET770" s="42"/>
      <c r="EU770" s="42"/>
      <c r="EV770" s="42"/>
      <c r="EW770" s="42"/>
      <c r="EX770" s="42"/>
      <c r="EY770" s="42"/>
      <c r="EZ770" s="42"/>
      <c r="FA770" s="42"/>
      <c r="FB770" s="42"/>
      <c r="FC770" s="42"/>
      <c r="FD770" s="42"/>
      <c r="FE770" s="42"/>
      <c r="FF770" s="42"/>
      <c r="FG770" s="42"/>
      <c r="FH770" s="42"/>
      <c r="FI770" s="42"/>
      <c r="FJ770" s="42"/>
      <c r="FK770" s="42"/>
      <c r="FL770" s="42"/>
      <c r="FM770" s="42"/>
      <c r="FN770" s="42"/>
      <c r="FO770" s="42"/>
      <c r="FP770" s="42"/>
      <c r="FQ770" s="42"/>
      <c r="FR770" s="42"/>
      <c r="FS770" s="42"/>
      <c r="FT770" s="42"/>
      <c r="FU770" s="42"/>
      <c r="FV770" s="42"/>
      <c r="FW770" s="42"/>
      <c r="FX770" s="42"/>
      <c r="FY770" s="42"/>
      <c r="FZ770" s="42"/>
      <c r="GA770" s="42"/>
      <c r="GB770" s="42"/>
      <c r="GC770" s="42"/>
      <c r="GD770" s="42"/>
      <c r="GE770" s="42"/>
      <c r="GF770" s="42"/>
      <c r="GG770" s="42"/>
      <c r="GH770" s="42"/>
      <c r="GI770" s="42"/>
      <c r="GJ770" s="42"/>
      <c r="GK770" s="42"/>
      <c r="GL770" s="42"/>
      <c r="GM770" s="42"/>
      <c r="GN770" s="42"/>
      <c r="GO770" s="42"/>
      <c r="GP770" s="42"/>
      <c r="GQ770" s="42"/>
      <c r="GR770" s="42"/>
      <c r="GS770" s="42"/>
      <c r="GT770" s="42"/>
      <c r="GU770" s="42"/>
      <c r="GV770" s="42"/>
      <c r="GW770" s="42"/>
      <c r="GX770" s="42"/>
      <c r="GY770" s="42"/>
      <c r="GZ770" s="42"/>
      <c r="HA770" s="42"/>
      <c r="HB770" s="42"/>
      <c r="HC770" s="42"/>
      <c r="HD770" s="42"/>
      <c r="HE770" s="42"/>
      <c r="HF770" s="42"/>
      <c r="HG770" s="42"/>
      <c r="HH770" s="42"/>
      <c r="HI770" s="42"/>
      <c r="HJ770" s="42"/>
      <c r="HK770" s="42"/>
      <c r="HL770" s="42"/>
      <c r="HM770" s="42"/>
      <c r="HN770" s="42"/>
      <c r="HO770" s="42"/>
      <c r="HP770" s="42"/>
      <c r="HQ770" s="42"/>
      <c r="HR770" s="42"/>
      <c r="HS770" s="42"/>
      <c r="HT770" s="42"/>
      <c r="HU770" s="42"/>
      <c r="HV770" s="42"/>
      <c r="HW770" s="42"/>
      <c r="HX770" s="42"/>
      <c r="HY770" s="42"/>
      <c r="HZ770" s="42"/>
      <c r="IA770" s="42"/>
      <c r="IB770" s="42"/>
      <c r="IC770" s="42"/>
      <c r="ID770" s="42"/>
      <c r="IE770" s="42"/>
      <c r="IF770" s="42"/>
      <c r="IG770" s="42"/>
      <c r="IH770" s="42"/>
      <c r="II770" s="42"/>
      <c r="IJ770" s="42"/>
      <c r="IK770" s="42"/>
      <c r="IL770" s="42"/>
      <c r="IM770" s="42"/>
      <c r="IN770" s="42"/>
      <c r="IO770" s="42"/>
      <c r="IP770" s="42"/>
      <c r="IQ770" s="42"/>
      <c r="IR770" s="42"/>
      <c r="IS770" s="42"/>
      <c r="IT770" s="42"/>
      <c r="IU770" s="42"/>
    </row>
    <row r="771" spans="1:255" s="270" customFormat="1" x14ac:dyDescent="0.2">
      <c r="A771" s="89">
        <v>40656</v>
      </c>
      <c r="B771" s="90" t="s">
        <v>4261</v>
      </c>
      <c r="C771" s="90" t="s">
        <v>1174</v>
      </c>
      <c r="D771" s="90" t="s">
        <v>2362</v>
      </c>
      <c r="E771" s="90" t="str">
        <f>VLOOKUP(B771&amp;C771,Divipola!$C$2:$F$1138,4,FALSE)</f>
        <v>15317</v>
      </c>
      <c r="F771" s="4"/>
      <c r="G771" s="274"/>
      <c r="H771" s="274"/>
      <c r="I771" s="274"/>
      <c r="J771" s="129">
        <v>115</v>
      </c>
      <c r="K771" s="129">
        <v>23</v>
      </c>
      <c r="L771" s="129">
        <v>15</v>
      </c>
      <c r="M771" s="129">
        <v>8</v>
      </c>
      <c r="N771" s="129"/>
      <c r="O771" s="208"/>
      <c r="P771" s="208"/>
      <c r="Q771" s="208"/>
      <c r="R771" s="208"/>
      <c r="S771" s="208"/>
      <c r="T771" s="208"/>
      <c r="U771" s="208"/>
      <c r="V771" s="208"/>
      <c r="W771" s="19"/>
      <c r="X771" s="17"/>
      <c r="Y771" s="5">
        <f t="shared" ref="Y771:Y834" si="72">CV771</f>
        <v>0</v>
      </c>
      <c r="Z771" s="5">
        <f t="shared" ref="Z771:Z834" si="73">CZ771</f>
        <v>0</v>
      </c>
      <c r="AA771" s="5">
        <f t="shared" ref="AA771:AA834" si="74">DB771+DD771</f>
        <v>0</v>
      </c>
      <c r="AB771" s="5">
        <f t="shared" ref="AB771:AB834" si="75">CX771</f>
        <v>0</v>
      </c>
      <c r="AC771" s="5"/>
      <c r="AD771" s="5">
        <v>0</v>
      </c>
      <c r="AE771" s="5">
        <f t="shared" ref="AE771:AE834" si="76">Y771+Z771+AA771+AB771+AC771+AD771</f>
        <v>0</v>
      </c>
      <c r="AF771" s="70">
        <v>0</v>
      </c>
      <c r="AG771" s="17"/>
      <c r="AH771" s="18"/>
      <c r="AI771" s="47" t="s">
        <v>4346</v>
      </c>
      <c r="AJ771" s="73" t="s">
        <v>4347</v>
      </c>
      <c r="AK771" s="275"/>
      <c r="AL771" s="89" t="s">
        <v>2798</v>
      </c>
      <c r="AM771" s="100" t="s">
        <v>2380</v>
      </c>
      <c r="AN771" s="19"/>
      <c r="AO771" s="19"/>
      <c r="AP771" s="19"/>
      <c r="AQ771" s="19"/>
      <c r="AR771" s="19"/>
      <c r="AS771" s="19"/>
      <c r="AT771" s="19"/>
      <c r="AU771" s="19"/>
      <c r="AV771" s="19"/>
      <c r="AW771" s="19"/>
      <c r="AX771" s="107"/>
      <c r="AY771" s="107"/>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39"/>
      <c r="CO771" s="138"/>
      <c r="CP771" s="139"/>
      <c r="CQ771" s="138"/>
      <c r="CR771" s="139"/>
      <c r="CS771" s="138"/>
      <c r="CT771" s="72"/>
      <c r="CU771" s="139"/>
      <c r="CV771" s="99">
        <f t="shared" ref="CV771:CV834" si="77">AO771+AQ771+AS771+AU771+AW771+AY771+BA771+BC771+BE771+BG771+BI771+BK771+BM771+BO771+BQ771+BS771+BU771+BW771+BY771+CA771+CC771+CE771+CG771+CI771+CK771+CM771+CO771+CQ771+CS771+CU771</f>
        <v>0</v>
      </c>
      <c r="CW771" s="139"/>
      <c r="CX771" s="138"/>
      <c r="CY771" s="138"/>
      <c r="CZ771" s="138"/>
      <c r="DA771" s="139"/>
      <c r="DB771" s="138"/>
      <c r="DC771" s="45"/>
      <c r="DD771" s="138"/>
      <c r="DE771" s="45"/>
      <c r="DF771" s="269"/>
    </row>
    <row r="772" spans="1:255" s="270" customFormat="1" ht="24" x14ac:dyDescent="0.2">
      <c r="A772" s="89">
        <v>40656</v>
      </c>
      <c r="B772" s="90" t="s">
        <v>4261</v>
      </c>
      <c r="C772" s="90" t="s">
        <v>2256</v>
      </c>
      <c r="D772" s="90" t="s">
        <v>4264</v>
      </c>
      <c r="E772" s="90" t="str">
        <f>VLOOKUP(B772&amp;C772,Divipola!$C$2:$F$1138,4,FALSE)</f>
        <v>15759</v>
      </c>
      <c r="F772" s="4"/>
      <c r="G772" s="274"/>
      <c r="H772" s="274"/>
      <c r="I772" s="274"/>
      <c r="J772" s="101">
        <v>1000</v>
      </c>
      <c r="K772" s="101">
        <v>200</v>
      </c>
      <c r="L772" s="101"/>
      <c r="M772" s="101"/>
      <c r="N772" s="101"/>
      <c r="O772" s="208"/>
      <c r="P772" s="208"/>
      <c r="Q772" s="208"/>
      <c r="R772" s="208"/>
      <c r="S772" s="208"/>
      <c r="T772" s="208"/>
      <c r="U772" s="208"/>
      <c r="V772" s="208"/>
      <c r="W772" s="19"/>
      <c r="X772" s="17"/>
      <c r="Y772" s="5">
        <f t="shared" si="72"/>
        <v>0</v>
      </c>
      <c r="Z772" s="5">
        <f t="shared" si="73"/>
        <v>0</v>
      </c>
      <c r="AA772" s="5">
        <f t="shared" si="74"/>
        <v>0</v>
      </c>
      <c r="AB772" s="5">
        <f t="shared" si="75"/>
        <v>0</v>
      </c>
      <c r="AC772" s="5"/>
      <c r="AD772" s="5">
        <v>0</v>
      </c>
      <c r="AE772" s="5">
        <f t="shared" si="76"/>
        <v>0</v>
      </c>
      <c r="AF772" s="70">
        <v>0</v>
      </c>
      <c r="AG772" s="17"/>
      <c r="AH772" s="18"/>
      <c r="AI772" s="47" t="s">
        <v>4346</v>
      </c>
      <c r="AJ772" s="73" t="s">
        <v>4347</v>
      </c>
      <c r="AK772" s="275"/>
      <c r="AL772" s="89" t="s">
        <v>2798</v>
      </c>
      <c r="AM772" s="112" t="s">
        <v>2402</v>
      </c>
      <c r="AN772" s="19"/>
      <c r="AO772" s="19"/>
      <c r="AP772" s="19"/>
      <c r="AQ772" s="19"/>
      <c r="AR772" s="19"/>
      <c r="AS772" s="19"/>
      <c r="AT772" s="19"/>
      <c r="AU772" s="19"/>
      <c r="AV772" s="19"/>
      <c r="AW772" s="19"/>
      <c r="AX772" s="107"/>
      <c r="AY772" s="107"/>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39"/>
      <c r="CO772" s="138"/>
      <c r="CP772" s="139"/>
      <c r="CQ772" s="138"/>
      <c r="CR772" s="139"/>
      <c r="CS772" s="138"/>
      <c r="CT772" s="72"/>
      <c r="CU772" s="139"/>
      <c r="CV772" s="99">
        <f t="shared" si="77"/>
        <v>0</v>
      </c>
      <c r="CW772" s="139"/>
      <c r="CX772" s="138"/>
      <c r="CY772" s="138"/>
      <c r="CZ772" s="138"/>
      <c r="DA772" s="139"/>
      <c r="DB772" s="138"/>
      <c r="DC772" s="45"/>
      <c r="DD772" s="138"/>
      <c r="DE772" s="45"/>
      <c r="DF772" s="269"/>
    </row>
    <row r="773" spans="1:255" s="270" customFormat="1" x14ac:dyDescent="0.2">
      <c r="A773" s="89">
        <v>40656</v>
      </c>
      <c r="B773" s="90" t="s">
        <v>3533</v>
      </c>
      <c r="C773" s="90" t="s">
        <v>3331</v>
      </c>
      <c r="D773" s="90" t="s">
        <v>2362</v>
      </c>
      <c r="E773" s="90" t="str">
        <f>VLOOKUP(B773&amp;C773,Divipola!$C$2:$F$1138,4,FALSE)</f>
        <v>17050</v>
      </c>
      <c r="F773" s="90"/>
      <c r="G773" s="101"/>
      <c r="H773" s="101"/>
      <c r="I773" s="101"/>
      <c r="J773" s="101">
        <v>10</v>
      </c>
      <c r="K773" s="101">
        <v>2</v>
      </c>
      <c r="L773" s="101"/>
      <c r="M773" s="101">
        <v>2</v>
      </c>
      <c r="N773" s="101"/>
      <c r="O773" s="101"/>
      <c r="P773" s="101"/>
      <c r="Q773" s="101">
        <v>1</v>
      </c>
      <c r="R773" s="101"/>
      <c r="S773" s="101"/>
      <c r="T773" s="101"/>
      <c r="U773" s="101"/>
      <c r="V773" s="101"/>
      <c r="W773" s="91"/>
      <c r="X773" s="89"/>
      <c r="Y773" s="92">
        <f t="shared" si="72"/>
        <v>0</v>
      </c>
      <c r="Z773" s="92">
        <f t="shared" si="73"/>
        <v>0</v>
      </c>
      <c r="AA773" s="92">
        <f t="shared" si="74"/>
        <v>0</v>
      </c>
      <c r="AB773" s="92">
        <f t="shared" si="75"/>
        <v>0</v>
      </c>
      <c r="AC773" s="92"/>
      <c r="AD773" s="92">
        <v>0</v>
      </c>
      <c r="AE773" s="92">
        <f t="shared" si="76"/>
        <v>0</v>
      </c>
      <c r="AF773" s="93">
        <v>0</v>
      </c>
      <c r="AG773" s="89"/>
      <c r="AH773" s="94"/>
      <c r="AI773" s="102" t="s">
        <v>4336</v>
      </c>
      <c r="AJ773" s="96" t="s">
        <v>4337</v>
      </c>
      <c r="AK773" s="97"/>
      <c r="AL773" s="89"/>
      <c r="AM773" s="100" t="s">
        <v>3591</v>
      </c>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114"/>
      <c r="CQ773" s="115"/>
      <c r="CR773" s="114"/>
      <c r="CS773" s="115"/>
      <c r="CT773" s="114"/>
      <c r="CU773" s="115"/>
      <c r="CV773" s="99">
        <f t="shared" si="77"/>
        <v>0</v>
      </c>
      <c r="CW773" s="114"/>
      <c r="CX773" s="115"/>
      <c r="CY773" s="114"/>
      <c r="CZ773" s="115"/>
      <c r="DA773" s="115"/>
      <c r="DB773" s="115"/>
      <c r="DC773" s="114"/>
      <c r="DD773" s="115"/>
      <c r="DE773" s="97"/>
      <c r="DF773" s="269"/>
    </row>
    <row r="774" spans="1:255" s="270" customFormat="1" ht="36" x14ac:dyDescent="0.2">
      <c r="A774" s="89">
        <v>40656</v>
      </c>
      <c r="B774" s="90" t="s">
        <v>3533</v>
      </c>
      <c r="C774" s="90" t="s">
        <v>4208</v>
      </c>
      <c r="D774" s="90" t="s">
        <v>2362</v>
      </c>
      <c r="E774" s="90" t="str">
        <f>VLOOKUP(B774&amp;C774,Divipola!$C$2:$F$1138,4,FALSE)</f>
        <v>17272</v>
      </c>
      <c r="F774" s="90"/>
      <c r="G774" s="101"/>
      <c r="H774" s="101"/>
      <c r="I774" s="101"/>
      <c r="J774" s="101">
        <v>30</v>
      </c>
      <c r="K774" s="101">
        <v>6</v>
      </c>
      <c r="L774" s="101"/>
      <c r="M774" s="101">
        <v>6</v>
      </c>
      <c r="N774" s="101">
        <v>1</v>
      </c>
      <c r="O774" s="101"/>
      <c r="P774" s="101"/>
      <c r="Q774" s="101">
        <v>1</v>
      </c>
      <c r="R774" s="101"/>
      <c r="S774" s="101"/>
      <c r="T774" s="101"/>
      <c r="U774" s="101"/>
      <c r="V774" s="101"/>
      <c r="W774" s="91"/>
      <c r="X774" s="89"/>
      <c r="Y774" s="92">
        <f t="shared" si="72"/>
        <v>0</v>
      </c>
      <c r="Z774" s="92">
        <f t="shared" si="73"/>
        <v>0</v>
      </c>
      <c r="AA774" s="92">
        <f t="shared" si="74"/>
        <v>0</v>
      </c>
      <c r="AB774" s="92">
        <f t="shared" si="75"/>
        <v>0</v>
      </c>
      <c r="AC774" s="92"/>
      <c r="AD774" s="92">
        <v>0</v>
      </c>
      <c r="AE774" s="92">
        <f t="shared" si="76"/>
        <v>0</v>
      </c>
      <c r="AF774" s="93">
        <v>0</v>
      </c>
      <c r="AG774" s="89"/>
      <c r="AH774" s="94"/>
      <c r="AI774" s="102" t="s">
        <v>4336</v>
      </c>
      <c r="AJ774" s="96" t="s">
        <v>4337</v>
      </c>
      <c r="AK774" s="97"/>
      <c r="AL774" s="89"/>
      <c r="AM774" s="100" t="s">
        <v>3592</v>
      </c>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114"/>
      <c r="CQ774" s="115"/>
      <c r="CR774" s="114"/>
      <c r="CS774" s="115"/>
      <c r="CT774" s="114"/>
      <c r="CU774" s="115"/>
      <c r="CV774" s="99">
        <f t="shared" si="77"/>
        <v>0</v>
      </c>
      <c r="CW774" s="114"/>
      <c r="CX774" s="115"/>
      <c r="CY774" s="114"/>
      <c r="CZ774" s="115"/>
      <c r="DA774" s="115"/>
      <c r="DB774" s="115"/>
      <c r="DC774" s="114"/>
      <c r="DD774" s="115"/>
      <c r="DE774" s="97"/>
      <c r="DF774" s="269"/>
    </row>
    <row r="775" spans="1:255" s="270" customFormat="1" ht="60" x14ac:dyDescent="0.2">
      <c r="A775" s="89">
        <v>40656</v>
      </c>
      <c r="B775" s="90" t="s">
        <v>3533</v>
      </c>
      <c r="C775" s="90" t="s">
        <v>3558</v>
      </c>
      <c r="D775" s="90" t="s">
        <v>2362</v>
      </c>
      <c r="E775" s="90" t="str">
        <f>VLOOKUP(B775&amp;C775,Divipola!$C$2:$F$1138,4,FALSE)</f>
        <v>17513</v>
      </c>
      <c r="F775" s="90"/>
      <c r="G775" s="101"/>
      <c r="H775" s="101"/>
      <c r="I775" s="101"/>
      <c r="J775" s="101">
        <v>65</v>
      </c>
      <c r="K775" s="101">
        <v>13</v>
      </c>
      <c r="L775" s="101"/>
      <c r="M775" s="101">
        <v>65</v>
      </c>
      <c r="N775" s="101"/>
      <c r="O775" s="101"/>
      <c r="P775" s="101"/>
      <c r="Q775" s="101">
        <v>1</v>
      </c>
      <c r="R775" s="101"/>
      <c r="S775" s="101"/>
      <c r="T775" s="101"/>
      <c r="U775" s="101"/>
      <c r="V775" s="101"/>
      <c r="W775" s="91"/>
      <c r="X775" s="89"/>
      <c r="Y775" s="92">
        <f t="shared" si="72"/>
        <v>0</v>
      </c>
      <c r="Z775" s="92">
        <f t="shared" si="73"/>
        <v>0</v>
      </c>
      <c r="AA775" s="92">
        <f t="shared" si="74"/>
        <v>0</v>
      </c>
      <c r="AB775" s="92">
        <f t="shared" si="75"/>
        <v>0</v>
      </c>
      <c r="AC775" s="92"/>
      <c r="AD775" s="92">
        <v>0</v>
      </c>
      <c r="AE775" s="92">
        <f t="shared" si="76"/>
        <v>0</v>
      </c>
      <c r="AF775" s="93">
        <v>0</v>
      </c>
      <c r="AG775" s="89"/>
      <c r="AH775" s="94"/>
      <c r="AI775" s="102" t="s">
        <v>4336</v>
      </c>
      <c r="AJ775" s="96" t="s">
        <v>4337</v>
      </c>
      <c r="AK775" s="97"/>
      <c r="AL775" s="89"/>
      <c r="AM775" s="100" t="s">
        <v>3589</v>
      </c>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114"/>
      <c r="CQ775" s="115"/>
      <c r="CR775" s="114"/>
      <c r="CS775" s="115"/>
      <c r="CT775" s="114"/>
      <c r="CU775" s="115"/>
      <c r="CV775" s="99">
        <f t="shared" si="77"/>
        <v>0</v>
      </c>
      <c r="CW775" s="114"/>
      <c r="CX775" s="115"/>
      <c r="CY775" s="114"/>
      <c r="CZ775" s="115"/>
      <c r="DA775" s="115"/>
      <c r="DB775" s="115"/>
      <c r="DC775" s="114"/>
      <c r="DD775" s="115"/>
      <c r="DE775" s="97"/>
      <c r="DF775" s="269"/>
    </row>
    <row r="776" spans="1:255" s="270" customFormat="1" ht="24" x14ac:dyDescent="0.2">
      <c r="A776" s="89">
        <v>40656</v>
      </c>
      <c r="B776" s="90" t="s">
        <v>2225</v>
      </c>
      <c r="C776" s="90" t="s">
        <v>4519</v>
      </c>
      <c r="D776" s="90" t="s">
        <v>4298</v>
      </c>
      <c r="E776" s="90" t="str">
        <f>VLOOKUP(B776&amp;C776,Divipola!$C$2:$F$1138,4,FALSE)</f>
        <v>27205</v>
      </c>
      <c r="F776" s="90"/>
      <c r="G776" s="101"/>
      <c r="H776" s="101"/>
      <c r="I776" s="101"/>
      <c r="J776" s="101">
        <v>45</v>
      </c>
      <c r="K776" s="101">
        <v>11</v>
      </c>
      <c r="L776" s="101">
        <v>11</v>
      </c>
      <c r="M776" s="101"/>
      <c r="N776" s="101"/>
      <c r="O776" s="101"/>
      <c r="P776" s="101"/>
      <c r="Q776" s="101"/>
      <c r="R776" s="101"/>
      <c r="S776" s="101"/>
      <c r="T776" s="101"/>
      <c r="U776" s="101"/>
      <c r="V776" s="101"/>
      <c r="W776" s="91"/>
      <c r="X776" s="89"/>
      <c r="Y776" s="92">
        <f t="shared" si="72"/>
        <v>0</v>
      </c>
      <c r="Z776" s="92">
        <f t="shared" si="73"/>
        <v>0</v>
      </c>
      <c r="AA776" s="92">
        <f t="shared" si="74"/>
        <v>0</v>
      </c>
      <c r="AB776" s="92">
        <f t="shared" si="75"/>
        <v>0</v>
      </c>
      <c r="AC776" s="92"/>
      <c r="AD776" s="92">
        <v>0</v>
      </c>
      <c r="AE776" s="92">
        <f t="shared" si="76"/>
        <v>0</v>
      </c>
      <c r="AF776" s="93">
        <v>0</v>
      </c>
      <c r="AG776" s="89"/>
      <c r="AH776" s="94"/>
      <c r="AI776" s="102" t="s">
        <v>4336</v>
      </c>
      <c r="AJ776" s="96" t="s">
        <v>4337</v>
      </c>
      <c r="AK776" s="97"/>
      <c r="AL776" s="89"/>
      <c r="AM776" s="100" t="s">
        <v>1058</v>
      </c>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114"/>
      <c r="CQ776" s="115"/>
      <c r="CR776" s="114"/>
      <c r="CS776" s="115"/>
      <c r="CT776" s="114"/>
      <c r="CU776" s="115"/>
      <c r="CV776" s="99">
        <f t="shared" si="77"/>
        <v>0</v>
      </c>
      <c r="CW776" s="114"/>
      <c r="CX776" s="115"/>
      <c r="CY776" s="114"/>
      <c r="CZ776" s="115"/>
      <c r="DA776" s="115"/>
      <c r="DB776" s="115"/>
      <c r="DC776" s="114"/>
      <c r="DD776" s="115"/>
      <c r="DE776" s="97"/>
      <c r="DF776" s="269"/>
    </row>
    <row r="777" spans="1:255" s="270" customFormat="1" ht="36" x14ac:dyDescent="0.2">
      <c r="A777" s="89">
        <v>40656</v>
      </c>
      <c r="B777" s="90" t="s">
        <v>4344</v>
      </c>
      <c r="C777" s="90" t="s">
        <v>2206</v>
      </c>
      <c r="D777" s="90" t="s">
        <v>2362</v>
      </c>
      <c r="E777" s="90" t="str">
        <f>VLOOKUP(B777&amp;C777,Divipola!$C$2:$F$1138,4,FALSE)</f>
        <v>25035</v>
      </c>
      <c r="F777" s="90"/>
      <c r="G777" s="101"/>
      <c r="H777" s="101"/>
      <c r="I777" s="101"/>
      <c r="J777" s="101">
        <v>97</v>
      </c>
      <c r="K777" s="101">
        <v>37</v>
      </c>
      <c r="L777" s="101"/>
      <c r="M777" s="101"/>
      <c r="N777" s="101">
        <v>1</v>
      </c>
      <c r="O777" s="101"/>
      <c r="P777" s="101"/>
      <c r="Q777" s="101"/>
      <c r="R777" s="101"/>
      <c r="S777" s="101"/>
      <c r="T777" s="101"/>
      <c r="U777" s="101"/>
      <c r="V777" s="101"/>
      <c r="W777" s="91"/>
      <c r="X777" s="89"/>
      <c r="Y777" s="92">
        <f t="shared" si="72"/>
        <v>0</v>
      </c>
      <c r="Z777" s="92">
        <f t="shared" si="73"/>
        <v>0</v>
      </c>
      <c r="AA777" s="92">
        <f t="shared" si="74"/>
        <v>0</v>
      </c>
      <c r="AB777" s="92">
        <f t="shared" si="75"/>
        <v>0</v>
      </c>
      <c r="AC777" s="92"/>
      <c r="AD777" s="92">
        <v>0</v>
      </c>
      <c r="AE777" s="92">
        <f t="shared" si="76"/>
        <v>0</v>
      </c>
      <c r="AF777" s="93">
        <v>0</v>
      </c>
      <c r="AG777" s="89"/>
      <c r="AH777" s="94"/>
      <c r="AI777" s="102" t="s">
        <v>4336</v>
      </c>
      <c r="AJ777" s="96" t="s">
        <v>4337</v>
      </c>
      <c r="AK777" s="97"/>
      <c r="AL777" s="89"/>
      <c r="AM777" s="100" t="s">
        <v>4533</v>
      </c>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114"/>
      <c r="CQ777" s="115"/>
      <c r="CR777" s="114"/>
      <c r="CS777" s="115"/>
      <c r="CT777" s="114"/>
      <c r="CU777" s="115"/>
      <c r="CV777" s="99">
        <f t="shared" si="77"/>
        <v>0</v>
      </c>
      <c r="CW777" s="114"/>
      <c r="CX777" s="115"/>
      <c r="CY777" s="114"/>
      <c r="CZ777" s="115"/>
      <c r="DA777" s="115"/>
      <c r="DB777" s="115"/>
      <c r="DC777" s="114"/>
      <c r="DD777" s="115"/>
      <c r="DE777" s="97"/>
      <c r="DF777" s="269">
        <v>1738</v>
      </c>
    </row>
    <row r="778" spans="1:255" s="270" customFormat="1" ht="48" x14ac:dyDescent="0.2">
      <c r="A778" s="89">
        <v>40656</v>
      </c>
      <c r="B778" s="90" t="s">
        <v>4344</v>
      </c>
      <c r="C778" s="90" t="s">
        <v>4374</v>
      </c>
      <c r="D778" s="90" t="s">
        <v>2362</v>
      </c>
      <c r="E778" s="90" t="str">
        <f>VLOOKUP(B778&amp;C778,Divipola!$C$2:$F$1138,4,FALSE)</f>
        <v>25120</v>
      </c>
      <c r="F778" s="90"/>
      <c r="G778" s="101"/>
      <c r="H778" s="101"/>
      <c r="I778" s="101"/>
      <c r="J778" s="101">
        <v>200</v>
      </c>
      <c r="K778" s="101">
        <v>50</v>
      </c>
      <c r="L778" s="101"/>
      <c r="M778" s="101">
        <v>50</v>
      </c>
      <c r="N778" s="101"/>
      <c r="O778" s="101"/>
      <c r="P778" s="101"/>
      <c r="Q778" s="101"/>
      <c r="R778" s="101"/>
      <c r="S778" s="101"/>
      <c r="T778" s="101"/>
      <c r="U778" s="101"/>
      <c r="V778" s="101"/>
      <c r="W778" s="91"/>
      <c r="X778" s="89"/>
      <c r="Y778" s="92">
        <f t="shared" si="72"/>
        <v>0</v>
      </c>
      <c r="Z778" s="92">
        <f t="shared" si="73"/>
        <v>0</v>
      </c>
      <c r="AA778" s="92">
        <f t="shared" si="74"/>
        <v>0</v>
      </c>
      <c r="AB778" s="92">
        <f t="shared" si="75"/>
        <v>0</v>
      </c>
      <c r="AC778" s="92"/>
      <c r="AD778" s="92">
        <v>0</v>
      </c>
      <c r="AE778" s="92">
        <f t="shared" si="76"/>
        <v>0</v>
      </c>
      <c r="AF778" s="93">
        <v>0</v>
      </c>
      <c r="AG778" s="89"/>
      <c r="AH778" s="94"/>
      <c r="AI778" s="102" t="s">
        <v>4336</v>
      </c>
      <c r="AJ778" s="96" t="s">
        <v>4337</v>
      </c>
      <c r="AK778" s="97"/>
      <c r="AL778" s="89"/>
      <c r="AM778" s="100" t="s">
        <v>385</v>
      </c>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114"/>
      <c r="CQ778" s="115"/>
      <c r="CR778" s="114"/>
      <c r="CS778" s="115"/>
      <c r="CT778" s="114"/>
      <c r="CU778" s="115"/>
      <c r="CV778" s="99">
        <f t="shared" si="77"/>
        <v>0</v>
      </c>
      <c r="CW778" s="114"/>
      <c r="CX778" s="115"/>
      <c r="CY778" s="114"/>
      <c r="CZ778" s="115"/>
      <c r="DA778" s="115"/>
      <c r="DB778" s="115"/>
      <c r="DC778" s="114"/>
      <c r="DD778" s="115"/>
      <c r="DE778" s="97"/>
      <c r="DF778" s="269"/>
    </row>
    <row r="779" spans="1:255" s="270" customFormat="1" x14ac:dyDescent="0.2">
      <c r="A779" s="89">
        <v>40656</v>
      </c>
      <c r="B779" s="90" t="s">
        <v>4344</v>
      </c>
      <c r="C779" s="90" t="s">
        <v>3450</v>
      </c>
      <c r="D779" s="90" t="s">
        <v>4264</v>
      </c>
      <c r="E779" s="90" t="str">
        <f>VLOOKUP(B779&amp;C779,Divipola!$C$2:$F$1138,4,FALSE)</f>
        <v>25175</v>
      </c>
      <c r="F779" s="90"/>
      <c r="G779" s="101"/>
      <c r="H779" s="101"/>
      <c r="I779" s="101"/>
      <c r="J779" s="101">
        <v>5</v>
      </c>
      <c r="K779" s="101">
        <v>1</v>
      </c>
      <c r="L779" s="101"/>
      <c r="M779" s="101">
        <v>1</v>
      </c>
      <c r="N779" s="101"/>
      <c r="O779" s="101"/>
      <c r="P779" s="101"/>
      <c r="Q779" s="101"/>
      <c r="R779" s="101"/>
      <c r="S779" s="101"/>
      <c r="T779" s="101"/>
      <c r="U779" s="101"/>
      <c r="V779" s="101"/>
      <c r="W779" s="91"/>
      <c r="X779" s="89"/>
      <c r="Y779" s="92">
        <f t="shared" si="72"/>
        <v>0</v>
      </c>
      <c r="Z779" s="92">
        <f t="shared" si="73"/>
        <v>0</v>
      </c>
      <c r="AA779" s="92">
        <f t="shared" si="74"/>
        <v>0</v>
      </c>
      <c r="AB779" s="92">
        <f t="shared" si="75"/>
        <v>0</v>
      </c>
      <c r="AC779" s="92"/>
      <c r="AD779" s="92">
        <v>0</v>
      </c>
      <c r="AE779" s="92">
        <f t="shared" si="76"/>
        <v>0</v>
      </c>
      <c r="AF779" s="93">
        <v>0</v>
      </c>
      <c r="AG779" s="89"/>
      <c r="AH779" s="94"/>
      <c r="AI779" s="102" t="s">
        <v>4336</v>
      </c>
      <c r="AJ779" s="96" t="s">
        <v>4337</v>
      </c>
      <c r="AK779" s="97"/>
      <c r="AL779" s="89"/>
      <c r="AM779" s="100" t="s">
        <v>4507</v>
      </c>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114"/>
      <c r="CQ779" s="115"/>
      <c r="CR779" s="114"/>
      <c r="CS779" s="115"/>
      <c r="CT779" s="114"/>
      <c r="CU779" s="115"/>
      <c r="CV779" s="99">
        <f t="shared" si="77"/>
        <v>0</v>
      </c>
      <c r="CW779" s="114"/>
      <c r="CX779" s="115"/>
      <c r="CY779" s="114"/>
      <c r="CZ779" s="115"/>
      <c r="DA779" s="115"/>
      <c r="DB779" s="115"/>
      <c r="DC779" s="114"/>
      <c r="DD779" s="115"/>
      <c r="DE779" s="97"/>
      <c r="DF779" s="269"/>
    </row>
    <row r="780" spans="1:255" s="270" customFormat="1" ht="36" x14ac:dyDescent="0.2">
      <c r="A780" s="89">
        <v>40656</v>
      </c>
      <c r="B780" s="90" t="s">
        <v>4344</v>
      </c>
      <c r="C780" s="90" t="s">
        <v>2286</v>
      </c>
      <c r="D780" s="90" t="s">
        <v>4264</v>
      </c>
      <c r="E780" s="90" t="str">
        <f>VLOOKUP(B780&amp;C780,Divipola!$C$2:$F$1138,4,FALSE)</f>
        <v>25297</v>
      </c>
      <c r="F780" s="90"/>
      <c r="G780" s="101"/>
      <c r="H780" s="101"/>
      <c r="I780" s="101"/>
      <c r="J780" s="101">
        <v>11</v>
      </c>
      <c r="K780" s="101">
        <v>3</v>
      </c>
      <c r="L780" s="101"/>
      <c r="M780" s="101">
        <v>3</v>
      </c>
      <c r="N780" s="101"/>
      <c r="O780" s="101">
        <v>1</v>
      </c>
      <c r="P780" s="101"/>
      <c r="Q780" s="101"/>
      <c r="R780" s="101"/>
      <c r="S780" s="101"/>
      <c r="T780" s="101"/>
      <c r="U780" s="101"/>
      <c r="V780" s="101"/>
      <c r="W780" s="91"/>
      <c r="X780" s="89"/>
      <c r="Y780" s="92">
        <f t="shared" si="72"/>
        <v>0</v>
      </c>
      <c r="Z780" s="92">
        <f t="shared" si="73"/>
        <v>0</v>
      </c>
      <c r="AA780" s="92">
        <f t="shared" si="74"/>
        <v>0</v>
      </c>
      <c r="AB780" s="92">
        <f t="shared" si="75"/>
        <v>0</v>
      </c>
      <c r="AC780" s="92"/>
      <c r="AD780" s="92">
        <v>0</v>
      </c>
      <c r="AE780" s="92">
        <f t="shared" si="76"/>
        <v>0</v>
      </c>
      <c r="AF780" s="93">
        <v>0</v>
      </c>
      <c r="AG780" s="89"/>
      <c r="AH780" s="94"/>
      <c r="AI780" s="102" t="s">
        <v>4336</v>
      </c>
      <c r="AJ780" s="96" t="s">
        <v>4337</v>
      </c>
      <c r="AK780" s="97"/>
      <c r="AL780" s="89"/>
      <c r="AM780" s="100" t="s">
        <v>2390</v>
      </c>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114"/>
      <c r="CQ780" s="115"/>
      <c r="CR780" s="114"/>
      <c r="CS780" s="115"/>
      <c r="CT780" s="114"/>
      <c r="CU780" s="115"/>
      <c r="CV780" s="99">
        <f t="shared" si="77"/>
        <v>0</v>
      </c>
      <c r="CW780" s="114"/>
      <c r="CX780" s="115"/>
      <c r="CY780" s="114"/>
      <c r="CZ780" s="115"/>
      <c r="DA780" s="115"/>
      <c r="DB780" s="115"/>
      <c r="DC780" s="114"/>
      <c r="DD780" s="115"/>
      <c r="DE780" s="97"/>
      <c r="DF780" s="269"/>
    </row>
    <row r="781" spans="1:255" s="270" customFormat="1" ht="48" x14ac:dyDescent="0.2">
      <c r="A781" s="89">
        <v>40656</v>
      </c>
      <c r="B781" s="90" t="s">
        <v>4344</v>
      </c>
      <c r="C781" s="90" t="s">
        <v>2286</v>
      </c>
      <c r="D781" s="90" t="s">
        <v>4264</v>
      </c>
      <c r="E781" s="90" t="str">
        <f>VLOOKUP(B781&amp;C781,Divipola!$C$2:$F$1138,4,FALSE)</f>
        <v>25297</v>
      </c>
      <c r="F781" s="90"/>
      <c r="G781" s="101">
        <v>2</v>
      </c>
      <c r="H781" s="101">
        <v>1</v>
      </c>
      <c r="I781" s="101"/>
      <c r="J781" s="101"/>
      <c r="K781" s="101"/>
      <c r="L781" s="101"/>
      <c r="M781" s="101"/>
      <c r="N781" s="101"/>
      <c r="O781" s="101"/>
      <c r="P781" s="101"/>
      <c r="Q781" s="101"/>
      <c r="R781" s="101"/>
      <c r="S781" s="101"/>
      <c r="T781" s="101"/>
      <c r="U781" s="101"/>
      <c r="V781" s="101"/>
      <c r="W781" s="91"/>
      <c r="X781" s="89"/>
      <c r="Y781" s="92">
        <f t="shared" si="72"/>
        <v>0</v>
      </c>
      <c r="Z781" s="92">
        <f t="shared" si="73"/>
        <v>0</v>
      </c>
      <c r="AA781" s="92">
        <f t="shared" si="74"/>
        <v>0</v>
      </c>
      <c r="AB781" s="92">
        <f t="shared" si="75"/>
        <v>0</v>
      </c>
      <c r="AC781" s="92"/>
      <c r="AD781" s="92">
        <v>0</v>
      </c>
      <c r="AE781" s="92">
        <f t="shared" si="76"/>
        <v>0</v>
      </c>
      <c r="AF781" s="93">
        <v>0</v>
      </c>
      <c r="AG781" s="89"/>
      <c r="AH781" s="94"/>
      <c r="AI781" s="102" t="s">
        <v>4336</v>
      </c>
      <c r="AJ781" s="96" t="s">
        <v>4337</v>
      </c>
      <c r="AK781" s="97"/>
      <c r="AL781" s="89"/>
      <c r="AM781" s="100" t="s">
        <v>4531</v>
      </c>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114"/>
      <c r="CQ781" s="115"/>
      <c r="CR781" s="114"/>
      <c r="CS781" s="115"/>
      <c r="CT781" s="114"/>
      <c r="CU781" s="115"/>
      <c r="CV781" s="99">
        <f t="shared" si="77"/>
        <v>0</v>
      </c>
      <c r="CW781" s="114"/>
      <c r="CX781" s="115"/>
      <c r="CY781" s="114"/>
      <c r="CZ781" s="115"/>
      <c r="DA781" s="115"/>
      <c r="DB781" s="115"/>
      <c r="DC781" s="114"/>
      <c r="DD781" s="115"/>
      <c r="DE781" s="97"/>
      <c r="DF781" s="269"/>
    </row>
    <row r="782" spans="1:255" s="270" customFormat="1" ht="36" x14ac:dyDescent="0.2">
      <c r="A782" s="89">
        <v>40656</v>
      </c>
      <c r="B782" s="90" t="s">
        <v>4344</v>
      </c>
      <c r="C782" s="90" t="s">
        <v>4513</v>
      </c>
      <c r="D782" s="90" t="s">
        <v>2362</v>
      </c>
      <c r="E782" s="90" t="str">
        <f>VLOOKUP(B782&amp;C782,Divipola!$C$2:$F$1138,4,FALSE)</f>
        <v>25486</v>
      </c>
      <c r="F782" s="90"/>
      <c r="G782" s="101"/>
      <c r="H782" s="101"/>
      <c r="I782" s="101"/>
      <c r="J782" s="101">
        <v>308</v>
      </c>
      <c r="K782" s="101">
        <v>76</v>
      </c>
      <c r="L782" s="101"/>
      <c r="M782" s="101">
        <v>76</v>
      </c>
      <c r="N782" s="101"/>
      <c r="O782" s="101"/>
      <c r="P782" s="101"/>
      <c r="Q782" s="101"/>
      <c r="R782" s="101"/>
      <c r="S782" s="101"/>
      <c r="T782" s="101"/>
      <c r="U782" s="101"/>
      <c r="V782" s="101"/>
      <c r="W782" s="91"/>
      <c r="X782" s="89"/>
      <c r="Y782" s="92">
        <f t="shared" si="72"/>
        <v>0</v>
      </c>
      <c r="Z782" s="92">
        <f t="shared" si="73"/>
        <v>0</v>
      </c>
      <c r="AA782" s="92">
        <f t="shared" si="74"/>
        <v>0</v>
      </c>
      <c r="AB782" s="92">
        <f t="shared" si="75"/>
        <v>0</v>
      </c>
      <c r="AC782" s="92"/>
      <c r="AD782" s="92">
        <v>0</v>
      </c>
      <c r="AE782" s="92">
        <f t="shared" si="76"/>
        <v>0</v>
      </c>
      <c r="AF782" s="93">
        <v>0</v>
      </c>
      <c r="AG782" s="89"/>
      <c r="AH782" s="94"/>
      <c r="AI782" s="102" t="s">
        <v>4336</v>
      </c>
      <c r="AJ782" s="96" t="s">
        <v>4337</v>
      </c>
      <c r="AK782" s="97"/>
      <c r="AL782" s="89"/>
      <c r="AM782" s="100" t="s">
        <v>4506</v>
      </c>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114"/>
      <c r="CQ782" s="115"/>
      <c r="CR782" s="114"/>
      <c r="CS782" s="115"/>
      <c r="CT782" s="114"/>
      <c r="CU782" s="115"/>
      <c r="CV782" s="99">
        <f t="shared" si="77"/>
        <v>0</v>
      </c>
      <c r="CW782" s="114"/>
      <c r="CX782" s="115"/>
      <c r="CY782" s="114"/>
      <c r="CZ782" s="115"/>
      <c r="DA782" s="115"/>
      <c r="DB782" s="115"/>
      <c r="DC782" s="114"/>
      <c r="DD782" s="115"/>
      <c r="DE782" s="97"/>
      <c r="DF782" s="269"/>
    </row>
    <row r="783" spans="1:255" s="270" customFormat="1" ht="36" x14ac:dyDescent="0.2">
      <c r="A783" s="89">
        <v>40656</v>
      </c>
      <c r="B783" s="90" t="s">
        <v>4344</v>
      </c>
      <c r="C783" s="90" t="s">
        <v>4251</v>
      </c>
      <c r="D783" s="90" t="s">
        <v>2362</v>
      </c>
      <c r="E783" s="90" t="str">
        <f>VLOOKUP(B783&amp;C783,Divipola!$C$2:$F$1138,4,FALSE)</f>
        <v>25513</v>
      </c>
      <c r="F783" s="90"/>
      <c r="G783" s="101"/>
      <c r="H783" s="101"/>
      <c r="I783" s="101"/>
      <c r="J783" s="101">
        <v>40</v>
      </c>
      <c r="K783" s="101">
        <v>8</v>
      </c>
      <c r="L783" s="101">
        <v>1</v>
      </c>
      <c r="M783" s="101">
        <v>7</v>
      </c>
      <c r="N783" s="101"/>
      <c r="O783" s="101"/>
      <c r="P783" s="101"/>
      <c r="Q783" s="101"/>
      <c r="R783" s="101"/>
      <c r="S783" s="101"/>
      <c r="T783" s="101"/>
      <c r="U783" s="101"/>
      <c r="V783" s="101"/>
      <c r="W783" s="91"/>
      <c r="X783" s="89"/>
      <c r="Y783" s="92">
        <f t="shared" si="72"/>
        <v>0</v>
      </c>
      <c r="Z783" s="92">
        <f t="shared" si="73"/>
        <v>0</v>
      </c>
      <c r="AA783" s="92">
        <f t="shared" si="74"/>
        <v>0</v>
      </c>
      <c r="AB783" s="92">
        <f t="shared" si="75"/>
        <v>0</v>
      </c>
      <c r="AC783" s="92"/>
      <c r="AD783" s="92">
        <v>0</v>
      </c>
      <c r="AE783" s="92">
        <f t="shared" si="76"/>
        <v>0</v>
      </c>
      <c r="AF783" s="93">
        <v>0</v>
      </c>
      <c r="AG783" s="89"/>
      <c r="AH783" s="94"/>
      <c r="AI783" s="102" t="s">
        <v>4336</v>
      </c>
      <c r="AJ783" s="96" t="s">
        <v>4337</v>
      </c>
      <c r="AK783" s="97"/>
      <c r="AL783" s="89"/>
      <c r="AM783" s="100" t="s">
        <v>3581</v>
      </c>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114"/>
      <c r="CQ783" s="115"/>
      <c r="CR783" s="114"/>
      <c r="CS783" s="115"/>
      <c r="CT783" s="114"/>
      <c r="CU783" s="115"/>
      <c r="CV783" s="99">
        <f t="shared" si="77"/>
        <v>0</v>
      </c>
      <c r="CW783" s="114"/>
      <c r="CX783" s="115"/>
      <c r="CY783" s="114"/>
      <c r="CZ783" s="115"/>
      <c r="DA783" s="115"/>
      <c r="DB783" s="115"/>
      <c r="DC783" s="114"/>
      <c r="DD783" s="115"/>
      <c r="DE783" s="97"/>
      <c r="DF783" s="269"/>
    </row>
    <row r="784" spans="1:255" s="270" customFormat="1" ht="48" x14ac:dyDescent="0.2">
      <c r="A784" s="89">
        <v>40656</v>
      </c>
      <c r="B784" s="90" t="s">
        <v>4344</v>
      </c>
      <c r="C784" s="90" t="s">
        <v>972</v>
      </c>
      <c r="D784" s="90" t="s">
        <v>4264</v>
      </c>
      <c r="E784" s="90" t="str">
        <f>VLOOKUP(B784&amp;C784,Divipola!$C$2:$F$1138,4,FALSE)</f>
        <v>25781</v>
      </c>
      <c r="F784" s="90"/>
      <c r="G784" s="101"/>
      <c r="H784" s="101"/>
      <c r="I784" s="101"/>
      <c r="J784" s="101">
        <v>50</v>
      </c>
      <c r="K784" s="101">
        <v>12</v>
      </c>
      <c r="L784" s="101">
        <v>3</v>
      </c>
      <c r="M784" s="101">
        <v>9</v>
      </c>
      <c r="N784" s="101"/>
      <c r="O784" s="101"/>
      <c r="P784" s="101"/>
      <c r="Q784" s="101"/>
      <c r="R784" s="101"/>
      <c r="S784" s="101"/>
      <c r="T784" s="101"/>
      <c r="U784" s="101"/>
      <c r="V784" s="101"/>
      <c r="W784" s="91"/>
      <c r="X784" s="89"/>
      <c r="Y784" s="92">
        <f t="shared" si="72"/>
        <v>0</v>
      </c>
      <c r="Z784" s="92">
        <f t="shared" si="73"/>
        <v>0</v>
      </c>
      <c r="AA784" s="92">
        <f t="shared" si="74"/>
        <v>0</v>
      </c>
      <c r="AB784" s="92">
        <f t="shared" si="75"/>
        <v>0</v>
      </c>
      <c r="AC784" s="92"/>
      <c r="AD784" s="92">
        <v>0</v>
      </c>
      <c r="AE784" s="92">
        <f t="shared" si="76"/>
        <v>0</v>
      </c>
      <c r="AF784" s="93">
        <v>0</v>
      </c>
      <c r="AG784" s="89"/>
      <c r="AH784" s="94"/>
      <c r="AI784" s="102" t="s">
        <v>4336</v>
      </c>
      <c r="AJ784" s="96" t="s">
        <v>4337</v>
      </c>
      <c r="AK784" s="97"/>
      <c r="AL784" s="89"/>
      <c r="AM784" s="100" t="s">
        <v>4532</v>
      </c>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114"/>
      <c r="CQ784" s="115"/>
      <c r="CR784" s="114"/>
      <c r="CS784" s="115"/>
      <c r="CT784" s="114"/>
      <c r="CU784" s="115"/>
      <c r="CV784" s="99">
        <f t="shared" si="77"/>
        <v>0</v>
      </c>
      <c r="CW784" s="114"/>
      <c r="CX784" s="115"/>
      <c r="CY784" s="114"/>
      <c r="CZ784" s="115"/>
      <c r="DA784" s="115"/>
      <c r="DB784" s="115"/>
      <c r="DC784" s="114"/>
      <c r="DD784" s="115"/>
      <c r="DE784" s="97"/>
      <c r="DF784" s="269"/>
    </row>
    <row r="785" spans="1:255" s="270" customFormat="1" ht="24" x14ac:dyDescent="0.2">
      <c r="A785" s="89">
        <v>40656</v>
      </c>
      <c r="B785" s="90" t="s">
        <v>4219</v>
      </c>
      <c r="C785" s="90" t="s">
        <v>3495</v>
      </c>
      <c r="D785" s="90" t="s">
        <v>2362</v>
      </c>
      <c r="E785" s="90" t="str">
        <f>VLOOKUP(B785&amp;C785,Divipola!$C$2:$F$1138,4,FALSE)</f>
        <v>41078</v>
      </c>
      <c r="F785" s="90"/>
      <c r="G785" s="101"/>
      <c r="H785" s="101"/>
      <c r="I785" s="101"/>
      <c r="J785" s="101"/>
      <c r="K785" s="101"/>
      <c r="L785" s="101"/>
      <c r="M785" s="101"/>
      <c r="N785" s="101"/>
      <c r="O785" s="101"/>
      <c r="P785" s="101"/>
      <c r="Q785" s="101"/>
      <c r="R785" s="101"/>
      <c r="S785" s="101"/>
      <c r="T785" s="101"/>
      <c r="U785" s="101"/>
      <c r="V785" s="101"/>
      <c r="W785" s="91"/>
      <c r="X785" s="89"/>
      <c r="Y785" s="92">
        <f t="shared" si="72"/>
        <v>0</v>
      </c>
      <c r="Z785" s="92">
        <f t="shared" si="73"/>
        <v>0</v>
      </c>
      <c r="AA785" s="92">
        <f t="shared" si="74"/>
        <v>0</v>
      </c>
      <c r="AB785" s="92">
        <f t="shared" si="75"/>
        <v>0</v>
      </c>
      <c r="AC785" s="92"/>
      <c r="AD785" s="92">
        <v>0</v>
      </c>
      <c r="AE785" s="92">
        <f t="shared" si="76"/>
        <v>0</v>
      </c>
      <c r="AF785" s="93">
        <v>0</v>
      </c>
      <c r="AG785" s="89"/>
      <c r="AH785" s="94"/>
      <c r="AI785" s="95" t="s">
        <v>4336</v>
      </c>
      <c r="AJ785" s="96" t="s">
        <v>4337</v>
      </c>
      <c r="AK785" s="97"/>
      <c r="AL785" s="89"/>
      <c r="AM785" s="100" t="s">
        <v>1001</v>
      </c>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114"/>
      <c r="CQ785" s="115"/>
      <c r="CR785" s="114"/>
      <c r="CS785" s="115"/>
      <c r="CT785" s="114"/>
      <c r="CU785" s="115"/>
      <c r="CV785" s="99">
        <f t="shared" si="77"/>
        <v>0</v>
      </c>
      <c r="CW785" s="114"/>
      <c r="CX785" s="115"/>
      <c r="CY785" s="114"/>
      <c r="CZ785" s="115"/>
      <c r="DA785" s="115"/>
      <c r="DB785" s="115"/>
      <c r="DC785" s="114"/>
      <c r="DD785" s="115"/>
      <c r="DE785" s="97"/>
      <c r="DF785" s="269"/>
    </row>
    <row r="786" spans="1:255" s="270" customFormat="1" ht="24" x14ac:dyDescent="0.2">
      <c r="A786" s="89">
        <v>40656</v>
      </c>
      <c r="B786" s="90" t="s">
        <v>4219</v>
      </c>
      <c r="C786" s="90" t="s">
        <v>3351</v>
      </c>
      <c r="D786" s="90" t="s">
        <v>2362</v>
      </c>
      <c r="E786" s="90" t="str">
        <f>VLOOKUP(B786&amp;C786,Divipola!$C$2:$F$1138,4,FALSE)</f>
        <v>41349</v>
      </c>
      <c r="F786" s="90"/>
      <c r="G786" s="101"/>
      <c r="H786" s="101"/>
      <c r="I786" s="101"/>
      <c r="J786" s="101">
        <v>5</v>
      </c>
      <c r="K786" s="101">
        <v>1</v>
      </c>
      <c r="L786" s="101">
        <v>1</v>
      </c>
      <c r="M786" s="101"/>
      <c r="N786" s="101"/>
      <c r="O786" s="101"/>
      <c r="P786" s="101"/>
      <c r="Q786" s="101"/>
      <c r="R786" s="101"/>
      <c r="S786" s="101"/>
      <c r="T786" s="101"/>
      <c r="U786" s="101"/>
      <c r="V786" s="101"/>
      <c r="W786" s="91"/>
      <c r="X786" s="89"/>
      <c r="Y786" s="92">
        <f t="shared" si="72"/>
        <v>0</v>
      </c>
      <c r="Z786" s="92">
        <f t="shared" si="73"/>
        <v>0</v>
      </c>
      <c r="AA786" s="92">
        <f t="shared" si="74"/>
        <v>0</v>
      </c>
      <c r="AB786" s="92">
        <f t="shared" si="75"/>
        <v>0</v>
      </c>
      <c r="AC786" s="92"/>
      <c r="AD786" s="92">
        <v>0</v>
      </c>
      <c r="AE786" s="92">
        <f t="shared" si="76"/>
        <v>0</v>
      </c>
      <c r="AF786" s="93">
        <v>0</v>
      </c>
      <c r="AG786" s="89"/>
      <c r="AH786" s="94"/>
      <c r="AI786" s="95" t="s">
        <v>4336</v>
      </c>
      <c r="AJ786" s="96" t="s">
        <v>4337</v>
      </c>
      <c r="AK786" s="97"/>
      <c r="AL786" s="89"/>
      <c r="AM786" s="100" t="s">
        <v>1000</v>
      </c>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114"/>
      <c r="CQ786" s="115"/>
      <c r="CR786" s="114"/>
      <c r="CS786" s="115"/>
      <c r="CT786" s="114"/>
      <c r="CU786" s="115"/>
      <c r="CV786" s="99">
        <f t="shared" si="77"/>
        <v>0</v>
      </c>
      <c r="CW786" s="114"/>
      <c r="CX786" s="115"/>
      <c r="CY786" s="114"/>
      <c r="CZ786" s="115"/>
      <c r="DA786" s="115"/>
      <c r="DB786" s="115"/>
      <c r="DC786" s="114"/>
      <c r="DD786" s="115"/>
      <c r="DE786" s="97"/>
      <c r="DF786" s="269"/>
    </row>
    <row r="787" spans="1:255" s="270" customFormat="1" x14ac:dyDescent="0.2">
      <c r="A787" s="89">
        <v>40656</v>
      </c>
      <c r="B787" s="90" t="s">
        <v>4219</v>
      </c>
      <c r="C787" s="90" t="s">
        <v>66</v>
      </c>
      <c r="D787" s="90" t="s">
        <v>2362</v>
      </c>
      <c r="E787" s="90" t="str">
        <f>VLOOKUP(B787&amp;C787,Divipola!$C$2:$F$1138,4,FALSE)</f>
        <v>41503</v>
      </c>
      <c r="F787" s="90"/>
      <c r="G787" s="101"/>
      <c r="H787" s="101"/>
      <c r="I787" s="101"/>
      <c r="J787" s="101">
        <v>15</v>
      </c>
      <c r="K787" s="101">
        <v>3</v>
      </c>
      <c r="L787" s="101">
        <v>1</v>
      </c>
      <c r="M787" s="101">
        <v>2</v>
      </c>
      <c r="N787" s="101"/>
      <c r="O787" s="101"/>
      <c r="P787" s="101"/>
      <c r="Q787" s="101"/>
      <c r="R787" s="101"/>
      <c r="S787" s="101"/>
      <c r="T787" s="101"/>
      <c r="U787" s="101"/>
      <c r="V787" s="101"/>
      <c r="W787" s="91"/>
      <c r="X787" s="89"/>
      <c r="Y787" s="92">
        <f t="shared" si="72"/>
        <v>0</v>
      </c>
      <c r="Z787" s="92">
        <f t="shared" si="73"/>
        <v>0</v>
      </c>
      <c r="AA787" s="92">
        <f t="shared" si="74"/>
        <v>0</v>
      </c>
      <c r="AB787" s="92">
        <f t="shared" si="75"/>
        <v>0</v>
      </c>
      <c r="AC787" s="92"/>
      <c r="AD787" s="92">
        <v>0</v>
      </c>
      <c r="AE787" s="92">
        <f t="shared" si="76"/>
        <v>0</v>
      </c>
      <c r="AF787" s="93">
        <v>0</v>
      </c>
      <c r="AG787" s="89"/>
      <c r="AH787" s="94"/>
      <c r="AI787" s="95" t="s">
        <v>4336</v>
      </c>
      <c r="AJ787" s="96" t="s">
        <v>4337</v>
      </c>
      <c r="AK787" s="97"/>
      <c r="AL787" s="89"/>
      <c r="AM787" s="100" t="s">
        <v>3571</v>
      </c>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114"/>
      <c r="CQ787" s="115"/>
      <c r="CR787" s="114"/>
      <c r="CS787" s="115"/>
      <c r="CT787" s="114"/>
      <c r="CU787" s="115"/>
      <c r="CV787" s="99">
        <f t="shared" si="77"/>
        <v>0</v>
      </c>
      <c r="CW787" s="114"/>
      <c r="CX787" s="115"/>
      <c r="CY787" s="114"/>
      <c r="CZ787" s="115"/>
      <c r="DA787" s="115"/>
      <c r="DB787" s="115"/>
      <c r="DC787" s="114"/>
      <c r="DD787" s="115"/>
      <c r="DE787" s="97"/>
      <c r="DF787" s="269"/>
    </row>
    <row r="788" spans="1:255" s="270" customFormat="1" ht="24" x14ac:dyDescent="0.2">
      <c r="A788" s="89">
        <v>40656</v>
      </c>
      <c r="B788" s="90" t="s">
        <v>4219</v>
      </c>
      <c r="C788" s="90" t="s">
        <v>3498</v>
      </c>
      <c r="D788" s="90" t="s">
        <v>2362</v>
      </c>
      <c r="E788" s="90" t="str">
        <f>VLOOKUP(B788&amp;C788,Divipola!$C$2:$F$1138,4,FALSE)</f>
        <v>41799</v>
      </c>
      <c r="F788" s="90"/>
      <c r="G788" s="101"/>
      <c r="H788" s="101"/>
      <c r="I788" s="101"/>
      <c r="J788" s="101">
        <v>55</v>
      </c>
      <c r="K788" s="101">
        <v>11</v>
      </c>
      <c r="L788" s="101">
        <v>4</v>
      </c>
      <c r="M788" s="101">
        <v>7</v>
      </c>
      <c r="N788" s="101"/>
      <c r="O788" s="101"/>
      <c r="P788" s="101"/>
      <c r="Q788" s="101"/>
      <c r="R788" s="101"/>
      <c r="S788" s="101"/>
      <c r="T788" s="101"/>
      <c r="U788" s="101"/>
      <c r="V788" s="101"/>
      <c r="W788" s="91"/>
      <c r="X788" s="89"/>
      <c r="Y788" s="92">
        <f t="shared" si="72"/>
        <v>0</v>
      </c>
      <c r="Z788" s="92">
        <f t="shared" si="73"/>
        <v>0</v>
      </c>
      <c r="AA788" s="92">
        <f t="shared" si="74"/>
        <v>0</v>
      </c>
      <c r="AB788" s="92">
        <f t="shared" si="75"/>
        <v>0</v>
      </c>
      <c r="AC788" s="92"/>
      <c r="AD788" s="92">
        <v>0</v>
      </c>
      <c r="AE788" s="92">
        <f t="shared" si="76"/>
        <v>0</v>
      </c>
      <c r="AF788" s="93">
        <v>0</v>
      </c>
      <c r="AG788" s="89"/>
      <c r="AH788" s="94"/>
      <c r="AI788" s="95" t="s">
        <v>4336</v>
      </c>
      <c r="AJ788" s="96" t="s">
        <v>4337</v>
      </c>
      <c r="AK788" s="97"/>
      <c r="AL788" s="89"/>
      <c r="AM788" s="100" t="s">
        <v>4527</v>
      </c>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114"/>
      <c r="CQ788" s="115"/>
      <c r="CR788" s="114"/>
      <c r="CS788" s="115"/>
      <c r="CT788" s="114"/>
      <c r="CU788" s="115"/>
      <c r="CV788" s="99">
        <f t="shared" si="77"/>
        <v>0</v>
      </c>
      <c r="CW788" s="114"/>
      <c r="CX788" s="115"/>
      <c r="CY788" s="114"/>
      <c r="CZ788" s="115"/>
      <c r="DA788" s="115"/>
      <c r="DB788" s="115"/>
      <c r="DC788" s="114"/>
      <c r="DD788" s="115"/>
      <c r="DE788" s="97"/>
      <c r="DF788" s="269"/>
    </row>
    <row r="789" spans="1:255" s="270" customFormat="1" x14ac:dyDescent="0.2">
      <c r="A789" s="89">
        <v>40656</v>
      </c>
      <c r="B789" s="90" t="s">
        <v>4219</v>
      </c>
      <c r="C789" s="90" t="s">
        <v>4382</v>
      </c>
      <c r="D789" s="90" t="s">
        <v>2362</v>
      </c>
      <c r="E789" s="90" t="str">
        <f>VLOOKUP(B789&amp;C789,Divipola!$C$2:$F$1138,4,FALSE)</f>
        <v>41807</v>
      </c>
      <c r="F789" s="90"/>
      <c r="G789" s="101"/>
      <c r="H789" s="101"/>
      <c r="I789" s="101"/>
      <c r="J789" s="101">
        <v>25</v>
      </c>
      <c r="K789" s="101">
        <v>5</v>
      </c>
      <c r="L789" s="101"/>
      <c r="M789" s="101">
        <v>5</v>
      </c>
      <c r="N789" s="101"/>
      <c r="O789" s="101"/>
      <c r="P789" s="101"/>
      <c r="Q789" s="101">
        <v>1</v>
      </c>
      <c r="R789" s="101"/>
      <c r="S789" s="101"/>
      <c r="T789" s="101">
        <v>1</v>
      </c>
      <c r="U789" s="101"/>
      <c r="V789" s="101"/>
      <c r="W789" s="91"/>
      <c r="X789" s="89"/>
      <c r="Y789" s="92">
        <f t="shared" si="72"/>
        <v>0</v>
      </c>
      <c r="Z789" s="92">
        <f t="shared" si="73"/>
        <v>0</v>
      </c>
      <c r="AA789" s="92">
        <f t="shared" si="74"/>
        <v>0</v>
      </c>
      <c r="AB789" s="92">
        <f t="shared" si="75"/>
        <v>0</v>
      </c>
      <c r="AC789" s="92"/>
      <c r="AD789" s="92">
        <v>0</v>
      </c>
      <c r="AE789" s="92">
        <f t="shared" si="76"/>
        <v>0</v>
      </c>
      <c r="AF789" s="93">
        <v>0</v>
      </c>
      <c r="AG789" s="89"/>
      <c r="AH789" s="94"/>
      <c r="AI789" s="95" t="s">
        <v>4336</v>
      </c>
      <c r="AJ789" s="96" t="s">
        <v>4337</v>
      </c>
      <c r="AK789" s="97"/>
      <c r="AL789" s="89"/>
      <c r="AM789" s="100" t="s">
        <v>2186</v>
      </c>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114"/>
      <c r="CQ789" s="115"/>
      <c r="CR789" s="114"/>
      <c r="CS789" s="115"/>
      <c r="CT789" s="114"/>
      <c r="CU789" s="115"/>
      <c r="CV789" s="99">
        <f t="shared" si="77"/>
        <v>0</v>
      </c>
      <c r="CW789" s="114"/>
      <c r="CX789" s="115"/>
      <c r="CY789" s="114"/>
      <c r="CZ789" s="115"/>
      <c r="DA789" s="115"/>
      <c r="DB789" s="115"/>
      <c r="DC789" s="114"/>
      <c r="DD789" s="115"/>
      <c r="DE789" s="97"/>
      <c r="DF789" s="269"/>
    </row>
    <row r="790" spans="1:255" s="270" customFormat="1" ht="72" x14ac:dyDescent="0.2">
      <c r="A790" s="89">
        <v>40656</v>
      </c>
      <c r="B790" s="90" t="s">
        <v>4350</v>
      </c>
      <c r="C790" s="90" t="s">
        <v>4351</v>
      </c>
      <c r="D790" s="90" t="s">
        <v>3346</v>
      </c>
      <c r="E790" s="90" t="str">
        <f>VLOOKUP(B790&amp;C790,Divipola!$C$2:$F$1138,4,FALSE)</f>
        <v>63001</v>
      </c>
      <c r="F790" s="90"/>
      <c r="G790" s="101"/>
      <c r="H790" s="101"/>
      <c r="I790" s="101"/>
      <c r="J790" s="101">
        <v>40</v>
      </c>
      <c r="K790" s="101">
        <v>8</v>
      </c>
      <c r="L790" s="101"/>
      <c r="M790" s="101">
        <v>8</v>
      </c>
      <c r="N790" s="101"/>
      <c r="O790" s="101"/>
      <c r="P790" s="101"/>
      <c r="Q790" s="101"/>
      <c r="R790" s="101"/>
      <c r="S790" s="101"/>
      <c r="T790" s="101"/>
      <c r="U790" s="101">
        <v>1</v>
      </c>
      <c r="V790" s="101"/>
      <c r="W790" s="91"/>
      <c r="X790" s="89"/>
      <c r="Y790" s="92">
        <f t="shared" si="72"/>
        <v>0</v>
      </c>
      <c r="Z790" s="92">
        <f t="shared" si="73"/>
        <v>0</v>
      </c>
      <c r="AA790" s="92">
        <f t="shared" si="74"/>
        <v>0</v>
      </c>
      <c r="AB790" s="92">
        <f t="shared" si="75"/>
        <v>0</v>
      </c>
      <c r="AC790" s="92"/>
      <c r="AD790" s="92">
        <v>0</v>
      </c>
      <c r="AE790" s="92">
        <f t="shared" si="76"/>
        <v>0</v>
      </c>
      <c r="AF790" s="93">
        <v>0</v>
      </c>
      <c r="AG790" s="89"/>
      <c r="AH790" s="94"/>
      <c r="AI790" s="95" t="s">
        <v>4336</v>
      </c>
      <c r="AJ790" s="96" t="s">
        <v>4337</v>
      </c>
      <c r="AK790" s="97"/>
      <c r="AL790" s="89"/>
      <c r="AM790" s="100" t="s">
        <v>2755</v>
      </c>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114"/>
      <c r="CQ790" s="115"/>
      <c r="CR790" s="114"/>
      <c r="CS790" s="115"/>
      <c r="CT790" s="114"/>
      <c r="CU790" s="115"/>
      <c r="CV790" s="99">
        <f t="shared" si="77"/>
        <v>0</v>
      </c>
      <c r="CW790" s="114"/>
      <c r="CX790" s="115"/>
      <c r="CY790" s="114"/>
      <c r="CZ790" s="115"/>
      <c r="DA790" s="115"/>
      <c r="DB790" s="115"/>
      <c r="DC790" s="114"/>
      <c r="DD790" s="115"/>
      <c r="DE790" s="97"/>
      <c r="DF790" s="269"/>
    </row>
    <row r="791" spans="1:255" s="270" customFormat="1" ht="24" x14ac:dyDescent="0.2">
      <c r="A791" s="89">
        <v>40656</v>
      </c>
      <c r="B791" s="90" t="s">
        <v>4350</v>
      </c>
      <c r="C791" s="90" t="s">
        <v>858</v>
      </c>
      <c r="D791" s="90" t="s">
        <v>4264</v>
      </c>
      <c r="E791" s="90" t="str">
        <f>VLOOKUP(B791&amp;C791,Divipola!$C$2:$F$1138,4,FALSE)</f>
        <v>63302</v>
      </c>
      <c r="F791" s="90"/>
      <c r="G791" s="101"/>
      <c r="H791" s="101"/>
      <c r="I791" s="101"/>
      <c r="J791" s="101">
        <v>25</v>
      </c>
      <c r="K791" s="101">
        <v>5</v>
      </c>
      <c r="L791" s="101"/>
      <c r="M791" s="101">
        <v>5</v>
      </c>
      <c r="N791" s="101"/>
      <c r="O791" s="101"/>
      <c r="P791" s="101"/>
      <c r="Q791" s="101"/>
      <c r="R791" s="101"/>
      <c r="S791" s="101"/>
      <c r="T791" s="101"/>
      <c r="U791" s="101"/>
      <c r="V791" s="101"/>
      <c r="W791" s="91"/>
      <c r="X791" s="89"/>
      <c r="Y791" s="92">
        <f t="shared" si="72"/>
        <v>0</v>
      </c>
      <c r="Z791" s="92">
        <f t="shared" si="73"/>
        <v>0</v>
      </c>
      <c r="AA791" s="92">
        <f t="shared" si="74"/>
        <v>0</v>
      </c>
      <c r="AB791" s="92">
        <f t="shared" si="75"/>
        <v>0</v>
      </c>
      <c r="AC791" s="92"/>
      <c r="AD791" s="92">
        <v>0</v>
      </c>
      <c r="AE791" s="92">
        <f t="shared" si="76"/>
        <v>0</v>
      </c>
      <c r="AF791" s="93">
        <v>0</v>
      </c>
      <c r="AG791" s="89"/>
      <c r="AH791" s="94"/>
      <c r="AI791" s="95" t="s">
        <v>4336</v>
      </c>
      <c r="AJ791" s="96" t="s">
        <v>4337</v>
      </c>
      <c r="AK791" s="97"/>
      <c r="AL791" s="89"/>
      <c r="AM791" s="100" t="s">
        <v>3576</v>
      </c>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114"/>
      <c r="CQ791" s="115"/>
      <c r="CR791" s="114"/>
      <c r="CS791" s="115"/>
      <c r="CT791" s="114"/>
      <c r="CU791" s="115"/>
      <c r="CV791" s="99">
        <f t="shared" si="77"/>
        <v>0</v>
      </c>
      <c r="CW791" s="114"/>
      <c r="CX791" s="115"/>
      <c r="CY791" s="114"/>
      <c r="CZ791" s="115"/>
      <c r="DA791" s="115"/>
      <c r="DB791" s="115"/>
      <c r="DC791" s="114"/>
      <c r="DD791" s="115"/>
      <c r="DE791" s="97"/>
      <c r="DF791" s="46"/>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row>
    <row r="792" spans="1:255" s="270" customFormat="1" ht="24" x14ac:dyDescent="0.2">
      <c r="A792" s="89">
        <v>40656</v>
      </c>
      <c r="B792" s="90" t="s">
        <v>3316</v>
      </c>
      <c r="C792" s="90" t="s">
        <v>2285</v>
      </c>
      <c r="D792" s="90" t="s">
        <v>2362</v>
      </c>
      <c r="E792" s="90" t="str">
        <f>VLOOKUP(B792&amp;C792,Divipola!$C$2:$F$1138,4,FALSE)</f>
        <v>73168</v>
      </c>
      <c r="F792" s="90"/>
      <c r="G792" s="101"/>
      <c r="H792" s="101"/>
      <c r="I792" s="101"/>
      <c r="J792" s="101"/>
      <c r="K792" s="101"/>
      <c r="L792" s="101"/>
      <c r="M792" s="101"/>
      <c r="N792" s="101"/>
      <c r="O792" s="101"/>
      <c r="P792" s="101"/>
      <c r="Q792" s="101"/>
      <c r="R792" s="101"/>
      <c r="S792" s="101"/>
      <c r="T792" s="101"/>
      <c r="U792" s="101"/>
      <c r="V792" s="101"/>
      <c r="W792" s="91"/>
      <c r="X792" s="89"/>
      <c r="Y792" s="92">
        <f t="shared" si="72"/>
        <v>0</v>
      </c>
      <c r="Z792" s="92">
        <f t="shared" si="73"/>
        <v>0</v>
      </c>
      <c r="AA792" s="92">
        <f t="shared" si="74"/>
        <v>0</v>
      </c>
      <c r="AB792" s="92">
        <f t="shared" si="75"/>
        <v>0</v>
      </c>
      <c r="AC792" s="92"/>
      <c r="AD792" s="92">
        <v>0</v>
      </c>
      <c r="AE792" s="92">
        <f t="shared" si="76"/>
        <v>0</v>
      </c>
      <c r="AF792" s="93">
        <v>0</v>
      </c>
      <c r="AG792" s="89"/>
      <c r="AH792" s="94"/>
      <c r="AI792" s="95" t="s">
        <v>4346</v>
      </c>
      <c r="AJ792" s="96" t="s">
        <v>4347</v>
      </c>
      <c r="AK792" s="97"/>
      <c r="AL792" s="89" t="s">
        <v>2798</v>
      </c>
      <c r="AM792" s="100" t="s">
        <v>3575</v>
      </c>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114"/>
      <c r="CQ792" s="115"/>
      <c r="CR792" s="114"/>
      <c r="CS792" s="115"/>
      <c r="CT792" s="114"/>
      <c r="CU792" s="115"/>
      <c r="CV792" s="99">
        <f t="shared" si="77"/>
        <v>0</v>
      </c>
      <c r="CW792" s="114"/>
      <c r="CX792" s="115"/>
      <c r="CY792" s="114"/>
      <c r="CZ792" s="115"/>
      <c r="DA792" s="115"/>
      <c r="DB792" s="115"/>
      <c r="DC792" s="114"/>
      <c r="DD792" s="115"/>
      <c r="DE792" s="97"/>
      <c r="DF792" s="46"/>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row>
    <row r="793" spans="1:255" s="270" customFormat="1" ht="24" x14ac:dyDescent="0.2">
      <c r="A793" s="89">
        <v>40656</v>
      </c>
      <c r="B793" s="90" t="s">
        <v>3316</v>
      </c>
      <c r="C793" s="90" t="s">
        <v>2767</v>
      </c>
      <c r="D793" s="90" t="s">
        <v>2362</v>
      </c>
      <c r="E793" s="90" t="str">
        <f>VLOOKUP(B793&amp;C793,Divipola!$C$2:$F$1138,4,FALSE)</f>
        <v>73873</v>
      </c>
      <c r="F793" s="90"/>
      <c r="G793" s="101"/>
      <c r="H793" s="101"/>
      <c r="I793" s="101"/>
      <c r="J793" s="101">
        <v>100</v>
      </c>
      <c r="K793" s="101">
        <v>20</v>
      </c>
      <c r="L793" s="101"/>
      <c r="M793" s="101">
        <v>20</v>
      </c>
      <c r="N793" s="101"/>
      <c r="O793" s="101"/>
      <c r="P793" s="101"/>
      <c r="Q793" s="101"/>
      <c r="R793" s="101"/>
      <c r="S793" s="101"/>
      <c r="T793" s="101"/>
      <c r="U793" s="101"/>
      <c r="V793" s="101"/>
      <c r="W793" s="91"/>
      <c r="X793" s="89"/>
      <c r="Y793" s="92">
        <f t="shared" si="72"/>
        <v>0</v>
      </c>
      <c r="Z793" s="92">
        <f t="shared" si="73"/>
        <v>0</v>
      </c>
      <c r="AA793" s="92">
        <f t="shared" si="74"/>
        <v>0</v>
      </c>
      <c r="AB793" s="92">
        <f t="shared" si="75"/>
        <v>0</v>
      </c>
      <c r="AC793" s="92"/>
      <c r="AD793" s="92">
        <v>0</v>
      </c>
      <c r="AE793" s="92">
        <f t="shared" si="76"/>
        <v>0</v>
      </c>
      <c r="AF793" s="93">
        <v>0</v>
      </c>
      <c r="AG793" s="89"/>
      <c r="AH793" s="94"/>
      <c r="AI793" s="95" t="s">
        <v>4346</v>
      </c>
      <c r="AJ793" s="96" t="s">
        <v>4347</v>
      </c>
      <c r="AK793" s="97"/>
      <c r="AL793" s="89" t="s">
        <v>2798</v>
      </c>
      <c r="AM793" s="100" t="s">
        <v>3574</v>
      </c>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114"/>
      <c r="CQ793" s="115"/>
      <c r="CR793" s="114"/>
      <c r="CS793" s="115"/>
      <c r="CT793" s="114"/>
      <c r="CU793" s="115"/>
      <c r="CV793" s="99">
        <f t="shared" si="77"/>
        <v>0</v>
      </c>
      <c r="CW793" s="114"/>
      <c r="CX793" s="115"/>
      <c r="CY793" s="114"/>
      <c r="CZ793" s="115"/>
      <c r="DA793" s="115"/>
      <c r="DB793" s="115"/>
      <c r="DC793" s="114"/>
      <c r="DD793" s="115"/>
      <c r="DE793" s="97"/>
      <c r="DF793" s="269"/>
    </row>
    <row r="794" spans="1:255" s="270" customFormat="1" ht="24" x14ac:dyDescent="0.2">
      <c r="A794" s="89">
        <v>40656</v>
      </c>
      <c r="B794" s="90" t="s">
        <v>4244</v>
      </c>
      <c r="C794" s="90" t="s">
        <v>4375</v>
      </c>
      <c r="D794" s="90" t="s">
        <v>4264</v>
      </c>
      <c r="E794" s="90" t="str">
        <f>VLOOKUP(B794&amp;C794,Divipola!$C$2:$F$1138,4,FALSE)</f>
        <v>76895</v>
      </c>
      <c r="F794" s="90"/>
      <c r="G794" s="101"/>
      <c r="H794" s="101"/>
      <c r="I794" s="101"/>
      <c r="J794" s="101">
        <v>16</v>
      </c>
      <c r="K794" s="101">
        <v>4</v>
      </c>
      <c r="L794" s="101"/>
      <c r="M794" s="101">
        <v>4</v>
      </c>
      <c r="N794" s="101"/>
      <c r="O794" s="101"/>
      <c r="P794" s="101"/>
      <c r="Q794" s="101"/>
      <c r="R794" s="101"/>
      <c r="S794" s="101"/>
      <c r="T794" s="101"/>
      <c r="U794" s="101"/>
      <c r="V794" s="101"/>
      <c r="W794" s="91"/>
      <c r="X794" s="89"/>
      <c r="Y794" s="92">
        <f t="shared" si="72"/>
        <v>0</v>
      </c>
      <c r="Z794" s="92">
        <f t="shared" si="73"/>
        <v>0</v>
      </c>
      <c r="AA794" s="92">
        <f t="shared" si="74"/>
        <v>0</v>
      </c>
      <c r="AB794" s="92">
        <f t="shared" si="75"/>
        <v>0</v>
      </c>
      <c r="AC794" s="92"/>
      <c r="AD794" s="92">
        <v>0</v>
      </c>
      <c r="AE794" s="92">
        <f t="shared" si="76"/>
        <v>0</v>
      </c>
      <c r="AF794" s="93">
        <v>0</v>
      </c>
      <c r="AG794" s="89"/>
      <c r="AH794" s="94"/>
      <c r="AI794" s="95" t="s">
        <v>4336</v>
      </c>
      <c r="AJ794" s="96" t="s">
        <v>4337</v>
      </c>
      <c r="AK794" s="97"/>
      <c r="AL794" s="89"/>
      <c r="AM794" s="100" t="s">
        <v>4198</v>
      </c>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114"/>
      <c r="CQ794" s="115"/>
      <c r="CR794" s="114"/>
      <c r="CS794" s="115"/>
      <c r="CT794" s="114"/>
      <c r="CU794" s="115"/>
      <c r="CV794" s="99">
        <f t="shared" si="77"/>
        <v>0</v>
      </c>
      <c r="CW794" s="114"/>
      <c r="CX794" s="115"/>
      <c r="CY794" s="114"/>
      <c r="CZ794" s="115"/>
      <c r="DA794" s="115"/>
      <c r="DB794" s="115"/>
      <c r="DC794" s="114"/>
      <c r="DD794" s="115"/>
      <c r="DE794" s="97"/>
      <c r="DF794" s="269"/>
    </row>
    <row r="795" spans="1:255" s="270" customFormat="1" ht="24" x14ac:dyDescent="0.2">
      <c r="A795" s="89">
        <v>40657</v>
      </c>
      <c r="B795" s="90" t="s">
        <v>2218</v>
      </c>
      <c r="C795" s="90" t="s">
        <v>4415</v>
      </c>
      <c r="D795" s="90" t="s">
        <v>2362</v>
      </c>
      <c r="E795" s="90" t="str">
        <f>VLOOKUP(B795&amp;C795,Divipola!$C$2:$F$1138,4,FALSE)</f>
        <v>05631</v>
      </c>
      <c r="F795" s="90"/>
      <c r="G795" s="101"/>
      <c r="H795" s="101"/>
      <c r="I795" s="101"/>
      <c r="J795" s="101">
        <v>15</v>
      </c>
      <c r="K795" s="101">
        <v>3</v>
      </c>
      <c r="L795" s="101">
        <v>2</v>
      </c>
      <c r="M795" s="101">
        <v>1</v>
      </c>
      <c r="N795" s="101"/>
      <c r="O795" s="101"/>
      <c r="P795" s="101"/>
      <c r="Q795" s="101"/>
      <c r="R795" s="101"/>
      <c r="S795" s="101"/>
      <c r="T795" s="101"/>
      <c r="U795" s="101"/>
      <c r="V795" s="101"/>
      <c r="W795" s="91"/>
      <c r="X795" s="89"/>
      <c r="Y795" s="92">
        <f t="shared" si="72"/>
        <v>0</v>
      </c>
      <c r="Z795" s="92">
        <f t="shared" si="73"/>
        <v>0</v>
      </c>
      <c r="AA795" s="92">
        <f t="shared" si="74"/>
        <v>0</v>
      </c>
      <c r="AB795" s="92">
        <f t="shared" si="75"/>
        <v>0</v>
      </c>
      <c r="AC795" s="92"/>
      <c r="AD795" s="92">
        <v>0</v>
      </c>
      <c r="AE795" s="92">
        <f t="shared" si="76"/>
        <v>0</v>
      </c>
      <c r="AF795" s="93">
        <v>0</v>
      </c>
      <c r="AG795" s="89"/>
      <c r="AH795" s="94"/>
      <c r="AI795" s="102" t="s">
        <v>4336</v>
      </c>
      <c r="AJ795" s="96" t="s">
        <v>4337</v>
      </c>
      <c r="AK795" s="97"/>
      <c r="AL795" s="89"/>
      <c r="AM795" s="100" t="s">
        <v>4406</v>
      </c>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114"/>
      <c r="CQ795" s="115"/>
      <c r="CR795" s="114"/>
      <c r="CS795" s="115"/>
      <c r="CT795" s="114"/>
      <c r="CU795" s="115"/>
      <c r="CV795" s="99">
        <f t="shared" si="77"/>
        <v>0</v>
      </c>
      <c r="CW795" s="114"/>
      <c r="CX795" s="115"/>
      <c r="CY795" s="114"/>
      <c r="CZ795" s="115"/>
      <c r="DA795" s="115"/>
      <c r="DB795" s="115"/>
      <c r="DC795" s="114"/>
      <c r="DD795" s="115"/>
      <c r="DE795" s="97"/>
      <c r="DF795" s="46"/>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row>
    <row r="796" spans="1:255" s="270" customFormat="1" ht="60" x14ac:dyDescent="0.2">
      <c r="A796" s="89">
        <v>40657</v>
      </c>
      <c r="B796" s="90" t="s">
        <v>3533</v>
      </c>
      <c r="C796" s="90" t="s">
        <v>4348</v>
      </c>
      <c r="D796" s="90" t="s">
        <v>2362</v>
      </c>
      <c r="E796" s="90" t="str">
        <f>VLOOKUP(B796&amp;C796,Divipola!$C$2:$F$1138,4,FALSE)</f>
        <v>17616</v>
      </c>
      <c r="F796" s="90"/>
      <c r="G796" s="101"/>
      <c r="H796" s="101"/>
      <c r="I796" s="101"/>
      <c r="J796" s="101">
        <v>30</v>
      </c>
      <c r="K796" s="101">
        <v>6</v>
      </c>
      <c r="L796" s="101"/>
      <c r="M796" s="101">
        <v>6</v>
      </c>
      <c r="N796" s="101"/>
      <c r="O796" s="101"/>
      <c r="P796" s="101"/>
      <c r="Q796" s="101"/>
      <c r="R796" s="101"/>
      <c r="S796" s="101"/>
      <c r="T796" s="101"/>
      <c r="U796" s="101"/>
      <c r="V796" s="101"/>
      <c r="W796" s="91"/>
      <c r="X796" s="89"/>
      <c r="Y796" s="92">
        <f t="shared" si="72"/>
        <v>0</v>
      </c>
      <c r="Z796" s="92">
        <f t="shared" si="73"/>
        <v>0</v>
      </c>
      <c r="AA796" s="92">
        <f t="shared" si="74"/>
        <v>0</v>
      </c>
      <c r="AB796" s="92">
        <f t="shared" si="75"/>
        <v>0</v>
      </c>
      <c r="AC796" s="92"/>
      <c r="AD796" s="92">
        <v>40000000</v>
      </c>
      <c r="AE796" s="92">
        <f t="shared" si="76"/>
        <v>40000000</v>
      </c>
      <c r="AF796" s="93">
        <v>0</v>
      </c>
      <c r="AG796" s="89"/>
      <c r="AH796" s="94"/>
      <c r="AI796" s="95" t="s">
        <v>4346</v>
      </c>
      <c r="AJ796" s="96" t="s">
        <v>4347</v>
      </c>
      <c r="AK796" s="97"/>
      <c r="AL796" s="89"/>
      <c r="AM796" s="100" t="s">
        <v>4431</v>
      </c>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114"/>
      <c r="CQ796" s="115"/>
      <c r="CR796" s="114"/>
      <c r="CS796" s="115"/>
      <c r="CT796" s="114"/>
      <c r="CU796" s="115"/>
      <c r="CV796" s="99">
        <f t="shared" si="77"/>
        <v>0</v>
      </c>
      <c r="CW796" s="114"/>
      <c r="CX796" s="115"/>
      <c r="CY796" s="114"/>
      <c r="CZ796" s="115"/>
      <c r="DA796" s="115"/>
      <c r="DB796" s="115"/>
      <c r="DC796" s="114"/>
      <c r="DD796" s="115"/>
      <c r="DE796" s="97"/>
      <c r="DF796" s="46"/>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row>
    <row r="797" spans="1:255" s="270" customFormat="1" ht="56.25" x14ac:dyDescent="0.2">
      <c r="A797" s="89">
        <v>40657</v>
      </c>
      <c r="B797" s="106" t="s">
        <v>2225</v>
      </c>
      <c r="C797" s="106" t="s">
        <v>856</v>
      </c>
      <c r="D797" s="90" t="s">
        <v>4264</v>
      </c>
      <c r="E797" s="90" t="str">
        <f>VLOOKUP(B797&amp;C797,Divipola!$C$2:$F$1138,4,FALSE)</f>
        <v>27006</v>
      </c>
      <c r="F797" s="90"/>
      <c r="G797" s="129"/>
      <c r="H797" s="129"/>
      <c r="I797" s="129"/>
      <c r="J797" s="129">
        <f>250*5</f>
        <v>1250</v>
      </c>
      <c r="K797" s="129">
        <v>250</v>
      </c>
      <c r="L797" s="129"/>
      <c r="M797" s="129">
        <v>250</v>
      </c>
      <c r="N797" s="129"/>
      <c r="O797" s="129"/>
      <c r="P797" s="129"/>
      <c r="Q797" s="129"/>
      <c r="R797" s="129"/>
      <c r="S797" s="129"/>
      <c r="T797" s="129"/>
      <c r="U797" s="129"/>
      <c r="V797" s="129"/>
      <c r="W797" s="107"/>
      <c r="X797" s="105"/>
      <c r="Y797" s="92">
        <f t="shared" si="72"/>
        <v>16000000</v>
      </c>
      <c r="Z797" s="92">
        <f t="shared" si="73"/>
        <v>0</v>
      </c>
      <c r="AA797" s="92">
        <f t="shared" si="74"/>
        <v>0</v>
      </c>
      <c r="AB797" s="92">
        <f t="shared" si="75"/>
        <v>0</v>
      </c>
      <c r="AC797" s="123">
        <f>200*17000+200*18000+200*43000+10*2300000</f>
        <v>38600000</v>
      </c>
      <c r="AD797" s="92">
        <v>35000000</v>
      </c>
      <c r="AE797" s="92">
        <f t="shared" si="76"/>
        <v>89600000</v>
      </c>
      <c r="AF797" s="93">
        <v>0</v>
      </c>
      <c r="AG797" s="105"/>
      <c r="AH797" s="108"/>
      <c r="AI797" s="95" t="s">
        <v>4346</v>
      </c>
      <c r="AJ797" s="96" t="s">
        <v>4347</v>
      </c>
      <c r="AK797" s="111"/>
      <c r="AL797" s="105"/>
      <c r="AM797" s="104" t="s">
        <v>1118</v>
      </c>
      <c r="AN797" s="107"/>
      <c r="AO797" s="107"/>
      <c r="AP797" s="107"/>
      <c r="AQ797" s="107"/>
      <c r="AR797" s="107"/>
      <c r="AS797" s="107"/>
      <c r="AT797" s="107"/>
      <c r="AU797" s="107"/>
      <c r="AV797" s="107"/>
      <c r="AW797" s="107"/>
      <c r="AX797" s="107">
        <v>4</v>
      </c>
      <c r="AY797" s="107">
        <f>4*4000000</f>
        <v>16000000</v>
      </c>
      <c r="AZ797" s="107"/>
      <c r="BA797" s="107"/>
      <c r="BB797" s="107"/>
      <c r="BC797" s="107"/>
      <c r="BD797" s="107"/>
      <c r="BE797" s="107"/>
      <c r="BF797" s="107"/>
      <c r="BG797" s="107"/>
      <c r="BH797" s="107"/>
      <c r="BI797" s="107"/>
      <c r="BJ797" s="107"/>
      <c r="BK797" s="107"/>
      <c r="BL797" s="107"/>
      <c r="BM797" s="107"/>
      <c r="BN797" s="107"/>
      <c r="BO797" s="107"/>
      <c r="BP797" s="107"/>
      <c r="BQ797" s="107"/>
      <c r="BR797" s="107"/>
      <c r="BS797" s="107"/>
      <c r="BT797" s="107"/>
      <c r="BU797" s="107"/>
      <c r="BV797" s="107"/>
      <c r="BW797" s="107"/>
      <c r="BX797" s="107"/>
      <c r="BY797" s="107"/>
      <c r="BZ797" s="107"/>
      <c r="CA797" s="107"/>
      <c r="CB797" s="107"/>
      <c r="CC797" s="107"/>
      <c r="CD797" s="107"/>
      <c r="CE797" s="107"/>
      <c r="CF797" s="107"/>
      <c r="CG797" s="107"/>
      <c r="CH797" s="107"/>
      <c r="CI797" s="107"/>
      <c r="CJ797" s="107"/>
      <c r="CK797" s="107"/>
      <c r="CL797" s="107"/>
      <c r="CM797" s="107"/>
      <c r="CN797" s="118"/>
      <c r="CO797" s="119"/>
      <c r="CP797" s="118"/>
      <c r="CQ797" s="119"/>
      <c r="CR797" s="118"/>
      <c r="CS797" s="119"/>
      <c r="CT797" s="113"/>
      <c r="CU797" s="118"/>
      <c r="CV797" s="99">
        <f t="shared" si="77"/>
        <v>16000000</v>
      </c>
      <c r="CW797" s="118"/>
      <c r="CX797" s="119"/>
      <c r="CY797" s="119"/>
      <c r="CZ797" s="119"/>
      <c r="DA797" s="118"/>
      <c r="DB797" s="119"/>
      <c r="DC797" s="111"/>
      <c r="DD797" s="119"/>
      <c r="DE797" s="111"/>
      <c r="DF797" s="269"/>
    </row>
    <row r="798" spans="1:255" s="270" customFormat="1" ht="36" x14ac:dyDescent="0.2">
      <c r="A798" s="89">
        <v>40657</v>
      </c>
      <c r="B798" s="90" t="s">
        <v>4344</v>
      </c>
      <c r="C798" s="90" t="s">
        <v>1027</v>
      </c>
      <c r="D798" s="90" t="s">
        <v>4264</v>
      </c>
      <c r="E798" s="90" t="str">
        <f>VLOOKUP(B798&amp;C798,Divipola!$C$2:$F$1138,4,FALSE)</f>
        <v>25224</v>
      </c>
      <c r="F798" s="90"/>
      <c r="G798" s="101"/>
      <c r="H798" s="101"/>
      <c r="I798" s="101"/>
      <c r="J798" s="101">
        <v>23</v>
      </c>
      <c r="K798" s="101">
        <v>5</v>
      </c>
      <c r="L798" s="101"/>
      <c r="M798" s="101">
        <v>5</v>
      </c>
      <c r="N798" s="101"/>
      <c r="O798" s="101"/>
      <c r="P798" s="101"/>
      <c r="Q798" s="101"/>
      <c r="R798" s="101"/>
      <c r="S798" s="101"/>
      <c r="T798" s="101"/>
      <c r="U798" s="101"/>
      <c r="V798" s="101"/>
      <c r="W798" s="91"/>
      <c r="X798" s="89"/>
      <c r="Y798" s="92">
        <f t="shared" si="72"/>
        <v>0</v>
      </c>
      <c r="Z798" s="92">
        <f t="shared" si="73"/>
        <v>0</v>
      </c>
      <c r="AA798" s="92">
        <f t="shared" si="74"/>
        <v>0</v>
      </c>
      <c r="AB798" s="92">
        <f t="shared" si="75"/>
        <v>0</v>
      </c>
      <c r="AC798" s="92"/>
      <c r="AD798" s="92">
        <v>0</v>
      </c>
      <c r="AE798" s="92">
        <f t="shared" si="76"/>
        <v>0</v>
      </c>
      <c r="AF798" s="93">
        <v>0</v>
      </c>
      <c r="AG798" s="89"/>
      <c r="AH798" s="94"/>
      <c r="AI798" s="102" t="s">
        <v>4336</v>
      </c>
      <c r="AJ798" s="96" t="s">
        <v>4337</v>
      </c>
      <c r="AK798" s="97"/>
      <c r="AL798" s="89"/>
      <c r="AM798" s="100" t="s">
        <v>4530</v>
      </c>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114"/>
      <c r="CQ798" s="115"/>
      <c r="CR798" s="114"/>
      <c r="CS798" s="115"/>
      <c r="CT798" s="114"/>
      <c r="CU798" s="115"/>
      <c r="CV798" s="99">
        <f t="shared" si="77"/>
        <v>0</v>
      </c>
      <c r="CW798" s="114"/>
      <c r="CX798" s="115"/>
      <c r="CY798" s="114"/>
      <c r="CZ798" s="115"/>
      <c r="DA798" s="115"/>
      <c r="DB798" s="115"/>
      <c r="DC798" s="114"/>
      <c r="DD798" s="115"/>
      <c r="DE798" s="97"/>
      <c r="DF798" s="46"/>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row>
    <row r="799" spans="1:255" s="270" customFormat="1" ht="108" x14ac:dyDescent="0.2">
      <c r="A799" s="89">
        <v>40657</v>
      </c>
      <c r="B799" s="90" t="s">
        <v>4344</v>
      </c>
      <c r="C799" s="90" t="s">
        <v>3552</v>
      </c>
      <c r="D799" s="90" t="s">
        <v>2362</v>
      </c>
      <c r="E799" s="90" t="str">
        <f>VLOOKUP(B799&amp;C799,Divipola!$C$2:$F$1138,4,FALSE)</f>
        <v>25320</v>
      </c>
      <c r="F799" s="90"/>
      <c r="G799" s="101"/>
      <c r="H799" s="101"/>
      <c r="I799" s="101"/>
      <c r="J799" s="101"/>
      <c r="K799" s="101"/>
      <c r="L799" s="101"/>
      <c r="M799" s="101"/>
      <c r="N799" s="101"/>
      <c r="O799" s="101"/>
      <c r="P799" s="101"/>
      <c r="Q799" s="101"/>
      <c r="R799" s="101"/>
      <c r="S799" s="101"/>
      <c r="T799" s="101"/>
      <c r="U799" s="101"/>
      <c r="V799" s="101"/>
      <c r="W799" s="91"/>
      <c r="X799" s="89"/>
      <c r="Y799" s="92">
        <f t="shared" si="72"/>
        <v>30680000</v>
      </c>
      <c r="Z799" s="92">
        <f t="shared" si="73"/>
        <v>34000000</v>
      </c>
      <c r="AA799" s="92">
        <f t="shared" si="74"/>
        <v>0</v>
      </c>
      <c r="AB799" s="92">
        <f t="shared" si="75"/>
        <v>0</v>
      </c>
      <c r="AC799" s="92"/>
      <c r="AD799" s="92">
        <v>0</v>
      </c>
      <c r="AE799" s="92">
        <f t="shared" si="76"/>
        <v>64680000</v>
      </c>
      <c r="AF799" s="93">
        <v>0</v>
      </c>
      <c r="AG799" s="89"/>
      <c r="AH799" s="94"/>
      <c r="AI799" s="102" t="s">
        <v>4346</v>
      </c>
      <c r="AJ799" s="96" t="s">
        <v>4347</v>
      </c>
      <c r="AK799" s="97"/>
      <c r="AL799" s="89"/>
      <c r="AM799" s="100" t="s">
        <v>16</v>
      </c>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114">
        <v>400</v>
      </c>
      <c r="CQ799" s="115">
        <f>400*37000</f>
        <v>14800000</v>
      </c>
      <c r="CR799" s="114">
        <v>400</v>
      </c>
      <c r="CS799" s="115">
        <f>400*39700</f>
        <v>15880000</v>
      </c>
      <c r="CT799" s="114"/>
      <c r="CU799" s="115"/>
      <c r="CV799" s="99">
        <f t="shared" si="77"/>
        <v>30680000</v>
      </c>
      <c r="CW799" s="114"/>
      <c r="CX799" s="115"/>
      <c r="CY799" s="114">
        <v>400</v>
      </c>
      <c r="CZ799" s="115">
        <f>400*85000</f>
        <v>34000000</v>
      </c>
      <c r="DA799" s="115"/>
      <c r="DB799" s="115"/>
      <c r="DC799" s="114"/>
      <c r="DD799" s="115"/>
      <c r="DE799" s="97"/>
      <c r="DF799" s="269"/>
    </row>
    <row r="800" spans="1:255" s="270" customFormat="1" ht="24" x14ac:dyDescent="0.2">
      <c r="A800" s="89">
        <v>40657</v>
      </c>
      <c r="B800" s="90" t="s">
        <v>4344</v>
      </c>
      <c r="C800" s="90" t="s">
        <v>2214</v>
      </c>
      <c r="D800" s="90" t="s">
        <v>2362</v>
      </c>
      <c r="E800" s="90" t="str">
        <f>VLOOKUP(B800&amp;C800,Divipola!$C$2:$F$1138,4,FALSE)</f>
        <v>25394</v>
      </c>
      <c r="F800" s="90"/>
      <c r="G800" s="101"/>
      <c r="H800" s="101"/>
      <c r="I800" s="101"/>
      <c r="J800" s="101">
        <v>157</v>
      </c>
      <c r="K800" s="101">
        <v>33</v>
      </c>
      <c r="L800" s="101"/>
      <c r="M800" s="101">
        <v>33</v>
      </c>
      <c r="N800" s="101"/>
      <c r="O800" s="101"/>
      <c r="P800" s="101"/>
      <c r="Q800" s="101"/>
      <c r="R800" s="101"/>
      <c r="S800" s="101"/>
      <c r="T800" s="101"/>
      <c r="U800" s="101"/>
      <c r="V800" s="101"/>
      <c r="W800" s="91"/>
      <c r="X800" s="89"/>
      <c r="Y800" s="92">
        <f t="shared" si="72"/>
        <v>0</v>
      </c>
      <c r="Z800" s="92">
        <f t="shared" si="73"/>
        <v>0</v>
      </c>
      <c r="AA800" s="92">
        <f t="shared" si="74"/>
        <v>0</v>
      </c>
      <c r="AB800" s="92">
        <f t="shared" si="75"/>
        <v>0</v>
      </c>
      <c r="AC800" s="92"/>
      <c r="AD800" s="92">
        <v>0</v>
      </c>
      <c r="AE800" s="92">
        <f t="shared" si="76"/>
        <v>0</v>
      </c>
      <c r="AF800" s="93">
        <v>0</v>
      </c>
      <c r="AG800" s="89"/>
      <c r="AH800" s="94"/>
      <c r="AI800" s="102" t="s">
        <v>4336</v>
      </c>
      <c r="AJ800" s="96" t="s">
        <v>4337</v>
      </c>
      <c r="AK800" s="97"/>
      <c r="AL800" s="89"/>
      <c r="AM800" s="100" t="s">
        <v>3721</v>
      </c>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114"/>
      <c r="CQ800" s="115"/>
      <c r="CR800" s="114"/>
      <c r="CS800" s="115"/>
      <c r="CT800" s="114"/>
      <c r="CU800" s="115"/>
      <c r="CV800" s="99">
        <f t="shared" si="77"/>
        <v>0</v>
      </c>
      <c r="CW800" s="114"/>
      <c r="CX800" s="115"/>
      <c r="CY800" s="114"/>
      <c r="CZ800" s="115"/>
      <c r="DA800" s="115"/>
      <c r="DB800" s="115"/>
      <c r="DC800" s="114"/>
      <c r="DD800" s="115"/>
      <c r="DE800" s="97"/>
      <c r="DF800" s="269"/>
    </row>
    <row r="801" spans="1:255" s="42" customFormat="1" ht="60" x14ac:dyDescent="0.2">
      <c r="A801" s="89">
        <v>40657</v>
      </c>
      <c r="B801" s="90" t="s">
        <v>4344</v>
      </c>
      <c r="C801" s="90" t="s">
        <v>4516</v>
      </c>
      <c r="D801" s="90" t="s">
        <v>4264</v>
      </c>
      <c r="E801" s="90" t="str">
        <f>VLOOKUP(B801&amp;C801,Divipola!$C$2:$F$1138,4,FALSE)</f>
        <v>25772</v>
      </c>
      <c r="F801" s="90"/>
      <c r="G801" s="101"/>
      <c r="H801" s="101"/>
      <c r="I801" s="101"/>
      <c r="J801" s="101">
        <v>56</v>
      </c>
      <c r="K801" s="101">
        <v>12</v>
      </c>
      <c r="L801" s="101">
        <v>1</v>
      </c>
      <c r="M801" s="101">
        <v>11</v>
      </c>
      <c r="N801" s="101"/>
      <c r="O801" s="101"/>
      <c r="P801" s="101"/>
      <c r="Q801" s="101"/>
      <c r="R801" s="101"/>
      <c r="S801" s="101"/>
      <c r="T801" s="101"/>
      <c r="U801" s="101"/>
      <c r="V801" s="101"/>
      <c r="W801" s="91"/>
      <c r="X801" s="89"/>
      <c r="Y801" s="92">
        <f t="shared" si="72"/>
        <v>0</v>
      </c>
      <c r="Z801" s="92">
        <f t="shared" si="73"/>
        <v>0</v>
      </c>
      <c r="AA801" s="92">
        <f t="shared" si="74"/>
        <v>0</v>
      </c>
      <c r="AB801" s="92">
        <f t="shared" si="75"/>
        <v>0</v>
      </c>
      <c r="AC801" s="92"/>
      <c r="AD801" s="92">
        <v>0</v>
      </c>
      <c r="AE801" s="92">
        <f t="shared" si="76"/>
        <v>0</v>
      </c>
      <c r="AF801" s="93">
        <v>0</v>
      </c>
      <c r="AG801" s="89"/>
      <c r="AH801" s="94"/>
      <c r="AI801" s="102" t="s">
        <v>4336</v>
      </c>
      <c r="AJ801" s="96" t="s">
        <v>4337</v>
      </c>
      <c r="AK801" s="97"/>
      <c r="AL801" s="89"/>
      <c r="AM801" s="100" t="s">
        <v>4529</v>
      </c>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114"/>
      <c r="CQ801" s="115"/>
      <c r="CR801" s="114"/>
      <c r="CS801" s="115"/>
      <c r="CT801" s="114"/>
      <c r="CU801" s="115"/>
      <c r="CV801" s="99">
        <f t="shared" si="77"/>
        <v>0</v>
      </c>
      <c r="CW801" s="114"/>
      <c r="CX801" s="115"/>
      <c r="CY801" s="114"/>
      <c r="CZ801" s="115"/>
      <c r="DA801" s="115"/>
      <c r="DB801" s="115"/>
      <c r="DC801" s="114"/>
      <c r="DD801" s="115"/>
      <c r="DE801" s="97"/>
      <c r="DF801" s="269"/>
      <c r="DG801" s="270"/>
      <c r="DH801" s="270"/>
      <c r="DI801" s="270"/>
      <c r="DJ801" s="270"/>
      <c r="DK801" s="270"/>
      <c r="DL801" s="270"/>
      <c r="DM801" s="270"/>
      <c r="DN801" s="270"/>
      <c r="DO801" s="270"/>
      <c r="DP801" s="270"/>
      <c r="DQ801" s="270"/>
      <c r="DR801" s="270"/>
      <c r="DS801" s="270"/>
      <c r="DT801" s="270"/>
      <c r="DU801" s="270"/>
      <c r="DV801" s="270"/>
      <c r="DW801" s="270"/>
      <c r="DX801" s="270"/>
      <c r="DY801" s="270"/>
      <c r="DZ801" s="270"/>
      <c r="EA801" s="270"/>
      <c r="EB801" s="270"/>
      <c r="EC801" s="270"/>
      <c r="ED801" s="270"/>
      <c r="EE801" s="270"/>
      <c r="EF801" s="270"/>
      <c r="EG801" s="270"/>
      <c r="EH801" s="270"/>
      <c r="EI801" s="270"/>
      <c r="EJ801" s="270"/>
      <c r="EK801" s="270"/>
      <c r="EL801" s="270"/>
      <c r="EM801" s="270"/>
      <c r="EN801" s="270"/>
      <c r="EO801" s="270"/>
      <c r="EP801" s="270"/>
      <c r="EQ801" s="270"/>
      <c r="ER801" s="270"/>
      <c r="ES801" s="270"/>
      <c r="ET801" s="270"/>
      <c r="EU801" s="270"/>
      <c r="EV801" s="270"/>
      <c r="EW801" s="270"/>
      <c r="EX801" s="270"/>
      <c r="EY801" s="270"/>
      <c r="EZ801" s="270"/>
      <c r="FA801" s="270"/>
      <c r="FB801" s="270"/>
      <c r="FC801" s="270"/>
      <c r="FD801" s="270"/>
      <c r="FE801" s="270"/>
      <c r="FF801" s="270"/>
      <c r="FG801" s="270"/>
      <c r="FH801" s="270"/>
      <c r="FI801" s="270"/>
      <c r="FJ801" s="270"/>
      <c r="FK801" s="270"/>
      <c r="FL801" s="270"/>
      <c r="FM801" s="270"/>
      <c r="FN801" s="270"/>
      <c r="FO801" s="270"/>
      <c r="FP801" s="270"/>
      <c r="FQ801" s="270"/>
      <c r="FR801" s="270"/>
      <c r="FS801" s="270"/>
      <c r="FT801" s="270"/>
      <c r="FU801" s="270"/>
      <c r="FV801" s="270"/>
      <c r="FW801" s="270"/>
      <c r="FX801" s="270"/>
      <c r="FY801" s="270"/>
      <c r="FZ801" s="270"/>
      <c r="GA801" s="270"/>
      <c r="GB801" s="270"/>
      <c r="GC801" s="270"/>
      <c r="GD801" s="270"/>
      <c r="GE801" s="270"/>
      <c r="GF801" s="270"/>
      <c r="GG801" s="270"/>
      <c r="GH801" s="270"/>
      <c r="GI801" s="270"/>
      <c r="GJ801" s="270"/>
      <c r="GK801" s="270"/>
      <c r="GL801" s="270"/>
      <c r="GM801" s="270"/>
      <c r="GN801" s="270"/>
      <c r="GO801" s="270"/>
      <c r="GP801" s="270"/>
      <c r="GQ801" s="270"/>
      <c r="GR801" s="270"/>
      <c r="GS801" s="270"/>
      <c r="GT801" s="270"/>
      <c r="GU801" s="270"/>
      <c r="GV801" s="270"/>
      <c r="GW801" s="270"/>
      <c r="GX801" s="270"/>
      <c r="GY801" s="270"/>
      <c r="GZ801" s="270"/>
      <c r="HA801" s="270"/>
      <c r="HB801" s="270"/>
      <c r="HC801" s="270"/>
      <c r="HD801" s="270"/>
      <c r="HE801" s="270"/>
      <c r="HF801" s="270"/>
      <c r="HG801" s="270"/>
      <c r="HH801" s="270"/>
      <c r="HI801" s="270"/>
      <c r="HJ801" s="270"/>
      <c r="HK801" s="270"/>
      <c r="HL801" s="270"/>
      <c r="HM801" s="270"/>
      <c r="HN801" s="270"/>
      <c r="HO801" s="270"/>
      <c r="HP801" s="270"/>
      <c r="HQ801" s="270"/>
      <c r="HR801" s="270"/>
      <c r="HS801" s="270"/>
      <c r="HT801" s="270"/>
      <c r="HU801" s="270"/>
      <c r="HV801" s="270"/>
      <c r="HW801" s="270"/>
      <c r="HX801" s="270"/>
      <c r="HY801" s="270"/>
      <c r="HZ801" s="270"/>
      <c r="IA801" s="270"/>
      <c r="IB801" s="270"/>
      <c r="IC801" s="270"/>
      <c r="ID801" s="270"/>
      <c r="IE801" s="270"/>
      <c r="IF801" s="270"/>
      <c r="IG801" s="270"/>
      <c r="IH801" s="270"/>
      <c r="II801" s="270"/>
      <c r="IJ801" s="270"/>
      <c r="IK801" s="270"/>
      <c r="IL801" s="270"/>
      <c r="IM801" s="270"/>
      <c r="IN801" s="270"/>
      <c r="IO801" s="270"/>
      <c r="IP801" s="270"/>
      <c r="IQ801" s="270"/>
      <c r="IR801" s="270"/>
      <c r="IS801" s="270"/>
      <c r="IT801" s="270"/>
      <c r="IU801" s="270"/>
    </row>
    <row r="802" spans="1:255" s="270" customFormat="1" ht="36" x14ac:dyDescent="0.2">
      <c r="A802" s="89">
        <v>40657</v>
      </c>
      <c r="B802" s="90" t="s">
        <v>874</v>
      </c>
      <c r="C802" s="90" t="s">
        <v>710</v>
      </c>
      <c r="D802" s="90" t="s">
        <v>4264</v>
      </c>
      <c r="E802" s="90" t="str">
        <f>VLOOKUP(B802&amp;C802,Divipola!$C$2:$F$1138,4,FALSE)</f>
        <v>44090</v>
      </c>
      <c r="F802" s="90"/>
      <c r="G802" s="101"/>
      <c r="H802" s="101"/>
      <c r="I802" s="101"/>
      <c r="J802" s="101">
        <v>250</v>
      </c>
      <c r="K802" s="101">
        <v>50</v>
      </c>
      <c r="L802" s="101">
        <v>15</v>
      </c>
      <c r="M802" s="101">
        <v>35</v>
      </c>
      <c r="N802" s="101"/>
      <c r="O802" s="101"/>
      <c r="P802" s="101"/>
      <c r="Q802" s="101"/>
      <c r="R802" s="101"/>
      <c r="S802" s="101"/>
      <c r="T802" s="101"/>
      <c r="U802" s="101"/>
      <c r="V802" s="101"/>
      <c r="W802" s="91"/>
      <c r="X802" s="89"/>
      <c r="Y802" s="92">
        <f t="shared" si="72"/>
        <v>0</v>
      </c>
      <c r="Z802" s="92">
        <f t="shared" si="73"/>
        <v>0</v>
      </c>
      <c r="AA802" s="92">
        <f t="shared" si="74"/>
        <v>0</v>
      </c>
      <c r="AB802" s="92">
        <f t="shared" si="75"/>
        <v>0</v>
      </c>
      <c r="AC802" s="92"/>
      <c r="AD802" s="92">
        <v>0</v>
      </c>
      <c r="AE802" s="92">
        <f t="shared" si="76"/>
        <v>0</v>
      </c>
      <c r="AF802" s="93">
        <v>0</v>
      </c>
      <c r="AG802" s="89"/>
      <c r="AH802" s="94"/>
      <c r="AI802" s="102" t="s">
        <v>4336</v>
      </c>
      <c r="AJ802" s="96" t="s">
        <v>4337</v>
      </c>
      <c r="AK802" s="97"/>
      <c r="AL802" s="89"/>
      <c r="AM802" s="100" t="s">
        <v>3440</v>
      </c>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114"/>
      <c r="CQ802" s="115"/>
      <c r="CR802" s="114"/>
      <c r="CS802" s="115"/>
      <c r="CT802" s="114"/>
      <c r="CU802" s="115"/>
      <c r="CV802" s="99">
        <f t="shared" si="77"/>
        <v>0</v>
      </c>
      <c r="CW802" s="114"/>
      <c r="CX802" s="115"/>
      <c r="CY802" s="114"/>
      <c r="CZ802" s="115"/>
      <c r="DA802" s="115"/>
      <c r="DB802" s="115"/>
      <c r="DC802" s="114"/>
      <c r="DD802" s="115"/>
      <c r="DE802" s="97"/>
      <c r="DF802" s="46"/>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row>
    <row r="803" spans="1:255" s="270" customFormat="1" ht="24" x14ac:dyDescent="0.2">
      <c r="A803" s="89">
        <v>40657</v>
      </c>
      <c r="B803" s="90" t="s">
        <v>4349</v>
      </c>
      <c r="C803" s="90" t="s">
        <v>4349</v>
      </c>
      <c r="D803" s="90" t="s">
        <v>4264</v>
      </c>
      <c r="E803" s="90" t="str">
        <f>VLOOKUP(B803&amp;C803,Divipola!$C$2:$F$1138,4,FALSE)</f>
        <v>00000</v>
      </c>
      <c r="F803" s="90"/>
      <c r="G803" s="101"/>
      <c r="H803" s="101"/>
      <c r="I803" s="101"/>
      <c r="J803" s="101"/>
      <c r="K803" s="101"/>
      <c r="L803" s="101"/>
      <c r="M803" s="101"/>
      <c r="N803" s="101"/>
      <c r="O803" s="101"/>
      <c r="P803" s="101"/>
      <c r="Q803" s="101"/>
      <c r="R803" s="101"/>
      <c r="S803" s="101"/>
      <c r="T803" s="101"/>
      <c r="U803" s="101"/>
      <c r="V803" s="101"/>
      <c r="W803" s="91"/>
      <c r="X803" s="89"/>
      <c r="Y803" s="92">
        <f t="shared" si="72"/>
        <v>0</v>
      </c>
      <c r="Z803" s="92">
        <f t="shared" si="73"/>
        <v>0</v>
      </c>
      <c r="AA803" s="92">
        <f t="shared" si="74"/>
        <v>0</v>
      </c>
      <c r="AB803" s="92">
        <f t="shared" si="75"/>
        <v>180032000</v>
      </c>
      <c r="AC803" s="92"/>
      <c r="AD803" s="92">
        <v>0</v>
      </c>
      <c r="AE803" s="92">
        <f t="shared" si="76"/>
        <v>180032000</v>
      </c>
      <c r="AF803" s="93">
        <v>0</v>
      </c>
      <c r="AG803" s="89"/>
      <c r="AH803" s="94"/>
      <c r="AI803" s="95" t="s">
        <v>4346</v>
      </c>
      <c r="AJ803" s="96" t="s">
        <v>4347</v>
      </c>
      <c r="AK803" s="97"/>
      <c r="AL803" s="89"/>
      <c r="AM803" s="100" t="s">
        <v>1047</v>
      </c>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114"/>
      <c r="CQ803" s="115"/>
      <c r="CR803" s="114"/>
      <c r="CS803" s="115"/>
      <c r="CT803" s="114"/>
      <c r="CU803" s="115"/>
      <c r="CV803" s="99">
        <f t="shared" si="77"/>
        <v>0</v>
      </c>
      <c r="CW803" s="114">
        <v>200000</v>
      </c>
      <c r="CX803" s="115">
        <f>200000*900.16</f>
        <v>180032000</v>
      </c>
      <c r="CY803" s="114"/>
      <c r="CZ803" s="115"/>
      <c r="DA803" s="115"/>
      <c r="DB803" s="115"/>
      <c r="DC803" s="114"/>
      <c r="DD803" s="115"/>
      <c r="DE803" s="97"/>
      <c r="DF803" s="269"/>
    </row>
    <row r="804" spans="1:255" s="270" customFormat="1" ht="78.75" x14ac:dyDescent="0.2">
      <c r="A804" s="89">
        <v>40657</v>
      </c>
      <c r="B804" s="90" t="s">
        <v>4221</v>
      </c>
      <c r="C804" s="90" t="s">
        <v>2237</v>
      </c>
      <c r="D804" s="90" t="s">
        <v>4264</v>
      </c>
      <c r="E804" s="90" t="str">
        <f>VLOOKUP(B804&amp;C804,Divipola!$C$2:$F$1138,4,FALSE)</f>
        <v>54261</v>
      </c>
      <c r="F804" s="90"/>
      <c r="G804" s="101"/>
      <c r="H804" s="101"/>
      <c r="I804" s="101"/>
      <c r="J804" s="101">
        <v>1562</v>
      </c>
      <c r="K804" s="101">
        <v>404</v>
      </c>
      <c r="L804" s="101">
        <v>28</v>
      </c>
      <c r="M804" s="101">
        <v>166</v>
      </c>
      <c r="N804" s="101"/>
      <c r="O804" s="101"/>
      <c r="P804" s="101"/>
      <c r="Q804" s="101"/>
      <c r="R804" s="101"/>
      <c r="S804" s="101"/>
      <c r="T804" s="101"/>
      <c r="U804" s="101"/>
      <c r="V804" s="101">
        <v>1369</v>
      </c>
      <c r="W804" s="91" t="s">
        <v>4165</v>
      </c>
      <c r="X804" s="89"/>
      <c r="Y804" s="92">
        <f t="shared" si="72"/>
        <v>0</v>
      </c>
      <c r="Z804" s="92">
        <f t="shared" si="73"/>
        <v>0</v>
      </c>
      <c r="AA804" s="92">
        <f t="shared" si="74"/>
        <v>0</v>
      </c>
      <c r="AB804" s="92">
        <f t="shared" si="75"/>
        <v>0</v>
      </c>
      <c r="AC804" s="92"/>
      <c r="AD804" s="92">
        <v>0</v>
      </c>
      <c r="AE804" s="92">
        <f t="shared" si="76"/>
        <v>0</v>
      </c>
      <c r="AF804" s="93">
        <v>0</v>
      </c>
      <c r="AG804" s="89"/>
      <c r="AH804" s="94"/>
      <c r="AI804" s="102" t="s">
        <v>4336</v>
      </c>
      <c r="AJ804" s="96" t="s">
        <v>4337</v>
      </c>
      <c r="AK804" s="97"/>
      <c r="AL804" s="89"/>
      <c r="AM804" s="100" t="s">
        <v>4166</v>
      </c>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114"/>
      <c r="CQ804" s="115"/>
      <c r="CR804" s="114"/>
      <c r="CS804" s="115"/>
      <c r="CT804" s="114"/>
      <c r="CU804" s="115"/>
      <c r="CV804" s="99">
        <f t="shared" si="77"/>
        <v>0</v>
      </c>
      <c r="CW804" s="114"/>
      <c r="CX804" s="115"/>
      <c r="CY804" s="114"/>
      <c r="CZ804" s="115"/>
      <c r="DA804" s="115"/>
      <c r="DB804" s="115"/>
      <c r="DC804" s="114"/>
      <c r="DD804" s="115"/>
      <c r="DE804" s="97"/>
      <c r="DF804" s="46"/>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row>
    <row r="805" spans="1:255" s="270" customFormat="1" ht="96" x14ac:dyDescent="0.2">
      <c r="A805" s="89">
        <v>40657</v>
      </c>
      <c r="B805" s="90" t="s">
        <v>4221</v>
      </c>
      <c r="C805" s="90" t="s">
        <v>3540</v>
      </c>
      <c r="D805" s="90" t="s">
        <v>4264</v>
      </c>
      <c r="E805" s="90" t="str">
        <f>VLOOKUP(B805&amp;C805,Divipola!$C$2:$F$1138,4,FALSE)</f>
        <v>54344</v>
      </c>
      <c r="F805" s="90"/>
      <c r="G805" s="101"/>
      <c r="H805" s="101"/>
      <c r="I805" s="101">
        <v>2</v>
      </c>
      <c r="J805" s="101"/>
      <c r="K805" s="101"/>
      <c r="L805" s="101"/>
      <c r="M805" s="101"/>
      <c r="N805" s="101"/>
      <c r="O805" s="101"/>
      <c r="P805" s="101"/>
      <c r="Q805" s="101"/>
      <c r="R805" s="101"/>
      <c r="S805" s="101"/>
      <c r="T805" s="101"/>
      <c r="U805" s="101"/>
      <c r="V805" s="101"/>
      <c r="W805" s="91"/>
      <c r="X805" s="89"/>
      <c r="Y805" s="92">
        <f t="shared" si="72"/>
        <v>132700000</v>
      </c>
      <c r="Z805" s="92">
        <f t="shared" si="73"/>
        <v>127500000</v>
      </c>
      <c r="AA805" s="92">
        <f t="shared" si="74"/>
        <v>154744000</v>
      </c>
      <c r="AB805" s="92">
        <f t="shared" si="75"/>
        <v>0</v>
      </c>
      <c r="AC805" s="92">
        <f>1000*66352+1000*57826+500*40832</f>
        <v>144594000</v>
      </c>
      <c r="AD805" s="92">
        <v>0</v>
      </c>
      <c r="AE805" s="92">
        <f t="shared" si="76"/>
        <v>559538000</v>
      </c>
      <c r="AF805" s="93">
        <v>0</v>
      </c>
      <c r="AG805" s="89"/>
      <c r="AH805" s="94"/>
      <c r="AI805" s="95" t="s">
        <v>4346</v>
      </c>
      <c r="AJ805" s="96" t="s">
        <v>4347</v>
      </c>
      <c r="AK805" s="97"/>
      <c r="AL805" s="89" t="s">
        <v>1049</v>
      </c>
      <c r="AM805" s="100" t="s">
        <v>254</v>
      </c>
      <c r="AN805" s="91"/>
      <c r="AO805" s="91"/>
      <c r="AP805" s="91"/>
      <c r="AQ805" s="91"/>
      <c r="AR805" s="91"/>
      <c r="AS805" s="91"/>
      <c r="AT805" s="91"/>
      <c r="AU805" s="91"/>
      <c r="AV805" s="91"/>
      <c r="AW805" s="91"/>
      <c r="AX805" s="91"/>
      <c r="AY805" s="91"/>
      <c r="AZ805" s="91">
        <v>1000</v>
      </c>
      <c r="BA805" s="91">
        <f>1000*56000</f>
        <v>56000000</v>
      </c>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114">
        <v>1000</v>
      </c>
      <c r="CQ805" s="115">
        <f>1000*37000</f>
        <v>37000000</v>
      </c>
      <c r="CR805" s="114">
        <v>1000</v>
      </c>
      <c r="CS805" s="115">
        <f>1000*39700</f>
        <v>39700000</v>
      </c>
      <c r="CT805" s="114"/>
      <c r="CU805" s="115"/>
      <c r="CV805" s="99">
        <f t="shared" si="77"/>
        <v>132700000</v>
      </c>
      <c r="CW805" s="114"/>
      <c r="CX805" s="115"/>
      <c r="CY805" s="114">
        <v>1500</v>
      </c>
      <c r="CZ805" s="115">
        <f>1500*85000</f>
        <v>127500000</v>
      </c>
      <c r="DA805" s="115">
        <v>3000</v>
      </c>
      <c r="DB805" s="115">
        <f>3000*22968</f>
        <v>68904000</v>
      </c>
      <c r="DC805" s="114">
        <v>5000</v>
      </c>
      <c r="DD805" s="115">
        <f>5000*17168</f>
        <v>85840000</v>
      </c>
      <c r="DE805" s="97"/>
      <c r="DF805" s="46"/>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row>
    <row r="806" spans="1:255" s="270" customFormat="1" ht="36" x14ac:dyDescent="0.2">
      <c r="A806" s="89">
        <v>40657</v>
      </c>
      <c r="B806" s="90" t="s">
        <v>4221</v>
      </c>
      <c r="C806" s="90" t="s">
        <v>3557</v>
      </c>
      <c r="D806" s="90" t="s">
        <v>4264</v>
      </c>
      <c r="E806" s="90" t="str">
        <f>VLOOKUP(B806&amp;C806,Divipola!$C$2:$F$1138,4,FALSE)</f>
        <v>54680</v>
      </c>
      <c r="F806" s="90"/>
      <c r="G806" s="101"/>
      <c r="H806" s="101"/>
      <c r="I806" s="101"/>
      <c r="J806" s="101">
        <v>250</v>
      </c>
      <c r="K806" s="101">
        <v>50</v>
      </c>
      <c r="L806" s="101"/>
      <c r="M806" s="101">
        <v>50</v>
      </c>
      <c r="N806" s="101"/>
      <c r="O806" s="101"/>
      <c r="P806" s="101"/>
      <c r="Q806" s="101"/>
      <c r="R806" s="101"/>
      <c r="S806" s="101"/>
      <c r="T806" s="101"/>
      <c r="U806" s="101"/>
      <c r="V806" s="101"/>
      <c r="W806" s="91"/>
      <c r="X806" s="89"/>
      <c r="Y806" s="92">
        <f t="shared" si="72"/>
        <v>0</v>
      </c>
      <c r="Z806" s="92">
        <f t="shared" si="73"/>
        <v>0</v>
      </c>
      <c r="AA806" s="92">
        <f t="shared" si="74"/>
        <v>0</v>
      </c>
      <c r="AB806" s="92">
        <f t="shared" si="75"/>
        <v>0</v>
      </c>
      <c r="AC806" s="92"/>
      <c r="AD806" s="92">
        <v>0</v>
      </c>
      <c r="AE806" s="92">
        <f t="shared" si="76"/>
        <v>0</v>
      </c>
      <c r="AF806" s="93">
        <v>0</v>
      </c>
      <c r="AG806" s="89"/>
      <c r="AH806" s="94"/>
      <c r="AI806" s="95" t="s">
        <v>4346</v>
      </c>
      <c r="AJ806" s="96" t="s">
        <v>4347</v>
      </c>
      <c r="AK806" s="97"/>
      <c r="AL806" s="89" t="s">
        <v>1049</v>
      </c>
      <c r="AM806" s="100" t="s">
        <v>4408</v>
      </c>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114"/>
      <c r="CQ806" s="115"/>
      <c r="CR806" s="114"/>
      <c r="CS806" s="115"/>
      <c r="CT806" s="114"/>
      <c r="CU806" s="115"/>
      <c r="CV806" s="99">
        <f t="shared" si="77"/>
        <v>0</v>
      </c>
      <c r="CW806" s="114"/>
      <c r="CX806" s="115"/>
      <c r="CY806" s="114"/>
      <c r="CZ806" s="115"/>
      <c r="DA806" s="115"/>
      <c r="DB806" s="115"/>
      <c r="DC806" s="114"/>
      <c r="DD806" s="115"/>
      <c r="DE806" s="97"/>
      <c r="DF806" s="269"/>
    </row>
    <row r="807" spans="1:255" s="270" customFormat="1" ht="48" x14ac:dyDescent="0.2">
      <c r="A807" s="89">
        <v>40657</v>
      </c>
      <c r="B807" s="90" t="s">
        <v>4221</v>
      </c>
      <c r="C807" s="90" t="s">
        <v>3539</v>
      </c>
      <c r="D807" s="90" t="s">
        <v>4264</v>
      </c>
      <c r="E807" s="90" t="str">
        <f>VLOOKUP(B807&amp;C807,Divipola!$C$2:$F$1138,4,FALSE)</f>
        <v>54800</v>
      </c>
      <c r="F807" s="90"/>
      <c r="G807" s="101"/>
      <c r="H807" s="101"/>
      <c r="I807" s="101"/>
      <c r="J807" s="101">
        <v>350</v>
      </c>
      <c r="K807" s="101">
        <v>70</v>
      </c>
      <c r="L807" s="101">
        <v>30</v>
      </c>
      <c r="M807" s="101">
        <v>40</v>
      </c>
      <c r="N807" s="101"/>
      <c r="O807" s="101"/>
      <c r="P807" s="101"/>
      <c r="Q807" s="101"/>
      <c r="R807" s="101"/>
      <c r="S807" s="101"/>
      <c r="T807" s="101"/>
      <c r="U807" s="101"/>
      <c r="V807" s="101"/>
      <c r="W807" s="91"/>
      <c r="X807" s="89"/>
      <c r="Y807" s="92">
        <f t="shared" si="72"/>
        <v>0</v>
      </c>
      <c r="Z807" s="92">
        <f t="shared" si="73"/>
        <v>0</v>
      </c>
      <c r="AA807" s="92">
        <f t="shared" si="74"/>
        <v>0</v>
      </c>
      <c r="AB807" s="92">
        <f t="shared" si="75"/>
        <v>0</v>
      </c>
      <c r="AC807" s="92"/>
      <c r="AD807" s="92">
        <v>0</v>
      </c>
      <c r="AE807" s="92">
        <f t="shared" si="76"/>
        <v>0</v>
      </c>
      <c r="AF807" s="93">
        <v>0</v>
      </c>
      <c r="AG807" s="89"/>
      <c r="AH807" s="94"/>
      <c r="AI807" s="102" t="s">
        <v>4336</v>
      </c>
      <c r="AJ807" s="96" t="s">
        <v>4337</v>
      </c>
      <c r="AK807" s="97"/>
      <c r="AL807" s="89"/>
      <c r="AM807" s="100" t="s">
        <v>2876</v>
      </c>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114"/>
      <c r="CQ807" s="115"/>
      <c r="CR807" s="114"/>
      <c r="CS807" s="115"/>
      <c r="CT807" s="114"/>
      <c r="CU807" s="115"/>
      <c r="CV807" s="99">
        <f t="shared" si="77"/>
        <v>0</v>
      </c>
      <c r="CW807" s="114"/>
      <c r="CX807" s="115"/>
      <c r="CY807" s="114"/>
      <c r="CZ807" s="115"/>
      <c r="DA807" s="115"/>
      <c r="DB807" s="115"/>
      <c r="DC807" s="114"/>
      <c r="DD807" s="115"/>
      <c r="DE807" s="97"/>
      <c r="DF807" s="46"/>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row>
    <row r="808" spans="1:255" s="270" customFormat="1" ht="48" x14ac:dyDescent="0.2">
      <c r="A808" s="89">
        <v>40657</v>
      </c>
      <c r="B808" s="90" t="s">
        <v>4244</v>
      </c>
      <c r="C808" s="90" t="s">
        <v>3378</v>
      </c>
      <c r="D808" s="90" t="s">
        <v>4264</v>
      </c>
      <c r="E808" s="90" t="str">
        <f>VLOOKUP(B808&amp;C808,Divipola!$C$2:$F$1138,4,FALSE)</f>
        <v>76041</v>
      </c>
      <c r="F808" s="90"/>
      <c r="G808" s="101"/>
      <c r="H808" s="101"/>
      <c r="I808" s="101"/>
      <c r="J808" s="101"/>
      <c r="K808" s="101"/>
      <c r="L808" s="101"/>
      <c r="M808" s="101"/>
      <c r="N808" s="101"/>
      <c r="O808" s="101"/>
      <c r="P808" s="101"/>
      <c r="Q808" s="101"/>
      <c r="R808" s="101"/>
      <c r="S808" s="101"/>
      <c r="T808" s="101"/>
      <c r="U808" s="101"/>
      <c r="V808" s="101"/>
      <c r="W808" s="91"/>
      <c r="X808" s="89"/>
      <c r="Y808" s="92">
        <f t="shared" si="72"/>
        <v>0</v>
      </c>
      <c r="Z808" s="92">
        <f t="shared" si="73"/>
        <v>0</v>
      </c>
      <c r="AA808" s="92">
        <f t="shared" si="74"/>
        <v>0</v>
      </c>
      <c r="AB808" s="92">
        <f t="shared" si="75"/>
        <v>0</v>
      </c>
      <c r="AC808" s="92"/>
      <c r="AD808" s="92">
        <v>120000000</v>
      </c>
      <c r="AE808" s="92">
        <f t="shared" si="76"/>
        <v>120000000</v>
      </c>
      <c r="AF808" s="93">
        <v>0</v>
      </c>
      <c r="AG808" s="89"/>
      <c r="AH808" s="94"/>
      <c r="AI808" s="95" t="s">
        <v>4346</v>
      </c>
      <c r="AJ808" s="96" t="s">
        <v>4347</v>
      </c>
      <c r="AK808" s="97"/>
      <c r="AL808" s="89"/>
      <c r="AM808" s="100" t="s">
        <v>255</v>
      </c>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114"/>
      <c r="CQ808" s="115"/>
      <c r="CR808" s="114"/>
      <c r="CS808" s="115"/>
      <c r="CT808" s="114"/>
      <c r="CU808" s="115"/>
      <c r="CV808" s="99">
        <f t="shared" si="77"/>
        <v>0</v>
      </c>
      <c r="CW808" s="114"/>
      <c r="CX808" s="115"/>
      <c r="CY808" s="114"/>
      <c r="CZ808" s="115"/>
      <c r="DA808" s="115"/>
      <c r="DB808" s="115"/>
      <c r="DC808" s="114"/>
      <c r="DD808" s="115"/>
      <c r="DE808" s="97">
        <v>2</v>
      </c>
      <c r="DF808" s="269"/>
    </row>
    <row r="809" spans="1:255" s="270" customFormat="1" ht="24" x14ac:dyDescent="0.2">
      <c r="A809" s="89">
        <v>40658</v>
      </c>
      <c r="B809" s="90" t="s">
        <v>2218</v>
      </c>
      <c r="C809" s="90" t="s">
        <v>3297</v>
      </c>
      <c r="D809" s="90" t="s">
        <v>4298</v>
      </c>
      <c r="E809" s="90" t="str">
        <f>VLOOKUP(B809&amp;C809,Divipola!$C$2:$F$1138,4,FALSE)</f>
        <v>05001</v>
      </c>
      <c r="F809" s="90"/>
      <c r="G809" s="101"/>
      <c r="H809" s="101"/>
      <c r="I809" s="101"/>
      <c r="J809" s="101">
        <v>30</v>
      </c>
      <c r="K809" s="101">
        <v>11</v>
      </c>
      <c r="L809" s="101">
        <v>11</v>
      </c>
      <c r="M809" s="101"/>
      <c r="N809" s="101"/>
      <c r="O809" s="101"/>
      <c r="P809" s="101"/>
      <c r="Q809" s="101"/>
      <c r="R809" s="101"/>
      <c r="S809" s="101"/>
      <c r="T809" s="101"/>
      <c r="U809" s="101"/>
      <c r="V809" s="101"/>
      <c r="W809" s="91"/>
      <c r="X809" s="89"/>
      <c r="Y809" s="92">
        <f t="shared" si="72"/>
        <v>0</v>
      </c>
      <c r="Z809" s="92">
        <f t="shared" si="73"/>
        <v>0</v>
      </c>
      <c r="AA809" s="92">
        <f t="shared" si="74"/>
        <v>0</v>
      </c>
      <c r="AB809" s="92">
        <f t="shared" si="75"/>
        <v>0</v>
      </c>
      <c r="AC809" s="92"/>
      <c r="AD809" s="92">
        <v>0</v>
      </c>
      <c r="AE809" s="92">
        <f t="shared" si="76"/>
        <v>0</v>
      </c>
      <c r="AF809" s="93">
        <v>0</v>
      </c>
      <c r="AG809" s="89"/>
      <c r="AH809" s="94"/>
      <c r="AI809" s="102" t="s">
        <v>4336</v>
      </c>
      <c r="AJ809" s="96" t="s">
        <v>4337</v>
      </c>
      <c r="AK809" s="97"/>
      <c r="AL809" s="89"/>
      <c r="AM809" s="100" t="s">
        <v>2874</v>
      </c>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114"/>
      <c r="CQ809" s="115"/>
      <c r="CR809" s="114"/>
      <c r="CS809" s="115"/>
      <c r="CT809" s="114"/>
      <c r="CU809" s="115"/>
      <c r="CV809" s="99">
        <f t="shared" si="77"/>
        <v>0</v>
      </c>
      <c r="CW809" s="114"/>
      <c r="CX809" s="115"/>
      <c r="CY809" s="114"/>
      <c r="CZ809" s="115"/>
      <c r="DA809" s="115"/>
      <c r="DB809" s="115"/>
      <c r="DC809" s="114"/>
      <c r="DD809" s="115"/>
      <c r="DE809" s="97"/>
      <c r="DF809" s="46"/>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row>
    <row r="810" spans="1:255" s="270" customFormat="1" ht="96" x14ac:dyDescent="0.2">
      <c r="A810" s="89">
        <v>40658</v>
      </c>
      <c r="B810" s="90" t="s">
        <v>3301</v>
      </c>
      <c r="C810" s="90" t="s">
        <v>4321</v>
      </c>
      <c r="D810" s="90" t="s">
        <v>4264</v>
      </c>
      <c r="E810" s="90" t="str">
        <f>VLOOKUP(B810&amp;C810,Divipola!$C$2:$F$1138,4,FALSE)</f>
        <v>81736</v>
      </c>
      <c r="F810" s="90"/>
      <c r="G810" s="101"/>
      <c r="H810" s="101"/>
      <c r="I810" s="101"/>
      <c r="J810" s="101">
        <f>93*5</f>
        <v>465</v>
      </c>
      <c r="K810" s="101">
        <f>526-420-13</f>
        <v>93</v>
      </c>
      <c r="L810" s="101"/>
      <c r="M810" s="101">
        <v>93</v>
      </c>
      <c r="N810" s="101"/>
      <c r="O810" s="101"/>
      <c r="P810" s="101"/>
      <c r="Q810" s="101"/>
      <c r="R810" s="101"/>
      <c r="S810" s="101"/>
      <c r="T810" s="101"/>
      <c r="U810" s="101"/>
      <c r="V810" s="101"/>
      <c r="W810" s="91"/>
      <c r="X810" s="89">
        <v>40709</v>
      </c>
      <c r="Y810" s="92">
        <f t="shared" si="72"/>
        <v>0</v>
      </c>
      <c r="Z810" s="92">
        <f t="shared" si="73"/>
        <v>0</v>
      </c>
      <c r="AA810" s="92">
        <f t="shared" si="74"/>
        <v>0</v>
      </c>
      <c r="AB810" s="92">
        <f t="shared" si="75"/>
        <v>0</v>
      </c>
      <c r="AC810" s="92"/>
      <c r="AD810" s="92">
        <v>50000000</v>
      </c>
      <c r="AE810" s="92">
        <f t="shared" si="76"/>
        <v>50000000</v>
      </c>
      <c r="AF810" s="93">
        <v>0</v>
      </c>
      <c r="AG810" s="89"/>
      <c r="AH810" s="94"/>
      <c r="AI810" s="95" t="s">
        <v>4346</v>
      </c>
      <c r="AJ810" s="96" t="s">
        <v>4347</v>
      </c>
      <c r="AK810" s="97"/>
      <c r="AL810" s="89" t="s">
        <v>2798</v>
      </c>
      <c r="AM810" s="100" t="s">
        <v>926</v>
      </c>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114"/>
      <c r="CQ810" s="115"/>
      <c r="CR810" s="114"/>
      <c r="CS810" s="115"/>
      <c r="CT810" s="114"/>
      <c r="CU810" s="115"/>
      <c r="CV810" s="99">
        <f t="shared" si="77"/>
        <v>0</v>
      </c>
      <c r="CW810" s="114"/>
      <c r="CX810" s="115"/>
      <c r="CY810" s="114"/>
      <c r="CZ810" s="115"/>
      <c r="DA810" s="115"/>
      <c r="DB810" s="115"/>
      <c r="DC810" s="114"/>
      <c r="DD810" s="115"/>
      <c r="DE810" s="97"/>
      <c r="DF810" s="269"/>
    </row>
    <row r="811" spans="1:255" s="270" customFormat="1" ht="24" x14ac:dyDescent="0.2">
      <c r="A811" s="89">
        <v>40658</v>
      </c>
      <c r="B811" s="106" t="s">
        <v>4261</v>
      </c>
      <c r="C811" s="106" t="s">
        <v>2243</v>
      </c>
      <c r="D811" s="90" t="s">
        <v>4264</v>
      </c>
      <c r="E811" s="90" t="str">
        <f>VLOOKUP(B811&amp;C811,Divipola!$C$2:$F$1138,4,FALSE)</f>
        <v>15087</v>
      </c>
      <c r="F811" s="90"/>
      <c r="G811" s="129"/>
      <c r="H811" s="129"/>
      <c r="I811" s="129"/>
      <c r="J811" s="129">
        <v>625</v>
      </c>
      <c r="K811" s="129">
        <v>125</v>
      </c>
      <c r="L811" s="129"/>
      <c r="M811" s="129"/>
      <c r="N811" s="129"/>
      <c r="O811" s="129"/>
      <c r="P811" s="129"/>
      <c r="Q811" s="129"/>
      <c r="R811" s="129"/>
      <c r="S811" s="129"/>
      <c r="T811" s="129"/>
      <c r="U811" s="129"/>
      <c r="V811" s="129"/>
      <c r="W811" s="107"/>
      <c r="X811" s="105"/>
      <c r="Y811" s="92">
        <f t="shared" si="72"/>
        <v>0</v>
      </c>
      <c r="Z811" s="92">
        <f t="shared" si="73"/>
        <v>0</v>
      </c>
      <c r="AA811" s="92">
        <f t="shared" si="74"/>
        <v>0</v>
      </c>
      <c r="AB811" s="92">
        <f t="shared" si="75"/>
        <v>0</v>
      </c>
      <c r="AC811" s="92"/>
      <c r="AD811" s="92">
        <v>0</v>
      </c>
      <c r="AE811" s="92">
        <f t="shared" si="76"/>
        <v>0</v>
      </c>
      <c r="AF811" s="93">
        <v>0</v>
      </c>
      <c r="AG811" s="105"/>
      <c r="AH811" s="108"/>
      <c r="AI811" s="109" t="s">
        <v>4336</v>
      </c>
      <c r="AJ811" s="110" t="s">
        <v>4337</v>
      </c>
      <c r="AK811" s="111"/>
      <c r="AL811" s="105"/>
      <c r="AM811" s="112" t="s">
        <v>905</v>
      </c>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c r="BJ811" s="107"/>
      <c r="BK811" s="107"/>
      <c r="BL811" s="107"/>
      <c r="BM811" s="107"/>
      <c r="BN811" s="107"/>
      <c r="BO811" s="107"/>
      <c r="BP811" s="107"/>
      <c r="BQ811" s="107"/>
      <c r="BR811" s="107"/>
      <c r="BS811" s="107"/>
      <c r="BT811" s="107"/>
      <c r="BU811" s="107"/>
      <c r="BV811" s="107"/>
      <c r="BW811" s="107"/>
      <c r="BX811" s="107"/>
      <c r="BY811" s="107"/>
      <c r="BZ811" s="107"/>
      <c r="CA811" s="107"/>
      <c r="CB811" s="107"/>
      <c r="CC811" s="107"/>
      <c r="CD811" s="107"/>
      <c r="CE811" s="107"/>
      <c r="CF811" s="107"/>
      <c r="CG811" s="107"/>
      <c r="CH811" s="107"/>
      <c r="CI811" s="107"/>
      <c r="CJ811" s="107"/>
      <c r="CK811" s="107"/>
      <c r="CL811" s="107"/>
      <c r="CM811" s="107"/>
      <c r="CN811" s="118"/>
      <c r="CO811" s="119"/>
      <c r="CP811" s="118"/>
      <c r="CQ811" s="119"/>
      <c r="CR811" s="118"/>
      <c r="CS811" s="119"/>
      <c r="CT811" s="113"/>
      <c r="CU811" s="118"/>
      <c r="CV811" s="99">
        <f t="shared" si="77"/>
        <v>0</v>
      </c>
      <c r="CW811" s="118"/>
      <c r="CX811" s="119"/>
      <c r="CY811" s="119"/>
      <c r="CZ811" s="119"/>
      <c r="DA811" s="118"/>
      <c r="DB811" s="119"/>
      <c r="DC811" s="111"/>
      <c r="DD811" s="119"/>
      <c r="DE811" s="111"/>
      <c r="DF811" s="46"/>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row>
    <row r="812" spans="1:255" s="42" customFormat="1" ht="24" x14ac:dyDescent="0.2">
      <c r="A812" s="89">
        <v>40658</v>
      </c>
      <c r="B812" s="90" t="s">
        <v>4261</v>
      </c>
      <c r="C812" s="90" t="s">
        <v>2642</v>
      </c>
      <c r="D812" s="90" t="s">
        <v>4264</v>
      </c>
      <c r="E812" s="90" t="str">
        <f>VLOOKUP(B812&amp;C812,Divipola!$C$2:$F$1138,4,FALSE)</f>
        <v>15223</v>
      </c>
      <c r="F812" s="4"/>
      <c r="G812" s="274"/>
      <c r="H812" s="274"/>
      <c r="I812" s="274"/>
      <c r="J812" s="101">
        <v>350</v>
      </c>
      <c r="K812" s="101">
        <v>70</v>
      </c>
      <c r="L812" s="101"/>
      <c r="M812" s="101">
        <v>38</v>
      </c>
      <c r="N812" s="101"/>
      <c r="O812" s="101"/>
      <c r="P812" s="208"/>
      <c r="Q812" s="208"/>
      <c r="R812" s="208"/>
      <c r="S812" s="208"/>
      <c r="T812" s="208"/>
      <c r="U812" s="208"/>
      <c r="V812" s="208"/>
      <c r="W812" s="19"/>
      <c r="X812" s="17"/>
      <c r="Y812" s="5">
        <f t="shared" si="72"/>
        <v>0</v>
      </c>
      <c r="Z812" s="5">
        <f t="shared" si="73"/>
        <v>0</v>
      </c>
      <c r="AA812" s="5">
        <f t="shared" si="74"/>
        <v>0</v>
      </c>
      <c r="AB812" s="5">
        <f t="shared" si="75"/>
        <v>0</v>
      </c>
      <c r="AC812" s="5"/>
      <c r="AD812" s="5">
        <v>0</v>
      </c>
      <c r="AE812" s="5">
        <f t="shared" si="76"/>
        <v>0</v>
      </c>
      <c r="AF812" s="70">
        <v>0</v>
      </c>
      <c r="AG812" s="17"/>
      <c r="AH812" s="18"/>
      <c r="AI812" s="47" t="s">
        <v>4346</v>
      </c>
      <c r="AJ812" s="73" t="s">
        <v>4347</v>
      </c>
      <c r="AK812" s="275"/>
      <c r="AL812" s="89" t="s">
        <v>2798</v>
      </c>
      <c r="AM812" s="100" t="s">
        <v>1107</v>
      </c>
      <c r="AN812" s="19"/>
      <c r="AO812" s="19"/>
      <c r="AP812" s="19"/>
      <c r="AQ812" s="19"/>
      <c r="AR812" s="19"/>
      <c r="AS812" s="19"/>
      <c r="AT812" s="19"/>
      <c r="AU812" s="19"/>
      <c r="AV812" s="19"/>
      <c r="AW812" s="19"/>
      <c r="AX812" s="107"/>
      <c r="AY812" s="107"/>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39"/>
      <c r="CO812" s="138"/>
      <c r="CP812" s="139"/>
      <c r="CQ812" s="138"/>
      <c r="CR812" s="139"/>
      <c r="CS812" s="138"/>
      <c r="CT812" s="72"/>
      <c r="CU812" s="139"/>
      <c r="CV812" s="99">
        <f t="shared" si="77"/>
        <v>0</v>
      </c>
      <c r="CW812" s="139"/>
      <c r="CX812" s="138"/>
      <c r="CY812" s="138"/>
      <c r="CZ812" s="138"/>
      <c r="DA812" s="139"/>
      <c r="DB812" s="138"/>
      <c r="DC812" s="45"/>
      <c r="DD812" s="138"/>
      <c r="DE812" s="45"/>
      <c r="DF812" s="46"/>
    </row>
    <row r="813" spans="1:255" s="270" customFormat="1" ht="24" x14ac:dyDescent="0.2">
      <c r="A813" s="89">
        <v>40658</v>
      </c>
      <c r="B813" s="90" t="s">
        <v>4261</v>
      </c>
      <c r="C813" s="90" t="s">
        <v>2659</v>
      </c>
      <c r="D813" s="90" t="s">
        <v>2362</v>
      </c>
      <c r="E813" s="90" t="str">
        <f>VLOOKUP(B813&amp;C813,Divipola!$C$2:$F$1138,4,FALSE)</f>
        <v>15248</v>
      </c>
      <c r="F813" s="4"/>
      <c r="G813" s="274"/>
      <c r="H813" s="274"/>
      <c r="I813" s="274"/>
      <c r="J813" s="101">
        <v>55</v>
      </c>
      <c r="K813" s="101">
        <v>11</v>
      </c>
      <c r="L813" s="101"/>
      <c r="M813" s="101">
        <v>11</v>
      </c>
      <c r="N813" s="208"/>
      <c r="O813" s="208"/>
      <c r="P813" s="208"/>
      <c r="Q813" s="208"/>
      <c r="R813" s="208"/>
      <c r="S813" s="208"/>
      <c r="T813" s="208"/>
      <c r="U813" s="208"/>
      <c r="V813" s="208"/>
      <c r="W813" s="19"/>
      <c r="X813" s="17"/>
      <c r="Y813" s="5">
        <f t="shared" si="72"/>
        <v>0</v>
      </c>
      <c r="Z813" s="5">
        <f t="shared" si="73"/>
        <v>0</v>
      </c>
      <c r="AA813" s="5">
        <f t="shared" si="74"/>
        <v>0</v>
      </c>
      <c r="AB813" s="5">
        <f t="shared" si="75"/>
        <v>0</v>
      </c>
      <c r="AC813" s="5"/>
      <c r="AD813" s="5">
        <v>0</v>
      </c>
      <c r="AE813" s="5">
        <f t="shared" si="76"/>
        <v>0</v>
      </c>
      <c r="AF813" s="70">
        <v>0</v>
      </c>
      <c r="AG813" s="17"/>
      <c r="AH813" s="18"/>
      <c r="AI813" s="47" t="s">
        <v>4346</v>
      </c>
      <c r="AJ813" s="73" t="s">
        <v>4347</v>
      </c>
      <c r="AK813" s="275"/>
      <c r="AL813" s="89" t="s">
        <v>2798</v>
      </c>
      <c r="AM813" s="100" t="s">
        <v>1082</v>
      </c>
      <c r="AN813" s="19"/>
      <c r="AO813" s="19"/>
      <c r="AP813" s="19"/>
      <c r="AQ813" s="19"/>
      <c r="AR813" s="19"/>
      <c r="AS813" s="19"/>
      <c r="AT813" s="19"/>
      <c r="AU813" s="19"/>
      <c r="AV813" s="19"/>
      <c r="AW813" s="19"/>
      <c r="AX813" s="107"/>
      <c r="AY813" s="107"/>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39"/>
      <c r="CO813" s="138"/>
      <c r="CP813" s="139"/>
      <c r="CQ813" s="138"/>
      <c r="CR813" s="139"/>
      <c r="CS813" s="138"/>
      <c r="CT813" s="72"/>
      <c r="CU813" s="139"/>
      <c r="CV813" s="99">
        <f t="shared" si="77"/>
        <v>0</v>
      </c>
      <c r="CW813" s="139"/>
      <c r="CX813" s="138"/>
      <c r="CY813" s="138"/>
      <c r="CZ813" s="138"/>
      <c r="DA813" s="139"/>
      <c r="DB813" s="138"/>
      <c r="DC813" s="45"/>
      <c r="DD813" s="138"/>
      <c r="DE813" s="45"/>
      <c r="DF813" s="46"/>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row>
    <row r="814" spans="1:255" s="270" customFormat="1" ht="48" x14ac:dyDescent="0.2">
      <c r="A814" s="89">
        <v>40658</v>
      </c>
      <c r="B814" s="106" t="s">
        <v>4261</v>
      </c>
      <c r="C814" s="106" t="s">
        <v>1329</v>
      </c>
      <c r="D814" s="90" t="s">
        <v>2362</v>
      </c>
      <c r="E814" s="90" t="str">
        <f>VLOOKUP(B814&amp;C814,Divipola!$C$2:$F$1138,4,FALSE)</f>
        <v>15776</v>
      </c>
      <c r="F814" s="4"/>
      <c r="G814" s="274"/>
      <c r="H814" s="274"/>
      <c r="I814" s="274"/>
      <c r="J814" s="129">
        <v>310</v>
      </c>
      <c r="K814" s="129">
        <v>62</v>
      </c>
      <c r="L814" s="129"/>
      <c r="M814" s="129">
        <v>62</v>
      </c>
      <c r="N814" s="129"/>
      <c r="O814" s="129"/>
      <c r="P814" s="208"/>
      <c r="Q814" s="208"/>
      <c r="R814" s="208"/>
      <c r="S814" s="208"/>
      <c r="T814" s="208"/>
      <c r="U814" s="208"/>
      <c r="V814" s="208">
        <v>110</v>
      </c>
      <c r="W814" s="19"/>
      <c r="X814" s="17"/>
      <c r="Y814" s="5">
        <f t="shared" si="72"/>
        <v>0</v>
      </c>
      <c r="Z814" s="5">
        <f t="shared" si="73"/>
        <v>0</v>
      </c>
      <c r="AA814" s="5">
        <f t="shared" si="74"/>
        <v>0</v>
      </c>
      <c r="AB814" s="5">
        <f t="shared" si="75"/>
        <v>0</v>
      </c>
      <c r="AC814" s="5"/>
      <c r="AD814" s="5">
        <v>0</v>
      </c>
      <c r="AE814" s="5">
        <f t="shared" si="76"/>
        <v>0</v>
      </c>
      <c r="AF814" s="70">
        <v>0</v>
      </c>
      <c r="AG814" s="17"/>
      <c r="AH814" s="18"/>
      <c r="AI814" s="47" t="s">
        <v>4336</v>
      </c>
      <c r="AJ814" s="73" t="s">
        <v>4337</v>
      </c>
      <c r="AK814" s="275"/>
      <c r="AL814" s="276"/>
      <c r="AM814" s="112" t="s">
        <v>3769</v>
      </c>
      <c r="AN814" s="19"/>
      <c r="AO814" s="19"/>
      <c r="AP814" s="19"/>
      <c r="AQ814" s="19"/>
      <c r="AR814" s="19"/>
      <c r="AS814" s="19"/>
      <c r="AT814" s="19"/>
      <c r="AU814" s="19"/>
      <c r="AV814" s="19"/>
      <c r="AW814" s="19"/>
      <c r="AX814" s="107"/>
      <c r="AY814" s="107"/>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39"/>
      <c r="CO814" s="138"/>
      <c r="CP814" s="139"/>
      <c r="CQ814" s="138"/>
      <c r="CR814" s="139"/>
      <c r="CS814" s="138"/>
      <c r="CT814" s="72"/>
      <c r="CU814" s="139"/>
      <c r="CV814" s="99">
        <f t="shared" si="77"/>
        <v>0</v>
      </c>
      <c r="CW814" s="139"/>
      <c r="CX814" s="138"/>
      <c r="CY814" s="138"/>
      <c r="CZ814" s="138"/>
      <c r="DA814" s="139"/>
      <c r="DB814" s="138"/>
      <c r="DC814" s="45"/>
      <c r="DD814" s="138"/>
      <c r="DE814" s="45"/>
      <c r="DF814" s="46"/>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row>
    <row r="815" spans="1:255" s="270" customFormat="1" ht="24" x14ac:dyDescent="0.2">
      <c r="A815" s="89">
        <v>40658</v>
      </c>
      <c r="B815" s="90" t="s">
        <v>4353</v>
      </c>
      <c r="C815" s="90" t="s">
        <v>3531</v>
      </c>
      <c r="D815" s="90" t="s">
        <v>2362</v>
      </c>
      <c r="E815" s="90" t="str">
        <f>VLOOKUP(B815&amp;C815,Divipola!$C$2:$F$1138,4,FALSE)</f>
        <v>85010</v>
      </c>
      <c r="F815" s="90"/>
      <c r="G815" s="101"/>
      <c r="H815" s="101"/>
      <c r="I815" s="101"/>
      <c r="J815" s="101">
        <v>30</v>
      </c>
      <c r="K815" s="101">
        <v>6</v>
      </c>
      <c r="L815" s="101">
        <v>1</v>
      </c>
      <c r="M815" s="101">
        <v>5</v>
      </c>
      <c r="N815" s="101"/>
      <c r="O815" s="101"/>
      <c r="P815" s="101"/>
      <c r="Q815" s="101"/>
      <c r="R815" s="101"/>
      <c r="S815" s="101"/>
      <c r="T815" s="101"/>
      <c r="U815" s="101"/>
      <c r="V815" s="101"/>
      <c r="W815" s="91"/>
      <c r="X815" s="89"/>
      <c r="Y815" s="92">
        <f t="shared" si="72"/>
        <v>0</v>
      </c>
      <c r="Z815" s="92">
        <f t="shared" si="73"/>
        <v>0</v>
      </c>
      <c r="AA815" s="92">
        <f t="shared" si="74"/>
        <v>0</v>
      </c>
      <c r="AB815" s="92">
        <f t="shared" si="75"/>
        <v>0</v>
      </c>
      <c r="AC815" s="92"/>
      <c r="AD815" s="92">
        <v>0</v>
      </c>
      <c r="AE815" s="92">
        <f t="shared" si="76"/>
        <v>0</v>
      </c>
      <c r="AF815" s="93">
        <v>0</v>
      </c>
      <c r="AG815" s="89"/>
      <c r="AH815" s="94"/>
      <c r="AI815" s="95" t="s">
        <v>4346</v>
      </c>
      <c r="AJ815" s="96" t="s">
        <v>4347</v>
      </c>
      <c r="AK815" s="97"/>
      <c r="AL815" s="89" t="s">
        <v>2798</v>
      </c>
      <c r="AM815" s="100" t="s">
        <v>2273</v>
      </c>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114"/>
      <c r="CQ815" s="115"/>
      <c r="CR815" s="114"/>
      <c r="CS815" s="115"/>
      <c r="CT815" s="114"/>
      <c r="CU815" s="115"/>
      <c r="CV815" s="99">
        <f t="shared" si="77"/>
        <v>0</v>
      </c>
      <c r="CW815" s="114"/>
      <c r="CX815" s="115"/>
      <c r="CY815" s="114"/>
      <c r="CZ815" s="115"/>
      <c r="DA815" s="115"/>
      <c r="DB815" s="115"/>
      <c r="DC815" s="114"/>
      <c r="DD815" s="115"/>
      <c r="DE815" s="97"/>
      <c r="DF815" s="46"/>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row>
    <row r="816" spans="1:255" s="270" customFormat="1" ht="36" x14ac:dyDescent="0.2">
      <c r="A816" s="89">
        <v>40658</v>
      </c>
      <c r="B816" s="90" t="s">
        <v>4353</v>
      </c>
      <c r="C816" s="90" t="s">
        <v>3549</v>
      </c>
      <c r="D816" s="90" t="s">
        <v>4264</v>
      </c>
      <c r="E816" s="90" t="str">
        <f>VLOOKUP(B816&amp;C816,Divipola!$C$2:$F$1138,4,FALSE)</f>
        <v>85250</v>
      </c>
      <c r="F816" s="90"/>
      <c r="G816" s="101"/>
      <c r="H816" s="101"/>
      <c r="I816" s="101"/>
      <c r="J816" s="101">
        <v>3110</v>
      </c>
      <c r="K816" s="101">
        <v>622</v>
      </c>
      <c r="L816" s="101"/>
      <c r="M816" s="101">
        <v>622</v>
      </c>
      <c r="N816" s="101"/>
      <c r="O816" s="101"/>
      <c r="P816" s="101"/>
      <c r="Q816" s="101"/>
      <c r="R816" s="101"/>
      <c r="S816" s="101"/>
      <c r="T816" s="101"/>
      <c r="U816" s="101"/>
      <c r="V816" s="101"/>
      <c r="W816" s="91"/>
      <c r="X816" s="89"/>
      <c r="Y816" s="92">
        <f t="shared" si="72"/>
        <v>0</v>
      </c>
      <c r="Z816" s="92">
        <f t="shared" si="73"/>
        <v>0</v>
      </c>
      <c r="AA816" s="92">
        <f t="shared" si="74"/>
        <v>0</v>
      </c>
      <c r="AB816" s="92">
        <f t="shared" si="75"/>
        <v>0</v>
      </c>
      <c r="AC816" s="92"/>
      <c r="AD816" s="92">
        <v>0</v>
      </c>
      <c r="AE816" s="92">
        <f t="shared" si="76"/>
        <v>0</v>
      </c>
      <c r="AF816" s="93">
        <v>0</v>
      </c>
      <c r="AG816" s="89"/>
      <c r="AH816" s="94"/>
      <c r="AI816" s="95" t="s">
        <v>4346</v>
      </c>
      <c r="AJ816" s="96" t="s">
        <v>4347</v>
      </c>
      <c r="AK816" s="97"/>
      <c r="AL816" s="89" t="s">
        <v>2798</v>
      </c>
      <c r="AM816" s="100" t="s">
        <v>2274</v>
      </c>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114"/>
      <c r="CQ816" s="115"/>
      <c r="CR816" s="114"/>
      <c r="CS816" s="115"/>
      <c r="CT816" s="114"/>
      <c r="CU816" s="115"/>
      <c r="CV816" s="99">
        <f t="shared" si="77"/>
        <v>0</v>
      </c>
      <c r="CW816" s="114"/>
      <c r="CX816" s="115"/>
      <c r="CY816" s="114"/>
      <c r="CZ816" s="115"/>
      <c r="DA816" s="115"/>
      <c r="DB816" s="115"/>
      <c r="DC816" s="114"/>
      <c r="DD816" s="115"/>
      <c r="DE816" s="97"/>
      <c r="DF816" s="46"/>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row>
    <row r="817" spans="1:255" s="270" customFormat="1" ht="96" x14ac:dyDescent="0.2">
      <c r="A817" s="89">
        <v>40658</v>
      </c>
      <c r="B817" s="90" t="s">
        <v>4353</v>
      </c>
      <c r="C817" s="90" t="s">
        <v>2221</v>
      </c>
      <c r="D817" s="90" t="s">
        <v>4264</v>
      </c>
      <c r="E817" s="90" t="str">
        <f>VLOOKUP(B817&amp;C817,Divipola!$C$2:$F$1138,4,FALSE)</f>
        <v>85263</v>
      </c>
      <c r="F817" s="90"/>
      <c r="G817" s="101"/>
      <c r="H817" s="101"/>
      <c r="I817" s="101"/>
      <c r="J817" s="101">
        <v>1755</v>
      </c>
      <c r="K817" s="101">
        <v>355</v>
      </c>
      <c r="L817" s="101"/>
      <c r="M817" s="101">
        <v>355</v>
      </c>
      <c r="N817" s="101"/>
      <c r="O817" s="101"/>
      <c r="P817" s="101">
        <v>1</v>
      </c>
      <c r="Q817" s="101"/>
      <c r="R817" s="101"/>
      <c r="S817" s="101"/>
      <c r="T817" s="101"/>
      <c r="U817" s="101"/>
      <c r="V817" s="101"/>
      <c r="W817" s="91"/>
      <c r="X817" s="89"/>
      <c r="Y817" s="92">
        <f t="shared" si="72"/>
        <v>136049232</v>
      </c>
      <c r="Z817" s="92">
        <f t="shared" si="73"/>
        <v>56610000</v>
      </c>
      <c r="AA817" s="92">
        <f t="shared" si="74"/>
        <v>0</v>
      </c>
      <c r="AB817" s="92">
        <f t="shared" si="75"/>
        <v>0</v>
      </c>
      <c r="AC817" s="92"/>
      <c r="AD817" s="92">
        <v>45573000</v>
      </c>
      <c r="AE817" s="92">
        <f t="shared" si="76"/>
        <v>238232232</v>
      </c>
      <c r="AF817" s="93">
        <v>0</v>
      </c>
      <c r="AG817" s="89"/>
      <c r="AH817" s="94"/>
      <c r="AI817" s="95" t="s">
        <v>4346</v>
      </c>
      <c r="AJ817" s="96" t="s">
        <v>4347</v>
      </c>
      <c r="AK817" s="97"/>
      <c r="AL817" s="89"/>
      <c r="AM817" s="100" t="s">
        <v>4119</v>
      </c>
      <c r="AN817" s="91"/>
      <c r="AO817" s="91"/>
      <c r="AP817" s="91"/>
      <c r="AQ817" s="91"/>
      <c r="AR817" s="91"/>
      <c r="AS817" s="91"/>
      <c r="AT817" s="91"/>
      <c r="AU817" s="91"/>
      <c r="AV817" s="91"/>
      <c r="AW817" s="91"/>
      <c r="AX817" s="91"/>
      <c r="AY817" s="91"/>
      <c r="AZ817" s="91"/>
      <c r="BA817" s="91"/>
      <c r="BB817" s="91"/>
      <c r="BC817" s="91"/>
      <c r="BD817" s="91">
        <v>1000</v>
      </c>
      <c r="BE817" s="91">
        <f>1000*24000</f>
        <v>24000000</v>
      </c>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v>1300</v>
      </c>
      <c r="CI817" s="91">
        <f>1300*18000</f>
        <v>23400000</v>
      </c>
      <c r="CJ817" s="91">
        <v>1300</v>
      </c>
      <c r="CK817" s="91">
        <f>1300*21000</f>
        <v>27300000</v>
      </c>
      <c r="CL817" s="91"/>
      <c r="CM817" s="91"/>
      <c r="CN817" s="91">
        <v>1300</v>
      </c>
      <c r="CO817" s="91">
        <f>1300*18000</f>
        <v>23400000</v>
      </c>
      <c r="CP817" s="114">
        <v>666</v>
      </c>
      <c r="CQ817" s="115">
        <f>666*36952</f>
        <v>24610032</v>
      </c>
      <c r="CR817" s="114">
        <v>336</v>
      </c>
      <c r="CS817" s="115">
        <f>336*39700</f>
        <v>13339200</v>
      </c>
      <c r="CT817" s="114"/>
      <c r="CU817" s="115"/>
      <c r="CV817" s="99">
        <f t="shared" si="77"/>
        <v>136049232</v>
      </c>
      <c r="CW817" s="114"/>
      <c r="CX817" s="115"/>
      <c r="CY817" s="114">
        <v>666</v>
      </c>
      <c r="CZ817" s="115">
        <f>666*85000</f>
        <v>56610000</v>
      </c>
      <c r="DA817" s="115"/>
      <c r="DB817" s="115"/>
      <c r="DC817" s="114"/>
      <c r="DD817" s="115"/>
      <c r="DE817" s="97"/>
      <c r="DF817" s="46"/>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row>
    <row r="818" spans="1:255" s="270" customFormat="1" ht="60" x14ac:dyDescent="0.2">
      <c r="A818" s="89">
        <v>40658</v>
      </c>
      <c r="B818" s="90" t="s">
        <v>4282</v>
      </c>
      <c r="C818" s="90" t="s">
        <v>4262</v>
      </c>
      <c r="D818" s="90" t="s">
        <v>4264</v>
      </c>
      <c r="E818" s="90" t="str">
        <f>VLOOKUP(B818&amp;C818,Divipola!$C$2:$F$1138,4,FALSE)</f>
        <v>23580</v>
      </c>
      <c r="F818" s="90"/>
      <c r="G818" s="101"/>
      <c r="H818" s="101"/>
      <c r="I818" s="101"/>
      <c r="J818" s="101">
        <v>750</v>
      </c>
      <c r="K818" s="101">
        <v>167</v>
      </c>
      <c r="L818" s="101"/>
      <c r="M818" s="101">
        <v>167</v>
      </c>
      <c r="N818" s="101"/>
      <c r="O818" s="101"/>
      <c r="P818" s="101"/>
      <c r="Q818" s="101"/>
      <c r="R818" s="101"/>
      <c r="S818" s="101"/>
      <c r="T818" s="101"/>
      <c r="U818" s="101"/>
      <c r="V818" s="101"/>
      <c r="W818" s="91"/>
      <c r="X818" s="89"/>
      <c r="Y818" s="92">
        <f t="shared" si="72"/>
        <v>0</v>
      </c>
      <c r="Z818" s="92">
        <f t="shared" si="73"/>
        <v>0</v>
      </c>
      <c r="AA818" s="92">
        <f t="shared" si="74"/>
        <v>0</v>
      </c>
      <c r="AB818" s="92">
        <f t="shared" si="75"/>
        <v>0</v>
      </c>
      <c r="AC818" s="92"/>
      <c r="AD818" s="92">
        <v>120000000</v>
      </c>
      <c r="AE818" s="92">
        <f t="shared" si="76"/>
        <v>120000000</v>
      </c>
      <c r="AF818" s="93">
        <v>0</v>
      </c>
      <c r="AG818" s="89"/>
      <c r="AH818" s="94"/>
      <c r="AI818" s="95" t="s">
        <v>4346</v>
      </c>
      <c r="AJ818" s="96" t="s">
        <v>4347</v>
      </c>
      <c r="AK818" s="97"/>
      <c r="AL818" s="89"/>
      <c r="AM818" s="98" t="s">
        <v>989</v>
      </c>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114"/>
      <c r="CQ818" s="115"/>
      <c r="CR818" s="114"/>
      <c r="CS818" s="115"/>
      <c r="CT818" s="114"/>
      <c r="CU818" s="115"/>
      <c r="CV818" s="99">
        <f t="shared" si="77"/>
        <v>0</v>
      </c>
      <c r="CW818" s="114"/>
      <c r="CX818" s="115"/>
      <c r="CY818" s="114"/>
      <c r="CZ818" s="115"/>
      <c r="DA818" s="115"/>
      <c r="DB818" s="115"/>
      <c r="DC818" s="114"/>
      <c r="DD818" s="115"/>
      <c r="DE818" s="97">
        <v>2</v>
      </c>
      <c r="DF818" s="269">
        <v>1741</v>
      </c>
    </row>
    <row r="819" spans="1:255" s="270" customFormat="1" ht="96" x14ac:dyDescent="0.2">
      <c r="A819" s="89">
        <v>40658</v>
      </c>
      <c r="B819" s="90" t="s">
        <v>4344</v>
      </c>
      <c r="C819" s="90" t="s">
        <v>3450</v>
      </c>
      <c r="D819" s="90" t="s">
        <v>4264</v>
      </c>
      <c r="E819" s="90" t="str">
        <f>VLOOKUP(B819&amp;C819,Divipola!$C$2:$F$1138,4,FALSE)</f>
        <v>25175</v>
      </c>
      <c r="F819" s="90"/>
      <c r="G819" s="101"/>
      <c r="H819" s="101"/>
      <c r="I819" s="101"/>
      <c r="J819" s="101"/>
      <c r="K819" s="101"/>
      <c r="L819" s="101"/>
      <c r="M819" s="101"/>
      <c r="N819" s="101">
        <v>1</v>
      </c>
      <c r="O819" s="101"/>
      <c r="P819" s="101"/>
      <c r="Q819" s="101"/>
      <c r="R819" s="101"/>
      <c r="S819" s="101"/>
      <c r="T819" s="101">
        <v>2</v>
      </c>
      <c r="U819" s="101"/>
      <c r="V819" s="101"/>
      <c r="W819" s="91"/>
      <c r="X819" s="89"/>
      <c r="Y819" s="92">
        <f t="shared" si="72"/>
        <v>0</v>
      </c>
      <c r="Z819" s="92">
        <f t="shared" si="73"/>
        <v>0</v>
      </c>
      <c r="AA819" s="92">
        <f t="shared" si="74"/>
        <v>0</v>
      </c>
      <c r="AB819" s="92">
        <f t="shared" si="75"/>
        <v>0</v>
      </c>
      <c r="AC819" s="92"/>
      <c r="AD819" s="92">
        <v>0</v>
      </c>
      <c r="AE819" s="92">
        <f t="shared" si="76"/>
        <v>0</v>
      </c>
      <c r="AF819" s="93">
        <v>0</v>
      </c>
      <c r="AG819" s="89"/>
      <c r="AH819" s="94"/>
      <c r="AI819" s="102" t="s">
        <v>4336</v>
      </c>
      <c r="AJ819" s="96" t="s">
        <v>4337</v>
      </c>
      <c r="AK819" s="97"/>
      <c r="AL819" s="89"/>
      <c r="AM819" s="100" t="s">
        <v>2929</v>
      </c>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114"/>
      <c r="CQ819" s="115"/>
      <c r="CR819" s="114"/>
      <c r="CS819" s="115"/>
      <c r="CT819" s="114"/>
      <c r="CU819" s="115"/>
      <c r="CV819" s="99">
        <f t="shared" si="77"/>
        <v>0</v>
      </c>
      <c r="CW819" s="114"/>
      <c r="CX819" s="115"/>
      <c r="CY819" s="114"/>
      <c r="CZ819" s="115"/>
      <c r="DA819" s="115"/>
      <c r="DB819" s="115"/>
      <c r="DC819" s="114"/>
      <c r="DD819" s="115"/>
      <c r="DE819" s="97"/>
      <c r="DF819" s="269"/>
    </row>
    <row r="820" spans="1:255" s="270" customFormat="1" ht="36" x14ac:dyDescent="0.2">
      <c r="A820" s="89">
        <v>40658</v>
      </c>
      <c r="B820" s="90" t="s">
        <v>4344</v>
      </c>
      <c r="C820" s="90" t="s">
        <v>3546</v>
      </c>
      <c r="D820" s="90" t="s">
        <v>4264</v>
      </c>
      <c r="E820" s="90" t="str">
        <f>VLOOKUP(B820&amp;C820,Divipola!$C$2:$F$1138,4,FALSE)</f>
        <v>25181</v>
      </c>
      <c r="F820" s="90"/>
      <c r="G820" s="101"/>
      <c r="H820" s="101"/>
      <c r="I820" s="101"/>
      <c r="J820" s="101">
        <v>510</v>
      </c>
      <c r="K820" s="101">
        <v>260</v>
      </c>
      <c r="L820" s="101"/>
      <c r="M820" s="101">
        <v>260</v>
      </c>
      <c r="N820" s="101">
        <v>1</v>
      </c>
      <c r="O820" s="101"/>
      <c r="P820" s="101"/>
      <c r="Q820" s="101"/>
      <c r="R820" s="101"/>
      <c r="S820" s="101"/>
      <c r="T820" s="101"/>
      <c r="U820" s="101"/>
      <c r="V820" s="101"/>
      <c r="W820" s="91"/>
      <c r="X820" s="89"/>
      <c r="Y820" s="92">
        <f t="shared" si="72"/>
        <v>0</v>
      </c>
      <c r="Z820" s="92">
        <f t="shared" si="73"/>
        <v>0</v>
      </c>
      <c r="AA820" s="92">
        <f t="shared" si="74"/>
        <v>0</v>
      </c>
      <c r="AB820" s="92">
        <f t="shared" si="75"/>
        <v>0</v>
      </c>
      <c r="AC820" s="92"/>
      <c r="AD820" s="92">
        <v>0</v>
      </c>
      <c r="AE820" s="92">
        <f t="shared" si="76"/>
        <v>0</v>
      </c>
      <c r="AF820" s="93">
        <v>0</v>
      </c>
      <c r="AG820" s="89"/>
      <c r="AH820" s="94"/>
      <c r="AI820" s="102" t="s">
        <v>4336</v>
      </c>
      <c r="AJ820" s="96" t="s">
        <v>4337</v>
      </c>
      <c r="AK820" s="97"/>
      <c r="AL820" s="89"/>
      <c r="AM820" s="100" t="s">
        <v>3720</v>
      </c>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114"/>
      <c r="CQ820" s="115"/>
      <c r="CR820" s="114"/>
      <c r="CS820" s="115"/>
      <c r="CT820" s="114"/>
      <c r="CU820" s="115"/>
      <c r="CV820" s="99">
        <f t="shared" si="77"/>
        <v>0</v>
      </c>
      <c r="CW820" s="114"/>
      <c r="CX820" s="115"/>
      <c r="CY820" s="114"/>
      <c r="CZ820" s="115"/>
      <c r="DA820" s="115"/>
      <c r="DB820" s="115"/>
      <c r="DC820" s="114"/>
      <c r="DD820" s="115"/>
      <c r="DE820" s="97"/>
      <c r="DF820" s="269"/>
    </row>
    <row r="821" spans="1:255" s="270" customFormat="1" ht="84" x14ac:dyDescent="0.2">
      <c r="A821" s="89">
        <v>40658</v>
      </c>
      <c r="B821" s="90" t="s">
        <v>4344</v>
      </c>
      <c r="C821" s="90" t="s">
        <v>4517</v>
      </c>
      <c r="D821" s="90" t="s">
        <v>4264</v>
      </c>
      <c r="E821" s="90" t="str">
        <f>VLOOKUP(B821&amp;C821,Divipola!$C$2:$F$1138,4,FALSE)</f>
        <v>25851</v>
      </c>
      <c r="F821" s="90"/>
      <c r="G821" s="101"/>
      <c r="H821" s="101"/>
      <c r="I821" s="101"/>
      <c r="J821" s="101">
        <v>150</v>
      </c>
      <c r="K821" s="101">
        <v>88</v>
      </c>
      <c r="L821" s="101"/>
      <c r="M821" s="101"/>
      <c r="N821" s="101"/>
      <c r="O821" s="101"/>
      <c r="P821" s="101"/>
      <c r="Q821" s="101"/>
      <c r="R821" s="101"/>
      <c r="S821" s="101"/>
      <c r="T821" s="101"/>
      <c r="U821" s="101"/>
      <c r="V821" s="101"/>
      <c r="W821" s="91"/>
      <c r="X821" s="89"/>
      <c r="Y821" s="92">
        <f t="shared" si="72"/>
        <v>0</v>
      </c>
      <c r="Z821" s="92">
        <f t="shared" si="73"/>
        <v>0</v>
      </c>
      <c r="AA821" s="92">
        <f t="shared" si="74"/>
        <v>0</v>
      </c>
      <c r="AB821" s="92">
        <f t="shared" si="75"/>
        <v>0</v>
      </c>
      <c r="AC821" s="92"/>
      <c r="AD821" s="92">
        <v>0</v>
      </c>
      <c r="AE821" s="92">
        <f t="shared" si="76"/>
        <v>0</v>
      </c>
      <c r="AF821" s="93">
        <v>0</v>
      </c>
      <c r="AG821" s="89"/>
      <c r="AH821" s="94"/>
      <c r="AI821" s="102" t="s">
        <v>4336</v>
      </c>
      <c r="AJ821" s="96" t="s">
        <v>4337</v>
      </c>
      <c r="AK821" s="97"/>
      <c r="AL821" s="89"/>
      <c r="AM821" s="100" t="s">
        <v>2272</v>
      </c>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114"/>
      <c r="CQ821" s="115"/>
      <c r="CR821" s="114"/>
      <c r="CS821" s="115"/>
      <c r="CT821" s="114"/>
      <c r="CU821" s="115"/>
      <c r="CV821" s="99">
        <f t="shared" si="77"/>
        <v>0</v>
      </c>
      <c r="CW821" s="114"/>
      <c r="CX821" s="115"/>
      <c r="CY821" s="114"/>
      <c r="CZ821" s="115"/>
      <c r="DA821" s="115"/>
      <c r="DB821" s="115"/>
      <c r="DC821" s="114"/>
      <c r="DD821" s="115"/>
      <c r="DE821" s="97" t="s">
        <v>4265</v>
      </c>
      <c r="DF821" s="269"/>
    </row>
    <row r="822" spans="1:255" s="270" customFormat="1" ht="48" x14ac:dyDescent="0.2">
      <c r="A822" s="89">
        <v>40658</v>
      </c>
      <c r="B822" s="90" t="s">
        <v>4387</v>
      </c>
      <c r="C822" s="90" t="s">
        <v>852</v>
      </c>
      <c r="D822" s="90" t="s">
        <v>2362</v>
      </c>
      <c r="E822" s="90" t="str">
        <f>VLOOKUP(B822&amp;C822,Divipola!$C$2:$F$1138,4,FALSE)</f>
        <v>52233</v>
      </c>
      <c r="F822" s="90"/>
      <c r="G822" s="101"/>
      <c r="H822" s="101"/>
      <c r="I822" s="101"/>
      <c r="J822" s="101">
        <v>60</v>
      </c>
      <c r="K822" s="101">
        <v>15</v>
      </c>
      <c r="L822" s="101"/>
      <c r="M822" s="101">
        <v>15</v>
      </c>
      <c r="N822" s="101">
        <v>4</v>
      </c>
      <c r="O822" s="101"/>
      <c r="P822" s="101"/>
      <c r="Q822" s="101"/>
      <c r="R822" s="101"/>
      <c r="S822" s="101"/>
      <c r="T822" s="101">
        <v>1</v>
      </c>
      <c r="U822" s="101"/>
      <c r="V822" s="101"/>
      <c r="W822" s="91"/>
      <c r="X822" s="105"/>
      <c r="Y822" s="92">
        <f t="shared" si="72"/>
        <v>0</v>
      </c>
      <c r="Z822" s="92">
        <f t="shared" si="73"/>
        <v>0</v>
      </c>
      <c r="AA822" s="92">
        <f t="shared" si="74"/>
        <v>0</v>
      </c>
      <c r="AB822" s="92">
        <f t="shared" si="75"/>
        <v>0</v>
      </c>
      <c r="AC822" s="92"/>
      <c r="AD822" s="92">
        <v>0</v>
      </c>
      <c r="AE822" s="92">
        <f t="shared" si="76"/>
        <v>0</v>
      </c>
      <c r="AF822" s="93">
        <v>0</v>
      </c>
      <c r="AG822" s="105"/>
      <c r="AH822" s="108"/>
      <c r="AI822" s="109" t="s">
        <v>4336</v>
      </c>
      <c r="AJ822" s="110" t="s">
        <v>4337</v>
      </c>
      <c r="AK822" s="111"/>
      <c r="AL822" s="105" t="s">
        <v>1069</v>
      </c>
      <c r="AM822" s="100" t="s">
        <v>4505</v>
      </c>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c r="BJ822" s="107"/>
      <c r="BK822" s="107"/>
      <c r="BL822" s="107"/>
      <c r="BM822" s="107"/>
      <c r="BN822" s="107"/>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18"/>
      <c r="CO822" s="119"/>
      <c r="CP822" s="118"/>
      <c r="CQ822" s="119"/>
      <c r="CR822" s="118"/>
      <c r="CS822" s="119"/>
      <c r="CT822" s="113"/>
      <c r="CU822" s="118"/>
      <c r="CV822" s="99">
        <f t="shared" si="77"/>
        <v>0</v>
      </c>
      <c r="CW822" s="118"/>
      <c r="CX822" s="119"/>
      <c r="CY822" s="119"/>
      <c r="CZ822" s="119"/>
      <c r="DA822" s="118"/>
      <c r="DB822" s="119"/>
      <c r="DC822" s="111"/>
      <c r="DD822" s="119"/>
      <c r="DE822" s="111"/>
      <c r="DF822" s="269"/>
    </row>
    <row r="823" spans="1:255" s="270" customFormat="1" ht="120" x14ac:dyDescent="0.2">
      <c r="A823" s="89">
        <v>40658</v>
      </c>
      <c r="B823" s="90" t="s">
        <v>4387</v>
      </c>
      <c r="C823" s="90" t="s">
        <v>468</v>
      </c>
      <c r="D823" s="90" t="s">
        <v>2362</v>
      </c>
      <c r="E823" s="90" t="str">
        <f>VLOOKUP(B823&amp;C823,Divipola!$C$2:$F$1138,4,FALSE)</f>
        <v>52258</v>
      </c>
      <c r="F823" s="90"/>
      <c r="G823" s="101"/>
      <c r="H823" s="101"/>
      <c r="I823" s="101"/>
      <c r="J823" s="101">
        <v>137</v>
      </c>
      <c r="K823" s="101">
        <v>37</v>
      </c>
      <c r="L823" s="101">
        <v>3</v>
      </c>
      <c r="M823" s="101">
        <v>29</v>
      </c>
      <c r="N823" s="101">
        <v>5</v>
      </c>
      <c r="O823" s="101"/>
      <c r="P823" s="101"/>
      <c r="Q823" s="101"/>
      <c r="R823" s="101"/>
      <c r="S823" s="101"/>
      <c r="T823" s="101"/>
      <c r="U823" s="101"/>
      <c r="V823" s="101"/>
      <c r="W823" s="91"/>
      <c r="X823" s="105"/>
      <c r="Y823" s="92">
        <f t="shared" si="72"/>
        <v>0</v>
      </c>
      <c r="Z823" s="92">
        <f t="shared" si="73"/>
        <v>0</v>
      </c>
      <c r="AA823" s="92">
        <f t="shared" si="74"/>
        <v>0</v>
      </c>
      <c r="AB823" s="92">
        <f t="shared" si="75"/>
        <v>0</v>
      </c>
      <c r="AC823" s="92"/>
      <c r="AD823" s="92">
        <v>0</v>
      </c>
      <c r="AE823" s="92">
        <f t="shared" si="76"/>
        <v>0</v>
      </c>
      <c r="AF823" s="93">
        <v>0</v>
      </c>
      <c r="AG823" s="105"/>
      <c r="AH823" s="108"/>
      <c r="AI823" s="109" t="s">
        <v>4336</v>
      </c>
      <c r="AJ823" s="110" t="s">
        <v>4337</v>
      </c>
      <c r="AK823" s="111"/>
      <c r="AL823" s="105" t="s">
        <v>1069</v>
      </c>
      <c r="AM823" s="100" t="s">
        <v>4504</v>
      </c>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18"/>
      <c r="CO823" s="119"/>
      <c r="CP823" s="118"/>
      <c r="CQ823" s="119"/>
      <c r="CR823" s="118"/>
      <c r="CS823" s="119"/>
      <c r="CT823" s="113"/>
      <c r="CU823" s="118"/>
      <c r="CV823" s="99">
        <f t="shared" si="77"/>
        <v>0</v>
      </c>
      <c r="CW823" s="118"/>
      <c r="CX823" s="119"/>
      <c r="CY823" s="119"/>
      <c r="CZ823" s="119"/>
      <c r="DA823" s="118"/>
      <c r="DB823" s="119"/>
      <c r="DC823" s="111"/>
      <c r="DD823" s="119"/>
      <c r="DE823" s="111"/>
      <c r="DF823" s="269"/>
    </row>
    <row r="824" spans="1:255" s="270" customFormat="1" ht="22.5" x14ac:dyDescent="0.2">
      <c r="A824" s="89">
        <v>40658</v>
      </c>
      <c r="B824" s="90" t="s">
        <v>4387</v>
      </c>
      <c r="C824" s="90" t="s">
        <v>859</v>
      </c>
      <c r="D824" s="90" t="s">
        <v>2362</v>
      </c>
      <c r="E824" s="90" t="str">
        <f>VLOOKUP(B824&amp;C824,Divipola!$C$2:$F$1138,4,FALSE)</f>
        <v>52687</v>
      </c>
      <c r="F824" s="90"/>
      <c r="G824" s="101"/>
      <c r="H824" s="101"/>
      <c r="I824" s="101"/>
      <c r="J824" s="101">
        <v>562</v>
      </c>
      <c r="K824" s="101">
        <v>121</v>
      </c>
      <c r="L824" s="101">
        <v>2</v>
      </c>
      <c r="M824" s="101">
        <v>119</v>
      </c>
      <c r="N824" s="101"/>
      <c r="O824" s="101"/>
      <c r="P824" s="101"/>
      <c r="Q824" s="101"/>
      <c r="R824" s="101"/>
      <c r="S824" s="101"/>
      <c r="T824" s="101">
        <v>1</v>
      </c>
      <c r="U824" s="101"/>
      <c r="V824" s="101">
        <v>76.25</v>
      </c>
      <c r="W824" s="91"/>
      <c r="X824" s="105"/>
      <c r="Y824" s="92">
        <f t="shared" si="72"/>
        <v>0</v>
      </c>
      <c r="Z824" s="92">
        <f t="shared" si="73"/>
        <v>0</v>
      </c>
      <c r="AA824" s="92">
        <f t="shared" si="74"/>
        <v>0</v>
      </c>
      <c r="AB824" s="92">
        <f t="shared" si="75"/>
        <v>0</v>
      </c>
      <c r="AC824" s="92"/>
      <c r="AD824" s="92">
        <v>0</v>
      </c>
      <c r="AE824" s="92">
        <f t="shared" si="76"/>
        <v>0</v>
      </c>
      <c r="AF824" s="93">
        <v>0</v>
      </c>
      <c r="AG824" s="105"/>
      <c r="AH824" s="108"/>
      <c r="AI824" s="109" t="s">
        <v>4336</v>
      </c>
      <c r="AJ824" s="110" t="s">
        <v>4337</v>
      </c>
      <c r="AK824" s="111"/>
      <c r="AL824" s="105" t="s">
        <v>1069</v>
      </c>
      <c r="AM824" s="100" t="s">
        <v>4503</v>
      </c>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18"/>
      <c r="CO824" s="119"/>
      <c r="CP824" s="118"/>
      <c r="CQ824" s="119"/>
      <c r="CR824" s="118"/>
      <c r="CS824" s="119"/>
      <c r="CT824" s="113"/>
      <c r="CU824" s="118"/>
      <c r="CV824" s="99">
        <f t="shared" si="77"/>
        <v>0</v>
      </c>
      <c r="CW824" s="118"/>
      <c r="CX824" s="119"/>
      <c r="CY824" s="119"/>
      <c r="CZ824" s="119"/>
      <c r="DA824" s="118"/>
      <c r="DB824" s="119"/>
      <c r="DC824" s="111"/>
      <c r="DD824" s="119"/>
      <c r="DE824" s="111"/>
      <c r="DF824" s="46"/>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row>
    <row r="825" spans="1:255" s="270" customFormat="1" ht="36" x14ac:dyDescent="0.2">
      <c r="A825" s="89">
        <v>40658</v>
      </c>
      <c r="B825" s="106" t="s">
        <v>4221</v>
      </c>
      <c r="C825" s="106" t="s">
        <v>4345</v>
      </c>
      <c r="D825" s="90" t="s">
        <v>4264</v>
      </c>
      <c r="E825" s="90">
        <f>VLOOKUP(B825&amp;C825,Divipola!$C$2:$F$1138,4,FALSE)</f>
        <v>54</v>
      </c>
      <c r="F825" s="90"/>
      <c r="G825" s="129"/>
      <c r="H825" s="129"/>
      <c r="I825" s="129"/>
      <c r="J825" s="129"/>
      <c r="K825" s="129"/>
      <c r="L825" s="129"/>
      <c r="M825" s="129"/>
      <c r="N825" s="129"/>
      <c r="O825" s="129"/>
      <c r="P825" s="129"/>
      <c r="Q825" s="129"/>
      <c r="R825" s="129"/>
      <c r="S825" s="129"/>
      <c r="T825" s="129"/>
      <c r="U825" s="129"/>
      <c r="V825" s="129"/>
      <c r="W825" s="107"/>
      <c r="X825" s="105"/>
      <c r="Y825" s="117">
        <f t="shared" si="72"/>
        <v>260148800</v>
      </c>
      <c r="Z825" s="117">
        <f t="shared" si="73"/>
        <v>0</v>
      </c>
      <c r="AA825" s="117">
        <f t="shared" si="74"/>
        <v>0</v>
      </c>
      <c r="AB825" s="117">
        <f t="shared" si="75"/>
        <v>0</v>
      </c>
      <c r="AC825" s="122">
        <f>24*2040000+20000*208.8</f>
        <v>53136000</v>
      </c>
      <c r="AD825" s="117">
        <v>0</v>
      </c>
      <c r="AE825" s="92">
        <f t="shared" si="76"/>
        <v>313284800</v>
      </c>
      <c r="AF825" s="93">
        <v>0</v>
      </c>
      <c r="AG825" s="105"/>
      <c r="AH825" s="108"/>
      <c r="AI825" s="109" t="s">
        <v>4346</v>
      </c>
      <c r="AJ825" s="110" t="s">
        <v>4347</v>
      </c>
      <c r="AK825" s="111"/>
      <c r="AL825" s="105"/>
      <c r="AM825" s="126" t="s">
        <v>2199</v>
      </c>
      <c r="AN825" s="107"/>
      <c r="AO825" s="107"/>
      <c r="AP825" s="107"/>
      <c r="AQ825" s="107"/>
      <c r="AR825" s="107"/>
      <c r="AS825" s="107"/>
      <c r="AT825" s="107"/>
      <c r="AU825" s="107"/>
      <c r="AV825" s="91"/>
      <c r="AW825" s="91"/>
      <c r="AX825" s="107">
        <v>50</v>
      </c>
      <c r="AY825" s="107">
        <f>50*357280</f>
        <v>17864000</v>
      </c>
      <c r="AZ825" s="107">
        <v>1200</v>
      </c>
      <c r="BA825" s="107">
        <f>1200*56000</f>
        <v>67200000</v>
      </c>
      <c r="BB825" s="107"/>
      <c r="BC825" s="107"/>
      <c r="BD825" s="107">
        <v>100</v>
      </c>
      <c r="BE825" s="107">
        <f>100*26448</f>
        <v>2644800</v>
      </c>
      <c r="BF825" s="107"/>
      <c r="BG825" s="107"/>
      <c r="BH825" s="107"/>
      <c r="BI825" s="107"/>
      <c r="BJ825" s="107"/>
      <c r="BK825" s="107"/>
      <c r="BL825" s="107"/>
      <c r="BM825" s="107"/>
      <c r="BN825" s="107"/>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v>2800</v>
      </c>
      <c r="CK825" s="107">
        <f>2800*21000</f>
        <v>58800000</v>
      </c>
      <c r="CL825" s="107"/>
      <c r="CM825" s="107"/>
      <c r="CN825" s="107">
        <v>1200</v>
      </c>
      <c r="CO825" s="107">
        <f>1200*18000</f>
        <v>21600000</v>
      </c>
      <c r="CP825" s="118">
        <v>1200</v>
      </c>
      <c r="CQ825" s="119">
        <f>1200*37000</f>
        <v>44400000</v>
      </c>
      <c r="CR825" s="118">
        <v>1200</v>
      </c>
      <c r="CS825" s="119">
        <f>1200*39700</f>
        <v>47640000</v>
      </c>
      <c r="CT825" s="118"/>
      <c r="CU825" s="119"/>
      <c r="CV825" s="99">
        <f t="shared" si="77"/>
        <v>260148800</v>
      </c>
      <c r="CW825" s="118"/>
      <c r="CX825" s="119"/>
      <c r="CY825" s="118"/>
      <c r="CZ825" s="119"/>
      <c r="DA825" s="119"/>
      <c r="DB825" s="119"/>
      <c r="DC825" s="118"/>
      <c r="DD825" s="119"/>
      <c r="DE825" s="111"/>
      <c r="DF825" s="269"/>
    </row>
    <row r="826" spans="1:255" s="270" customFormat="1" x14ac:dyDescent="0.2">
      <c r="A826" s="89">
        <v>40658</v>
      </c>
      <c r="B826" s="90" t="s">
        <v>4348</v>
      </c>
      <c r="C826" s="90" t="s">
        <v>3304</v>
      </c>
      <c r="D826" s="90" t="s">
        <v>3346</v>
      </c>
      <c r="E826" s="90" t="str">
        <f>VLOOKUP(B826&amp;C826,Divipola!$C$2:$F$1138,4,FALSE)</f>
        <v>66440</v>
      </c>
      <c r="F826" s="101"/>
      <c r="G826" s="101"/>
      <c r="H826" s="101"/>
      <c r="I826" s="101"/>
      <c r="J826" s="101">
        <v>45</v>
      </c>
      <c r="K826" s="101">
        <v>7</v>
      </c>
      <c r="L826" s="101"/>
      <c r="M826" s="101">
        <v>7</v>
      </c>
      <c r="N826" s="101"/>
      <c r="O826" s="101"/>
      <c r="P826" s="101"/>
      <c r="Q826" s="101"/>
      <c r="R826" s="101"/>
      <c r="S826" s="101"/>
      <c r="T826" s="101"/>
      <c r="U826" s="91"/>
      <c r="V826" s="89"/>
      <c r="W826" s="92"/>
      <c r="X826" s="92"/>
      <c r="Y826" s="92">
        <f t="shared" si="72"/>
        <v>0</v>
      </c>
      <c r="Z826" s="92">
        <f t="shared" si="73"/>
        <v>0</v>
      </c>
      <c r="AA826" s="92">
        <f t="shared" si="74"/>
        <v>0</v>
      </c>
      <c r="AB826" s="92">
        <f t="shared" si="75"/>
        <v>0</v>
      </c>
      <c r="AC826" s="92"/>
      <c r="AD826" s="92">
        <v>0</v>
      </c>
      <c r="AE826" s="92">
        <f t="shared" si="76"/>
        <v>0</v>
      </c>
      <c r="AF826" s="93">
        <v>0</v>
      </c>
      <c r="AG826" s="89"/>
      <c r="AH826" s="96"/>
      <c r="AI826" s="102" t="s">
        <v>4336</v>
      </c>
      <c r="AJ826" s="96" t="s">
        <v>4337</v>
      </c>
      <c r="AK826" s="100"/>
      <c r="AL826" s="89"/>
      <c r="AM826" s="90" t="s">
        <v>893</v>
      </c>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114"/>
      <c r="CQ826" s="115"/>
      <c r="CR826" s="114"/>
      <c r="CS826" s="115"/>
      <c r="CT826" s="114"/>
      <c r="CU826" s="115"/>
      <c r="CV826" s="99">
        <f t="shared" si="77"/>
        <v>0</v>
      </c>
      <c r="CW826" s="114"/>
      <c r="CX826" s="115"/>
      <c r="CY826" s="114"/>
      <c r="CZ826" s="115"/>
      <c r="DA826" s="115"/>
      <c r="DB826" s="115"/>
      <c r="DC826" s="114"/>
      <c r="DD826" s="115"/>
      <c r="DE826" s="97"/>
      <c r="DF826" s="269"/>
    </row>
    <row r="827" spans="1:255" s="270" customFormat="1" ht="22.5" x14ac:dyDescent="0.2">
      <c r="A827" s="89">
        <v>40658</v>
      </c>
      <c r="B827" s="90" t="s">
        <v>4348</v>
      </c>
      <c r="C827" s="90" t="s">
        <v>4365</v>
      </c>
      <c r="D827" s="90" t="s">
        <v>2362</v>
      </c>
      <c r="E827" s="90" t="str">
        <f>VLOOKUP(B827&amp;C827,Divipola!$C$2:$F$1138,4,FALSE)</f>
        <v>66682</v>
      </c>
      <c r="F827" s="101"/>
      <c r="G827" s="101"/>
      <c r="H827" s="101"/>
      <c r="I827" s="101"/>
      <c r="J827" s="101">
        <v>20</v>
      </c>
      <c r="K827" s="101">
        <v>4</v>
      </c>
      <c r="L827" s="101"/>
      <c r="M827" s="101">
        <v>4</v>
      </c>
      <c r="N827" s="101"/>
      <c r="O827" s="101"/>
      <c r="P827" s="101"/>
      <c r="Q827" s="101"/>
      <c r="R827" s="101"/>
      <c r="S827" s="101"/>
      <c r="T827" s="101"/>
      <c r="U827" s="91"/>
      <c r="V827" s="89"/>
      <c r="W827" s="92"/>
      <c r="X827" s="92"/>
      <c r="Y827" s="92">
        <f t="shared" si="72"/>
        <v>0</v>
      </c>
      <c r="Z827" s="92">
        <f t="shared" si="73"/>
        <v>0</v>
      </c>
      <c r="AA827" s="92">
        <f t="shared" si="74"/>
        <v>0</v>
      </c>
      <c r="AB827" s="92">
        <f t="shared" si="75"/>
        <v>0</v>
      </c>
      <c r="AC827" s="92"/>
      <c r="AD827" s="92">
        <v>0</v>
      </c>
      <c r="AE827" s="92">
        <f t="shared" si="76"/>
        <v>0</v>
      </c>
      <c r="AF827" s="93">
        <v>0</v>
      </c>
      <c r="AG827" s="89"/>
      <c r="AH827" s="96"/>
      <c r="AI827" s="102" t="s">
        <v>4336</v>
      </c>
      <c r="AJ827" s="96" t="s">
        <v>4337</v>
      </c>
      <c r="AK827" s="100"/>
      <c r="AL827" s="89"/>
      <c r="AM827" s="90" t="s">
        <v>322</v>
      </c>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114"/>
      <c r="CQ827" s="115"/>
      <c r="CR827" s="114"/>
      <c r="CS827" s="115"/>
      <c r="CT827" s="114"/>
      <c r="CU827" s="115"/>
      <c r="CV827" s="99">
        <f t="shared" si="77"/>
        <v>0</v>
      </c>
      <c r="CW827" s="114"/>
      <c r="CX827" s="115"/>
      <c r="CY827" s="114"/>
      <c r="CZ827" s="115"/>
      <c r="DA827" s="115"/>
      <c r="DB827" s="115"/>
      <c r="DC827" s="114"/>
      <c r="DD827" s="115"/>
      <c r="DE827" s="97"/>
      <c r="DF827" s="46"/>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row>
    <row r="828" spans="1:255" s="270" customFormat="1" x14ac:dyDescent="0.2">
      <c r="A828" s="89">
        <v>40658</v>
      </c>
      <c r="B828" s="16" t="s">
        <v>2226</v>
      </c>
      <c r="C828" s="16" t="s">
        <v>665</v>
      </c>
      <c r="D828" s="90" t="s">
        <v>2362</v>
      </c>
      <c r="E828" s="90" t="str">
        <f>VLOOKUP(B828&amp;C828,Divipola!$C$2:$F$1138,4,FALSE)</f>
        <v>68264</v>
      </c>
      <c r="F828" s="4"/>
      <c r="G828" s="208"/>
      <c r="H828" s="208"/>
      <c r="I828" s="208"/>
      <c r="J828" s="208">
        <v>20</v>
      </c>
      <c r="K828" s="208">
        <v>4</v>
      </c>
      <c r="L828" s="208"/>
      <c r="M828" s="208"/>
      <c r="N828" s="208"/>
      <c r="O828" s="208"/>
      <c r="P828" s="208"/>
      <c r="Q828" s="208"/>
      <c r="R828" s="208"/>
      <c r="S828" s="208"/>
      <c r="T828" s="208"/>
      <c r="U828" s="208"/>
      <c r="V828" s="208"/>
      <c r="W828" s="19"/>
      <c r="X828" s="17"/>
      <c r="Y828" s="5">
        <f t="shared" si="72"/>
        <v>0</v>
      </c>
      <c r="Z828" s="5">
        <f t="shared" si="73"/>
        <v>0</v>
      </c>
      <c r="AA828" s="5">
        <f t="shared" si="74"/>
        <v>0</v>
      </c>
      <c r="AB828" s="5">
        <f t="shared" si="75"/>
        <v>0</v>
      </c>
      <c r="AC828" s="5"/>
      <c r="AD828" s="5">
        <v>0</v>
      </c>
      <c r="AE828" s="5">
        <f t="shared" si="76"/>
        <v>0</v>
      </c>
      <c r="AF828" s="70">
        <v>0</v>
      </c>
      <c r="AG828" s="17"/>
      <c r="AH828" s="18"/>
      <c r="AI828" s="47" t="s">
        <v>4336</v>
      </c>
      <c r="AJ828" s="73" t="s">
        <v>4337</v>
      </c>
      <c r="AK828" s="45"/>
      <c r="AL828" s="17"/>
      <c r="AM828" s="20" t="s">
        <v>3764</v>
      </c>
      <c r="AN828" s="19"/>
      <c r="AO828" s="19"/>
      <c r="AP828" s="19"/>
      <c r="AQ828" s="19"/>
      <c r="AR828" s="19"/>
      <c r="AS828" s="19"/>
      <c r="AT828" s="19"/>
      <c r="AU828" s="19"/>
      <c r="AV828" s="19"/>
      <c r="AW828" s="19"/>
      <c r="AX828" s="107"/>
      <c r="AY828" s="107"/>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39"/>
      <c r="CO828" s="138"/>
      <c r="CP828" s="139"/>
      <c r="CQ828" s="138"/>
      <c r="CR828" s="139"/>
      <c r="CS828" s="138"/>
      <c r="CT828" s="72"/>
      <c r="CU828" s="139"/>
      <c r="CV828" s="99">
        <f t="shared" si="77"/>
        <v>0</v>
      </c>
      <c r="CW828" s="139"/>
      <c r="CX828" s="138"/>
      <c r="CY828" s="138"/>
      <c r="CZ828" s="138"/>
      <c r="DA828" s="139"/>
      <c r="DB828" s="138"/>
      <c r="DC828" s="45"/>
      <c r="DD828" s="138"/>
      <c r="DE828" s="45"/>
      <c r="DF828" s="46"/>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row>
    <row r="829" spans="1:255" s="270" customFormat="1" x14ac:dyDescent="0.2">
      <c r="A829" s="89">
        <v>40658</v>
      </c>
      <c r="B829" s="16" t="s">
        <v>2226</v>
      </c>
      <c r="C829" s="16" t="s">
        <v>665</v>
      </c>
      <c r="D829" s="90" t="s">
        <v>2362</v>
      </c>
      <c r="E829" s="90" t="str">
        <f>VLOOKUP(B829&amp;C829,Divipola!$C$2:$F$1138,4,FALSE)</f>
        <v>68264</v>
      </c>
      <c r="F829" s="4"/>
      <c r="G829" s="208"/>
      <c r="H829" s="208"/>
      <c r="I829" s="208"/>
      <c r="J829" s="208">
        <v>400</v>
      </c>
      <c r="K829" s="208">
        <v>80</v>
      </c>
      <c r="L829" s="208"/>
      <c r="M829" s="208"/>
      <c r="N829" s="208"/>
      <c r="O829" s="208"/>
      <c r="P829" s="208"/>
      <c r="Q829" s="208"/>
      <c r="R829" s="208"/>
      <c r="S829" s="208"/>
      <c r="T829" s="208"/>
      <c r="U829" s="208"/>
      <c r="V829" s="208"/>
      <c r="W829" s="19"/>
      <c r="X829" s="17"/>
      <c r="Y829" s="5">
        <f t="shared" si="72"/>
        <v>0</v>
      </c>
      <c r="Z829" s="5">
        <f t="shared" si="73"/>
        <v>0</v>
      </c>
      <c r="AA829" s="5">
        <f t="shared" si="74"/>
        <v>0</v>
      </c>
      <c r="AB829" s="5">
        <f t="shared" si="75"/>
        <v>0</v>
      </c>
      <c r="AC829" s="5"/>
      <c r="AD829" s="5">
        <v>0</v>
      </c>
      <c r="AE829" s="5">
        <f t="shared" si="76"/>
        <v>0</v>
      </c>
      <c r="AF829" s="70">
        <v>0</v>
      </c>
      <c r="AG829" s="17"/>
      <c r="AH829" s="18"/>
      <c r="AI829" s="47" t="s">
        <v>4336</v>
      </c>
      <c r="AJ829" s="73" t="s">
        <v>4337</v>
      </c>
      <c r="AK829" s="45"/>
      <c r="AL829" s="17"/>
      <c r="AM829" s="20" t="s">
        <v>3764</v>
      </c>
      <c r="AN829" s="19"/>
      <c r="AO829" s="19"/>
      <c r="AP829" s="19"/>
      <c r="AQ829" s="19"/>
      <c r="AR829" s="19"/>
      <c r="AS829" s="19"/>
      <c r="AT829" s="19"/>
      <c r="AU829" s="19"/>
      <c r="AV829" s="19"/>
      <c r="AW829" s="19"/>
      <c r="AX829" s="107"/>
      <c r="AY829" s="107"/>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39"/>
      <c r="CO829" s="138"/>
      <c r="CP829" s="139"/>
      <c r="CQ829" s="138"/>
      <c r="CR829" s="139"/>
      <c r="CS829" s="138"/>
      <c r="CT829" s="72"/>
      <c r="CU829" s="139"/>
      <c r="CV829" s="99">
        <f t="shared" si="77"/>
        <v>0</v>
      </c>
      <c r="CW829" s="139"/>
      <c r="CX829" s="138"/>
      <c r="CY829" s="138"/>
      <c r="CZ829" s="138"/>
      <c r="DA829" s="139"/>
      <c r="DB829" s="138"/>
      <c r="DC829" s="45"/>
      <c r="DD829" s="138"/>
      <c r="DE829" s="45"/>
      <c r="DF829" s="269">
        <v>1745</v>
      </c>
    </row>
    <row r="830" spans="1:255" s="42" customFormat="1" ht="24" x14ac:dyDescent="0.2">
      <c r="A830" s="89">
        <v>40658</v>
      </c>
      <c r="B830" s="90" t="s">
        <v>3316</v>
      </c>
      <c r="C830" s="90" t="s">
        <v>3551</v>
      </c>
      <c r="D830" s="90" t="s">
        <v>2362</v>
      </c>
      <c r="E830" s="90" t="str">
        <f>VLOOKUP(B830&amp;C830,Divipola!$C$2:$F$1138,4,FALSE)</f>
        <v>73283</v>
      </c>
      <c r="F830" s="90"/>
      <c r="G830" s="101"/>
      <c r="H830" s="101"/>
      <c r="I830" s="101"/>
      <c r="J830" s="101">
        <v>4</v>
      </c>
      <c r="K830" s="101">
        <v>1</v>
      </c>
      <c r="L830" s="101"/>
      <c r="M830" s="101">
        <v>1</v>
      </c>
      <c r="N830" s="101"/>
      <c r="O830" s="101"/>
      <c r="P830" s="101"/>
      <c r="Q830" s="101"/>
      <c r="R830" s="101"/>
      <c r="S830" s="101"/>
      <c r="T830" s="101"/>
      <c r="U830" s="101"/>
      <c r="V830" s="101"/>
      <c r="W830" s="91"/>
      <c r="X830" s="89"/>
      <c r="Y830" s="92">
        <f t="shared" si="72"/>
        <v>0</v>
      </c>
      <c r="Z830" s="92">
        <f t="shared" si="73"/>
        <v>0</v>
      </c>
      <c r="AA830" s="92">
        <f t="shared" si="74"/>
        <v>0</v>
      </c>
      <c r="AB830" s="92">
        <f t="shared" si="75"/>
        <v>0</v>
      </c>
      <c r="AC830" s="92"/>
      <c r="AD830" s="92">
        <v>0</v>
      </c>
      <c r="AE830" s="92">
        <f t="shared" si="76"/>
        <v>0</v>
      </c>
      <c r="AF830" s="93">
        <v>0</v>
      </c>
      <c r="AG830" s="89"/>
      <c r="AH830" s="94"/>
      <c r="AI830" s="95" t="s">
        <v>4346</v>
      </c>
      <c r="AJ830" s="96" t="s">
        <v>4347</v>
      </c>
      <c r="AK830" s="97"/>
      <c r="AL830" s="89" t="s">
        <v>2798</v>
      </c>
      <c r="AM830" s="100" t="s">
        <v>4407</v>
      </c>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114"/>
      <c r="CQ830" s="115"/>
      <c r="CR830" s="114"/>
      <c r="CS830" s="115"/>
      <c r="CT830" s="114"/>
      <c r="CU830" s="115"/>
      <c r="CV830" s="99">
        <f t="shared" si="77"/>
        <v>0</v>
      </c>
      <c r="CW830" s="114"/>
      <c r="CX830" s="115"/>
      <c r="CY830" s="114"/>
      <c r="CZ830" s="115"/>
      <c r="DA830" s="115"/>
      <c r="DB830" s="115"/>
      <c r="DC830" s="114"/>
      <c r="DD830" s="115"/>
      <c r="DE830" s="97"/>
      <c r="DF830" s="269"/>
      <c r="DG830" s="270"/>
      <c r="DH830" s="270"/>
      <c r="DI830" s="270"/>
      <c r="DJ830" s="270"/>
      <c r="DK830" s="270"/>
      <c r="DL830" s="270"/>
      <c r="DM830" s="270"/>
      <c r="DN830" s="270"/>
      <c r="DO830" s="270"/>
      <c r="DP830" s="270"/>
      <c r="DQ830" s="270"/>
      <c r="DR830" s="270"/>
      <c r="DS830" s="270"/>
      <c r="DT830" s="270"/>
      <c r="DU830" s="270"/>
      <c r="DV830" s="270"/>
      <c r="DW830" s="270"/>
      <c r="DX830" s="270"/>
      <c r="DY830" s="270"/>
      <c r="DZ830" s="270"/>
      <c r="EA830" s="270"/>
      <c r="EB830" s="270"/>
      <c r="EC830" s="270"/>
      <c r="ED830" s="270"/>
      <c r="EE830" s="270"/>
      <c r="EF830" s="270"/>
      <c r="EG830" s="270"/>
      <c r="EH830" s="270"/>
      <c r="EI830" s="270"/>
      <c r="EJ830" s="270"/>
      <c r="EK830" s="270"/>
      <c r="EL830" s="270"/>
      <c r="EM830" s="270"/>
      <c r="EN830" s="270"/>
      <c r="EO830" s="270"/>
      <c r="EP830" s="270"/>
      <c r="EQ830" s="270"/>
      <c r="ER830" s="270"/>
      <c r="ES830" s="270"/>
      <c r="ET830" s="270"/>
      <c r="EU830" s="270"/>
      <c r="EV830" s="270"/>
      <c r="EW830" s="270"/>
      <c r="EX830" s="270"/>
      <c r="EY830" s="270"/>
      <c r="EZ830" s="270"/>
      <c r="FA830" s="270"/>
      <c r="FB830" s="270"/>
      <c r="FC830" s="270"/>
      <c r="FD830" s="270"/>
      <c r="FE830" s="270"/>
      <c r="FF830" s="270"/>
      <c r="FG830" s="270"/>
      <c r="FH830" s="270"/>
      <c r="FI830" s="270"/>
      <c r="FJ830" s="270"/>
      <c r="FK830" s="270"/>
      <c r="FL830" s="270"/>
      <c r="FM830" s="270"/>
      <c r="FN830" s="270"/>
      <c r="FO830" s="270"/>
      <c r="FP830" s="270"/>
      <c r="FQ830" s="270"/>
      <c r="FR830" s="270"/>
      <c r="FS830" s="270"/>
      <c r="FT830" s="270"/>
      <c r="FU830" s="270"/>
      <c r="FV830" s="270"/>
      <c r="FW830" s="270"/>
      <c r="FX830" s="270"/>
      <c r="FY830" s="270"/>
      <c r="FZ830" s="270"/>
      <c r="GA830" s="270"/>
      <c r="GB830" s="270"/>
      <c r="GC830" s="270"/>
      <c r="GD830" s="270"/>
      <c r="GE830" s="270"/>
      <c r="GF830" s="270"/>
      <c r="GG830" s="270"/>
      <c r="GH830" s="270"/>
      <c r="GI830" s="270"/>
      <c r="GJ830" s="270"/>
      <c r="GK830" s="270"/>
      <c r="GL830" s="270"/>
      <c r="GM830" s="270"/>
      <c r="GN830" s="270"/>
      <c r="GO830" s="270"/>
      <c r="GP830" s="270"/>
      <c r="GQ830" s="270"/>
      <c r="GR830" s="270"/>
      <c r="GS830" s="270"/>
      <c r="GT830" s="270"/>
      <c r="GU830" s="270"/>
      <c r="GV830" s="270"/>
      <c r="GW830" s="270"/>
      <c r="GX830" s="270"/>
      <c r="GY830" s="270"/>
      <c r="GZ830" s="270"/>
      <c r="HA830" s="270"/>
      <c r="HB830" s="270"/>
      <c r="HC830" s="270"/>
      <c r="HD830" s="270"/>
      <c r="HE830" s="270"/>
      <c r="HF830" s="270"/>
      <c r="HG830" s="270"/>
      <c r="HH830" s="270"/>
      <c r="HI830" s="270"/>
      <c r="HJ830" s="270"/>
      <c r="HK830" s="270"/>
      <c r="HL830" s="270"/>
      <c r="HM830" s="270"/>
      <c r="HN830" s="270"/>
      <c r="HO830" s="270"/>
      <c r="HP830" s="270"/>
      <c r="HQ830" s="270"/>
      <c r="HR830" s="270"/>
      <c r="HS830" s="270"/>
      <c r="HT830" s="270"/>
      <c r="HU830" s="270"/>
      <c r="HV830" s="270"/>
      <c r="HW830" s="270"/>
      <c r="HX830" s="270"/>
      <c r="HY830" s="270"/>
      <c r="HZ830" s="270"/>
      <c r="IA830" s="270"/>
      <c r="IB830" s="270"/>
      <c r="IC830" s="270"/>
      <c r="ID830" s="270"/>
      <c r="IE830" s="270"/>
      <c r="IF830" s="270"/>
      <c r="IG830" s="270"/>
      <c r="IH830" s="270"/>
      <c r="II830" s="270"/>
      <c r="IJ830" s="270"/>
      <c r="IK830" s="270"/>
      <c r="IL830" s="270"/>
      <c r="IM830" s="270"/>
      <c r="IN830" s="270"/>
      <c r="IO830" s="270"/>
      <c r="IP830" s="270"/>
      <c r="IQ830" s="270"/>
      <c r="IR830" s="270"/>
      <c r="IS830" s="270"/>
      <c r="IT830" s="270"/>
      <c r="IU830" s="270"/>
    </row>
    <row r="831" spans="1:255" s="42" customFormat="1" ht="60" x14ac:dyDescent="0.2">
      <c r="A831" s="89">
        <v>40658</v>
      </c>
      <c r="B831" s="90" t="s">
        <v>3316</v>
      </c>
      <c r="C831" s="90" t="s">
        <v>4323</v>
      </c>
      <c r="D831" s="90" t="s">
        <v>2362</v>
      </c>
      <c r="E831" s="90" t="str">
        <f>VLOOKUP(B831&amp;C831,Divipola!$C$2:$F$1138,4,FALSE)</f>
        <v>73001</v>
      </c>
      <c r="F831" s="90"/>
      <c r="G831" s="101"/>
      <c r="H831" s="101"/>
      <c r="I831" s="101"/>
      <c r="J831" s="101">
        <f>16*5</f>
        <v>80</v>
      </c>
      <c r="K831" s="101">
        <v>16</v>
      </c>
      <c r="L831" s="101"/>
      <c r="M831" s="101"/>
      <c r="N831" s="101"/>
      <c r="O831" s="101"/>
      <c r="P831" s="101"/>
      <c r="Q831" s="101"/>
      <c r="R831" s="101"/>
      <c r="S831" s="101"/>
      <c r="T831" s="101"/>
      <c r="U831" s="101"/>
      <c r="V831" s="101"/>
      <c r="W831" s="91"/>
      <c r="X831" s="89"/>
      <c r="Y831" s="92">
        <f t="shared" si="72"/>
        <v>0</v>
      </c>
      <c r="Z831" s="92">
        <f t="shared" si="73"/>
        <v>0</v>
      </c>
      <c r="AA831" s="92">
        <f t="shared" si="74"/>
        <v>0</v>
      </c>
      <c r="AB831" s="92">
        <f t="shared" si="75"/>
        <v>0</v>
      </c>
      <c r="AC831" s="92"/>
      <c r="AD831" s="92">
        <v>0</v>
      </c>
      <c r="AE831" s="92">
        <f t="shared" si="76"/>
        <v>0</v>
      </c>
      <c r="AF831" s="93">
        <v>0</v>
      </c>
      <c r="AG831" s="89"/>
      <c r="AH831" s="94"/>
      <c r="AI831" s="95" t="s">
        <v>4346</v>
      </c>
      <c r="AJ831" s="96" t="s">
        <v>4347</v>
      </c>
      <c r="AK831" s="97"/>
      <c r="AL831" s="89" t="s">
        <v>2798</v>
      </c>
      <c r="AM831" s="100" t="s">
        <v>2759</v>
      </c>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114"/>
      <c r="CQ831" s="115"/>
      <c r="CR831" s="114"/>
      <c r="CS831" s="115"/>
      <c r="CT831" s="114"/>
      <c r="CU831" s="115"/>
      <c r="CV831" s="99">
        <f t="shared" si="77"/>
        <v>0</v>
      </c>
      <c r="CW831" s="114"/>
      <c r="CX831" s="115"/>
      <c r="CY831" s="114"/>
      <c r="CZ831" s="115"/>
      <c r="DA831" s="115"/>
      <c r="DB831" s="115"/>
      <c r="DC831" s="114"/>
      <c r="DD831" s="115"/>
      <c r="DE831" s="97"/>
      <c r="DF831" s="46"/>
    </row>
    <row r="832" spans="1:255" s="42" customFormat="1" ht="24" x14ac:dyDescent="0.2">
      <c r="A832" s="89">
        <v>40659</v>
      </c>
      <c r="B832" s="90" t="s">
        <v>2218</v>
      </c>
      <c r="C832" s="90" t="s">
        <v>3297</v>
      </c>
      <c r="D832" s="90" t="s">
        <v>4264</v>
      </c>
      <c r="E832" s="90" t="str">
        <f>VLOOKUP(B832&amp;C832,Divipola!$C$2:$F$1138,4,FALSE)</f>
        <v>05001</v>
      </c>
      <c r="F832" s="90"/>
      <c r="G832" s="101">
        <v>1</v>
      </c>
      <c r="H832" s="101"/>
      <c r="I832" s="101"/>
      <c r="J832" s="101"/>
      <c r="K832" s="101"/>
      <c r="L832" s="101"/>
      <c r="M832" s="101"/>
      <c r="N832" s="101"/>
      <c r="O832" s="101"/>
      <c r="P832" s="101"/>
      <c r="Q832" s="101"/>
      <c r="R832" s="101"/>
      <c r="S832" s="101"/>
      <c r="T832" s="101"/>
      <c r="U832" s="101"/>
      <c r="V832" s="101"/>
      <c r="W832" s="91"/>
      <c r="X832" s="89"/>
      <c r="Y832" s="92">
        <f t="shared" si="72"/>
        <v>0</v>
      </c>
      <c r="Z832" s="92">
        <f t="shared" si="73"/>
        <v>0</v>
      </c>
      <c r="AA832" s="92">
        <f t="shared" si="74"/>
        <v>0</v>
      </c>
      <c r="AB832" s="92">
        <f t="shared" si="75"/>
        <v>0</v>
      </c>
      <c r="AC832" s="92"/>
      <c r="AD832" s="92">
        <v>0</v>
      </c>
      <c r="AE832" s="92">
        <f t="shared" si="76"/>
        <v>0</v>
      </c>
      <c r="AF832" s="93">
        <v>0</v>
      </c>
      <c r="AG832" s="89"/>
      <c r="AH832" s="94"/>
      <c r="AI832" s="102" t="s">
        <v>4336</v>
      </c>
      <c r="AJ832" s="96" t="s">
        <v>4337</v>
      </c>
      <c r="AK832" s="97"/>
      <c r="AL832" s="89"/>
      <c r="AM832" s="100" t="s">
        <v>4135</v>
      </c>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114"/>
      <c r="CQ832" s="115"/>
      <c r="CR832" s="114"/>
      <c r="CS832" s="115"/>
      <c r="CT832" s="114"/>
      <c r="CU832" s="115"/>
      <c r="CV832" s="99">
        <f t="shared" si="77"/>
        <v>0</v>
      </c>
      <c r="CW832" s="114"/>
      <c r="CX832" s="115"/>
      <c r="CY832" s="114"/>
      <c r="CZ832" s="115"/>
      <c r="DA832" s="115"/>
      <c r="DB832" s="115"/>
      <c r="DC832" s="114"/>
      <c r="DD832" s="115"/>
      <c r="DE832" s="97"/>
      <c r="DF832" s="46"/>
    </row>
    <row r="833" spans="1:110" s="42" customFormat="1" ht="72" x14ac:dyDescent="0.2">
      <c r="A833" s="89">
        <v>40659</v>
      </c>
      <c r="B833" s="90" t="s">
        <v>1116</v>
      </c>
      <c r="C833" s="90" t="s">
        <v>1116</v>
      </c>
      <c r="D833" s="90" t="s">
        <v>2362</v>
      </c>
      <c r="E833" s="90" t="str">
        <f>VLOOKUP(B833&amp;C833,Divipola!$C$2:$F$1138,4,FALSE)</f>
        <v>11001</v>
      </c>
      <c r="F833" s="90"/>
      <c r="G833" s="101"/>
      <c r="H833" s="101"/>
      <c r="I833" s="101"/>
      <c r="J833" s="101">
        <v>200</v>
      </c>
      <c r="K833" s="101">
        <v>40</v>
      </c>
      <c r="L833" s="101"/>
      <c r="M833" s="101">
        <v>40</v>
      </c>
      <c r="N833" s="101"/>
      <c r="O833" s="101"/>
      <c r="P833" s="101"/>
      <c r="Q833" s="101"/>
      <c r="R833" s="101"/>
      <c r="S833" s="101"/>
      <c r="T833" s="101"/>
      <c r="U833" s="101"/>
      <c r="V833" s="101"/>
      <c r="W833" s="91"/>
      <c r="X833" s="89"/>
      <c r="Y833" s="92">
        <f t="shared" si="72"/>
        <v>0</v>
      </c>
      <c r="Z833" s="92">
        <f t="shared" si="73"/>
        <v>0</v>
      </c>
      <c r="AA833" s="92">
        <f t="shared" si="74"/>
        <v>0</v>
      </c>
      <c r="AB833" s="92">
        <f t="shared" si="75"/>
        <v>0</v>
      </c>
      <c r="AC833" s="92"/>
      <c r="AD833" s="92">
        <v>0</v>
      </c>
      <c r="AE833" s="92">
        <f t="shared" si="76"/>
        <v>0</v>
      </c>
      <c r="AF833" s="93">
        <v>0</v>
      </c>
      <c r="AG833" s="89"/>
      <c r="AH833" s="94"/>
      <c r="AI833" s="95" t="s">
        <v>4336</v>
      </c>
      <c r="AJ833" s="96" t="s">
        <v>4337</v>
      </c>
      <c r="AK833" s="97"/>
      <c r="AL833" s="89"/>
      <c r="AM833" s="100" t="s">
        <v>3568</v>
      </c>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114"/>
      <c r="CQ833" s="115"/>
      <c r="CR833" s="114"/>
      <c r="CS833" s="115"/>
      <c r="CT833" s="114"/>
      <c r="CU833" s="115"/>
      <c r="CV833" s="99">
        <f t="shared" si="77"/>
        <v>0</v>
      </c>
      <c r="CW833" s="114"/>
      <c r="CX833" s="115"/>
      <c r="CY833" s="114"/>
      <c r="CZ833" s="115"/>
      <c r="DA833" s="115"/>
      <c r="DB833" s="115"/>
      <c r="DC833" s="114"/>
      <c r="DD833" s="115"/>
      <c r="DE833" s="97"/>
      <c r="DF833" s="46"/>
    </row>
    <row r="834" spans="1:110" s="42" customFormat="1" ht="24" x14ac:dyDescent="0.2">
      <c r="A834" s="89">
        <v>40659</v>
      </c>
      <c r="B834" s="106" t="s">
        <v>4261</v>
      </c>
      <c r="C834" s="106" t="s">
        <v>2591</v>
      </c>
      <c r="D834" s="90" t="s">
        <v>2362</v>
      </c>
      <c r="E834" s="90" t="str">
        <f>VLOOKUP(B834&amp;C834,Divipola!$C$2:$F$1138,4,FALSE)</f>
        <v>15092</v>
      </c>
      <c r="F834" s="4"/>
      <c r="G834" s="274"/>
      <c r="H834" s="274"/>
      <c r="I834" s="274"/>
      <c r="J834" s="129">
        <v>25</v>
      </c>
      <c r="K834" s="129">
        <v>5</v>
      </c>
      <c r="L834" s="129"/>
      <c r="M834" s="129">
        <v>5</v>
      </c>
      <c r="N834" s="208"/>
      <c r="O834" s="208"/>
      <c r="P834" s="208"/>
      <c r="Q834" s="208"/>
      <c r="R834" s="208"/>
      <c r="S834" s="208"/>
      <c r="T834" s="208"/>
      <c r="U834" s="208"/>
      <c r="V834" s="208"/>
      <c r="W834" s="19"/>
      <c r="X834" s="17"/>
      <c r="Y834" s="5">
        <f t="shared" si="72"/>
        <v>0</v>
      </c>
      <c r="Z834" s="5">
        <f t="shared" si="73"/>
        <v>0</v>
      </c>
      <c r="AA834" s="5">
        <f t="shared" si="74"/>
        <v>0</v>
      </c>
      <c r="AB834" s="5">
        <f t="shared" si="75"/>
        <v>0</v>
      </c>
      <c r="AC834" s="5"/>
      <c r="AD834" s="5">
        <v>0</v>
      </c>
      <c r="AE834" s="5">
        <f t="shared" si="76"/>
        <v>0</v>
      </c>
      <c r="AF834" s="70">
        <v>0</v>
      </c>
      <c r="AG834" s="17"/>
      <c r="AH834" s="18"/>
      <c r="AI834" s="47" t="s">
        <v>4346</v>
      </c>
      <c r="AJ834" s="73" t="s">
        <v>4347</v>
      </c>
      <c r="AK834" s="275"/>
      <c r="AL834" s="89" t="s">
        <v>2798</v>
      </c>
      <c r="AM834" s="112" t="s">
        <v>1102</v>
      </c>
      <c r="AN834" s="19"/>
      <c r="AO834" s="19"/>
      <c r="AP834" s="19"/>
      <c r="AQ834" s="19"/>
      <c r="AR834" s="19"/>
      <c r="AS834" s="19"/>
      <c r="AT834" s="19"/>
      <c r="AU834" s="19"/>
      <c r="AV834" s="19"/>
      <c r="AW834" s="19"/>
      <c r="AX834" s="107"/>
      <c r="AY834" s="107"/>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39"/>
      <c r="CO834" s="138"/>
      <c r="CP834" s="139"/>
      <c r="CQ834" s="138"/>
      <c r="CR834" s="139"/>
      <c r="CS834" s="138"/>
      <c r="CT834" s="72"/>
      <c r="CU834" s="139"/>
      <c r="CV834" s="99">
        <f t="shared" si="77"/>
        <v>0</v>
      </c>
      <c r="CW834" s="139"/>
      <c r="CX834" s="138"/>
      <c r="CY834" s="138"/>
      <c r="CZ834" s="138"/>
      <c r="DA834" s="139"/>
      <c r="DB834" s="138"/>
      <c r="DC834" s="45"/>
      <c r="DD834" s="138"/>
      <c r="DE834" s="45"/>
      <c r="DF834" s="46"/>
    </row>
    <row r="835" spans="1:110" s="42" customFormat="1" ht="36" x14ac:dyDescent="0.2">
      <c r="A835" s="89">
        <v>40659</v>
      </c>
      <c r="B835" s="90" t="s">
        <v>4261</v>
      </c>
      <c r="C835" s="90" t="s">
        <v>70</v>
      </c>
      <c r="D835" s="90" t="s">
        <v>4264</v>
      </c>
      <c r="E835" s="90" t="str">
        <f>VLOOKUP(B835&amp;C835,Divipola!$C$2:$F$1138,4,FALSE)</f>
        <v>15097</v>
      </c>
      <c r="F835" s="90"/>
      <c r="G835" s="101">
        <v>2</v>
      </c>
      <c r="H835" s="101"/>
      <c r="I835" s="101">
        <v>1</v>
      </c>
      <c r="J835" s="101"/>
      <c r="K835" s="101"/>
      <c r="L835" s="101"/>
      <c r="M835" s="101"/>
      <c r="N835" s="101"/>
      <c r="O835" s="101"/>
      <c r="P835" s="101"/>
      <c r="Q835" s="101"/>
      <c r="R835" s="101"/>
      <c r="S835" s="101"/>
      <c r="T835" s="101"/>
      <c r="U835" s="101"/>
      <c r="V835" s="101"/>
      <c r="W835" s="91"/>
      <c r="X835" s="89"/>
      <c r="Y835" s="92">
        <f t="shared" ref="Y835:Y898" si="78">CV835</f>
        <v>0</v>
      </c>
      <c r="Z835" s="92">
        <f t="shared" ref="Z835:Z898" si="79">CZ835</f>
        <v>0</v>
      </c>
      <c r="AA835" s="92">
        <f t="shared" ref="AA835:AA898" si="80">DB835+DD835</f>
        <v>0</v>
      </c>
      <c r="AB835" s="92">
        <f t="shared" ref="AB835:AB898" si="81">CX835</f>
        <v>0</v>
      </c>
      <c r="AC835" s="92"/>
      <c r="AD835" s="92">
        <v>0</v>
      </c>
      <c r="AE835" s="92">
        <f t="shared" ref="AE835:AE898" si="82">Y835+Z835+AA835+AB835+AC835+AD835</f>
        <v>0</v>
      </c>
      <c r="AF835" s="93">
        <v>0</v>
      </c>
      <c r="AG835" s="89"/>
      <c r="AH835" s="94"/>
      <c r="AI835" s="102" t="s">
        <v>4346</v>
      </c>
      <c r="AJ835" s="96" t="s">
        <v>4347</v>
      </c>
      <c r="AK835" s="97"/>
      <c r="AL835" s="89" t="s">
        <v>1049</v>
      </c>
      <c r="AM835" s="100" t="s">
        <v>3726</v>
      </c>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114"/>
      <c r="CQ835" s="115"/>
      <c r="CR835" s="114"/>
      <c r="CS835" s="115"/>
      <c r="CT835" s="114"/>
      <c r="CU835" s="115"/>
      <c r="CV835" s="99">
        <f t="shared" ref="CV835:CV898" si="83">AO835+AQ835+AS835+AU835+AW835+AY835+BA835+BC835+BE835+BG835+BI835+BK835+BM835+BO835+BQ835+BS835+BU835+BW835+BY835+CA835+CC835+CE835+CG835+CI835+CK835+CM835+CO835+CQ835+CS835+CU835</f>
        <v>0</v>
      </c>
      <c r="CW835" s="114"/>
      <c r="CX835" s="115"/>
      <c r="CY835" s="114"/>
      <c r="CZ835" s="115"/>
      <c r="DA835" s="115"/>
      <c r="DB835" s="115"/>
      <c r="DC835" s="114"/>
      <c r="DD835" s="115"/>
      <c r="DE835" s="97"/>
      <c r="DF835" s="46"/>
    </row>
    <row r="836" spans="1:110" s="42" customFormat="1" x14ac:dyDescent="0.2">
      <c r="A836" s="89">
        <v>40659</v>
      </c>
      <c r="B836" s="106" t="s">
        <v>4261</v>
      </c>
      <c r="C836" s="106" t="s">
        <v>2632</v>
      </c>
      <c r="D836" s="90" t="s">
        <v>4264</v>
      </c>
      <c r="E836" s="90" t="str">
        <f>VLOOKUP(B836&amp;C836,Divipola!$C$2:$F$1138,4,FALSE)</f>
        <v>15204</v>
      </c>
      <c r="F836" s="4"/>
      <c r="G836" s="274"/>
      <c r="H836" s="274"/>
      <c r="I836" s="274"/>
      <c r="J836" s="274"/>
      <c r="K836" s="274"/>
      <c r="L836" s="274"/>
      <c r="M836" s="274"/>
      <c r="N836" s="208"/>
      <c r="O836" s="208"/>
      <c r="P836" s="208"/>
      <c r="Q836" s="208"/>
      <c r="R836" s="208"/>
      <c r="S836" s="208"/>
      <c r="T836" s="208">
        <v>5</v>
      </c>
      <c r="U836" s="208"/>
      <c r="V836" s="208"/>
      <c r="W836" s="19"/>
      <c r="X836" s="17"/>
      <c r="Y836" s="5">
        <f t="shared" si="78"/>
        <v>0</v>
      </c>
      <c r="Z836" s="5">
        <f t="shared" si="79"/>
        <v>0</v>
      </c>
      <c r="AA836" s="5">
        <f t="shared" si="80"/>
        <v>0</v>
      </c>
      <c r="AB836" s="5">
        <f t="shared" si="81"/>
        <v>0</v>
      </c>
      <c r="AC836" s="5"/>
      <c r="AD836" s="5">
        <v>0</v>
      </c>
      <c r="AE836" s="5">
        <f t="shared" si="82"/>
        <v>0</v>
      </c>
      <c r="AF836" s="70">
        <v>0</v>
      </c>
      <c r="AG836" s="17"/>
      <c r="AH836" s="18"/>
      <c r="AI836" s="47" t="s">
        <v>4346</v>
      </c>
      <c r="AJ836" s="73" t="s">
        <v>4347</v>
      </c>
      <c r="AK836" s="275"/>
      <c r="AL836" s="89" t="s">
        <v>2798</v>
      </c>
      <c r="AM836" s="112" t="s">
        <v>1078</v>
      </c>
      <c r="AN836" s="19"/>
      <c r="AO836" s="19"/>
      <c r="AP836" s="19"/>
      <c r="AQ836" s="19"/>
      <c r="AR836" s="19"/>
      <c r="AS836" s="19"/>
      <c r="AT836" s="19"/>
      <c r="AU836" s="19"/>
      <c r="AV836" s="19"/>
      <c r="AW836" s="19"/>
      <c r="AX836" s="107"/>
      <c r="AY836" s="107"/>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39"/>
      <c r="CO836" s="138"/>
      <c r="CP836" s="139"/>
      <c r="CQ836" s="138"/>
      <c r="CR836" s="139"/>
      <c r="CS836" s="138"/>
      <c r="CT836" s="72"/>
      <c r="CU836" s="139"/>
      <c r="CV836" s="99">
        <f t="shared" si="83"/>
        <v>0</v>
      </c>
      <c r="CW836" s="139"/>
      <c r="CX836" s="138"/>
      <c r="CY836" s="138"/>
      <c r="CZ836" s="138"/>
      <c r="DA836" s="139"/>
      <c r="DB836" s="138"/>
      <c r="DC836" s="45"/>
      <c r="DD836" s="138"/>
      <c r="DE836" s="45"/>
      <c r="DF836" s="46"/>
    </row>
    <row r="837" spans="1:110" s="42" customFormat="1" ht="24" x14ac:dyDescent="0.2">
      <c r="A837" s="89">
        <v>40659</v>
      </c>
      <c r="B837" s="106" t="s">
        <v>4261</v>
      </c>
      <c r="C837" s="106" t="s">
        <v>1222</v>
      </c>
      <c r="D837" s="90" t="s">
        <v>4264</v>
      </c>
      <c r="E837" s="90" t="str">
        <f>VLOOKUP(B837&amp;C837,Divipola!$C$2:$F$1138,4,FALSE)</f>
        <v>15491</v>
      </c>
      <c r="F837" s="4"/>
      <c r="G837" s="274"/>
      <c r="H837" s="274"/>
      <c r="I837" s="274"/>
      <c r="J837" s="129">
        <v>70</v>
      </c>
      <c r="K837" s="129">
        <v>14</v>
      </c>
      <c r="L837" s="129"/>
      <c r="M837" s="129">
        <v>14</v>
      </c>
      <c r="N837" s="129"/>
      <c r="O837" s="208"/>
      <c r="P837" s="208"/>
      <c r="Q837" s="208"/>
      <c r="R837" s="208"/>
      <c r="S837" s="208"/>
      <c r="T837" s="208"/>
      <c r="U837" s="208"/>
      <c r="V837" s="208">
        <v>350</v>
      </c>
      <c r="W837" s="19"/>
      <c r="X837" s="17"/>
      <c r="Y837" s="5">
        <f t="shared" si="78"/>
        <v>0</v>
      </c>
      <c r="Z837" s="5">
        <f t="shared" si="79"/>
        <v>0</v>
      </c>
      <c r="AA837" s="5">
        <f t="shared" si="80"/>
        <v>0</v>
      </c>
      <c r="AB837" s="5">
        <f t="shared" si="81"/>
        <v>0</v>
      </c>
      <c r="AC837" s="5"/>
      <c r="AD837" s="5">
        <v>0</v>
      </c>
      <c r="AE837" s="5">
        <f t="shared" si="82"/>
        <v>0</v>
      </c>
      <c r="AF837" s="70">
        <v>0</v>
      </c>
      <c r="AG837" s="17"/>
      <c r="AH837" s="18"/>
      <c r="AI837" s="47" t="s">
        <v>4346</v>
      </c>
      <c r="AJ837" s="73" t="s">
        <v>4347</v>
      </c>
      <c r="AK837" s="275"/>
      <c r="AL837" s="89" t="s">
        <v>2798</v>
      </c>
      <c r="AM837" s="112" t="s">
        <v>2385</v>
      </c>
      <c r="AN837" s="19"/>
      <c r="AO837" s="19"/>
      <c r="AP837" s="19"/>
      <c r="AQ837" s="19"/>
      <c r="AR837" s="19"/>
      <c r="AS837" s="19"/>
      <c r="AT837" s="19"/>
      <c r="AU837" s="19"/>
      <c r="AV837" s="19"/>
      <c r="AW837" s="19"/>
      <c r="AX837" s="107"/>
      <c r="AY837" s="107"/>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39"/>
      <c r="CO837" s="138"/>
      <c r="CP837" s="139"/>
      <c r="CQ837" s="138"/>
      <c r="CR837" s="139"/>
      <c r="CS837" s="138"/>
      <c r="CT837" s="72"/>
      <c r="CU837" s="139"/>
      <c r="CV837" s="99">
        <f t="shared" si="83"/>
        <v>0</v>
      </c>
      <c r="CW837" s="139"/>
      <c r="CX837" s="138"/>
      <c r="CY837" s="138"/>
      <c r="CZ837" s="138"/>
      <c r="DA837" s="139"/>
      <c r="DB837" s="138"/>
      <c r="DC837" s="45"/>
      <c r="DD837" s="138"/>
      <c r="DE837" s="45"/>
      <c r="DF837" s="46"/>
    </row>
    <row r="838" spans="1:110" s="42" customFormat="1" ht="36" x14ac:dyDescent="0.2">
      <c r="A838" s="89">
        <v>40659</v>
      </c>
      <c r="B838" s="106" t="s">
        <v>4261</v>
      </c>
      <c r="C838" s="106" t="s">
        <v>1225</v>
      </c>
      <c r="D838" s="90" t="s">
        <v>2362</v>
      </c>
      <c r="E838" s="90" t="str">
        <f>VLOOKUP(B838&amp;C838,Divipola!$C$2:$F$1138,4,FALSE)</f>
        <v>15494</v>
      </c>
      <c r="F838" s="4"/>
      <c r="G838" s="274"/>
      <c r="H838" s="274"/>
      <c r="I838" s="274"/>
      <c r="J838" s="129">
        <v>35</v>
      </c>
      <c r="K838" s="129">
        <v>7</v>
      </c>
      <c r="L838" s="129"/>
      <c r="M838" s="129">
        <v>7</v>
      </c>
      <c r="N838" s="208"/>
      <c r="O838" s="208"/>
      <c r="P838" s="208"/>
      <c r="Q838" s="208"/>
      <c r="R838" s="208"/>
      <c r="S838" s="208"/>
      <c r="T838" s="208">
        <v>2</v>
      </c>
      <c r="U838" s="208"/>
      <c r="V838" s="208"/>
      <c r="W838" s="19"/>
      <c r="X838" s="17"/>
      <c r="Y838" s="5">
        <f t="shared" si="78"/>
        <v>0</v>
      </c>
      <c r="Z838" s="5">
        <f t="shared" si="79"/>
        <v>0</v>
      </c>
      <c r="AA838" s="5">
        <f t="shared" si="80"/>
        <v>0</v>
      </c>
      <c r="AB838" s="5">
        <f t="shared" si="81"/>
        <v>0</v>
      </c>
      <c r="AC838" s="5"/>
      <c r="AD838" s="5">
        <v>0</v>
      </c>
      <c r="AE838" s="5">
        <f t="shared" si="82"/>
        <v>0</v>
      </c>
      <c r="AF838" s="70">
        <v>0</v>
      </c>
      <c r="AG838" s="17"/>
      <c r="AH838" s="18"/>
      <c r="AI838" s="47" t="s">
        <v>4346</v>
      </c>
      <c r="AJ838" s="73" t="s">
        <v>4347</v>
      </c>
      <c r="AK838" s="275"/>
      <c r="AL838" s="89" t="s">
        <v>2798</v>
      </c>
      <c r="AM838" s="112" t="s">
        <v>1081</v>
      </c>
      <c r="AN838" s="19"/>
      <c r="AO838" s="19"/>
      <c r="AP838" s="19"/>
      <c r="AQ838" s="19"/>
      <c r="AR838" s="19"/>
      <c r="AS838" s="19"/>
      <c r="AT838" s="19"/>
      <c r="AU838" s="19"/>
      <c r="AV838" s="19"/>
      <c r="AW838" s="19"/>
      <c r="AX838" s="107"/>
      <c r="AY838" s="107"/>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39"/>
      <c r="CO838" s="138"/>
      <c r="CP838" s="139"/>
      <c r="CQ838" s="138"/>
      <c r="CR838" s="139"/>
      <c r="CS838" s="138"/>
      <c r="CT838" s="72"/>
      <c r="CU838" s="139"/>
      <c r="CV838" s="99">
        <f t="shared" si="83"/>
        <v>0</v>
      </c>
      <c r="CW838" s="139"/>
      <c r="CX838" s="138"/>
      <c r="CY838" s="138"/>
      <c r="CZ838" s="138"/>
      <c r="DA838" s="139"/>
      <c r="DB838" s="138"/>
      <c r="DC838" s="45"/>
      <c r="DD838" s="138"/>
      <c r="DE838" s="45"/>
      <c r="DF838" s="46"/>
    </row>
    <row r="839" spans="1:110" s="42" customFormat="1" ht="36" x14ac:dyDescent="0.2">
      <c r="A839" s="89">
        <v>40659</v>
      </c>
      <c r="B839" s="106" t="s">
        <v>4261</v>
      </c>
      <c r="C839" s="106" t="s">
        <v>4389</v>
      </c>
      <c r="D839" s="90" t="s">
        <v>2362</v>
      </c>
      <c r="E839" s="90" t="str">
        <f>VLOOKUP(B839&amp;C839,Divipola!$C$2:$F$1138,4,FALSE)</f>
        <v>15600</v>
      </c>
      <c r="F839" s="4"/>
      <c r="G839" s="274"/>
      <c r="H839" s="274"/>
      <c r="I839" s="274"/>
      <c r="J839" s="129">
        <v>455</v>
      </c>
      <c r="K839" s="129">
        <v>91</v>
      </c>
      <c r="L839" s="129"/>
      <c r="M839" s="129"/>
      <c r="N839" s="208">
        <v>4</v>
      </c>
      <c r="O839" s="208">
        <v>1</v>
      </c>
      <c r="P839" s="208"/>
      <c r="Q839" s="208"/>
      <c r="R839" s="208"/>
      <c r="S839" s="208"/>
      <c r="T839" s="208"/>
      <c r="U839" s="208"/>
      <c r="V839" s="208">
        <v>3418</v>
      </c>
      <c r="W839" s="19"/>
      <c r="X839" s="17"/>
      <c r="Y839" s="5">
        <f t="shared" si="78"/>
        <v>0</v>
      </c>
      <c r="Z839" s="5">
        <f t="shared" si="79"/>
        <v>0</v>
      </c>
      <c r="AA839" s="5">
        <f t="shared" si="80"/>
        <v>0</v>
      </c>
      <c r="AB839" s="5">
        <f t="shared" si="81"/>
        <v>0</v>
      </c>
      <c r="AC839" s="5"/>
      <c r="AD839" s="5">
        <v>0</v>
      </c>
      <c r="AE839" s="5">
        <f t="shared" si="82"/>
        <v>0</v>
      </c>
      <c r="AF839" s="70">
        <v>0</v>
      </c>
      <c r="AG839" s="17"/>
      <c r="AH839" s="18"/>
      <c r="AI839" s="47" t="s">
        <v>4346</v>
      </c>
      <c r="AJ839" s="73" t="s">
        <v>4347</v>
      </c>
      <c r="AK839" s="275"/>
      <c r="AL839" s="89" t="s">
        <v>2798</v>
      </c>
      <c r="AM839" s="112" t="s">
        <v>1125</v>
      </c>
      <c r="AN839" s="19"/>
      <c r="AO839" s="19"/>
      <c r="AP839" s="19"/>
      <c r="AQ839" s="19"/>
      <c r="AR839" s="19"/>
      <c r="AS839" s="19"/>
      <c r="AT839" s="19"/>
      <c r="AU839" s="19"/>
      <c r="AV839" s="19"/>
      <c r="AW839" s="19"/>
      <c r="AX839" s="107"/>
      <c r="AY839" s="107"/>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39"/>
      <c r="CO839" s="138"/>
      <c r="CP839" s="139"/>
      <c r="CQ839" s="138"/>
      <c r="CR839" s="139"/>
      <c r="CS839" s="138"/>
      <c r="CT839" s="72"/>
      <c r="CU839" s="139"/>
      <c r="CV839" s="99">
        <f t="shared" si="83"/>
        <v>0</v>
      </c>
      <c r="CW839" s="139"/>
      <c r="CX839" s="138"/>
      <c r="CY839" s="138"/>
      <c r="CZ839" s="138"/>
      <c r="DA839" s="139"/>
      <c r="DB839" s="138"/>
      <c r="DC839" s="45"/>
      <c r="DD839" s="138"/>
      <c r="DE839" s="45"/>
      <c r="DF839" s="46"/>
    </row>
    <row r="840" spans="1:110" s="42" customFormat="1" ht="60" x14ac:dyDescent="0.2">
      <c r="A840" s="89">
        <v>40659</v>
      </c>
      <c r="B840" s="90" t="s">
        <v>4296</v>
      </c>
      <c r="C840" s="90" t="s">
        <v>4352</v>
      </c>
      <c r="D840" s="90" t="s">
        <v>4264</v>
      </c>
      <c r="E840" s="90" t="str">
        <f>VLOOKUP(B840&amp;C840,Divipola!$C$2:$F$1138,4,FALSE)</f>
        <v>19100</v>
      </c>
      <c r="F840" s="90"/>
      <c r="G840" s="101"/>
      <c r="H840" s="101"/>
      <c r="I840" s="101"/>
      <c r="J840" s="101">
        <v>400</v>
      </c>
      <c r="K840" s="101">
        <v>100</v>
      </c>
      <c r="L840" s="101">
        <v>15</v>
      </c>
      <c r="M840" s="101">
        <v>65</v>
      </c>
      <c r="N840" s="101"/>
      <c r="O840" s="101"/>
      <c r="P840" s="101"/>
      <c r="Q840" s="101"/>
      <c r="R840" s="101"/>
      <c r="S840" s="101"/>
      <c r="T840" s="101"/>
      <c r="U840" s="101"/>
      <c r="V840" s="101"/>
      <c r="W840" s="91"/>
      <c r="X840" s="89"/>
      <c r="Y840" s="92">
        <f t="shared" si="78"/>
        <v>29471000</v>
      </c>
      <c r="Z840" s="92">
        <f t="shared" si="79"/>
        <v>8500000</v>
      </c>
      <c r="AA840" s="92">
        <f t="shared" si="80"/>
        <v>0</v>
      </c>
      <c r="AB840" s="92">
        <f t="shared" si="81"/>
        <v>0</v>
      </c>
      <c r="AC840" s="92"/>
      <c r="AD840" s="92">
        <v>0</v>
      </c>
      <c r="AE840" s="92">
        <f t="shared" si="82"/>
        <v>37971000</v>
      </c>
      <c r="AF840" s="93">
        <v>0</v>
      </c>
      <c r="AG840" s="89"/>
      <c r="AH840" s="94"/>
      <c r="AI840" s="95" t="s">
        <v>4346</v>
      </c>
      <c r="AJ840" s="96" t="s">
        <v>4347</v>
      </c>
      <c r="AK840" s="97"/>
      <c r="AL840" s="89"/>
      <c r="AM840" s="100" t="s">
        <v>3725</v>
      </c>
      <c r="AN840" s="91"/>
      <c r="AO840" s="91"/>
      <c r="AP840" s="91"/>
      <c r="AQ840" s="91"/>
      <c r="AR840" s="91"/>
      <c r="AS840" s="91"/>
      <c r="AT840" s="91"/>
      <c r="AU840" s="91"/>
      <c r="AV840" s="91"/>
      <c r="AW840" s="91"/>
      <c r="AX840" s="91">
        <v>15</v>
      </c>
      <c r="AY840" s="91">
        <f>1*400000+4*450000+1*600000+9*389000</f>
        <v>6301000</v>
      </c>
      <c r="AZ840" s="91">
        <v>200</v>
      </c>
      <c r="BA840" s="91">
        <f>200*56000</f>
        <v>11200000</v>
      </c>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v>200</v>
      </c>
      <c r="CK840" s="91">
        <f>200*21500</f>
        <v>4300000</v>
      </c>
      <c r="CL840" s="91"/>
      <c r="CM840" s="91"/>
      <c r="CN840" s="91"/>
      <c r="CO840" s="91"/>
      <c r="CP840" s="114">
        <v>100</v>
      </c>
      <c r="CQ840" s="115">
        <f>100*37000</f>
        <v>3700000</v>
      </c>
      <c r="CR840" s="114">
        <v>100</v>
      </c>
      <c r="CS840" s="115">
        <f>100*39700</f>
        <v>3970000</v>
      </c>
      <c r="CT840" s="114"/>
      <c r="CU840" s="115"/>
      <c r="CV840" s="99">
        <f t="shared" si="83"/>
        <v>29471000</v>
      </c>
      <c r="CW840" s="114"/>
      <c r="CX840" s="115"/>
      <c r="CY840" s="114">
        <v>100</v>
      </c>
      <c r="CZ840" s="115">
        <f>100*85000</f>
        <v>8500000</v>
      </c>
      <c r="DA840" s="115"/>
      <c r="DB840" s="115"/>
      <c r="DC840" s="114"/>
      <c r="DD840" s="115"/>
      <c r="DE840" s="97"/>
      <c r="DF840" s="46"/>
    </row>
    <row r="841" spans="1:110" s="42" customFormat="1" ht="24" x14ac:dyDescent="0.2">
      <c r="A841" s="89">
        <v>40659</v>
      </c>
      <c r="B841" s="90" t="s">
        <v>4386</v>
      </c>
      <c r="C841" s="90" t="s">
        <v>857</v>
      </c>
      <c r="D841" s="90" t="s">
        <v>3346</v>
      </c>
      <c r="E841" s="90" t="str">
        <f>VLOOKUP(B841&amp;C841,Divipola!$C$2:$F$1138,4,FALSE)</f>
        <v>20175</v>
      </c>
      <c r="F841" s="90"/>
      <c r="G841" s="101"/>
      <c r="H841" s="101"/>
      <c r="I841" s="101"/>
      <c r="J841" s="101">
        <v>70</v>
      </c>
      <c r="K841" s="101">
        <v>14</v>
      </c>
      <c r="L841" s="101"/>
      <c r="M841" s="101">
        <v>14</v>
      </c>
      <c r="N841" s="101"/>
      <c r="O841" s="101"/>
      <c r="P841" s="101"/>
      <c r="Q841" s="101"/>
      <c r="R841" s="101"/>
      <c r="S841" s="101"/>
      <c r="T841" s="101"/>
      <c r="U841" s="101"/>
      <c r="V841" s="101"/>
      <c r="W841" s="91"/>
      <c r="X841" s="89"/>
      <c r="Y841" s="92">
        <f t="shared" si="78"/>
        <v>0</v>
      </c>
      <c r="Z841" s="92">
        <f t="shared" si="79"/>
        <v>0</v>
      </c>
      <c r="AA841" s="92">
        <f t="shared" si="80"/>
        <v>0</v>
      </c>
      <c r="AB841" s="92">
        <f t="shared" si="81"/>
        <v>0</v>
      </c>
      <c r="AC841" s="92"/>
      <c r="AD841" s="92">
        <v>0</v>
      </c>
      <c r="AE841" s="92">
        <f t="shared" si="82"/>
        <v>0</v>
      </c>
      <c r="AF841" s="93">
        <v>0</v>
      </c>
      <c r="AG841" s="89"/>
      <c r="AH841" s="94"/>
      <c r="AI841" s="102" t="s">
        <v>4346</v>
      </c>
      <c r="AJ841" s="96" t="s">
        <v>4347</v>
      </c>
      <c r="AK841" s="97"/>
      <c r="AL841" s="89" t="s">
        <v>1049</v>
      </c>
      <c r="AM841" s="100" t="s">
        <v>2877</v>
      </c>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114"/>
      <c r="CQ841" s="115"/>
      <c r="CR841" s="114"/>
      <c r="CS841" s="115"/>
      <c r="CT841" s="114"/>
      <c r="CU841" s="115"/>
      <c r="CV841" s="99">
        <f t="shared" si="83"/>
        <v>0</v>
      </c>
      <c r="CW841" s="114"/>
      <c r="CX841" s="115"/>
      <c r="CY841" s="114"/>
      <c r="CZ841" s="115"/>
      <c r="DA841" s="115"/>
      <c r="DB841" s="115"/>
      <c r="DC841" s="114"/>
      <c r="DD841" s="115"/>
      <c r="DE841" s="97"/>
      <c r="DF841" s="46"/>
    </row>
    <row r="842" spans="1:110" s="42" customFormat="1" ht="24" x14ac:dyDescent="0.2">
      <c r="A842" s="89">
        <v>40659</v>
      </c>
      <c r="B842" s="106" t="s">
        <v>4386</v>
      </c>
      <c r="C842" s="106" t="s">
        <v>4345</v>
      </c>
      <c r="D842" s="90" t="s">
        <v>4264</v>
      </c>
      <c r="E842" s="90">
        <f>VLOOKUP(B842&amp;C842,Divipola!$C$2:$F$1138,4,FALSE)</f>
        <v>20</v>
      </c>
      <c r="F842" s="90"/>
      <c r="G842" s="129"/>
      <c r="H842" s="129"/>
      <c r="I842" s="129"/>
      <c r="J842" s="129"/>
      <c r="K842" s="129"/>
      <c r="L842" s="129"/>
      <c r="M842" s="129"/>
      <c r="N842" s="129"/>
      <c r="O842" s="129"/>
      <c r="P842" s="129"/>
      <c r="Q842" s="129"/>
      <c r="R842" s="129"/>
      <c r="S842" s="129"/>
      <c r="T842" s="129"/>
      <c r="U842" s="129"/>
      <c r="V842" s="129"/>
      <c r="W842" s="107"/>
      <c r="X842" s="105"/>
      <c r="Y842" s="117">
        <f t="shared" si="78"/>
        <v>1526471461.7</v>
      </c>
      <c r="Z842" s="117">
        <f t="shared" si="79"/>
        <v>474980000</v>
      </c>
      <c r="AA842" s="117">
        <f t="shared" si="80"/>
        <v>0</v>
      </c>
      <c r="AB842" s="117">
        <f t="shared" si="81"/>
        <v>91060000</v>
      </c>
      <c r="AC842" s="117"/>
      <c r="AD842" s="117">
        <v>109040000</v>
      </c>
      <c r="AE842" s="92">
        <f t="shared" si="82"/>
        <v>2201551461.6999998</v>
      </c>
      <c r="AF842" s="93">
        <v>0</v>
      </c>
      <c r="AG842" s="105"/>
      <c r="AH842" s="108"/>
      <c r="AI842" s="102" t="s">
        <v>4346</v>
      </c>
      <c r="AJ842" s="96" t="s">
        <v>4347</v>
      </c>
      <c r="AK842" s="97"/>
      <c r="AL842" s="89" t="s">
        <v>1049</v>
      </c>
      <c r="AM842" s="112" t="s">
        <v>2112</v>
      </c>
      <c r="AN842" s="107"/>
      <c r="AO842" s="107"/>
      <c r="AP842" s="107"/>
      <c r="AQ842" s="107"/>
      <c r="AR842" s="107"/>
      <c r="AS842" s="107"/>
      <c r="AT842" s="107"/>
      <c r="AU842" s="107"/>
      <c r="AV842" s="91"/>
      <c r="AW842" s="91"/>
      <c r="AX842" s="107">
        <v>1500</v>
      </c>
      <c r="AY842" s="107">
        <f>198*250000+8*400000+108*450000+84*600000+45*800000+146*389000+91*450000+39*600000+70*389000+169*400000+17*450000+19*600000+105*450000+401*450000</f>
        <v>650424000</v>
      </c>
      <c r="AZ842" s="107">
        <v>3290</v>
      </c>
      <c r="BA842" s="107">
        <f>3290*56000</f>
        <v>184240000</v>
      </c>
      <c r="BB842" s="107"/>
      <c r="BC842" s="107"/>
      <c r="BD842" s="107"/>
      <c r="BE842" s="107"/>
      <c r="BF842" s="107"/>
      <c r="BG842" s="107"/>
      <c r="BH842" s="107"/>
      <c r="BI842" s="107"/>
      <c r="BJ842" s="107"/>
      <c r="BK842" s="107"/>
      <c r="BL842" s="107"/>
      <c r="BM842" s="107"/>
      <c r="BN842" s="107"/>
      <c r="BO842" s="107"/>
      <c r="BP842" s="107"/>
      <c r="BQ842" s="107"/>
      <c r="BR842" s="107"/>
      <c r="BS842" s="107"/>
      <c r="BT842" s="107"/>
      <c r="BU842" s="107"/>
      <c r="BV842" s="107"/>
      <c r="BW842" s="107"/>
      <c r="BX842" s="107"/>
      <c r="BY842" s="107"/>
      <c r="BZ842" s="107">
        <v>30</v>
      </c>
      <c r="CA842" s="107">
        <f>30*499999.99</f>
        <v>14999999.699999999</v>
      </c>
      <c r="CB842" s="107"/>
      <c r="CC842" s="107"/>
      <c r="CD842" s="107"/>
      <c r="CE842" s="107"/>
      <c r="CF842" s="107"/>
      <c r="CG842" s="107"/>
      <c r="CH842" s="107"/>
      <c r="CI842" s="107"/>
      <c r="CJ842" s="107"/>
      <c r="CK842" s="107"/>
      <c r="CL842" s="107"/>
      <c r="CM842" s="107"/>
      <c r="CN842" s="107">
        <v>13800</v>
      </c>
      <c r="CO842" s="107">
        <f>13800*17999.99</f>
        <v>248399862.00000003</v>
      </c>
      <c r="CP842" s="118">
        <v>5588</v>
      </c>
      <c r="CQ842" s="119">
        <f>1588*37000+2000*36952+2000*36952</f>
        <v>206564000</v>
      </c>
      <c r="CR842" s="118">
        <v>5588</v>
      </c>
      <c r="CS842" s="119">
        <f>5588*39700</f>
        <v>221843600</v>
      </c>
      <c r="CT842" s="118"/>
      <c r="CU842" s="119"/>
      <c r="CV842" s="99">
        <f t="shared" si="83"/>
        <v>1526471461.7</v>
      </c>
      <c r="CW842" s="118">
        <v>100000</v>
      </c>
      <c r="CX842" s="119">
        <f>100000*910.6</f>
        <v>91060000</v>
      </c>
      <c r="CY842" s="118">
        <v>5588</v>
      </c>
      <c r="CZ842" s="119">
        <f>5588*85000</f>
        <v>474980000</v>
      </c>
      <c r="DA842" s="119"/>
      <c r="DB842" s="119"/>
      <c r="DC842" s="118"/>
      <c r="DD842" s="119"/>
      <c r="DE842" s="111"/>
      <c r="DF842" s="46"/>
    </row>
    <row r="843" spans="1:110" s="42" customFormat="1" ht="24" x14ac:dyDescent="0.2">
      <c r="A843" s="89">
        <v>40659</v>
      </c>
      <c r="B843" s="90" t="s">
        <v>4344</v>
      </c>
      <c r="C843" s="90" t="s">
        <v>3296</v>
      </c>
      <c r="D843" s="90" t="s">
        <v>2362</v>
      </c>
      <c r="E843" s="90" t="str">
        <f>VLOOKUP(B843&amp;C843,Divipola!$C$2:$F$1138,4,FALSE)</f>
        <v>25653</v>
      </c>
      <c r="F843" s="90"/>
      <c r="G843" s="101"/>
      <c r="H843" s="101"/>
      <c r="I843" s="101"/>
      <c r="J843" s="101">
        <v>331</v>
      </c>
      <c r="K843" s="101">
        <v>116</v>
      </c>
      <c r="L843" s="101"/>
      <c r="M843" s="101">
        <v>116</v>
      </c>
      <c r="N843" s="101"/>
      <c r="O843" s="101"/>
      <c r="P843" s="101"/>
      <c r="Q843" s="101"/>
      <c r="R843" s="101"/>
      <c r="S843" s="101"/>
      <c r="T843" s="101"/>
      <c r="U843" s="101"/>
      <c r="V843" s="101"/>
      <c r="W843" s="91"/>
      <c r="X843" s="89"/>
      <c r="Y843" s="92">
        <f t="shared" si="78"/>
        <v>0</v>
      </c>
      <c r="Z843" s="92">
        <f t="shared" si="79"/>
        <v>0</v>
      </c>
      <c r="AA843" s="92">
        <f t="shared" si="80"/>
        <v>0</v>
      </c>
      <c r="AB843" s="92">
        <f t="shared" si="81"/>
        <v>0</v>
      </c>
      <c r="AC843" s="92"/>
      <c r="AD843" s="92">
        <v>0</v>
      </c>
      <c r="AE843" s="92">
        <f t="shared" si="82"/>
        <v>0</v>
      </c>
      <c r="AF843" s="93">
        <v>0</v>
      </c>
      <c r="AG843" s="89"/>
      <c r="AH843" s="94"/>
      <c r="AI843" s="102" t="s">
        <v>4336</v>
      </c>
      <c r="AJ843" s="96" t="s">
        <v>4337</v>
      </c>
      <c r="AK843" s="97"/>
      <c r="AL843" s="89"/>
      <c r="AM843" s="100" t="s">
        <v>3722</v>
      </c>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114"/>
      <c r="CQ843" s="115"/>
      <c r="CR843" s="114"/>
      <c r="CS843" s="115"/>
      <c r="CT843" s="114"/>
      <c r="CU843" s="115"/>
      <c r="CV843" s="99">
        <f t="shared" si="83"/>
        <v>0</v>
      </c>
      <c r="CW843" s="114"/>
      <c r="CX843" s="115"/>
      <c r="CY843" s="114"/>
      <c r="CZ843" s="115"/>
      <c r="DA843" s="115"/>
      <c r="DB843" s="115"/>
      <c r="DC843" s="114"/>
      <c r="DD843" s="115"/>
      <c r="DE843" s="97"/>
      <c r="DF843" s="46"/>
    </row>
    <row r="844" spans="1:110" s="42" customFormat="1" ht="72" x14ac:dyDescent="0.2">
      <c r="A844" s="89">
        <v>40659</v>
      </c>
      <c r="B844" s="90" t="s">
        <v>4344</v>
      </c>
      <c r="C844" s="90" t="s">
        <v>3327</v>
      </c>
      <c r="D844" s="90" t="s">
        <v>4264</v>
      </c>
      <c r="E844" s="90" t="str">
        <f>VLOOKUP(B844&amp;C844,Divipola!$C$2:$F$1138,4,FALSE)</f>
        <v>25758</v>
      </c>
      <c r="F844" s="90"/>
      <c r="G844" s="101"/>
      <c r="H844" s="101"/>
      <c r="I844" s="101"/>
      <c r="J844" s="101">
        <v>23</v>
      </c>
      <c r="K844" s="101">
        <v>4</v>
      </c>
      <c r="L844" s="101"/>
      <c r="M844" s="101">
        <v>4</v>
      </c>
      <c r="N844" s="101"/>
      <c r="O844" s="101"/>
      <c r="P844" s="101"/>
      <c r="Q844" s="101"/>
      <c r="R844" s="101"/>
      <c r="S844" s="101"/>
      <c r="T844" s="101">
        <v>1</v>
      </c>
      <c r="U844" s="101"/>
      <c r="V844" s="101">
        <v>600</v>
      </c>
      <c r="W844" s="91" t="s">
        <v>2070</v>
      </c>
      <c r="X844" s="89"/>
      <c r="Y844" s="92">
        <f t="shared" si="78"/>
        <v>0</v>
      </c>
      <c r="Z844" s="92">
        <f t="shared" si="79"/>
        <v>0</v>
      </c>
      <c r="AA844" s="92">
        <f t="shared" si="80"/>
        <v>0</v>
      </c>
      <c r="AB844" s="92">
        <f t="shared" si="81"/>
        <v>0</v>
      </c>
      <c r="AC844" s="92"/>
      <c r="AD844" s="92">
        <v>0</v>
      </c>
      <c r="AE844" s="92">
        <f t="shared" si="82"/>
        <v>0</v>
      </c>
      <c r="AF844" s="93">
        <v>0</v>
      </c>
      <c r="AG844" s="89"/>
      <c r="AH844" s="94"/>
      <c r="AI844" s="102" t="s">
        <v>4336</v>
      </c>
      <c r="AJ844" s="96" t="s">
        <v>4337</v>
      </c>
      <c r="AK844" s="97"/>
      <c r="AL844" s="89"/>
      <c r="AM844" s="100" t="s">
        <v>2928</v>
      </c>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114"/>
      <c r="CQ844" s="115"/>
      <c r="CR844" s="114"/>
      <c r="CS844" s="115"/>
      <c r="CT844" s="114"/>
      <c r="CU844" s="115"/>
      <c r="CV844" s="99">
        <f t="shared" si="83"/>
        <v>0</v>
      </c>
      <c r="CW844" s="114"/>
      <c r="CX844" s="115"/>
      <c r="CY844" s="114"/>
      <c r="CZ844" s="115"/>
      <c r="DA844" s="115"/>
      <c r="DB844" s="115"/>
      <c r="DC844" s="114"/>
      <c r="DD844" s="115"/>
      <c r="DE844" s="97"/>
      <c r="DF844" s="46"/>
    </row>
    <row r="845" spans="1:110" s="42" customFormat="1" ht="36" x14ac:dyDescent="0.2">
      <c r="A845" s="89">
        <v>40659</v>
      </c>
      <c r="B845" s="90" t="s">
        <v>4350</v>
      </c>
      <c r="C845" s="90" t="s">
        <v>3535</v>
      </c>
      <c r="D845" s="90" t="s">
        <v>4264</v>
      </c>
      <c r="E845" s="90" t="str">
        <f>VLOOKUP(B845&amp;C845,Divipola!$C$2:$F$1138,4,FALSE)</f>
        <v>63130</v>
      </c>
      <c r="F845" s="90"/>
      <c r="G845" s="101"/>
      <c r="H845" s="101"/>
      <c r="I845" s="101"/>
      <c r="J845" s="101">
        <v>205</v>
      </c>
      <c r="K845" s="101">
        <v>41</v>
      </c>
      <c r="L845" s="101"/>
      <c r="M845" s="101">
        <v>41</v>
      </c>
      <c r="N845" s="101"/>
      <c r="O845" s="101"/>
      <c r="P845" s="101"/>
      <c r="Q845" s="101"/>
      <c r="R845" s="101"/>
      <c r="S845" s="101"/>
      <c r="T845" s="101"/>
      <c r="U845" s="101"/>
      <c r="V845" s="101"/>
      <c r="W845" s="91"/>
      <c r="X845" s="89"/>
      <c r="Y845" s="92">
        <f t="shared" si="78"/>
        <v>0</v>
      </c>
      <c r="Z845" s="92">
        <f t="shared" si="79"/>
        <v>0</v>
      </c>
      <c r="AA845" s="92">
        <f t="shared" si="80"/>
        <v>0</v>
      </c>
      <c r="AB845" s="92">
        <f t="shared" si="81"/>
        <v>0</v>
      </c>
      <c r="AC845" s="92"/>
      <c r="AD845" s="92">
        <v>0</v>
      </c>
      <c r="AE845" s="92">
        <f t="shared" si="82"/>
        <v>0</v>
      </c>
      <c r="AF845" s="93">
        <v>0</v>
      </c>
      <c r="AG845" s="89"/>
      <c r="AH845" s="94"/>
      <c r="AI845" s="95" t="s">
        <v>4336</v>
      </c>
      <c r="AJ845" s="96" t="s">
        <v>4337</v>
      </c>
      <c r="AK845" s="97"/>
      <c r="AL845" s="89"/>
      <c r="AM845" s="100" t="s">
        <v>3727</v>
      </c>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114"/>
      <c r="CQ845" s="115"/>
      <c r="CR845" s="114"/>
      <c r="CS845" s="115"/>
      <c r="CT845" s="114"/>
      <c r="CU845" s="115"/>
      <c r="CV845" s="99">
        <f t="shared" si="83"/>
        <v>0</v>
      </c>
      <c r="CW845" s="114"/>
      <c r="CX845" s="115"/>
      <c r="CY845" s="114"/>
      <c r="CZ845" s="115"/>
      <c r="DA845" s="115"/>
      <c r="DB845" s="115"/>
      <c r="DC845" s="114"/>
      <c r="DD845" s="115"/>
      <c r="DE845" s="97"/>
      <c r="DF845" s="46"/>
    </row>
    <row r="846" spans="1:110" s="42" customFormat="1" ht="36" x14ac:dyDescent="0.2">
      <c r="A846" s="89">
        <v>40659</v>
      </c>
      <c r="B846" s="90" t="s">
        <v>4350</v>
      </c>
      <c r="C846" s="90" t="s">
        <v>4252</v>
      </c>
      <c r="D846" s="90" t="s">
        <v>4264</v>
      </c>
      <c r="E846" s="90" t="str">
        <f>VLOOKUP(B846&amp;C846,Divipola!$C$2:$F$1138,4,FALSE)</f>
        <v>63690</v>
      </c>
      <c r="F846" s="90"/>
      <c r="G846" s="101"/>
      <c r="H846" s="101"/>
      <c r="I846" s="101"/>
      <c r="J846" s="101">
        <v>60</v>
      </c>
      <c r="K846" s="101">
        <v>12</v>
      </c>
      <c r="L846" s="101"/>
      <c r="M846" s="101">
        <v>12</v>
      </c>
      <c r="N846" s="101"/>
      <c r="O846" s="101"/>
      <c r="P846" s="101"/>
      <c r="Q846" s="101"/>
      <c r="R846" s="101"/>
      <c r="S846" s="101"/>
      <c r="T846" s="101"/>
      <c r="U846" s="101"/>
      <c r="V846" s="101"/>
      <c r="W846" s="91"/>
      <c r="X846" s="89"/>
      <c r="Y846" s="92">
        <f t="shared" si="78"/>
        <v>0</v>
      </c>
      <c r="Z846" s="92">
        <f t="shared" si="79"/>
        <v>0</v>
      </c>
      <c r="AA846" s="92">
        <f t="shared" si="80"/>
        <v>0</v>
      </c>
      <c r="AB846" s="92">
        <f t="shared" si="81"/>
        <v>0</v>
      </c>
      <c r="AC846" s="92"/>
      <c r="AD846" s="92">
        <v>0</v>
      </c>
      <c r="AE846" s="92">
        <f t="shared" si="82"/>
        <v>0</v>
      </c>
      <c r="AF846" s="93">
        <v>0</v>
      </c>
      <c r="AG846" s="89"/>
      <c r="AH846" s="94"/>
      <c r="AI846" s="95" t="s">
        <v>4336</v>
      </c>
      <c r="AJ846" s="96" t="s">
        <v>4337</v>
      </c>
      <c r="AK846" s="97"/>
      <c r="AL846" s="89"/>
      <c r="AM846" s="100" t="s">
        <v>3728</v>
      </c>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114"/>
      <c r="CQ846" s="115"/>
      <c r="CR846" s="114"/>
      <c r="CS846" s="115"/>
      <c r="CT846" s="114"/>
      <c r="CU846" s="115"/>
      <c r="CV846" s="99">
        <f t="shared" si="83"/>
        <v>0</v>
      </c>
      <c r="CW846" s="114"/>
      <c r="CX846" s="115"/>
      <c r="CY846" s="114"/>
      <c r="CZ846" s="115"/>
      <c r="DA846" s="115"/>
      <c r="DB846" s="115"/>
      <c r="DC846" s="114"/>
      <c r="DD846" s="115"/>
      <c r="DE846" s="97"/>
      <c r="DF846" s="46"/>
    </row>
    <row r="847" spans="1:110" s="42" customFormat="1" ht="48" x14ac:dyDescent="0.2">
      <c r="A847" s="89">
        <v>40659</v>
      </c>
      <c r="B847" s="90" t="s">
        <v>4350</v>
      </c>
      <c r="C847" s="90" t="s">
        <v>4252</v>
      </c>
      <c r="D847" s="90" t="s">
        <v>2362</v>
      </c>
      <c r="E847" s="90" t="str">
        <f>VLOOKUP(B847&amp;C847,Divipola!$C$2:$F$1138,4,FALSE)</f>
        <v>63690</v>
      </c>
      <c r="F847" s="90"/>
      <c r="G847" s="101"/>
      <c r="H847" s="101"/>
      <c r="I847" s="101"/>
      <c r="J847" s="101">
        <v>4</v>
      </c>
      <c r="K847" s="101">
        <v>1</v>
      </c>
      <c r="L847" s="101"/>
      <c r="M847" s="101">
        <v>1</v>
      </c>
      <c r="N847" s="101"/>
      <c r="O847" s="101"/>
      <c r="P847" s="101"/>
      <c r="Q847" s="101"/>
      <c r="R847" s="101"/>
      <c r="S847" s="101"/>
      <c r="T847" s="101"/>
      <c r="U847" s="101"/>
      <c r="V847" s="101"/>
      <c r="W847" s="91"/>
      <c r="X847" s="89"/>
      <c r="Y847" s="92">
        <f t="shared" si="78"/>
        <v>0</v>
      </c>
      <c r="Z847" s="92">
        <f t="shared" si="79"/>
        <v>0</v>
      </c>
      <c r="AA847" s="92">
        <f t="shared" si="80"/>
        <v>0</v>
      </c>
      <c r="AB847" s="92">
        <f t="shared" si="81"/>
        <v>0</v>
      </c>
      <c r="AC847" s="92"/>
      <c r="AD847" s="92">
        <v>0</v>
      </c>
      <c r="AE847" s="92">
        <f t="shared" si="82"/>
        <v>0</v>
      </c>
      <c r="AF847" s="93">
        <v>0</v>
      </c>
      <c r="AG847" s="89"/>
      <c r="AH847" s="94"/>
      <c r="AI847" s="95" t="s">
        <v>4336</v>
      </c>
      <c r="AJ847" s="96" t="s">
        <v>4337</v>
      </c>
      <c r="AK847" s="97"/>
      <c r="AL847" s="89"/>
      <c r="AM847" s="100" t="s">
        <v>3729</v>
      </c>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114"/>
      <c r="CQ847" s="115"/>
      <c r="CR847" s="114"/>
      <c r="CS847" s="115"/>
      <c r="CT847" s="114"/>
      <c r="CU847" s="115"/>
      <c r="CV847" s="99">
        <f t="shared" si="83"/>
        <v>0</v>
      </c>
      <c r="CW847" s="114"/>
      <c r="CX847" s="115"/>
      <c r="CY847" s="114"/>
      <c r="CZ847" s="115"/>
      <c r="DA847" s="115"/>
      <c r="DB847" s="115"/>
      <c r="DC847" s="114"/>
      <c r="DD847" s="115"/>
      <c r="DE847" s="97"/>
      <c r="DF847" s="46"/>
    </row>
    <row r="848" spans="1:110" s="42" customFormat="1" ht="24" x14ac:dyDescent="0.2">
      <c r="A848" s="89">
        <v>40659</v>
      </c>
      <c r="B848" s="90" t="s">
        <v>4350</v>
      </c>
      <c r="C848" s="90" t="s">
        <v>4252</v>
      </c>
      <c r="D848" s="90" t="s">
        <v>3346</v>
      </c>
      <c r="E848" s="90" t="str">
        <f>VLOOKUP(B848&amp;C848,Divipola!$C$2:$F$1138,4,FALSE)</f>
        <v>63690</v>
      </c>
      <c r="F848" s="90"/>
      <c r="G848" s="101"/>
      <c r="H848" s="101"/>
      <c r="I848" s="101"/>
      <c r="J848" s="101">
        <v>4</v>
      </c>
      <c r="K848" s="101">
        <v>1</v>
      </c>
      <c r="L848" s="101"/>
      <c r="M848" s="101">
        <v>1</v>
      </c>
      <c r="N848" s="101"/>
      <c r="O848" s="101"/>
      <c r="P848" s="101"/>
      <c r="Q848" s="101"/>
      <c r="R848" s="101"/>
      <c r="S848" s="101"/>
      <c r="T848" s="101"/>
      <c r="U848" s="101"/>
      <c r="V848" s="101"/>
      <c r="W848" s="91"/>
      <c r="X848" s="89"/>
      <c r="Y848" s="92">
        <f t="shared" si="78"/>
        <v>0</v>
      </c>
      <c r="Z848" s="92">
        <f t="shared" si="79"/>
        <v>0</v>
      </c>
      <c r="AA848" s="92">
        <f t="shared" si="80"/>
        <v>0</v>
      </c>
      <c r="AB848" s="92">
        <f t="shared" si="81"/>
        <v>0</v>
      </c>
      <c r="AC848" s="92"/>
      <c r="AD848" s="92">
        <v>0</v>
      </c>
      <c r="AE848" s="92">
        <f t="shared" si="82"/>
        <v>0</v>
      </c>
      <c r="AF848" s="93">
        <v>0</v>
      </c>
      <c r="AG848" s="89"/>
      <c r="AH848" s="94"/>
      <c r="AI848" s="95" t="s">
        <v>4336</v>
      </c>
      <c r="AJ848" s="96" t="s">
        <v>4337</v>
      </c>
      <c r="AK848" s="97"/>
      <c r="AL848" s="89"/>
      <c r="AM848" s="100" t="s">
        <v>3730</v>
      </c>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114"/>
      <c r="CQ848" s="115"/>
      <c r="CR848" s="114"/>
      <c r="CS848" s="115"/>
      <c r="CT848" s="114"/>
      <c r="CU848" s="115"/>
      <c r="CV848" s="99">
        <f t="shared" si="83"/>
        <v>0</v>
      </c>
      <c r="CW848" s="114"/>
      <c r="CX848" s="115"/>
      <c r="CY848" s="114"/>
      <c r="CZ848" s="115"/>
      <c r="DA848" s="115"/>
      <c r="DB848" s="115"/>
      <c r="DC848" s="114"/>
      <c r="DD848" s="115"/>
      <c r="DE848" s="97"/>
      <c r="DF848" s="46"/>
    </row>
    <row r="849" spans="1:110" s="42" customFormat="1" ht="48" x14ac:dyDescent="0.2">
      <c r="A849" s="89">
        <v>40659</v>
      </c>
      <c r="B849" s="90" t="s">
        <v>4350</v>
      </c>
      <c r="C849" s="90" t="s">
        <v>4252</v>
      </c>
      <c r="D849" s="90" t="s">
        <v>4264</v>
      </c>
      <c r="E849" s="90" t="str">
        <f>VLOOKUP(B849&amp;C849,Divipola!$C$2:$F$1138,4,FALSE)</f>
        <v>63690</v>
      </c>
      <c r="F849" s="90"/>
      <c r="G849" s="101">
        <v>2</v>
      </c>
      <c r="H849" s="101">
        <v>1</v>
      </c>
      <c r="I849" s="101"/>
      <c r="J849" s="101"/>
      <c r="K849" s="101"/>
      <c r="L849" s="101"/>
      <c r="M849" s="101"/>
      <c r="N849" s="101"/>
      <c r="O849" s="101"/>
      <c r="P849" s="101"/>
      <c r="Q849" s="101"/>
      <c r="R849" s="101"/>
      <c r="S849" s="101"/>
      <c r="T849" s="101"/>
      <c r="U849" s="101"/>
      <c r="V849" s="101"/>
      <c r="W849" s="91"/>
      <c r="X849" s="89"/>
      <c r="Y849" s="92">
        <f t="shared" si="78"/>
        <v>0</v>
      </c>
      <c r="Z849" s="92">
        <f t="shared" si="79"/>
        <v>0</v>
      </c>
      <c r="AA849" s="92">
        <f t="shared" si="80"/>
        <v>0</v>
      </c>
      <c r="AB849" s="92">
        <f t="shared" si="81"/>
        <v>0</v>
      </c>
      <c r="AC849" s="92"/>
      <c r="AD849" s="92">
        <v>0</v>
      </c>
      <c r="AE849" s="92">
        <f t="shared" si="82"/>
        <v>0</v>
      </c>
      <c r="AF849" s="93">
        <v>0</v>
      </c>
      <c r="AG849" s="89"/>
      <c r="AH849" s="94"/>
      <c r="AI849" s="95" t="s">
        <v>4336</v>
      </c>
      <c r="AJ849" s="96" t="s">
        <v>4337</v>
      </c>
      <c r="AK849" s="97"/>
      <c r="AL849" s="89"/>
      <c r="AM849" s="100" t="s">
        <v>2873</v>
      </c>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114"/>
      <c r="CQ849" s="115"/>
      <c r="CR849" s="114"/>
      <c r="CS849" s="115"/>
      <c r="CT849" s="114"/>
      <c r="CU849" s="115"/>
      <c r="CV849" s="99">
        <f t="shared" si="83"/>
        <v>0</v>
      </c>
      <c r="CW849" s="114"/>
      <c r="CX849" s="115"/>
      <c r="CY849" s="114"/>
      <c r="CZ849" s="115"/>
      <c r="DA849" s="115"/>
      <c r="DB849" s="115"/>
      <c r="DC849" s="114"/>
      <c r="DD849" s="115"/>
      <c r="DE849" s="97"/>
      <c r="DF849" s="46"/>
    </row>
    <row r="850" spans="1:110" s="42" customFormat="1" ht="60" x14ac:dyDescent="0.2">
      <c r="A850" s="89">
        <v>40659</v>
      </c>
      <c r="B850" s="90" t="s">
        <v>4244</v>
      </c>
      <c r="C850" s="90" t="s">
        <v>3555</v>
      </c>
      <c r="D850" s="90" t="s">
        <v>3346</v>
      </c>
      <c r="E850" s="90" t="str">
        <f>VLOOKUP(B850&amp;C850,Divipola!$C$2:$F$1138,4,FALSE)</f>
        <v>76246</v>
      </c>
      <c r="F850" s="90"/>
      <c r="G850" s="101"/>
      <c r="H850" s="101"/>
      <c r="I850" s="101"/>
      <c r="J850" s="101">
        <v>55</v>
      </c>
      <c r="K850" s="101">
        <v>11</v>
      </c>
      <c r="L850" s="101"/>
      <c r="M850" s="101">
        <v>11</v>
      </c>
      <c r="N850" s="101">
        <v>1</v>
      </c>
      <c r="O850" s="101"/>
      <c r="P850" s="101"/>
      <c r="Q850" s="101"/>
      <c r="R850" s="101"/>
      <c r="S850" s="101"/>
      <c r="T850" s="101"/>
      <c r="U850" s="101"/>
      <c r="V850" s="101"/>
      <c r="W850" s="91"/>
      <c r="X850" s="89"/>
      <c r="Y850" s="92">
        <f t="shared" si="78"/>
        <v>0</v>
      </c>
      <c r="Z850" s="92">
        <f t="shared" si="79"/>
        <v>0</v>
      </c>
      <c r="AA850" s="92">
        <f t="shared" si="80"/>
        <v>0</v>
      </c>
      <c r="AB850" s="92">
        <f t="shared" si="81"/>
        <v>0</v>
      </c>
      <c r="AC850" s="92"/>
      <c r="AD850" s="92">
        <v>20000000</v>
      </c>
      <c r="AE850" s="92">
        <f t="shared" si="82"/>
        <v>20000000</v>
      </c>
      <c r="AF850" s="93">
        <v>0</v>
      </c>
      <c r="AG850" s="89"/>
      <c r="AH850" s="94"/>
      <c r="AI850" s="102" t="s">
        <v>4346</v>
      </c>
      <c r="AJ850" s="96" t="s">
        <v>4347</v>
      </c>
      <c r="AK850" s="97"/>
      <c r="AL850" s="89"/>
      <c r="AM850" s="100" t="s">
        <v>3416</v>
      </c>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114"/>
      <c r="CQ850" s="115"/>
      <c r="CR850" s="114"/>
      <c r="CS850" s="115"/>
      <c r="CT850" s="114"/>
      <c r="CU850" s="115"/>
      <c r="CV850" s="99">
        <f t="shared" si="83"/>
        <v>0</v>
      </c>
      <c r="CW850" s="114"/>
      <c r="CX850" s="115"/>
      <c r="CY850" s="114"/>
      <c r="CZ850" s="115"/>
      <c r="DA850" s="115"/>
      <c r="DB850" s="115"/>
      <c r="DC850" s="114"/>
      <c r="DD850" s="115"/>
      <c r="DE850" s="97"/>
      <c r="DF850" s="46"/>
    </row>
    <row r="851" spans="1:110" s="42" customFormat="1" x14ac:dyDescent="0.2">
      <c r="A851" s="89">
        <v>40660</v>
      </c>
      <c r="B851" s="90" t="s">
        <v>2218</v>
      </c>
      <c r="C851" s="90" t="s">
        <v>4240</v>
      </c>
      <c r="D851" s="90" t="s">
        <v>2362</v>
      </c>
      <c r="E851" s="90" t="str">
        <f>VLOOKUP(B851&amp;C851,Divipola!$C$2:$F$1138,4,FALSE)</f>
        <v>05212</v>
      </c>
      <c r="F851" s="90"/>
      <c r="G851" s="101"/>
      <c r="H851" s="101"/>
      <c r="I851" s="101"/>
      <c r="J851" s="101">
        <v>120</v>
      </c>
      <c r="K851" s="101">
        <v>24</v>
      </c>
      <c r="L851" s="101">
        <v>8</v>
      </c>
      <c r="M851" s="101">
        <v>16</v>
      </c>
      <c r="N851" s="101"/>
      <c r="O851" s="101"/>
      <c r="P851" s="101"/>
      <c r="Q851" s="101"/>
      <c r="R851" s="101"/>
      <c r="S851" s="101"/>
      <c r="T851" s="101"/>
      <c r="U851" s="101"/>
      <c r="V851" s="101"/>
      <c r="W851" s="91"/>
      <c r="X851" s="89"/>
      <c r="Y851" s="92">
        <f t="shared" si="78"/>
        <v>0</v>
      </c>
      <c r="Z851" s="92">
        <f t="shared" si="79"/>
        <v>0</v>
      </c>
      <c r="AA851" s="92">
        <f t="shared" si="80"/>
        <v>0</v>
      </c>
      <c r="AB851" s="92">
        <f t="shared" si="81"/>
        <v>0</v>
      </c>
      <c r="AC851" s="92"/>
      <c r="AD851" s="92">
        <v>0</v>
      </c>
      <c r="AE851" s="92">
        <f t="shared" si="82"/>
        <v>0</v>
      </c>
      <c r="AF851" s="93">
        <v>0</v>
      </c>
      <c r="AG851" s="89"/>
      <c r="AH851" s="94"/>
      <c r="AI851" s="102" t="s">
        <v>4336</v>
      </c>
      <c r="AJ851" s="96" t="s">
        <v>4337</v>
      </c>
      <c r="AK851" s="97"/>
      <c r="AL851" s="89"/>
      <c r="AM851" s="100" t="s">
        <v>3724</v>
      </c>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114"/>
      <c r="CQ851" s="115"/>
      <c r="CR851" s="114"/>
      <c r="CS851" s="115"/>
      <c r="CT851" s="114"/>
      <c r="CU851" s="115"/>
      <c r="CV851" s="99">
        <f t="shared" si="83"/>
        <v>0</v>
      </c>
      <c r="CW851" s="114"/>
      <c r="CX851" s="115"/>
      <c r="CY851" s="114"/>
      <c r="CZ851" s="115"/>
      <c r="DA851" s="115"/>
      <c r="DB851" s="115"/>
      <c r="DC851" s="114"/>
      <c r="DD851" s="115"/>
      <c r="DE851" s="97"/>
      <c r="DF851" s="46"/>
    </row>
    <row r="852" spans="1:110" s="42" customFormat="1" ht="48" x14ac:dyDescent="0.2">
      <c r="A852" s="89">
        <v>40660</v>
      </c>
      <c r="B852" s="90" t="s">
        <v>2218</v>
      </c>
      <c r="C852" s="90" t="s">
        <v>3297</v>
      </c>
      <c r="D852" s="90" t="s">
        <v>4264</v>
      </c>
      <c r="E852" s="90" t="str">
        <f>VLOOKUP(B852&amp;C852,Divipola!$C$2:$F$1138,4,FALSE)</f>
        <v>05001</v>
      </c>
      <c r="F852" s="90"/>
      <c r="G852" s="101"/>
      <c r="H852" s="101"/>
      <c r="I852" s="101"/>
      <c r="J852" s="101">
        <f>29*5</f>
        <v>145</v>
      </c>
      <c r="K852" s="101">
        <v>29</v>
      </c>
      <c r="L852" s="101">
        <v>9</v>
      </c>
      <c r="M852" s="101">
        <v>20</v>
      </c>
      <c r="N852" s="101"/>
      <c r="O852" s="101"/>
      <c r="P852" s="101"/>
      <c r="Q852" s="101"/>
      <c r="R852" s="101"/>
      <c r="S852" s="101"/>
      <c r="T852" s="101"/>
      <c r="U852" s="101">
        <v>1</v>
      </c>
      <c r="V852" s="101"/>
      <c r="W852" s="91" t="s">
        <v>3566</v>
      </c>
      <c r="X852" s="89"/>
      <c r="Y852" s="92">
        <f t="shared" si="78"/>
        <v>99000000</v>
      </c>
      <c r="Z852" s="92">
        <f t="shared" si="79"/>
        <v>0</v>
      </c>
      <c r="AA852" s="92">
        <f t="shared" si="80"/>
        <v>0</v>
      </c>
      <c r="AB852" s="92">
        <f t="shared" si="81"/>
        <v>0</v>
      </c>
      <c r="AC852" s="92"/>
      <c r="AD852" s="92">
        <v>0</v>
      </c>
      <c r="AE852" s="92">
        <f t="shared" si="82"/>
        <v>99000000</v>
      </c>
      <c r="AF852" s="93">
        <v>0</v>
      </c>
      <c r="AG852" s="89"/>
      <c r="AH852" s="94"/>
      <c r="AI852" s="95" t="s">
        <v>4346</v>
      </c>
      <c r="AJ852" s="96" t="s">
        <v>4347</v>
      </c>
      <c r="AK852" s="97"/>
      <c r="AL852" s="89"/>
      <c r="AM852" s="100" t="s">
        <v>2794</v>
      </c>
      <c r="AN852" s="91"/>
      <c r="AO852" s="91"/>
      <c r="AP852" s="91"/>
      <c r="AQ852" s="91"/>
      <c r="AR852" s="91"/>
      <c r="AS852" s="91"/>
      <c r="AT852" s="91"/>
      <c r="AU852" s="91"/>
      <c r="AV852" s="91"/>
      <c r="AW852" s="91"/>
      <c r="AX852" s="91"/>
      <c r="AY852" s="91"/>
      <c r="AZ852" s="91">
        <v>1000</v>
      </c>
      <c r="BA852" s="91">
        <f>1000*56000</f>
        <v>56000000</v>
      </c>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120">
        <v>1000</v>
      </c>
      <c r="CI852" s="120">
        <f>1000*22000</f>
        <v>22000000</v>
      </c>
      <c r="CJ852" s="91">
        <v>1000</v>
      </c>
      <c r="CK852" s="91">
        <f>1000*21000</f>
        <v>21000000</v>
      </c>
      <c r="CL852" s="91"/>
      <c r="CM852" s="91"/>
      <c r="CN852" s="91"/>
      <c r="CO852" s="91"/>
      <c r="CP852" s="114"/>
      <c r="CQ852" s="115"/>
      <c r="CR852" s="114"/>
      <c r="CS852" s="115"/>
      <c r="CT852" s="114"/>
      <c r="CU852" s="115"/>
      <c r="CV852" s="99">
        <f t="shared" si="83"/>
        <v>99000000</v>
      </c>
      <c r="CW852" s="114"/>
      <c r="CX852" s="115"/>
      <c r="CY852" s="114"/>
      <c r="CZ852" s="115"/>
      <c r="DA852" s="115"/>
      <c r="DB852" s="115"/>
      <c r="DC852" s="114"/>
      <c r="DD852" s="115"/>
      <c r="DE852" s="97"/>
      <c r="DF852" s="46"/>
    </row>
    <row r="853" spans="1:110" s="42" customFormat="1" ht="24" x14ac:dyDescent="0.2">
      <c r="A853" s="89">
        <v>40660</v>
      </c>
      <c r="B853" s="90" t="s">
        <v>2218</v>
      </c>
      <c r="C853" s="90" t="s">
        <v>3297</v>
      </c>
      <c r="D853" s="90" t="s">
        <v>2362</v>
      </c>
      <c r="E853" s="90" t="str">
        <f>VLOOKUP(B853&amp;C853,Divipola!$C$2:$F$1138,4,FALSE)</f>
        <v>05001</v>
      </c>
      <c r="F853" s="90"/>
      <c r="G853" s="101">
        <v>2</v>
      </c>
      <c r="H853" s="101"/>
      <c r="I853" s="101"/>
      <c r="J853" s="101">
        <v>5</v>
      </c>
      <c r="K853" s="101">
        <v>1</v>
      </c>
      <c r="L853" s="101">
        <v>1</v>
      </c>
      <c r="M853" s="101"/>
      <c r="N853" s="101"/>
      <c r="O853" s="101"/>
      <c r="P853" s="101"/>
      <c r="Q853" s="101"/>
      <c r="R853" s="101"/>
      <c r="S853" s="101"/>
      <c r="T853" s="101"/>
      <c r="U853" s="101"/>
      <c r="V853" s="101"/>
      <c r="W853" s="91"/>
      <c r="X853" s="89"/>
      <c r="Y853" s="92">
        <f t="shared" si="78"/>
        <v>0</v>
      </c>
      <c r="Z853" s="92">
        <f t="shared" si="79"/>
        <v>0</v>
      </c>
      <c r="AA853" s="92">
        <f t="shared" si="80"/>
        <v>0</v>
      </c>
      <c r="AB853" s="92">
        <f t="shared" si="81"/>
        <v>0</v>
      </c>
      <c r="AC853" s="92"/>
      <c r="AD853" s="92">
        <v>0</v>
      </c>
      <c r="AE853" s="92">
        <f t="shared" si="82"/>
        <v>0</v>
      </c>
      <c r="AF853" s="93">
        <v>0</v>
      </c>
      <c r="AG853" s="89"/>
      <c r="AH853" s="94"/>
      <c r="AI853" s="102" t="s">
        <v>4336</v>
      </c>
      <c r="AJ853" s="96" t="s">
        <v>4337</v>
      </c>
      <c r="AK853" s="97"/>
      <c r="AL853" s="89"/>
      <c r="AM853" s="100" t="s">
        <v>3723</v>
      </c>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114"/>
      <c r="CQ853" s="115"/>
      <c r="CR853" s="114"/>
      <c r="CS853" s="115"/>
      <c r="CT853" s="114"/>
      <c r="CU853" s="115"/>
      <c r="CV853" s="99">
        <f t="shared" si="83"/>
        <v>0</v>
      </c>
      <c r="CW853" s="114"/>
      <c r="CX853" s="115"/>
      <c r="CY853" s="114"/>
      <c r="CZ853" s="115"/>
      <c r="DA853" s="115"/>
      <c r="DB853" s="115"/>
      <c r="DC853" s="114"/>
      <c r="DD853" s="115"/>
      <c r="DE853" s="97"/>
      <c r="DF853" s="46"/>
    </row>
    <row r="854" spans="1:110" s="42" customFormat="1" ht="24" x14ac:dyDescent="0.2">
      <c r="A854" s="89">
        <v>40660</v>
      </c>
      <c r="B854" s="90" t="s">
        <v>2218</v>
      </c>
      <c r="C854" s="90" t="s">
        <v>3297</v>
      </c>
      <c r="D854" s="90" t="s">
        <v>2362</v>
      </c>
      <c r="E854" s="90" t="str">
        <f>VLOOKUP(B854&amp;C854,Divipola!$C$2:$F$1138,4,FALSE)</f>
        <v>05001</v>
      </c>
      <c r="F854" s="90"/>
      <c r="G854" s="101">
        <v>1</v>
      </c>
      <c r="H854" s="101">
        <v>1</v>
      </c>
      <c r="I854" s="101"/>
      <c r="J854" s="101">
        <v>25</v>
      </c>
      <c r="K854" s="101">
        <v>5</v>
      </c>
      <c r="L854" s="101">
        <v>2</v>
      </c>
      <c r="M854" s="101">
        <v>3</v>
      </c>
      <c r="N854" s="101"/>
      <c r="O854" s="101"/>
      <c r="P854" s="101"/>
      <c r="Q854" s="101"/>
      <c r="R854" s="101"/>
      <c r="S854" s="101"/>
      <c r="T854" s="101"/>
      <c r="U854" s="101"/>
      <c r="V854" s="101"/>
      <c r="W854" s="91"/>
      <c r="X854" s="89"/>
      <c r="Y854" s="92">
        <f t="shared" si="78"/>
        <v>0</v>
      </c>
      <c r="Z854" s="92">
        <f t="shared" si="79"/>
        <v>0</v>
      </c>
      <c r="AA854" s="92">
        <f t="shared" si="80"/>
        <v>0</v>
      </c>
      <c r="AB854" s="92">
        <f t="shared" si="81"/>
        <v>0</v>
      </c>
      <c r="AC854" s="92"/>
      <c r="AD854" s="92">
        <v>0</v>
      </c>
      <c r="AE854" s="92">
        <f t="shared" si="82"/>
        <v>0</v>
      </c>
      <c r="AF854" s="93">
        <v>0</v>
      </c>
      <c r="AG854" s="89"/>
      <c r="AH854" s="94"/>
      <c r="AI854" s="102" t="s">
        <v>4336</v>
      </c>
      <c r="AJ854" s="96" t="s">
        <v>4337</v>
      </c>
      <c r="AK854" s="97"/>
      <c r="AL854" s="89"/>
      <c r="AM854" s="100" t="s">
        <v>2875</v>
      </c>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114"/>
      <c r="CQ854" s="115"/>
      <c r="CR854" s="114"/>
      <c r="CS854" s="115"/>
      <c r="CT854" s="114"/>
      <c r="CU854" s="115"/>
      <c r="CV854" s="99">
        <f t="shared" si="83"/>
        <v>0</v>
      </c>
      <c r="CW854" s="114"/>
      <c r="CX854" s="115"/>
      <c r="CY854" s="114"/>
      <c r="CZ854" s="115"/>
      <c r="DA854" s="115"/>
      <c r="DB854" s="115"/>
      <c r="DC854" s="114"/>
      <c r="DD854" s="115"/>
      <c r="DE854" s="97"/>
      <c r="DF854" s="46"/>
    </row>
    <row r="855" spans="1:110" s="42" customFormat="1" ht="60" x14ac:dyDescent="0.2">
      <c r="A855" s="89">
        <v>40660</v>
      </c>
      <c r="B855" s="90" t="s">
        <v>1116</v>
      </c>
      <c r="C855" s="90" t="s">
        <v>1116</v>
      </c>
      <c r="D855" s="90" t="s">
        <v>2362</v>
      </c>
      <c r="E855" s="90" t="str">
        <f>VLOOKUP(B855&amp;C855,Divipola!$C$2:$F$1138,4,FALSE)</f>
        <v>11001</v>
      </c>
      <c r="F855" s="90"/>
      <c r="G855" s="101"/>
      <c r="H855" s="101"/>
      <c r="I855" s="101"/>
      <c r="J855" s="101">
        <v>450</v>
      </c>
      <c r="K855" s="101">
        <v>90</v>
      </c>
      <c r="L855" s="101"/>
      <c r="M855" s="101">
        <v>60</v>
      </c>
      <c r="N855" s="101"/>
      <c r="O855" s="101"/>
      <c r="P855" s="101"/>
      <c r="Q855" s="101"/>
      <c r="R855" s="101"/>
      <c r="S855" s="101"/>
      <c r="T855" s="101"/>
      <c r="U855" s="101"/>
      <c r="V855" s="101"/>
      <c r="W855" s="91"/>
      <c r="X855" s="89"/>
      <c r="Y855" s="92">
        <f t="shared" si="78"/>
        <v>0</v>
      </c>
      <c r="Z855" s="92">
        <f t="shared" si="79"/>
        <v>0</v>
      </c>
      <c r="AA855" s="92">
        <f t="shared" si="80"/>
        <v>0</v>
      </c>
      <c r="AB855" s="92">
        <f t="shared" si="81"/>
        <v>0</v>
      </c>
      <c r="AC855" s="92"/>
      <c r="AD855" s="92">
        <v>0</v>
      </c>
      <c r="AE855" s="92">
        <f t="shared" si="82"/>
        <v>0</v>
      </c>
      <c r="AF855" s="93">
        <v>0</v>
      </c>
      <c r="AG855" s="89"/>
      <c r="AH855" s="94"/>
      <c r="AI855" s="95" t="s">
        <v>4336</v>
      </c>
      <c r="AJ855" s="96" t="s">
        <v>4337</v>
      </c>
      <c r="AK855" s="97"/>
      <c r="AL855" s="89"/>
      <c r="AM855" s="100" t="s">
        <v>3569</v>
      </c>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114"/>
      <c r="CQ855" s="115"/>
      <c r="CR855" s="114"/>
      <c r="CS855" s="115"/>
      <c r="CT855" s="114"/>
      <c r="CU855" s="115"/>
      <c r="CV855" s="99">
        <f t="shared" si="83"/>
        <v>0</v>
      </c>
      <c r="CW855" s="114"/>
      <c r="CX855" s="115"/>
      <c r="CY855" s="114"/>
      <c r="CZ855" s="115"/>
      <c r="DA855" s="115"/>
      <c r="DB855" s="115"/>
      <c r="DC855" s="114"/>
      <c r="DD855" s="115"/>
      <c r="DE855" s="97"/>
      <c r="DF855" s="46"/>
    </row>
    <row r="856" spans="1:110" s="42" customFormat="1" ht="60" x14ac:dyDescent="0.2">
      <c r="A856" s="89">
        <v>40660</v>
      </c>
      <c r="B856" s="106" t="s">
        <v>4261</v>
      </c>
      <c r="C856" s="106" t="s">
        <v>1292</v>
      </c>
      <c r="D856" s="90" t="s">
        <v>2362</v>
      </c>
      <c r="E856" s="90" t="str">
        <f>VLOOKUP(B856&amp;C856,Divipola!$C$2:$F$1138,4,FALSE)</f>
        <v>15696</v>
      </c>
      <c r="F856" s="90"/>
      <c r="G856" s="129"/>
      <c r="H856" s="129"/>
      <c r="I856" s="129"/>
      <c r="J856" s="129">
        <v>495</v>
      </c>
      <c r="K856" s="129">
        <v>99</v>
      </c>
      <c r="L856" s="129"/>
      <c r="M856" s="129">
        <v>22</v>
      </c>
      <c r="N856" s="129"/>
      <c r="O856" s="129"/>
      <c r="P856" s="129"/>
      <c r="Q856" s="129"/>
      <c r="R856" s="129"/>
      <c r="S856" s="129"/>
      <c r="T856" s="129"/>
      <c r="U856" s="129"/>
      <c r="V856" s="129"/>
      <c r="W856" s="107"/>
      <c r="X856" s="105">
        <v>40711</v>
      </c>
      <c r="Y856" s="92">
        <f t="shared" si="78"/>
        <v>0</v>
      </c>
      <c r="Z856" s="92">
        <f t="shared" si="79"/>
        <v>0</v>
      </c>
      <c r="AA856" s="92">
        <f t="shared" si="80"/>
        <v>0</v>
      </c>
      <c r="AB856" s="92">
        <f t="shared" si="81"/>
        <v>0</v>
      </c>
      <c r="AC856" s="92"/>
      <c r="AD856" s="92">
        <v>15000000</v>
      </c>
      <c r="AE856" s="92">
        <f t="shared" si="82"/>
        <v>15000000</v>
      </c>
      <c r="AF856" s="93">
        <v>0</v>
      </c>
      <c r="AG856" s="105"/>
      <c r="AH856" s="108"/>
      <c r="AI856" s="102" t="s">
        <v>4346</v>
      </c>
      <c r="AJ856" s="96" t="s">
        <v>4347</v>
      </c>
      <c r="AK856" s="111"/>
      <c r="AL856" s="105"/>
      <c r="AM856" s="112" t="s">
        <v>2398</v>
      </c>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c r="BJ856" s="107"/>
      <c r="BK856" s="107"/>
      <c r="BL856" s="107"/>
      <c r="BM856" s="107"/>
      <c r="BN856" s="107"/>
      <c r="BO856" s="107"/>
      <c r="BP856" s="107"/>
      <c r="BQ856" s="107"/>
      <c r="BR856" s="107"/>
      <c r="BS856" s="107"/>
      <c r="BT856" s="107"/>
      <c r="BU856" s="107"/>
      <c r="BV856" s="107"/>
      <c r="BW856" s="107"/>
      <c r="BX856" s="107"/>
      <c r="BY856" s="107"/>
      <c r="BZ856" s="107"/>
      <c r="CA856" s="107"/>
      <c r="CB856" s="107"/>
      <c r="CC856" s="107"/>
      <c r="CD856" s="107"/>
      <c r="CE856" s="107"/>
      <c r="CF856" s="107"/>
      <c r="CG856" s="107"/>
      <c r="CH856" s="107"/>
      <c r="CI856" s="107"/>
      <c r="CJ856" s="107"/>
      <c r="CK856" s="107"/>
      <c r="CL856" s="107"/>
      <c r="CM856" s="107"/>
      <c r="CN856" s="118"/>
      <c r="CO856" s="119"/>
      <c r="CP856" s="118"/>
      <c r="CQ856" s="119"/>
      <c r="CR856" s="118"/>
      <c r="CS856" s="119"/>
      <c r="CT856" s="113"/>
      <c r="CU856" s="118"/>
      <c r="CV856" s="99">
        <f t="shared" si="83"/>
        <v>0</v>
      </c>
      <c r="CW856" s="118"/>
      <c r="CX856" s="119"/>
      <c r="CY856" s="119"/>
      <c r="CZ856" s="119"/>
      <c r="DA856" s="118"/>
      <c r="DB856" s="119"/>
      <c r="DC856" s="111"/>
      <c r="DD856" s="119"/>
      <c r="DE856" s="111"/>
      <c r="DF856" s="46"/>
    </row>
    <row r="857" spans="1:110" s="42" customFormat="1" ht="36" x14ac:dyDescent="0.2">
      <c r="A857" s="89">
        <v>40660</v>
      </c>
      <c r="B857" s="90" t="s">
        <v>3358</v>
      </c>
      <c r="C857" s="90" t="s">
        <v>4253</v>
      </c>
      <c r="D857" s="90" t="s">
        <v>2362</v>
      </c>
      <c r="E857" s="90" t="str">
        <f>VLOOKUP(B857&amp;C857,Divipola!$C$2:$F$1138,4,FALSE)</f>
        <v>18001</v>
      </c>
      <c r="F857" s="90"/>
      <c r="G857" s="101"/>
      <c r="H857" s="101"/>
      <c r="I857" s="101"/>
      <c r="J857" s="101"/>
      <c r="K857" s="101"/>
      <c r="L857" s="101"/>
      <c r="M857" s="101"/>
      <c r="N857" s="101"/>
      <c r="O857" s="101">
        <v>1</v>
      </c>
      <c r="P857" s="101"/>
      <c r="Q857" s="101"/>
      <c r="R857" s="101"/>
      <c r="S857" s="101"/>
      <c r="T857" s="101"/>
      <c r="U857" s="101"/>
      <c r="V857" s="101"/>
      <c r="W857" s="91"/>
      <c r="X857" s="89"/>
      <c r="Y857" s="92">
        <f t="shared" si="78"/>
        <v>0</v>
      </c>
      <c r="Z857" s="92">
        <f t="shared" si="79"/>
        <v>0</v>
      </c>
      <c r="AA857" s="92">
        <f t="shared" si="80"/>
        <v>0</v>
      </c>
      <c r="AB857" s="92">
        <f t="shared" si="81"/>
        <v>0</v>
      </c>
      <c r="AC857" s="92"/>
      <c r="AD857" s="92">
        <v>0</v>
      </c>
      <c r="AE857" s="92">
        <f t="shared" si="82"/>
        <v>0</v>
      </c>
      <c r="AF857" s="93">
        <v>0</v>
      </c>
      <c r="AG857" s="89"/>
      <c r="AH857" s="94"/>
      <c r="AI857" s="95" t="s">
        <v>4336</v>
      </c>
      <c r="AJ857" s="96" t="s">
        <v>4337</v>
      </c>
      <c r="AK857" s="97"/>
      <c r="AL857" s="89"/>
      <c r="AM857" s="100" t="s">
        <v>3570</v>
      </c>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114"/>
      <c r="CQ857" s="115"/>
      <c r="CR857" s="114"/>
      <c r="CS857" s="115"/>
      <c r="CT857" s="114"/>
      <c r="CU857" s="115"/>
      <c r="CV857" s="99">
        <f t="shared" si="83"/>
        <v>0</v>
      </c>
      <c r="CW857" s="114"/>
      <c r="CX857" s="115"/>
      <c r="CY857" s="114"/>
      <c r="CZ857" s="115"/>
      <c r="DA857" s="115"/>
      <c r="DB857" s="115"/>
      <c r="DC857" s="114"/>
      <c r="DD857" s="115"/>
      <c r="DE857" s="97"/>
      <c r="DF857" s="46"/>
    </row>
    <row r="858" spans="1:110" s="42" customFormat="1" ht="24" x14ac:dyDescent="0.2">
      <c r="A858" s="89">
        <v>40660</v>
      </c>
      <c r="B858" s="90" t="s">
        <v>2225</v>
      </c>
      <c r="C858" s="90" t="s">
        <v>4519</v>
      </c>
      <c r="D858" s="90" t="s">
        <v>4264</v>
      </c>
      <c r="E858" s="90" t="str">
        <f>VLOOKUP(B858&amp;C858,Divipola!$C$2:$F$1138,4,FALSE)</f>
        <v>27205</v>
      </c>
      <c r="F858" s="90"/>
      <c r="G858" s="101"/>
      <c r="H858" s="101"/>
      <c r="I858" s="101"/>
      <c r="J858" s="101">
        <v>107</v>
      </c>
      <c r="K858" s="101">
        <v>27</v>
      </c>
      <c r="L858" s="101"/>
      <c r="M858" s="101">
        <v>27</v>
      </c>
      <c r="N858" s="101"/>
      <c r="O858" s="101"/>
      <c r="P858" s="101"/>
      <c r="Q858" s="101"/>
      <c r="R858" s="101"/>
      <c r="S858" s="101"/>
      <c r="T858" s="101"/>
      <c r="U858" s="101"/>
      <c r="V858" s="101"/>
      <c r="W858" s="91"/>
      <c r="X858" s="89"/>
      <c r="Y858" s="92">
        <f t="shared" si="78"/>
        <v>0</v>
      </c>
      <c r="Z858" s="92">
        <f t="shared" si="79"/>
        <v>0</v>
      </c>
      <c r="AA858" s="92">
        <f t="shared" si="80"/>
        <v>0</v>
      </c>
      <c r="AB858" s="92">
        <f t="shared" si="81"/>
        <v>0</v>
      </c>
      <c r="AC858" s="92"/>
      <c r="AD858" s="92">
        <v>0</v>
      </c>
      <c r="AE858" s="92">
        <f t="shared" si="82"/>
        <v>0</v>
      </c>
      <c r="AF858" s="93">
        <v>0</v>
      </c>
      <c r="AG858" s="89"/>
      <c r="AH858" s="94"/>
      <c r="AI858" s="95" t="s">
        <v>4336</v>
      </c>
      <c r="AJ858" s="96" t="s">
        <v>4337</v>
      </c>
      <c r="AK858" s="97"/>
      <c r="AL858" s="89"/>
      <c r="AM858" s="100" t="s">
        <v>4155</v>
      </c>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114"/>
      <c r="CQ858" s="115"/>
      <c r="CR858" s="114"/>
      <c r="CS858" s="115"/>
      <c r="CT858" s="114"/>
      <c r="CU858" s="115"/>
      <c r="CV858" s="99">
        <f t="shared" si="83"/>
        <v>0</v>
      </c>
      <c r="CW858" s="114"/>
      <c r="CX858" s="115"/>
      <c r="CY858" s="114"/>
      <c r="CZ858" s="115"/>
      <c r="DA858" s="115"/>
      <c r="DB858" s="115"/>
      <c r="DC858" s="114"/>
      <c r="DD858" s="115"/>
      <c r="DE858" s="97"/>
      <c r="DF858" s="46"/>
    </row>
    <row r="859" spans="1:110" s="42" customFormat="1" ht="36" x14ac:dyDescent="0.2">
      <c r="A859" s="89">
        <v>40660</v>
      </c>
      <c r="B859" s="106" t="s">
        <v>4344</v>
      </c>
      <c r="C859" s="106" t="s">
        <v>1651</v>
      </c>
      <c r="D859" s="90" t="s">
        <v>2362</v>
      </c>
      <c r="E859" s="90" t="str">
        <f>VLOOKUP(B859&amp;C859,Divipola!$C$2:$F$1138,4,FALSE)</f>
        <v>25001</v>
      </c>
      <c r="F859" s="90"/>
      <c r="G859" s="129"/>
      <c r="H859" s="129"/>
      <c r="I859" s="129"/>
      <c r="J859" s="129">
        <v>2</v>
      </c>
      <c r="K859" s="129">
        <v>1</v>
      </c>
      <c r="L859" s="129"/>
      <c r="M859" s="129"/>
      <c r="N859" s="129"/>
      <c r="O859" s="129"/>
      <c r="P859" s="129"/>
      <c r="Q859" s="129"/>
      <c r="R859" s="129"/>
      <c r="S859" s="129"/>
      <c r="T859" s="129"/>
      <c r="U859" s="129"/>
      <c r="V859" s="129"/>
      <c r="W859" s="107"/>
      <c r="X859" s="105"/>
      <c r="Y859" s="92">
        <f t="shared" si="78"/>
        <v>0</v>
      </c>
      <c r="Z859" s="92">
        <f t="shared" si="79"/>
        <v>0</v>
      </c>
      <c r="AA859" s="92">
        <f t="shared" si="80"/>
        <v>0</v>
      </c>
      <c r="AB859" s="92">
        <f t="shared" si="81"/>
        <v>0</v>
      </c>
      <c r="AC859" s="92"/>
      <c r="AD859" s="92">
        <v>20000000</v>
      </c>
      <c r="AE859" s="92">
        <f t="shared" si="82"/>
        <v>20000000</v>
      </c>
      <c r="AF859" s="93">
        <v>0</v>
      </c>
      <c r="AG859" s="105"/>
      <c r="AH859" s="108"/>
      <c r="AI859" s="102" t="s">
        <v>4346</v>
      </c>
      <c r="AJ859" s="96" t="s">
        <v>4347</v>
      </c>
      <c r="AK859" s="111"/>
      <c r="AL859" s="105"/>
      <c r="AM859" s="112" t="s">
        <v>2782</v>
      </c>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c r="BJ859" s="107"/>
      <c r="BK859" s="107"/>
      <c r="BL859" s="107"/>
      <c r="BM859" s="107"/>
      <c r="BN859" s="107"/>
      <c r="BO859" s="107"/>
      <c r="BP859" s="107"/>
      <c r="BQ859" s="107"/>
      <c r="BR859" s="107"/>
      <c r="BS859" s="107"/>
      <c r="BT859" s="107"/>
      <c r="BU859" s="107"/>
      <c r="BV859" s="107"/>
      <c r="BW859" s="107"/>
      <c r="BX859" s="107"/>
      <c r="BY859" s="107"/>
      <c r="BZ859" s="107"/>
      <c r="CA859" s="107"/>
      <c r="CB859" s="107"/>
      <c r="CC859" s="107"/>
      <c r="CD859" s="107"/>
      <c r="CE859" s="107"/>
      <c r="CF859" s="107"/>
      <c r="CG859" s="107"/>
      <c r="CH859" s="107"/>
      <c r="CI859" s="107"/>
      <c r="CJ859" s="107"/>
      <c r="CK859" s="107"/>
      <c r="CL859" s="107"/>
      <c r="CM859" s="107"/>
      <c r="CN859" s="118"/>
      <c r="CO859" s="119"/>
      <c r="CP859" s="118"/>
      <c r="CQ859" s="119"/>
      <c r="CR859" s="118"/>
      <c r="CS859" s="119"/>
      <c r="CT859" s="113"/>
      <c r="CU859" s="118"/>
      <c r="CV859" s="99">
        <f t="shared" si="83"/>
        <v>0</v>
      </c>
      <c r="CW859" s="118"/>
      <c r="CX859" s="119"/>
      <c r="CY859" s="119"/>
      <c r="CZ859" s="119"/>
      <c r="DA859" s="118"/>
      <c r="DB859" s="119"/>
      <c r="DC859" s="111"/>
      <c r="DD859" s="119"/>
      <c r="DE859" s="111"/>
      <c r="DF859" s="46"/>
    </row>
    <row r="860" spans="1:110" s="42" customFormat="1" ht="60" x14ac:dyDescent="0.2">
      <c r="A860" s="89">
        <v>40660</v>
      </c>
      <c r="B860" s="90" t="s">
        <v>4344</v>
      </c>
      <c r="C860" s="90" t="s">
        <v>4387</v>
      </c>
      <c r="D860" s="90" t="s">
        <v>4264</v>
      </c>
      <c r="E860" s="90" t="str">
        <f>VLOOKUP(B860&amp;C860,Divipola!$C$2:$F$1138,4,FALSE)</f>
        <v>25483</v>
      </c>
      <c r="F860" s="90"/>
      <c r="G860" s="101"/>
      <c r="H860" s="101"/>
      <c r="I860" s="101"/>
      <c r="J860" s="101">
        <v>45</v>
      </c>
      <c r="K860" s="101">
        <v>14</v>
      </c>
      <c r="L860" s="101"/>
      <c r="M860" s="101">
        <v>15</v>
      </c>
      <c r="N860" s="101">
        <v>1</v>
      </c>
      <c r="O860" s="101"/>
      <c r="P860" s="101"/>
      <c r="Q860" s="101"/>
      <c r="R860" s="101"/>
      <c r="S860" s="101"/>
      <c r="T860" s="101"/>
      <c r="U860" s="101"/>
      <c r="V860" s="101"/>
      <c r="W860" s="91"/>
      <c r="X860" s="89"/>
      <c r="Y860" s="92">
        <f t="shared" si="78"/>
        <v>0</v>
      </c>
      <c r="Z860" s="92">
        <f t="shared" si="79"/>
        <v>0</v>
      </c>
      <c r="AA860" s="92">
        <f t="shared" si="80"/>
        <v>0</v>
      </c>
      <c r="AB860" s="92">
        <f t="shared" si="81"/>
        <v>0</v>
      </c>
      <c r="AC860" s="92"/>
      <c r="AD860" s="92">
        <v>0</v>
      </c>
      <c r="AE860" s="92">
        <f t="shared" si="82"/>
        <v>0</v>
      </c>
      <c r="AF860" s="93">
        <v>0</v>
      </c>
      <c r="AG860" s="89"/>
      <c r="AH860" s="94"/>
      <c r="AI860" s="102" t="s">
        <v>4336</v>
      </c>
      <c r="AJ860" s="96" t="s">
        <v>4337</v>
      </c>
      <c r="AK860" s="97"/>
      <c r="AL860" s="89"/>
      <c r="AM860" s="100" t="s">
        <v>2792</v>
      </c>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114"/>
      <c r="CQ860" s="115"/>
      <c r="CR860" s="114"/>
      <c r="CS860" s="115"/>
      <c r="CT860" s="114"/>
      <c r="CU860" s="115"/>
      <c r="CV860" s="99">
        <f t="shared" si="83"/>
        <v>0</v>
      </c>
      <c r="CW860" s="114"/>
      <c r="CX860" s="115"/>
      <c r="CY860" s="114"/>
      <c r="CZ860" s="115"/>
      <c r="DA860" s="115"/>
      <c r="DB860" s="115"/>
      <c r="DC860" s="114"/>
      <c r="DD860" s="115"/>
      <c r="DE860" s="97"/>
      <c r="DF860" s="46"/>
    </row>
    <row r="861" spans="1:110" s="42" customFormat="1" ht="48" x14ac:dyDescent="0.2">
      <c r="A861" s="89">
        <v>40660</v>
      </c>
      <c r="B861" s="90" t="s">
        <v>4219</v>
      </c>
      <c r="C861" s="90" t="s">
        <v>3496</v>
      </c>
      <c r="D861" s="90" t="s">
        <v>2362</v>
      </c>
      <c r="E861" s="90" t="str">
        <f>VLOOKUP(B861&amp;C861,Divipola!$C$2:$F$1138,4,FALSE)</f>
        <v>41518</v>
      </c>
      <c r="F861" s="90"/>
      <c r="G861" s="101"/>
      <c r="H861" s="101"/>
      <c r="I861" s="101"/>
      <c r="J861" s="101">
        <f>22*5</f>
        <v>110</v>
      </c>
      <c r="K861" s="101">
        <v>22</v>
      </c>
      <c r="L861" s="101"/>
      <c r="M861" s="101"/>
      <c r="N861" s="101">
        <v>1</v>
      </c>
      <c r="O861" s="101">
        <v>1</v>
      </c>
      <c r="P861" s="101"/>
      <c r="Q861" s="101"/>
      <c r="R861" s="101"/>
      <c r="S861" s="101"/>
      <c r="T861" s="101"/>
      <c r="U861" s="101"/>
      <c r="V861" s="101"/>
      <c r="W861" s="91"/>
      <c r="X861" s="89"/>
      <c r="Y861" s="92">
        <f t="shared" si="78"/>
        <v>0</v>
      </c>
      <c r="Z861" s="92">
        <f t="shared" si="79"/>
        <v>0</v>
      </c>
      <c r="AA861" s="92">
        <f t="shared" si="80"/>
        <v>0</v>
      </c>
      <c r="AB861" s="92">
        <f t="shared" si="81"/>
        <v>0</v>
      </c>
      <c r="AC861" s="92"/>
      <c r="AD861" s="92">
        <v>0</v>
      </c>
      <c r="AE861" s="92">
        <f t="shared" si="82"/>
        <v>0</v>
      </c>
      <c r="AF861" s="93">
        <v>0</v>
      </c>
      <c r="AG861" s="89"/>
      <c r="AH861" s="94"/>
      <c r="AI861" s="95" t="s">
        <v>4336</v>
      </c>
      <c r="AJ861" s="96" t="s">
        <v>4337</v>
      </c>
      <c r="AK861" s="97"/>
      <c r="AL861" s="89"/>
      <c r="AM861" s="100" t="s">
        <v>2927</v>
      </c>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114"/>
      <c r="CQ861" s="115"/>
      <c r="CR861" s="114"/>
      <c r="CS861" s="115"/>
      <c r="CT861" s="114"/>
      <c r="CU861" s="115"/>
      <c r="CV861" s="99">
        <f t="shared" si="83"/>
        <v>0</v>
      </c>
      <c r="CW861" s="114"/>
      <c r="CX861" s="115"/>
      <c r="CY861" s="114"/>
      <c r="CZ861" s="115"/>
      <c r="DA861" s="115"/>
      <c r="DB861" s="115"/>
      <c r="DC861" s="114"/>
      <c r="DD861" s="115"/>
      <c r="DE861" s="97"/>
      <c r="DF861" s="46"/>
    </row>
    <row r="862" spans="1:110" s="42" customFormat="1" x14ac:dyDescent="0.2">
      <c r="A862" s="89">
        <v>40660</v>
      </c>
      <c r="B862" s="106" t="s">
        <v>4308</v>
      </c>
      <c r="C862" s="106" t="s">
        <v>4345</v>
      </c>
      <c r="D862" s="90" t="s">
        <v>4264</v>
      </c>
      <c r="E862" s="90">
        <f>VLOOKUP(B862&amp;C862,Divipola!$C$2:$F$1138,4,FALSE)</f>
        <v>47</v>
      </c>
      <c r="F862" s="90"/>
      <c r="G862" s="129"/>
      <c r="H862" s="129"/>
      <c r="I862" s="129"/>
      <c r="J862" s="129"/>
      <c r="K862" s="129"/>
      <c r="L862" s="129"/>
      <c r="M862" s="129"/>
      <c r="N862" s="129"/>
      <c r="O862" s="129"/>
      <c r="P862" s="129"/>
      <c r="Q862" s="129"/>
      <c r="R862" s="129"/>
      <c r="S862" s="129"/>
      <c r="T862" s="129"/>
      <c r="U862" s="129"/>
      <c r="V862" s="129"/>
      <c r="W862" s="107"/>
      <c r="X862" s="105"/>
      <c r="Y862" s="117">
        <f t="shared" si="78"/>
        <v>1235981000</v>
      </c>
      <c r="Z862" s="117">
        <f t="shared" si="79"/>
        <v>0</v>
      </c>
      <c r="AA862" s="117">
        <f t="shared" si="80"/>
        <v>0</v>
      </c>
      <c r="AB862" s="117">
        <f t="shared" si="81"/>
        <v>75028800</v>
      </c>
      <c r="AC862" s="117"/>
      <c r="AD862" s="117">
        <v>0</v>
      </c>
      <c r="AE862" s="92">
        <f t="shared" si="82"/>
        <v>1311009800</v>
      </c>
      <c r="AF862" s="93">
        <v>0</v>
      </c>
      <c r="AG862" s="105"/>
      <c r="AH862" s="108"/>
      <c r="AI862" s="109" t="s">
        <v>4346</v>
      </c>
      <c r="AJ862" s="110" t="s">
        <v>4347</v>
      </c>
      <c r="AK862" s="111"/>
      <c r="AL862" s="105"/>
      <c r="AM862" s="126"/>
      <c r="AN862" s="107"/>
      <c r="AO862" s="107"/>
      <c r="AP862" s="107"/>
      <c r="AQ862" s="107"/>
      <c r="AR862" s="107"/>
      <c r="AS862" s="107"/>
      <c r="AT862" s="107"/>
      <c r="AU862" s="107"/>
      <c r="AV862" s="91"/>
      <c r="AW862" s="91"/>
      <c r="AX862" s="107">
        <f>200+2000</f>
        <v>2200</v>
      </c>
      <c r="AY862" s="107">
        <f>50*250000+100*450000+50*600000+500*389000+329*389000+98*400000+53*450000+65*600000+8*450000+300*600000+49*600000+451*450000+147*450000</f>
        <v>994131000</v>
      </c>
      <c r="AZ862" s="107">
        <v>2000</v>
      </c>
      <c r="BA862" s="107">
        <f>2000*56000</f>
        <v>112000000</v>
      </c>
      <c r="BB862" s="107"/>
      <c r="BC862" s="107"/>
      <c r="BD862" s="107"/>
      <c r="BE862" s="107"/>
      <c r="BF862" s="107"/>
      <c r="BG862" s="107"/>
      <c r="BH862" s="107"/>
      <c r="BI862" s="107"/>
      <c r="BJ862" s="107"/>
      <c r="BK862" s="107"/>
      <c r="BL862" s="107"/>
      <c r="BM862" s="107"/>
      <c r="BN862" s="107"/>
      <c r="BO862" s="107"/>
      <c r="BP862" s="107"/>
      <c r="BQ862" s="107"/>
      <c r="BR862" s="107"/>
      <c r="BS862" s="107"/>
      <c r="BT862" s="107"/>
      <c r="BU862" s="107"/>
      <c r="BV862" s="107"/>
      <c r="BW862" s="107"/>
      <c r="BX862" s="107"/>
      <c r="BY862" s="107"/>
      <c r="BZ862" s="107"/>
      <c r="CA862" s="107"/>
      <c r="CB862" s="107"/>
      <c r="CC862" s="107"/>
      <c r="CD862" s="107"/>
      <c r="CE862" s="107"/>
      <c r="CF862" s="107"/>
      <c r="CG862" s="107"/>
      <c r="CH862" s="107"/>
      <c r="CI862" s="107"/>
      <c r="CJ862" s="107"/>
      <c r="CK862" s="107"/>
      <c r="CL862" s="107"/>
      <c r="CM862" s="107"/>
      <c r="CN862" s="107">
        <v>2000</v>
      </c>
      <c r="CO862" s="107">
        <f>2000*18000</f>
        <v>36000000</v>
      </c>
      <c r="CP862" s="118">
        <v>2000</v>
      </c>
      <c r="CQ862" s="119">
        <f>2000*37000</f>
        <v>74000000</v>
      </c>
      <c r="CR862" s="118">
        <v>500</v>
      </c>
      <c r="CS862" s="119">
        <f>500*39700</f>
        <v>19850000</v>
      </c>
      <c r="CT862" s="118"/>
      <c r="CU862" s="119"/>
      <c r="CV862" s="99">
        <f t="shared" si="83"/>
        <v>1235981000</v>
      </c>
      <c r="CW862" s="118">
        <v>3000</v>
      </c>
      <c r="CX862" s="119">
        <f>3000*25009.6</f>
        <v>75028800</v>
      </c>
      <c r="CY862" s="118"/>
      <c r="CZ862" s="119"/>
      <c r="DA862" s="119"/>
      <c r="DB862" s="119"/>
      <c r="DC862" s="118"/>
      <c r="DD862" s="119"/>
      <c r="DE862" s="111"/>
      <c r="DF862" s="46"/>
    </row>
    <row r="863" spans="1:110" s="42" customFormat="1" ht="36" x14ac:dyDescent="0.2">
      <c r="A863" s="89">
        <v>40660</v>
      </c>
      <c r="B863" s="90" t="s">
        <v>860</v>
      </c>
      <c r="C863" s="90" t="s">
        <v>2859</v>
      </c>
      <c r="D863" s="90" t="s">
        <v>2362</v>
      </c>
      <c r="E863" s="90" t="str">
        <f>VLOOKUP(B863&amp;C863,Divipola!$C$2:$F$1138,4,FALSE)</f>
        <v>50001</v>
      </c>
      <c r="F863" s="90"/>
      <c r="G863" s="101"/>
      <c r="H863" s="101"/>
      <c r="I863" s="101"/>
      <c r="J863" s="101">
        <v>3</v>
      </c>
      <c r="K863" s="101">
        <v>1</v>
      </c>
      <c r="L863" s="101"/>
      <c r="M863" s="101">
        <v>1</v>
      </c>
      <c r="N863" s="101">
        <v>1</v>
      </c>
      <c r="O863" s="101"/>
      <c r="P863" s="101"/>
      <c r="Q863" s="101"/>
      <c r="R863" s="101"/>
      <c r="S863" s="101"/>
      <c r="T863" s="101"/>
      <c r="U863" s="101"/>
      <c r="V863" s="101"/>
      <c r="W863" s="91"/>
      <c r="X863" s="89"/>
      <c r="Y863" s="92">
        <f t="shared" si="78"/>
        <v>0</v>
      </c>
      <c r="Z863" s="92">
        <f t="shared" si="79"/>
        <v>0</v>
      </c>
      <c r="AA863" s="92">
        <f t="shared" si="80"/>
        <v>0</v>
      </c>
      <c r="AB863" s="92">
        <f t="shared" si="81"/>
        <v>0</v>
      </c>
      <c r="AC863" s="92"/>
      <c r="AD863" s="92">
        <v>0</v>
      </c>
      <c r="AE863" s="92">
        <f t="shared" si="82"/>
        <v>0</v>
      </c>
      <c r="AF863" s="93">
        <v>0</v>
      </c>
      <c r="AG863" s="89"/>
      <c r="AH863" s="94"/>
      <c r="AI863" s="95" t="s">
        <v>4346</v>
      </c>
      <c r="AJ863" s="96" t="s">
        <v>4347</v>
      </c>
      <c r="AK863" s="97"/>
      <c r="AL863" s="89" t="s">
        <v>2798</v>
      </c>
      <c r="AM863" s="100" t="s">
        <v>3564</v>
      </c>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114"/>
      <c r="CQ863" s="115"/>
      <c r="CR863" s="114"/>
      <c r="CS863" s="115"/>
      <c r="CT863" s="114"/>
      <c r="CU863" s="115"/>
      <c r="CV863" s="99">
        <f t="shared" si="83"/>
        <v>0</v>
      </c>
      <c r="CW863" s="114"/>
      <c r="CX863" s="115"/>
      <c r="CY863" s="114"/>
      <c r="CZ863" s="115"/>
      <c r="DA863" s="115"/>
      <c r="DB863" s="115"/>
      <c r="DC863" s="114"/>
      <c r="DD863" s="115"/>
      <c r="DE863" s="97"/>
      <c r="DF863" s="46"/>
    </row>
    <row r="864" spans="1:110" s="42" customFormat="1" ht="60" x14ac:dyDescent="0.2">
      <c r="A864" s="89">
        <v>40660</v>
      </c>
      <c r="B864" s="90" t="s">
        <v>4221</v>
      </c>
      <c r="C864" s="90" t="s">
        <v>4312</v>
      </c>
      <c r="D864" s="90" t="s">
        <v>2362</v>
      </c>
      <c r="E864" s="90" t="str">
        <f>VLOOKUP(B864&amp;C864,Divipola!$C$2:$F$1138,4,FALSE)</f>
        <v>54206</v>
      </c>
      <c r="F864" s="90"/>
      <c r="G864" s="101"/>
      <c r="H864" s="101"/>
      <c r="I864" s="101"/>
      <c r="J864" s="101">
        <f>364*5</f>
        <v>1820</v>
      </c>
      <c r="K864" s="101">
        <v>364</v>
      </c>
      <c r="L864" s="101"/>
      <c r="M864" s="101">
        <v>364</v>
      </c>
      <c r="N864" s="101"/>
      <c r="O864" s="101"/>
      <c r="P864" s="101"/>
      <c r="Q864" s="101"/>
      <c r="R864" s="101"/>
      <c r="S864" s="101"/>
      <c r="T864" s="101"/>
      <c r="U864" s="101"/>
      <c r="V864" s="101"/>
      <c r="W864" s="91"/>
      <c r="X864" s="89"/>
      <c r="Y864" s="92">
        <f t="shared" si="78"/>
        <v>59789880</v>
      </c>
      <c r="Z864" s="92">
        <f t="shared" si="79"/>
        <v>0</v>
      </c>
      <c r="AA864" s="92">
        <f t="shared" si="80"/>
        <v>160486000</v>
      </c>
      <c r="AB864" s="92">
        <f t="shared" si="81"/>
        <v>1818880</v>
      </c>
      <c r="AC864" s="123">
        <f>150*90000+150*220000+40000*952+500*53302</f>
        <v>111231000</v>
      </c>
      <c r="AD864" s="92">
        <v>0</v>
      </c>
      <c r="AE864" s="92">
        <f t="shared" si="82"/>
        <v>333325760</v>
      </c>
      <c r="AF864" s="93">
        <v>0</v>
      </c>
      <c r="AG864" s="89"/>
      <c r="AH864" s="94"/>
      <c r="AI864" s="95" t="s">
        <v>4346</v>
      </c>
      <c r="AJ864" s="96" t="s">
        <v>4347</v>
      </c>
      <c r="AK864" s="97"/>
      <c r="AL864" s="89"/>
      <c r="AM864" s="100" t="s">
        <v>4190</v>
      </c>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v>120</v>
      </c>
      <c r="CA864" s="91">
        <f>120*498249</f>
        <v>59789880</v>
      </c>
      <c r="CB864" s="91"/>
      <c r="CC864" s="91"/>
      <c r="CD864" s="91"/>
      <c r="CE864" s="91"/>
      <c r="CF864" s="91"/>
      <c r="CG864" s="91"/>
      <c r="CH864" s="91"/>
      <c r="CI864" s="91"/>
      <c r="CJ864" s="91"/>
      <c r="CK864" s="91"/>
      <c r="CL864" s="91"/>
      <c r="CM864" s="91"/>
      <c r="CN864" s="91"/>
      <c r="CO864" s="91"/>
      <c r="CP864" s="114"/>
      <c r="CQ864" s="115"/>
      <c r="CR864" s="114"/>
      <c r="CS864" s="115"/>
      <c r="CT864" s="114"/>
      <c r="CU864" s="115"/>
      <c r="CV864" s="99">
        <f t="shared" si="83"/>
        <v>59789880</v>
      </c>
      <c r="CW864" s="114">
        <v>2000</v>
      </c>
      <c r="CX864" s="115">
        <f>2000*909.44</f>
        <v>1818880</v>
      </c>
      <c r="CY864" s="114"/>
      <c r="CZ864" s="115"/>
      <c r="DA864" s="115">
        <v>2000</v>
      </c>
      <c r="DB864" s="115">
        <f>2000*24998</f>
        <v>49996000</v>
      </c>
      <c r="DC864" s="114">
        <f>5000</f>
        <v>5000</v>
      </c>
      <c r="DD864" s="115">
        <f>5000*22098</f>
        <v>110490000</v>
      </c>
      <c r="DE864" s="97"/>
      <c r="DF864" s="46"/>
    </row>
    <row r="865" spans="1:110" s="42" customFormat="1" ht="24" x14ac:dyDescent="0.2">
      <c r="A865" s="89">
        <v>40660</v>
      </c>
      <c r="B865" s="90" t="s">
        <v>4221</v>
      </c>
      <c r="C865" s="90" t="s">
        <v>3539</v>
      </c>
      <c r="D865" s="90" t="s">
        <v>4264</v>
      </c>
      <c r="E865" s="90" t="str">
        <f>VLOOKUP(B865&amp;C865,Divipola!$C$2:$F$1138,4,FALSE)</f>
        <v>54800</v>
      </c>
      <c r="F865" s="90"/>
      <c r="G865" s="101"/>
      <c r="H865" s="101"/>
      <c r="I865" s="101"/>
      <c r="J865" s="101">
        <f>453*5</f>
        <v>2265</v>
      </c>
      <c r="K865" s="101">
        <f>523-70</f>
        <v>453</v>
      </c>
      <c r="L865" s="101"/>
      <c r="M865" s="101">
        <v>453</v>
      </c>
      <c r="N865" s="101"/>
      <c r="O865" s="101"/>
      <c r="P865" s="101"/>
      <c r="Q865" s="101"/>
      <c r="R865" s="101"/>
      <c r="S865" s="101"/>
      <c r="T865" s="101"/>
      <c r="U865" s="101"/>
      <c r="V865" s="101"/>
      <c r="W865" s="91"/>
      <c r="X865" s="89"/>
      <c r="Y865" s="92">
        <f t="shared" si="78"/>
        <v>0</v>
      </c>
      <c r="Z865" s="92">
        <f t="shared" si="79"/>
        <v>0</v>
      </c>
      <c r="AA865" s="92">
        <f t="shared" si="80"/>
        <v>0</v>
      </c>
      <c r="AB865" s="92">
        <f t="shared" si="81"/>
        <v>0</v>
      </c>
      <c r="AC865" s="92"/>
      <c r="AD865" s="92">
        <v>0</v>
      </c>
      <c r="AE865" s="92">
        <f t="shared" si="82"/>
        <v>0</v>
      </c>
      <c r="AF865" s="93">
        <v>0</v>
      </c>
      <c r="AG865" s="89"/>
      <c r="AH865" s="94"/>
      <c r="AI865" s="102" t="s">
        <v>4336</v>
      </c>
      <c r="AJ865" s="96" t="s">
        <v>4337</v>
      </c>
      <c r="AK865" s="97"/>
      <c r="AL865" s="89"/>
      <c r="AM865" s="100" t="s">
        <v>3559</v>
      </c>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114"/>
      <c r="CQ865" s="115"/>
      <c r="CR865" s="114"/>
      <c r="CS865" s="115"/>
      <c r="CT865" s="114"/>
      <c r="CU865" s="115"/>
      <c r="CV865" s="99">
        <f t="shared" si="83"/>
        <v>0</v>
      </c>
      <c r="CW865" s="114"/>
      <c r="CX865" s="115"/>
      <c r="CY865" s="114"/>
      <c r="CZ865" s="115"/>
      <c r="DA865" s="115"/>
      <c r="DB865" s="115"/>
      <c r="DC865" s="114"/>
      <c r="DD865" s="115"/>
      <c r="DE865" s="97"/>
      <c r="DF865" s="46"/>
    </row>
    <row r="866" spans="1:110" s="42" customFormat="1" ht="96" x14ac:dyDescent="0.2">
      <c r="A866" s="89">
        <v>40660</v>
      </c>
      <c r="B866" s="90" t="s">
        <v>4221</v>
      </c>
      <c r="C866" s="90" t="s">
        <v>2235</v>
      </c>
      <c r="D866" s="90" t="s">
        <v>4264</v>
      </c>
      <c r="E866" s="90" t="str">
        <f>VLOOKUP(B866&amp;C866,Divipola!$C$2:$F$1138,4,FALSE)</f>
        <v>54810</v>
      </c>
      <c r="F866" s="90"/>
      <c r="G866" s="101"/>
      <c r="H866" s="101"/>
      <c r="I866" s="101"/>
      <c r="J866" s="101">
        <f>1190*5</f>
        <v>5950</v>
      </c>
      <c r="K866" s="208">
        <f>26+175+1+40+6+5+13+13+39+37+2+1+38+132+80+32+30+3+8+45+7+147+34+21+60+25+1+27+5+10+10+1+5+2+6+9+9+12+2+21+11+13+26</f>
        <v>1190</v>
      </c>
      <c r="L866" s="101"/>
      <c r="M866" s="101">
        <v>1190</v>
      </c>
      <c r="N866" s="101"/>
      <c r="O866" s="101"/>
      <c r="P866" s="101"/>
      <c r="Q866" s="101"/>
      <c r="R866" s="101"/>
      <c r="S866" s="101"/>
      <c r="T866" s="101"/>
      <c r="U866" s="101"/>
      <c r="V866" s="101"/>
      <c r="W866" s="91"/>
      <c r="X866" s="89"/>
      <c r="Y866" s="92">
        <f t="shared" si="78"/>
        <v>278931096.72000003</v>
      </c>
      <c r="Z866" s="92">
        <f t="shared" si="79"/>
        <v>309050808.59999996</v>
      </c>
      <c r="AA866" s="92">
        <f t="shared" si="80"/>
        <v>0</v>
      </c>
      <c r="AB866" s="92">
        <f t="shared" si="81"/>
        <v>0</v>
      </c>
      <c r="AC866" s="92"/>
      <c r="AD866" s="92">
        <v>30000000</v>
      </c>
      <c r="AE866" s="92">
        <f t="shared" si="82"/>
        <v>617981905.31999993</v>
      </c>
      <c r="AF866" s="93">
        <v>0</v>
      </c>
      <c r="AG866" s="89"/>
      <c r="AH866" s="94"/>
      <c r="AI866" s="95" t="s">
        <v>4346</v>
      </c>
      <c r="AJ866" s="96" t="s">
        <v>4347</v>
      </c>
      <c r="AK866" s="97"/>
      <c r="AL866" s="89"/>
      <c r="AM866" s="100" t="s">
        <v>1144</v>
      </c>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114">
        <v>3639</v>
      </c>
      <c r="CQ866" s="115">
        <f>3639*36980.8</f>
        <v>134573131.20000002</v>
      </c>
      <c r="CR866" s="114">
        <v>3639</v>
      </c>
      <c r="CS866" s="115">
        <f>3639*39669.68</f>
        <v>144357965.52000001</v>
      </c>
      <c r="CT866" s="114"/>
      <c r="CU866" s="115"/>
      <c r="CV866" s="99">
        <f t="shared" si="83"/>
        <v>278931096.72000003</v>
      </c>
      <c r="CW866" s="114"/>
      <c r="CX866" s="115"/>
      <c r="CY866" s="114">
        <v>3639</v>
      </c>
      <c r="CZ866" s="115">
        <f>3639*84927.4</f>
        <v>309050808.59999996</v>
      </c>
      <c r="DA866" s="115"/>
      <c r="DB866" s="115"/>
      <c r="DC866" s="114"/>
      <c r="DD866" s="115"/>
      <c r="DE866" s="97"/>
      <c r="DF866" s="46"/>
    </row>
    <row r="867" spans="1:110" s="42" customFormat="1" ht="24" x14ac:dyDescent="0.2">
      <c r="A867" s="89">
        <v>40660</v>
      </c>
      <c r="B867" s="90" t="s">
        <v>4350</v>
      </c>
      <c r="C867" s="90" t="s">
        <v>4351</v>
      </c>
      <c r="D867" s="90" t="s">
        <v>4264</v>
      </c>
      <c r="E867" s="90" t="str">
        <f>VLOOKUP(B867&amp;C867,Divipola!$C$2:$F$1138,4,FALSE)</f>
        <v>63001</v>
      </c>
      <c r="F867" s="90"/>
      <c r="G867" s="101"/>
      <c r="H867" s="101"/>
      <c r="I867" s="101"/>
      <c r="J867" s="101">
        <v>2</v>
      </c>
      <c r="K867" s="101">
        <v>1</v>
      </c>
      <c r="L867" s="101"/>
      <c r="M867" s="101">
        <v>1</v>
      </c>
      <c r="N867" s="101"/>
      <c r="O867" s="101"/>
      <c r="P867" s="101"/>
      <c r="Q867" s="101"/>
      <c r="R867" s="101"/>
      <c r="S867" s="101"/>
      <c r="T867" s="101"/>
      <c r="U867" s="101"/>
      <c r="V867" s="101"/>
      <c r="W867" s="91"/>
      <c r="X867" s="89"/>
      <c r="Y867" s="92">
        <f t="shared" si="78"/>
        <v>0</v>
      </c>
      <c r="Z867" s="92">
        <f t="shared" si="79"/>
        <v>0</v>
      </c>
      <c r="AA867" s="92">
        <f t="shared" si="80"/>
        <v>0</v>
      </c>
      <c r="AB867" s="92">
        <f t="shared" si="81"/>
        <v>0</v>
      </c>
      <c r="AC867" s="92"/>
      <c r="AD867" s="92">
        <v>0</v>
      </c>
      <c r="AE867" s="92">
        <f t="shared" si="82"/>
        <v>0</v>
      </c>
      <c r="AF867" s="93">
        <v>0</v>
      </c>
      <c r="AG867" s="89"/>
      <c r="AH867" s="94"/>
      <c r="AI867" s="95" t="s">
        <v>4336</v>
      </c>
      <c r="AJ867" s="96" t="s">
        <v>4337</v>
      </c>
      <c r="AK867" s="97"/>
      <c r="AL867" s="89"/>
      <c r="AM867" s="100" t="s">
        <v>4133</v>
      </c>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114"/>
      <c r="CQ867" s="115"/>
      <c r="CR867" s="114"/>
      <c r="CS867" s="115"/>
      <c r="CT867" s="114"/>
      <c r="CU867" s="115"/>
      <c r="CV867" s="99">
        <f t="shared" si="83"/>
        <v>0</v>
      </c>
      <c r="CW867" s="114"/>
      <c r="CX867" s="115"/>
      <c r="CY867" s="114"/>
      <c r="CZ867" s="115"/>
      <c r="DA867" s="115"/>
      <c r="DB867" s="115"/>
      <c r="DC867" s="114"/>
      <c r="DD867" s="115"/>
      <c r="DE867" s="97"/>
      <c r="DF867" s="46"/>
    </row>
    <row r="868" spans="1:110" s="42" customFormat="1" ht="36" x14ac:dyDescent="0.2">
      <c r="A868" s="89">
        <v>40660</v>
      </c>
      <c r="B868" s="90" t="s">
        <v>4350</v>
      </c>
      <c r="C868" s="90" t="s">
        <v>3535</v>
      </c>
      <c r="D868" s="90" t="s">
        <v>4264</v>
      </c>
      <c r="E868" s="90" t="str">
        <f>VLOOKUP(B868&amp;C868,Divipola!$C$2:$F$1138,4,FALSE)</f>
        <v>63130</v>
      </c>
      <c r="F868" s="90"/>
      <c r="G868" s="101"/>
      <c r="H868" s="101"/>
      <c r="I868" s="101"/>
      <c r="J868" s="101"/>
      <c r="K868" s="101"/>
      <c r="L868" s="101"/>
      <c r="M868" s="101"/>
      <c r="N868" s="101"/>
      <c r="O868" s="101"/>
      <c r="P868" s="101">
        <v>1</v>
      </c>
      <c r="Q868" s="101"/>
      <c r="R868" s="101"/>
      <c r="S868" s="101"/>
      <c r="T868" s="101"/>
      <c r="U868" s="101"/>
      <c r="V868" s="101"/>
      <c r="W868" s="91"/>
      <c r="X868" s="89"/>
      <c r="Y868" s="92">
        <f t="shared" si="78"/>
        <v>0</v>
      </c>
      <c r="Z868" s="92">
        <f t="shared" si="79"/>
        <v>0</v>
      </c>
      <c r="AA868" s="92">
        <f t="shared" si="80"/>
        <v>0</v>
      </c>
      <c r="AB868" s="92">
        <f t="shared" si="81"/>
        <v>0</v>
      </c>
      <c r="AC868" s="92"/>
      <c r="AD868" s="92">
        <v>0</v>
      </c>
      <c r="AE868" s="92">
        <f t="shared" si="82"/>
        <v>0</v>
      </c>
      <c r="AF868" s="93">
        <v>0</v>
      </c>
      <c r="AG868" s="89"/>
      <c r="AH868" s="94"/>
      <c r="AI868" s="95" t="s">
        <v>4336</v>
      </c>
      <c r="AJ868" s="96" t="s">
        <v>4337</v>
      </c>
      <c r="AK868" s="97"/>
      <c r="AL868" s="89"/>
      <c r="AM868" s="100" t="s">
        <v>4139</v>
      </c>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114"/>
      <c r="CQ868" s="115"/>
      <c r="CR868" s="114"/>
      <c r="CS868" s="115"/>
      <c r="CT868" s="114"/>
      <c r="CU868" s="115"/>
      <c r="CV868" s="99">
        <f t="shared" si="83"/>
        <v>0</v>
      </c>
      <c r="CW868" s="114"/>
      <c r="CX868" s="115"/>
      <c r="CY868" s="114"/>
      <c r="CZ868" s="115"/>
      <c r="DA868" s="115"/>
      <c r="DB868" s="115"/>
      <c r="DC868" s="114"/>
      <c r="DD868" s="115"/>
      <c r="DE868" s="97"/>
      <c r="DF868" s="46"/>
    </row>
    <row r="869" spans="1:110" s="42" customFormat="1" ht="36" x14ac:dyDescent="0.2">
      <c r="A869" s="89">
        <v>40660</v>
      </c>
      <c r="B869" s="90" t="s">
        <v>4350</v>
      </c>
      <c r="C869" s="90" t="s">
        <v>3535</v>
      </c>
      <c r="D869" s="90" t="s">
        <v>4264</v>
      </c>
      <c r="E869" s="90" t="str">
        <f>VLOOKUP(B869&amp;C869,Divipola!$C$2:$F$1138,4,FALSE)</f>
        <v>63130</v>
      </c>
      <c r="F869" s="90"/>
      <c r="G869" s="101"/>
      <c r="H869" s="101"/>
      <c r="I869" s="101"/>
      <c r="J869" s="101">
        <v>8</v>
      </c>
      <c r="K869" s="101">
        <v>2</v>
      </c>
      <c r="L869" s="101"/>
      <c r="M869" s="101">
        <v>2</v>
      </c>
      <c r="N869" s="101"/>
      <c r="O869" s="101"/>
      <c r="P869" s="101"/>
      <c r="Q869" s="101"/>
      <c r="R869" s="101"/>
      <c r="S869" s="101"/>
      <c r="T869" s="101"/>
      <c r="U869" s="101"/>
      <c r="V869" s="101"/>
      <c r="W869" s="91"/>
      <c r="X869" s="89"/>
      <c r="Y869" s="92">
        <f t="shared" si="78"/>
        <v>0</v>
      </c>
      <c r="Z869" s="92">
        <f t="shared" si="79"/>
        <v>0</v>
      </c>
      <c r="AA869" s="92">
        <f t="shared" si="80"/>
        <v>0</v>
      </c>
      <c r="AB869" s="92">
        <f t="shared" si="81"/>
        <v>0</v>
      </c>
      <c r="AC869" s="92"/>
      <c r="AD869" s="92">
        <v>0</v>
      </c>
      <c r="AE869" s="92">
        <f t="shared" si="82"/>
        <v>0</v>
      </c>
      <c r="AF869" s="93">
        <v>0</v>
      </c>
      <c r="AG869" s="89"/>
      <c r="AH869" s="94"/>
      <c r="AI869" s="95" t="s">
        <v>4336</v>
      </c>
      <c r="AJ869" s="96" t="s">
        <v>4337</v>
      </c>
      <c r="AK869" s="97"/>
      <c r="AL869" s="89"/>
      <c r="AM869" s="100" t="s">
        <v>4140</v>
      </c>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114"/>
      <c r="CQ869" s="115"/>
      <c r="CR869" s="114"/>
      <c r="CS869" s="115"/>
      <c r="CT869" s="114"/>
      <c r="CU869" s="115"/>
      <c r="CV869" s="99">
        <f t="shared" si="83"/>
        <v>0</v>
      </c>
      <c r="CW869" s="114"/>
      <c r="CX869" s="115"/>
      <c r="CY869" s="114"/>
      <c r="CZ869" s="115"/>
      <c r="DA869" s="115"/>
      <c r="DB869" s="115"/>
      <c r="DC869" s="114"/>
      <c r="DD869" s="115"/>
      <c r="DE869" s="97"/>
      <c r="DF869" s="46"/>
    </row>
    <row r="870" spans="1:110" s="42" customFormat="1" ht="36" x14ac:dyDescent="0.2">
      <c r="A870" s="89">
        <v>40660</v>
      </c>
      <c r="B870" s="90" t="s">
        <v>4350</v>
      </c>
      <c r="C870" s="90" t="s">
        <v>3535</v>
      </c>
      <c r="D870" s="90" t="s">
        <v>4264</v>
      </c>
      <c r="E870" s="90" t="str">
        <f>VLOOKUP(B870&amp;C870,Divipola!$C$2:$F$1138,4,FALSE)</f>
        <v>63130</v>
      </c>
      <c r="F870" s="90"/>
      <c r="G870" s="101"/>
      <c r="H870" s="101"/>
      <c r="I870" s="101"/>
      <c r="J870" s="101">
        <v>37</v>
      </c>
      <c r="K870" s="101">
        <v>8</v>
      </c>
      <c r="L870" s="101"/>
      <c r="M870" s="101">
        <v>8</v>
      </c>
      <c r="N870" s="101"/>
      <c r="O870" s="101"/>
      <c r="P870" s="101"/>
      <c r="Q870" s="101"/>
      <c r="R870" s="101"/>
      <c r="S870" s="101"/>
      <c r="T870" s="101"/>
      <c r="U870" s="101"/>
      <c r="V870" s="101"/>
      <c r="W870" s="91"/>
      <c r="X870" s="89"/>
      <c r="Y870" s="92">
        <f t="shared" si="78"/>
        <v>0</v>
      </c>
      <c r="Z870" s="92">
        <f t="shared" si="79"/>
        <v>0</v>
      </c>
      <c r="AA870" s="92">
        <f t="shared" si="80"/>
        <v>0</v>
      </c>
      <c r="AB870" s="92">
        <f t="shared" si="81"/>
        <v>0</v>
      </c>
      <c r="AC870" s="92"/>
      <c r="AD870" s="92">
        <v>0</v>
      </c>
      <c r="AE870" s="92">
        <f t="shared" si="82"/>
        <v>0</v>
      </c>
      <c r="AF870" s="93">
        <v>0</v>
      </c>
      <c r="AG870" s="89"/>
      <c r="AH870" s="94"/>
      <c r="AI870" s="95" t="s">
        <v>4336</v>
      </c>
      <c r="AJ870" s="96" t="s">
        <v>4337</v>
      </c>
      <c r="AK870" s="97"/>
      <c r="AL870" s="89"/>
      <c r="AM870" s="100" t="s">
        <v>4141</v>
      </c>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114"/>
      <c r="CQ870" s="115"/>
      <c r="CR870" s="114"/>
      <c r="CS870" s="115"/>
      <c r="CT870" s="114"/>
      <c r="CU870" s="115"/>
      <c r="CV870" s="99">
        <f t="shared" si="83"/>
        <v>0</v>
      </c>
      <c r="CW870" s="114"/>
      <c r="CX870" s="115"/>
      <c r="CY870" s="114"/>
      <c r="CZ870" s="115"/>
      <c r="DA870" s="115"/>
      <c r="DB870" s="115"/>
      <c r="DC870" s="114"/>
      <c r="DD870" s="115"/>
      <c r="DE870" s="97"/>
      <c r="DF870" s="46"/>
    </row>
    <row r="871" spans="1:110" s="42" customFormat="1" ht="36" x14ac:dyDescent="0.2">
      <c r="A871" s="89">
        <v>40660</v>
      </c>
      <c r="B871" s="90" t="s">
        <v>4348</v>
      </c>
      <c r="C871" s="90" t="s">
        <v>3342</v>
      </c>
      <c r="D871" s="90" t="s">
        <v>3346</v>
      </c>
      <c r="E871" s="90" t="str">
        <f>VLOOKUP(B871&amp;C871,Divipola!$C$2:$F$1138,4,FALSE)</f>
        <v>66383</v>
      </c>
      <c r="F871" s="90"/>
      <c r="G871" s="101"/>
      <c r="H871" s="101"/>
      <c r="I871" s="101"/>
      <c r="J871" s="101">
        <v>80</v>
      </c>
      <c r="K871" s="101">
        <v>16</v>
      </c>
      <c r="L871" s="101"/>
      <c r="M871" s="101">
        <v>16</v>
      </c>
      <c r="N871" s="101"/>
      <c r="O871" s="101"/>
      <c r="P871" s="101"/>
      <c r="Q871" s="101"/>
      <c r="R871" s="101"/>
      <c r="S871" s="101"/>
      <c r="T871" s="101"/>
      <c r="U871" s="101"/>
      <c r="V871" s="101"/>
      <c r="W871" s="91"/>
      <c r="X871" s="89"/>
      <c r="Y871" s="92">
        <f t="shared" si="78"/>
        <v>0</v>
      </c>
      <c r="Z871" s="92">
        <f t="shared" si="79"/>
        <v>0</v>
      </c>
      <c r="AA871" s="92">
        <f t="shared" si="80"/>
        <v>0</v>
      </c>
      <c r="AB871" s="92">
        <f t="shared" si="81"/>
        <v>0</v>
      </c>
      <c r="AC871" s="92"/>
      <c r="AD871" s="92">
        <v>0</v>
      </c>
      <c r="AE871" s="92">
        <f t="shared" si="82"/>
        <v>0</v>
      </c>
      <c r="AF871" s="93">
        <v>0</v>
      </c>
      <c r="AG871" s="89"/>
      <c r="AH871" s="94"/>
      <c r="AI871" s="102" t="s">
        <v>4336</v>
      </c>
      <c r="AJ871" s="96" t="s">
        <v>4337</v>
      </c>
      <c r="AK871" s="97"/>
      <c r="AL871" s="89"/>
      <c r="AM871" s="100" t="s">
        <v>1953</v>
      </c>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114"/>
      <c r="CQ871" s="115"/>
      <c r="CR871" s="114"/>
      <c r="CS871" s="115"/>
      <c r="CT871" s="114"/>
      <c r="CU871" s="115"/>
      <c r="CV871" s="99">
        <f t="shared" si="83"/>
        <v>0</v>
      </c>
      <c r="CW871" s="114"/>
      <c r="CX871" s="115"/>
      <c r="CY871" s="114"/>
      <c r="CZ871" s="115"/>
      <c r="DA871" s="115"/>
      <c r="DB871" s="115"/>
      <c r="DC871" s="114"/>
      <c r="DD871" s="115"/>
      <c r="DE871" s="97"/>
      <c r="DF871" s="46"/>
    </row>
    <row r="872" spans="1:110" s="42" customFormat="1" ht="22.5" x14ac:dyDescent="0.2">
      <c r="A872" s="89">
        <v>40660</v>
      </c>
      <c r="B872" s="90" t="s">
        <v>4348</v>
      </c>
      <c r="C872" s="90" t="s">
        <v>4365</v>
      </c>
      <c r="D872" s="90" t="s">
        <v>3346</v>
      </c>
      <c r="E872" s="90" t="str">
        <f>VLOOKUP(B872&amp;C872,Divipola!$C$2:$F$1138,4,FALSE)</f>
        <v>66682</v>
      </c>
      <c r="F872" s="101"/>
      <c r="G872" s="101"/>
      <c r="H872" s="101"/>
      <c r="I872" s="101"/>
      <c r="J872" s="101">
        <v>50</v>
      </c>
      <c r="K872" s="101">
        <v>10</v>
      </c>
      <c r="L872" s="101"/>
      <c r="M872" s="101">
        <v>10</v>
      </c>
      <c r="N872" s="101"/>
      <c r="O872" s="101"/>
      <c r="P872" s="101"/>
      <c r="Q872" s="101"/>
      <c r="R872" s="101"/>
      <c r="S872" s="101"/>
      <c r="T872" s="101"/>
      <c r="U872" s="91"/>
      <c r="V872" s="89"/>
      <c r="W872" s="92"/>
      <c r="X872" s="92"/>
      <c r="Y872" s="92">
        <f t="shared" si="78"/>
        <v>0</v>
      </c>
      <c r="Z872" s="92">
        <f t="shared" si="79"/>
        <v>0</v>
      </c>
      <c r="AA872" s="92">
        <f t="shared" si="80"/>
        <v>0</v>
      </c>
      <c r="AB872" s="92">
        <f t="shared" si="81"/>
        <v>0</v>
      </c>
      <c r="AC872" s="92"/>
      <c r="AD872" s="92">
        <v>0</v>
      </c>
      <c r="AE872" s="92">
        <f t="shared" si="82"/>
        <v>0</v>
      </c>
      <c r="AF872" s="93">
        <v>0</v>
      </c>
      <c r="AG872" s="89"/>
      <c r="AH872" s="96"/>
      <c r="AI872" s="102" t="s">
        <v>4336</v>
      </c>
      <c r="AJ872" s="96" t="s">
        <v>4337</v>
      </c>
      <c r="AK872" s="100"/>
      <c r="AL872" s="89"/>
      <c r="AM872" s="90" t="s">
        <v>317</v>
      </c>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114"/>
      <c r="CQ872" s="115"/>
      <c r="CR872" s="114"/>
      <c r="CS872" s="115"/>
      <c r="CT872" s="114"/>
      <c r="CU872" s="115"/>
      <c r="CV872" s="99">
        <f t="shared" si="83"/>
        <v>0</v>
      </c>
      <c r="CW872" s="114"/>
      <c r="CX872" s="115"/>
      <c r="CY872" s="114"/>
      <c r="CZ872" s="115"/>
      <c r="DA872" s="115"/>
      <c r="DB872" s="115"/>
      <c r="DC872" s="114"/>
      <c r="DD872" s="115"/>
      <c r="DE872" s="97"/>
      <c r="DF872" s="46"/>
    </row>
    <row r="873" spans="1:110" s="42" customFormat="1" ht="24" x14ac:dyDescent="0.2">
      <c r="A873" s="89">
        <v>40660</v>
      </c>
      <c r="B873" s="106" t="s">
        <v>2226</v>
      </c>
      <c r="C873" s="106" t="s">
        <v>4345</v>
      </c>
      <c r="D873" s="90" t="s">
        <v>4264</v>
      </c>
      <c r="E873" s="90">
        <f>VLOOKUP(B873&amp;C873,Divipola!$C$2:$F$1138,4,FALSE)</f>
        <v>68</v>
      </c>
      <c r="F873" s="90"/>
      <c r="G873" s="129"/>
      <c r="H873" s="129"/>
      <c r="I873" s="129"/>
      <c r="J873" s="129"/>
      <c r="K873" s="129"/>
      <c r="L873" s="129"/>
      <c r="M873" s="129"/>
      <c r="N873" s="129"/>
      <c r="O873" s="129"/>
      <c r="P873" s="129"/>
      <c r="Q873" s="129"/>
      <c r="R873" s="129"/>
      <c r="S873" s="129"/>
      <c r="T873" s="129"/>
      <c r="U873" s="129"/>
      <c r="V873" s="129"/>
      <c r="W873" s="107"/>
      <c r="X873" s="105"/>
      <c r="Y873" s="117">
        <f t="shared" si="78"/>
        <v>180000000</v>
      </c>
      <c r="Z873" s="117">
        <f t="shared" si="79"/>
        <v>34000000</v>
      </c>
      <c r="AA873" s="117">
        <f t="shared" si="80"/>
        <v>0</v>
      </c>
      <c r="AB873" s="117">
        <f t="shared" si="81"/>
        <v>0</v>
      </c>
      <c r="AC873" s="117"/>
      <c r="AD873" s="117">
        <v>0</v>
      </c>
      <c r="AE873" s="92">
        <f t="shared" si="82"/>
        <v>214000000</v>
      </c>
      <c r="AF873" s="93">
        <v>0</v>
      </c>
      <c r="AG873" s="105"/>
      <c r="AH873" s="108"/>
      <c r="AI873" s="109" t="s">
        <v>4346</v>
      </c>
      <c r="AJ873" s="110" t="s">
        <v>4347</v>
      </c>
      <c r="AK873" s="111"/>
      <c r="AL873" s="105"/>
      <c r="AM873" s="126" t="s">
        <v>2200</v>
      </c>
      <c r="AN873" s="107"/>
      <c r="AO873" s="107"/>
      <c r="AP873" s="107"/>
      <c r="AQ873" s="107"/>
      <c r="AR873" s="107"/>
      <c r="AS873" s="107"/>
      <c r="AT873" s="107"/>
      <c r="AU873" s="107"/>
      <c r="AV873" s="91"/>
      <c r="AW873" s="91"/>
      <c r="AX873" s="107">
        <v>400</v>
      </c>
      <c r="AY873" s="107">
        <f>400*450000</f>
        <v>180000000</v>
      </c>
      <c r="AZ873" s="107"/>
      <c r="BA873" s="107"/>
      <c r="BB873" s="107"/>
      <c r="BC873" s="107"/>
      <c r="BD873" s="107"/>
      <c r="BE873" s="107"/>
      <c r="BF873" s="107"/>
      <c r="BG873" s="107"/>
      <c r="BH873" s="107"/>
      <c r="BI873" s="107"/>
      <c r="BJ873" s="107"/>
      <c r="BK873" s="107"/>
      <c r="BL873" s="107"/>
      <c r="BM873" s="107"/>
      <c r="BN873" s="107"/>
      <c r="BO873" s="107"/>
      <c r="BP873" s="107"/>
      <c r="BQ873" s="107"/>
      <c r="BR873" s="107"/>
      <c r="BS873" s="107"/>
      <c r="BT873" s="107"/>
      <c r="BU873" s="107"/>
      <c r="BV873" s="107"/>
      <c r="BW873" s="107"/>
      <c r="BX873" s="107"/>
      <c r="BY873" s="107"/>
      <c r="BZ873" s="107"/>
      <c r="CA873" s="107"/>
      <c r="CB873" s="107"/>
      <c r="CC873" s="107"/>
      <c r="CD873" s="107"/>
      <c r="CE873" s="107"/>
      <c r="CF873" s="107"/>
      <c r="CG873" s="107"/>
      <c r="CH873" s="107"/>
      <c r="CI873" s="107"/>
      <c r="CJ873" s="107"/>
      <c r="CK873" s="107"/>
      <c r="CL873" s="107"/>
      <c r="CM873" s="107"/>
      <c r="CN873" s="107"/>
      <c r="CO873" s="107"/>
      <c r="CP873" s="118"/>
      <c r="CQ873" s="119"/>
      <c r="CR873" s="118"/>
      <c r="CS873" s="119"/>
      <c r="CT873" s="118"/>
      <c r="CU873" s="119"/>
      <c r="CV873" s="99">
        <f t="shared" si="83"/>
        <v>180000000</v>
      </c>
      <c r="CW873" s="118"/>
      <c r="CX873" s="119"/>
      <c r="CY873" s="118">
        <v>400</v>
      </c>
      <c r="CZ873" s="119">
        <f>400*85000</f>
        <v>34000000</v>
      </c>
      <c r="DA873" s="119"/>
      <c r="DB873" s="119"/>
      <c r="DC873" s="118"/>
      <c r="DD873" s="119"/>
      <c r="DE873" s="111"/>
      <c r="DF873" s="46"/>
    </row>
    <row r="874" spans="1:110" s="42" customFormat="1" ht="24" x14ac:dyDescent="0.2">
      <c r="A874" s="89">
        <v>40660</v>
      </c>
      <c r="B874" s="90" t="s">
        <v>3316</v>
      </c>
      <c r="C874" s="90" t="s">
        <v>4323</v>
      </c>
      <c r="D874" s="90" t="s">
        <v>2362</v>
      </c>
      <c r="E874" s="90" t="str">
        <f>VLOOKUP(B874&amp;C874,Divipola!$C$2:$F$1138,4,FALSE)</f>
        <v>73001</v>
      </c>
      <c r="F874" s="90"/>
      <c r="G874" s="101"/>
      <c r="H874" s="101"/>
      <c r="I874" s="101"/>
      <c r="J874" s="101">
        <v>25</v>
      </c>
      <c r="K874" s="101">
        <v>5</v>
      </c>
      <c r="L874" s="101"/>
      <c r="M874" s="101">
        <v>5</v>
      </c>
      <c r="N874" s="101"/>
      <c r="O874" s="101"/>
      <c r="P874" s="101"/>
      <c r="Q874" s="101"/>
      <c r="R874" s="101"/>
      <c r="S874" s="101"/>
      <c r="T874" s="101"/>
      <c r="U874" s="101"/>
      <c r="V874" s="101"/>
      <c r="W874" s="91"/>
      <c r="X874" s="89"/>
      <c r="Y874" s="92">
        <f t="shared" si="78"/>
        <v>0</v>
      </c>
      <c r="Z874" s="92">
        <f t="shared" si="79"/>
        <v>0</v>
      </c>
      <c r="AA874" s="92">
        <f t="shared" si="80"/>
        <v>0</v>
      </c>
      <c r="AB874" s="92">
        <f t="shared" si="81"/>
        <v>0</v>
      </c>
      <c r="AC874" s="92"/>
      <c r="AD874" s="92">
        <v>0</v>
      </c>
      <c r="AE874" s="92">
        <f t="shared" si="82"/>
        <v>0</v>
      </c>
      <c r="AF874" s="93">
        <v>0</v>
      </c>
      <c r="AG874" s="89"/>
      <c r="AH874" s="94"/>
      <c r="AI874" s="95" t="s">
        <v>4346</v>
      </c>
      <c r="AJ874" s="96" t="s">
        <v>4347</v>
      </c>
      <c r="AK874" s="97"/>
      <c r="AL874" s="89" t="s">
        <v>2798</v>
      </c>
      <c r="AM874" s="100" t="s">
        <v>2930</v>
      </c>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114"/>
      <c r="CQ874" s="115"/>
      <c r="CR874" s="114"/>
      <c r="CS874" s="115"/>
      <c r="CT874" s="114"/>
      <c r="CU874" s="115"/>
      <c r="CV874" s="99">
        <f t="shared" si="83"/>
        <v>0</v>
      </c>
      <c r="CW874" s="114"/>
      <c r="CX874" s="115"/>
      <c r="CY874" s="114"/>
      <c r="CZ874" s="115"/>
      <c r="DA874" s="115"/>
      <c r="DB874" s="115"/>
      <c r="DC874" s="114"/>
      <c r="DD874" s="115"/>
      <c r="DE874" s="97"/>
      <c r="DF874" s="46"/>
    </row>
    <row r="875" spans="1:110" s="42" customFormat="1" ht="24" x14ac:dyDescent="0.2">
      <c r="A875" s="89">
        <v>40660</v>
      </c>
      <c r="B875" s="90" t="s">
        <v>4244</v>
      </c>
      <c r="C875" s="90" t="s">
        <v>4268</v>
      </c>
      <c r="D875" s="90" t="s">
        <v>3346</v>
      </c>
      <c r="E875" s="90" t="str">
        <f>VLOOKUP(B875&amp;C875,Divipola!$C$2:$F$1138,4,FALSE)</f>
        <v>76243</v>
      </c>
      <c r="F875" s="90"/>
      <c r="G875" s="101"/>
      <c r="H875" s="101"/>
      <c r="I875" s="101"/>
      <c r="J875" s="101"/>
      <c r="K875" s="101"/>
      <c r="L875" s="101"/>
      <c r="M875" s="101"/>
      <c r="N875" s="101"/>
      <c r="O875" s="101"/>
      <c r="P875" s="101"/>
      <c r="Q875" s="101"/>
      <c r="R875" s="101"/>
      <c r="S875" s="101"/>
      <c r="T875" s="101">
        <v>1</v>
      </c>
      <c r="U875" s="101"/>
      <c r="V875" s="101"/>
      <c r="W875" s="91"/>
      <c r="X875" s="89"/>
      <c r="Y875" s="92">
        <f t="shared" si="78"/>
        <v>0</v>
      </c>
      <c r="Z875" s="92">
        <f t="shared" si="79"/>
        <v>0</v>
      </c>
      <c r="AA875" s="92">
        <f t="shared" si="80"/>
        <v>0</v>
      </c>
      <c r="AB875" s="92">
        <f t="shared" si="81"/>
        <v>0</v>
      </c>
      <c r="AC875" s="92"/>
      <c r="AD875" s="92">
        <v>0</v>
      </c>
      <c r="AE875" s="92">
        <f t="shared" si="82"/>
        <v>0</v>
      </c>
      <c r="AF875" s="93">
        <v>0</v>
      </c>
      <c r="AG875" s="89"/>
      <c r="AH875" s="94"/>
      <c r="AI875" s="102" t="s">
        <v>4336</v>
      </c>
      <c r="AJ875" s="96" t="s">
        <v>4337</v>
      </c>
      <c r="AK875" s="97"/>
      <c r="AL875" s="89"/>
      <c r="AM875" s="100" t="s">
        <v>3560</v>
      </c>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114"/>
      <c r="CQ875" s="115"/>
      <c r="CR875" s="114"/>
      <c r="CS875" s="115"/>
      <c r="CT875" s="114"/>
      <c r="CU875" s="115"/>
      <c r="CV875" s="99">
        <f t="shared" si="83"/>
        <v>0</v>
      </c>
      <c r="CW875" s="114"/>
      <c r="CX875" s="115"/>
      <c r="CY875" s="114"/>
      <c r="CZ875" s="115"/>
      <c r="DA875" s="115"/>
      <c r="DB875" s="115"/>
      <c r="DC875" s="114"/>
      <c r="DD875" s="115"/>
      <c r="DE875" s="97"/>
      <c r="DF875" s="46"/>
    </row>
    <row r="876" spans="1:110" s="42" customFormat="1" ht="24" x14ac:dyDescent="0.2">
      <c r="A876" s="89">
        <v>40661</v>
      </c>
      <c r="B876" s="106" t="s">
        <v>2218</v>
      </c>
      <c r="C876" s="106" t="s">
        <v>3983</v>
      </c>
      <c r="D876" s="90" t="s">
        <v>4264</v>
      </c>
      <c r="E876" s="90" t="str">
        <f>VLOOKUP(B876&amp;C876,Divipola!$C$2:$F$1138,4,FALSE)</f>
        <v>05495</v>
      </c>
      <c r="F876" s="90"/>
      <c r="G876" s="129"/>
      <c r="H876" s="129"/>
      <c r="I876" s="129"/>
      <c r="J876" s="129">
        <f>600*4</f>
        <v>2400</v>
      </c>
      <c r="K876" s="129">
        <v>600</v>
      </c>
      <c r="L876" s="129"/>
      <c r="M876" s="129">
        <v>600</v>
      </c>
      <c r="N876" s="129"/>
      <c r="O876" s="129"/>
      <c r="P876" s="129"/>
      <c r="Q876" s="129"/>
      <c r="R876" s="129"/>
      <c r="S876" s="129"/>
      <c r="T876" s="129"/>
      <c r="U876" s="129"/>
      <c r="V876" s="129"/>
      <c r="W876" s="107"/>
      <c r="X876" s="105"/>
      <c r="Y876" s="92">
        <f t="shared" si="78"/>
        <v>0</v>
      </c>
      <c r="Z876" s="92">
        <f t="shared" si="79"/>
        <v>0</v>
      </c>
      <c r="AA876" s="92">
        <f t="shared" si="80"/>
        <v>0</v>
      </c>
      <c r="AB876" s="92">
        <f t="shared" si="81"/>
        <v>0</v>
      </c>
      <c r="AC876" s="92"/>
      <c r="AD876" s="92">
        <v>0</v>
      </c>
      <c r="AE876" s="92">
        <f t="shared" si="82"/>
        <v>0</v>
      </c>
      <c r="AF876" s="93">
        <v>0</v>
      </c>
      <c r="AG876" s="105"/>
      <c r="AH876" s="108"/>
      <c r="AI876" s="109" t="s">
        <v>4336</v>
      </c>
      <c r="AJ876" s="110" t="s">
        <v>4337</v>
      </c>
      <c r="AK876" s="111"/>
      <c r="AL876" s="105"/>
      <c r="AM876" s="112" t="s">
        <v>929</v>
      </c>
      <c r="AN876" s="107"/>
      <c r="AO876" s="107"/>
      <c r="AP876" s="107"/>
      <c r="AQ876" s="107"/>
      <c r="AR876" s="107"/>
      <c r="AS876" s="107"/>
      <c r="AT876" s="107"/>
      <c r="AU876" s="107"/>
      <c r="AV876" s="107"/>
      <c r="AW876" s="107"/>
      <c r="AX876" s="107"/>
      <c r="AY876" s="107"/>
      <c r="AZ876" s="107"/>
      <c r="BA876" s="107"/>
      <c r="BB876" s="107"/>
      <c r="BC876" s="107"/>
      <c r="BD876" s="107"/>
      <c r="BE876" s="107"/>
      <c r="BF876" s="107"/>
      <c r="BG876" s="107"/>
      <c r="BH876" s="107"/>
      <c r="BI876" s="107"/>
      <c r="BJ876" s="107"/>
      <c r="BK876" s="107"/>
      <c r="BL876" s="107"/>
      <c r="BM876" s="107"/>
      <c r="BN876" s="107"/>
      <c r="BO876" s="107"/>
      <c r="BP876" s="107"/>
      <c r="BQ876" s="107"/>
      <c r="BR876" s="107"/>
      <c r="BS876" s="107"/>
      <c r="BT876" s="107"/>
      <c r="BU876" s="107"/>
      <c r="BV876" s="107"/>
      <c r="BW876" s="107"/>
      <c r="BX876" s="107"/>
      <c r="BY876" s="107"/>
      <c r="BZ876" s="107"/>
      <c r="CA876" s="107"/>
      <c r="CB876" s="107"/>
      <c r="CC876" s="107"/>
      <c r="CD876" s="107"/>
      <c r="CE876" s="107"/>
      <c r="CF876" s="107"/>
      <c r="CG876" s="107"/>
      <c r="CH876" s="107"/>
      <c r="CI876" s="107"/>
      <c r="CJ876" s="107"/>
      <c r="CK876" s="107"/>
      <c r="CL876" s="118"/>
      <c r="CM876" s="119"/>
      <c r="CN876" s="118"/>
      <c r="CO876" s="119"/>
      <c r="CP876" s="118"/>
      <c r="CQ876" s="119"/>
      <c r="CR876" s="113"/>
      <c r="CS876" s="118"/>
      <c r="CT876" s="113"/>
      <c r="CU876" s="118"/>
      <c r="CV876" s="99">
        <f t="shared" si="83"/>
        <v>0</v>
      </c>
      <c r="CW876" s="119"/>
      <c r="CX876" s="119"/>
      <c r="CY876" s="118"/>
      <c r="CZ876" s="119"/>
      <c r="DA876" s="111"/>
      <c r="DB876" s="119"/>
      <c r="DC876" s="111"/>
      <c r="DD876" s="119"/>
      <c r="DE876" s="111"/>
      <c r="DF876" s="46"/>
    </row>
    <row r="877" spans="1:110" s="42" customFormat="1" ht="48" x14ac:dyDescent="0.2">
      <c r="A877" s="89">
        <v>40661</v>
      </c>
      <c r="B877" s="90" t="s">
        <v>2218</v>
      </c>
      <c r="C877" s="90" t="s">
        <v>4278</v>
      </c>
      <c r="D877" s="90" t="s">
        <v>4264</v>
      </c>
      <c r="E877" s="90" t="str">
        <f>VLOOKUP(B877&amp;C877,Divipola!$C$2:$F$1138,4,FALSE)</f>
        <v>05585</v>
      </c>
      <c r="F877" s="90"/>
      <c r="G877" s="101">
        <v>2</v>
      </c>
      <c r="H877" s="101"/>
      <c r="I877" s="101"/>
      <c r="J877" s="101"/>
      <c r="K877" s="101"/>
      <c r="L877" s="101"/>
      <c r="M877" s="101"/>
      <c r="N877" s="101"/>
      <c r="O877" s="101"/>
      <c r="P877" s="101"/>
      <c r="Q877" s="101"/>
      <c r="R877" s="101"/>
      <c r="S877" s="101"/>
      <c r="T877" s="101"/>
      <c r="U877" s="101"/>
      <c r="V877" s="101"/>
      <c r="W877" s="91"/>
      <c r="X877" s="89"/>
      <c r="Y877" s="92">
        <f t="shared" si="78"/>
        <v>0</v>
      </c>
      <c r="Z877" s="92">
        <f t="shared" si="79"/>
        <v>0</v>
      </c>
      <c r="AA877" s="92">
        <f t="shared" si="80"/>
        <v>0</v>
      </c>
      <c r="AB877" s="92">
        <f t="shared" si="81"/>
        <v>0</v>
      </c>
      <c r="AC877" s="92"/>
      <c r="AD877" s="92">
        <v>0</v>
      </c>
      <c r="AE877" s="92">
        <f t="shared" si="82"/>
        <v>0</v>
      </c>
      <c r="AF877" s="93">
        <v>0</v>
      </c>
      <c r="AG877" s="89"/>
      <c r="AH877" s="94"/>
      <c r="AI877" s="95" t="s">
        <v>4346</v>
      </c>
      <c r="AJ877" s="96" t="s">
        <v>4347</v>
      </c>
      <c r="AK877" s="97"/>
      <c r="AL877" s="89" t="s">
        <v>1049</v>
      </c>
      <c r="AM877" s="100" t="s">
        <v>4136</v>
      </c>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114"/>
      <c r="CQ877" s="115"/>
      <c r="CR877" s="114"/>
      <c r="CS877" s="115"/>
      <c r="CT877" s="114"/>
      <c r="CU877" s="115"/>
      <c r="CV877" s="99">
        <f t="shared" si="83"/>
        <v>0</v>
      </c>
      <c r="CW877" s="114"/>
      <c r="CX877" s="115"/>
      <c r="CY877" s="114"/>
      <c r="CZ877" s="115"/>
      <c r="DA877" s="115"/>
      <c r="DB877" s="115"/>
      <c r="DC877" s="114"/>
      <c r="DD877" s="115"/>
      <c r="DE877" s="97"/>
      <c r="DF877" s="46"/>
    </row>
    <row r="878" spans="1:110" s="42" customFormat="1" x14ac:dyDescent="0.2">
      <c r="A878" s="89">
        <v>40661</v>
      </c>
      <c r="B878" s="106" t="s">
        <v>4261</v>
      </c>
      <c r="C878" s="106" t="s">
        <v>4389</v>
      </c>
      <c r="D878" s="90" t="s">
        <v>2362</v>
      </c>
      <c r="E878" s="90" t="str">
        <f>VLOOKUP(B878&amp;C878,Divipola!$C$2:$F$1138,4,FALSE)</f>
        <v>15600</v>
      </c>
      <c r="F878" s="4"/>
      <c r="G878" s="274"/>
      <c r="H878" s="274"/>
      <c r="I878" s="274"/>
      <c r="J878" s="129">
        <v>30</v>
      </c>
      <c r="K878" s="129">
        <v>6</v>
      </c>
      <c r="L878" s="129">
        <v>1</v>
      </c>
      <c r="M878" s="129">
        <v>6</v>
      </c>
      <c r="N878" s="208"/>
      <c r="O878" s="208"/>
      <c r="P878" s="208"/>
      <c r="Q878" s="208"/>
      <c r="R878" s="208"/>
      <c r="S878" s="208"/>
      <c r="T878" s="208"/>
      <c r="U878" s="208"/>
      <c r="V878" s="208"/>
      <c r="W878" s="19"/>
      <c r="X878" s="17"/>
      <c r="Y878" s="5">
        <f t="shared" si="78"/>
        <v>0</v>
      </c>
      <c r="Z878" s="5">
        <f t="shared" si="79"/>
        <v>0</v>
      </c>
      <c r="AA878" s="5">
        <f t="shared" si="80"/>
        <v>0</v>
      </c>
      <c r="AB878" s="5">
        <f t="shared" si="81"/>
        <v>0</v>
      </c>
      <c r="AC878" s="5"/>
      <c r="AD878" s="5">
        <v>0</v>
      </c>
      <c r="AE878" s="5">
        <f t="shared" si="82"/>
        <v>0</v>
      </c>
      <c r="AF878" s="70">
        <v>0</v>
      </c>
      <c r="AG878" s="17"/>
      <c r="AH878" s="18"/>
      <c r="AI878" s="47" t="s">
        <v>4346</v>
      </c>
      <c r="AJ878" s="73" t="s">
        <v>4347</v>
      </c>
      <c r="AK878" s="275"/>
      <c r="AL878" s="89" t="s">
        <v>2798</v>
      </c>
      <c r="AM878" s="112" t="s">
        <v>1124</v>
      </c>
      <c r="AN878" s="19"/>
      <c r="AO878" s="19"/>
      <c r="AP878" s="19"/>
      <c r="AQ878" s="19"/>
      <c r="AR878" s="19"/>
      <c r="AS878" s="19"/>
      <c r="AT878" s="19"/>
      <c r="AU878" s="19"/>
      <c r="AV878" s="19"/>
      <c r="AW878" s="19"/>
      <c r="AX878" s="107"/>
      <c r="AY878" s="107"/>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39"/>
      <c r="CO878" s="138"/>
      <c r="CP878" s="139"/>
      <c r="CQ878" s="138"/>
      <c r="CR878" s="139"/>
      <c r="CS878" s="138"/>
      <c r="CT878" s="72"/>
      <c r="CU878" s="139"/>
      <c r="CV878" s="99">
        <f t="shared" si="83"/>
        <v>0</v>
      </c>
      <c r="CW878" s="139"/>
      <c r="CX878" s="138"/>
      <c r="CY878" s="138"/>
      <c r="CZ878" s="138"/>
      <c r="DA878" s="139"/>
      <c r="DB878" s="138"/>
      <c r="DC878" s="45"/>
      <c r="DD878" s="138"/>
      <c r="DE878" s="45"/>
      <c r="DF878" s="46"/>
    </row>
    <row r="879" spans="1:110" s="42" customFormat="1" ht="33.75" x14ac:dyDescent="0.2">
      <c r="A879" s="89">
        <v>40661</v>
      </c>
      <c r="B879" s="90" t="s">
        <v>4261</v>
      </c>
      <c r="C879" s="90" t="s">
        <v>1307</v>
      </c>
      <c r="D879" s="90" t="s">
        <v>2362</v>
      </c>
      <c r="E879" s="90" t="str">
        <f>VLOOKUP(B879&amp;C879,Divipola!$C$2:$F$1138,4,FALSE)</f>
        <v>15755</v>
      </c>
      <c r="F879" s="4"/>
      <c r="G879" s="274"/>
      <c r="H879" s="274"/>
      <c r="I879" s="274"/>
      <c r="J879" s="101">
        <v>243</v>
      </c>
      <c r="K879" s="101">
        <v>48</v>
      </c>
      <c r="L879" s="101"/>
      <c r="M879" s="101">
        <v>12</v>
      </c>
      <c r="N879" s="208"/>
      <c r="O879" s="208"/>
      <c r="P879" s="208"/>
      <c r="Q879" s="208"/>
      <c r="R879" s="208"/>
      <c r="S879" s="208"/>
      <c r="T879" s="208"/>
      <c r="U879" s="208"/>
      <c r="V879" s="208"/>
      <c r="W879" s="19"/>
      <c r="X879" s="17"/>
      <c r="Y879" s="5">
        <f t="shared" si="78"/>
        <v>0</v>
      </c>
      <c r="Z879" s="5">
        <f t="shared" si="79"/>
        <v>0</v>
      </c>
      <c r="AA879" s="5">
        <f t="shared" si="80"/>
        <v>0</v>
      </c>
      <c r="AB879" s="5">
        <f t="shared" si="81"/>
        <v>0</v>
      </c>
      <c r="AC879" s="5"/>
      <c r="AD879" s="5">
        <v>0</v>
      </c>
      <c r="AE879" s="5">
        <f t="shared" si="82"/>
        <v>0</v>
      </c>
      <c r="AF879" s="70">
        <v>0</v>
      </c>
      <c r="AG879" s="17"/>
      <c r="AH879" s="18"/>
      <c r="AI879" s="47" t="s">
        <v>4346</v>
      </c>
      <c r="AJ879" s="73" t="s">
        <v>4347</v>
      </c>
      <c r="AK879" s="275"/>
      <c r="AL879" s="89" t="s">
        <v>2798</v>
      </c>
      <c r="AM879" s="128" t="s">
        <v>2401</v>
      </c>
      <c r="AN879" s="19"/>
      <c r="AO879" s="19"/>
      <c r="AP879" s="19"/>
      <c r="AQ879" s="19"/>
      <c r="AR879" s="19"/>
      <c r="AS879" s="19"/>
      <c r="AT879" s="19"/>
      <c r="AU879" s="19"/>
      <c r="AV879" s="19"/>
      <c r="AW879" s="19"/>
      <c r="AX879" s="107"/>
      <c r="AY879" s="107"/>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39"/>
      <c r="CO879" s="138"/>
      <c r="CP879" s="139"/>
      <c r="CQ879" s="138"/>
      <c r="CR879" s="139"/>
      <c r="CS879" s="138"/>
      <c r="CT879" s="72"/>
      <c r="CU879" s="139"/>
      <c r="CV879" s="99">
        <f t="shared" si="83"/>
        <v>0</v>
      </c>
      <c r="CW879" s="139"/>
      <c r="CX879" s="138"/>
      <c r="CY879" s="138"/>
      <c r="CZ879" s="138"/>
      <c r="DA879" s="139"/>
      <c r="DB879" s="138"/>
      <c r="DC879" s="45"/>
      <c r="DD879" s="138"/>
      <c r="DE879" s="45"/>
      <c r="DF879" s="46"/>
    </row>
    <row r="880" spans="1:110" s="42" customFormat="1" ht="48" x14ac:dyDescent="0.2">
      <c r="A880" s="89">
        <v>40661</v>
      </c>
      <c r="B880" s="90" t="s">
        <v>2225</v>
      </c>
      <c r="C880" s="90" t="s">
        <v>3465</v>
      </c>
      <c r="D880" s="90" t="s">
        <v>2362</v>
      </c>
      <c r="E880" s="90" t="str">
        <f>VLOOKUP(B880&amp;C880,Divipola!$C$2:$F$1138,4,FALSE)</f>
        <v>27491</v>
      </c>
      <c r="F880" s="90"/>
      <c r="G880" s="101"/>
      <c r="H880" s="101"/>
      <c r="I880" s="101"/>
      <c r="J880" s="101">
        <f>935*5</f>
        <v>4675</v>
      </c>
      <c r="K880" s="101">
        <v>935</v>
      </c>
      <c r="L880" s="101"/>
      <c r="M880" s="101"/>
      <c r="N880" s="101">
        <v>1</v>
      </c>
      <c r="O880" s="101"/>
      <c r="P880" s="101"/>
      <c r="Q880" s="101"/>
      <c r="R880" s="101"/>
      <c r="S880" s="101"/>
      <c r="T880" s="101"/>
      <c r="U880" s="101"/>
      <c r="V880" s="101"/>
      <c r="W880" s="91"/>
      <c r="X880" s="89"/>
      <c r="Y880" s="92">
        <f t="shared" si="78"/>
        <v>0</v>
      </c>
      <c r="Z880" s="92">
        <f t="shared" si="79"/>
        <v>0</v>
      </c>
      <c r="AA880" s="92">
        <f t="shared" si="80"/>
        <v>0</v>
      </c>
      <c r="AB880" s="92">
        <f t="shared" si="81"/>
        <v>0</v>
      </c>
      <c r="AC880" s="92"/>
      <c r="AD880" s="92">
        <v>0</v>
      </c>
      <c r="AE880" s="92">
        <f t="shared" si="82"/>
        <v>0</v>
      </c>
      <c r="AF880" s="93">
        <v>0</v>
      </c>
      <c r="AG880" s="89"/>
      <c r="AH880" s="94"/>
      <c r="AI880" s="95" t="s">
        <v>4336</v>
      </c>
      <c r="AJ880" s="96" t="s">
        <v>4337</v>
      </c>
      <c r="AK880" s="97"/>
      <c r="AL880" s="89"/>
      <c r="AM880" s="100" t="s">
        <v>3567</v>
      </c>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114"/>
      <c r="CQ880" s="115"/>
      <c r="CR880" s="114"/>
      <c r="CS880" s="115"/>
      <c r="CT880" s="114"/>
      <c r="CU880" s="115"/>
      <c r="CV880" s="99">
        <f t="shared" si="83"/>
        <v>0</v>
      </c>
      <c r="CW880" s="114"/>
      <c r="CX880" s="115"/>
      <c r="CY880" s="114"/>
      <c r="CZ880" s="115"/>
      <c r="DA880" s="115"/>
      <c r="DB880" s="115"/>
      <c r="DC880" s="114"/>
      <c r="DD880" s="115"/>
      <c r="DE880" s="97"/>
      <c r="DF880" s="46"/>
    </row>
    <row r="881" spans="1:255" s="42" customFormat="1" ht="48" x14ac:dyDescent="0.2">
      <c r="A881" s="89">
        <v>40661</v>
      </c>
      <c r="B881" s="90" t="s">
        <v>4344</v>
      </c>
      <c r="C881" s="90" t="s">
        <v>4310</v>
      </c>
      <c r="D881" s="90" t="s">
        <v>4264</v>
      </c>
      <c r="E881" s="90" t="str">
        <f>VLOOKUP(B881&amp;C881,Divipola!$C$2:$F$1138,4,FALSE)</f>
        <v>25258</v>
      </c>
      <c r="F881" s="90"/>
      <c r="G881" s="101"/>
      <c r="H881" s="101"/>
      <c r="I881" s="101"/>
      <c r="J881" s="101">
        <v>150</v>
      </c>
      <c r="K881" s="101">
        <v>46</v>
      </c>
      <c r="L881" s="101">
        <v>2</v>
      </c>
      <c r="M881" s="101">
        <v>44</v>
      </c>
      <c r="N881" s="101"/>
      <c r="O881" s="101"/>
      <c r="P881" s="101"/>
      <c r="Q881" s="101"/>
      <c r="R881" s="101"/>
      <c r="S881" s="101"/>
      <c r="T881" s="101">
        <v>1</v>
      </c>
      <c r="U881" s="101"/>
      <c r="V881" s="101"/>
      <c r="W881" s="91"/>
      <c r="X881" s="89"/>
      <c r="Y881" s="92">
        <f t="shared" si="78"/>
        <v>0</v>
      </c>
      <c r="Z881" s="92">
        <f t="shared" si="79"/>
        <v>0</v>
      </c>
      <c r="AA881" s="92">
        <f t="shared" si="80"/>
        <v>0</v>
      </c>
      <c r="AB881" s="92">
        <f t="shared" si="81"/>
        <v>0</v>
      </c>
      <c r="AC881" s="92"/>
      <c r="AD881" s="92">
        <v>0</v>
      </c>
      <c r="AE881" s="92">
        <f t="shared" si="82"/>
        <v>0</v>
      </c>
      <c r="AF881" s="93">
        <v>0</v>
      </c>
      <c r="AG881" s="89"/>
      <c r="AH881" s="94"/>
      <c r="AI881" s="102" t="s">
        <v>4336</v>
      </c>
      <c r="AJ881" s="96" t="s">
        <v>4337</v>
      </c>
      <c r="AK881" s="97"/>
      <c r="AL881" s="89"/>
      <c r="AM881" s="100" t="s">
        <v>4137</v>
      </c>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114"/>
      <c r="CQ881" s="115"/>
      <c r="CR881" s="114"/>
      <c r="CS881" s="115"/>
      <c r="CT881" s="114"/>
      <c r="CU881" s="115"/>
      <c r="CV881" s="99">
        <f t="shared" si="83"/>
        <v>0</v>
      </c>
      <c r="CW881" s="114"/>
      <c r="CX881" s="115"/>
      <c r="CY881" s="114"/>
      <c r="CZ881" s="115"/>
      <c r="DA881" s="115"/>
      <c r="DB881" s="115"/>
      <c r="DC881" s="114"/>
      <c r="DD881" s="115"/>
      <c r="DE881" s="97"/>
      <c r="DF881" s="46"/>
    </row>
    <row r="882" spans="1:255" s="42" customFormat="1" ht="36" x14ac:dyDescent="0.2">
      <c r="A882" s="89">
        <v>40661</v>
      </c>
      <c r="B882" s="90" t="s">
        <v>4344</v>
      </c>
      <c r="C882" s="90" t="s">
        <v>3324</v>
      </c>
      <c r="D882" s="90" t="s">
        <v>4264</v>
      </c>
      <c r="E882" s="90" t="str">
        <f>VLOOKUP(B882&amp;C882,Divipola!$C$2:$F$1138,4,FALSE)</f>
        <v>25843</v>
      </c>
      <c r="F882" s="90"/>
      <c r="G882" s="101"/>
      <c r="H882" s="101"/>
      <c r="I882" s="101"/>
      <c r="J882" s="101">
        <v>264</v>
      </c>
      <c r="K882" s="101">
        <v>128</v>
      </c>
      <c r="L882" s="101"/>
      <c r="M882" s="101">
        <v>128</v>
      </c>
      <c r="N882" s="101"/>
      <c r="O882" s="101"/>
      <c r="P882" s="101"/>
      <c r="Q882" s="101"/>
      <c r="R882" s="101"/>
      <c r="S882" s="101"/>
      <c r="T882" s="101"/>
      <c r="U882" s="101"/>
      <c r="V882" s="101"/>
      <c r="W882" s="91"/>
      <c r="X882" s="89" t="s">
        <v>4265</v>
      </c>
      <c r="Y882" s="92">
        <f t="shared" si="78"/>
        <v>0</v>
      </c>
      <c r="Z882" s="92">
        <f t="shared" si="79"/>
        <v>0</v>
      </c>
      <c r="AA882" s="92">
        <f t="shared" si="80"/>
        <v>0</v>
      </c>
      <c r="AB882" s="92">
        <f t="shared" si="81"/>
        <v>0</v>
      </c>
      <c r="AC882" s="92"/>
      <c r="AD882" s="92">
        <v>0</v>
      </c>
      <c r="AE882" s="92">
        <f t="shared" si="82"/>
        <v>0</v>
      </c>
      <c r="AF882" s="93">
        <v>0</v>
      </c>
      <c r="AG882" s="89"/>
      <c r="AH882" s="94"/>
      <c r="AI882" s="102" t="s">
        <v>4336</v>
      </c>
      <c r="AJ882" s="96" t="s">
        <v>4337</v>
      </c>
      <c r="AK882" s="97"/>
      <c r="AL882" s="89"/>
      <c r="AM882" s="100" t="s">
        <v>2793</v>
      </c>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114"/>
      <c r="CQ882" s="115"/>
      <c r="CR882" s="114"/>
      <c r="CS882" s="115"/>
      <c r="CT882" s="114"/>
      <c r="CU882" s="115"/>
      <c r="CV882" s="99">
        <f t="shared" si="83"/>
        <v>0</v>
      </c>
      <c r="CW882" s="114"/>
      <c r="CX882" s="115"/>
      <c r="CY882" s="114"/>
      <c r="CZ882" s="115"/>
      <c r="DA882" s="115"/>
      <c r="DB882" s="115"/>
      <c r="DC882" s="114"/>
      <c r="DD882" s="115"/>
      <c r="DE882" s="97"/>
      <c r="DF882" s="46"/>
    </row>
    <row r="883" spans="1:255" s="42" customFormat="1" ht="72" x14ac:dyDescent="0.2">
      <c r="A883" s="89">
        <v>40661</v>
      </c>
      <c r="B883" s="90" t="s">
        <v>4387</v>
      </c>
      <c r="C883" s="90" t="s">
        <v>487</v>
      </c>
      <c r="D883" s="90" t="s">
        <v>2362</v>
      </c>
      <c r="E883" s="90" t="str">
        <f>VLOOKUP(B883&amp;C883,Divipola!$C$2:$F$1138,4,FALSE)</f>
        <v>52378</v>
      </c>
      <c r="F883" s="90"/>
      <c r="G883" s="101"/>
      <c r="H883" s="101"/>
      <c r="I883" s="101"/>
      <c r="J883" s="101">
        <v>412</v>
      </c>
      <c r="K883" s="101">
        <v>103</v>
      </c>
      <c r="L883" s="101">
        <v>78</v>
      </c>
      <c r="M883" s="101">
        <v>25</v>
      </c>
      <c r="N883" s="101"/>
      <c r="O883" s="101"/>
      <c r="P883" s="101"/>
      <c r="Q883" s="101"/>
      <c r="R883" s="101"/>
      <c r="S883" s="101"/>
      <c r="T883" s="101"/>
      <c r="U883" s="101"/>
      <c r="V883" s="101">
        <v>978</v>
      </c>
      <c r="W883" s="91"/>
      <c r="X883" s="105"/>
      <c r="Y883" s="92">
        <f t="shared" si="78"/>
        <v>0</v>
      </c>
      <c r="Z883" s="92">
        <f t="shared" si="79"/>
        <v>0</v>
      </c>
      <c r="AA883" s="92">
        <f t="shared" si="80"/>
        <v>0</v>
      </c>
      <c r="AB883" s="92">
        <f t="shared" si="81"/>
        <v>0</v>
      </c>
      <c r="AC883" s="92"/>
      <c r="AD883" s="92">
        <v>0</v>
      </c>
      <c r="AE883" s="92">
        <f t="shared" si="82"/>
        <v>0</v>
      </c>
      <c r="AF883" s="93">
        <v>0</v>
      </c>
      <c r="AG883" s="105"/>
      <c r="AH883" s="108"/>
      <c r="AI883" s="109" t="s">
        <v>4336</v>
      </c>
      <c r="AJ883" s="110" t="s">
        <v>4337</v>
      </c>
      <c r="AK883" s="111"/>
      <c r="AL883" s="105" t="s">
        <v>1069</v>
      </c>
      <c r="AM883" s="100" t="s">
        <v>2078</v>
      </c>
      <c r="AN883" s="107"/>
      <c r="AO883" s="107"/>
      <c r="AP883" s="107"/>
      <c r="AQ883" s="107"/>
      <c r="AR883" s="107"/>
      <c r="AS883" s="107"/>
      <c r="AT883" s="107"/>
      <c r="AU883" s="107"/>
      <c r="AV883" s="107"/>
      <c r="AW883" s="107"/>
      <c r="AX883" s="107"/>
      <c r="AY883" s="107"/>
      <c r="AZ883" s="107"/>
      <c r="BA883" s="107"/>
      <c r="BB883" s="107"/>
      <c r="BC883" s="107"/>
      <c r="BD883" s="107"/>
      <c r="BE883" s="107"/>
      <c r="BF883" s="107"/>
      <c r="BG883" s="107"/>
      <c r="BH883" s="107"/>
      <c r="BI883" s="107"/>
      <c r="BJ883" s="107"/>
      <c r="BK883" s="107"/>
      <c r="BL883" s="107"/>
      <c r="BM883" s="107"/>
      <c r="BN883" s="107"/>
      <c r="BO883" s="107"/>
      <c r="BP883" s="107"/>
      <c r="BQ883" s="107"/>
      <c r="BR883" s="107"/>
      <c r="BS883" s="107"/>
      <c r="BT883" s="107"/>
      <c r="BU883" s="107"/>
      <c r="BV883" s="107"/>
      <c r="BW883" s="107"/>
      <c r="BX883" s="107"/>
      <c r="BY883" s="107"/>
      <c r="BZ883" s="107"/>
      <c r="CA883" s="107"/>
      <c r="CB883" s="107"/>
      <c r="CC883" s="107"/>
      <c r="CD883" s="107"/>
      <c r="CE883" s="107"/>
      <c r="CF883" s="107"/>
      <c r="CG883" s="107"/>
      <c r="CH883" s="107"/>
      <c r="CI883" s="107"/>
      <c r="CJ883" s="107"/>
      <c r="CK883" s="107"/>
      <c r="CL883" s="107"/>
      <c r="CM883" s="107"/>
      <c r="CN883" s="118"/>
      <c r="CO883" s="119"/>
      <c r="CP883" s="118"/>
      <c r="CQ883" s="119"/>
      <c r="CR883" s="118"/>
      <c r="CS883" s="119"/>
      <c r="CT883" s="113"/>
      <c r="CU883" s="118"/>
      <c r="CV883" s="99">
        <f t="shared" si="83"/>
        <v>0</v>
      </c>
      <c r="CW883" s="118"/>
      <c r="CX883" s="119"/>
      <c r="CY883" s="119"/>
      <c r="CZ883" s="119"/>
      <c r="DA883" s="118"/>
      <c r="DB883" s="119"/>
      <c r="DC883" s="111"/>
      <c r="DD883" s="119"/>
      <c r="DE883" s="111"/>
      <c r="DF883" s="46"/>
    </row>
    <row r="884" spans="1:255" s="42" customFormat="1" ht="48" x14ac:dyDescent="0.2">
      <c r="A884" s="89">
        <v>40661</v>
      </c>
      <c r="B884" s="90" t="s">
        <v>4221</v>
      </c>
      <c r="C884" s="90" t="s">
        <v>4236</v>
      </c>
      <c r="D884" s="90" t="s">
        <v>2362</v>
      </c>
      <c r="E884" s="90" t="str">
        <f>VLOOKUP(B884&amp;C884,Divipola!$C$2:$F$1138,4,FALSE)</f>
        <v>54109</v>
      </c>
      <c r="F884" s="90"/>
      <c r="G884" s="101"/>
      <c r="H884" s="101"/>
      <c r="I884" s="101"/>
      <c r="J884" s="101">
        <v>64</v>
      </c>
      <c r="K884" s="101">
        <v>16</v>
      </c>
      <c r="L884" s="101"/>
      <c r="M884" s="101">
        <v>16</v>
      </c>
      <c r="N884" s="101">
        <v>1</v>
      </c>
      <c r="O884" s="101"/>
      <c r="P884" s="101"/>
      <c r="Q884" s="101"/>
      <c r="R884" s="101"/>
      <c r="S884" s="101"/>
      <c r="T884" s="101">
        <v>1</v>
      </c>
      <c r="U884" s="101"/>
      <c r="V884" s="101"/>
      <c r="W884" s="91"/>
      <c r="X884" s="89"/>
      <c r="Y884" s="92">
        <f t="shared" si="78"/>
        <v>0</v>
      </c>
      <c r="Z884" s="92">
        <f t="shared" si="79"/>
        <v>0</v>
      </c>
      <c r="AA884" s="92">
        <f t="shared" si="80"/>
        <v>0</v>
      </c>
      <c r="AB884" s="92">
        <f t="shared" si="81"/>
        <v>0</v>
      </c>
      <c r="AC884" s="92"/>
      <c r="AD884" s="92">
        <v>0</v>
      </c>
      <c r="AE884" s="92">
        <f t="shared" si="82"/>
        <v>0</v>
      </c>
      <c r="AF884" s="93">
        <v>0</v>
      </c>
      <c r="AG884" s="89"/>
      <c r="AH884" s="94"/>
      <c r="AI884" s="102" t="s">
        <v>4336</v>
      </c>
      <c r="AJ884" s="96" t="s">
        <v>4337</v>
      </c>
      <c r="AK884" s="97"/>
      <c r="AL884" s="89"/>
      <c r="AM884" s="100" t="s">
        <v>2393</v>
      </c>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114"/>
      <c r="CQ884" s="115"/>
      <c r="CR884" s="114"/>
      <c r="CS884" s="115"/>
      <c r="CT884" s="114"/>
      <c r="CU884" s="115"/>
      <c r="CV884" s="99">
        <f t="shared" si="83"/>
        <v>0</v>
      </c>
      <c r="CW884" s="114"/>
      <c r="CX884" s="115"/>
      <c r="CY884" s="114"/>
      <c r="CZ884" s="115"/>
      <c r="DA884" s="115"/>
      <c r="DB884" s="115"/>
      <c r="DC884" s="114"/>
      <c r="DD884" s="115"/>
      <c r="DE884" s="97"/>
      <c r="DF884" s="46"/>
    </row>
    <row r="885" spans="1:255" s="52" customFormat="1" ht="24" x14ac:dyDescent="0.2">
      <c r="A885" s="89">
        <v>40661</v>
      </c>
      <c r="B885" s="90" t="s">
        <v>4350</v>
      </c>
      <c r="C885" s="90" t="s">
        <v>4351</v>
      </c>
      <c r="D885" s="90" t="s">
        <v>3346</v>
      </c>
      <c r="E885" s="90" t="str">
        <f>VLOOKUP(B885&amp;C885,Divipola!$C$2:$F$1138,4,FALSE)</f>
        <v>63001</v>
      </c>
      <c r="F885" s="90"/>
      <c r="G885" s="101"/>
      <c r="H885" s="101"/>
      <c r="I885" s="101"/>
      <c r="J885" s="101">
        <v>4</v>
      </c>
      <c r="K885" s="101">
        <v>1</v>
      </c>
      <c r="L885" s="101"/>
      <c r="M885" s="101">
        <v>1</v>
      </c>
      <c r="N885" s="101"/>
      <c r="O885" s="101"/>
      <c r="P885" s="101"/>
      <c r="Q885" s="101"/>
      <c r="R885" s="101"/>
      <c r="S885" s="101"/>
      <c r="T885" s="101"/>
      <c r="U885" s="101"/>
      <c r="V885" s="101"/>
      <c r="W885" s="91"/>
      <c r="X885" s="89"/>
      <c r="Y885" s="92">
        <f t="shared" si="78"/>
        <v>0</v>
      </c>
      <c r="Z885" s="92">
        <f t="shared" si="79"/>
        <v>0</v>
      </c>
      <c r="AA885" s="92">
        <f t="shared" si="80"/>
        <v>0</v>
      </c>
      <c r="AB885" s="92">
        <f t="shared" si="81"/>
        <v>0</v>
      </c>
      <c r="AC885" s="92"/>
      <c r="AD885" s="92">
        <v>0</v>
      </c>
      <c r="AE885" s="92">
        <f t="shared" si="82"/>
        <v>0</v>
      </c>
      <c r="AF885" s="93">
        <v>0</v>
      </c>
      <c r="AG885" s="89"/>
      <c r="AH885" s="94"/>
      <c r="AI885" s="95" t="s">
        <v>4336</v>
      </c>
      <c r="AJ885" s="96" t="s">
        <v>4337</v>
      </c>
      <c r="AK885" s="97"/>
      <c r="AL885" s="89"/>
      <c r="AM885" s="100" t="s">
        <v>4142</v>
      </c>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114"/>
      <c r="CQ885" s="115"/>
      <c r="CR885" s="114"/>
      <c r="CS885" s="115"/>
      <c r="CT885" s="114"/>
      <c r="CU885" s="115"/>
      <c r="CV885" s="99">
        <f t="shared" si="83"/>
        <v>0</v>
      </c>
      <c r="CW885" s="114"/>
      <c r="CX885" s="115"/>
      <c r="CY885" s="114"/>
      <c r="CZ885" s="115"/>
      <c r="DA885" s="115"/>
      <c r="DB885" s="115"/>
      <c r="DC885" s="114"/>
      <c r="DD885" s="115"/>
      <c r="DE885" s="97"/>
      <c r="DF885" s="46"/>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42"/>
      <c r="EV885" s="42"/>
      <c r="EW885" s="42"/>
      <c r="EX885" s="42"/>
      <c r="EY885" s="42"/>
      <c r="EZ885" s="42"/>
      <c r="FA885" s="42"/>
      <c r="FB885" s="42"/>
      <c r="FC885" s="42"/>
      <c r="FD885" s="42"/>
      <c r="FE885" s="42"/>
      <c r="FF885" s="42"/>
      <c r="FG885" s="42"/>
      <c r="FH885" s="42"/>
      <c r="FI885" s="42"/>
      <c r="FJ885" s="42"/>
      <c r="FK885" s="42"/>
      <c r="FL885" s="42"/>
      <c r="FM885" s="42"/>
      <c r="FN885" s="42"/>
      <c r="FO885" s="42"/>
      <c r="FP885" s="42"/>
      <c r="FQ885" s="42"/>
      <c r="FR885" s="42"/>
      <c r="FS885" s="42"/>
      <c r="FT885" s="42"/>
      <c r="FU885" s="42"/>
      <c r="FV885" s="42"/>
      <c r="FW885" s="42"/>
      <c r="FX885" s="42"/>
      <c r="FY885" s="42"/>
      <c r="FZ885" s="42"/>
      <c r="GA885" s="42"/>
      <c r="GB885" s="42"/>
      <c r="GC885" s="42"/>
      <c r="GD885" s="42"/>
      <c r="GE885" s="42"/>
      <c r="GF885" s="42"/>
      <c r="GG885" s="42"/>
      <c r="GH885" s="42"/>
      <c r="GI885" s="42"/>
      <c r="GJ885" s="42"/>
      <c r="GK885" s="42"/>
      <c r="GL885" s="42"/>
      <c r="GM885" s="42"/>
      <c r="GN885" s="42"/>
      <c r="GO885" s="42"/>
      <c r="GP885" s="42"/>
      <c r="GQ885" s="42"/>
      <c r="GR885" s="42"/>
      <c r="GS885" s="42"/>
      <c r="GT885" s="42"/>
      <c r="GU885" s="42"/>
      <c r="GV885" s="42"/>
      <c r="GW885" s="42"/>
      <c r="GX885" s="42"/>
      <c r="GY885" s="42"/>
      <c r="GZ885" s="42"/>
      <c r="HA885" s="42"/>
      <c r="HB885" s="42"/>
      <c r="HC885" s="42"/>
      <c r="HD885" s="42"/>
      <c r="HE885" s="42"/>
      <c r="HF885" s="42"/>
      <c r="HG885" s="42"/>
      <c r="HH885" s="42"/>
      <c r="HI885" s="42"/>
      <c r="HJ885" s="42"/>
      <c r="HK885" s="42"/>
      <c r="HL885" s="42"/>
      <c r="HM885" s="42"/>
      <c r="HN885" s="42"/>
      <c r="HO885" s="42"/>
      <c r="HP885" s="42"/>
      <c r="HQ885" s="42"/>
      <c r="HR885" s="42"/>
      <c r="HS885" s="42"/>
      <c r="HT885" s="42"/>
      <c r="HU885" s="42"/>
      <c r="HV885" s="42"/>
      <c r="HW885" s="42"/>
      <c r="HX885" s="42"/>
      <c r="HY885" s="42"/>
      <c r="HZ885" s="42"/>
      <c r="IA885" s="42"/>
      <c r="IB885" s="42"/>
      <c r="IC885" s="42"/>
      <c r="ID885" s="42"/>
      <c r="IE885" s="42"/>
      <c r="IF885" s="42"/>
      <c r="IG885" s="42"/>
      <c r="IH885" s="42"/>
      <c r="II885" s="42"/>
      <c r="IJ885" s="42"/>
      <c r="IK885" s="42"/>
      <c r="IL885" s="42"/>
      <c r="IM885" s="42"/>
      <c r="IN885" s="42"/>
      <c r="IO885" s="42"/>
      <c r="IP885" s="42"/>
      <c r="IQ885" s="42"/>
      <c r="IR885" s="42"/>
      <c r="IS885" s="42"/>
      <c r="IT885" s="42"/>
      <c r="IU885" s="42"/>
    </row>
    <row r="886" spans="1:255" s="42" customFormat="1" ht="60" x14ac:dyDescent="0.2">
      <c r="A886" s="89">
        <v>40661</v>
      </c>
      <c r="B886" s="90" t="s">
        <v>4350</v>
      </c>
      <c r="C886" s="90" t="s">
        <v>3535</v>
      </c>
      <c r="D886" s="90" t="s">
        <v>4264</v>
      </c>
      <c r="E886" s="90" t="str">
        <f>VLOOKUP(B886&amp;C886,Divipola!$C$2:$F$1138,4,FALSE)</f>
        <v>63130</v>
      </c>
      <c r="F886" s="90"/>
      <c r="G886" s="101"/>
      <c r="H886" s="101"/>
      <c r="I886" s="101"/>
      <c r="J886" s="101">
        <v>41</v>
      </c>
      <c r="K886" s="101">
        <v>15</v>
      </c>
      <c r="L886" s="101"/>
      <c r="M886" s="101">
        <v>15</v>
      </c>
      <c r="N886" s="101"/>
      <c r="O886" s="101"/>
      <c r="P886" s="101"/>
      <c r="Q886" s="101"/>
      <c r="R886" s="101"/>
      <c r="S886" s="101"/>
      <c r="T886" s="101"/>
      <c r="U886" s="101"/>
      <c r="V886" s="101"/>
      <c r="W886" s="91"/>
      <c r="X886" s="89"/>
      <c r="Y886" s="92">
        <f t="shared" si="78"/>
        <v>0</v>
      </c>
      <c r="Z886" s="92">
        <f t="shared" si="79"/>
        <v>0</v>
      </c>
      <c r="AA886" s="92">
        <f t="shared" si="80"/>
        <v>0</v>
      </c>
      <c r="AB886" s="92">
        <f t="shared" si="81"/>
        <v>0</v>
      </c>
      <c r="AC886" s="92"/>
      <c r="AD886" s="92">
        <v>0</v>
      </c>
      <c r="AE886" s="92">
        <f t="shared" si="82"/>
        <v>0</v>
      </c>
      <c r="AF886" s="93">
        <v>0</v>
      </c>
      <c r="AG886" s="89"/>
      <c r="AH886" s="94"/>
      <c r="AI886" s="95" t="s">
        <v>4336</v>
      </c>
      <c r="AJ886" s="96" t="s">
        <v>4337</v>
      </c>
      <c r="AK886" s="97"/>
      <c r="AL886" s="89"/>
      <c r="AM886" s="100" t="s">
        <v>2394</v>
      </c>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114"/>
      <c r="CQ886" s="115"/>
      <c r="CR886" s="114"/>
      <c r="CS886" s="115"/>
      <c r="CT886" s="114"/>
      <c r="CU886" s="115"/>
      <c r="CV886" s="99">
        <f t="shared" si="83"/>
        <v>0</v>
      </c>
      <c r="CW886" s="114"/>
      <c r="CX886" s="115"/>
      <c r="CY886" s="114"/>
      <c r="CZ886" s="115"/>
      <c r="DA886" s="115"/>
      <c r="DB886" s="115"/>
      <c r="DC886" s="114"/>
      <c r="DD886" s="115"/>
      <c r="DE886" s="97"/>
      <c r="DF886" s="51"/>
      <c r="DG886" s="52"/>
      <c r="DH886" s="52"/>
      <c r="DI886" s="52"/>
      <c r="DJ886" s="52"/>
      <c r="DK886" s="52"/>
      <c r="DL886" s="52"/>
      <c r="DM886" s="52"/>
      <c r="DN886" s="52"/>
      <c r="DO886" s="52"/>
      <c r="DP886" s="52"/>
      <c r="DQ886" s="52"/>
      <c r="DR886" s="52"/>
      <c r="DS886" s="52"/>
      <c r="DT886" s="52"/>
      <c r="DU886" s="52"/>
      <c r="DV886" s="52"/>
      <c r="DW886" s="52"/>
      <c r="DX886" s="52"/>
      <c r="DY886" s="52"/>
      <c r="DZ886" s="52"/>
      <c r="EA886" s="52"/>
      <c r="EB886" s="52"/>
      <c r="EC886" s="52"/>
      <c r="ED886" s="52"/>
      <c r="EE886" s="52"/>
      <c r="EF886" s="52"/>
      <c r="EG886" s="52"/>
      <c r="EH886" s="52"/>
      <c r="EI886" s="52"/>
      <c r="EJ886" s="52"/>
      <c r="EK886" s="52"/>
      <c r="EL886" s="52"/>
      <c r="EM886" s="52"/>
      <c r="EN886" s="52"/>
      <c r="EO886" s="52"/>
      <c r="EP886" s="52"/>
      <c r="EQ886" s="52"/>
      <c r="ER886" s="52"/>
      <c r="ES886" s="52"/>
      <c r="ET886" s="52"/>
      <c r="EU886" s="52"/>
      <c r="EV886" s="52"/>
      <c r="EW886" s="52"/>
      <c r="EX886" s="52"/>
      <c r="EY886" s="52"/>
      <c r="EZ886" s="52"/>
      <c r="FA886" s="52"/>
      <c r="FB886" s="52"/>
      <c r="FC886" s="52"/>
      <c r="FD886" s="52"/>
      <c r="FE886" s="52"/>
      <c r="FF886" s="52"/>
      <c r="FG886" s="52"/>
      <c r="FH886" s="52"/>
      <c r="FI886" s="52"/>
      <c r="FJ886" s="52"/>
      <c r="FK886" s="52"/>
      <c r="FL886" s="52"/>
      <c r="FM886" s="52"/>
      <c r="FN886" s="52"/>
      <c r="FO886" s="52"/>
      <c r="FP886" s="52"/>
      <c r="FQ886" s="52"/>
      <c r="FR886" s="52"/>
      <c r="FS886" s="52"/>
      <c r="FT886" s="52"/>
      <c r="FU886" s="52"/>
      <c r="FV886" s="52"/>
      <c r="FW886" s="52"/>
      <c r="FX886" s="52"/>
      <c r="FY886" s="52"/>
      <c r="FZ886" s="52"/>
      <c r="GA886" s="52"/>
      <c r="GB886" s="52"/>
      <c r="GC886" s="52"/>
      <c r="GD886" s="52"/>
      <c r="GE886" s="52"/>
      <c r="GF886" s="52"/>
      <c r="GG886" s="52"/>
      <c r="GH886" s="52"/>
      <c r="GI886" s="52"/>
      <c r="GJ886" s="52"/>
      <c r="GK886" s="52"/>
      <c r="GL886" s="52"/>
      <c r="GM886" s="52"/>
      <c r="GN886" s="52"/>
      <c r="GO886" s="52"/>
      <c r="GP886" s="52"/>
      <c r="GQ886" s="52"/>
      <c r="GR886" s="52"/>
      <c r="GS886" s="52"/>
      <c r="GT886" s="52"/>
      <c r="GU886" s="52"/>
      <c r="GV886" s="52"/>
      <c r="GW886" s="52"/>
      <c r="GX886" s="52"/>
      <c r="GY886" s="52"/>
      <c r="GZ886" s="52"/>
      <c r="HA886" s="52"/>
      <c r="HB886" s="52"/>
      <c r="HC886" s="52"/>
      <c r="HD886" s="52"/>
      <c r="HE886" s="52"/>
      <c r="HF886" s="52"/>
      <c r="HG886" s="52"/>
      <c r="HH886" s="52"/>
      <c r="HI886" s="52"/>
      <c r="HJ886" s="52"/>
      <c r="HK886" s="52"/>
      <c r="HL886" s="52"/>
      <c r="HM886" s="52"/>
      <c r="HN886" s="52"/>
      <c r="HO886" s="52"/>
      <c r="HP886" s="52"/>
      <c r="HQ886" s="52"/>
      <c r="HR886" s="52"/>
      <c r="HS886" s="52"/>
      <c r="HT886" s="52"/>
      <c r="HU886" s="52"/>
      <c r="HV886" s="52"/>
      <c r="HW886" s="52"/>
      <c r="HX886" s="52"/>
      <c r="HY886" s="52"/>
      <c r="HZ886" s="52"/>
      <c r="IA886" s="52"/>
      <c r="IB886" s="52"/>
      <c r="IC886" s="52"/>
      <c r="ID886" s="52"/>
      <c r="IE886" s="52"/>
      <c r="IF886" s="52"/>
      <c r="IG886" s="52"/>
      <c r="IH886" s="52"/>
      <c r="II886" s="52"/>
      <c r="IJ886" s="52"/>
      <c r="IK886" s="52"/>
      <c r="IL886" s="52"/>
      <c r="IM886" s="52"/>
      <c r="IN886" s="52"/>
      <c r="IO886" s="52"/>
      <c r="IP886" s="52"/>
      <c r="IQ886" s="52"/>
      <c r="IR886" s="52"/>
      <c r="IS886" s="52"/>
      <c r="IT886" s="52"/>
      <c r="IU886" s="52"/>
    </row>
    <row r="887" spans="1:255" s="42" customFormat="1" ht="48" x14ac:dyDescent="0.2">
      <c r="A887" s="89">
        <v>40661</v>
      </c>
      <c r="B887" s="90" t="s">
        <v>4350</v>
      </c>
      <c r="C887" s="90" t="s">
        <v>858</v>
      </c>
      <c r="D887" s="90" t="s">
        <v>2362</v>
      </c>
      <c r="E887" s="90" t="str">
        <f>VLOOKUP(B887&amp;C887,Divipola!$C$2:$F$1138,4,FALSE)</f>
        <v>63302</v>
      </c>
      <c r="F887" s="90"/>
      <c r="G887" s="101"/>
      <c r="H887" s="101"/>
      <c r="I887" s="101"/>
      <c r="J887" s="101"/>
      <c r="K887" s="101"/>
      <c r="L887" s="101"/>
      <c r="M887" s="101"/>
      <c r="N887" s="101">
        <v>1</v>
      </c>
      <c r="O887" s="101"/>
      <c r="P887" s="101"/>
      <c r="Q887" s="101"/>
      <c r="R887" s="101"/>
      <c r="S887" s="101"/>
      <c r="T887" s="101"/>
      <c r="U887" s="101"/>
      <c r="V887" s="101"/>
      <c r="W887" s="91"/>
      <c r="X887" s="89"/>
      <c r="Y887" s="92">
        <f t="shared" si="78"/>
        <v>0</v>
      </c>
      <c r="Z887" s="92">
        <f t="shared" si="79"/>
        <v>0</v>
      </c>
      <c r="AA887" s="92">
        <f t="shared" si="80"/>
        <v>0</v>
      </c>
      <c r="AB887" s="92">
        <f t="shared" si="81"/>
        <v>0</v>
      </c>
      <c r="AC887" s="92"/>
      <c r="AD887" s="92">
        <v>0</v>
      </c>
      <c r="AE887" s="92">
        <f t="shared" si="82"/>
        <v>0</v>
      </c>
      <c r="AF887" s="93">
        <v>0</v>
      </c>
      <c r="AG887" s="89"/>
      <c r="AH887" s="94"/>
      <c r="AI887" s="95" t="s">
        <v>4336</v>
      </c>
      <c r="AJ887" s="96" t="s">
        <v>4337</v>
      </c>
      <c r="AK887" s="97"/>
      <c r="AL887" s="89"/>
      <c r="AM887" s="100" t="s">
        <v>4132</v>
      </c>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114"/>
      <c r="CQ887" s="115"/>
      <c r="CR887" s="114"/>
      <c r="CS887" s="115"/>
      <c r="CT887" s="114"/>
      <c r="CU887" s="115"/>
      <c r="CV887" s="99">
        <f t="shared" si="83"/>
        <v>0</v>
      </c>
      <c r="CW887" s="114"/>
      <c r="CX887" s="115"/>
      <c r="CY887" s="114"/>
      <c r="CZ887" s="115"/>
      <c r="DA887" s="115"/>
      <c r="DB887" s="115"/>
      <c r="DC887" s="114"/>
      <c r="DD887" s="115"/>
      <c r="DE887" s="97"/>
      <c r="DF887" s="46"/>
    </row>
    <row r="888" spans="1:255" s="42" customFormat="1" ht="36" x14ac:dyDescent="0.2">
      <c r="A888" s="89">
        <v>40661</v>
      </c>
      <c r="B888" s="90" t="s">
        <v>4350</v>
      </c>
      <c r="C888" s="90" t="s">
        <v>3361</v>
      </c>
      <c r="D888" s="90" t="s">
        <v>3346</v>
      </c>
      <c r="E888" s="90" t="str">
        <f>VLOOKUP(B888&amp;C888,Divipola!$C$2:$F$1138,4,FALSE)</f>
        <v>63548</v>
      </c>
      <c r="F888" s="90"/>
      <c r="G888" s="101"/>
      <c r="H888" s="101"/>
      <c r="I888" s="101"/>
      <c r="J888" s="101">
        <v>80</v>
      </c>
      <c r="K888" s="101">
        <v>16</v>
      </c>
      <c r="L888" s="101"/>
      <c r="M888" s="101">
        <v>16</v>
      </c>
      <c r="N888" s="101">
        <v>1</v>
      </c>
      <c r="O888" s="101"/>
      <c r="P888" s="101"/>
      <c r="Q888" s="101"/>
      <c r="R888" s="101"/>
      <c r="S888" s="101"/>
      <c r="T888" s="101"/>
      <c r="U888" s="101"/>
      <c r="V888" s="101"/>
      <c r="W888" s="91"/>
      <c r="X888" s="89"/>
      <c r="Y888" s="92">
        <f t="shared" si="78"/>
        <v>0</v>
      </c>
      <c r="Z888" s="92">
        <f t="shared" si="79"/>
        <v>0</v>
      </c>
      <c r="AA888" s="92">
        <f t="shared" si="80"/>
        <v>0</v>
      </c>
      <c r="AB888" s="92">
        <f t="shared" si="81"/>
        <v>0</v>
      </c>
      <c r="AC888" s="92"/>
      <c r="AD888" s="92">
        <v>0</v>
      </c>
      <c r="AE888" s="92">
        <f t="shared" si="82"/>
        <v>0</v>
      </c>
      <c r="AF888" s="93">
        <v>0</v>
      </c>
      <c r="AG888" s="89"/>
      <c r="AH888" s="94"/>
      <c r="AI888" s="95" t="s">
        <v>4336</v>
      </c>
      <c r="AJ888" s="96" t="s">
        <v>4337</v>
      </c>
      <c r="AK888" s="97"/>
      <c r="AL888" s="89"/>
      <c r="AM888" s="100" t="s">
        <v>2395</v>
      </c>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114"/>
      <c r="CQ888" s="115"/>
      <c r="CR888" s="114"/>
      <c r="CS888" s="115"/>
      <c r="CT888" s="114"/>
      <c r="CU888" s="115"/>
      <c r="CV888" s="99">
        <f t="shared" si="83"/>
        <v>0</v>
      </c>
      <c r="CW888" s="114"/>
      <c r="CX888" s="115"/>
      <c r="CY888" s="114"/>
      <c r="CZ888" s="115"/>
      <c r="DA888" s="115"/>
      <c r="DB888" s="115"/>
      <c r="DC888" s="114"/>
      <c r="DD888" s="115"/>
      <c r="DE888" s="97"/>
      <c r="DF888" s="46"/>
    </row>
    <row r="889" spans="1:255" s="42" customFormat="1" ht="22.5" x14ac:dyDescent="0.2">
      <c r="A889" s="89">
        <v>40661</v>
      </c>
      <c r="B889" s="90" t="s">
        <v>4244</v>
      </c>
      <c r="C889" s="90" t="s">
        <v>3393</v>
      </c>
      <c r="D889" s="90" t="s">
        <v>2362</v>
      </c>
      <c r="E889" s="90" t="str">
        <f>VLOOKUP(B889&amp;C889,Divipola!$C$2:$F$1138,4,FALSE)</f>
        <v>76147</v>
      </c>
      <c r="F889" s="90"/>
      <c r="G889" s="101"/>
      <c r="H889" s="101"/>
      <c r="I889" s="101"/>
      <c r="J889" s="101">
        <v>25</v>
      </c>
      <c r="K889" s="101">
        <v>5</v>
      </c>
      <c r="L889" s="101"/>
      <c r="M889" s="101">
        <v>5</v>
      </c>
      <c r="N889" s="101"/>
      <c r="O889" s="101"/>
      <c r="P889" s="101"/>
      <c r="Q889" s="101"/>
      <c r="R889" s="101"/>
      <c r="S889" s="101"/>
      <c r="T889" s="101"/>
      <c r="U889" s="101"/>
      <c r="V889" s="101"/>
      <c r="W889" s="91"/>
      <c r="X889" s="89"/>
      <c r="Y889" s="92">
        <f t="shared" si="78"/>
        <v>0</v>
      </c>
      <c r="Z889" s="92">
        <f t="shared" si="79"/>
        <v>0</v>
      </c>
      <c r="AA889" s="92">
        <f t="shared" si="80"/>
        <v>0</v>
      </c>
      <c r="AB889" s="92">
        <f t="shared" si="81"/>
        <v>0</v>
      </c>
      <c r="AC889" s="92"/>
      <c r="AD889" s="92">
        <v>0</v>
      </c>
      <c r="AE889" s="92">
        <f t="shared" si="82"/>
        <v>0</v>
      </c>
      <c r="AF889" s="93">
        <v>0</v>
      </c>
      <c r="AG889" s="89"/>
      <c r="AH889" s="94"/>
      <c r="AI889" s="95" t="s">
        <v>4336</v>
      </c>
      <c r="AJ889" s="96" t="s">
        <v>4337</v>
      </c>
      <c r="AK889" s="97"/>
      <c r="AL889" s="89"/>
      <c r="AM889" s="100" t="s">
        <v>4153</v>
      </c>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114"/>
      <c r="CQ889" s="115"/>
      <c r="CR889" s="114"/>
      <c r="CS889" s="115"/>
      <c r="CT889" s="114"/>
      <c r="CU889" s="115"/>
      <c r="CV889" s="99">
        <f t="shared" si="83"/>
        <v>0</v>
      </c>
      <c r="CW889" s="114"/>
      <c r="CX889" s="115"/>
      <c r="CY889" s="114"/>
      <c r="CZ889" s="115"/>
      <c r="DA889" s="115"/>
      <c r="DB889" s="115"/>
      <c r="DC889" s="114"/>
      <c r="DD889" s="115"/>
      <c r="DE889" s="97"/>
      <c r="DF889" s="46"/>
    </row>
    <row r="890" spans="1:255" s="42" customFormat="1" ht="24" x14ac:dyDescent="0.2">
      <c r="A890" s="89">
        <v>40661</v>
      </c>
      <c r="B890" s="90" t="s">
        <v>4244</v>
      </c>
      <c r="C890" s="90" t="s">
        <v>3393</v>
      </c>
      <c r="D890" s="90" t="s">
        <v>2362</v>
      </c>
      <c r="E890" s="90" t="str">
        <f>VLOOKUP(B890&amp;C890,Divipola!$C$2:$F$1138,4,FALSE)</f>
        <v>76147</v>
      </c>
      <c r="F890" s="90"/>
      <c r="G890" s="101"/>
      <c r="H890" s="101"/>
      <c r="I890" s="101"/>
      <c r="J890" s="101">
        <v>20</v>
      </c>
      <c r="K890" s="101">
        <v>4</v>
      </c>
      <c r="L890" s="101"/>
      <c r="M890" s="101">
        <v>4</v>
      </c>
      <c r="N890" s="101"/>
      <c r="O890" s="101"/>
      <c r="P890" s="101"/>
      <c r="Q890" s="101"/>
      <c r="R890" s="101"/>
      <c r="S890" s="101"/>
      <c r="T890" s="101"/>
      <c r="U890" s="101"/>
      <c r="V890" s="101"/>
      <c r="W890" s="91"/>
      <c r="X890" s="89"/>
      <c r="Y890" s="92">
        <f t="shared" si="78"/>
        <v>0</v>
      </c>
      <c r="Z890" s="92">
        <f t="shared" si="79"/>
        <v>0</v>
      </c>
      <c r="AA890" s="92">
        <f t="shared" si="80"/>
        <v>0</v>
      </c>
      <c r="AB890" s="92">
        <f t="shared" si="81"/>
        <v>0</v>
      </c>
      <c r="AC890" s="92"/>
      <c r="AD890" s="92">
        <v>0</v>
      </c>
      <c r="AE890" s="92">
        <f t="shared" si="82"/>
        <v>0</v>
      </c>
      <c r="AF890" s="93">
        <v>0</v>
      </c>
      <c r="AG890" s="89"/>
      <c r="AH890" s="94"/>
      <c r="AI890" s="102" t="s">
        <v>4336</v>
      </c>
      <c r="AJ890" s="96" t="s">
        <v>4337</v>
      </c>
      <c r="AK890" s="97"/>
      <c r="AL890" s="89"/>
      <c r="AM890" s="100" t="s">
        <v>237</v>
      </c>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114"/>
      <c r="CQ890" s="115"/>
      <c r="CR890" s="114"/>
      <c r="CS890" s="115"/>
      <c r="CT890" s="114"/>
      <c r="CU890" s="115"/>
      <c r="CV890" s="99">
        <f t="shared" si="83"/>
        <v>0</v>
      </c>
      <c r="CW890" s="114"/>
      <c r="CX890" s="115"/>
      <c r="CY890" s="114"/>
      <c r="CZ890" s="115"/>
      <c r="DA890" s="115"/>
      <c r="DB890" s="115"/>
      <c r="DC890" s="114"/>
      <c r="DD890" s="115"/>
      <c r="DE890" s="97"/>
      <c r="DF890" s="46"/>
    </row>
    <row r="891" spans="1:255" s="42" customFormat="1" ht="72" x14ac:dyDescent="0.2">
      <c r="A891" s="89">
        <v>40662</v>
      </c>
      <c r="B891" s="90" t="s">
        <v>3505</v>
      </c>
      <c r="C891" s="90" t="s">
        <v>3506</v>
      </c>
      <c r="D891" s="90" t="s">
        <v>4264</v>
      </c>
      <c r="E891" s="90" t="str">
        <f>VLOOKUP(B891&amp;C891,Divipola!$C$2:$F$1138,4,FALSE)</f>
        <v>91001</v>
      </c>
      <c r="F891" s="90"/>
      <c r="G891" s="101"/>
      <c r="H891" s="101"/>
      <c r="I891" s="101"/>
      <c r="J891" s="101">
        <v>710</v>
      </c>
      <c r="K891" s="101">
        <v>142</v>
      </c>
      <c r="L891" s="101"/>
      <c r="M891" s="101">
        <v>142</v>
      </c>
      <c r="N891" s="101"/>
      <c r="O891" s="101"/>
      <c r="P891" s="101"/>
      <c r="Q891" s="101"/>
      <c r="R891" s="101"/>
      <c r="S891" s="101"/>
      <c r="T891" s="101"/>
      <c r="U891" s="101"/>
      <c r="V891" s="101"/>
      <c r="W891" s="91"/>
      <c r="X891" s="89"/>
      <c r="Y891" s="92">
        <f t="shared" si="78"/>
        <v>0</v>
      </c>
      <c r="Z891" s="92">
        <f t="shared" si="79"/>
        <v>0</v>
      </c>
      <c r="AA891" s="92">
        <f t="shared" si="80"/>
        <v>0</v>
      </c>
      <c r="AB891" s="92">
        <f t="shared" si="81"/>
        <v>0</v>
      </c>
      <c r="AC891" s="92"/>
      <c r="AD891" s="92">
        <v>114530000</v>
      </c>
      <c r="AE891" s="92">
        <f t="shared" si="82"/>
        <v>114530000</v>
      </c>
      <c r="AF891" s="93">
        <v>0</v>
      </c>
      <c r="AG891" s="89"/>
      <c r="AH891" s="94"/>
      <c r="AI891" s="95" t="s">
        <v>4346</v>
      </c>
      <c r="AJ891" s="96" t="s">
        <v>4347</v>
      </c>
      <c r="AK891" s="97"/>
      <c r="AL891" s="89"/>
      <c r="AM891" s="100" t="s">
        <v>2104</v>
      </c>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114"/>
      <c r="CQ891" s="115"/>
      <c r="CR891" s="114"/>
      <c r="CS891" s="115"/>
      <c r="CT891" s="114"/>
      <c r="CU891" s="115"/>
      <c r="CV891" s="99">
        <f t="shared" si="83"/>
        <v>0</v>
      </c>
      <c r="CW891" s="114"/>
      <c r="CX891" s="115"/>
      <c r="CY891" s="114"/>
      <c r="CZ891" s="115"/>
      <c r="DA891" s="115"/>
      <c r="DB891" s="115"/>
      <c r="DC891" s="114"/>
      <c r="DD891" s="115"/>
      <c r="DE891" s="97"/>
      <c r="DF891" s="46"/>
    </row>
    <row r="892" spans="1:255" s="306" customFormat="1" ht="72" x14ac:dyDescent="0.2">
      <c r="A892" s="89">
        <v>40662</v>
      </c>
      <c r="B892" s="90" t="s">
        <v>4296</v>
      </c>
      <c r="C892" s="90" t="s">
        <v>4297</v>
      </c>
      <c r="D892" s="90" t="s">
        <v>4264</v>
      </c>
      <c r="E892" s="90" t="str">
        <f>VLOOKUP(B892&amp;C892,Divipola!$C$2:$F$1138,4,FALSE)</f>
        <v>19001</v>
      </c>
      <c r="F892" s="90"/>
      <c r="G892" s="101"/>
      <c r="H892" s="101"/>
      <c r="I892" s="101"/>
      <c r="J892" s="101">
        <f>744*5</f>
        <v>3720</v>
      </c>
      <c r="K892" s="101">
        <v>744</v>
      </c>
      <c r="L892" s="101"/>
      <c r="M892" s="101">
        <v>744</v>
      </c>
      <c r="N892" s="101"/>
      <c r="O892" s="101"/>
      <c r="P892" s="101"/>
      <c r="Q892" s="101"/>
      <c r="R892" s="101"/>
      <c r="S892" s="101"/>
      <c r="T892" s="101"/>
      <c r="U892" s="101"/>
      <c r="V892" s="101"/>
      <c r="W892" s="91"/>
      <c r="X892" s="89"/>
      <c r="Y892" s="92">
        <f t="shared" si="78"/>
        <v>60839035.200000003</v>
      </c>
      <c r="Z892" s="92">
        <f t="shared" si="79"/>
        <v>30599445.600000001</v>
      </c>
      <c r="AA892" s="92">
        <f t="shared" si="80"/>
        <v>0</v>
      </c>
      <c r="AB892" s="92">
        <f t="shared" si="81"/>
        <v>0</v>
      </c>
      <c r="AC892" s="92"/>
      <c r="AD892" s="92">
        <v>0</v>
      </c>
      <c r="AE892" s="92">
        <f t="shared" si="82"/>
        <v>91438480.800000012</v>
      </c>
      <c r="AF892" s="93">
        <v>0</v>
      </c>
      <c r="AG892" s="89"/>
      <c r="AH892" s="94"/>
      <c r="AI892" s="95" t="s">
        <v>4346</v>
      </c>
      <c r="AJ892" s="96" t="s">
        <v>4347</v>
      </c>
      <c r="AK892" s="97"/>
      <c r="AL892" s="89"/>
      <c r="AM892" s="100" t="s">
        <v>2847</v>
      </c>
      <c r="AN892" s="91"/>
      <c r="AO892" s="91"/>
      <c r="AP892" s="91"/>
      <c r="AQ892" s="91"/>
      <c r="AR892" s="91"/>
      <c r="AS892" s="91"/>
      <c r="AT892" s="91"/>
      <c r="AU892" s="91"/>
      <c r="AV892" s="91"/>
      <c r="AW892" s="91"/>
      <c r="AX892" s="91"/>
      <c r="AY892" s="91"/>
      <c r="AZ892" s="91">
        <v>360</v>
      </c>
      <c r="BA892" s="91">
        <f>360*55999.98</f>
        <v>20159992.800000001</v>
      </c>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v>720</v>
      </c>
      <c r="CK892" s="91">
        <f>360*20998.32+360*17999.72</f>
        <v>14039294.4</v>
      </c>
      <c r="CL892" s="91"/>
      <c r="CM892" s="91"/>
      <c r="CN892" s="91"/>
      <c r="CO892" s="91"/>
      <c r="CP892" s="114">
        <v>360</v>
      </c>
      <c r="CQ892" s="115">
        <f>360*37999.86</f>
        <v>13679949.6</v>
      </c>
      <c r="CR892" s="114">
        <v>360</v>
      </c>
      <c r="CS892" s="115">
        <f>360*35999.44</f>
        <v>12959798.4</v>
      </c>
      <c r="CT892" s="114"/>
      <c r="CU892" s="115"/>
      <c r="CV892" s="99">
        <f t="shared" si="83"/>
        <v>60839035.200000003</v>
      </c>
      <c r="CW892" s="114"/>
      <c r="CX892" s="115"/>
      <c r="CY892" s="114">
        <v>360</v>
      </c>
      <c r="CZ892" s="115">
        <f>360*84998.46</f>
        <v>30599445.600000001</v>
      </c>
      <c r="DA892" s="115"/>
      <c r="DB892" s="115"/>
      <c r="DC892" s="114"/>
      <c r="DD892" s="115"/>
      <c r="DE892" s="97"/>
      <c r="DF892" s="46"/>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c r="EM892" s="42"/>
      <c r="EN892" s="42"/>
      <c r="EO892" s="42"/>
      <c r="EP892" s="42"/>
      <c r="EQ892" s="42"/>
      <c r="ER892" s="42"/>
      <c r="ES892" s="42"/>
      <c r="ET892" s="42"/>
      <c r="EU892" s="42"/>
      <c r="EV892" s="42"/>
      <c r="EW892" s="42"/>
      <c r="EX892" s="42"/>
      <c r="EY892" s="42"/>
      <c r="EZ892" s="42"/>
      <c r="FA892" s="42"/>
      <c r="FB892" s="42"/>
      <c r="FC892" s="42"/>
      <c r="FD892" s="42"/>
      <c r="FE892" s="42"/>
      <c r="FF892" s="42"/>
      <c r="FG892" s="42"/>
      <c r="FH892" s="42"/>
      <c r="FI892" s="42"/>
      <c r="FJ892" s="42"/>
      <c r="FK892" s="42"/>
      <c r="FL892" s="42"/>
      <c r="FM892" s="42"/>
      <c r="FN892" s="42"/>
      <c r="FO892" s="42"/>
      <c r="FP892" s="42"/>
      <c r="FQ892" s="42"/>
      <c r="FR892" s="42"/>
      <c r="FS892" s="42"/>
      <c r="FT892" s="42"/>
      <c r="FU892" s="42"/>
      <c r="FV892" s="42"/>
      <c r="FW892" s="42"/>
      <c r="FX892" s="42"/>
      <c r="FY892" s="42"/>
      <c r="FZ892" s="42"/>
      <c r="GA892" s="42"/>
      <c r="GB892" s="42"/>
      <c r="GC892" s="42"/>
      <c r="GD892" s="42"/>
      <c r="GE892" s="42"/>
      <c r="GF892" s="42"/>
      <c r="GG892" s="42"/>
      <c r="GH892" s="42"/>
      <c r="GI892" s="42"/>
      <c r="GJ892" s="42"/>
      <c r="GK892" s="42"/>
      <c r="GL892" s="42"/>
      <c r="GM892" s="42"/>
      <c r="GN892" s="42"/>
      <c r="GO892" s="42"/>
      <c r="GP892" s="42"/>
      <c r="GQ892" s="42"/>
      <c r="GR892" s="42"/>
      <c r="GS892" s="42"/>
      <c r="GT892" s="42"/>
      <c r="GU892" s="42"/>
      <c r="GV892" s="42"/>
      <c r="GW892" s="42"/>
      <c r="GX892" s="42"/>
      <c r="GY892" s="42"/>
      <c r="GZ892" s="42"/>
      <c r="HA892" s="42"/>
      <c r="HB892" s="42"/>
      <c r="HC892" s="42"/>
      <c r="HD892" s="42"/>
      <c r="HE892" s="42"/>
      <c r="HF892" s="42"/>
      <c r="HG892" s="42"/>
      <c r="HH892" s="42"/>
      <c r="HI892" s="42"/>
      <c r="HJ892" s="42"/>
      <c r="HK892" s="42"/>
      <c r="HL892" s="42"/>
      <c r="HM892" s="42"/>
      <c r="HN892" s="42"/>
      <c r="HO892" s="42"/>
      <c r="HP892" s="42"/>
      <c r="HQ892" s="42"/>
      <c r="HR892" s="42"/>
      <c r="HS892" s="42"/>
      <c r="HT892" s="42"/>
      <c r="HU892" s="42"/>
      <c r="HV892" s="42"/>
      <c r="HW892" s="42"/>
      <c r="HX892" s="42"/>
      <c r="HY892" s="42"/>
      <c r="HZ892" s="42"/>
      <c r="IA892" s="42"/>
      <c r="IB892" s="42"/>
      <c r="IC892" s="42"/>
      <c r="ID892" s="42"/>
      <c r="IE892" s="42"/>
      <c r="IF892" s="42"/>
      <c r="IG892" s="42"/>
      <c r="IH892" s="42"/>
      <c r="II892" s="42"/>
      <c r="IJ892" s="42"/>
      <c r="IK892" s="42"/>
      <c r="IL892" s="42"/>
      <c r="IM892" s="42"/>
      <c r="IN892" s="42"/>
      <c r="IO892" s="42"/>
      <c r="IP892" s="42"/>
      <c r="IQ892" s="42"/>
      <c r="IR892" s="42"/>
      <c r="IS892" s="42"/>
      <c r="IT892" s="42"/>
      <c r="IU892" s="42"/>
    </row>
    <row r="893" spans="1:255" s="42" customFormat="1" ht="24" x14ac:dyDescent="0.2">
      <c r="A893" s="89">
        <v>40662</v>
      </c>
      <c r="B893" s="90" t="s">
        <v>4344</v>
      </c>
      <c r="C893" s="90" t="s">
        <v>2213</v>
      </c>
      <c r="D893" s="90" t="s">
        <v>4264</v>
      </c>
      <c r="E893" s="90" t="str">
        <f>VLOOKUP(B893&amp;C893,Divipola!$C$2:$F$1138,4,FALSE)</f>
        <v>25322</v>
      </c>
      <c r="F893" s="90"/>
      <c r="G893" s="101"/>
      <c r="H893" s="101"/>
      <c r="I893" s="101"/>
      <c r="J893" s="101">
        <v>25</v>
      </c>
      <c r="K893" s="101">
        <v>16</v>
      </c>
      <c r="L893" s="101"/>
      <c r="M893" s="101">
        <v>16</v>
      </c>
      <c r="N893" s="101"/>
      <c r="O893" s="101"/>
      <c r="P893" s="101"/>
      <c r="Q893" s="101"/>
      <c r="R893" s="101"/>
      <c r="S893" s="101"/>
      <c r="T893" s="101"/>
      <c r="U893" s="101"/>
      <c r="V893" s="101"/>
      <c r="W893" s="91"/>
      <c r="X893" s="89"/>
      <c r="Y893" s="92">
        <f t="shared" si="78"/>
        <v>0</v>
      </c>
      <c r="Z893" s="92">
        <f t="shared" si="79"/>
        <v>0</v>
      </c>
      <c r="AA893" s="92">
        <f t="shared" si="80"/>
        <v>0</v>
      </c>
      <c r="AB893" s="92">
        <f t="shared" si="81"/>
        <v>0</v>
      </c>
      <c r="AC893" s="92"/>
      <c r="AD893" s="92">
        <v>0</v>
      </c>
      <c r="AE893" s="92">
        <f t="shared" si="82"/>
        <v>0</v>
      </c>
      <c r="AF893" s="93">
        <v>0</v>
      </c>
      <c r="AG893" s="89"/>
      <c r="AH893" s="94"/>
      <c r="AI893" s="102" t="s">
        <v>4336</v>
      </c>
      <c r="AJ893" s="96" t="s">
        <v>4337</v>
      </c>
      <c r="AK893" s="97"/>
      <c r="AL893" s="89"/>
      <c r="AM893" s="100" t="s">
        <v>4156</v>
      </c>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114"/>
      <c r="CQ893" s="115"/>
      <c r="CR893" s="114"/>
      <c r="CS893" s="115"/>
      <c r="CT893" s="114"/>
      <c r="CU893" s="115"/>
      <c r="CV893" s="99">
        <f t="shared" si="83"/>
        <v>0</v>
      </c>
      <c r="CW893" s="114"/>
      <c r="CX893" s="115"/>
      <c r="CY893" s="114"/>
      <c r="CZ893" s="115"/>
      <c r="DA893" s="115"/>
      <c r="DB893" s="115"/>
      <c r="DC893" s="114"/>
      <c r="DD893" s="115"/>
      <c r="DE893" s="97"/>
      <c r="DF893" s="307">
        <v>1755</v>
      </c>
      <c r="DG893" s="306"/>
      <c r="DH893" s="306"/>
      <c r="DI893" s="306"/>
      <c r="DJ893" s="306"/>
      <c r="DK893" s="306"/>
      <c r="DL893" s="306"/>
      <c r="DM893" s="306"/>
      <c r="DN893" s="306"/>
      <c r="DO893" s="306"/>
      <c r="DP893" s="306"/>
      <c r="DQ893" s="306"/>
      <c r="DR893" s="306"/>
      <c r="DS893" s="306"/>
      <c r="DT893" s="306"/>
      <c r="DU893" s="306"/>
      <c r="DV893" s="306"/>
      <c r="DW893" s="306"/>
      <c r="DX893" s="306"/>
      <c r="DY893" s="306"/>
      <c r="DZ893" s="306"/>
      <c r="EA893" s="306"/>
      <c r="EB893" s="306"/>
      <c r="EC893" s="306"/>
      <c r="ED893" s="306"/>
      <c r="EE893" s="306"/>
      <c r="EF893" s="306"/>
      <c r="EG893" s="306"/>
      <c r="EH893" s="306"/>
      <c r="EI893" s="306"/>
      <c r="EJ893" s="306"/>
      <c r="EK893" s="306"/>
      <c r="EL893" s="306"/>
      <c r="EM893" s="306"/>
      <c r="EN893" s="306"/>
      <c r="EO893" s="306"/>
      <c r="EP893" s="306"/>
      <c r="EQ893" s="306"/>
      <c r="ER893" s="306"/>
      <c r="ES893" s="306"/>
      <c r="ET893" s="306"/>
      <c r="EU893" s="306"/>
      <c r="EV893" s="306"/>
      <c r="EW893" s="306"/>
      <c r="EX893" s="306"/>
      <c r="EY893" s="306"/>
      <c r="EZ893" s="306"/>
      <c r="FA893" s="306"/>
      <c r="FB893" s="306"/>
      <c r="FC893" s="306"/>
      <c r="FD893" s="306"/>
      <c r="FE893" s="306"/>
      <c r="FF893" s="306"/>
      <c r="FG893" s="306"/>
      <c r="FH893" s="306"/>
      <c r="FI893" s="306"/>
      <c r="FJ893" s="306"/>
      <c r="FK893" s="306"/>
      <c r="FL893" s="306"/>
      <c r="FM893" s="306"/>
      <c r="FN893" s="306"/>
      <c r="FO893" s="306"/>
      <c r="FP893" s="306"/>
      <c r="FQ893" s="306"/>
      <c r="FR893" s="306"/>
      <c r="FS893" s="306"/>
      <c r="FT893" s="306"/>
      <c r="FU893" s="306"/>
      <c r="FV893" s="306"/>
      <c r="FW893" s="306"/>
      <c r="FX893" s="306"/>
      <c r="FY893" s="306"/>
      <c r="FZ893" s="306"/>
      <c r="GA893" s="306"/>
      <c r="GB893" s="306"/>
      <c r="GC893" s="306"/>
      <c r="GD893" s="306"/>
      <c r="GE893" s="306"/>
      <c r="GF893" s="306"/>
      <c r="GG893" s="306"/>
      <c r="GH893" s="306"/>
      <c r="GI893" s="306"/>
      <c r="GJ893" s="306"/>
      <c r="GK893" s="306"/>
      <c r="GL893" s="306"/>
      <c r="GM893" s="306"/>
      <c r="GN893" s="306"/>
      <c r="GO893" s="306"/>
      <c r="GP893" s="306"/>
      <c r="GQ893" s="306"/>
      <c r="GR893" s="306"/>
      <c r="GS893" s="306"/>
      <c r="GT893" s="306"/>
      <c r="GU893" s="306"/>
      <c r="GV893" s="306"/>
      <c r="GW893" s="306"/>
      <c r="GX893" s="306"/>
      <c r="GY893" s="306"/>
      <c r="GZ893" s="306"/>
      <c r="HA893" s="306"/>
      <c r="HB893" s="306"/>
      <c r="HC893" s="306"/>
      <c r="HD893" s="306"/>
      <c r="HE893" s="306"/>
      <c r="HF893" s="306"/>
      <c r="HG893" s="306"/>
      <c r="HH893" s="306"/>
      <c r="HI893" s="306"/>
      <c r="HJ893" s="306"/>
      <c r="HK893" s="306"/>
      <c r="HL893" s="306"/>
      <c r="HM893" s="306"/>
      <c r="HN893" s="306"/>
      <c r="HO893" s="306"/>
      <c r="HP893" s="306"/>
      <c r="HQ893" s="306"/>
      <c r="HR893" s="306"/>
      <c r="HS893" s="306"/>
      <c r="HT893" s="306"/>
      <c r="HU893" s="306"/>
      <c r="HV893" s="306"/>
      <c r="HW893" s="306"/>
      <c r="HX893" s="306"/>
      <c r="HY893" s="306"/>
      <c r="HZ893" s="306"/>
      <c r="IA893" s="306"/>
      <c r="IB893" s="306"/>
      <c r="IC893" s="306"/>
      <c r="ID893" s="306"/>
      <c r="IE893" s="306"/>
      <c r="IF893" s="306"/>
      <c r="IG893" s="306"/>
      <c r="IH893" s="306"/>
      <c r="II893" s="306"/>
      <c r="IJ893" s="306"/>
      <c r="IK893" s="306"/>
      <c r="IL893" s="306"/>
      <c r="IM893" s="306"/>
      <c r="IN893" s="306"/>
      <c r="IO893" s="306"/>
      <c r="IP893" s="306"/>
      <c r="IQ893" s="306"/>
      <c r="IR893" s="306"/>
      <c r="IS893" s="306"/>
      <c r="IT893" s="306"/>
      <c r="IU893" s="306"/>
    </row>
    <row r="894" spans="1:255" s="42" customFormat="1" ht="72" x14ac:dyDescent="0.2">
      <c r="A894" s="89">
        <v>40662</v>
      </c>
      <c r="B894" s="90" t="s">
        <v>4344</v>
      </c>
      <c r="C894" s="90" t="s">
        <v>3501</v>
      </c>
      <c r="D894" s="90" t="s">
        <v>4264</v>
      </c>
      <c r="E894" s="90" t="str">
        <f>VLOOKUP(B894&amp;C894,Divipola!$C$2:$F$1138,4,FALSE)</f>
        <v>25377</v>
      </c>
      <c r="F894" s="90"/>
      <c r="G894" s="101"/>
      <c r="H894" s="101"/>
      <c r="I894" s="101"/>
      <c r="J894" s="101">
        <v>35</v>
      </c>
      <c r="K894" s="101">
        <v>8</v>
      </c>
      <c r="L894" s="101"/>
      <c r="M894" s="101">
        <v>8</v>
      </c>
      <c r="N894" s="101"/>
      <c r="O894" s="101"/>
      <c r="P894" s="101"/>
      <c r="Q894" s="101"/>
      <c r="R894" s="101"/>
      <c r="S894" s="101"/>
      <c r="T894" s="101"/>
      <c r="U894" s="101"/>
      <c r="V894" s="101"/>
      <c r="W894" s="91"/>
      <c r="X894" s="89"/>
      <c r="Y894" s="92">
        <f t="shared" si="78"/>
        <v>0</v>
      </c>
      <c r="Z894" s="92">
        <f t="shared" si="79"/>
        <v>0</v>
      </c>
      <c r="AA894" s="92">
        <f t="shared" si="80"/>
        <v>0</v>
      </c>
      <c r="AB894" s="92">
        <f t="shared" si="81"/>
        <v>0</v>
      </c>
      <c r="AC894" s="92"/>
      <c r="AD894" s="92">
        <v>0</v>
      </c>
      <c r="AE894" s="92">
        <f t="shared" si="82"/>
        <v>0</v>
      </c>
      <c r="AF894" s="93">
        <v>0</v>
      </c>
      <c r="AG894" s="89"/>
      <c r="AH894" s="94"/>
      <c r="AI894" s="102" t="s">
        <v>4336</v>
      </c>
      <c r="AJ894" s="96" t="s">
        <v>4337</v>
      </c>
      <c r="AK894" s="97"/>
      <c r="AL894" s="89"/>
      <c r="AM894" s="100" t="s">
        <v>4159</v>
      </c>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114"/>
      <c r="CQ894" s="115"/>
      <c r="CR894" s="114"/>
      <c r="CS894" s="115"/>
      <c r="CT894" s="114"/>
      <c r="CU894" s="115"/>
      <c r="CV894" s="99">
        <f t="shared" si="83"/>
        <v>0</v>
      </c>
      <c r="CW894" s="114"/>
      <c r="CX894" s="115"/>
      <c r="CY894" s="114"/>
      <c r="CZ894" s="115"/>
      <c r="DA894" s="115"/>
      <c r="DB894" s="115"/>
      <c r="DC894" s="114"/>
      <c r="DD894" s="115"/>
      <c r="DE894" s="97"/>
      <c r="DF894" s="46"/>
    </row>
    <row r="895" spans="1:255" s="42" customFormat="1" ht="48" x14ac:dyDescent="0.2">
      <c r="A895" s="89">
        <v>40662</v>
      </c>
      <c r="B895" s="90" t="s">
        <v>4219</v>
      </c>
      <c r="C895" s="90" t="s">
        <v>2232</v>
      </c>
      <c r="D895" s="90" t="s">
        <v>2362</v>
      </c>
      <c r="E895" s="90" t="str">
        <f>VLOOKUP(B895&amp;C895,Divipola!$C$2:$F$1138,4,FALSE)</f>
        <v>41551</v>
      </c>
      <c r="F895" s="90"/>
      <c r="G895" s="101"/>
      <c r="H895" s="101"/>
      <c r="I895" s="101"/>
      <c r="J895" s="101">
        <v>5</v>
      </c>
      <c r="K895" s="101">
        <v>1</v>
      </c>
      <c r="L895" s="101"/>
      <c r="M895" s="101">
        <v>1</v>
      </c>
      <c r="N895" s="101">
        <v>1</v>
      </c>
      <c r="O895" s="101"/>
      <c r="P895" s="101"/>
      <c r="Q895" s="101"/>
      <c r="R895" s="101"/>
      <c r="S895" s="101"/>
      <c r="T895" s="101"/>
      <c r="U895" s="101"/>
      <c r="V895" s="101"/>
      <c r="W895" s="91"/>
      <c r="X895" s="89"/>
      <c r="Y895" s="92">
        <f t="shared" si="78"/>
        <v>0</v>
      </c>
      <c r="Z895" s="92">
        <f t="shared" si="79"/>
        <v>0</v>
      </c>
      <c r="AA895" s="92">
        <f t="shared" si="80"/>
        <v>0</v>
      </c>
      <c r="AB895" s="92">
        <f t="shared" si="81"/>
        <v>0</v>
      </c>
      <c r="AC895" s="92"/>
      <c r="AD895" s="92">
        <v>0</v>
      </c>
      <c r="AE895" s="92">
        <f t="shared" si="82"/>
        <v>0</v>
      </c>
      <c r="AF895" s="93">
        <v>0</v>
      </c>
      <c r="AG895" s="89"/>
      <c r="AH895" s="94"/>
      <c r="AI895" s="95" t="s">
        <v>4336</v>
      </c>
      <c r="AJ895" s="96" t="s">
        <v>4337</v>
      </c>
      <c r="AK895" s="97"/>
      <c r="AL895" s="89"/>
      <c r="AM895" s="100" t="s">
        <v>4154</v>
      </c>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114"/>
      <c r="CQ895" s="115"/>
      <c r="CR895" s="114"/>
      <c r="CS895" s="115"/>
      <c r="CT895" s="114"/>
      <c r="CU895" s="115"/>
      <c r="CV895" s="99">
        <f t="shared" si="83"/>
        <v>0</v>
      </c>
      <c r="CW895" s="114"/>
      <c r="CX895" s="115"/>
      <c r="CY895" s="114"/>
      <c r="CZ895" s="115"/>
      <c r="DA895" s="115"/>
      <c r="DB895" s="115"/>
      <c r="DC895" s="114"/>
      <c r="DD895" s="115"/>
      <c r="DE895" s="97"/>
      <c r="DF895" s="46"/>
    </row>
    <row r="896" spans="1:255" s="42" customFormat="1" ht="36" x14ac:dyDescent="0.2">
      <c r="A896" s="89">
        <v>40662</v>
      </c>
      <c r="B896" s="90" t="s">
        <v>4219</v>
      </c>
      <c r="C896" s="90" t="s">
        <v>2249</v>
      </c>
      <c r="D896" s="90" t="s">
        <v>4264</v>
      </c>
      <c r="E896" s="90" t="str">
        <f>VLOOKUP(B896&amp;C896,Divipola!$C$2:$F$1138,4,FALSE)</f>
        <v>41770</v>
      </c>
      <c r="F896" s="90"/>
      <c r="G896" s="101"/>
      <c r="H896" s="101"/>
      <c r="I896" s="101"/>
      <c r="J896" s="101">
        <v>15</v>
      </c>
      <c r="K896" s="101">
        <v>5</v>
      </c>
      <c r="L896" s="101"/>
      <c r="M896" s="101">
        <v>3</v>
      </c>
      <c r="N896" s="101"/>
      <c r="O896" s="101"/>
      <c r="P896" s="101"/>
      <c r="Q896" s="101"/>
      <c r="R896" s="101"/>
      <c r="S896" s="101"/>
      <c r="T896" s="101"/>
      <c r="U896" s="101"/>
      <c r="V896" s="101"/>
      <c r="W896" s="91"/>
      <c r="X896" s="89"/>
      <c r="Y896" s="92">
        <f t="shared" si="78"/>
        <v>0</v>
      </c>
      <c r="Z896" s="92">
        <f t="shared" si="79"/>
        <v>0</v>
      </c>
      <c r="AA896" s="92">
        <f t="shared" si="80"/>
        <v>0</v>
      </c>
      <c r="AB896" s="92">
        <f t="shared" si="81"/>
        <v>0</v>
      </c>
      <c r="AC896" s="92"/>
      <c r="AD896" s="92">
        <v>0</v>
      </c>
      <c r="AE896" s="92">
        <f t="shared" si="82"/>
        <v>0</v>
      </c>
      <c r="AF896" s="93">
        <v>0</v>
      </c>
      <c r="AG896" s="89"/>
      <c r="AH896" s="94"/>
      <c r="AI896" s="95" t="s">
        <v>4336</v>
      </c>
      <c r="AJ896" s="96" t="s">
        <v>4337</v>
      </c>
      <c r="AK896" s="97"/>
      <c r="AL896" s="89"/>
      <c r="AM896" s="100" t="s">
        <v>4158</v>
      </c>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114"/>
      <c r="CQ896" s="115"/>
      <c r="CR896" s="114"/>
      <c r="CS896" s="115"/>
      <c r="CT896" s="114"/>
      <c r="CU896" s="115"/>
      <c r="CV896" s="99">
        <f t="shared" si="83"/>
        <v>0</v>
      </c>
      <c r="CW896" s="114"/>
      <c r="CX896" s="115"/>
      <c r="CY896" s="114"/>
      <c r="CZ896" s="115"/>
      <c r="DA896" s="115"/>
      <c r="DB896" s="115"/>
      <c r="DC896" s="114"/>
      <c r="DD896" s="115"/>
      <c r="DE896" s="97"/>
      <c r="DF896" s="46"/>
    </row>
    <row r="897" spans="1:110" s="42" customFormat="1" ht="36" x14ac:dyDescent="0.2">
      <c r="A897" s="89">
        <v>40662</v>
      </c>
      <c r="B897" s="90" t="s">
        <v>860</v>
      </c>
      <c r="C897" s="90" t="s">
        <v>2859</v>
      </c>
      <c r="D897" s="90" t="s">
        <v>2362</v>
      </c>
      <c r="E897" s="90" t="str">
        <f>VLOOKUP(B897&amp;C897,Divipola!$C$2:$F$1138,4,FALSE)</f>
        <v>50001</v>
      </c>
      <c r="F897" s="90"/>
      <c r="G897" s="101"/>
      <c r="H897" s="101"/>
      <c r="I897" s="101"/>
      <c r="J897" s="101">
        <v>6</v>
      </c>
      <c r="K897" s="101">
        <v>1</v>
      </c>
      <c r="L897" s="101"/>
      <c r="M897" s="101">
        <v>1</v>
      </c>
      <c r="N897" s="101"/>
      <c r="O897" s="101"/>
      <c r="P897" s="101"/>
      <c r="Q897" s="101"/>
      <c r="R897" s="101"/>
      <c r="S897" s="101"/>
      <c r="T897" s="101"/>
      <c r="U897" s="101"/>
      <c r="V897" s="101"/>
      <c r="W897" s="91"/>
      <c r="X897" s="89"/>
      <c r="Y897" s="92">
        <f t="shared" si="78"/>
        <v>0</v>
      </c>
      <c r="Z897" s="92">
        <f t="shared" si="79"/>
        <v>0</v>
      </c>
      <c r="AA897" s="92">
        <f t="shared" si="80"/>
        <v>0</v>
      </c>
      <c r="AB897" s="92">
        <f t="shared" si="81"/>
        <v>0</v>
      </c>
      <c r="AC897" s="92"/>
      <c r="AD897" s="92">
        <v>0</v>
      </c>
      <c r="AE897" s="92">
        <f t="shared" si="82"/>
        <v>0</v>
      </c>
      <c r="AF897" s="93">
        <v>0</v>
      </c>
      <c r="AG897" s="89"/>
      <c r="AH897" s="94"/>
      <c r="AI897" s="95" t="s">
        <v>4346</v>
      </c>
      <c r="AJ897" s="96" t="s">
        <v>4347</v>
      </c>
      <c r="AK897" s="97"/>
      <c r="AL897" s="89" t="s">
        <v>2798</v>
      </c>
      <c r="AM897" s="100" t="s">
        <v>2848</v>
      </c>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114"/>
      <c r="CQ897" s="115"/>
      <c r="CR897" s="114"/>
      <c r="CS897" s="115"/>
      <c r="CT897" s="114"/>
      <c r="CU897" s="115"/>
      <c r="CV897" s="99">
        <f t="shared" si="83"/>
        <v>0</v>
      </c>
      <c r="CW897" s="114"/>
      <c r="CX897" s="115"/>
      <c r="CY897" s="114"/>
      <c r="CZ897" s="115"/>
      <c r="DA897" s="115"/>
      <c r="DB897" s="115"/>
      <c r="DC897" s="114"/>
      <c r="DD897" s="115"/>
      <c r="DE897" s="97"/>
      <c r="DF897" s="46"/>
    </row>
    <row r="898" spans="1:110" s="42" customFormat="1" ht="96" x14ac:dyDescent="0.2">
      <c r="A898" s="89">
        <v>40662</v>
      </c>
      <c r="B898" s="90" t="s">
        <v>860</v>
      </c>
      <c r="C898" s="90" t="s">
        <v>2859</v>
      </c>
      <c r="D898" s="90" t="s">
        <v>4298</v>
      </c>
      <c r="E898" s="90" t="str">
        <f>VLOOKUP(B898&amp;C898,Divipola!$C$2:$F$1138,4,FALSE)</f>
        <v>50001</v>
      </c>
      <c r="F898" s="90"/>
      <c r="G898" s="101"/>
      <c r="H898" s="101"/>
      <c r="I898" s="101"/>
      <c r="J898" s="101"/>
      <c r="K898" s="101"/>
      <c r="L898" s="101"/>
      <c r="M898" s="101"/>
      <c r="N898" s="101"/>
      <c r="O898" s="101"/>
      <c r="P898" s="101"/>
      <c r="Q898" s="101"/>
      <c r="R898" s="101"/>
      <c r="S898" s="101"/>
      <c r="T898" s="101"/>
      <c r="U898" s="101">
        <v>1</v>
      </c>
      <c r="V898" s="101"/>
      <c r="W898" s="91"/>
      <c r="X898" s="89"/>
      <c r="Y898" s="92">
        <f t="shared" si="78"/>
        <v>0</v>
      </c>
      <c r="Z898" s="92">
        <f t="shared" si="79"/>
        <v>0</v>
      </c>
      <c r="AA898" s="92">
        <f t="shared" si="80"/>
        <v>0</v>
      </c>
      <c r="AB898" s="92">
        <f t="shared" si="81"/>
        <v>0</v>
      </c>
      <c r="AC898" s="92"/>
      <c r="AD898" s="92">
        <v>0</v>
      </c>
      <c r="AE898" s="92">
        <f t="shared" si="82"/>
        <v>0</v>
      </c>
      <c r="AF898" s="93">
        <v>0</v>
      </c>
      <c r="AG898" s="89"/>
      <c r="AH898" s="94"/>
      <c r="AI898" s="95" t="s">
        <v>4346</v>
      </c>
      <c r="AJ898" s="96" t="s">
        <v>4347</v>
      </c>
      <c r="AK898" s="97"/>
      <c r="AL898" s="89"/>
      <c r="AM898" s="100" t="s">
        <v>4157</v>
      </c>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114"/>
      <c r="CQ898" s="115"/>
      <c r="CR898" s="114"/>
      <c r="CS898" s="115"/>
      <c r="CT898" s="114"/>
      <c r="CU898" s="115"/>
      <c r="CV898" s="99">
        <f t="shared" si="83"/>
        <v>0</v>
      </c>
      <c r="CW898" s="114"/>
      <c r="CX898" s="115"/>
      <c r="CY898" s="114"/>
      <c r="CZ898" s="115"/>
      <c r="DA898" s="115"/>
      <c r="DB898" s="115"/>
      <c r="DC898" s="114"/>
      <c r="DD898" s="115"/>
      <c r="DE898" s="97"/>
      <c r="DF898" s="46"/>
    </row>
    <row r="899" spans="1:110" s="42" customFormat="1" ht="84" x14ac:dyDescent="0.2">
      <c r="A899" s="89">
        <v>40662</v>
      </c>
      <c r="B899" s="90" t="s">
        <v>4387</v>
      </c>
      <c r="C899" s="90" t="s">
        <v>3382</v>
      </c>
      <c r="D899" s="90" t="s">
        <v>4264</v>
      </c>
      <c r="E899" s="90" t="str">
        <f>VLOOKUP(B899&amp;C899,Divipola!$C$2:$F$1138,4,FALSE)</f>
        <v>52490</v>
      </c>
      <c r="F899" s="90"/>
      <c r="G899" s="101"/>
      <c r="H899" s="101"/>
      <c r="I899" s="101"/>
      <c r="J899" s="101">
        <v>140</v>
      </c>
      <c r="K899" s="101">
        <v>35</v>
      </c>
      <c r="L899" s="101"/>
      <c r="M899" s="101">
        <v>35</v>
      </c>
      <c r="N899" s="101"/>
      <c r="O899" s="101"/>
      <c r="P899" s="101"/>
      <c r="Q899" s="101">
        <v>1</v>
      </c>
      <c r="R899" s="101"/>
      <c r="S899" s="101"/>
      <c r="T899" s="101">
        <v>1</v>
      </c>
      <c r="U899" s="101"/>
      <c r="V899" s="101"/>
      <c r="W899" s="91"/>
      <c r="X899" s="105"/>
      <c r="Y899" s="92">
        <f t="shared" ref="Y899:Y924" si="84">CV899</f>
        <v>0</v>
      </c>
      <c r="Z899" s="92">
        <f t="shared" ref="Z899:Z924" si="85">CZ899</f>
        <v>0</v>
      </c>
      <c r="AA899" s="92">
        <f t="shared" ref="AA899:AA924" si="86">DB899+DD899</f>
        <v>0</v>
      </c>
      <c r="AB899" s="92">
        <f t="shared" ref="AB899:AB924" si="87">CX899</f>
        <v>0</v>
      </c>
      <c r="AC899" s="92"/>
      <c r="AD899" s="92">
        <v>0</v>
      </c>
      <c r="AE899" s="92">
        <f t="shared" ref="AE899:AE924" si="88">Y899+Z899+AA899+AB899+AC899+AD899</f>
        <v>0</v>
      </c>
      <c r="AF899" s="93">
        <v>0</v>
      </c>
      <c r="AG899" s="105"/>
      <c r="AH899" s="108"/>
      <c r="AI899" s="109" t="s">
        <v>4336</v>
      </c>
      <c r="AJ899" s="110" t="s">
        <v>4337</v>
      </c>
      <c r="AK899" s="111"/>
      <c r="AL899" s="105" t="s">
        <v>1069</v>
      </c>
      <c r="AM899" s="100" t="s">
        <v>72</v>
      </c>
      <c r="AN899" s="107"/>
      <c r="AO899" s="107"/>
      <c r="AP899" s="107"/>
      <c r="AQ899" s="107"/>
      <c r="AR899" s="107"/>
      <c r="AS899" s="107"/>
      <c r="AT899" s="107"/>
      <c r="AU899" s="107"/>
      <c r="AV899" s="107"/>
      <c r="AW899" s="107"/>
      <c r="AX899" s="107"/>
      <c r="AY899" s="107"/>
      <c r="AZ899" s="107"/>
      <c r="BA899" s="107"/>
      <c r="BB899" s="107"/>
      <c r="BC899" s="107"/>
      <c r="BD899" s="107"/>
      <c r="BE899" s="107"/>
      <c r="BF899" s="107"/>
      <c r="BG899" s="107"/>
      <c r="BH899" s="107"/>
      <c r="BI899" s="107"/>
      <c r="BJ899" s="107"/>
      <c r="BK899" s="107"/>
      <c r="BL899" s="107"/>
      <c r="BM899" s="107"/>
      <c r="BN899" s="107"/>
      <c r="BO899" s="107"/>
      <c r="BP899" s="107"/>
      <c r="BQ899" s="107"/>
      <c r="BR899" s="107"/>
      <c r="BS899" s="107"/>
      <c r="BT899" s="107"/>
      <c r="BU899" s="107"/>
      <c r="BV899" s="107"/>
      <c r="BW899" s="107"/>
      <c r="BX899" s="107"/>
      <c r="BY899" s="107"/>
      <c r="BZ899" s="107"/>
      <c r="CA899" s="107"/>
      <c r="CB899" s="107"/>
      <c r="CC899" s="107"/>
      <c r="CD899" s="107"/>
      <c r="CE899" s="107"/>
      <c r="CF899" s="107"/>
      <c r="CG899" s="107"/>
      <c r="CH899" s="107"/>
      <c r="CI899" s="107"/>
      <c r="CJ899" s="107"/>
      <c r="CK899" s="107"/>
      <c r="CL899" s="107"/>
      <c r="CM899" s="107"/>
      <c r="CN899" s="118"/>
      <c r="CO899" s="119"/>
      <c r="CP899" s="118"/>
      <c r="CQ899" s="119"/>
      <c r="CR899" s="118"/>
      <c r="CS899" s="119"/>
      <c r="CT899" s="113"/>
      <c r="CU899" s="118"/>
      <c r="CV899" s="99">
        <f t="shared" ref="CV899:CV962" si="89">AO899+AQ899+AS899+AU899+AW899+AY899+BA899+BC899+BE899+BG899+BI899+BK899+BM899+BO899+BQ899+BS899+BU899+BW899+BY899+CA899+CC899+CE899+CG899+CI899+CK899+CM899+CO899+CQ899+CS899+CU899</f>
        <v>0</v>
      </c>
      <c r="CW899" s="118"/>
      <c r="CX899" s="119"/>
      <c r="CY899" s="119"/>
      <c r="CZ899" s="119"/>
      <c r="DA899" s="118"/>
      <c r="DB899" s="119"/>
      <c r="DC899" s="111"/>
      <c r="DD899" s="119"/>
      <c r="DE899" s="111"/>
      <c r="DF899" s="46"/>
    </row>
    <row r="900" spans="1:110" s="42" customFormat="1" ht="84" x14ac:dyDescent="0.2">
      <c r="A900" s="89">
        <v>40662</v>
      </c>
      <c r="B900" s="90" t="s">
        <v>4387</v>
      </c>
      <c r="C900" s="90" t="s">
        <v>3330</v>
      </c>
      <c r="D900" s="90" t="s">
        <v>2362</v>
      </c>
      <c r="E900" s="90" t="str">
        <f>VLOOKUP(B900&amp;C900,Divipola!$C$2:$F$1138,4,FALSE)</f>
        <v>52678</v>
      </c>
      <c r="F900" s="90"/>
      <c r="G900" s="101"/>
      <c r="H900" s="101"/>
      <c r="I900" s="101"/>
      <c r="J900" s="101">
        <v>1013</v>
      </c>
      <c r="K900" s="101">
        <v>271</v>
      </c>
      <c r="L900" s="101"/>
      <c r="M900" s="101">
        <v>271</v>
      </c>
      <c r="N900" s="101">
        <v>7</v>
      </c>
      <c r="O900" s="101"/>
      <c r="P900" s="101"/>
      <c r="Q900" s="101"/>
      <c r="R900" s="101"/>
      <c r="S900" s="101"/>
      <c r="T900" s="101"/>
      <c r="U900" s="101"/>
      <c r="V900" s="101"/>
      <c r="W900" s="91"/>
      <c r="X900" s="105"/>
      <c r="Y900" s="92">
        <f t="shared" si="84"/>
        <v>0</v>
      </c>
      <c r="Z900" s="92">
        <f t="shared" si="85"/>
        <v>0</v>
      </c>
      <c r="AA900" s="92">
        <f t="shared" si="86"/>
        <v>0</v>
      </c>
      <c r="AB900" s="92">
        <f t="shared" si="87"/>
        <v>0</v>
      </c>
      <c r="AC900" s="92"/>
      <c r="AD900" s="92">
        <v>0</v>
      </c>
      <c r="AE900" s="92">
        <f t="shared" si="88"/>
        <v>0</v>
      </c>
      <c r="AF900" s="93">
        <v>0</v>
      </c>
      <c r="AG900" s="105"/>
      <c r="AH900" s="108"/>
      <c r="AI900" s="109" t="s">
        <v>4336</v>
      </c>
      <c r="AJ900" s="110" t="s">
        <v>4337</v>
      </c>
      <c r="AK900" s="111"/>
      <c r="AL900" s="105" t="s">
        <v>1069</v>
      </c>
      <c r="AM900" s="100" t="s">
        <v>2079</v>
      </c>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c r="BJ900" s="107"/>
      <c r="BK900" s="107"/>
      <c r="BL900" s="107"/>
      <c r="BM900" s="107"/>
      <c r="BN900" s="107"/>
      <c r="BO900" s="107"/>
      <c r="BP900" s="107"/>
      <c r="BQ900" s="107"/>
      <c r="BR900" s="107"/>
      <c r="BS900" s="107"/>
      <c r="BT900" s="107"/>
      <c r="BU900" s="107"/>
      <c r="BV900" s="107"/>
      <c r="BW900" s="107"/>
      <c r="BX900" s="107"/>
      <c r="BY900" s="107"/>
      <c r="BZ900" s="107"/>
      <c r="CA900" s="107"/>
      <c r="CB900" s="107"/>
      <c r="CC900" s="107"/>
      <c r="CD900" s="107"/>
      <c r="CE900" s="107"/>
      <c r="CF900" s="107"/>
      <c r="CG900" s="107"/>
      <c r="CH900" s="107"/>
      <c r="CI900" s="107"/>
      <c r="CJ900" s="107"/>
      <c r="CK900" s="107"/>
      <c r="CL900" s="107"/>
      <c r="CM900" s="107"/>
      <c r="CN900" s="118"/>
      <c r="CO900" s="119"/>
      <c r="CP900" s="118"/>
      <c r="CQ900" s="119"/>
      <c r="CR900" s="118"/>
      <c r="CS900" s="119"/>
      <c r="CT900" s="113"/>
      <c r="CU900" s="118"/>
      <c r="CV900" s="99">
        <f t="shared" si="89"/>
        <v>0</v>
      </c>
      <c r="CW900" s="118"/>
      <c r="CX900" s="119"/>
      <c r="CY900" s="119"/>
      <c r="CZ900" s="119"/>
      <c r="DA900" s="118"/>
      <c r="DB900" s="119"/>
      <c r="DC900" s="111"/>
      <c r="DD900" s="119"/>
      <c r="DE900" s="111"/>
      <c r="DF900" s="46"/>
    </row>
    <row r="901" spans="1:110" s="42" customFormat="1" ht="48" x14ac:dyDescent="0.2">
      <c r="A901" s="89">
        <v>40662</v>
      </c>
      <c r="B901" s="90" t="s">
        <v>4387</v>
      </c>
      <c r="C901" s="90" t="s">
        <v>3333</v>
      </c>
      <c r="D901" s="90" t="s">
        <v>2362</v>
      </c>
      <c r="E901" s="90" t="str">
        <f>VLOOKUP(B901&amp;C901,Divipola!$C$2:$F$1138,4,FALSE)</f>
        <v>52683</v>
      </c>
      <c r="F901" s="90"/>
      <c r="G901" s="101"/>
      <c r="H901" s="101"/>
      <c r="I901" s="101"/>
      <c r="J901" s="101">
        <v>159</v>
      </c>
      <c r="K901" s="101">
        <v>37</v>
      </c>
      <c r="L901" s="101"/>
      <c r="M901" s="101">
        <v>37</v>
      </c>
      <c r="N901" s="101"/>
      <c r="O901" s="101"/>
      <c r="P901" s="101"/>
      <c r="Q901" s="101"/>
      <c r="R901" s="101"/>
      <c r="S901" s="101"/>
      <c r="T901" s="101">
        <v>7</v>
      </c>
      <c r="U901" s="101"/>
      <c r="V901" s="101"/>
      <c r="W901" s="91"/>
      <c r="X901" s="105"/>
      <c r="Y901" s="92">
        <f t="shared" si="84"/>
        <v>0</v>
      </c>
      <c r="Z901" s="92">
        <f t="shared" si="85"/>
        <v>0</v>
      </c>
      <c r="AA901" s="92">
        <f t="shared" si="86"/>
        <v>0</v>
      </c>
      <c r="AB901" s="92">
        <f t="shared" si="87"/>
        <v>0</v>
      </c>
      <c r="AC901" s="92"/>
      <c r="AD901" s="92">
        <v>0</v>
      </c>
      <c r="AE901" s="92">
        <f t="shared" si="88"/>
        <v>0</v>
      </c>
      <c r="AF901" s="93">
        <v>0</v>
      </c>
      <c r="AG901" s="105"/>
      <c r="AH901" s="108"/>
      <c r="AI901" s="109" t="s">
        <v>4336</v>
      </c>
      <c r="AJ901" s="110" t="s">
        <v>4337</v>
      </c>
      <c r="AK901" s="111"/>
      <c r="AL901" s="105" t="s">
        <v>1069</v>
      </c>
      <c r="AM901" s="100" t="s">
        <v>73</v>
      </c>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c r="BJ901" s="107"/>
      <c r="BK901" s="107"/>
      <c r="BL901" s="107"/>
      <c r="BM901" s="107"/>
      <c r="BN901" s="107"/>
      <c r="BO901" s="107"/>
      <c r="BP901" s="107"/>
      <c r="BQ901" s="107"/>
      <c r="BR901" s="107"/>
      <c r="BS901" s="107"/>
      <c r="BT901" s="107"/>
      <c r="BU901" s="107"/>
      <c r="BV901" s="107"/>
      <c r="BW901" s="107"/>
      <c r="BX901" s="107"/>
      <c r="BY901" s="107"/>
      <c r="BZ901" s="107"/>
      <c r="CA901" s="107"/>
      <c r="CB901" s="107"/>
      <c r="CC901" s="107"/>
      <c r="CD901" s="107"/>
      <c r="CE901" s="107"/>
      <c r="CF901" s="107"/>
      <c r="CG901" s="107"/>
      <c r="CH901" s="107"/>
      <c r="CI901" s="107"/>
      <c r="CJ901" s="107"/>
      <c r="CK901" s="107"/>
      <c r="CL901" s="107"/>
      <c r="CM901" s="107"/>
      <c r="CN901" s="118"/>
      <c r="CO901" s="119"/>
      <c r="CP901" s="118"/>
      <c r="CQ901" s="119"/>
      <c r="CR901" s="118"/>
      <c r="CS901" s="119"/>
      <c r="CT901" s="113"/>
      <c r="CU901" s="118"/>
      <c r="CV901" s="99">
        <f t="shared" si="89"/>
        <v>0</v>
      </c>
      <c r="CW901" s="118"/>
      <c r="CX901" s="119"/>
      <c r="CY901" s="119"/>
      <c r="CZ901" s="119"/>
      <c r="DA901" s="118"/>
      <c r="DB901" s="119"/>
      <c r="DC901" s="111"/>
      <c r="DD901" s="119"/>
      <c r="DE901" s="111"/>
      <c r="DF901" s="46"/>
    </row>
    <row r="902" spans="1:110" s="42" customFormat="1" ht="36" x14ac:dyDescent="0.2">
      <c r="A902" s="89">
        <v>40662</v>
      </c>
      <c r="B902" s="90" t="s">
        <v>4387</v>
      </c>
      <c r="C902" s="90" t="s">
        <v>534</v>
      </c>
      <c r="D902" s="90" t="s">
        <v>2362</v>
      </c>
      <c r="E902" s="90" t="str">
        <f>VLOOKUP(B902&amp;C902,Divipola!$C$2:$F$1138,4,FALSE)</f>
        <v>52786</v>
      </c>
      <c r="F902" s="90"/>
      <c r="G902" s="101"/>
      <c r="H902" s="101"/>
      <c r="I902" s="101"/>
      <c r="J902" s="101">
        <v>78</v>
      </c>
      <c r="K902" s="101">
        <v>20</v>
      </c>
      <c r="L902" s="101"/>
      <c r="M902" s="101">
        <v>20</v>
      </c>
      <c r="N902" s="101">
        <v>6</v>
      </c>
      <c r="O902" s="101"/>
      <c r="P902" s="101"/>
      <c r="Q902" s="101"/>
      <c r="R902" s="101"/>
      <c r="S902" s="101"/>
      <c r="T902" s="101"/>
      <c r="U902" s="101"/>
      <c r="V902" s="101"/>
      <c r="W902" s="91"/>
      <c r="X902" s="105"/>
      <c r="Y902" s="92">
        <f t="shared" si="84"/>
        <v>0</v>
      </c>
      <c r="Z902" s="92">
        <f t="shared" si="85"/>
        <v>0</v>
      </c>
      <c r="AA902" s="92">
        <f t="shared" si="86"/>
        <v>0</v>
      </c>
      <c r="AB902" s="92">
        <f t="shared" si="87"/>
        <v>0</v>
      </c>
      <c r="AC902" s="92"/>
      <c r="AD902" s="92">
        <v>0</v>
      </c>
      <c r="AE902" s="92">
        <f t="shared" si="88"/>
        <v>0</v>
      </c>
      <c r="AF902" s="93">
        <v>0</v>
      </c>
      <c r="AG902" s="105"/>
      <c r="AH902" s="108"/>
      <c r="AI902" s="109" t="s">
        <v>4336</v>
      </c>
      <c r="AJ902" s="110" t="s">
        <v>4337</v>
      </c>
      <c r="AK902" s="111"/>
      <c r="AL902" s="105" t="s">
        <v>1069</v>
      </c>
      <c r="AM902" s="100" t="s">
        <v>2926</v>
      </c>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c r="BJ902" s="107"/>
      <c r="BK902" s="107"/>
      <c r="BL902" s="107"/>
      <c r="BM902" s="107"/>
      <c r="BN902" s="107"/>
      <c r="BO902" s="107"/>
      <c r="BP902" s="107"/>
      <c r="BQ902" s="107"/>
      <c r="BR902" s="107"/>
      <c r="BS902" s="107"/>
      <c r="BT902" s="107"/>
      <c r="BU902" s="107"/>
      <c r="BV902" s="107"/>
      <c r="BW902" s="107"/>
      <c r="BX902" s="107"/>
      <c r="BY902" s="107"/>
      <c r="BZ902" s="107"/>
      <c r="CA902" s="107"/>
      <c r="CB902" s="107"/>
      <c r="CC902" s="107"/>
      <c r="CD902" s="107"/>
      <c r="CE902" s="107"/>
      <c r="CF902" s="107"/>
      <c r="CG902" s="107"/>
      <c r="CH902" s="107"/>
      <c r="CI902" s="107"/>
      <c r="CJ902" s="107"/>
      <c r="CK902" s="107"/>
      <c r="CL902" s="107"/>
      <c r="CM902" s="107"/>
      <c r="CN902" s="118"/>
      <c r="CO902" s="119"/>
      <c r="CP902" s="118"/>
      <c r="CQ902" s="119"/>
      <c r="CR902" s="118"/>
      <c r="CS902" s="119"/>
      <c r="CT902" s="113"/>
      <c r="CU902" s="118"/>
      <c r="CV902" s="99">
        <f t="shared" si="89"/>
        <v>0</v>
      </c>
      <c r="CW902" s="118"/>
      <c r="CX902" s="119"/>
      <c r="CY902" s="119"/>
      <c r="CZ902" s="119"/>
      <c r="DA902" s="118"/>
      <c r="DB902" s="119"/>
      <c r="DC902" s="111"/>
      <c r="DD902" s="119"/>
      <c r="DE902" s="111"/>
      <c r="DF902" s="46"/>
    </row>
    <row r="903" spans="1:110" s="42" customFormat="1" ht="45" x14ac:dyDescent="0.2">
      <c r="A903" s="89">
        <v>40662</v>
      </c>
      <c r="B903" s="90" t="s">
        <v>4348</v>
      </c>
      <c r="C903" s="90" t="s">
        <v>3302</v>
      </c>
      <c r="D903" s="90" t="s">
        <v>2362</v>
      </c>
      <c r="E903" s="90" t="str">
        <f>VLOOKUP(B903&amp;C903,Divipola!$C$2:$F$1138,4,FALSE)</f>
        <v>66045</v>
      </c>
      <c r="F903" s="101"/>
      <c r="G903" s="101"/>
      <c r="H903" s="101"/>
      <c r="I903" s="101"/>
      <c r="J903" s="101">
        <v>500</v>
      </c>
      <c r="K903" s="101">
        <v>100</v>
      </c>
      <c r="L903" s="101"/>
      <c r="M903" s="101">
        <v>100</v>
      </c>
      <c r="N903" s="101"/>
      <c r="O903" s="101"/>
      <c r="P903" s="101"/>
      <c r="Q903" s="101">
        <v>1</v>
      </c>
      <c r="R903" s="101"/>
      <c r="S903" s="101"/>
      <c r="T903" s="101">
        <v>1</v>
      </c>
      <c r="U903" s="91"/>
      <c r="V903" s="89"/>
      <c r="W903" s="92"/>
      <c r="X903" s="92"/>
      <c r="Y903" s="92">
        <f t="shared" si="84"/>
        <v>0</v>
      </c>
      <c r="Z903" s="92">
        <f t="shared" si="85"/>
        <v>0</v>
      </c>
      <c r="AA903" s="92">
        <f t="shared" si="86"/>
        <v>0</v>
      </c>
      <c r="AB903" s="92">
        <f t="shared" si="87"/>
        <v>0</v>
      </c>
      <c r="AC903" s="92"/>
      <c r="AD903" s="92">
        <v>0</v>
      </c>
      <c r="AE903" s="92">
        <f t="shared" si="88"/>
        <v>0</v>
      </c>
      <c r="AF903" s="93">
        <v>0</v>
      </c>
      <c r="AG903" s="89"/>
      <c r="AH903" s="96"/>
      <c r="AI903" s="102" t="s">
        <v>4336</v>
      </c>
      <c r="AJ903" s="96" t="s">
        <v>4337</v>
      </c>
      <c r="AK903" s="100"/>
      <c r="AL903" s="89"/>
      <c r="AM903" s="90" t="s">
        <v>1954</v>
      </c>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114"/>
      <c r="CQ903" s="115"/>
      <c r="CR903" s="114"/>
      <c r="CS903" s="115"/>
      <c r="CT903" s="114"/>
      <c r="CU903" s="115"/>
      <c r="CV903" s="99">
        <f t="shared" si="89"/>
        <v>0</v>
      </c>
      <c r="CW903" s="114"/>
      <c r="CX903" s="115"/>
      <c r="CY903" s="114"/>
      <c r="CZ903" s="115"/>
      <c r="DA903" s="115"/>
      <c r="DB903" s="115"/>
      <c r="DC903" s="114"/>
      <c r="DD903" s="115"/>
      <c r="DE903" s="97"/>
      <c r="DF903" s="46"/>
    </row>
    <row r="904" spans="1:110" s="42" customFormat="1" ht="22.5" x14ac:dyDescent="0.2">
      <c r="A904" s="89">
        <v>40662</v>
      </c>
      <c r="B904" s="90" t="s">
        <v>4348</v>
      </c>
      <c r="C904" s="90" t="s">
        <v>4365</v>
      </c>
      <c r="D904" s="90" t="s">
        <v>4264</v>
      </c>
      <c r="E904" s="90" t="str">
        <f>VLOOKUP(B904&amp;C904,Divipola!$C$2:$F$1138,4,FALSE)</f>
        <v>66682</v>
      </c>
      <c r="F904" s="101"/>
      <c r="G904" s="101"/>
      <c r="H904" s="101"/>
      <c r="I904" s="101"/>
      <c r="J904" s="101">
        <v>150</v>
      </c>
      <c r="K904" s="101">
        <v>30</v>
      </c>
      <c r="L904" s="101"/>
      <c r="M904" s="101">
        <v>30</v>
      </c>
      <c r="N904" s="101"/>
      <c r="O904" s="101"/>
      <c r="P904" s="101"/>
      <c r="Q904" s="101"/>
      <c r="R904" s="101"/>
      <c r="S904" s="101"/>
      <c r="T904" s="101"/>
      <c r="U904" s="91"/>
      <c r="V904" s="89"/>
      <c r="W904" s="92"/>
      <c r="X904" s="92"/>
      <c r="Y904" s="92">
        <f t="shared" si="84"/>
        <v>0</v>
      </c>
      <c r="Z904" s="92">
        <f t="shared" si="85"/>
        <v>0</v>
      </c>
      <c r="AA904" s="92">
        <f t="shared" si="86"/>
        <v>0</v>
      </c>
      <c r="AB904" s="92">
        <f t="shared" si="87"/>
        <v>0</v>
      </c>
      <c r="AC904" s="92"/>
      <c r="AD904" s="92">
        <v>0</v>
      </c>
      <c r="AE904" s="92">
        <f t="shared" si="88"/>
        <v>0</v>
      </c>
      <c r="AF904" s="93">
        <v>0</v>
      </c>
      <c r="AG904" s="89"/>
      <c r="AH904" s="96"/>
      <c r="AI904" s="102" t="s">
        <v>4336</v>
      </c>
      <c r="AJ904" s="96" t="s">
        <v>4337</v>
      </c>
      <c r="AK904" s="100"/>
      <c r="AL904" s="89"/>
      <c r="AM904" s="90" t="s">
        <v>316</v>
      </c>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114"/>
      <c r="CQ904" s="115"/>
      <c r="CR904" s="114"/>
      <c r="CS904" s="115"/>
      <c r="CT904" s="114"/>
      <c r="CU904" s="115"/>
      <c r="CV904" s="99">
        <f t="shared" si="89"/>
        <v>0</v>
      </c>
      <c r="CW904" s="114"/>
      <c r="CX904" s="115"/>
      <c r="CY904" s="114"/>
      <c r="CZ904" s="115"/>
      <c r="DA904" s="115"/>
      <c r="DB904" s="115"/>
      <c r="DC904" s="114"/>
      <c r="DD904" s="115"/>
      <c r="DE904" s="97"/>
      <c r="DF904" s="46"/>
    </row>
    <row r="905" spans="1:110" s="42" customFormat="1" x14ac:dyDescent="0.2">
      <c r="A905" s="89">
        <v>40662</v>
      </c>
      <c r="B905" s="90" t="s">
        <v>2204</v>
      </c>
      <c r="C905" s="90" t="s">
        <v>4345</v>
      </c>
      <c r="D905" s="90" t="s">
        <v>4264</v>
      </c>
      <c r="E905" s="90">
        <f>VLOOKUP(B905&amp;C905,Divipola!$C$2:$F$1138,4,FALSE)</f>
        <v>70</v>
      </c>
      <c r="F905" s="90"/>
      <c r="G905" s="101"/>
      <c r="H905" s="101"/>
      <c r="I905" s="101"/>
      <c r="J905" s="101"/>
      <c r="K905" s="101"/>
      <c r="L905" s="101"/>
      <c r="M905" s="101"/>
      <c r="N905" s="101"/>
      <c r="O905" s="101"/>
      <c r="P905" s="101"/>
      <c r="Q905" s="101"/>
      <c r="R905" s="101"/>
      <c r="S905" s="101"/>
      <c r="T905" s="101"/>
      <c r="U905" s="101"/>
      <c r="V905" s="101"/>
      <c r="W905" s="91"/>
      <c r="X905" s="89"/>
      <c r="Y905" s="92">
        <f t="shared" si="84"/>
        <v>40000000</v>
      </c>
      <c r="Z905" s="92">
        <f t="shared" si="85"/>
        <v>0</v>
      </c>
      <c r="AA905" s="92">
        <f t="shared" si="86"/>
        <v>0</v>
      </c>
      <c r="AB905" s="92">
        <f t="shared" si="87"/>
        <v>180032000</v>
      </c>
      <c r="AC905" s="92"/>
      <c r="AD905" s="92">
        <v>0</v>
      </c>
      <c r="AE905" s="92">
        <f t="shared" si="88"/>
        <v>220032000</v>
      </c>
      <c r="AF905" s="93">
        <v>0</v>
      </c>
      <c r="AG905" s="89"/>
      <c r="AH905" s="94"/>
      <c r="AI905" s="95" t="s">
        <v>4346</v>
      </c>
      <c r="AJ905" s="96" t="s">
        <v>4347</v>
      </c>
      <c r="AK905" s="97"/>
      <c r="AL905" s="89"/>
      <c r="AM905" s="100"/>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v>80</v>
      </c>
      <c r="CA905" s="91">
        <f>80*500000</f>
        <v>40000000</v>
      </c>
      <c r="CB905" s="91"/>
      <c r="CC905" s="91"/>
      <c r="CD905" s="91"/>
      <c r="CE905" s="91"/>
      <c r="CF905" s="91"/>
      <c r="CG905" s="91"/>
      <c r="CH905" s="91"/>
      <c r="CI905" s="91"/>
      <c r="CJ905" s="91"/>
      <c r="CK905" s="91"/>
      <c r="CL905" s="91"/>
      <c r="CM905" s="91"/>
      <c r="CN905" s="91"/>
      <c r="CO905" s="91"/>
      <c r="CP905" s="114"/>
      <c r="CQ905" s="115"/>
      <c r="CR905" s="114"/>
      <c r="CS905" s="115"/>
      <c r="CT905" s="114"/>
      <c r="CU905" s="115"/>
      <c r="CV905" s="99">
        <f t="shared" si="89"/>
        <v>40000000</v>
      </c>
      <c r="CW905" s="114">
        <v>200000</v>
      </c>
      <c r="CX905" s="115">
        <f>200000*900.16</f>
        <v>180032000</v>
      </c>
      <c r="CY905" s="114"/>
      <c r="CZ905" s="115"/>
      <c r="DA905" s="115"/>
      <c r="DB905" s="115"/>
      <c r="DC905" s="114"/>
      <c r="DD905" s="115"/>
      <c r="DE905" s="97"/>
      <c r="DF905" s="46"/>
    </row>
    <row r="906" spans="1:110" s="42" customFormat="1" ht="24" x14ac:dyDescent="0.2">
      <c r="A906" s="89">
        <v>40662</v>
      </c>
      <c r="B906" s="90" t="s">
        <v>2204</v>
      </c>
      <c r="C906" s="90" t="s">
        <v>4275</v>
      </c>
      <c r="D906" s="90" t="s">
        <v>4264</v>
      </c>
      <c r="E906" s="90" t="str">
        <f>VLOOKUP(B906&amp;C906,Divipola!$C$2:$F$1138,4,FALSE)</f>
        <v>70678</v>
      </c>
      <c r="F906" s="90"/>
      <c r="G906" s="101"/>
      <c r="H906" s="101"/>
      <c r="I906" s="101"/>
      <c r="J906" s="101">
        <v>488</v>
      </c>
      <c r="K906" s="101">
        <v>177</v>
      </c>
      <c r="L906" s="101"/>
      <c r="M906" s="101">
        <v>177</v>
      </c>
      <c r="N906" s="101"/>
      <c r="O906" s="101"/>
      <c r="P906" s="101"/>
      <c r="Q906" s="101"/>
      <c r="R906" s="101"/>
      <c r="S906" s="101"/>
      <c r="T906" s="101"/>
      <c r="U906" s="101"/>
      <c r="V906" s="101"/>
      <c r="W906" s="91"/>
      <c r="X906" s="89"/>
      <c r="Y906" s="92">
        <f t="shared" si="84"/>
        <v>0</v>
      </c>
      <c r="Z906" s="92">
        <f t="shared" si="85"/>
        <v>0</v>
      </c>
      <c r="AA906" s="92">
        <f t="shared" si="86"/>
        <v>0</v>
      </c>
      <c r="AB906" s="92">
        <f t="shared" si="87"/>
        <v>0</v>
      </c>
      <c r="AC906" s="92"/>
      <c r="AD906" s="92">
        <v>0</v>
      </c>
      <c r="AE906" s="92">
        <f t="shared" si="88"/>
        <v>0</v>
      </c>
      <c r="AF906" s="93">
        <v>0</v>
      </c>
      <c r="AG906" s="89"/>
      <c r="AH906" s="94"/>
      <c r="AI906" s="102" t="s">
        <v>4336</v>
      </c>
      <c r="AJ906" s="96" t="s">
        <v>4337</v>
      </c>
      <c r="AK906" s="97"/>
      <c r="AL906" s="89"/>
      <c r="AM906" s="100" t="s">
        <v>246</v>
      </c>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114"/>
      <c r="CQ906" s="115"/>
      <c r="CR906" s="114"/>
      <c r="CS906" s="115"/>
      <c r="CT906" s="114"/>
      <c r="CU906" s="115"/>
      <c r="CV906" s="99">
        <f t="shared" si="89"/>
        <v>0</v>
      </c>
      <c r="CW906" s="114"/>
      <c r="CX906" s="115"/>
      <c r="CY906" s="114"/>
      <c r="CZ906" s="115"/>
      <c r="DA906" s="115"/>
      <c r="DB906" s="115"/>
      <c r="DC906" s="114"/>
      <c r="DD906" s="115"/>
      <c r="DE906" s="97"/>
      <c r="DF906" s="46"/>
    </row>
    <row r="907" spans="1:110" s="42" customFormat="1" ht="60" x14ac:dyDescent="0.2">
      <c r="A907" s="89">
        <v>40662</v>
      </c>
      <c r="B907" s="90" t="s">
        <v>4244</v>
      </c>
      <c r="C907" s="90" t="s">
        <v>3538</v>
      </c>
      <c r="D907" s="90" t="s">
        <v>4264</v>
      </c>
      <c r="E907" s="90" t="str">
        <f>VLOOKUP(B907&amp;C907,Divipola!$C$2:$F$1138,4,FALSE)</f>
        <v>76863</v>
      </c>
      <c r="F907" s="90"/>
      <c r="G907" s="101"/>
      <c r="H907" s="101"/>
      <c r="I907" s="101"/>
      <c r="J907" s="101"/>
      <c r="K907" s="101"/>
      <c r="L907" s="101"/>
      <c r="M907" s="101"/>
      <c r="N907" s="101">
        <v>1</v>
      </c>
      <c r="O907" s="101"/>
      <c r="P907" s="101"/>
      <c r="Q907" s="101"/>
      <c r="R907" s="101"/>
      <c r="S907" s="101"/>
      <c r="T907" s="101"/>
      <c r="U907" s="101"/>
      <c r="V907" s="101"/>
      <c r="W907" s="91"/>
      <c r="X907" s="89"/>
      <c r="Y907" s="92">
        <f t="shared" si="84"/>
        <v>0</v>
      </c>
      <c r="Z907" s="92">
        <f t="shared" si="85"/>
        <v>0</v>
      </c>
      <c r="AA907" s="92">
        <f t="shared" si="86"/>
        <v>0</v>
      </c>
      <c r="AB907" s="92">
        <f t="shared" si="87"/>
        <v>0</v>
      </c>
      <c r="AC907" s="92"/>
      <c r="AD907" s="92">
        <v>122887280</v>
      </c>
      <c r="AE907" s="92">
        <f t="shared" si="88"/>
        <v>122887280</v>
      </c>
      <c r="AF907" s="93">
        <v>0</v>
      </c>
      <c r="AG907" s="89"/>
      <c r="AH907" s="94"/>
      <c r="AI907" s="95" t="s">
        <v>4346</v>
      </c>
      <c r="AJ907" s="96" t="s">
        <v>4347</v>
      </c>
      <c r="AK907" s="97"/>
      <c r="AL907" s="89"/>
      <c r="AM907" s="100" t="s">
        <v>251</v>
      </c>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114"/>
      <c r="CQ907" s="115"/>
      <c r="CR907" s="114"/>
      <c r="CS907" s="115"/>
      <c r="CT907" s="114"/>
      <c r="CU907" s="115"/>
      <c r="CV907" s="99">
        <f t="shared" si="89"/>
        <v>0</v>
      </c>
      <c r="CW907" s="114"/>
      <c r="CX907" s="115"/>
      <c r="CY907" s="114"/>
      <c r="CZ907" s="115"/>
      <c r="DA907" s="115"/>
      <c r="DB907" s="115"/>
      <c r="DC907" s="114"/>
      <c r="DD907" s="115"/>
      <c r="DE907" s="97">
        <v>2</v>
      </c>
      <c r="DF907" s="46"/>
    </row>
    <row r="908" spans="1:110" s="42" customFormat="1" ht="22.5" x14ac:dyDescent="0.2">
      <c r="A908" s="89">
        <v>40662</v>
      </c>
      <c r="B908" s="106" t="s">
        <v>4244</v>
      </c>
      <c r="C908" s="106" t="s">
        <v>3538</v>
      </c>
      <c r="D908" s="90" t="s">
        <v>4264</v>
      </c>
      <c r="E908" s="90" t="str">
        <f>VLOOKUP(B908&amp;C908,Divipola!$C$2:$F$1138,4,FALSE)</f>
        <v>76863</v>
      </c>
      <c r="F908" s="90"/>
      <c r="G908" s="129"/>
      <c r="H908" s="129"/>
      <c r="I908" s="129"/>
      <c r="J908" s="129"/>
      <c r="K908" s="129"/>
      <c r="L908" s="129"/>
      <c r="M908" s="129"/>
      <c r="N908" s="129"/>
      <c r="O908" s="129"/>
      <c r="P908" s="129"/>
      <c r="Q908" s="129"/>
      <c r="R908" s="129"/>
      <c r="S908" s="129"/>
      <c r="T908" s="129"/>
      <c r="U908" s="129"/>
      <c r="V908" s="129"/>
      <c r="W908" s="107"/>
      <c r="X908" s="105"/>
      <c r="Y908" s="92">
        <f t="shared" si="84"/>
        <v>18084000</v>
      </c>
      <c r="Z908" s="92">
        <f t="shared" si="85"/>
        <v>10200000</v>
      </c>
      <c r="AA908" s="92">
        <f t="shared" si="86"/>
        <v>21999400</v>
      </c>
      <c r="AB908" s="92">
        <f t="shared" si="87"/>
        <v>0</v>
      </c>
      <c r="AC908" s="92"/>
      <c r="AD908" s="92">
        <v>0</v>
      </c>
      <c r="AE908" s="92">
        <f t="shared" si="88"/>
        <v>50283400</v>
      </c>
      <c r="AF908" s="93">
        <v>0</v>
      </c>
      <c r="AG908" s="105"/>
      <c r="AH908" s="108"/>
      <c r="AI908" s="109" t="s">
        <v>4346</v>
      </c>
      <c r="AJ908" s="110" t="s">
        <v>4347</v>
      </c>
      <c r="AK908" s="111"/>
      <c r="AL908" s="105"/>
      <c r="AM908" s="112"/>
      <c r="AN908" s="107"/>
      <c r="AO908" s="107"/>
      <c r="AP908" s="107"/>
      <c r="AQ908" s="107"/>
      <c r="AR908" s="107"/>
      <c r="AS908" s="107"/>
      <c r="AT908" s="107"/>
      <c r="AU908" s="107"/>
      <c r="AV908" s="107"/>
      <c r="AW908" s="107"/>
      <c r="AX908" s="107"/>
      <c r="AY908" s="107"/>
      <c r="AZ908" s="107">
        <v>120</v>
      </c>
      <c r="BA908" s="107">
        <f>120*56000</f>
        <v>6720000</v>
      </c>
      <c r="BB908" s="107"/>
      <c r="BC908" s="107"/>
      <c r="BD908" s="107"/>
      <c r="BE908" s="107"/>
      <c r="BF908" s="107"/>
      <c r="BG908" s="107"/>
      <c r="BH908" s="107"/>
      <c r="BI908" s="107"/>
      <c r="BJ908" s="107"/>
      <c r="BK908" s="107"/>
      <c r="BL908" s="107"/>
      <c r="BM908" s="107"/>
      <c r="BN908" s="107"/>
      <c r="BO908" s="107"/>
      <c r="BP908" s="107"/>
      <c r="BQ908" s="107"/>
      <c r="BR908" s="107"/>
      <c r="BS908" s="107"/>
      <c r="BT908" s="107"/>
      <c r="BU908" s="107"/>
      <c r="BV908" s="107"/>
      <c r="BW908" s="107"/>
      <c r="BX908" s="107"/>
      <c r="BY908" s="107"/>
      <c r="BZ908" s="107"/>
      <c r="CA908" s="107"/>
      <c r="CB908" s="107"/>
      <c r="CC908" s="107"/>
      <c r="CD908" s="107"/>
      <c r="CE908" s="107"/>
      <c r="CF908" s="107"/>
      <c r="CG908" s="107"/>
      <c r="CH908" s="107"/>
      <c r="CI908" s="107"/>
      <c r="CJ908" s="107">
        <v>120</v>
      </c>
      <c r="CK908" s="107">
        <f>120*18000</f>
        <v>2160000</v>
      </c>
      <c r="CL908" s="107"/>
      <c r="CM908" s="107"/>
      <c r="CN908" s="118"/>
      <c r="CO908" s="119"/>
      <c r="CP908" s="118">
        <v>120</v>
      </c>
      <c r="CQ908" s="119">
        <f>120*37000</f>
        <v>4440000</v>
      </c>
      <c r="CR908" s="118">
        <v>120</v>
      </c>
      <c r="CS908" s="119">
        <f>120*39700</f>
        <v>4764000</v>
      </c>
      <c r="CT908" s="113"/>
      <c r="CU908" s="118"/>
      <c r="CV908" s="99">
        <f t="shared" si="89"/>
        <v>18084000</v>
      </c>
      <c r="CW908" s="118"/>
      <c r="CX908" s="119"/>
      <c r="CY908" s="119">
        <v>120</v>
      </c>
      <c r="CZ908" s="119">
        <f>120*85000</f>
        <v>10200000</v>
      </c>
      <c r="DA908" s="118"/>
      <c r="DB908" s="119"/>
      <c r="DC908" s="111">
        <v>1000</v>
      </c>
      <c r="DD908" s="119">
        <f>1000*21999.4</f>
        <v>21999400</v>
      </c>
      <c r="DE908" s="111"/>
      <c r="DF908" s="46"/>
    </row>
    <row r="909" spans="1:110" s="42" customFormat="1" x14ac:dyDescent="0.2">
      <c r="A909" s="89">
        <v>40663</v>
      </c>
      <c r="B909" s="90" t="s">
        <v>2218</v>
      </c>
      <c r="C909" s="90" t="s">
        <v>4345</v>
      </c>
      <c r="D909" s="90" t="s">
        <v>4264</v>
      </c>
      <c r="E909" s="90">
        <f>VLOOKUP(B909&amp;C909,Divipola!$C$2:$F$1138,4,FALSE)</f>
        <v>5</v>
      </c>
      <c r="F909" s="90"/>
      <c r="G909" s="101"/>
      <c r="H909" s="101"/>
      <c r="I909" s="101"/>
      <c r="J909" s="101"/>
      <c r="K909" s="101"/>
      <c r="L909" s="101"/>
      <c r="M909" s="101"/>
      <c r="N909" s="101"/>
      <c r="O909" s="101"/>
      <c r="P909" s="101"/>
      <c r="Q909" s="101"/>
      <c r="R909" s="101"/>
      <c r="S909" s="101"/>
      <c r="T909" s="101"/>
      <c r="U909" s="101"/>
      <c r="V909" s="101"/>
      <c r="W909" s="91"/>
      <c r="X909" s="89"/>
      <c r="Y909" s="92">
        <f t="shared" si="84"/>
        <v>97295000</v>
      </c>
      <c r="Z909" s="92">
        <f t="shared" si="85"/>
        <v>85000000</v>
      </c>
      <c r="AA909" s="92">
        <f t="shared" si="86"/>
        <v>0</v>
      </c>
      <c r="AB909" s="92">
        <f t="shared" si="87"/>
        <v>0</v>
      </c>
      <c r="AC909" s="92"/>
      <c r="AD909" s="92">
        <v>0</v>
      </c>
      <c r="AE909" s="92">
        <f t="shared" si="88"/>
        <v>182295000</v>
      </c>
      <c r="AF909" s="93">
        <v>0</v>
      </c>
      <c r="AG909" s="89"/>
      <c r="AH909" s="94"/>
      <c r="AI909" s="95" t="s">
        <v>4346</v>
      </c>
      <c r="AJ909" s="96" t="s">
        <v>4347</v>
      </c>
      <c r="AK909" s="97"/>
      <c r="AL909" s="89"/>
      <c r="AM909" s="100"/>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v>1000</v>
      </c>
      <c r="CK909" s="91">
        <f>1000*21000</f>
        <v>21000000</v>
      </c>
      <c r="CL909" s="91"/>
      <c r="CM909" s="91"/>
      <c r="CN909" s="91"/>
      <c r="CO909" s="91"/>
      <c r="CP909" s="114">
        <v>1000</v>
      </c>
      <c r="CQ909" s="115">
        <f>1000*36595</f>
        <v>36595000</v>
      </c>
      <c r="CR909" s="114">
        <v>1000</v>
      </c>
      <c r="CS909" s="115">
        <f>1000*39700</f>
        <v>39700000</v>
      </c>
      <c r="CT909" s="114"/>
      <c r="CU909" s="115"/>
      <c r="CV909" s="99">
        <f t="shared" si="89"/>
        <v>97295000</v>
      </c>
      <c r="CW909" s="114"/>
      <c r="CX909" s="115"/>
      <c r="CY909" s="114">
        <v>1000</v>
      </c>
      <c r="CZ909" s="115">
        <f>1000*85000</f>
        <v>85000000</v>
      </c>
      <c r="DA909" s="115"/>
      <c r="DB909" s="115"/>
      <c r="DC909" s="114"/>
      <c r="DD909" s="115"/>
      <c r="DE909" s="97"/>
      <c r="DF909" s="46"/>
    </row>
    <row r="910" spans="1:110" s="42" customFormat="1" ht="48" x14ac:dyDescent="0.2">
      <c r="A910" s="89">
        <v>40663</v>
      </c>
      <c r="B910" s="90" t="s">
        <v>2218</v>
      </c>
      <c r="C910" s="90" t="s">
        <v>3297</v>
      </c>
      <c r="D910" s="90" t="s">
        <v>2362</v>
      </c>
      <c r="E910" s="90" t="str">
        <f>VLOOKUP(B910&amp;C910,Divipola!$C$2:$F$1138,4,FALSE)</f>
        <v>05001</v>
      </c>
      <c r="F910" s="90"/>
      <c r="G910" s="101"/>
      <c r="H910" s="101"/>
      <c r="I910" s="101"/>
      <c r="J910" s="101">
        <v>135</v>
      </c>
      <c r="K910" s="101">
        <v>27</v>
      </c>
      <c r="L910" s="101">
        <v>5</v>
      </c>
      <c r="M910" s="101">
        <v>22</v>
      </c>
      <c r="N910" s="101"/>
      <c r="O910" s="101"/>
      <c r="P910" s="101"/>
      <c r="Q910" s="101"/>
      <c r="R910" s="101"/>
      <c r="S910" s="101"/>
      <c r="T910" s="101"/>
      <c r="U910" s="101"/>
      <c r="V910" s="101"/>
      <c r="W910" s="91"/>
      <c r="X910" s="89"/>
      <c r="Y910" s="92">
        <f t="shared" si="84"/>
        <v>0</v>
      </c>
      <c r="Z910" s="92">
        <f t="shared" si="85"/>
        <v>0</v>
      </c>
      <c r="AA910" s="92">
        <f t="shared" si="86"/>
        <v>0</v>
      </c>
      <c r="AB910" s="92">
        <f t="shared" si="87"/>
        <v>0</v>
      </c>
      <c r="AC910" s="92"/>
      <c r="AD910" s="92">
        <v>0</v>
      </c>
      <c r="AE910" s="92">
        <f t="shared" si="88"/>
        <v>0</v>
      </c>
      <c r="AF910" s="93">
        <v>0</v>
      </c>
      <c r="AG910" s="89"/>
      <c r="AH910" s="94"/>
      <c r="AI910" s="102" t="s">
        <v>4336</v>
      </c>
      <c r="AJ910" s="96" t="s">
        <v>4337</v>
      </c>
      <c r="AK910" s="97"/>
      <c r="AL910" s="89"/>
      <c r="AM910" s="100" t="s">
        <v>1046</v>
      </c>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114"/>
      <c r="CQ910" s="115"/>
      <c r="CR910" s="114"/>
      <c r="CS910" s="115"/>
      <c r="CT910" s="114"/>
      <c r="CU910" s="115"/>
      <c r="CV910" s="99">
        <f t="shared" si="89"/>
        <v>0</v>
      </c>
      <c r="CW910" s="114"/>
      <c r="CX910" s="115"/>
      <c r="CY910" s="114"/>
      <c r="CZ910" s="115"/>
      <c r="DA910" s="115"/>
      <c r="DB910" s="115"/>
      <c r="DC910" s="114"/>
      <c r="DD910" s="115"/>
      <c r="DE910" s="97"/>
      <c r="DF910" s="46"/>
    </row>
    <row r="911" spans="1:110" s="42" customFormat="1" ht="24" x14ac:dyDescent="0.2">
      <c r="A911" s="89">
        <v>40663</v>
      </c>
      <c r="B911" s="106" t="s">
        <v>4261</v>
      </c>
      <c r="C911" s="106" t="s">
        <v>4345</v>
      </c>
      <c r="D911" s="90" t="s">
        <v>4264</v>
      </c>
      <c r="E911" s="90">
        <f>VLOOKUP(B911&amp;C911,Divipola!$C$2:$F$1138,4,FALSE)</f>
        <v>15</v>
      </c>
      <c r="F911" s="90"/>
      <c r="G911" s="129"/>
      <c r="H911" s="129"/>
      <c r="I911" s="129"/>
      <c r="J911" s="129"/>
      <c r="K911" s="129"/>
      <c r="L911" s="129"/>
      <c r="M911" s="129"/>
      <c r="N911" s="129"/>
      <c r="O911" s="129"/>
      <c r="P911" s="129"/>
      <c r="Q911" s="129"/>
      <c r="R911" s="129"/>
      <c r="S911" s="129"/>
      <c r="T911" s="129"/>
      <c r="U911" s="129"/>
      <c r="V911" s="129"/>
      <c r="W911" s="107"/>
      <c r="X911" s="105"/>
      <c r="Y911" s="117">
        <f t="shared" si="84"/>
        <v>117900000</v>
      </c>
      <c r="Z911" s="117">
        <f t="shared" si="85"/>
        <v>0</v>
      </c>
      <c r="AA911" s="117">
        <f t="shared" si="86"/>
        <v>14065000</v>
      </c>
      <c r="AB911" s="117">
        <f t="shared" si="87"/>
        <v>0</v>
      </c>
      <c r="AC911" s="125">
        <v>57246000</v>
      </c>
      <c r="AD911" s="117">
        <v>0</v>
      </c>
      <c r="AE911" s="92">
        <f t="shared" si="88"/>
        <v>189211000</v>
      </c>
      <c r="AF911" s="93">
        <v>0</v>
      </c>
      <c r="AG911" s="105"/>
      <c r="AH911" s="108"/>
      <c r="AI911" s="109" t="s">
        <v>4346</v>
      </c>
      <c r="AJ911" s="110" t="s">
        <v>4347</v>
      </c>
      <c r="AK911" s="111"/>
      <c r="AL911" s="105"/>
      <c r="AM911" s="126" t="s">
        <v>2201</v>
      </c>
      <c r="AN911" s="107"/>
      <c r="AO911" s="107"/>
      <c r="AP911" s="107"/>
      <c r="AQ911" s="107"/>
      <c r="AR911" s="107"/>
      <c r="AS911" s="107"/>
      <c r="AT911" s="107"/>
      <c r="AU911" s="107"/>
      <c r="AV911" s="91"/>
      <c r="AW911" s="91"/>
      <c r="AX911" s="107">
        <v>300</v>
      </c>
      <c r="AY911" s="107">
        <f>150*250000+64*450000+86*600000</f>
        <v>117900000</v>
      </c>
      <c r="AZ911" s="107"/>
      <c r="BA911" s="107"/>
      <c r="BB911" s="107"/>
      <c r="BC911" s="107"/>
      <c r="BD911" s="107"/>
      <c r="BE911" s="107"/>
      <c r="BF911" s="107"/>
      <c r="BG911" s="107"/>
      <c r="BH911" s="107"/>
      <c r="BI911" s="107"/>
      <c r="BJ911" s="107"/>
      <c r="BK911" s="107"/>
      <c r="BL911" s="107"/>
      <c r="BM911" s="107"/>
      <c r="BN911" s="107"/>
      <c r="BO911" s="107"/>
      <c r="BP911" s="107"/>
      <c r="BQ911" s="107"/>
      <c r="BR911" s="107"/>
      <c r="BS911" s="107"/>
      <c r="BT911" s="107"/>
      <c r="BU911" s="107"/>
      <c r="BV911" s="107"/>
      <c r="BW911" s="107"/>
      <c r="BX911" s="107"/>
      <c r="BY911" s="107"/>
      <c r="BZ911" s="107"/>
      <c r="CA911" s="107"/>
      <c r="CB911" s="107"/>
      <c r="CC911" s="107"/>
      <c r="CD911" s="107"/>
      <c r="CE911" s="107"/>
      <c r="CF911" s="107"/>
      <c r="CG911" s="107"/>
      <c r="CH911" s="107"/>
      <c r="CI911" s="107"/>
      <c r="CJ911" s="107"/>
      <c r="CK911" s="107"/>
      <c r="CL911" s="107"/>
      <c r="CM911" s="107"/>
      <c r="CN911" s="107"/>
      <c r="CO911" s="107"/>
      <c r="CP911" s="118"/>
      <c r="CQ911" s="119"/>
      <c r="CR911" s="118"/>
      <c r="CS911" s="119"/>
      <c r="CT911" s="118"/>
      <c r="CU911" s="119"/>
      <c r="CV911" s="99">
        <f t="shared" si="89"/>
        <v>117900000</v>
      </c>
      <c r="CW911" s="118"/>
      <c r="CX911" s="119"/>
      <c r="CY911" s="118"/>
      <c r="CZ911" s="119"/>
      <c r="DA911" s="119"/>
      <c r="DB911" s="119"/>
      <c r="DC911" s="118">
        <v>500</v>
      </c>
      <c r="DD911" s="119">
        <f>500*28130</f>
        <v>14065000</v>
      </c>
      <c r="DE911" s="111"/>
      <c r="DF911" s="46"/>
    </row>
    <row r="912" spans="1:110" s="42" customFormat="1" ht="48" x14ac:dyDescent="0.2">
      <c r="A912" s="89">
        <v>40663</v>
      </c>
      <c r="B912" s="90" t="s">
        <v>4296</v>
      </c>
      <c r="C912" s="90" t="s">
        <v>4267</v>
      </c>
      <c r="D912" s="90" t="s">
        <v>4264</v>
      </c>
      <c r="E912" s="90" t="str">
        <f>VLOOKUP(B912&amp;C912,Divipola!$C$2:$F$1138,4,FALSE)</f>
        <v>19743</v>
      </c>
      <c r="F912" s="90"/>
      <c r="G912" s="101"/>
      <c r="H912" s="101"/>
      <c r="I912" s="101"/>
      <c r="J912" s="101">
        <f>1157*4</f>
        <v>4628</v>
      </c>
      <c r="K912" s="101">
        <f>72+1085</f>
        <v>1157</v>
      </c>
      <c r="L912" s="101"/>
      <c r="M912" s="101">
        <v>72</v>
      </c>
      <c r="N912" s="101"/>
      <c r="O912" s="101"/>
      <c r="P912" s="101"/>
      <c r="Q912" s="101"/>
      <c r="R912" s="101"/>
      <c r="S912" s="101"/>
      <c r="T912" s="101"/>
      <c r="U912" s="101"/>
      <c r="V912" s="101"/>
      <c r="W912" s="91"/>
      <c r="X912" s="89"/>
      <c r="Y912" s="92">
        <f t="shared" si="84"/>
        <v>0</v>
      </c>
      <c r="Z912" s="92">
        <f t="shared" si="85"/>
        <v>0</v>
      </c>
      <c r="AA912" s="92">
        <f t="shared" si="86"/>
        <v>0</v>
      </c>
      <c r="AB912" s="92">
        <f t="shared" si="87"/>
        <v>0</v>
      </c>
      <c r="AC912" s="92"/>
      <c r="AD912" s="92">
        <v>0</v>
      </c>
      <c r="AE912" s="92">
        <f t="shared" si="88"/>
        <v>0</v>
      </c>
      <c r="AF912" s="93">
        <v>0</v>
      </c>
      <c r="AG912" s="89"/>
      <c r="AH912" s="94"/>
      <c r="AI912" s="95" t="s">
        <v>4336</v>
      </c>
      <c r="AJ912" s="96" t="s">
        <v>4337</v>
      </c>
      <c r="AK912" s="97"/>
      <c r="AL912" s="89"/>
      <c r="AM912" s="100" t="s">
        <v>1045</v>
      </c>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114"/>
      <c r="CQ912" s="115"/>
      <c r="CR912" s="114"/>
      <c r="CS912" s="115"/>
      <c r="CT912" s="114"/>
      <c r="CU912" s="115"/>
      <c r="CV912" s="99">
        <f t="shared" si="89"/>
        <v>0</v>
      </c>
      <c r="CW912" s="114"/>
      <c r="CX912" s="115"/>
      <c r="CY912" s="114"/>
      <c r="CZ912" s="115"/>
      <c r="DA912" s="115"/>
      <c r="DB912" s="115"/>
      <c r="DC912" s="114"/>
      <c r="DD912" s="115"/>
      <c r="DE912" s="97"/>
      <c r="DF912" s="46"/>
    </row>
    <row r="913" spans="1:110" s="42" customFormat="1" ht="48" x14ac:dyDescent="0.2">
      <c r="A913" s="89">
        <v>40663</v>
      </c>
      <c r="B913" s="90" t="s">
        <v>4219</v>
      </c>
      <c r="C913" s="90" t="s">
        <v>4382</v>
      </c>
      <c r="D913" s="90" t="s">
        <v>2362</v>
      </c>
      <c r="E913" s="90" t="str">
        <f>VLOOKUP(B913&amp;C913,Divipola!$C$2:$F$1138,4,FALSE)</f>
        <v>41807</v>
      </c>
      <c r="F913" s="90"/>
      <c r="G913" s="101">
        <v>1</v>
      </c>
      <c r="H913" s="101"/>
      <c r="I913" s="101"/>
      <c r="J913" s="101"/>
      <c r="K913" s="101"/>
      <c r="L913" s="101"/>
      <c r="M913" s="101"/>
      <c r="N913" s="101">
        <v>1</v>
      </c>
      <c r="O913" s="101"/>
      <c r="P913" s="101"/>
      <c r="Q913" s="101"/>
      <c r="R913" s="101"/>
      <c r="S913" s="101"/>
      <c r="T913" s="101"/>
      <c r="U913" s="101"/>
      <c r="V913" s="101"/>
      <c r="W913" s="91"/>
      <c r="X913" s="89"/>
      <c r="Y913" s="92">
        <f t="shared" si="84"/>
        <v>0</v>
      </c>
      <c r="Z913" s="92">
        <f t="shared" si="85"/>
        <v>0</v>
      </c>
      <c r="AA913" s="92">
        <f t="shared" si="86"/>
        <v>0</v>
      </c>
      <c r="AB913" s="92">
        <f t="shared" si="87"/>
        <v>0</v>
      </c>
      <c r="AC913" s="92"/>
      <c r="AD913" s="92">
        <v>0</v>
      </c>
      <c r="AE913" s="92">
        <f t="shared" si="88"/>
        <v>0</v>
      </c>
      <c r="AF913" s="93">
        <v>0</v>
      </c>
      <c r="AG913" s="89"/>
      <c r="AH913" s="94"/>
      <c r="AI913" s="95" t="s">
        <v>4336</v>
      </c>
      <c r="AJ913" s="96" t="s">
        <v>4337</v>
      </c>
      <c r="AK913" s="97"/>
      <c r="AL913" s="89"/>
      <c r="AM913" s="100" t="s">
        <v>4160</v>
      </c>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114"/>
      <c r="CQ913" s="115"/>
      <c r="CR913" s="114"/>
      <c r="CS913" s="115"/>
      <c r="CT913" s="114"/>
      <c r="CU913" s="115"/>
      <c r="CV913" s="99">
        <f t="shared" si="89"/>
        <v>0</v>
      </c>
      <c r="CW913" s="114"/>
      <c r="CX913" s="115"/>
      <c r="CY913" s="114"/>
      <c r="CZ913" s="115"/>
      <c r="DA913" s="115"/>
      <c r="DB913" s="115"/>
      <c r="DC913" s="114"/>
      <c r="DD913" s="115"/>
      <c r="DE913" s="97"/>
      <c r="DF913" s="46"/>
    </row>
    <row r="914" spans="1:110" s="42" customFormat="1" ht="108" x14ac:dyDescent="0.2">
      <c r="A914" s="89">
        <v>40663</v>
      </c>
      <c r="B914" s="90" t="s">
        <v>4387</v>
      </c>
      <c r="C914" s="90" t="s">
        <v>501</v>
      </c>
      <c r="D914" s="90" t="s">
        <v>2362</v>
      </c>
      <c r="E914" s="90" t="str">
        <f>VLOOKUP(B914&amp;C914,Divipola!$C$2:$F$1138,4,FALSE)</f>
        <v>52411</v>
      </c>
      <c r="F914" s="90"/>
      <c r="G914" s="101"/>
      <c r="H914" s="101"/>
      <c r="I914" s="101"/>
      <c r="J914" s="101">
        <v>110</v>
      </c>
      <c r="K914" s="101">
        <v>47</v>
      </c>
      <c r="L914" s="101">
        <v>13</v>
      </c>
      <c r="M914" s="101">
        <v>34</v>
      </c>
      <c r="N914" s="101">
        <v>5</v>
      </c>
      <c r="O914" s="101"/>
      <c r="P914" s="101"/>
      <c r="Q914" s="101"/>
      <c r="R914" s="101"/>
      <c r="S914" s="101">
        <v>1</v>
      </c>
      <c r="T914" s="101">
        <v>8</v>
      </c>
      <c r="U914" s="101"/>
      <c r="V914" s="101"/>
      <c r="W914" s="91"/>
      <c r="X914" s="105"/>
      <c r="Y914" s="92">
        <f t="shared" si="84"/>
        <v>0</v>
      </c>
      <c r="Z914" s="92">
        <f t="shared" si="85"/>
        <v>0</v>
      </c>
      <c r="AA914" s="92">
        <f t="shared" si="86"/>
        <v>0</v>
      </c>
      <c r="AB914" s="92">
        <f t="shared" si="87"/>
        <v>0</v>
      </c>
      <c r="AC914" s="92"/>
      <c r="AD914" s="92">
        <v>0</v>
      </c>
      <c r="AE914" s="92">
        <f t="shared" si="88"/>
        <v>0</v>
      </c>
      <c r="AF914" s="93">
        <v>0</v>
      </c>
      <c r="AG914" s="105"/>
      <c r="AH914" s="108"/>
      <c r="AI914" s="109" t="s">
        <v>4336</v>
      </c>
      <c r="AJ914" s="110" t="s">
        <v>4337</v>
      </c>
      <c r="AK914" s="111"/>
      <c r="AL914" s="105" t="s">
        <v>1069</v>
      </c>
      <c r="AM914" s="100" t="s">
        <v>74</v>
      </c>
      <c r="AN914" s="107"/>
      <c r="AO914" s="107"/>
      <c r="AP914" s="107"/>
      <c r="AQ914" s="107"/>
      <c r="AR914" s="107"/>
      <c r="AS914" s="107"/>
      <c r="AT914" s="107"/>
      <c r="AU914" s="107"/>
      <c r="AV914" s="107"/>
      <c r="AW914" s="107"/>
      <c r="AX914" s="107"/>
      <c r="AY914" s="107"/>
      <c r="AZ914" s="107"/>
      <c r="BA914" s="107"/>
      <c r="BB914" s="107"/>
      <c r="BC914" s="107"/>
      <c r="BD914" s="107"/>
      <c r="BE914" s="107"/>
      <c r="BF914" s="107"/>
      <c r="BG914" s="107"/>
      <c r="BH914" s="107"/>
      <c r="BI914" s="107"/>
      <c r="BJ914" s="107"/>
      <c r="BK914" s="107"/>
      <c r="BL914" s="107"/>
      <c r="BM914" s="107"/>
      <c r="BN914" s="107"/>
      <c r="BO914" s="107"/>
      <c r="BP914" s="107"/>
      <c r="BQ914" s="107"/>
      <c r="BR914" s="107"/>
      <c r="BS914" s="107"/>
      <c r="BT914" s="107"/>
      <c r="BU914" s="107"/>
      <c r="BV914" s="107"/>
      <c r="BW914" s="107"/>
      <c r="BX914" s="107"/>
      <c r="BY914" s="107"/>
      <c r="BZ914" s="107"/>
      <c r="CA914" s="107"/>
      <c r="CB914" s="107"/>
      <c r="CC914" s="107"/>
      <c r="CD914" s="107"/>
      <c r="CE914" s="107"/>
      <c r="CF914" s="107"/>
      <c r="CG914" s="107"/>
      <c r="CH914" s="107"/>
      <c r="CI914" s="107"/>
      <c r="CJ914" s="107"/>
      <c r="CK914" s="107"/>
      <c r="CL914" s="107"/>
      <c r="CM914" s="107"/>
      <c r="CN914" s="118"/>
      <c r="CO914" s="119"/>
      <c r="CP914" s="118"/>
      <c r="CQ914" s="119"/>
      <c r="CR914" s="118"/>
      <c r="CS914" s="119"/>
      <c r="CT914" s="113"/>
      <c r="CU914" s="118"/>
      <c r="CV914" s="99">
        <f t="shared" si="89"/>
        <v>0</v>
      </c>
      <c r="CW914" s="118"/>
      <c r="CX914" s="119"/>
      <c r="CY914" s="119"/>
      <c r="CZ914" s="119"/>
      <c r="DA914" s="118"/>
      <c r="DB914" s="119"/>
      <c r="DC914" s="111"/>
      <c r="DD914" s="119"/>
      <c r="DE914" s="111"/>
      <c r="DF914" s="46">
        <v>1769</v>
      </c>
    </row>
    <row r="915" spans="1:110" s="42" customFormat="1" ht="72" x14ac:dyDescent="0.2">
      <c r="A915" s="89">
        <v>40663</v>
      </c>
      <c r="B915" s="106" t="s">
        <v>4221</v>
      </c>
      <c r="C915" s="106" t="s">
        <v>3354</v>
      </c>
      <c r="D915" s="90" t="s">
        <v>4264</v>
      </c>
      <c r="E915" s="90" t="str">
        <f>VLOOKUP(B915&amp;C915,Divipola!$C$2:$F$1138,4,FALSE)</f>
        <v>54239</v>
      </c>
      <c r="F915" s="90"/>
      <c r="G915" s="129"/>
      <c r="H915" s="129"/>
      <c r="I915" s="129"/>
      <c r="J915" s="129">
        <v>5</v>
      </c>
      <c r="K915" s="129">
        <v>1</v>
      </c>
      <c r="L915" s="129"/>
      <c r="M915" s="129">
        <v>1</v>
      </c>
      <c r="N915" s="129"/>
      <c r="O915" s="129"/>
      <c r="P915" s="129"/>
      <c r="Q915" s="129"/>
      <c r="R915" s="129"/>
      <c r="S915" s="129"/>
      <c r="T915" s="129"/>
      <c r="U915" s="129"/>
      <c r="V915" s="129"/>
      <c r="W915" s="107"/>
      <c r="X915" s="105"/>
      <c r="Y915" s="117">
        <f t="shared" si="84"/>
        <v>4892920</v>
      </c>
      <c r="Z915" s="117">
        <f t="shared" si="85"/>
        <v>4250000</v>
      </c>
      <c r="AA915" s="117">
        <f t="shared" si="86"/>
        <v>0</v>
      </c>
      <c r="AB915" s="117">
        <f t="shared" si="87"/>
        <v>0</v>
      </c>
      <c r="AC915" s="117">
        <f>31112480-1057920</f>
        <v>30054560</v>
      </c>
      <c r="AD915" s="117">
        <v>0</v>
      </c>
      <c r="AE915" s="92">
        <f t="shared" si="88"/>
        <v>39197480</v>
      </c>
      <c r="AF915" s="93">
        <v>0</v>
      </c>
      <c r="AG915" s="105"/>
      <c r="AH915" s="108"/>
      <c r="AI915" s="109" t="s">
        <v>4346</v>
      </c>
      <c r="AJ915" s="110" t="s">
        <v>4347</v>
      </c>
      <c r="AK915" s="111"/>
      <c r="AL915" s="105"/>
      <c r="AM915" s="112" t="s">
        <v>1942</v>
      </c>
      <c r="AN915" s="107"/>
      <c r="AO915" s="107"/>
      <c r="AP915" s="107"/>
      <c r="AQ915" s="107"/>
      <c r="AR915" s="107"/>
      <c r="AS915" s="107"/>
      <c r="AT915" s="107"/>
      <c r="AU915" s="107"/>
      <c r="AV915" s="91"/>
      <c r="AW915" s="91"/>
      <c r="AX915" s="107"/>
      <c r="AY915" s="107"/>
      <c r="AZ915" s="107"/>
      <c r="BA915" s="107"/>
      <c r="BB915" s="107"/>
      <c r="BC915" s="107"/>
      <c r="BD915" s="107">
        <v>40</v>
      </c>
      <c r="BE915" s="107">
        <f>40*26448</f>
        <v>1057920</v>
      </c>
      <c r="BF915" s="107"/>
      <c r="BG915" s="107"/>
      <c r="BH915" s="107"/>
      <c r="BI915" s="107"/>
      <c r="BJ915" s="107"/>
      <c r="BK915" s="107"/>
      <c r="BL915" s="107"/>
      <c r="BM915" s="107"/>
      <c r="BN915" s="107"/>
      <c r="BO915" s="107"/>
      <c r="BP915" s="107"/>
      <c r="BQ915" s="107"/>
      <c r="BR915" s="107"/>
      <c r="BS915" s="107"/>
      <c r="BT915" s="107"/>
      <c r="BU915" s="107"/>
      <c r="BV915" s="107"/>
      <c r="BW915" s="107"/>
      <c r="BX915" s="107"/>
      <c r="BY915" s="107"/>
      <c r="BZ915" s="107"/>
      <c r="CA915" s="107"/>
      <c r="CB915" s="107"/>
      <c r="CC915" s="107"/>
      <c r="CD915" s="107"/>
      <c r="CE915" s="107"/>
      <c r="CF915" s="107"/>
      <c r="CG915" s="107"/>
      <c r="CH915" s="107"/>
      <c r="CI915" s="107"/>
      <c r="CJ915" s="107"/>
      <c r="CK915" s="107"/>
      <c r="CL915" s="107"/>
      <c r="CM915" s="107"/>
      <c r="CN915" s="107"/>
      <c r="CO915" s="107"/>
      <c r="CP915" s="118">
        <v>50</v>
      </c>
      <c r="CQ915" s="119">
        <f>50*37000</f>
        <v>1850000</v>
      </c>
      <c r="CR915" s="118">
        <v>50</v>
      </c>
      <c r="CS915" s="119">
        <f>50*39700</f>
        <v>1985000</v>
      </c>
      <c r="CT915" s="118"/>
      <c r="CU915" s="119"/>
      <c r="CV915" s="99">
        <f t="shared" si="89"/>
        <v>4892920</v>
      </c>
      <c r="CW915" s="118"/>
      <c r="CX915" s="119"/>
      <c r="CY915" s="118">
        <v>50</v>
      </c>
      <c r="CZ915" s="119">
        <f>50*85000</f>
        <v>4250000</v>
      </c>
      <c r="DA915" s="119"/>
      <c r="DB915" s="119"/>
      <c r="DC915" s="118"/>
      <c r="DD915" s="119"/>
      <c r="DE915" s="111"/>
      <c r="DF915" s="46"/>
    </row>
    <row r="916" spans="1:110" s="42" customFormat="1" ht="22.5" x14ac:dyDescent="0.2">
      <c r="A916" s="89">
        <v>40663</v>
      </c>
      <c r="B916" s="106" t="s">
        <v>4221</v>
      </c>
      <c r="C916" s="106" t="s">
        <v>4238</v>
      </c>
      <c r="D916" s="90" t="s">
        <v>4264</v>
      </c>
      <c r="E916" s="90" t="str">
        <f>VLOOKUP(B916&amp;C916,Divipola!$C$2:$F$1138,4,FALSE)</f>
        <v>54245</v>
      </c>
      <c r="F916" s="90"/>
      <c r="G916" s="129"/>
      <c r="H916" s="129"/>
      <c r="I916" s="129"/>
      <c r="J916" s="129">
        <v>1776</v>
      </c>
      <c r="K916" s="129">
        <v>444</v>
      </c>
      <c r="L916" s="129"/>
      <c r="M916" s="129">
        <v>444</v>
      </c>
      <c r="N916" s="129"/>
      <c r="O916" s="129"/>
      <c r="P916" s="129"/>
      <c r="Q916" s="129"/>
      <c r="R916" s="129"/>
      <c r="S916" s="129"/>
      <c r="T916" s="129"/>
      <c r="U916" s="129"/>
      <c r="V916" s="129"/>
      <c r="W916" s="107"/>
      <c r="X916" s="105"/>
      <c r="Y916" s="117">
        <f t="shared" si="84"/>
        <v>0</v>
      </c>
      <c r="Z916" s="117">
        <f t="shared" si="85"/>
        <v>0</v>
      </c>
      <c r="AA916" s="117">
        <f t="shared" si="86"/>
        <v>0</v>
      </c>
      <c r="AB916" s="117">
        <f t="shared" si="87"/>
        <v>0</v>
      </c>
      <c r="AC916" s="117"/>
      <c r="AD916" s="117">
        <v>0</v>
      </c>
      <c r="AE916" s="92">
        <f t="shared" si="88"/>
        <v>0</v>
      </c>
      <c r="AF916" s="93">
        <v>0</v>
      </c>
      <c r="AG916" s="105"/>
      <c r="AH916" s="108"/>
      <c r="AI916" s="102" t="s">
        <v>4336</v>
      </c>
      <c r="AJ916" s="96" t="s">
        <v>4337</v>
      </c>
      <c r="AK916" s="111"/>
      <c r="AL916" s="105"/>
      <c r="AM916" s="112" t="s">
        <v>2800</v>
      </c>
      <c r="AN916" s="107"/>
      <c r="AO916" s="107"/>
      <c r="AP916" s="107"/>
      <c r="AQ916" s="107"/>
      <c r="AR916" s="107"/>
      <c r="AS916" s="107"/>
      <c r="AT916" s="107"/>
      <c r="AU916" s="107"/>
      <c r="AV916" s="91"/>
      <c r="AW916" s="91"/>
      <c r="AX916" s="107"/>
      <c r="AY916" s="107"/>
      <c r="AZ916" s="107"/>
      <c r="BA916" s="107"/>
      <c r="BB916" s="107"/>
      <c r="BC916" s="107"/>
      <c r="BD916" s="107"/>
      <c r="BE916" s="107"/>
      <c r="BF916" s="107"/>
      <c r="BG916" s="107"/>
      <c r="BH916" s="107"/>
      <c r="BI916" s="107"/>
      <c r="BJ916" s="107"/>
      <c r="BK916" s="107"/>
      <c r="BL916" s="107"/>
      <c r="BM916" s="107"/>
      <c r="BN916" s="107"/>
      <c r="BO916" s="107"/>
      <c r="BP916" s="107"/>
      <c r="BQ916" s="107"/>
      <c r="BR916" s="107"/>
      <c r="BS916" s="107"/>
      <c r="BT916" s="107"/>
      <c r="BU916" s="107"/>
      <c r="BV916" s="107"/>
      <c r="BW916" s="107"/>
      <c r="BX916" s="107"/>
      <c r="BY916" s="107"/>
      <c r="BZ916" s="107"/>
      <c r="CA916" s="107"/>
      <c r="CB916" s="107"/>
      <c r="CC916" s="107"/>
      <c r="CD916" s="107"/>
      <c r="CE916" s="107"/>
      <c r="CF916" s="107"/>
      <c r="CG916" s="107"/>
      <c r="CH916" s="107"/>
      <c r="CI916" s="107"/>
      <c r="CJ916" s="107"/>
      <c r="CK916" s="107"/>
      <c r="CL916" s="107"/>
      <c r="CM916" s="107"/>
      <c r="CN916" s="107"/>
      <c r="CO916" s="107"/>
      <c r="CP916" s="118"/>
      <c r="CQ916" s="119"/>
      <c r="CR916" s="118"/>
      <c r="CS916" s="119"/>
      <c r="CT916" s="118"/>
      <c r="CU916" s="119"/>
      <c r="CV916" s="99">
        <f t="shared" si="89"/>
        <v>0</v>
      </c>
      <c r="CW916" s="118"/>
      <c r="CX916" s="119"/>
      <c r="CY916" s="118"/>
      <c r="CZ916" s="119"/>
      <c r="DA916" s="119"/>
      <c r="DB916" s="119"/>
      <c r="DC916" s="118"/>
      <c r="DD916" s="119"/>
      <c r="DE916" s="111"/>
      <c r="DF916" s="46"/>
    </row>
    <row r="917" spans="1:110" s="42" customFormat="1" ht="48" x14ac:dyDescent="0.2">
      <c r="A917" s="89">
        <v>40663</v>
      </c>
      <c r="B917" s="90" t="s">
        <v>4221</v>
      </c>
      <c r="C917" s="90" t="s">
        <v>3557</v>
      </c>
      <c r="D917" s="90" t="s">
        <v>2362</v>
      </c>
      <c r="E917" s="90" t="str">
        <f>VLOOKUP(B917&amp;C917,Divipola!$C$2:$F$1138,4,FALSE)</f>
        <v>54680</v>
      </c>
      <c r="F917" s="90"/>
      <c r="G917" s="101"/>
      <c r="H917" s="101"/>
      <c r="I917" s="101"/>
      <c r="J917" s="101">
        <v>60</v>
      </c>
      <c r="K917" s="101">
        <v>15</v>
      </c>
      <c r="L917" s="101"/>
      <c r="M917" s="101">
        <v>15</v>
      </c>
      <c r="N917" s="101"/>
      <c r="O917" s="101"/>
      <c r="P917" s="101"/>
      <c r="Q917" s="101"/>
      <c r="R917" s="101"/>
      <c r="S917" s="101"/>
      <c r="T917" s="101"/>
      <c r="U917" s="101"/>
      <c r="V917" s="101"/>
      <c r="W917" s="91"/>
      <c r="X917" s="89"/>
      <c r="Y917" s="92">
        <f t="shared" si="84"/>
        <v>0</v>
      </c>
      <c r="Z917" s="92">
        <f t="shared" si="85"/>
        <v>0</v>
      </c>
      <c r="AA917" s="92">
        <f t="shared" si="86"/>
        <v>0</v>
      </c>
      <c r="AB917" s="92">
        <f t="shared" si="87"/>
        <v>0</v>
      </c>
      <c r="AC917" s="92"/>
      <c r="AD917" s="92">
        <v>0</v>
      </c>
      <c r="AE917" s="92">
        <f t="shared" si="88"/>
        <v>0</v>
      </c>
      <c r="AF917" s="93">
        <v>0</v>
      </c>
      <c r="AG917" s="89"/>
      <c r="AH917" s="94"/>
      <c r="AI917" s="95" t="s">
        <v>4346</v>
      </c>
      <c r="AJ917" s="96" t="s">
        <v>4347</v>
      </c>
      <c r="AK917" s="97"/>
      <c r="AL917" s="89" t="s">
        <v>1049</v>
      </c>
      <c r="AM917" s="100" t="s">
        <v>2694</v>
      </c>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114"/>
      <c r="CQ917" s="115"/>
      <c r="CR917" s="114"/>
      <c r="CS917" s="115"/>
      <c r="CT917" s="114"/>
      <c r="CU917" s="115"/>
      <c r="CV917" s="99">
        <f t="shared" si="89"/>
        <v>0</v>
      </c>
      <c r="CW917" s="114"/>
      <c r="CX917" s="115"/>
      <c r="CY917" s="114"/>
      <c r="CZ917" s="115"/>
      <c r="DA917" s="115"/>
      <c r="DB917" s="115"/>
      <c r="DC917" s="114"/>
      <c r="DD917" s="115"/>
      <c r="DE917" s="97"/>
      <c r="DF917" s="46"/>
    </row>
    <row r="918" spans="1:110" s="42" customFormat="1" ht="24" x14ac:dyDescent="0.2">
      <c r="A918" s="89">
        <v>40663</v>
      </c>
      <c r="B918" s="106" t="s">
        <v>2226</v>
      </c>
      <c r="C918" s="106" t="s">
        <v>4345</v>
      </c>
      <c r="D918" s="90" t="s">
        <v>4264</v>
      </c>
      <c r="E918" s="90">
        <f>VLOOKUP(B918&amp;C918,Divipola!$C$2:$F$1138,4,FALSE)</f>
        <v>68</v>
      </c>
      <c r="F918" s="90"/>
      <c r="G918" s="129"/>
      <c r="H918" s="129"/>
      <c r="I918" s="129"/>
      <c r="J918" s="129"/>
      <c r="K918" s="129"/>
      <c r="L918" s="129"/>
      <c r="M918" s="129"/>
      <c r="N918" s="129"/>
      <c r="O918" s="129"/>
      <c r="P918" s="129"/>
      <c r="Q918" s="129"/>
      <c r="R918" s="129"/>
      <c r="S918" s="129"/>
      <c r="T918" s="129"/>
      <c r="U918" s="129"/>
      <c r="V918" s="129"/>
      <c r="W918" s="107"/>
      <c r="X918" s="105"/>
      <c r="Y918" s="117">
        <f t="shared" si="84"/>
        <v>329000000</v>
      </c>
      <c r="Z918" s="117">
        <f t="shared" si="85"/>
        <v>170000000</v>
      </c>
      <c r="AA918" s="117">
        <f t="shared" si="86"/>
        <v>0</v>
      </c>
      <c r="AB918" s="117">
        <f t="shared" si="87"/>
        <v>0</v>
      </c>
      <c r="AC918" s="125">
        <f>500*14000+500*17000</f>
        <v>15500000</v>
      </c>
      <c r="AD918" s="117">
        <v>0</v>
      </c>
      <c r="AE918" s="92">
        <f t="shared" si="88"/>
        <v>514500000</v>
      </c>
      <c r="AF918" s="93">
        <v>0</v>
      </c>
      <c r="AG918" s="105"/>
      <c r="AH918" s="108"/>
      <c r="AI918" s="109" t="s">
        <v>4346</v>
      </c>
      <c r="AJ918" s="110" t="s">
        <v>4347</v>
      </c>
      <c r="AK918" s="111"/>
      <c r="AL918" s="105"/>
      <c r="AM918" s="126" t="s">
        <v>2202</v>
      </c>
      <c r="AN918" s="107"/>
      <c r="AO918" s="107"/>
      <c r="AP918" s="107"/>
      <c r="AQ918" s="107"/>
      <c r="AR918" s="107"/>
      <c r="AS918" s="107"/>
      <c r="AT918" s="107"/>
      <c r="AU918" s="107"/>
      <c r="AV918" s="91"/>
      <c r="AW918" s="91"/>
      <c r="AX918" s="107">
        <v>600</v>
      </c>
      <c r="AY918" s="107">
        <f>50*250000+455*450000+40*600000+15*450000+40*400000</f>
        <v>264000000</v>
      </c>
      <c r="AZ918" s="107">
        <v>500</v>
      </c>
      <c r="BA918" s="107">
        <f>500*56000</f>
        <v>28000000</v>
      </c>
      <c r="BB918" s="107"/>
      <c r="BC918" s="107"/>
      <c r="BD918" s="107"/>
      <c r="BE918" s="107"/>
      <c r="BF918" s="107"/>
      <c r="BG918" s="107"/>
      <c r="BH918" s="107"/>
      <c r="BI918" s="107"/>
      <c r="BJ918" s="107"/>
      <c r="BK918" s="107"/>
      <c r="BL918" s="107"/>
      <c r="BM918" s="107"/>
      <c r="BN918" s="107"/>
      <c r="BO918" s="107"/>
      <c r="BP918" s="107"/>
      <c r="BQ918" s="107"/>
      <c r="BR918" s="107"/>
      <c r="BS918" s="107"/>
      <c r="BT918" s="107"/>
      <c r="BU918" s="107"/>
      <c r="BV918" s="107"/>
      <c r="BW918" s="107"/>
      <c r="BX918" s="107"/>
      <c r="BY918" s="107"/>
      <c r="BZ918" s="107"/>
      <c r="CA918" s="107"/>
      <c r="CB918" s="107"/>
      <c r="CC918" s="107"/>
      <c r="CD918" s="107"/>
      <c r="CE918" s="107"/>
      <c r="CF918" s="107"/>
      <c r="CG918" s="107"/>
      <c r="CH918" s="107"/>
      <c r="CI918" s="107"/>
      <c r="CJ918" s="107"/>
      <c r="CK918" s="107"/>
      <c r="CL918" s="107"/>
      <c r="CM918" s="107"/>
      <c r="CN918" s="107"/>
      <c r="CO918" s="107"/>
      <c r="CP918" s="118">
        <v>1000</v>
      </c>
      <c r="CQ918" s="119">
        <f>1000*37000</f>
        <v>37000000</v>
      </c>
      <c r="CR918" s="118"/>
      <c r="CS918" s="119"/>
      <c r="CT918" s="118"/>
      <c r="CU918" s="119"/>
      <c r="CV918" s="99">
        <f t="shared" si="89"/>
        <v>329000000</v>
      </c>
      <c r="CW918" s="118"/>
      <c r="CX918" s="119"/>
      <c r="CY918" s="118">
        <v>2000</v>
      </c>
      <c r="CZ918" s="119">
        <f>2000*85000</f>
        <v>170000000</v>
      </c>
      <c r="DA918" s="119"/>
      <c r="DB918" s="119"/>
      <c r="DC918" s="118"/>
      <c r="DD918" s="119"/>
      <c r="DE918" s="111"/>
      <c r="DF918" s="46"/>
    </row>
    <row r="919" spans="1:110" s="42" customFormat="1" ht="24" x14ac:dyDescent="0.2">
      <c r="A919" s="89">
        <v>40664</v>
      </c>
      <c r="B919" s="16" t="s">
        <v>2218</v>
      </c>
      <c r="C919" s="16" t="s">
        <v>4256</v>
      </c>
      <c r="D919" s="90" t="s">
        <v>4264</v>
      </c>
      <c r="E919" s="90" t="str">
        <f>VLOOKUP(B919&amp;C919,Divipola!$C$2:$F$1138,4,FALSE)</f>
        <v>05093</v>
      </c>
      <c r="F919" s="4"/>
      <c r="G919" s="208"/>
      <c r="H919" s="208"/>
      <c r="I919" s="208"/>
      <c r="J919" s="208">
        <f>268*5</f>
        <v>1340</v>
      </c>
      <c r="K919" s="208">
        <v>268</v>
      </c>
      <c r="L919" s="208"/>
      <c r="M919" s="208"/>
      <c r="N919" s="208"/>
      <c r="O919" s="208"/>
      <c r="P919" s="208"/>
      <c r="Q919" s="208"/>
      <c r="R919" s="208"/>
      <c r="S919" s="208"/>
      <c r="T919" s="208"/>
      <c r="U919" s="208"/>
      <c r="V919" s="208"/>
      <c r="W919" s="19"/>
      <c r="X919" s="17"/>
      <c r="Y919" s="5">
        <f t="shared" si="84"/>
        <v>0</v>
      </c>
      <c r="Z919" s="5">
        <f t="shared" si="85"/>
        <v>0</v>
      </c>
      <c r="AA919" s="5">
        <f t="shared" si="86"/>
        <v>0</v>
      </c>
      <c r="AB919" s="5">
        <f t="shared" si="87"/>
        <v>0</v>
      </c>
      <c r="AC919" s="5"/>
      <c r="AD919" s="5">
        <v>0</v>
      </c>
      <c r="AE919" s="5">
        <f t="shared" si="88"/>
        <v>0</v>
      </c>
      <c r="AF919" s="70">
        <v>0</v>
      </c>
      <c r="AG919" s="17"/>
      <c r="AH919" s="18"/>
      <c r="AI919" s="47" t="s">
        <v>4336</v>
      </c>
      <c r="AJ919" s="73" t="s">
        <v>4337</v>
      </c>
      <c r="AK919" s="45"/>
      <c r="AL919" s="17"/>
      <c r="AM919" s="20" t="s">
        <v>4618</v>
      </c>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39"/>
      <c r="CE919" s="138"/>
      <c r="CF919" s="139"/>
      <c r="CG919" s="138"/>
      <c r="CH919" s="139"/>
      <c r="CI919" s="138"/>
      <c r="CJ919" s="72"/>
      <c r="CK919" s="139"/>
      <c r="CL919" s="71"/>
      <c r="CM919" s="139"/>
      <c r="CN919" s="138"/>
      <c r="CO919" s="138"/>
      <c r="CP919" s="138"/>
      <c r="CQ919" s="139"/>
      <c r="CR919" s="138"/>
      <c r="CS919" s="45"/>
      <c r="CT919" s="138"/>
      <c r="CU919" s="45"/>
      <c r="CV919" s="99">
        <f t="shared" si="89"/>
        <v>0</v>
      </c>
      <c r="CW919" s="139"/>
      <c r="CX919" s="138"/>
      <c r="CY919" s="138"/>
      <c r="CZ919" s="138"/>
      <c r="DA919" s="139"/>
      <c r="DB919" s="138"/>
      <c r="DC919" s="45"/>
      <c r="DD919" s="138"/>
      <c r="DE919" s="45"/>
      <c r="DF919" s="46"/>
    </row>
    <row r="920" spans="1:110" s="42" customFormat="1" ht="60" x14ac:dyDescent="0.2">
      <c r="A920" s="89">
        <v>40664</v>
      </c>
      <c r="B920" s="106" t="s">
        <v>3301</v>
      </c>
      <c r="C920" s="106" t="s">
        <v>3301</v>
      </c>
      <c r="D920" s="90" t="s">
        <v>4264</v>
      </c>
      <c r="E920" s="90" t="str">
        <f>VLOOKUP(B920&amp;C920,Divipola!$C$2:$F$1138,4,FALSE)</f>
        <v>81001</v>
      </c>
      <c r="F920" s="90"/>
      <c r="G920" s="129"/>
      <c r="H920" s="129"/>
      <c r="I920" s="129"/>
      <c r="J920" s="129">
        <v>991</v>
      </c>
      <c r="K920" s="129">
        <v>263</v>
      </c>
      <c r="L920" s="129"/>
      <c r="M920" s="129">
        <v>263</v>
      </c>
      <c r="N920" s="129"/>
      <c r="O920" s="129"/>
      <c r="P920" s="129"/>
      <c r="Q920" s="129"/>
      <c r="R920" s="129"/>
      <c r="S920" s="129"/>
      <c r="T920" s="129"/>
      <c r="U920" s="129"/>
      <c r="V920" s="129"/>
      <c r="W920" s="107"/>
      <c r="X920" s="105"/>
      <c r="Y920" s="117">
        <f t="shared" si="84"/>
        <v>75480000</v>
      </c>
      <c r="Z920" s="117">
        <f t="shared" si="85"/>
        <v>0</v>
      </c>
      <c r="AA920" s="117">
        <f t="shared" si="86"/>
        <v>0</v>
      </c>
      <c r="AB920" s="117">
        <f t="shared" si="87"/>
        <v>18200000</v>
      </c>
      <c r="AC920" s="117"/>
      <c r="AD920" s="117">
        <v>0</v>
      </c>
      <c r="AE920" s="92">
        <f t="shared" si="88"/>
        <v>93680000</v>
      </c>
      <c r="AF920" s="93">
        <v>0</v>
      </c>
      <c r="AG920" s="105"/>
      <c r="AH920" s="108"/>
      <c r="AI920" s="95" t="s">
        <v>4346</v>
      </c>
      <c r="AJ920" s="96" t="s">
        <v>4347</v>
      </c>
      <c r="AK920" s="97"/>
      <c r="AL920" s="89" t="s">
        <v>2798</v>
      </c>
      <c r="AM920" s="112" t="s">
        <v>2820</v>
      </c>
      <c r="AN920" s="107"/>
      <c r="AO920" s="107"/>
      <c r="AP920" s="107"/>
      <c r="AQ920" s="107"/>
      <c r="AR920" s="107"/>
      <c r="AS920" s="107"/>
      <c r="AT920" s="107"/>
      <c r="AU920" s="107"/>
      <c r="AV920" s="91"/>
      <c r="AW920" s="91"/>
      <c r="AX920" s="107"/>
      <c r="AY920" s="107"/>
      <c r="AZ920" s="107">
        <v>800</v>
      </c>
      <c r="BA920" s="107">
        <f>800*56000</f>
        <v>44800000</v>
      </c>
      <c r="BB920" s="107"/>
      <c r="BC920" s="107"/>
      <c r="BD920" s="107"/>
      <c r="BE920" s="107"/>
      <c r="BF920" s="107"/>
      <c r="BG920" s="107"/>
      <c r="BH920" s="107"/>
      <c r="BI920" s="107"/>
      <c r="BJ920" s="107"/>
      <c r="BK920" s="107"/>
      <c r="BL920" s="107"/>
      <c r="BM920" s="107"/>
      <c r="BN920" s="107"/>
      <c r="BO920" s="107"/>
      <c r="BP920" s="107"/>
      <c r="BQ920" s="107"/>
      <c r="BR920" s="107"/>
      <c r="BS920" s="107"/>
      <c r="BT920" s="107"/>
      <c r="BU920" s="107"/>
      <c r="BV920" s="107"/>
      <c r="BW920" s="107"/>
      <c r="BX920" s="107"/>
      <c r="BY920" s="107"/>
      <c r="BZ920" s="107"/>
      <c r="CA920" s="107"/>
      <c r="CB920" s="107"/>
      <c r="CC920" s="107"/>
      <c r="CD920" s="107"/>
      <c r="CE920" s="107"/>
      <c r="CF920" s="107"/>
      <c r="CG920" s="107"/>
      <c r="CH920" s="107"/>
      <c r="CI920" s="107"/>
      <c r="CJ920" s="107"/>
      <c r="CK920" s="107"/>
      <c r="CL920" s="107"/>
      <c r="CM920" s="107"/>
      <c r="CN920" s="107"/>
      <c r="CO920" s="107"/>
      <c r="CP920" s="118">
        <v>400</v>
      </c>
      <c r="CQ920" s="119">
        <f>400*37000</f>
        <v>14800000</v>
      </c>
      <c r="CR920" s="118">
        <v>400</v>
      </c>
      <c r="CS920" s="119">
        <f>400*39700</f>
        <v>15880000</v>
      </c>
      <c r="CT920" s="118"/>
      <c r="CU920" s="119"/>
      <c r="CV920" s="99">
        <f t="shared" si="89"/>
        <v>75480000</v>
      </c>
      <c r="CW920" s="118">
        <v>20000</v>
      </c>
      <c r="CX920" s="119">
        <f>20000*910</f>
        <v>18200000</v>
      </c>
      <c r="CY920" s="118"/>
      <c r="CZ920" s="119"/>
      <c r="DA920" s="119"/>
      <c r="DB920" s="119"/>
      <c r="DC920" s="118"/>
      <c r="DD920" s="119"/>
      <c r="DE920" s="111"/>
      <c r="DF920" s="46"/>
    </row>
    <row r="921" spans="1:110" s="42" customFormat="1" ht="24" x14ac:dyDescent="0.2">
      <c r="A921" s="89">
        <v>40664</v>
      </c>
      <c r="B921" s="90" t="s">
        <v>4326</v>
      </c>
      <c r="C921" s="90" t="s">
        <v>2229</v>
      </c>
      <c r="D921" s="90" t="s">
        <v>3346</v>
      </c>
      <c r="E921" s="90" t="str">
        <f>VLOOKUP(B921&amp;C921,Divipola!$C$2:$F$1138,4,FALSE)</f>
        <v>08549</v>
      </c>
      <c r="F921" s="90"/>
      <c r="G921" s="101"/>
      <c r="H921" s="101"/>
      <c r="I921" s="101"/>
      <c r="J921" s="101">
        <v>175</v>
      </c>
      <c r="K921" s="101">
        <v>35</v>
      </c>
      <c r="L921" s="101"/>
      <c r="M921" s="101">
        <v>35</v>
      </c>
      <c r="N921" s="101"/>
      <c r="O921" s="101"/>
      <c r="P921" s="101"/>
      <c r="Q921" s="101"/>
      <c r="R921" s="101"/>
      <c r="S921" s="101"/>
      <c r="T921" s="101"/>
      <c r="U921" s="101"/>
      <c r="V921" s="101"/>
      <c r="W921" s="91"/>
      <c r="X921" s="89"/>
      <c r="Y921" s="92">
        <f t="shared" si="84"/>
        <v>0</v>
      </c>
      <c r="Z921" s="92">
        <f t="shared" si="85"/>
        <v>0</v>
      </c>
      <c r="AA921" s="92">
        <f t="shared" si="86"/>
        <v>0</v>
      </c>
      <c r="AB921" s="92">
        <f t="shared" si="87"/>
        <v>0</v>
      </c>
      <c r="AC921" s="92"/>
      <c r="AD921" s="92">
        <v>0</v>
      </c>
      <c r="AE921" s="92">
        <f t="shared" si="88"/>
        <v>0</v>
      </c>
      <c r="AF921" s="93">
        <v>0</v>
      </c>
      <c r="AG921" s="89"/>
      <c r="AH921" s="94"/>
      <c r="AI921" s="102" t="s">
        <v>4336</v>
      </c>
      <c r="AJ921" s="96" t="s">
        <v>4337</v>
      </c>
      <c r="AK921" s="97"/>
      <c r="AL921" s="89"/>
      <c r="AM921" s="100" t="s">
        <v>242</v>
      </c>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114"/>
      <c r="CQ921" s="115"/>
      <c r="CR921" s="114"/>
      <c r="CS921" s="115"/>
      <c r="CT921" s="114"/>
      <c r="CU921" s="115"/>
      <c r="CV921" s="99">
        <f t="shared" si="89"/>
        <v>0</v>
      </c>
      <c r="CW921" s="114"/>
      <c r="CX921" s="115"/>
      <c r="CY921" s="114"/>
      <c r="CZ921" s="115"/>
      <c r="DA921" s="115"/>
      <c r="DB921" s="115"/>
      <c r="DC921" s="114"/>
      <c r="DD921" s="115"/>
      <c r="DE921" s="97"/>
      <c r="DF921" s="46"/>
    </row>
    <row r="922" spans="1:110" s="42" customFormat="1" ht="24" x14ac:dyDescent="0.2">
      <c r="A922" s="89">
        <v>40664</v>
      </c>
      <c r="B922" s="90" t="s">
        <v>1116</v>
      </c>
      <c r="C922" s="90" t="s">
        <v>1116</v>
      </c>
      <c r="D922" s="90" t="s">
        <v>4264</v>
      </c>
      <c r="E922" s="90" t="str">
        <f>VLOOKUP(B922&amp;C922,Divipola!$C$2:$F$1138,4,FALSE)</f>
        <v>11001</v>
      </c>
      <c r="F922" s="90"/>
      <c r="G922" s="101"/>
      <c r="H922" s="101"/>
      <c r="I922" s="101"/>
      <c r="J922" s="101"/>
      <c r="K922" s="101"/>
      <c r="L922" s="101"/>
      <c r="M922" s="101"/>
      <c r="N922" s="101"/>
      <c r="O922" s="101"/>
      <c r="P922" s="101"/>
      <c r="Q922" s="101"/>
      <c r="R922" s="101"/>
      <c r="S922" s="101"/>
      <c r="T922" s="101"/>
      <c r="U922" s="101"/>
      <c r="V922" s="101"/>
      <c r="W922" s="91"/>
      <c r="X922" s="89"/>
      <c r="Y922" s="92">
        <f t="shared" si="84"/>
        <v>0</v>
      </c>
      <c r="Z922" s="92">
        <f t="shared" si="85"/>
        <v>0</v>
      </c>
      <c r="AA922" s="92">
        <f t="shared" si="86"/>
        <v>0</v>
      </c>
      <c r="AB922" s="92">
        <f t="shared" si="87"/>
        <v>0</v>
      </c>
      <c r="AC922" s="92"/>
      <c r="AD922" s="92">
        <v>0</v>
      </c>
      <c r="AE922" s="92">
        <f t="shared" si="88"/>
        <v>0</v>
      </c>
      <c r="AF922" s="93">
        <v>0</v>
      </c>
      <c r="AG922" s="89"/>
      <c r="AH922" s="94"/>
      <c r="AI922" s="95" t="s">
        <v>4336</v>
      </c>
      <c r="AJ922" s="96" t="s">
        <v>4337</v>
      </c>
      <c r="AK922" s="97"/>
      <c r="AL922" s="89"/>
      <c r="AM922" s="100" t="s">
        <v>3281</v>
      </c>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114"/>
      <c r="CQ922" s="115"/>
      <c r="CR922" s="114"/>
      <c r="CS922" s="115"/>
      <c r="CT922" s="114"/>
      <c r="CU922" s="115"/>
      <c r="CV922" s="99">
        <f t="shared" si="89"/>
        <v>0</v>
      </c>
      <c r="CW922" s="114"/>
      <c r="CX922" s="115"/>
      <c r="CY922" s="114"/>
      <c r="CZ922" s="115"/>
      <c r="DA922" s="115"/>
      <c r="DB922" s="115"/>
      <c r="DC922" s="114"/>
      <c r="DD922" s="115"/>
      <c r="DE922" s="97"/>
      <c r="DF922" s="46"/>
    </row>
    <row r="923" spans="1:110" s="42" customFormat="1" ht="120" x14ac:dyDescent="0.2">
      <c r="A923" s="89">
        <v>40664</v>
      </c>
      <c r="B923" s="90" t="s">
        <v>1116</v>
      </c>
      <c r="C923" s="90" t="s">
        <v>1116</v>
      </c>
      <c r="D923" s="90" t="s">
        <v>4264</v>
      </c>
      <c r="E923" s="90" t="str">
        <f>VLOOKUP(B923&amp;C923,Divipola!$C$2:$F$1138,4,FALSE)</f>
        <v>11001</v>
      </c>
      <c r="F923" s="90"/>
      <c r="G923" s="101"/>
      <c r="H923" s="101"/>
      <c r="I923" s="101"/>
      <c r="J923" s="101">
        <v>4975</v>
      </c>
      <c r="K923" s="101">
        <v>995</v>
      </c>
      <c r="L923" s="101"/>
      <c r="M923" s="101">
        <v>995</v>
      </c>
      <c r="N923" s="101"/>
      <c r="O923" s="101"/>
      <c r="P923" s="101"/>
      <c r="Q923" s="101"/>
      <c r="R923" s="101"/>
      <c r="S923" s="101"/>
      <c r="T923" s="101"/>
      <c r="U923" s="101"/>
      <c r="V923" s="101"/>
      <c r="W923" s="91"/>
      <c r="X923" s="89"/>
      <c r="Y923" s="92">
        <f t="shared" si="84"/>
        <v>0</v>
      </c>
      <c r="Z923" s="92">
        <f t="shared" si="85"/>
        <v>0</v>
      </c>
      <c r="AA923" s="92">
        <f t="shared" si="86"/>
        <v>0</v>
      </c>
      <c r="AB923" s="92">
        <f t="shared" si="87"/>
        <v>0</v>
      </c>
      <c r="AC923" s="92"/>
      <c r="AD923" s="92">
        <v>0</v>
      </c>
      <c r="AE923" s="92">
        <f t="shared" si="88"/>
        <v>0</v>
      </c>
      <c r="AF923" s="93">
        <v>0</v>
      </c>
      <c r="AG923" s="89"/>
      <c r="AH923" s="94"/>
      <c r="AI923" s="102" t="s">
        <v>4336</v>
      </c>
      <c r="AJ923" s="96" t="s">
        <v>4337</v>
      </c>
      <c r="AK923" s="97"/>
      <c r="AL923" s="89"/>
      <c r="AM923" s="100" t="s">
        <v>241</v>
      </c>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114"/>
      <c r="CQ923" s="115"/>
      <c r="CR923" s="114"/>
      <c r="CS923" s="115"/>
      <c r="CT923" s="114"/>
      <c r="CU923" s="115"/>
      <c r="CV923" s="99">
        <f t="shared" si="89"/>
        <v>0</v>
      </c>
      <c r="CW923" s="114"/>
      <c r="CX923" s="115"/>
      <c r="CY923" s="114"/>
      <c r="CZ923" s="115"/>
      <c r="DA923" s="115"/>
      <c r="DB923" s="115"/>
      <c r="DC923" s="114"/>
      <c r="DD923" s="115"/>
      <c r="DE923" s="97"/>
      <c r="DF923" s="46"/>
    </row>
    <row r="924" spans="1:110" s="42" customFormat="1" ht="22.5" x14ac:dyDescent="0.2">
      <c r="A924" s="89">
        <v>40664</v>
      </c>
      <c r="B924" s="90" t="s">
        <v>4352</v>
      </c>
      <c r="C924" s="90" t="s">
        <v>4237</v>
      </c>
      <c r="D924" s="90" t="s">
        <v>3346</v>
      </c>
      <c r="E924" s="90" t="str">
        <f>VLOOKUP(B924&amp;C924,Divipola!$C$2:$F$1138,4,FALSE)</f>
        <v>13683</v>
      </c>
      <c r="F924" s="101"/>
      <c r="G924" s="101"/>
      <c r="H924" s="101"/>
      <c r="I924" s="101"/>
      <c r="J924" s="101"/>
      <c r="K924" s="101"/>
      <c r="L924" s="101"/>
      <c r="M924" s="101"/>
      <c r="N924" s="101"/>
      <c r="O924" s="101"/>
      <c r="P924" s="101"/>
      <c r="Q924" s="101"/>
      <c r="R924" s="101"/>
      <c r="S924" s="101"/>
      <c r="T924" s="101"/>
      <c r="U924" s="91"/>
      <c r="V924" s="89"/>
      <c r="W924" s="92"/>
      <c r="X924" s="92"/>
      <c r="Y924" s="92">
        <f t="shared" si="84"/>
        <v>0</v>
      </c>
      <c r="Z924" s="92">
        <f t="shared" si="85"/>
        <v>0</v>
      </c>
      <c r="AA924" s="92">
        <f t="shared" si="86"/>
        <v>0</v>
      </c>
      <c r="AB924" s="92">
        <f t="shared" si="87"/>
        <v>0</v>
      </c>
      <c r="AC924" s="92"/>
      <c r="AD924" s="92">
        <v>0</v>
      </c>
      <c r="AE924" s="92">
        <f t="shared" si="88"/>
        <v>0</v>
      </c>
      <c r="AF924" s="93">
        <v>0</v>
      </c>
      <c r="AG924" s="89"/>
      <c r="AH924" s="96"/>
      <c r="AI924" s="102" t="s">
        <v>4336</v>
      </c>
      <c r="AJ924" s="96" t="s">
        <v>4337</v>
      </c>
      <c r="AK924" s="100"/>
      <c r="AL924" s="89"/>
      <c r="AM924" s="90" t="s">
        <v>993</v>
      </c>
      <c r="AN924" s="90"/>
      <c r="AO924" s="90"/>
      <c r="AP924" s="101"/>
      <c r="AQ924" s="101"/>
      <c r="AR924" s="101"/>
      <c r="AS924" s="101"/>
      <c r="AT924" s="101"/>
      <c r="AU924" s="101"/>
      <c r="AV924" s="101"/>
      <c r="AW924" s="101"/>
      <c r="AX924" s="101"/>
      <c r="AY924" s="101"/>
      <c r="AZ924" s="101"/>
      <c r="BA924" s="101"/>
      <c r="BB924" s="101"/>
      <c r="BC924" s="101"/>
      <c r="BD924" s="101"/>
      <c r="BE924" s="101"/>
      <c r="BF924" s="91"/>
      <c r="BG924" s="89"/>
      <c r="BH924" s="92"/>
      <c r="BI924" s="92"/>
      <c r="BJ924" s="92"/>
      <c r="BK924" s="92"/>
      <c r="BL924" s="92"/>
      <c r="BM924" s="92"/>
      <c r="BN924" s="92"/>
      <c r="BO924" s="93"/>
      <c r="BP924" s="89"/>
      <c r="BQ924" s="94"/>
      <c r="BR924" s="89"/>
      <c r="BS924" s="96"/>
      <c r="BT924" s="97"/>
      <c r="BU924" s="89"/>
      <c r="BV924" s="100"/>
      <c r="BW924" s="91"/>
      <c r="BX924" s="91"/>
      <c r="BY924" s="91"/>
      <c r="BZ924" s="91"/>
      <c r="CA924" s="91"/>
      <c r="CB924" s="91"/>
      <c r="CC924" s="91"/>
      <c r="CD924" s="91"/>
      <c r="CE924" s="91"/>
      <c r="CF924" s="91"/>
      <c r="CG924" s="91"/>
      <c r="CH924" s="91"/>
      <c r="CI924" s="91"/>
      <c r="CJ924" s="91"/>
      <c r="CK924" s="91"/>
      <c r="CL924" s="91"/>
      <c r="CM924" s="91"/>
      <c r="CN924" s="91"/>
      <c r="CO924" s="91"/>
      <c r="CP924" s="114"/>
      <c r="CQ924" s="115"/>
      <c r="CR924" s="114"/>
      <c r="CS924" s="115"/>
      <c r="CT924" s="114"/>
      <c r="CU924" s="115"/>
      <c r="CV924" s="99">
        <f t="shared" si="89"/>
        <v>0</v>
      </c>
      <c r="CW924" s="114"/>
      <c r="CX924" s="115"/>
      <c r="CY924" s="114"/>
      <c r="CZ924" s="115"/>
      <c r="DA924" s="115"/>
      <c r="DB924" s="115"/>
      <c r="DC924" s="114"/>
      <c r="DD924" s="115"/>
      <c r="DE924" s="97"/>
      <c r="DF924" s="46">
        <v>1759</v>
      </c>
    </row>
    <row r="925" spans="1:110" s="42" customFormat="1" ht="60" x14ac:dyDescent="0.2">
      <c r="A925" s="89">
        <v>40664</v>
      </c>
      <c r="B925" s="16" t="s">
        <v>4261</v>
      </c>
      <c r="C925" s="16" t="s">
        <v>1191</v>
      </c>
      <c r="D925" s="90" t="s">
        <v>2362</v>
      </c>
      <c r="E925" s="90" t="str">
        <f>VLOOKUP(B925&amp;C925,Divipola!$C$2:$F$1138,4,FALSE)</f>
        <v>15377</v>
      </c>
      <c r="F925" s="4"/>
      <c r="G925" s="208"/>
      <c r="H925" s="208"/>
      <c r="I925" s="208"/>
      <c r="J925" s="208"/>
      <c r="K925" s="208"/>
      <c r="L925" s="208"/>
      <c r="M925" s="208"/>
      <c r="N925" s="208">
        <v>2</v>
      </c>
      <c r="O925" s="208"/>
      <c r="P925" s="208">
        <v>4</v>
      </c>
      <c r="Q925" s="208"/>
      <c r="R925" s="208"/>
      <c r="S925" s="208"/>
      <c r="T925" s="208"/>
      <c r="U925" s="208"/>
      <c r="V925" s="208"/>
      <c r="W925" s="19"/>
      <c r="X925" s="17"/>
      <c r="Y925" s="5">
        <v>0</v>
      </c>
      <c r="Z925" s="5">
        <v>0</v>
      </c>
      <c r="AA925" s="5">
        <v>0</v>
      </c>
      <c r="AB925" s="5">
        <v>0</v>
      </c>
      <c r="AC925" s="5"/>
      <c r="AD925" s="5">
        <v>0</v>
      </c>
      <c r="AE925" s="5">
        <v>0</v>
      </c>
      <c r="AF925" s="70">
        <v>0</v>
      </c>
      <c r="AG925" s="17"/>
      <c r="AH925" s="18"/>
      <c r="AI925" s="47" t="s">
        <v>4336</v>
      </c>
      <c r="AJ925" s="73" t="s">
        <v>4337</v>
      </c>
      <c r="AK925" s="45"/>
      <c r="AL925" s="17"/>
      <c r="AM925" s="20" t="s">
        <v>44</v>
      </c>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39"/>
      <c r="CE925" s="138"/>
      <c r="CF925" s="139"/>
      <c r="CG925" s="138"/>
      <c r="CH925" s="139"/>
      <c r="CI925" s="138"/>
      <c r="CJ925" s="72"/>
      <c r="CK925" s="139"/>
      <c r="CL925" s="71"/>
      <c r="CM925" s="139"/>
      <c r="CN925" s="138"/>
      <c r="CO925" s="138"/>
      <c r="CP925" s="138"/>
      <c r="CQ925" s="139"/>
      <c r="CR925" s="138"/>
      <c r="CS925" s="45"/>
      <c r="CT925" s="138"/>
      <c r="CU925" s="45"/>
      <c r="CV925" s="99">
        <f t="shared" si="89"/>
        <v>0</v>
      </c>
      <c r="CW925" s="139"/>
      <c r="CX925" s="138"/>
      <c r="CY925" s="138"/>
      <c r="CZ925" s="138"/>
      <c r="DA925" s="139"/>
      <c r="DB925" s="138"/>
      <c r="DC925" s="45"/>
      <c r="DD925" s="138"/>
      <c r="DE925" s="45"/>
      <c r="DF925" s="46"/>
    </row>
    <row r="926" spans="1:110" s="42" customFormat="1" x14ac:dyDescent="0.2">
      <c r="A926" s="89">
        <v>40664</v>
      </c>
      <c r="B926" s="106" t="s">
        <v>3358</v>
      </c>
      <c r="C926" s="106" t="s">
        <v>3359</v>
      </c>
      <c r="D926" s="90" t="s">
        <v>4264</v>
      </c>
      <c r="E926" s="90" t="str">
        <f>VLOOKUP(B926&amp;C926,Divipola!$C$2:$F$1138,4,FALSE)</f>
        <v>18205</v>
      </c>
      <c r="F926" s="90"/>
      <c r="G926" s="129"/>
      <c r="H926" s="129"/>
      <c r="I926" s="129"/>
      <c r="J926" s="129">
        <f>20*5</f>
        <v>100</v>
      </c>
      <c r="K926" s="129">
        <v>20</v>
      </c>
      <c r="L926" s="129"/>
      <c r="M926" s="129">
        <v>20</v>
      </c>
      <c r="N926" s="129"/>
      <c r="O926" s="129"/>
      <c r="P926" s="129"/>
      <c r="Q926" s="129"/>
      <c r="R926" s="129"/>
      <c r="S926" s="129"/>
      <c r="T926" s="129"/>
      <c r="U926" s="129"/>
      <c r="V926" s="129"/>
      <c r="W926" s="107"/>
      <c r="X926" s="105"/>
      <c r="Y926" s="92">
        <f t="shared" ref="Y926:Y989" si="90">CV926</f>
        <v>3584952</v>
      </c>
      <c r="Z926" s="92">
        <f t="shared" ref="Z926:Z989" si="91">CZ926</f>
        <v>2295000</v>
      </c>
      <c r="AA926" s="92">
        <f t="shared" ref="AA926:AA989" si="92">DB926+DD926</f>
        <v>2575200</v>
      </c>
      <c r="AB926" s="92">
        <f t="shared" ref="AB926:AB989" si="93">CX926</f>
        <v>0</v>
      </c>
      <c r="AC926" s="92"/>
      <c r="AD926" s="92">
        <v>0</v>
      </c>
      <c r="AE926" s="92">
        <f t="shared" ref="AE926:AE989" si="94">Y926+Z926+AA926+AB926+AC926+AD926</f>
        <v>8455152</v>
      </c>
      <c r="AF926" s="93">
        <v>0</v>
      </c>
      <c r="AG926" s="105"/>
      <c r="AH926" s="108"/>
      <c r="AI926" s="95" t="s">
        <v>4346</v>
      </c>
      <c r="AJ926" s="96" t="s">
        <v>4347</v>
      </c>
      <c r="AK926" s="111"/>
      <c r="AL926" s="105"/>
      <c r="AM926" s="112" t="s">
        <v>225</v>
      </c>
      <c r="AN926" s="107"/>
      <c r="AO926" s="107"/>
      <c r="AP926" s="107"/>
      <c r="AQ926" s="107"/>
      <c r="AR926" s="107"/>
      <c r="AS926" s="107"/>
      <c r="AT926" s="107"/>
      <c r="AU926" s="107"/>
      <c r="AV926" s="107"/>
      <c r="AW926" s="107"/>
      <c r="AX926" s="107"/>
      <c r="AY926" s="107"/>
      <c r="AZ926" s="107">
        <v>21</v>
      </c>
      <c r="BA926" s="107">
        <f>21*55999</f>
        <v>1175979</v>
      </c>
      <c r="BB926" s="107"/>
      <c r="BC926" s="107"/>
      <c r="BD926" s="107"/>
      <c r="BE926" s="107"/>
      <c r="BF926" s="107"/>
      <c r="BG926" s="107"/>
      <c r="BH926" s="107"/>
      <c r="BI926" s="107"/>
      <c r="BJ926" s="107">
        <v>7</v>
      </c>
      <c r="BK926" s="107">
        <f>7*64999</f>
        <v>454993</v>
      </c>
      <c r="BL926" s="107"/>
      <c r="BM926" s="107"/>
      <c r="BN926" s="107"/>
      <c r="BO926" s="107"/>
      <c r="BP926" s="107"/>
      <c r="BQ926" s="107"/>
      <c r="BR926" s="107"/>
      <c r="BS926" s="107"/>
      <c r="BT926" s="107"/>
      <c r="BU926" s="107"/>
      <c r="BV926" s="107"/>
      <c r="BW926" s="107"/>
      <c r="BX926" s="107"/>
      <c r="BY926" s="107"/>
      <c r="BZ926" s="107"/>
      <c r="CA926" s="107"/>
      <c r="CB926" s="107"/>
      <c r="CC926" s="107"/>
      <c r="CD926" s="107"/>
      <c r="CE926" s="107"/>
      <c r="CF926" s="107"/>
      <c r="CG926" s="107"/>
      <c r="CH926" s="107"/>
      <c r="CI926" s="107"/>
      <c r="CJ926" s="107">
        <v>20</v>
      </c>
      <c r="CK926" s="107">
        <f>20*20999</f>
        <v>419980</v>
      </c>
      <c r="CL926" s="107"/>
      <c r="CM926" s="107"/>
      <c r="CN926" s="118"/>
      <c r="CO926" s="119"/>
      <c r="CP926" s="118">
        <v>20</v>
      </c>
      <c r="CQ926" s="119">
        <f>20*37000</f>
        <v>740000</v>
      </c>
      <c r="CR926" s="118">
        <v>20</v>
      </c>
      <c r="CS926" s="119">
        <f>20*39700</f>
        <v>794000</v>
      </c>
      <c r="CT926" s="113"/>
      <c r="CU926" s="118"/>
      <c r="CV926" s="99">
        <f t="shared" si="89"/>
        <v>3584952</v>
      </c>
      <c r="CW926" s="118"/>
      <c r="CX926" s="119"/>
      <c r="CY926" s="119">
        <v>27</v>
      </c>
      <c r="CZ926" s="119">
        <f>27*85000</f>
        <v>2295000</v>
      </c>
      <c r="DA926" s="118"/>
      <c r="DB926" s="119"/>
      <c r="DC926" s="111">
        <v>150</v>
      </c>
      <c r="DD926" s="119">
        <f>150*17168</f>
        <v>2575200</v>
      </c>
      <c r="DE926" s="111"/>
      <c r="DF926" s="46"/>
    </row>
    <row r="927" spans="1:110" s="42" customFormat="1" x14ac:dyDescent="0.2">
      <c r="A927" s="89">
        <v>40664</v>
      </c>
      <c r="B927" s="106" t="s">
        <v>4296</v>
      </c>
      <c r="C927" s="106" t="s">
        <v>1463</v>
      </c>
      <c r="D927" s="90" t="s">
        <v>4264</v>
      </c>
      <c r="E927" s="90" t="str">
        <f>VLOOKUP(B927&amp;C927,Divipola!$C$2:$F$1138,4,FALSE)</f>
        <v>19022</v>
      </c>
      <c r="F927" s="90"/>
      <c r="G927" s="129"/>
      <c r="H927" s="129"/>
      <c r="I927" s="129"/>
      <c r="J927" s="129">
        <f>600*5</f>
        <v>3000</v>
      </c>
      <c r="K927" s="129">
        <v>600</v>
      </c>
      <c r="L927" s="129"/>
      <c r="M927" s="129"/>
      <c r="N927" s="129"/>
      <c r="O927" s="129"/>
      <c r="P927" s="129"/>
      <c r="Q927" s="129"/>
      <c r="R927" s="129"/>
      <c r="S927" s="129"/>
      <c r="T927" s="129"/>
      <c r="U927" s="129"/>
      <c r="V927" s="129"/>
      <c r="W927" s="107"/>
      <c r="X927" s="105"/>
      <c r="Y927" s="92">
        <f t="shared" si="90"/>
        <v>0</v>
      </c>
      <c r="Z927" s="92">
        <f t="shared" si="91"/>
        <v>0</v>
      </c>
      <c r="AA927" s="92">
        <f t="shared" si="92"/>
        <v>0</v>
      </c>
      <c r="AB927" s="92">
        <f t="shared" si="93"/>
        <v>0</v>
      </c>
      <c r="AC927" s="92"/>
      <c r="AD927" s="92">
        <v>0</v>
      </c>
      <c r="AE927" s="92">
        <f t="shared" si="94"/>
        <v>0</v>
      </c>
      <c r="AF927" s="93">
        <v>0</v>
      </c>
      <c r="AG927" s="105"/>
      <c r="AH927" s="108"/>
      <c r="AI927" s="102" t="s">
        <v>4336</v>
      </c>
      <c r="AJ927" s="96" t="s">
        <v>4337</v>
      </c>
      <c r="AK927" s="111"/>
      <c r="AL927" s="105"/>
      <c r="AM927" s="112"/>
      <c r="AN927" s="107"/>
      <c r="AO927" s="107"/>
      <c r="AP927" s="107"/>
      <c r="AQ927" s="107"/>
      <c r="AR927" s="107"/>
      <c r="AS927" s="107"/>
      <c r="AT927" s="107"/>
      <c r="AU927" s="107"/>
      <c r="AV927" s="107"/>
      <c r="AW927" s="107"/>
      <c r="AX927" s="107"/>
      <c r="AY927" s="107"/>
      <c r="AZ927" s="107"/>
      <c r="BA927" s="107"/>
      <c r="BB927" s="107"/>
      <c r="BC927" s="107"/>
      <c r="BD927" s="107"/>
      <c r="BE927" s="107"/>
      <c r="BF927" s="107"/>
      <c r="BG927" s="107"/>
      <c r="BH927" s="107"/>
      <c r="BI927" s="107"/>
      <c r="BJ927" s="107"/>
      <c r="BK927" s="107"/>
      <c r="BL927" s="107"/>
      <c r="BM927" s="107"/>
      <c r="BN927" s="107"/>
      <c r="BO927" s="107"/>
      <c r="BP927" s="107"/>
      <c r="BQ927" s="107"/>
      <c r="BR927" s="107"/>
      <c r="BS927" s="107"/>
      <c r="BT927" s="107"/>
      <c r="BU927" s="107"/>
      <c r="BV927" s="107"/>
      <c r="BW927" s="107"/>
      <c r="BX927" s="107"/>
      <c r="BY927" s="107"/>
      <c r="BZ927" s="107"/>
      <c r="CA927" s="107"/>
      <c r="CB927" s="107"/>
      <c r="CC927" s="107"/>
      <c r="CD927" s="107"/>
      <c r="CE927" s="107"/>
      <c r="CF927" s="107"/>
      <c r="CG927" s="107"/>
      <c r="CH927" s="107"/>
      <c r="CI927" s="107"/>
      <c r="CJ927" s="107"/>
      <c r="CK927" s="107"/>
      <c r="CL927" s="107"/>
      <c r="CM927" s="107"/>
      <c r="CN927" s="118"/>
      <c r="CO927" s="119"/>
      <c r="CP927" s="118"/>
      <c r="CQ927" s="119"/>
      <c r="CR927" s="118"/>
      <c r="CS927" s="119"/>
      <c r="CT927" s="113"/>
      <c r="CU927" s="118"/>
      <c r="CV927" s="99">
        <f t="shared" si="89"/>
        <v>0</v>
      </c>
      <c r="CW927" s="118"/>
      <c r="CX927" s="119"/>
      <c r="CY927" s="119"/>
      <c r="CZ927" s="119"/>
      <c r="DA927" s="118"/>
      <c r="DB927" s="119"/>
      <c r="DC927" s="111"/>
      <c r="DD927" s="119"/>
      <c r="DE927" s="111"/>
      <c r="DF927" s="46"/>
    </row>
    <row r="928" spans="1:110" s="42" customFormat="1" x14ac:dyDescent="0.2">
      <c r="A928" s="89">
        <v>40664</v>
      </c>
      <c r="B928" s="106" t="s">
        <v>4296</v>
      </c>
      <c r="C928" s="106" t="s">
        <v>2258</v>
      </c>
      <c r="D928" s="90" t="s">
        <v>4264</v>
      </c>
      <c r="E928" s="90" t="str">
        <f>VLOOKUP(B928&amp;C928,Divipola!$C$2:$F$1138,4,FALSE)</f>
        <v>19318</v>
      </c>
      <c r="F928" s="90"/>
      <c r="G928" s="129"/>
      <c r="H928" s="129"/>
      <c r="I928" s="129"/>
      <c r="J928" s="129">
        <f>389*4</f>
        <v>1556</v>
      </c>
      <c r="K928" s="129">
        <v>389</v>
      </c>
      <c r="L928" s="129"/>
      <c r="M928" s="129"/>
      <c r="N928" s="129"/>
      <c r="O928" s="129"/>
      <c r="P928" s="129"/>
      <c r="Q928" s="129"/>
      <c r="R928" s="129"/>
      <c r="S928" s="129"/>
      <c r="T928" s="129"/>
      <c r="U928" s="129"/>
      <c r="V928" s="129"/>
      <c r="W928" s="107"/>
      <c r="X928" s="105"/>
      <c r="Y928" s="92">
        <f t="shared" si="90"/>
        <v>0</v>
      </c>
      <c r="Z928" s="92">
        <f t="shared" si="91"/>
        <v>0</v>
      </c>
      <c r="AA928" s="92">
        <f t="shared" si="92"/>
        <v>0</v>
      </c>
      <c r="AB928" s="92">
        <f t="shared" si="93"/>
        <v>0</v>
      </c>
      <c r="AC928" s="92"/>
      <c r="AD928" s="92">
        <v>0</v>
      </c>
      <c r="AE928" s="92">
        <f t="shared" si="94"/>
        <v>0</v>
      </c>
      <c r="AF928" s="93">
        <v>0</v>
      </c>
      <c r="AG928" s="105"/>
      <c r="AH928" s="108"/>
      <c r="AI928" s="109" t="s">
        <v>4336</v>
      </c>
      <c r="AJ928" s="110" t="s">
        <v>4337</v>
      </c>
      <c r="AK928" s="111"/>
      <c r="AL928" s="105"/>
      <c r="AM928" s="112" t="s">
        <v>2693</v>
      </c>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c r="BJ928" s="107"/>
      <c r="BK928" s="107"/>
      <c r="BL928" s="107"/>
      <c r="BM928" s="107"/>
      <c r="BN928" s="107"/>
      <c r="BO928" s="107"/>
      <c r="BP928" s="107"/>
      <c r="BQ928" s="107"/>
      <c r="BR928" s="107"/>
      <c r="BS928" s="107"/>
      <c r="BT928" s="107"/>
      <c r="BU928" s="107"/>
      <c r="BV928" s="107"/>
      <c r="BW928" s="107"/>
      <c r="BX928" s="107"/>
      <c r="BY928" s="107"/>
      <c r="BZ928" s="107"/>
      <c r="CA928" s="107"/>
      <c r="CB928" s="107"/>
      <c r="CC928" s="107"/>
      <c r="CD928" s="107"/>
      <c r="CE928" s="107"/>
      <c r="CF928" s="107"/>
      <c r="CG928" s="107"/>
      <c r="CH928" s="107"/>
      <c r="CI928" s="107"/>
      <c r="CJ928" s="107"/>
      <c r="CK928" s="107"/>
      <c r="CL928" s="107"/>
      <c r="CM928" s="107"/>
      <c r="CN928" s="118"/>
      <c r="CO928" s="119"/>
      <c r="CP928" s="118"/>
      <c r="CQ928" s="119"/>
      <c r="CR928" s="118"/>
      <c r="CS928" s="119"/>
      <c r="CT928" s="113"/>
      <c r="CU928" s="118"/>
      <c r="CV928" s="99">
        <f t="shared" si="89"/>
        <v>0</v>
      </c>
      <c r="CW928" s="118"/>
      <c r="CX928" s="119"/>
      <c r="CY928" s="119"/>
      <c r="CZ928" s="119"/>
      <c r="DA928" s="118"/>
      <c r="DB928" s="119"/>
      <c r="DC928" s="111"/>
      <c r="DD928" s="119"/>
      <c r="DE928" s="111"/>
      <c r="DF928" s="46"/>
    </row>
    <row r="929" spans="1:110" s="42" customFormat="1" x14ac:dyDescent="0.2">
      <c r="A929" s="89">
        <v>40664</v>
      </c>
      <c r="B929" s="106" t="s">
        <v>4296</v>
      </c>
      <c r="C929" s="106" t="s">
        <v>2240</v>
      </c>
      <c r="D929" s="90" t="s">
        <v>4264</v>
      </c>
      <c r="E929" s="90" t="str">
        <f>VLOOKUP(B929&amp;C929,Divipola!$C$2:$F$1138,4,FALSE)</f>
        <v>19364</v>
      </c>
      <c r="F929" s="90"/>
      <c r="G929" s="129"/>
      <c r="H929" s="129"/>
      <c r="I929" s="129"/>
      <c r="J929" s="129">
        <f>69*4</f>
        <v>276</v>
      </c>
      <c r="K929" s="129">
        <v>69</v>
      </c>
      <c r="L929" s="129"/>
      <c r="M929" s="129"/>
      <c r="N929" s="129"/>
      <c r="O929" s="129"/>
      <c r="P929" s="129"/>
      <c r="Q929" s="129"/>
      <c r="R929" s="129"/>
      <c r="S929" s="129"/>
      <c r="T929" s="129"/>
      <c r="U929" s="129"/>
      <c r="V929" s="129"/>
      <c r="W929" s="107"/>
      <c r="X929" s="105"/>
      <c r="Y929" s="92">
        <f t="shared" si="90"/>
        <v>0</v>
      </c>
      <c r="Z929" s="92">
        <f t="shared" si="91"/>
        <v>0</v>
      </c>
      <c r="AA929" s="92">
        <f t="shared" si="92"/>
        <v>0</v>
      </c>
      <c r="AB929" s="92">
        <f t="shared" si="93"/>
        <v>0</v>
      </c>
      <c r="AC929" s="92"/>
      <c r="AD929" s="92">
        <v>0</v>
      </c>
      <c r="AE929" s="92">
        <f t="shared" si="94"/>
        <v>0</v>
      </c>
      <c r="AF929" s="93">
        <v>0</v>
      </c>
      <c r="AG929" s="105"/>
      <c r="AH929" s="108"/>
      <c r="AI929" s="109" t="s">
        <v>4336</v>
      </c>
      <c r="AJ929" s="110" t="s">
        <v>4337</v>
      </c>
      <c r="AK929" s="111"/>
      <c r="AL929" s="105"/>
      <c r="AM929" s="112" t="s">
        <v>2693</v>
      </c>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c r="BJ929" s="107"/>
      <c r="BK929" s="107"/>
      <c r="BL929" s="107"/>
      <c r="BM929" s="107"/>
      <c r="BN929" s="107"/>
      <c r="BO929" s="107"/>
      <c r="BP929" s="107"/>
      <c r="BQ929" s="107"/>
      <c r="BR929" s="107"/>
      <c r="BS929" s="107"/>
      <c r="BT929" s="107"/>
      <c r="BU929" s="107"/>
      <c r="BV929" s="107"/>
      <c r="BW929" s="107"/>
      <c r="BX929" s="107"/>
      <c r="BY929" s="107"/>
      <c r="BZ929" s="107"/>
      <c r="CA929" s="107"/>
      <c r="CB929" s="107"/>
      <c r="CC929" s="107"/>
      <c r="CD929" s="107"/>
      <c r="CE929" s="107"/>
      <c r="CF929" s="107"/>
      <c r="CG929" s="107"/>
      <c r="CH929" s="107"/>
      <c r="CI929" s="107"/>
      <c r="CJ929" s="107"/>
      <c r="CK929" s="107"/>
      <c r="CL929" s="107"/>
      <c r="CM929" s="107"/>
      <c r="CN929" s="118"/>
      <c r="CO929" s="119"/>
      <c r="CP929" s="118"/>
      <c r="CQ929" s="119"/>
      <c r="CR929" s="118"/>
      <c r="CS929" s="119"/>
      <c r="CT929" s="113"/>
      <c r="CU929" s="118"/>
      <c r="CV929" s="99">
        <f t="shared" si="89"/>
        <v>0</v>
      </c>
      <c r="CW929" s="118"/>
      <c r="CX929" s="119"/>
      <c r="CY929" s="119"/>
      <c r="CZ929" s="119"/>
      <c r="DA929" s="118"/>
      <c r="DB929" s="119"/>
      <c r="DC929" s="111"/>
      <c r="DD929" s="119"/>
      <c r="DE929" s="111"/>
      <c r="DF929" s="46"/>
    </row>
    <row r="930" spans="1:110" s="42" customFormat="1" x14ac:dyDescent="0.2">
      <c r="A930" s="89">
        <v>40664</v>
      </c>
      <c r="B930" s="106" t="s">
        <v>4296</v>
      </c>
      <c r="C930" s="106" t="s">
        <v>2204</v>
      </c>
      <c r="D930" s="90" t="s">
        <v>4264</v>
      </c>
      <c r="E930" s="90" t="str">
        <f>VLOOKUP(B930&amp;C930,Divipola!$C$2:$F$1138,4,FALSE)</f>
        <v>19785</v>
      </c>
      <c r="F930" s="90"/>
      <c r="G930" s="129"/>
      <c r="H930" s="129"/>
      <c r="I930" s="129"/>
      <c r="J930" s="129">
        <f>370*4</f>
        <v>1480</v>
      </c>
      <c r="K930" s="129">
        <v>370</v>
      </c>
      <c r="L930" s="129"/>
      <c r="M930" s="129"/>
      <c r="N930" s="129"/>
      <c r="O930" s="129"/>
      <c r="P930" s="129"/>
      <c r="Q930" s="129"/>
      <c r="R930" s="129"/>
      <c r="S930" s="129"/>
      <c r="T930" s="129"/>
      <c r="U930" s="129"/>
      <c r="V930" s="129"/>
      <c r="W930" s="107"/>
      <c r="X930" s="105"/>
      <c r="Y930" s="92">
        <f t="shared" si="90"/>
        <v>0</v>
      </c>
      <c r="Z930" s="92">
        <f t="shared" si="91"/>
        <v>0</v>
      </c>
      <c r="AA930" s="92">
        <f t="shared" si="92"/>
        <v>0</v>
      </c>
      <c r="AB930" s="92">
        <f t="shared" si="93"/>
        <v>0</v>
      </c>
      <c r="AC930" s="92"/>
      <c r="AD930" s="92">
        <v>0</v>
      </c>
      <c r="AE930" s="92">
        <f t="shared" si="94"/>
        <v>0</v>
      </c>
      <c r="AF930" s="93">
        <v>0</v>
      </c>
      <c r="AG930" s="105"/>
      <c r="AH930" s="108"/>
      <c r="AI930" s="109" t="s">
        <v>4336</v>
      </c>
      <c r="AJ930" s="110" t="s">
        <v>4337</v>
      </c>
      <c r="AK930" s="111"/>
      <c r="AL930" s="105"/>
      <c r="AM930" s="112" t="s">
        <v>2693</v>
      </c>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c r="BJ930" s="107"/>
      <c r="BK930" s="107"/>
      <c r="BL930" s="107"/>
      <c r="BM930" s="107"/>
      <c r="BN930" s="107"/>
      <c r="BO930" s="107"/>
      <c r="BP930" s="107"/>
      <c r="BQ930" s="107"/>
      <c r="BR930" s="107"/>
      <c r="BS930" s="107"/>
      <c r="BT930" s="107"/>
      <c r="BU930" s="107"/>
      <c r="BV930" s="107"/>
      <c r="BW930" s="107"/>
      <c r="BX930" s="107"/>
      <c r="BY930" s="107"/>
      <c r="BZ930" s="107"/>
      <c r="CA930" s="107"/>
      <c r="CB930" s="107"/>
      <c r="CC930" s="107"/>
      <c r="CD930" s="107"/>
      <c r="CE930" s="107"/>
      <c r="CF930" s="107"/>
      <c r="CG930" s="107"/>
      <c r="CH930" s="107"/>
      <c r="CI930" s="107"/>
      <c r="CJ930" s="107"/>
      <c r="CK930" s="107"/>
      <c r="CL930" s="107"/>
      <c r="CM930" s="107"/>
      <c r="CN930" s="118"/>
      <c r="CO930" s="119"/>
      <c r="CP930" s="118"/>
      <c r="CQ930" s="119"/>
      <c r="CR930" s="118"/>
      <c r="CS930" s="119"/>
      <c r="CT930" s="113"/>
      <c r="CU930" s="118"/>
      <c r="CV930" s="99">
        <f t="shared" si="89"/>
        <v>0</v>
      </c>
      <c r="CW930" s="118"/>
      <c r="CX930" s="119"/>
      <c r="CY930" s="119"/>
      <c r="CZ930" s="119"/>
      <c r="DA930" s="118"/>
      <c r="DB930" s="119"/>
      <c r="DC930" s="111"/>
      <c r="DD930" s="119"/>
      <c r="DE930" s="111"/>
      <c r="DF930" s="46"/>
    </row>
    <row r="931" spans="1:110" s="42" customFormat="1" ht="84" x14ac:dyDescent="0.2">
      <c r="A931" s="89">
        <v>40664</v>
      </c>
      <c r="B931" s="106" t="s">
        <v>4296</v>
      </c>
      <c r="C931" s="106" t="s">
        <v>845</v>
      </c>
      <c r="D931" s="90" t="s">
        <v>4264</v>
      </c>
      <c r="E931" s="90" t="str">
        <f>VLOOKUP(B931&amp;C931,Divipola!$C$2:$F$1138,4,FALSE)</f>
        <v>19807</v>
      </c>
      <c r="F931" s="90"/>
      <c r="G931" s="129"/>
      <c r="H931" s="129"/>
      <c r="I931" s="129"/>
      <c r="J931" s="129">
        <f>1851*4</f>
        <v>7404</v>
      </c>
      <c r="K931" s="129">
        <v>1851</v>
      </c>
      <c r="L931" s="129"/>
      <c r="M931" s="129"/>
      <c r="N931" s="129">
        <v>9</v>
      </c>
      <c r="O931" s="129"/>
      <c r="P931" s="129"/>
      <c r="Q931" s="129"/>
      <c r="R931" s="129"/>
      <c r="S931" s="129"/>
      <c r="T931" s="129"/>
      <c r="U931" s="129"/>
      <c r="V931" s="129"/>
      <c r="W931" s="107"/>
      <c r="X931" s="105"/>
      <c r="Y931" s="92">
        <f t="shared" si="90"/>
        <v>0</v>
      </c>
      <c r="Z931" s="92">
        <f t="shared" si="91"/>
        <v>0</v>
      </c>
      <c r="AA931" s="92">
        <f t="shared" si="92"/>
        <v>0</v>
      </c>
      <c r="AB931" s="92">
        <f t="shared" si="93"/>
        <v>0</v>
      </c>
      <c r="AC931" s="92"/>
      <c r="AD931" s="92">
        <v>30000000</v>
      </c>
      <c r="AE931" s="92">
        <f t="shared" si="94"/>
        <v>30000000</v>
      </c>
      <c r="AF931" s="93">
        <v>0</v>
      </c>
      <c r="AG931" s="105"/>
      <c r="AH931" s="108"/>
      <c r="AI931" s="95" t="s">
        <v>4346</v>
      </c>
      <c r="AJ931" s="96" t="s">
        <v>4347</v>
      </c>
      <c r="AK931" s="111"/>
      <c r="AL931" s="105"/>
      <c r="AM931" s="112" t="s">
        <v>1909</v>
      </c>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c r="BJ931" s="107"/>
      <c r="BK931" s="107"/>
      <c r="BL931" s="107"/>
      <c r="BM931" s="107"/>
      <c r="BN931" s="107"/>
      <c r="BO931" s="107"/>
      <c r="BP931" s="107"/>
      <c r="BQ931" s="107"/>
      <c r="BR931" s="107"/>
      <c r="BS931" s="107"/>
      <c r="BT931" s="107"/>
      <c r="BU931" s="107"/>
      <c r="BV931" s="107"/>
      <c r="BW931" s="107"/>
      <c r="BX931" s="107"/>
      <c r="BY931" s="107"/>
      <c r="BZ931" s="107"/>
      <c r="CA931" s="107"/>
      <c r="CB931" s="107"/>
      <c r="CC931" s="107"/>
      <c r="CD931" s="107"/>
      <c r="CE931" s="107"/>
      <c r="CF931" s="107"/>
      <c r="CG931" s="107"/>
      <c r="CH931" s="107"/>
      <c r="CI931" s="107"/>
      <c r="CJ931" s="107"/>
      <c r="CK931" s="107"/>
      <c r="CL931" s="107"/>
      <c r="CM931" s="107"/>
      <c r="CN931" s="118"/>
      <c r="CO931" s="119"/>
      <c r="CP931" s="118"/>
      <c r="CQ931" s="119"/>
      <c r="CR931" s="118"/>
      <c r="CS931" s="119"/>
      <c r="CT931" s="113"/>
      <c r="CU931" s="118"/>
      <c r="CV931" s="99">
        <f t="shared" si="89"/>
        <v>0</v>
      </c>
      <c r="CW931" s="118"/>
      <c r="CX931" s="119"/>
      <c r="CY931" s="119"/>
      <c r="CZ931" s="119"/>
      <c r="DA931" s="118"/>
      <c r="DB931" s="119"/>
      <c r="DC931" s="111"/>
      <c r="DD931" s="119"/>
      <c r="DE931" s="111"/>
      <c r="DF931" s="46"/>
    </row>
    <row r="932" spans="1:110" s="42" customFormat="1" ht="24" x14ac:dyDescent="0.2">
      <c r="A932" s="89">
        <v>40664</v>
      </c>
      <c r="B932" s="16" t="s">
        <v>4386</v>
      </c>
      <c r="C932" s="16" t="s">
        <v>1536</v>
      </c>
      <c r="D932" s="90" t="s">
        <v>4264</v>
      </c>
      <c r="E932" s="90" t="str">
        <f>VLOOKUP(B932&amp;C932,Divipola!$C$2:$F$1138,4,FALSE)</f>
        <v>20032</v>
      </c>
      <c r="F932" s="4"/>
      <c r="G932" s="208"/>
      <c r="H932" s="208"/>
      <c r="I932" s="208"/>
      <c r="J932" s="208">
        <f>160*5</f>
        <v>800</v>
      </c>
      <c r="K932" s="208">
        <v>160</v>
      </c>
      <c r="L932" s="208"/>
      <c r="M932" s="208">
        <v>160</v>
      </c>
      <c r="N932" s="208"/>
      <c r="O932" s="208"/>
      <c r="P932" s="208"/>
      <c r="Q932" s="208"/>
      <c r="R932" s="208"/>
      <c r="S932" s="208"/>
      <c r="T932" s="208"/>
      <c r="U932" s="208"/>
      <c r="V932" s="208"/>
      <c r="W932" s="19"/>
      <c r="X932" s="17"/>
      <c r="Y932" s="5">
        <f t="shared" si="90"/>
        <v>0</v>
      </c>
      <c r="Z932" s="5">
        <f t="shared" si="91"/>
        <v>0</v>
      </c>
      <c r="AA932" s="5">
        <f t="shared" si="92"/>
        <v>19999328</v>
      </c>
      <c r="AB932" s="5">
        <f t="shared" si="93"/>
        <v>0</v>
      </c>
      <c r="AC932" s="5">
        <f>454*18913.8</f>
        <v>8586865.1999999993</v>
      </c>
      <c r="AD932" s="5">
        <v>0</v>
      </c>
      <c r="AE932" s="5">
        <f t="shared" si="94"/>
        <v>28586193.199999999</v>
      </c>
      <c r="AF932" s="70">
        <v>0</v>
      </c>
      <c r="AG932" s="17"/>
      <c r="AH932" s="18"/>
      <c r="AI932" s="47" t="s">
        <v>4346</v>
      </c>
      <c r="AJ932" s="73" t="s">
        <v>4347</v>
      </c>
      <c r="AK932" s="45"/>
      <c r="AL932" s="17"/>
      <c r="AM932" s="20" t="s">
        <v>104</v>
      </c>
      <c r="AN932" s="19"/>
      <c r="AO932" s="19"/>
      <c r="AP932" s="19"/>
      <c r="AQ932" s="19"/>
      <c r="AR932" s="19"/>
      <c r="AS932" s="19"/>
      <c r="AT932" s="19"/>
      <c r="AU932" s="19"/>
      <c r="AV932" s="19"/>
      <c r="AW932" s="19"/>
      <c r="AX932" s="107"/>
      <c r="AY932" s="107"/>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39"/>
      <c r="CO932" s="138"/>
      <c r="CP932" s="139"/>
      <c r="CQ932" s="138"/>
      <c r="CR932" s="139"/>
      <c r="CS932" s="138"/>
      <c r="CT932" s="72"/>
      <c r="CU932" s="139"/>
      <c r="CV932" s="99">
        <f t="shared" si="89"/>
        <v>0</v>
      </c>
      <c r="CW932" s="139"/>
      <c r="CX932" s="138"/>
      <c r="CY932" s="138"/>
      <c r="CZ932" s="138"/>
      <c r="DA932" s="139">
        <v>800</v>
      </c>
      <c r="DB932" s="138">
        <f>800*24999.16</f>
        <v>19999328</v>
      </c>
      <c r="DC932" s="45"/>
      <c r="DD932" s="138"/>
      <c r="DE932" s="45"/>
      <c r="DF932" s="46"/>
    </row>
    <row r="933" spans="1:110" s="42" customFormat="1" ht="24" x14ac:dyDescent="0.2">
      <c r="A933" s="89">
        <v>40664</v>
      </c>
      <c r="B933" s="106" t="s">
        <v>2225</v>
      </c>
      <c r="C933" s="106" t="s">
        <v>3318</v>
      </c>
      <c r="D933" s="90" t="s">
        <v>2362</v>
      </c>
      <c r="E933" s="90" t="str">
        <f>VLOOKUP(B933&amp;C933,Divipola!$C$2:$F$1138,4,FALSE)</f>
        <v>27073</v>
      </c>
      <c r="F933" s="90"/>
      <c r="G933" s="129"/>
      <c r="H933" s="129"/>
      <c r="I933" s="129"/>
      <c r="J933" s="129">
        <v>8</v>
      </c>
      <c r="K933" s="129">
        <v>2</v>
      </c>
      <c r="L933" s="129">
        <v>2</v>
      </c>
      <c r="M933" s="129"/>
      <c r="N933" s="129"/>
      <c r="O933" s="129"/>
      <c r="P933" s="129"/>
      <c r="Q933" s="129"/>
      <c r="R933" s="129"/>
      <c r="S933" s="129"/>
      <c r="T933" s="129"/>
      <c r="U933" s="129"/>
      <c r="V933" s="129"/>
      <c r="W933" s="107" t="s">
        <v>3337</v>
      </c>
      <c r="X933" s="105"/>
      <c r="Y933" s="92">
        <f t="shared" si="90"/>
        <v>0</v>
      </c>
      <c r="Z933" s="92">
        <f t="shared" si="91"/>
        <v>0</v>
      </c>
      <c r="AA933" s="92">
        <f t="shared" si="92"/>
        <v>0</v>
      </c>
      <c r="AB933" s="92">
        <f t="shared" si="93"/>
        <v>0</v>
      </c>
      <c r="AC933" s="92"/>
      <c r="AD933" s="92">
        <v>0</v>
      </c>
      <c r="AE933" s="92">
        <f t="shared" si="94"/>
        <v>0</v>
      </c>
      <c r="AF933" s="93">
        <v>0</v>
      </c>
      <c r="AG933" s="105"/>
      <c r="AH933" s="108"/>
      <c r="AI933" s="109" t="s">
        <v>4336</v>
      </c>
      <c r="AJ933" s="110" t="s">
        <v>4337</v>
      </c>
      <c r="AK933" s="111"/>
      <c r="AL933" s="105"/>
      <c r="AM933" s="112" t="s">
        <v>930</v>
      </c>
      <c r="AN933" s="107"/>
      <c r="AO933" s="107"/>
      <c r="AP933" s="107"/>
      <c r="AQ933" s="107"/>
      <c r="AR933" s="107"/>
      <c r="AS933" s="107"/>
      <c r="AT933" s="107"/>
      <c r="AU933" s="107"/>
      <c r="AV933" s="107"/>
      <c r="AW933" s="107"/>
      <c r="AX933" s="107"/>
      <c r="AY933" s="107"/>
      <c r="AZ933" s="107"/>
      <c r="BA933" s="107"/>
      <c r="BB933" s="107"/>
      <c r="BC933" s="107"/>
      <c r="BD933" s="107"/>
      <c r="BE933" s="107"/>
      <c r="BF933" s="107"/>
      <c r="BG933" s="107"/>
      <c r="BH933" s="107"/>
      <c r="BI933" s="107"/>
      <c r="BJ933" s="107"/>
      <c r="BK933" s="107"/>
      <c r="BL933" s="107"/>
      <c r="BM933" s="107"/>
      <c r="BN933" s="107"/>
      <c r="BO933" s="107"/>
      <c r="BP933" s="107"/>
      <c r="BQ933" s="107"/>
      <c r="BR933" s="107"/>
      <c r="BS933" s="107"/>
      <c r="BT933" s="107"/>
      <c r="BU933" s="107"/>
      <c r="BV933" s="107"/>
      <c r="BW933" s="107"/>
      <c r="BX933" s="107"/>
      <c r="BY933" s="107"/>
      <c r="BZ933" s="107"/>
      <c r="CA933" s="107"/>
      <c r="CB933" s="107"/>
      <c r="CC933" s="107"/>
      <c r="CD933" s="107"/>
      <c r="CE933" s="107"/>
      <c r="CF933" s="107"/>
      <c r="CG933" s="107"/>
      <c r="CH933" s="107"/>
      <c r="CI933" s="107"/>
      <c r="CJ933" s="107"/>
      <c r="CK933" s="107"/>
      <c r="CL933" s="107"/>
      <c r="CM933" s="107"/>
      <c r="CN933" s="118"/>
      <c r="CO933" s="119"/>
      <c r="CP933" s="118"/>
      <c r="CQ933" s="119"/>
      <c r="CR933" s="118"/>
      <c r="CS933" s="119"/>
      <c r="CT933" s="113"/>
      <c r="CU933" s="118"/>
      <c r="CV933" s="99">
        <f t="shared" si="89"/>
        <v>0</v>
      </c>
      <c r="CW933" s="118"/>
      <c r="CX933" s="119"/>
      <c r="CY933" s="119"/>
      <c r="CZ933" s="119"/>
      <c r="DA933" s="118"/>
      <c r="DB933" s="119"/>
      <c r="DC933" s="111"/>
      <c r="DD933" s="119"/>
      <c r="DE933" s="111"/>
      <c r="DF933" s="46"/>
    </row>
    <row r="934" spans="1:110" s="42" customFormat="1" ht="24" x14ac:dyDescent="0.2">
      <c r="A934" s="89">
        <v>40664</v>
      </c>
      <c r="B934" s="106" t="s">
        <v>2225</v>
      </c>
      <c r="C934" s="106" t="s">
        <v>3365</v>
      </c>
      <c r="D934" s="90" t="s">
        <v>4264</v>
      </c>
      <c r="E934" s="90" t="str">
        <f>VLOOKUP(B934&amp;C934,Divipola!$C$2:$F$1138,4,FALSE)</f>
        <v>27413</v>
      </c>
      <c r="F934" s="90"/>
      <c r="G934" s="129"/>
      <c r="H934" s="129"/>
      <c r="I934" s="129"/>
      <c r="J934" s="129">
        <v>742</v>
      </c>
      <c r="K934" s="129">
        <v>152</v>
      </c>
      <c r="L934" s="129"/>
      <c r="M934" s="129">
        <v>152</v>
      </c>
      <c r="N934" s="129"/>
      <c r="O934" s="129"/>
      <c r="P934" s="129"/>
      <c r="Q934" s="129"/>
      <c r="R934" s="129"/>
      <c r="S934" s="129"/>
      <c r="T934" s="129"/>
      <c r="U934" s="129"/>
      <c r="V934" s="129"/>
      <c r="W934" s="107" t="s">
        <v>3337</v>
      </c>
      <c r="X934" s="105"/>
      <c r="Y934" s="92">
        <f t="shared" si="90"/>
        <v>0</v>
      </c>
      <c r="Z934" s="92">
        <f t="shared" si="91"/>
        <v>0</v>
      </c>
      <c r="AA934" s="92">
        <f t="shared" si="92"/>
        <v>0</v>
      </c>
      <c r="AB934" s="92">
        <f t="shared" si="93"/>
        <v>0</v>
      </c>
      <c r="AC934" s="92"/>
      <c r="AD934" s="92">
        <v>0</v>
      </c>
      <c r="AE934" s="92">
        <f t="shared" si="94"/>
        <v>0</v>
      </c>
      <c r="AF934" s="93">
        <v>0</v>
      </c>
      <c r="AG934" s="105"/>
      <c r="AH934" s="108"/>
      <c r="AI934" s="109" t="s">
        <v>4336</v>
      </c>
      <c r="AJ934" s="110" t="s">
        <v>4337</v>
      </c>
      <c r="AK934" s="111"/>
      <c r="AL934" s="105"/>
      <c r="AM934" s="112" t="s">
        <v>930</v>
      </c>
      <c r="AN934" s="107"/>
      <c r="AO934" s="107"/>
      <c r="AP934" s="107"/>
      <c r="AQ934" s="107"/>
      <c r="AR934" s="107"/>
      <c r="AS934" s="107"/>
      <c r="AT934" s="107"/>
      <c r="AU934" s="107"/>
      <c r="AV934" s="107"/>
      <c r="AW934" s="107"/>
      <c r="AX934" s="107"/>
      <c r="AY934" s="107"/>
      <c r="AZ934" s="107"/>
      <c r="BA934" s="107"/>
      <c r="BB934" s="107"/>
      <c r="BC934" s="107"/>
      <c r="BD934" s="107"/>
      <c r="BE934" s="107"/>
      <c r="BF934" s="107"/>
      <c r="BG934" s="107"/>
      <c r="BH934" s="107"/>
      <c r="BI934" s="107"/>
      <c r="BJ934" s="107"/>
      <c r="BK934" s="107"/>
      <c r="BL934" s="107"/>
      <c r="BM934" s="107"/>
      <c r="BN934" s="107"/>
      <c r="BO934" s="107"/>
      <c r="BP934" s="107"/>
      <c r="BQ934" s="107"/>
      <c r="BR934" s="107"/>
      <c r="BS934" s="107"/>
      <c r="BT934" s="107"/>
      <c r="BU934" s="107"/>
      <c r="BV934" s="107"/>
      <c r="BW934" s="107"/>
      <c r="BX934" s="107"/>
      <c r="BY934" s="107"/>
      <c r="BZ934" s="107"/>
      <c r="CA934" s="107"/>
      <c r="CB934" s="107"/>
      <c r="CC934" s="107"/>
      <c r="CD934" s="107"/>
      <c r="CE934" s="107"/>
      <c r="CF934" s="107"/>
      <c r="CG934" s="107"/>
      <c r="CH934" s="107"/>
      <c r="CI934" s="107"/>
      <c r="CJ934" s="107"/>
      <c r="CK934" s="107"/>
      <c r="CL934" s="107"/>
      <c r="CM934" s="107"/>
      <c r="CN934" s="118"/>
      <c r="CO934" s="119"/>
      <c r="CP934" s="118"/>
      <c r="CQ934" s="119"/>
      <c r="CR934" s="118"/>
      <c r="CS934" s="119"/>
      <c r="CT934" s="113"/>
      <c r="CU934" s="118"/>
      <c r="CV934" s="99">
        <f t="shared" si="89"/>
        <v>0</v>
      </c>
      <c r="CW934" s="118"/>
      <c r="CX934" s="119"/>
      <c r="CY934" s="119"/>
      <c r="CZ934" s="119"/>
      <c r="DA934" s="118"/>
      <c r="DB934" s="119"/>
      <c r="DC934" s="111"/>
      <c r="DD934" s="119"/>
      <c r="DE934" s="111"/>
      <c r="DF934" s="46"/>
    </row>
    <row r="935" spans="1:110" s="42" customFormat="1" ht="24" x14ac:dyDescent="0.2">
      <c r="A935" s="89">
        <v>40664</v>
      </c>
      <c r="B935" s="106" t="s">
        <v>2225</v>
      </c>
      <c r="C935" s="106" t="s">
        <v>4258</v>
      </c>
      <c r="D935" s="90" t="s">
        <v>4264</v>
      </c>
      <c r="E935" s="90" t="str">
        <f>VLOOKUP(B935&amp;C935,Divipola!$C$2:$F$1138,4,FALSE)</f>
        <v>27787</v>
      </c>
      <c r="F935" s="90"/>
      <c r="G935" s="129"/>
      <c r="H935" s="129"/>
      <c r="I935" s="129"/>
      <c r="J935" s="129">
        <f>466*5</f>
        <v>2330</v>
      </c>
      <c r="K935" s="129">
        <f>63+403</f>
        <v>466</v>
      </c>
      <c r="L935" s="129"/>
      <c r="M935" s="129">
        <v>466</v>
      </c>
      <c r="N935" s="129"/>
      <c r="O935" s="129"/>
      <c r="P935" s="129"/>
      <c r="Q935" s="129"/>
      <c r="R935" s="129"/>
      <c r="S935" s="129"/>
      <c r="T935" s="129"/>
      <c r="U935" s="129"/>
      <c r="V935" s="129"/>
      <c r="W935" s="107" t="s">
        <v>3337</v>
      </c>
      <c r="X935" s="105"/>
      <c r="Y935" s="92">
        <f t="shared" si="90"/>
        <v>0</v>
      </c>
      <c r="Z935" s="92">
        <f t="shared" si="91"/>
        <v>0</v>
      </c>
      <c r="AA935" s="92">
        <f t="shared" si="92"/>
        <v>0</v>
      </c>
      <c r="AB935" s="92">
        <f t="shared" si="93"/>
        <v>0</v>
      </c>
      <c r="AC935" s="92"/>
      <c r="AD935" s="92">
        <v>0</v>
      </c>
      <c r="AE935" s="92">
        <f t="shared" si="94"/>
        <v>0</v>
      </c>
      <c r="AF935" s="93">
        <v>0</v>
      </c>
      <c r="AG935" s="105"/>
      <c r="AH935" s="108"/>
      <c r="AI935" s="109" t="s">
        <v>4336</v>
      </c>
      <c r="AJ935" s="110" t="s">
        <v>4337</v>
      </c>
      <c r="AK935" s="111"/>
      <c r="AL935" s="105"/>
      <c r="AM935" s="112" t="s">
        <v>930</v>
      </c>
      <c r="AN935" s="107"/>
      <c r="AO935" s="107"/>
      <c r="AP935" s="107"/>
      <c r="AQ935" s="107"/>
      <c r="AR935" s="107"/>
      <c r="AS935" s="107"/>
      <c r="AT935" s="107"/>
      <c r="AU935" s="107"/>
      <c r="AV935" s="107"/>
      <c r="AW935" s="107"/>
      <c r="AX935" s="107"/>
      <c r="AY935" s="107"/>
      <c r="AZ935" s="107"/>
      <c r="BA935" s="107"/>
      <c r="BB935" s="107"/>
      <c r="BC935" s="107"/>
      <c r="BD935" s="107"/>
      <c r="BE935" s="107"/>
      <c r="BF935" s="107"/>
      <c r="BG935" s="107"/>
      <c r="BH935" s="107"/>
      <c r="BI935" s="107"/>
      <c r="BJ935" s="107"/>
      <c r="BK935" s="107"/>
      <c r="BL935" s="107"/>
      <c r="BM935" s="107"/>
      <c r="BN935" s="107"/>
      <c r="BO935" s="107"/>
      <c r="BP935" s="107"/>
      <c r="BQ935" s="107"/>
      <c r="BR935" s="107"/>
      <c r="BS935" s="107"/>
      <c r="BT935" s="107"/>
      <c r="BU935" s="107"/>
      <c r="BV935" s="107"/>
      <c r="BW935" s="107"/>
      <c r="BX935" s="107"/>
      <c r="BY935" s="107"/>
      <c r="BZ935" s="107"/>
      <c r="CA935" s="107"/>
      <c r="CB935" s="107"/>
      <c r="CC935" s="107"/>
      <c r="CD935" s="107"/>
      <c r="CE935" s="107"/>
      <c r="CF935" s="107"/>
      <c r="CG935" s="107"/>
      <c r="CH935" s="107"/>
      <c r="CI935" s="107"/>
      <c r="CJ935" s="107"/>
      <c r="CK935" s="107"/>
      <c r="CL935" s="107"/>
      <c r="CM935" s="107"/>
      <c r="CN935" s="118"/>
      <c r="CO935" s="119"/>
      <c r="CP935" s="118"/>
      <c r="CQ935" s="119"/>
      <c r="CR935" s="118"/>
      <c r="CS935" s="119"/>
      <c r="CT935" s="113"/>
      <c r="CU935" s="118"/>
      <c r="CV935" s="99">
        <f t="shared" si="89"/>
        <v>0</v>
      </c>
      <c r="CW935" s="118"/>
      <c r="CX935" s="119"/>
      <c r="CY935" s="119"/>
      <c r="CZ935" s="119"/>
      <c r="DA935" s="118"/>
      <c r="DB935" s="119"/>
      <c r="DC935" s="111"/>
      <c r="DD935" s="119"/>
      <c r="DE935" s="111"/>
      <c r="DF935" s="46"/>
    </row>
    <row r="936" spans="1:110" s="42" customFormat="1" ht="24" x14ac:dyDescent="0.2">
      <c r="A936" s="89">
        <v>40664</v>
      </c>
      <c r="B936" s="90" t="s">
        <v>4344</v>
      </c>
      <c r="C936" s="90" t="s">
        <v>2257</v>
      </c>
      <c r="D936" s="90" t="s">
        <v>4264</v>
      </c>
      <c r="E936" s="90" t="str">
        <f>VLOOKUP(B936&amp;C936,Divipola!$C$2:$F$1138,4,FALSE)</f>
        <v>25126</v>
      </c>
      <c r="F936" s="90"/>
      <c r="G936" s="101"/>
      <c r="H936" s="101"/>
      <c r="I936" s="101"/>
      <c r="J936" s="101">
        <v>40</v>
      </c>
      <c r="K936" s="101">
        <v>10</v>
      </c>
      <c r="L936" s="101"/>
      <c r="M936" s="101">
        <v>10</v>
      </c>
      <c r="N936" s="101"/>
      <c r="O936" s="101"/>
      <c r="P936" s="101"/>
      <c r="Q936" s="101">
        <v>1</v>
      </c>
      <c r="R936" s="101"/>
      <c r="S936" s="101"/>
      <c r="T936" s="101"/>
      <c r="U936" s="101"/>
      <c r="V936" s="101"/>
      <c r="W936" s="91"/>
      <c r="X936" s="89"/>
      <c r="Y936" s="92">
        <f t="shared" si="90"/>
        <v>0</v>
      </c>
      <c r="Z936" s="92">
        <f t="shared" si="91"/>
        <v>0</v>
      </c>
      <c r="AA936" s="92">
        <f t="shared" si="92"/>
        <v>0</v>
      </c>
      <c r="AB936" s="92">
        <f t="shared" si="93"/>
        <v>0</v>
      </c>
      <c r="AC936" s="92"/>
      <c r="AD936" s="92">
        <v>0</v>
      </c>
      <c r="AE936" s="92">
        <f t="shared" si="94"/>
        <v>0</v>
      </c>
      <c r="AF936" s="93">
        <v>0</v>
      </c>
      <c r="AG936" s="89"/>
      <c r="AH936" s="94"/>
      <c r="AI936" s="102" t="s">
        <v>4336</v>
      </c>
      <c r="AJ936" s="96" t="s">
        <v>4337</v>
      </c>
      <c r="AK936" s="97"/>
      <c r="AL936" s="89"/>
      <c r="AM936" s="100" t="s">
        <v>1059</v>
      </c>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114"/>
      <c r="CQ936" s="115"/>
      <c r="CR936" s="114"/>
      <c r="CS936" s="115"/>
      <c r="CT936" s="114"/>
      <c r="CU936" s="115"/>
      <c r="CV936" s="99">
        <f t="shared" si="89"/>
        <v>0</v>
      </c>
      <c r="CW936" s="114"/>
      <c r="CX936" s="115"/>
      <c r="CY936" s="114"/>
      <c r="CZ936" s="115"/>
      <c r="DA936" s="115"/>
      <c r="DB936" s="115"/>
      <c r="DC936" s="114"/>
      <c r="DD936" s="115"/>
      <c r="DE936" s="97"/>
      <c r="DF936" s="46"/>
    </row>
    <row r="937" spans="1:110" s="42" customFormat="1" ht="24" x14ac:dyDescent="0.2">
      <c r="A937" s="89">
        <v>40664</v>
      </c>
      <c r="B937" s="90" t="s">
        <v>4344</v>
      </c>
      <c r="C937" s="90" t="s">
        <v>3546</v>
      </c>
      <c r="D937" s="90" t="s">
        <v>4264</v>
      </c>
      <c r="E937" s="90" t="str">
        <f>VLOOKUP(B937&amp;C937,Divipola!$C$2:$F$1138,4,FALSE)</f>
        <v>25181</v>
      </c>
      <c r="F937" s="90"/>
      <c r="G937" s="101"/>
      <c r="H937" s="101"/>
      <c r="I937" s="101"/>
      <c r="J937" s="101">
        <v>100</v>
      </c>
      <c r="K937" s="101">
        <v>20</v>
      </c>
      <c r="L937" s="101"/>
      <c r="M937" s="101">
        <v>20</v>
      </c>
      <c r="N937" s="101"/>
      <c r="O937" s="101"/>
      <c r="P937" s="101"/>
      <c r="Q937" s="101"/>
      <c r="R937" s="101"/>
      <c r="S937" s="101"/>
      <c r="T937" s="101"/>
      <c r="U937" s="101"/>
      <c r="V937" s="101"/>
      <c r="W937" s="91"/>
      <c r="X937" s="89"/>
      <c r="Y937" s="92">
        <f t="shared" si="90"/>
        <v>0</v>
      </c>
      <c r="Z937" s="92">
        <f t="shared" si="91"/>
        <v>0</v>
      </c>
      <c r="AA937" s="92">
        <f t="shared" si="92"/>
        <v>0</v>
      </c>
      <c r="AB937" s="92">
        <f t="shared" si="93"/>
        <v>0</v>
      </c>
      <c r="AC937" s="92"/>
      <c r="AD937" s="92">
        <v>0</v>
      </c>
      <c r="AE937" s="92">
        <f t="shared" si="94"/>
        <v>0</v>
      </c>
      <c r="AF937" s="93">
        <v>0</v>
      </c>
      <c r="AG937" s="89"/>
      <c r="AH937" s="94"/>
      <c r="AI937" s="102" t="s">
        <v>4336</v>
      </c>
      <c r="AJ937" s="96" t="s">
        <v>4337</v>
      </c>
      <c r="AK937" s="97"/>
      <c r="AL937" s="89"/>
      <c r="AM937" s="100" t="s">
        <v>1060</v>
      </c>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114"/>
      <c r="CQ937" s="115"/>
      <c r="CR937" s="114"/>
      <c r="CS937" s="115"/>
      <c r="CT937" s="114"/>
      <c r="CU937" s="115"/>
      <c r="CV937" s="99">
        <f t="shared" si="89"/>
        <v>0</v>
      </c>
      <c r="CW937" s="114"/>
      <c r="CX937" s="115"/>
      <c r="CY937" s="114"/>
      <c r="CZ937" s="115"/>
      <c r="DA937" s="115"/>
      <c r="DB937" s="115"/>
      <c r="DC937" s="114"/>
      <c r="DD937" s="115"/>
      <c r="DE937" s="97"/>
      <c r="DF937" s="46"/>
    </row>
    <row r="938" spans="1:110" s="42" customFormat="1" ht="36" x14ac:dyDescent="0.2">
      <c r="A938" s="89">
        <v>40664</v>
      </c>
      <c r="B938" s="106" t="s">
        <v>4344</v>
      </c>
      <c r="C938" s="106" t="s">
        <v>1699</v>
      </c>
      <c r="D938" s="90" t="s">
        <v>4264</v>
      </c>
      <c r="E938" s="90" t="str">
        <f>VLOOKUP(B938&amp;C938,Divipola!$C$2:$F$1138,4,FALSE)</f>
        <v>25286</v>
      </c>
      <c r="F938" s="90"/>
      <c r="G938" s="129"/>
      <c r="H938" s="129"/>
      <c r="I938" s="129"/>
      <c r="J938" s="129">
        <v>21</v>
      </c>
      <c r="K938" s="129">
        <v>3</v>
      </c>
      <c r="L938" s="129"/>
      <c r="M938" s="129">
        <v>3</v>
      </c>
      <c r="N938" s="129">
        <v>1</v>
      </c>
      <c r="O938" s="129"/>
      <c r="P938" s="129"/>
      <c r="Q938" s="129"/>
      <c r="R938" s="129"/>
      <c r="S938" s="129"/>
      <c r="T938" s="129"/>
      <c r="U938" s="129"/>
      <c r="V938" s="129"/>
      <c r="W938" s="107" t="s">
        <v>3731</v>
      </c>
      <c r="X938" s="105"/>
      <c r="Y938" s="92">
        <f t="shared" si="90"/>
        <v>0</v>
      </c>
      <c r="Z938" s="92">
        <f t="shared" si="91"/>
        <v>0</v>
      </c>
      <c r="AA938" s="92">
        <f t="shared" si="92"/>
        <v>0</v>
      </c>
      <c r="AB938" s="92">
        <f t="shared" si="93"/>
        <v>0</v>
      </c>
      <c r="AC938" s="92"/>
      <c r="AD938" s="92">
        <v>0</v>
      </c>
      <c r="AE938" s="92">
        <f t="shared" si="94"/>
        <v>0</v>
      </c>
      <c r="AF938" s="93">
        <v>0</v>
      </c>
      <c r="AG938" s="105"/>
      <c r="AH938" s="108"/>
      <c r="AI938" s="109" t="s">
        <v>4346</v>
      </c>
      <c r="AJ938" s="110" t="s">
        <v>4347</v>
      </c>
      <c r="AK938" s="111"/>
      <c r="AL938" s="105" t="s">
        <v>928</v>
      </c>
      <c r="AM938" s="112" t="s">
        <v>3732</v>
      </c>
      <c r="AN938" s="107"/>
      <c r="AO938" s="107"/>
      <c r="AP938" s="107"/>
      <c r="AQ938" s="107"/>
      <c r="AR938" s="107"/>
      <c r="AS938" s="107"/>
      <c r="AT938" s="107"/>
      <c r="AU938" s="107"/>
      <c r="AV938" s="107"/>
      <c r="AW938" s="107"/>
      <c r="AX938" s="107"/>
      <c r="AY938" s="107"/>
      <c r="AZ938" s="107"/>
      <c r="BA938" s="107"/>
      <c r="BB938" s="107"/>
      <c r="BC938" s="107"/>
      <c r="BD938" s="107"/>
      <c r="BE938" s="107"/>
      <c r="BF938" s="107"/>
      <c r="BG938" s="107"/>
      <c r="BH938" s="107"/>
      <c r="BI938" s="107"/>
      <c r="BJ938" s="107"/>
      <c r="BK938" s="107"/>
      <c r="BL938" s="107"/>
      <c r="BM938" s="107"/>
      <c r="BN938" s="107"/>
      <c r="BO938" s="107"/>
      <c r="BP938" s="107"/>
      <c r="BQ938" s="107"/>
      <c r="BR938" s="107"/>
      <c r="BS938" s="107"/>
      <c r="BT938" s="107"/>
      <c r="BU938" s="107"/>
      <c r="BV938" s="107"/>
      <c r="BW938" s="107"/>
      <c r="BX938" s="107"/>
      <c r="BY938" s="107"/>
      <c r="BZ938" s="107"/>
      <c r="CA938" s="107"/>
      <c r="CB938" s="107"/>
      <c r="CC938" s="107"/>
      <c r="CD938" s="107"/>
      <c r="CE938" s="107"/>
      <c r="CF938" s="107"/>
      <c r="CG938" s="107"/>
      <c r="CH938" s="107"/>
      <c r="CI938" s="107"/>
      <c r="CJ938" s="107"/>
      <c r="CK938" s="107"/>
      <c r="CL938" s="118"/>
      <c r="CM938" s="119"/>
      <c r="CN938" s="118"/>
      <c r="CO938" s="119"/>
      <c r="CP938" s="118"/>
      <c r="CQ938" s="119"/>
      <c r="CR938" s="113"/>
      <c r="CS938" s="118"/>
      <c r="CT938" s="113"/>
      <c r="CU938" s="118"/>
      <c r="CV938" s="99">
        <f t="shared" si="89"/>
        <v>0</v>
      </c>
      <c r="CW938" s="119"/>
      <c r="CX938" s="119"/>
      <c r="CY938" s="118"/>
      <c r="CZ938" s="119"/>
      <c r="DA938" s="111"/>
      <c r="DB938" s="119"/>
      <c r="DC938" s="111"/>
      <c r="DD938" s="119"/>
      <c r="DE938" s="111"/>
      <c r="DF938" s="46"/>
    </row>
    <row r="939" spans="1:110" s="42" customFormat="1" ht="60" x14ac:dyDescent="0.2">
      <c r="A939" s="89">
        <v>40664</v>
      </c>
      <c r="B939" s="90" t="s">
        <v>4344</v>
      </c>
      <c r="C939" s="90" t="s">
        <v>4251</v>
      </c>
      <c r="D939" s="90" t="s">
        <v>4264</v>
      </c>
      <c r="E939" s="90" t="str">
        <f>VLOOKUP(B939&amp;C939,Divipola!$C$2:$F$1138,4,FALSE)</f>
        <v>25513</v>
      </c>
      <c r="F939" s="90"/>
      <c r="G939" s="101"/>
      <c r="H939" s="101"/>
      <c r="I939" s="101"/>
      <c r="J939" s="101">
        <f>113*5</f>
        <v>565</v>
      </c>
      <c r="K939" s="101">
        <v>113</v>
      </c>
      <c r="L939" s="101"/>
      <c r="M939" s="101">
        <v>113</v>
      </c>
      <c r="N939" s="101"/>
      <c r="O939" s="101"/>
      <c r="P939" s="101"/>
      <c r="Q939" s="101"/>
      <c r="R939" s="101"/>
      <c r="S939" s="101"/>
      <c r="T939" s="101"/>
      <c r="U939" s="101"/>
      <c r="V939" s="101"/>
      <c r="W939" s="91"/>
      <c r="X939" s="89"/>
      <c r="Y939" s="92">
        <f t="shared" si="90"/>
        <v>0</v>
      </c>
      <c r="Z939" s="92">
        <f t="shared" si="91"/>
        <v>0</v>
      </c>
      <c r="AA939" s="92">
        <f t="shared" si="92"/>
        <v>0</v>
      </c>
      <c r="AB939" s="92">
        <f t="shared" si="93"/>
        <v>0</v>
      </c>
      <c r="AC939" s="92"/>
      <c r="AD939" s="92">
        <v>0</v>
      </c>
      <c r="AE939" s="92">
        <f t="shared" si="94"/>
        <v>0</v>
      </c>
      <c r="AF939" s="93">
        <v>0</v>
      </c>
      <c r="AG939" s="89"/>
      <c r="AH939" s="94"/>
      <c r="AI939" s="102" t="s">
        <v>4336</v>
      </c>
      <c r="AJ939" s="96" t="s">
        <v>4337</v>
      </c>
      <c r="AK939" s="97"/>
      <c r="AL939" s="89"/>
      <c r="AM939" s="100" t="s">
        <v>1055</v>
      </c>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114"/>
      <c r="CQ939" s="115"/>
      <c r="CR939" s="114"/>
      <c r="CS939" s="115"/>
      <c r="CT939" s="114"/>
      <c r="CU939" s="115"/>
      <c r="CV939" s="99">
        <f t="shared" si="89"/>
        <v>0</v>
      </c>
      <c r="CW939" s="114"/>
      <c r="CX939" s="115"/>
      <c r="CY939" s="114"/>
      <c r="CZ939" s="115"/>
      <c r="DA939" s="115"/>
      <c r="DB939" s="115"/>
      <c r="DC939" s="114"/>
      <c r="DD939" s="115"/>
      <c r="DE939" s="97"/>
      <c r="DF939" s="46"/>
    </row>
    <row r="940" spans="1:110" s="42" customFormat="1" x14ac:dyDescent="0.2">
      <c r="A940" s="89">
        <v>40664</v>
      </c>
      <c r="B940" s="90" t="s">
        <v>4344</v>
      </c>
      <c r="C940" s="90" t="s">
        <v>843</v>
      </c>
      <c r="D940" s="90" t="s">
        <v>2362</v>
      </c>
      <c r="E940" s="90" t="str">
        <f>VLOOKUP(B940&amp;C940,Divipola!$C$2:$F$1138,4,FALSE)</f>
        <v>25867</v>
      </c>
      <c r="F940" s="90"/>
      <c r="G940" s="101"/>
      <c r="H940" s="101"/>
      <c r="I940" s="101"/>
      <c r="J940" s="101">
        <v>31</v>
      </c>
      <c r="K940" s="101">
        <v>9</v>
      </c>
      <c r="L940" s="101"/>
      <c r="M940" s="101">
        <v>9</v>
      </c>
      <c r="N940" s="101"/>
      <c r="O940" s="101"/>
      <c r="P940" s="101"/>
      <c r="Q940" s="101"/>
      <c r="R940" s="101"/>
      <c r="S940" s="101"/>
      <c r="T940" s="101"/>
      <c r="U940" s="101"/>
      <c r="V940" s="101"/>
      <c r="W940" s="91"/>
      <c r="X940" s="89"/>
      <c r="Y940" s="92">
        <f t="shared" si="90"/>
        <v>0</v>
      </c>
      <c r="Z940" s="92">
        <f t="shared" si="91"/>
        <v>0</v>
      </c>
      <c r="AA940" s="92">
        <f t="shared" si="92"/>
        <v>0</v>
      </c>
      <c r="AB940" s="92">
        <f t="shared" si="93"/>
        <v>0</v>
      </c>
      <c r="AC940" s="92"/>
      <c r="AD940" s="92">
        <v>0</v>
      </c>
      <c r="AE940" s="92">
        <f t="shared" si="94"/>
        <v>0</v>
      </c>
      <c r="AF940" s="93">
        <v>0</v>
      </c>
      <c r="AG940" s="89"/>
      <c r="AH940" s="94"/>
      <c r="AI940" s="102" t="s">
        <v>4336</v>
      </c>
      <c r="AJ940" s="96" t="s">
        <v>4337</v>
      </c>
      <c r="AK940" s="97"/>
      <c r="AL940" s="89"/>
      <c r="AM940" s="100" t="s">
        <v>1062</v>
      </c>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114"/>
      <c r="CQ940" s="115"/>
      <c r="CR940" s="114"/>
      <c r="CS940" s="115"/>
      <c r="CT940" s="114"/>
      <c r="CU940" s="115"/>
      <c r="CV940" s="99">
        <f t="shared" si="89"/>
        <v>0</v>
      </c>
      <c r="CW940" s="114"/>
      <c r="CX940" s="115"/>
      <c r="CY940" s="114"/>
      <c r="CZ940" s="115"/>
      <c r="DA940" s="115"/>
      <c r="DB940" s="115"/>
      <c r="DC940" s="114"/>
      <c r="DD940" s="115"/>
      <c r="DE940" s="97"/>
      <c r="DF940" s="46"/>
    </row>
    <row r="941" spans="1:110" s="42" customFormat="1" ht="36" x14ac:dyDescent="0.2">
      <c r="A941" s="89">
        <v>40664</v>
      </c>
      <c r="B941" s="90" t="s">
        <v>4344</v>
      </c>
      <c r="C941" s="90" t="s">
        <v>3472</v>
      </c>
      <c r="D941" s="90" t="s">
        <v>2362</v>
      </c>
      <c r="E941" s="90" t="str">
        <f>VLOOKUP(B941&amp;C941,Divipola!$C$2:$F$1138,4,FALSE)</f>
        <v>25875</v>
      </c>
      <c r="F941" s="90"/>
      <c r="G941" s="101"/>
      <c r="H941" s="101"/>
      <c r="I941" s="101"/>
      <c r="J941" s="101">
        <v>66</v>
      </c>
      <c r="K941" s="101">
        <v>12</v>
      </c>
      <c r="L941" s="101"/>
      <c r="M941" s="101">
        <v>12</v>
      </c>
      <c r="N941" s="101"/>
      <c r="O941" s="101"/>
      <c r="P941" s="101"/>
      <c r="Q941" s="101"/>
      <c r="R941" s="101"/>
      <c r="S941" s="101"/>
      <c r="T941" s="101"/>
      <c r="U941" s="101"/>
      <c r="V941" s="101"/>
      <c r="W941" s="91"/>
      <c r="X941" s="89"/>
      <c r="Y941" s="92">
        <f t="shared" si="90"/>
        <v>0</v>
      </c>
      <c r="Z941" s="92">
        <f t="shared" si="91"/>
        <v>0</v>
      </c>
      <c r="AA941" s="92">
        <f t="shared" si="92"/>
        <v>0</v>
      </c>
      <c r="AB941" s="92">
        <f t="shared" si="93"/>
        <v>0</v>
      </c>
      <c r="AC941" s="92"/>
      <c r="AD941" s="92">
        <v>0</v>
      </c>
      <c r="AE941" s="92">
        <f t="shared" si="94"/>
        <v>0</v>
      </c>
      <c r="AF941" s="93">
        <v>0</v>
      </c>
      <c r="AG941" s="89"/>
      <c r="AH941" s="94"/>
      <c r="AI941" s="102" t="s">
        <v>4336</v>
      </c>
      <c r="AJ941" s="96" t="s">
        <v>4337</v>
      </c>
      <c r="AK941" s="97"/>
      <c r="AL941" s="89"/>
      <c r="AM941" s="100" t="s">
        <v>1061</v>
      </c>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114"/>
      <c r="CQ941" s="115"/>
      <c r="CR941" s="114"/>
      <c r="CS941" s="115"/>
      <c r="CT941" s="114"/>
      <c r="CU941" s="115"/>
      <c r="CV941" s="99">
        <f t="shared" si="89"/>
        <v>0</v>
      </c>
      <c r="CW941" s="114"/>
      <c r="CX941" s="115"/>
      <c r="CY941" s="114"/>
      <c r="CZ941" s="115"/>
      <c r="DA941" s="115"/>
      <c r="DB941" s="115"/>
      <c r="DC941" s="114"/>
      <c r="DD941" s="115"/>
      <c r="DE941" s="97"/>
      <c r="DF941" s="46"/>
    </row>
    <row r="942" spans="1:110" s="42" customFormat="1" ht="24" x14ac:dyDescent="0.2">
      <c r="A942" s="89">
        <v>40664</v>
      </c>
      <c r="B942" s="16" t="s">
        <v>860</v>
      </c>
      <c r="C942" s="16" t="s">
        <v>410</v>
      </c>
      <c r="D942" s="90" t="s">
        <v>2362</v>
      </c>
      <c r="E942" s="90" t="str">
        <f>VLOOKUP(B942&amp;C942,Divipola!$C$2:$F$1138,4,FALSE)</f>
        <v>50370</v>
      </c>
      <c r="F942" s="4"/>
      <c r="G942" s="208"/>
      <c r="H942" s="208"/>
      <c r="I942" s="208"/>
      <c r="J942" s="208"/>
      <c r="K942" s="208"/>
      <c r="L942" s="208"/>
      <c r="M942" s="208"/>
      <c r="N942" s="208">
        <v>2</v>
      </c>
      <c r="O942" s="208"/>
      <c r="P942" s="208"/>
      <c r="Q942" s="208"/>
      <c r="R942" s="208"/>
      <c r="S942" s="208"/>
      <c r="T942" s="208"/>
      <c r="U942" s="208"/>
      <c r="V942" s="208"/>
      <c r="W942" s="19"/>
      <c r="X942" s="17"/>
      <c r="Y942" s="5">
        <f t="shared" si="90"/>
        <v>0</v>
      </c>
      <c r="Z942" s="5">
        <f t="shared" si="91"/>
        <v>0</v>
      </c>
      <c r="AA942" s="5">
        <f t="shared" si="92"/>
        <v>0</v>
      </c>
      <c r="AB942" s="5">
        <f t="shared" si="93"/>
        <v>0</v>
      </c>
      <c r="AC942" s="5"/>
      <c r="AD942" s="5">
        <v>0</v>
      </c>
      <c r="AE942" s="5">
        <f t="shared" si="94"/>
        <v>0</v>
      </c>
      <c r="AF942" s="70">
        <v>0</v>
      </c>
      <c r="AG942" s="17"/>
      <c r="AH942" s="18"/>
      <c r="AI942" s="47" t="s">
        <v>4336</v>
      </c>
      <c r="AJ942" s="73" t="s">
        <v>4337</v>
      </c>
      <c r="AK942" s="45"/>
      <c r="AL942" s="17"/>
      <c r="AM942" s="20" t="s">
        <v>1071</v>
      </c>
      <c r="AN942" s="19"/>
      <c r="AO942" s="19"/>
      <c r="AP942" s="19"/>
      <c r="AQ942" s="19"/>
      <c r="AR942" s="19"/>
      <c r="AS942" s="19"/>
      <c r="AT942" s="19"/>
      <c r="AU942" s="19"/>
      <c r="AV942" s="19"/>
      <c r="AW942" s="19"/>
      <c r="AX942" s="107"/>
      <c r="AY942" s="107"/>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39"/>
      <c r="CO942" s="138"/>
      <c r="CP942" s="139"/>
      <c r="CQ942" s="138"/>
      <c r="CR942" s="139"/>
      <c r="CS942" s="138"/>
      <c r="CT942" s="72"/>
      <c r="CU942" s="139"/>
      <c r="CV942" s="99">
        <f t="shared" si="89"/>
        <v>0</v>
      </c>
      <c r="CW942" s="139"/>
      <c r="CX942" s="138"/>
      <c r="CY942" s="138"/>
      <c r="CZ942" s="138"/>
      <c r="DA942" s="139"/>
      <c r="DB942" s="138"/>
      <c r="DC942" s="45"/>
      <c r="DD942" s="138"/>
      <c r="DE942" s="45"/>
      <c r="DF942" s="46"/>
    </row>
    <row r="943" spans="1:110" s="42" customFormat="1" ht="84" x14ac:dyDescent="0.2">
      <c r="A943" s="89">
        <v>40664</v>
      </c>
      <c r="B943" s="90" t="s">
        <v>4350</v>
      </c>
      <c r="C943" s="90" t="s">
        <v>3535</v>
      </c>
      <c r="D943" s="90" t="s">
        <v>4264</v>
      </c>
      <c r="E943" s="90" t="str">
        <f>VLOOKUP(B943&amp;C943,Divipola!$C$2:$F$1138,4,FALSE)</f>
        <v>63130</v>
      </c>
      <c r="F943" s="90"/>
      <c r="G943" s="101"/>
      <c r="H943" s="101"/>
      <c r="I943" s="101"/>
      <c r="J943" s="101">
        <v>16</v>
      </c>
      <c r="K943" s="101">
        <v>4</v>
      </c>
      <c r="L943" s="101"/>
      <c r="M943" s="101"/>
      <c r="N943" s="101"/>
      <c r="O943" s="101"/>
      <c r="P943" s="101"/>
      <c r="Q943" s="101"/>
      <c r="R943" s="101"/>
      <c r="S943" s="101"/>
      <c r="T943" s="101"/>
      <c r="U943" s="101"/>
      <c r="V943" s="101"/>
      <c r="W943" s="91"/>
      <c r="X943" s="89"/>
      <c r="Y943" s="92">
        <f t="shared" si="90"/>
        <v>0</v>
      </c>
      <c r="Z943" s="92">
        <f t="shared" si="91"/>
        <v>0</v>
      </c>
      <c r="AA943" s="92">
        <f t="shared" si="92"/>
        <v>0</v>
      </c>
      <c r="AB943" s="92">
        <f t="shared" si="93"/>
        <v>0</v>
      </c>
      <c r="AC943" s="92"/>
      <c r="AD943" s="92">
        <v>0</v>
      </c>
      <c r="AE943" s="92">
        <f t="shared" si="94"/>
        <v>0</v>
      </c>
      <c r="AF943" s="93">
        <v>0</v>
      </c>
      <c r="AG943" s="89"/>
      <c r="AH943" s="94"/>
      <c r="AI943" s="102" t="s">
        <v>4336</v>
      </c>
      <c r="AJ943" s="96" t="s">
        <v>4337</v>
      </c>
      <c r="AK943" s="97"/>
      <c r="AL943" s="89"/>
      <c r="AM943" s="100" t="s">
        <v>1052</v>
      </c>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114"/>
      <c r="CQ943" s="115"/>
      <c r="CR943" s="114"/>
      <c r="CS943" s="115"/>
      <c r="CT943" s="114"/>
      <c r="CU943" s="115"/>
      <c r="CV943" s="99">
        <f t="shared" si="89"/>
        <v>0</v>
      </c>
      <c r="CW943" s="114"/>
      <c r="CX943" s="115"/>
      <c r="CY943" s="114"/>
      <c r="CZ943" s="115"/>
      <c r="DA943" s="115"/>
      <c r="DB943" s="115"/>
      <c r="DC943" s="114"/>
      <c r="DD943" s="115"/>
      <c r="DE943" s="97"/>
      <c r="DF943" s="46"/>
    </row>
    <row r="944" spans="1:110" s="42" customFormat="1" ht="48" x14ac:dyDescent="0.2">
      <c r="A944" s="89">
        <v>40664</v>
      </c>
      <c r="B944" s="90" t="s">
        <v>4350</v>
      </c>
      <c r="C944" s="90" t="s">
        <v>797</v>
      </c>
      <c r="D944" s="90" t="s">
        <v>2362</v>
      </c>
      <c r="E944" s="90" t="str">
        <f>VLOOKUP(B944&amp;C944,Divipola!$C$2:$F$1138,4,FALSE)</f>
        <v>63272</v>
      </c>
      <c r="F944" s="90"/>
      <c r="G944" s="101"/>
      <c r="H944" s="101"/>
      <c r="I944" s="101"/>
      <c r="J944" s="101">
        <v>9</v>
      </c>
      <c r="K944" s="101">
        <v>1</v>
      </c>
      <c r="L944" s="101"/>
      <c r="M944" s="101">
        <v>1</v>
      </c>
      <c r="N944" s="101"/>
      <c r="O944" s="101"/>
      <c r="P944" s="101"/>
      <c r="Q944" s="101"/>
      <c r="R944" s="101"/>
      <c r="S944" s="101"/>
      <c r="T944" s="101"/>
      <c r="U944" s="101"/>
      <c r="V944" s="101"/>
      <c r="W944" s="91"/>
      <c r="X944" s="89"/>
      <c r="Y944" s="92">
        <f t="shared" si="90"/>
        <v>0</v>
      </c>
      <c r="Z944" s="92">
        <f t="shared" si="91"/>
        <v>0</v>
      </c>
      <c r="AA944" s="92">
        <f t="shared" si="92"/>
        <v>0</v>
      </c>
      <c r="AB944" s="92">
        <f t="shared" si="93"/>
        <v>0</v>
      </c>
      <c r="AC944" s="92"/>
      <c r="AD944" s="92">
        <v>10000000</v>
      </c>
      <c r="AE944" s="92">
        <f t="shared" si="94"/>
        <v>10000000</v>
      </c>
      <c r="AF944" s="93">
        <v>0</v>
      </c>
      <c r="AG944" s="89"/>
      <c r="AH944" s="94"/>
      <c r="AI944" s="102" t="s">
        <v>4346</v>
      </c>
      <c r="AJ944" s="96" t="s">
        <v>4347</v>
      </c>
      <c r="AK944" s="97"/>
      <c r="AL944" s="89"/>
      <c r="AM944" s="100" t="s">
        <v>2109</v>
      </c>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114"/>
      <c r="CQ944" s="115"/>
      <c r="CR944" s="114"/>
      <c r="CS944" s="115"/>
      <c r="CT944" s="114"/>
      <c r="CU944" s="115"/>
      <c r="CV944" s="99">
        <f t="shared" si="89"/>
        <v>0</v>
      </c>
      <c r="CW944" s="114"/>
      <c r="CX944" s="115"/>
      <c r="CY944" s="114"/>
      <c r="CZ944" s="115"/>
      <c r="DA944" s="115"/>
      <c r="DB944" s="115"/>
      <c r="DC944" s="114"/>
      <c r="DD944" s="115"/>
      <c r="DE944" s="97"/>
      <c r="DF944" s="46"/>
    </row>
    <row r="945" spans="1:110" s="42" customFormat="1" ht="48" x14ac:dyDescent="0.2">
      <c r="A945" s="89">
        <v>40664</v>
      </c>
      <c r="B945" s="106" t="s">
        <v>4348</v>
      </c>
      <c r="C945" s="106" t="s">
        <v>3553</v>
      </c>
      <c r="D945" s="90" t="s">
        <v>2362</v>
      </c>
      <c r="E945" s="90" t="str">
        <f>VLOOKUP(B945&amp;C945,Divipola!$C$2:$F$1138,4,FALSE)</f>
        <v>66075</v>
      </c>
      <c r="F945" s="90"/>
      <c r="G945" s="279"/>
      <c r="H945" s="279"/>
      <c r="I945" s="279"/>
      <c r="J945" s="129">
        <v>530</v>
      </c>
      <c r="K945" s="129">
        <v>106</v>
      </c>
      <c r="L945" s="129"/>
      <c r="M945" s="129">
        <v>106</v>
      </c>
      <c r="N945" s="129"/>
      <c r="O945" s="129"/>
      <c r="P945" s="129"/>
      <c r="Q945" s="129"/>
      <c r="R945" s="129"/>
      <c r="S945" s="129"/>
      <c r="T945" s="129"/>
      <c r="U945" s="129"/>
      <c r="V945" s="129"/>
      <c r="W945" s="107"/>
      <c r="X945" s="105"/>
      <c r="Y945" s="92">
        <f t="shared" si="90"/>
        <v>0</v>
      </c>
      <c r="Z945" s="92">
        <f t="shared" si="91"/>
        <v>0</v>
      </c>
      <c r="AA945" s="92">
        <f t="shared" si="92"/>
        <v>0</v>
      </c>
      <c r="AB945" s="92">
        <f t="shared" si="93"/>
        <v>0</v>
      </c>
      <c r="AC945" s="92"/>
      <c r="AD945" s="92">
        <v>0</v>
      </c>
      <c r="AE945" s="92">
        <f t="shared" si="94"/>
        <v>0</v>
      </c>
      <c r="AF945" s="93">
        <v>0</v>
      </c>
      <c r="AG945" s="105"/>
      <c r="AH945" s="108"/>
      <c r="AI945" s="109" t="s">
        <v>4336</v>
      </c>
      <c r="AJ945" s="110" t="s">
        <v>4337</v>
      </c>
      <c r="AK945" s="280"/>
      <c r="AL945" s="281"/>
      <c r="AM945" s="112" t="s">
        <v>2000</v>
      </c>
      <c r="AN945" s="107"/>
      <c r="AO945" s="107"/>
      <c r="AP945" s="107"/>
      <c r="AQ945" s="107"/>
      <c r="AR945" s="107"/>
      <c r="AS945" s="107"/>
      <c r="AT945" s="107"/>
      <c r="AU945" s="107"/>
      <c r="AV945" s="107"/>
      <c r="AW945" s="107"/>
      <c r="AX945" s="107"/>
      <c r="AY945" s="107"/>
      <c r="AZ945" s="107"/>
      <c r="BA945" s="107"/>
      <c r="BB945" s="107"/>
      <c r="BC945" s="107"/>
      <c r="BD945" s="107"/>
      <c r="BE945" s="107"/>
      <c r="BF945" s="107"/>
      <c r="BG945" s="107"/>
      <c r="BH945" s="107"/>
      <c r="BI945" s="107"/>
      <c r="BJ945" s="107"/>
      <c r="BK945" s="107"/>
      <c r="BL945" s="107"/>
      <c r="BM945" s="107"/>
      <c r="BN945" s="107"/>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18"/>
      <c r="CO945" s="119"/>
      <c r="CP945" s="118"/>
      <c r="CQ945" s="119"/>
      <c r="CR945" s="118"/>
      <c r="CS945" s="119"/>
      <c r="CT945" s="113"/>
      <c r="CU945" s="118"/>
      <c r="CV945" s="99">
        <f t="shared" si="89"/>
        <v>0</v>
      </c>
      <c r="CW945" s="118"/>
      <c r="CX945" s="119"/>
      <c r="CY945" s="119"/>
      <c r="CZ945" s="119"/>
      <c r="DA945" s="118"/>
      <c r="DB945" s="119"/>
      <c r="DC945" s="111"/>
      <c r="DD945" s="119"/>
      <c r="DE945" s="111"/>
      <c r="DF945" s="46"/>
    </row>
    <row r="946" spans="1:110" s="42" customFormat="1" x14ac:dyDescent="0.2">
      <c r="A946" s="89">
        <v>40664</v>
      </c>
      <c r="B946" s="90" t="s">
        <v>4348</v>
      </c>
      <c r="C946" s="90" t="s">
        <v>4313</v>
      </c>
      <c r="D946" s="90" t="s">
        <v>2362</v>
      </c>
      <c r="E946" s="90" t="str">
        <f>VLOOKUP(B946&amp;C946,Divipola!$C$2:$F$1138,4,FALSE)</f>
        <v>66318</v>
      </c>
      <c r="F946" s="101"/>
      <c r="G946" s="101"/>
      <c r="H946" s="101"/>
      <c r="I946" s="101"/>
      <c r="J946" s="101">
        <v>40</v>
      </c>
      <c r="K946" s="101">
        <v>8</v>
      </c>
      <c r="L946" s="101"/>
      <c r="M946" s="101">
        <v>8</v>
      </c>
      <c r="N946" s="101"/>
      <c r="O946" s="101"/>
      <c r="P946" s="101"/>
      <c r="Q946" s="101"/>
      <c r="R946" s="101"/>
      <c r="S946" s="101"/>
      <c r="T946" s="101">
        <v>1</v>
      </c>
      <c r="U946" s="91"/>
      <c r="V946" s="89"/>
      <c r="W946" s="92"/>
      <c r="X946" s="92"/>
      <c r="Y946" s="92">
        <f t="shared" si="90"/>
        <v>0</v>
      </c>
      <c r="Z946" s="92">
        <f t="shared" si="91"/>
        <v>0</v>
      </c>
      <c r="AA946" s="92">
        <f t="shared" si="92"/>
        <v>0</v>
      </c>
      <c r="AB946" s="92">
        <f t="shared" si="93"/>
        <v>0</v>
      </c>
      <c r="AC946" s="92"/>
      <c r="AD946" s="92">
        <v>0</v>
      </c>
      <c r="AE946" s="92">
        <f t="shared" si="94"/>
        <v>0</v>
      </c>
      <c r="AF946" s="93">
        <v>0</v>
      </c>
      <c r="AG946" s="89"/>
      <c r="AH946" s="96"/>
      <c r="AI946" s="102" t="s">
        <v>4336</v>
      </c>
      <c r="AJ946" s="96" t="s">
        <v>4337</v>
      </c>
      <c r="AK946" s="100"/>
      <c r="AL946" s="89"/>
      <c r="AM946" s="90" t="s">
        <v>886</v>
      </c>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114"/>
      <c r="CQ946" s="115"/>
      <c r="CR946" s="114"/>
      <c r="CS946" s="115"/>
      <c r="CT946" s="114"/>
      <c r="CU946" s="115"/>
      <c r="CV946" s="99">
        <f t="shared" si="89"/>
        <v>0</v>
      </c>
      <c r="CW946" s="114"/>
      <c r="CX946" s="115"/>
      <c r="CY946" s="114"/>
      <c r="CZ946" s="115"/>
      <c r="DA946" s="115"/>
      <c r="DB946" s="115"/>
      <c r="DC946" s="114"/>
      <c r="DD946" s="115"/>
      <c r="DE946" s="97"/>
      <c r="DF946" s="46"/>
    </row>
    <row r="947" spans="1:110" s="42" customFormat="1" ht="60" x14ac:dyDescent="0.2">
      <c r="A947" s="89">
        <v>40664</v>
      </c>
      <c r="B947" s="106" t="s">
        <v>4348</v>
      </c>
      <c r="C947" s="106" t="s">
        <v>3342</v>
      </c>
      <c r="D947" s="90" t="s">
        <v>4264</v>
      </c>
      <c r="E947" s="90" t="str">
        <f>VLOOKUP(B947&amp;C947,Divipola!$C$2:$F$1138,4,FALSE)</f>
        <v>66383</v>
      </c>
      <c r="F947" s="90"/>
      <c r="G947" s="129"/>
      <c r="H947" s="129"/>
      <c r="I947" s="129"/>
      <c r="J947" s="129">
        <v>695</v>
      </c>
      <c r="K947" s="129">
        <v>139</v>
      </c>
      <c r="L947" s="129"/>
      <c r="M947" s="129"/>
      <c r="N947" s="129"/>
      <c r="O947" s="129"/>
      <c r="P947" s="129"/>
      <c r="Q947" s="129"/>
      <c r="R947" s="129"/>
      <c r="S947" s="129"/>
      <c r="T947" s="129"/>
      <c r="U947" s="129"/>
      <c r="V947" s="129"/>
      <c r="W947" s="107"/>
      <c r="X947" s="105"/>
      <c r="Y947" s="92">
        <f t="shared" si="90"/>
        <v>0</v>
      </c>
      <c r="Z947" s="92">
        <f t="shared" si="91"/>
        <v>0</v>
      </c>
      <c r="AA947" s="92">
        <f t="shared" si="92"/>
        <v>0</v>
      </c>
      <c r="AB947" s="92">
        <f t="shared" si="93"/>
        <v>0</v>
      </c>
      <c r="AC947" s="92"/>
      <c r="AD947" s="92">
        <v>0</v>
      </c>
      <c r="AE947" s="92">
        <f t="shared" si="94"/>
        <v>0</v>
      </c>
      <c r="AF947" s="93">
        <v>0</v>
      </c>
      <c r="AG947" s="105"/>
      <c r="AH947" s="108"/>
      <c r="AI947" s="109" t="s">
        <v>4336</v>
      </c>
      <c r="AJ947" s="110" t="s">
        <v>4337</v>
      </c>
      <c r="AK947" s="280"/>
      <c r="AL947" s="281"/>
      <c r="AM947" s="112" t="s">
        <v>3417</v>
      </c>
      <c r="AN947" s="107"/>
      <c r="AO947" s="107"/>
      <c r="AP947" s="107"/>
      <c r="AQ947" s="107"/>
      <c r="AR947" s="107"/>
      <c r="AS947" s="107"/>
      <c r="AT947" s="107"/>
      <c r="AU947" s="107"/>
      <c r="AV947" s="107"/>
      <c r="AW947" s="107"/>
      <c r="AX947" s="107"/>
      <c r="AY947" s="107"/>
      <c r="AZ947" s="107"/>
      <c r="BA947" s="107"/>
      <c r="BB947" s="107"/>
      <c r="BC947" s="107"/>
      <c r="BD947" s="107"/>
      <c r="BE947" s="107"/>
      <c r="BF947" s="107"/>
      <c r="BG947" s="107"/>
      <c r="BH947" s="107"/>
      <c r="BI947" s="107"/>
      <c r="BJ947" s="107"/>
      <c r="BK947" s="107"/>
      <c r="BL947" s="107"/>
      <c r="BM947" s="107"/>
      <c r="BN947" s="107"/>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18"/>
      <c r="CO947" s="119"/>
      <c r="CP947" s="118"/>
      <c r="CQ947" s="119"/>
      <c r="CR947" s="118"/>
      <c r="CS947" s="119"/>
      <c r="CT947" s="113"/>
      <c r="CU947" s="118"/>
      <c r="CV947" s="99">
        <f t="shared" si="89"/>
        <v>0</v>
      </c>
      <c r="CW947" s="118"/>
      <c r="CX947" s="119"/>
      <c r="CY947" s="119"/>
      <c r="CZ947" s="119"/>
      <c r="DA947" s="118"/>
      <c r="DB947" s="119"/>
      <c r="DC947" s="111"/>
      <c r="DD947" s="119"/>
      <c r="DE947" s="111"/>
      <c r="DF947" s="46"/>
    </row>
    <row r="948" spans="1:110" s="42" customFormat="1" ht="24" x14ac:dyDescent="0.2">
      <c r="A948" s="89">
        <v>40664</v>
      </c>
      <c r="B948" s="16" t="s">
        <v>2226</v>
      </c>
      <c r="C948" s="16" t="s">
        <v>2934</v>
      </c>
      <c r="D948" s="90" t="s">
        <v>2362</v>
      </c>
      <c r="E948" s="90" t="str">
        <f>VLOOKUP(B948&amp;C948,Divipola!$C$2:$F$1138,4,FALSE)</f>
        <v>68327</v>
      </c>
      <c r="F948" s="4"/>
      <c r="G948" s="208"/>
      <c r="H948" s="208"/>
      <c r="I948" s="208"/>
      <c r="J948" s="208">
        <v>195</v>
      </c>
      <c r="K948" s="208">
        <v>39</v>
      </c>
      <c r="L948" s="208"/>
      <c r="M948" s="208">
        <v>39</v>
      </c>
      <c r="N948" s="208">
        <v>2</v>
      </c>
      <c r="O948" s="208"/>
      <c r="P948" s="208"/>
      <c r="Q948" s="208"/>
      <c r="R948" s="208">
        <v>7</v>
      </c>
      <c r="S948" s="208"/>
      <c r="T948" s="208"/>
      <c r="U948" s="208"/>
      <c r="V948" s="208"/>
      <c r="W948" s="19"/>
      <c r="X948" s="17"/>
      <c r="Y948" s="5">
        <f t="shared" si="90"/>
        <v>0</v>
      </c>
      <c r="Z948" s="5">
        <f t="shared" si="91"/>
        <v>0</v>
      </c>
      <c r="AA948" s="5">
        <f t="shared" si="92"/>
        <v>0</v>
      </c>
      <c r="AB948" s="5">
        <f t="shared" si="93"/>
        <v>0</v>
      </c>
      <c r="AC948" s="5"/>
      <c r="AD948" s="5">
        <v>0</v>
      </c>
      <c r="AE948" s="5">
        <f t="shared" si="94"/>
        <v>0</v>
      </c>
      <c r="AF948" s="70">
        <v>0</v>
      </c>
      <c r="AG948" s="17"/>
      <c r="AH948" s="18"/>
      <c r="AI948" s="109" t="s">
        <v>4336</v>
      </c>
      <c r="AJ948" s="110" t="s">
        <v>4337</v>
      </c>
      <c r="AK948" s="45"/>
      <c r="AL948" s="17"/>
      <c r="AM948" s="20" t="s">
        <v>1070</v>
      </c>
      <c r="AN948" s="19"/>
      <c r="AO948" s="19"/>
      <c r="AP948" s="19"/>
      <c r="AQ948" s="19"/>
      <c r="AR948" s="19"/>
      <c r="AS948" s="19"/>
      <c r="AT948" s="19"/>
      <c r="AU948" s="19"/>
      <c r="AV948" s="19"/>
      <c r="AW948" s="19"/>
      <c r="AX948" s="107"/>
      <c r="AY948" s="107"/>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39"/>
      <c r="CO948" s="138"/>
      <c r="CP948" s="139"/>
      <c r="CQ948" s="138"/>
      <c r="CR948" s="139"/>
      <c r="CS948" s="138"/>
      <c r="CT948" s="72"/>
      <c r="CU948" s="139"/>
      <c r="CV948" s="99">
        <f t="shared" si="89"/>
        <v>0</v>
      </c>
      <c r="CW948" s="139"/>
      <c r="CX948" s="138"/>
      <c r="CY948" s="138"/>
      <c r="CZ948" s="138"/>
      <c r="DA948" s="139"/>
      <c r="DB948" s="138"/>
      <c r="DC948" s="45"/>
      <c r="DD948" s="138"/>
      <c r="DE948" s="45"/>
      <c r="DF948" s="46"/>
    </row>
    <row r="949" spans="1:110" s="42" customFormat="1" ht="24" x14ac:dyDescent="0.2">
      <c r="A949" s="89">
        <v>40664</v>
      </c>
      <c r="B949" s="90" t="s">
        <v>3316</v>
      </c>
      <c r="C949" s="90" t="s">
        <v>4323</v>
      </c>
      <c r="D949" s="90" t="s">
        <v>2362</v>
      </c>
      <c r="E949" s="90" t="str">
        <f>VLOOKUP(B949&amp;C949,Divipola!$C$2:$F$1138,4,FALSE)</f>
        <v>73001</v>
      </c>
      <c r="F949" s="90"/>
      <c r="G949" s="101"/>
      <c r="H949" s="101"/>
      <c r="I949" s="101"/>
      <c r="J949" s="101">
        <v>5</v>
      </c>
      <c r="K949" s="101">
        <v>1</v>
      </c>
      <c r="L949" s="101"/>
      <c r="M949" s="101">
        <v>1</v>
      </c>
      <c r="N949" s="101"/>
      <c r="O949" s="101"/>
      <c r="P949" s="101"/>
      <c r="Q949" s="101"/>
      <c r="R949" s="101"/>
      <c r="S949" s="101"/>
      <c r="T949" s="101"/>
      <c r="U949" s="101"/>
      <c r="V949" s="101"/>
      <c r="W949" s="91"/>
      <c r="X949" s="89"/>
      <c r="Y949" s="92">
        <f t="shared" si="90"/>
        <v>0</v>
      </c>
      <c r="Z949" s="92">
        <f t="shared" si="91"/>
        <v>0</v>
      </c>
      <c r="AA949" s="92">
        <f t="shared" si="92"/>
        <v>0</v>
      </c>
      <c r="AB949" s="92">
        <f t="shared" si="93"/>
        <v>0</v>
      </c>
      <c r="AC949" s="92"/>
      <c r="AD949" s="92">
        <v>0</v>
      </c>
      <c r="AE949" s="92">
        <f t="shared" si="94"/>
        <v>0</v>
      </c>
      <c r="AF949" s="93">
        <v>0</v>
      </c>
      <c r="AG949" s="89"/>
      <c r="AH949" s="94"/>
      <c r="AI949" s="95" t="s">
        <v>4346</v>
      </c>
      <c r="AJ949" s="96" t="s">
        <v>4347</v>
      </c>
      <c r="AK949" s="97"/>
      <c r="AL949" s="89" t="s">
        <v>2798</v>
      </c>
      <c r="AM949" s="100" t="s">
        <v>1057</v>
      </c>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114"/>
      <c r="CQ949" s="115"/>
      <c r="CR949" s="114"/>
      <c r="CS949" s="115"/>
      <c r="CT949" s="114"/>
      <c r="CU949" s="115"/>
      <c r="CV949" s="99">
        <f t="shared" si="89"/>
        <v>0</v>
      </c>
      <c r="CW949" s="114"/>
      <c r="CX949" s="115"/>
      <c r="CY949" s="114"/>
      <c r="CZ949" s="115"/>
      <c r="DA949" s="115"/>
      <c r="DB949" s="115"/>
      <c r="DC949" s="114"/>
      <c r="DD949" s="115"/>
      <c r="DE949" s="97"/>
      <c r="DF949" s="46"/>
    </row>
    <row r="950" spans="1:110" s="42" customFormat="1" ht="72" x14ac:dyDescent="0.2">
      <c r="A950" s="89">
        <v>40664</v>
      </c>
      <c r="B950" s="90" t="s">
        <v>4244</v>
      </c>
      <c r="C950" s="90" t="s">
        <v>4352</v>
      </c>
      <c r="D950" s="90" t="s">
        <v>4264</v>
      </c>
      <c r="E950" s="90" t="str">
        <f>VLOOKUP(B950&amp;C950,Divipola!$C$2:$F$1138,4,FALSE)</f>
        <v>76100</v>
      </c>
      <c r="F950" s="90"/>
      <c r="G950" s="101"/>
      <c r="H950" s="101"/>
      <c r="I950" s="101"/>
      <c r="J950" s="101"/>
      <c r="K950" s="101"/>
      <c r="L950" s="101"/>
      <c r="M950" s="101"/>
      <c r="N950" s="101">
        <v>1</v>
      </c>
      <c r="O950" s="101"/>
      <c r="P950" s="101"/>
      <c r="Q950" s="101"/>
      <c r="R950" s="101"/>
      <c r="S950" s="101"/>
      <c r="T950" s="101"/>
      <c r="U950" s="101"/>
      <c r="V950" s="101"/>
      <c r="W950" s="91"/>
      <c r="X950" s="89"/>
      <c r="Y950" s="92">
        <f t="shared" si="90"/>
        <v>0</v>
      </c>
      <c r="Z950" s="92">
        <f t="shared" si="91"/>
        <v>0</v>
      </c>
      <c r="AA950" s="92">
        <f t="shared" si="92"/>
        <v>0</v>
      </c>
      <c r="AB950" s="92">
        <f t="shared" si="93"/>
        <v>0</v>
      </c>
      <c r="AC950" s="92"/>
      <c r="AD950" s="92">
        <v>0</v>
      </c>
      <c r="AE950" s="92">
        <f t="shared" si="94"/>
        <v>0</v>
      </c>
      <c r="AF950" s="93">
        <v>0</v>
      </c>
      <c r="AG950" s="89"/>
      <c r="AH950" s="94"/>
      <c r="AI950" s="102" t="s">
        <v>4336</v>
      </c>
      <c r="AJ950" s="96" t="s">
        <v>4337</v>
      </c>
      <c r="AK950" s="97"/>
      <c r="AL950" s="89"/>
      <c r="AM950" s="100" t="s">
        <v>238</v>
      </c>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114"/>
      <c r="CQ950" s="115"/>
      <c r="CR950" s="114"/>
      <c r="CS950" s="115"/>
      <c r="CT950" s="114"/>
      <c r="CU950" s="115"/>
      <c r="CV950" s="99">
        <f t="shared" si="89"/>
        <v>0</v>
      </c>
      <c r="CW950" s="114"/>
      <c r="CX950" s="115"/>
      <c r="CY950" s="114"/>
      <c r="CZ950" s="115"/>
      <c r="DA950" s="115"/>
      <c r="DB950" s="115"/>
      <c r="DC950" s="114"/>
      <c r="DD950" s="115"/>
      <c r="DE950" s="97"/>
      <c r="DF950" s="46"/>
    </row>
    <row r="951" spans="1:110" s="42" customFormat="1" ht="48" x14ac:dyDescent="0.2">
      <c r="A951" s="89">
        <v>40664</v>
      </c>
      <c r="B951" s="90" t="s">
        <v>4244</v>
      </c>
      <c r="C951" s="90" t="s">
        <v>4226</v>
      </c>
      <c r="D951" s="90" t="s">
        <v>3346</v>
      </c>
      <c r="E951" s="90" t="str">
        <f>VLOOKUP(B951&amp;C951,Divipola!$C$2:$F$1138,4,FALSE)</f>
        <v>76364</v>
      </c>
      <c r="F951" s="90"/>
      <c r="G951" s="101"/>
      <c r="H951" s="101"/>
      <c r="I951" s="101"/>
      <c r="J951" s="101">
        <v>60</v>
      </c>
      <c r="K951" s="101">
        <v>12</v>
      </c>
      <c r="L951" s="101"/>
      <c r="M951" s="101">
        <v>12</v>
      </c>
      <c r="N951" s="101">
        <v>1</v>
      </c>
      <c r="O951" s="101"/>
      <c r="P951" s="101"/>
      <c r="Q951" s="101"/>
      <c r="R951" s="101"/>
      <c r="S951" s="101"/>
      <c r="T951" s="101"/>
      <c r="U951" s="101"/>
      <c r="V951" s="101"/>
      <c r="W951" s="91"/>
      <c r="X951" s="89"/>
      <c r="Y951" s="92">
        <f t="shared" si="90"/>
        <v>0</v>
      </c>
      <c r="Z951" s="92">
        <f t="shared" si="91"/>
        <v>0</v>
      </c>
      <c r="AA951" s="92">
        <f t="shared" si="92"/>
        <v>0</v>
      </c>
      <c r="AB951" s="92">
        <f t="shared" si="93"/>
        <v>0</v>
      </c>
      <c r="AC951" s="92"/>
      <c r="AD951" s="92">
        <v>0</v>
      </c>
      <c r="AE951" s="92">
        <f t="shared" si="94"/>
        <v>0</v>
      </c>
      <c r="AF951" s="93">
        <v>0</v>
      </c>
      <c r="AG951" s="89"/>
      <c r="AH951" s="94"/>
      <c r="AI951" s="102" t="s">
        <v>4336</v>
      </c>
      <c r="AJ951" s="96" t="s">
        <v>4337</v>
      </c>
      <c r="AK951" s="97"/>
      <c r="AL951" s="89"/>
      <c r="AM951" s="100" t="s">
        <v>1053</v>
      </c>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114"/>
      <c r="CQ951" s="115"/>
      <c r="CR951" s="114"/>
      <c r="CS951" s="115"/>
      <c r="CT951" s="114"/>
      <c r="CU951" s="115"/>
      <c r="CV951" s="99">
        <f t="shared" si="89"/>
        <v>0</v>
      </c>
      <c r="CW951" s="114"/>
      <c r="CX951" s="115"/>
      <c r="CY951" s="114"/>
      <c r="CZ951" s="115"/>
      <c r="DA951" s="115"/>
      <c r="DB951" s="115"/>
      <c r="DC951" s="114"/>
      <c r="DD951" s="115"/>
      <c r="DE951" s="97"/>
      <c r="DF951" s="46"/>
    </row>
    <row r="952" spans="1:110" s="42" customFormat="1" ht="36" x14ac:dyDescent="0.2">
      <c r="A952" s="89">
        <v>40664</v>
      </c>
      <c r="B952" s="90" t="s">
        <v>4244</v>
      </c>
      <c r="C952" s="90" t="s">
        <v>4319</v>
      </c>
      <c r="D952" s="90" t="s">
        <v>4264</v>
      </c>
      <c r="E952" s="90" t="str">
        <f>VLOOKUP(B952&amp;C952,Divipola!$C$2:$F$1138,4,FALSE)</f>
        <v>76828</v>
      </c>
      <c r="F952" s="90"/>
      <c r="G952" s="101"/>
      <c r="H952" s="101"/>
      <c r="I952" s="101"/>
      <c r="J952" s="101">
        <v>200</v>
      </c>
      <c r="K952" s="101">
        <v>40</v>
      </c>
      <c r="L952" s="101"/>
      <c r="M952" s="101">
        <v>40</v>
      </c>
      <c r="N952" s="101"/>
      <c r="O952" s="101"/>
      <c r="P952" s="101"/>
      <c r="Q952" s="101"/>
      <c r="R952" s="101"/>
      <c r="S952" s="101"/>
      <c r="T952" s="101"/>
      <c r="U952" s="101"/>
      <c r="V952" s="101"/>
      <c r="W952" s="91"/>
      <c r="X952" s="89"/>
      <c r="Y952" s="92">
        <f t="shared" si="90"/>
        <v>0</v>
      </c>
      <c r="Z952" s="92">
        <f t="shared" si="91"/>
        <v>0</v>
      </c>
      <c r="AA952" s="92">
        <f t="shared" si="92"/>
        <v>0</v>
      </c>
      <c r="AB952" s="92">
        <f t="shared" si="93"/>
        <v>0</v>
      </c>
      <c r="AC952" s="92"/>
      <c r="AD952" s="92">
        <v>0</v>
      </c>
      <c r="AE952" s="92">
        <f t="shared" si="94"/>
        <v>0</v>
      </c>
      <c r="AF952" s="93">
        <v>0</v>
      </c>
      <c r="AG952" s="89"/>
      <c r="AH952" s="94"/>
      <c r="AI952" s="102" t="s">
        <v>4336</v>
      </c>
      <c r="AJ952" s="96" t="s">
        <v>4337</v>
      </c>
      <c r="AK952" s="97"/>
      <c r="AL952" s="89"/>
      <c r="AM952" s="100" t="s">
        <v>1054</v>
      </c>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114"/>
      <c r="CQ952" s="115"/>
      <c r="CR952" s="114"/>
      <c r="CS952" s="115"/>
      <c r="CT952" s="114"/>
      <c r="CU952" s="115"/>
      <c r="CV952" s="99">
        <f t="shared" si="89"/>
        <v>0</v>
      </c>
      <c r="CW952" s="114"/>
      <c r="CX952" s="115"/>
      <c r="CY952" s="114"/>
      <c r="CZ952" s="115"/>
      <c r="DA952" s="115"/>
      <c r="DB952" s="115"/>
      <c r="DC952" s="114"/>
      <c r="DD952" s="115"/>
      <c r="DE952" s="97"/>
      <c r="DF952" s="46"/>
    </row>
    <row r="953" spans="1:110" s="42" customFormat="1" x14ac:dyDescent="0.2">
      <c r="A953" s="89">
        <v>40665</v>
      </c>
      <c r="B953" s="90" t="s">
        <v>4326</v>
      </c>
      <c r="C953" s="90" t="s">
        <v>4345</v>
      </c>
      <c r="D953" s="90" t="s">
        <v>4264</v>
      </c>
      <c r="E953" s="90">
        <f>VLOOKUP(B953&amp;C953,Divipola!$C$2:$F$1138,4,FALSE)</f>
        <v>8</v>
      </c>
      <c r="F953" s="90"/>
      <c r="G953" s="101"/>
      <c r="H953" s="101"/>
      <c r="I953" s="101"/>
      <c r="J953" s="101"/>
      <c r="K953" s="101"/>
      <c r="L953" s="101"/>
      <c r="M953" s="101"/>
      <c r="N953" s="101"/>
      <c r="O953" s="101"/>
      <c r="P953" s="101"/>
      <c r="Q953" s="101"/>
      <c r="R953" s="101"/>
      <c r="S953" s="101"/>
      <c r="T953" s="101"/>
      <c r="U953" s="101"/>
      <c r="V953" s="101"/>
      <c r="W953" s="91"/>
      <c r="X953" s="89"/>
      <c r="Y953" s="92">
        <f t="shared" si="90"/>
        <v>0</v>
      </c>
      <c r="Z953" s="92">
        <f t="shared" si="91"/>
        <v>0</v>
      </c>
      <c r="AA953" s="92">
        <f t="shared" si="92"/>
        <v>0</v>
      </c>
      <c r="AB953" s="92">
        <f t="shared" si="93"/>
        <v>90480000</v>
      </c>
      <c r="AC953" s="92"/>
      <c r="AD953" s="92">
        <v>0</v>
      </c>
      <c r="AE953" s="92">
        <f t="shared" si="94"/>
        <v>90480000</v>
      </c>
      <c r="AF953" s="93">
        <v>0</v>
      </c>
      <c r="AG953" s="89"/>
      <c r="AH953" s="94"/>
      <c r="AI953" s="95" t="s">
        <v>4346</v>
      </c>
      <c r="AJ953" s="96" t="s">
        <v>4347</v>
      </c>
      <c r="AK953" s="97"/>
      <c r="AL953" s="89"/>
      <c r="AM953" s="100"/>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114"/>
      <c r="CQ953" s="115"/>
      <c r="CR953" s="114"/>
      <c r="CS953" s="115"/>
      <c r="CT953" s="114"/>
      <c r="CU953" s="115"/>
      <c r="CV953" s="99">
        <f t="shared" si="89"/>
        <v>0</v>
      </c>
      <c r="CW953" s="114">
        <v>100000</v>
      </c>
      <c r="CX953" s="115">
        <f>100000*904.8</f>
        <v>90480000</v>
      </c>
      <c r="CY953" s="114"/>
      <c r="CZ953" s="115"/>
      <c r="DA953" s="115"/>
      <c r="DB953" s="115"/>
      <c r="DC953" s="114"/>
      <c r="DD953" s="115"/>
      <c r="DE953" s="97"/>
      <c r="DF953" s="46"/>
    </row>
    <row r="954" spans="1:110" s="42" customFormat="1" ht="84" x14ac:dyDescent="0.2">
      <c r="A954" s="89">
        <v>40665</v>
      </c>
      <c r="B954" s="106" t="s">
        <v>4261</v>
      </c>
      <c r="C954" s="106" t="s">
        <v>1225</v>
      </c>
      <c r="D954" s="90" t="s">
        <v>2362</v>
      </c>
      <c r="E954" s="90" t="str">
        <f>VLOOKUP(B954&amp;C954,Divipola!$C$2:$F$1138,4,FALSE)</f>
        <v>15494</v>
      </c>
      <c r="F954" s="90"/>
      <c r="G954" s="129"/>
      <c r="H954" s="129"/>
      <c r="I954" s="129"/>
      <c r="J954" s="129">
        <v>71</v>
      </c>
      <c r="K954" s="129">
        <v>25</v>
      </c>
      <c r="L954" s="129"/>
      <c r="M954" s="129">
        <v>7</v>
      </c>
      <c r="N954" s="129"/>
      <c r="O954" s="129"/>
      <c r="P954" s="129"/>
      <c r="Q954" s="129"/>
      <c r="R954" s="129"/>
      <c r="S954" s="129"/>
      <c r="T954" s="129"/>
      <c r="U954" s="129"/>
      <c r="V954" s="129"/>
      <c r="W954" s="107"/>
      <c r="X954" s="105"/>
      <c r="Y954" s="92">
        <f t="shared" si="90"/>
        <v>0</v>
      </c>
      <c r="Z954" s="92">
        <f t="shared" si="91"/>
        <v>0</v>
      </c>
      <c r="AA954" s="92">
        <f t="shared" si="92"/>
        <v>0</v>
      </c>
      <c r="AB954" s="92">
        <f t="shared" si="93"/>
        <v>0</v>
      </c>
      <c r="AC954" s="92"/>
      <c r="AD954" s="92">
        <v>20000000</v>
      </c>
      <c r="AE954" s="92">
        <f t="shared" si="94"/>
        <v>20000000</v>
      </c>
      <c r="AF954" s="93">
        <v>0</v>
      </c>
      <c r="AG954" s="105"/>
      <c r="AH954" s="108"/>
      <c r="AI954" s="109" t="s">
        <v>4346</v>
      </c>
      <c r="AJ954" s="110" t="s">
        <v>4347</v>
      </c>
      <c r="AK954" s="111"/>
      <c r="AL954" s="105"/>
      <c r="AM954" s="112" t="s">
        <v>2386</v>
      </c>
      <c r="AN954" s="107"/>
      <c r="AO954" s="107"/>
      <c r="AP954" s="107"/>
      <c r="AQ954" s="107"/>
      <c r="AR954" s="107"/>
      <c r="AS954" s="107"/>
      <c r="AT954" s="107"/>
      <c r="AU954" s="107"/>
      <c r="AV954" s="107"/>
      <c r="AW954" s="107"/>
      <c r="AX954" s="107"/>
      <c r="AY954" s="107"/>
      <c r="AZ954" s="107"/>
      <c r="BA954" s="107"/>
      <c r="BB954" s="107"/>
      <c r="BC954" s="107"/>
      <c r="BD954" s="107"/>
      <c r="BE954" s="107"/>
      <c r="BF954" s="107"/>
      <c r="BG954" s="107"/>
      <c r="BH954" s="107"/>
      <c r="BI954" s="107"/>
      <c r="BJ954" s="107"/>
      <c r="BK954" s="107"/>
      <c r="BL954" s="107"/>
      <c r="BM954" s="107"/>
      <c r="BN954" s="107"/>
      <c r="BO954" s="107"/>
      <c r="BP954" s="107"/>
      <c r="BQ954" s="107"/>
      <c r="BR954" s="107"/>
      <c r="BS954" s="107"/>
      <c r="BT954" s="107"/>
      <c r="BU954" s="107"/>
      <c r="BV954" s="107"/>
      <c r="BW954" s="107"/>
      <c r="BX954" s="107"/>
      <c r="BY954" s="107"/>
      <c r="BZ954" s="107"/>
      <c r="CA954" s="107"/>
      <c r="CB954" s="107"/>
      <c r="CC954" s="107"/>
      <c r="CD954" s="107"/>
      <c r="CE954" s="107"/>
      <c r="CF954" s="107"/>
      <c r="CG954" s="107"/>
      <c r="CH954" s="107"/>
      <c r="CI954" s="107"/>
      <c r="CJ954" s="107"/>
      <c r="CK954" s="107"/>
      <c r="CL954" s="107"/>
      <c r="CM954" s="107"/>
      <c r="CN954" s="118"/>
      <c r="CO954" s="119"/>
      <c r="CP954" s="118"/>
      <c r="CQ954" s="119"/>
      <c r="CR954" s="118"/>
      <c r="CS954" s="119"/>
      <c r="CT954" s="113"/>
      <c r="CU954" s="118"/>
      <c r="CV954" s="99">
        <f t="shared" si="89"/>
        <v>0</v>
      </c>
      <c r="CW954" s="118"/>
      <c r="CX954" s="119"/>
      <c r="CY954" s="119"/>
      <c r="CZ954" s="119"/>
      <c r="DA954" s="118"/>
      <c r="DB954" s="119"/>
      <c r="DC954" s="111"/>
      <c r="DD954" s="119"/>
      <c r="DE954" s="111"/>
      <c r="DF954" s="46"/>
    </row>
    <row r="955" spans="1:110" s="42" customFormat="1" x14ac:dyDescent="0.2">
      <c r="A955" s="89">
        <v>40665</v>
      </c>
      <c r="B955" s="106" t="s">
        <v>4261</v>
      </c>
      <c r="C955" s="106" t="s">
        <v>1357</v>
      </c>
      <c r="D955" s="90" t="s">
        <v>4264</v>
      </c>
      <c r="E955" s="90" t="str">
        <f>VLOOKUP(B955&amp;C955,Divipola!$C$2:$F$1138,4,FALSE)</f>
        <v>15822</v>
      </c>
      <c r="F955" s="4"/>
      <c r="G955" s="274"/>
      <c r="H955" s="274"/>
      <c r="I955" s="274"/>
      <c r="J955" s="129">
        <v>55</v>
      </c>
      <c r="K955" s="129">
        <v>11</v>
      </c>
      <c r="L955" s="129">
        <v>2</v>
      </c>
      <c r="M955" s="129">
        <v>9</v>
      </c>
      <c r="N955" s="129"/>
      <c r="O955" s="208"/>
      <c r="P955" s="208"/>
      <c r="Q955" s="208"/>
      <c r="R955" s="208"/>
      <c r="S955" s="208"/>
      <c r="T955" s="208"/>
      <c r="U955" s="208"/>
      <c r="V955" s="208"/>
      <c r="W955" s="19"/>
      <c r="X955" s="17"/>
      <c r="Y955" s="5">
        <f t="shared" si="90"/>
        <v>0</v>
      </c>
      <c r="Z955" s="5">
        <f t="shared" si="91"/>
        <v>0</v>
      </c>
      <c r="AA955" s="5">
        <f t="shared" si="92"/>
        <v>0</v>
      </c>
      <c r="AB955" s="5">
        <f t="shared" si="93"/>
        <v>0</v>
      </c>
      <c r="AC955" s="5"/>
      <c r="AD955" s="5">
        <v>0</v>
      </c>
      <c r="AE955" s="5">
        <f t="shared" si="94"/>
        <v>0</v>
      </c>
      <c r="AF955" s="70">
        <v>0</v>
      </c>
      <c r="AG955" s="17"/>
      <c r="AH955" s="18"/>
      <c r="AI955" s="47" t="s">
        <v>4346</v>
      </c>
      <c r="AJ955" s="73" t="s">
        <v>4347</v>
      </c>
      <c r="AK955" s="275"/>
      <c r="AL955" s="89" t="s">
        <v>2798</v>
      </c>
      <c r="AM955" s="112" t="s">
        <v>1080</v>
      </c>
      <c r="AN955" s="19"/>
      <c r="AO955" s="19"/>
      <c r="AP955" s="19"/>
      <c r="AQ955" s="19"/>
      <c r="AR955" s="19"/>
      <c r="AS955" s="19"/>
      <c r="AT955" s="19"/>
      <c r="AU955" s="19"/>
      <c r="AV955" s="19"/>
      <c r="AW955" s="19"/>
      <c r="AX955" s="107"/>
      <c r="AY955" s="107"/>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39"/>
      <c r="CO955" s="138"/>
      <c r="CP955" s="139"/>
      <c r="CQ955" s="138"/>
      <c r="CR955" s="139"/>
      <c r="CS955" s="138"/>
      <c r="CT955" s="72"/>
      <c r="CU955" s="139"/>
      <c r="CV955" s="99">
        <f t="shared" si="89"/>
        <v>0</v>
      </c>
      <c r="CW955" s="139"/>
      <c r="CX955" s="138"/>
      <c r="CY955" s="138"/>
      <c r="CZ955" s="138"/>
      <c r="DA955" s="139"/>
      <c r="DB955" s="138"/>
      <c r="DC955" s="45"/>
      <c r="DD955" s="138"/>
      <c r="DE955" s="45"/>
      <c r="DF955" s="46"/>
    </row>
    <row r="956" spans="1:110" s="42" customFormat="1" ht="24" x14ac:dyDescent="0.2">
      <c r="A956" s="89">
        <v>40665</v>
      </c>
      <c r="B956" s="90" t="s">
        <v>4261</v>
      </c>
      <c r="C956" s="90" t="s">
        <v>4230</v>
      </c>
      <c r="D956" s="90" t="s">
        <v>4264</v>
      </c>
      <c r="E956" s="90" t="str">
        <f>VLOOKUP(B956&amp;C956,Divipola!$C$2:$F$1138,4,FALSE)</f>
        <v>15001</v>
      </c>
      <c r="F956" s="90"/>
      <c r="G956" s="101"/>
      <c r="H956" s="101"/>
      <c r="I956" s="101"/>
      <c r="J956" s="101"/>
      <c r="K956" s="101"/>
      <c r="L956" s="101"/>
      <c r="M956" s="101"/>
      <c r="N956" s="101"/>
      <c r="O956" s="101"/>
      <c r="P956" s="101"/>
      <c r="Q956" s="101"/>
      <c r="R956" s="101"/>
      <c r="S956" s="101"/>
      <c r="T956" s="101"/>
      <c r="U956" s="101"/>
      <c r="V956" s="101"/>
      <c r="W956" s="91"/>
      <c r="X956" s="89"/>
      <c r="Y956" s="92">
        <f t="shared" si="90"/>
        <v>0</v>
      </c>
      <c r="Z956" s="92">
        <f t="shared" si="91"/>
        <v>0</v>
      </c>
      <c r="AA956" s="92">
        <f t="shared" si="92"/>
        <v>0</v>
      </c>
      <c r="AB956" s="92">
        <f t="shared" si="93"/>
        <v>0</v>
      </c>
      <c r="AC956" s="92"/>
      <c r="AD956" s="92">
        <v>0</v>
      </c>
      <c r="AE956" s="92">
        <f t="shared" si="94"/>
        <v>0</v>
      </c>
      <c r="AF956" s="93">
        <v>0</v>
      </c>
      <c r="AG956" s="89"/>
      <c r="AH956" s="94"/>
      <c r="AI956" s="102" t="s">
        <v>4346</v>
      </c>
      <c r="AJ956" s="96" t="s">
        <v>4347</v>
      </c>
      <c r="AK956" s="97"/>
      <c r="AL956" s="89" t="s">
        <v>1049</v>
      </c>
      <c r="AM956" s="100" t="s">
        <v>1063</v>
      </c>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114"/>
      <c r="CQ956" s="115"/>
      <c r="CR956" s="114"/>
      <c r="CS956" s="115"/>
      <c r="CT956" s="114"/>
      <c r="CU956" s="115"/>
      <c r="CV956" s="99">
        <f t="shared" si="89"/>
        <v>0</v>
      </c>
      <c r="CW956" s="114"/>
      <c r="CX956" s="115"/>
      <c r="CY956" s="114"/>
      <c r="CZ956" s="115"/>
      <c r="DA956" s="115"/>
      <c r="DB956" s="115"/>
      <c r="DC956" s="114"/>
      <c r="DD956" s="115"/>
      <c r="DE956" s="97"/>
      <c r="DF956" s="46"/>
    </row>
    <row r="957" spans="1:110" s="42" customFormat="1" ht="24" x14ac:dyDescent="0.2">
      <c r="A957" s="89">
        <v>40665</v>
      </c>
      <c r="B957" s="90" t="s">
        <v>3533</v>
      </c>
      <c r="C957" s="90" t="s">
        <v>862</v>
      </c>
      <c r="D957" s="90" t="s">
        <v>4298</v>
      </c>
      <c r="E957" s="90" t="str">
        <f>VLOOKUP(B957&amp;C957,Divipola!$C$2:$F$1138,4,FALSE)</f>
        <v>17001</v>
      </c>
      <c r="F957" s="90"/>
      <c r="G957" s="101"/>
      <c r="H957" s="101"/>
      <c r="I957" s="101"/>
      <c r="J957" s="101">
        <v>120</v>
      </c>
      <c r="K957" s="101">
        <v>30</v>
      </c>
      <c r="L957" s="101">
        <v>12</v>
      </c>
      <c r="M957" s="101"/>
      <c r="N957" s="101"/>
      <c r="O957" s="101"/>
      <c r="P957" s="101"/>
      <c r="Q957" s="101"/>
      <c r="R957" s="101"/>
      <c r="S957" s="101"/>
      <c r="T957" s="101"/>
      <c r="U957" s="101"/>
      <c r="V957" s="101"/>
      <c r="W957" s="91"/>
      <c r="X957" s="89"/>
      <c r="Y957" s="92">
        <f t="shared" si="90"/>
        <v>0</v>
      </c>
      <c r="Z957" s="92">
        <f t="shared" si="91"/>
        <v>0</v>
      </c>
      <c r="AA957" s="92">
        <f t="shared" si="92"/>
        <v>0</v>
      </c>
      <c r="AB957" s="92">
        <f t="shared" si="93"/>
        <v>0</v>
      </c>
      <c r="AC957" s="92"/>
      <c r="AD957" s="92">
        <v>0</v>
      </c>
      <c r="AE957" s="92">
        <f t="shared" si="94"/>
        <v>0</v>
      </c>
      <c r="AF957" s="93">
        <v>0</v>
      </c>
      <c r="AG957" s="89"/>
      <c r="AH957" s="94"/>
      <c r="AI957" s="102" t="s">
        <v>4336</v>
      </c>
      <c r="AJ957" s="96" t="s">
        <v>4337</v>
      </c>
      <c r="AK957" s="97"/>
      <c r="AL957" s="89"/>
      <c r="AM957" s="100" t="s">
        <v>1064</v>
      </c>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114"/>
      <c r="CQ957" s="115"/>
      <c r="CR957" s="114"/>
      <c r="CS957" s="115"/>
      <c r="CT957" s="114"/>
      <c r="CU957" s="115"/>
      <c r="CV957" s="99">
        <f t="shared" si="89"/>
        <v>0</v>
      </c>
      <c r="CW957" s="114"/>
      <c r="CX957" s="115"/>
      <c r="CY957" s="114"/>
      <c r="CZ957" s="115"/>
      <c r="DA957" s="115"/>
      <c r="DB957" s="115"/>
      <c r="DC957" s="114"/>
      <c r="DD957" s="115"/>
      <c r="DE957" s="97"/>
      <c r="DF957" s="46"/>
    </row>
    <row r="958" spans="1:110" s="42" customFormat="1" ht="60" x14ac:dyDescent="0.2">
      <c r="A958" s="89">
        <v>40665</v>
      </c>
      <c r="B958" s="90" t="s">
        <v>3533</v>
      </c>
      <c r="C958" s="90" t="s">
        <v>3558</v>
      </c>
      <c r="D958" s="90" t="s">
        <v>2362</v>
      </c>
      <c r="E958" s="90" t="str">
        <f>VLOOKUP(B958&amp;C958,Divipola!$C$2:$F$1138,4,FALSE)</f>
        <v>17513</v>
      </c>
      <c r="F958" s="90"/>
      <c r="G958" s="101"/>
      <c r="H958" s="101"/>
      <c r="I958" s="101"/>
      <c r="J958" s="101">
        <v>20</v>
      </c>
      <c r="K958" s="101">
        <v>4</v>
      </c>
      <c r="L958" s="101"/>
      <c r="M958" s="101">
        <v>4</v>
      </c>
      <c r="N958" s="101"/>
      <c r="O958" s="101"/>
      <c r="P958" s="101"/>
      <c r="Q958" s="101"/>
      <c r="R958" s="101"/>
      <c r="S958" s="101"/>
      <c r="T958" s="101"/>
      <c r="U958" s="101"/>
      <c r="V958" s="101"/>
      <c r="W958" s="91"/>
      <c r="X958" s="89"/>
      <c r="Y958" s="92">
        <f t="shared" si="90"/>
        <v>0</v>
      </c>
      <c r="Z958" s="92">
        <f t="shared" si="91"/>
        <v>0</v>
      </c>
      <c r="AA958" s="92">
        <f t="shared" si="92"/>
        <v>0</v>
      </c>
      <c r="AB958" s="92">
        <f t="shared" si="93"/>
        <v>0</v>
      </c>
      <c r="AC958" s="92"/>
      <c r="AD958" s="92">
        <v>10000000</v>
      </c>
      <c r="AE958" s="92">
        <f t="shared" si="94"/>
        <v>10000000</v>
      </c>
      <c r="AF958" s="93">
        <v>0</v>
      </c>
      <c r="AG958" s="89"/>
      <c r="AH958" s="94"/>
      <c r="AI958" s="95" t="s">
        <v>4346</v>
      </c>
      <c r="AJ958" s="96" t="s">
        <v>4347</v>
      </c>
      <c r="AK958" s="97"/>
      <c r="AL958" s="89"/>
      <c r="AM958" s="100" t="s">
        <v>1108</v>
      </c>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114"/>
      <c r="CQ958" s="115"/>
      <c r="CR958" s="114"/>
      <c r="CS958" s="115"/>
      <c r="CT958" s="114"/>
      <c r="CU958" s="115"/>
      <c r="CV958" s="99">
        <f t="shared" si="89"/>
        <v>0</v>
      </c>
      <c r="CW958" s="114"/>
      <c r="CX958" s="115"/>
      <c r="CY958" s="114"/>
      <c r="CZ958" s="115"/>
      <c r="DA958" s="115"/>
      <c r="DB958" s="115"/>
      <c r="DC958" s="114"/>
      <c r="DD958" s="115"/>
      <c r="DE958" s="97"/>
      <c r="DF958" s="46"/>
    </row>
    <row r="959" spans="1:110" s="42" customFormat="1" ht="108" x14ac:dyDescent="0.2">
      <c r="A959" s="89">
        <v>40665</v>
      </c>
      <c r="B959" s="90" t="s">
        <v>4353</v>
      </c>
      <c r="C959" s="90" t="s">
        <v>2223</v>
      </c>
      <c r="D959" s="90" t="s">
        <v>4264</v>
      </c>
      <c r="E959" s="90" t="str">
        <f>VLOOKUP(B959&amp;C959,Divipola!$C$2:$F$1138,4,FALSE)</f>
        <v>85001</v>
      </c>
      <c r="F959" s="90"/>
      <c r="G959" s="101"/>
      <c r="H959" s="101"/>
      <c r="I959" s="101"/>
      <c r="J959" s="101"/>
      <c r="K959" s="101"/>
      <c r="L959" s="101"/>
      <c r="M959" s="101"/>
      <c r="N959" s="101">
        <v>1</v>
      </c>
      <c r="O959" s="101">
        <v>1</v>
      </c>
      <c r="P959" s="101"/>
      <c r="Q959" s="101"/>
      <c r="R959" s="101"/>
      <c r="S959" s="101"/>
      <c r="T959" s="101"/>
      <c r="U959" s="101"/>
      <c r="V959" s="101"/>
      <c r="W959" s="91"/>
      <c r="X959" s="89"/>
      <c r="Y959" s="92">
        <f t="shared" si="90"/>
        <v>0</v>
      </c>
      <c r="Z959" s="92">
        <f t="shared" si="91"/>
        <v>0</v>
      </c>
      <c r="AA959" s="92">
        <f t="shared" si="92"/>
        <v>0</v>
      </c>
      <c r="AB959" s="92">
        <f t="shared" si="93"/>
        <v>0</v>
      </c>
      <c r="AC959" s="92"/>
      <c r="AD959" s="92">
        <v>0</v>
      </c>
      <c r="AE959" s="92">
        <f t="shared" si="94"/>
        <v>0</v>
      </c>
      <c r="AF959" s="93">
        <v>0</v>
      </c>
      <c r="AG959" s="89"/>
      <c r="AH959" s="94"/>
      <c r="AI959" s="95" t="s">
        <v>4346</v>
      </c>
      <c r="AJ959" s="96" t="s">
        <v>4347</v>
      </c>
      <c r="AK959" s="97"/>
      <c r="AL959" s="89" t="s">
        <v>2798</v>
      </c>
      <c r="AM959" s="100" t="s">
        <v>239</v>
      </c>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114"/>
      <c r="CQ959" s="115"/>
      <c r="CR959" s="114"/>
      <c r="CS959" s="115"/>
      <c r="CT959" s="114"/>
      <c r="CU959" s="115"/>
      <c r="CV959" s="99">
        <f t="shared" si="89"/>
        <v>0</v>
      </c>
      <c r="CW959" s="114"/>
      <c r="CX959" s="115"/>
      <c r="CY959" s="114"/>
      <c r="CZ959" s="115"/>
      <c r="DA959" s="115"/>
      <c r="DB959" s="115"/>
      <c r="DC959" s="114"/>
      <c r="DD959" s="115"/>
      <c r="DE959" s="97"/>
      <c r="DF959" s="46"/>
    </row>
    <row r="960" spans="1:110" s="42" customFormat="1" ht="22.5" x14ac:dyDescent="0.2">
      <c r="A960" s="89">
        <v>40665</v>
      </c>
      <c r="B960" s="90" t="s">
        <v>4387</v>
      </c>
      <c r="C960" s="90" t="s">
        <v>441</v>
      </c>
      <c r="D960" s="90" t="s">
        <v>2362</v>
      </c>
      <c r="E960" s="90" t="str">
        <f>VLOOKUP(B960&amp;C960,Divipola!$C$2:$F$1138,4,FALSE)</f>
        <v>52036</v>
      </c>
      <c r="F960" s="90"/>
      <c r="G960" s="101"/>
      <c r="H960" s="101"/>
      <c r="I960" s="101"/>
      <c r="J960" s="101">
        <v>161</v>
      </c>
      <c r="K960" s="101">
        <v>50</v>
      </c>
      <c r="L960" s="101">
        <v>8</v>
      </c>
      <c r="M960" s="101">
        <v>28</v>
      </c>
      <c r="N960" s="101"/>
      <c r="O960" s="101"/>
      <c r="P960" s="101"/>
      <c r="Q960" s="101"/>
      <c r="R960" s="101"/>
      <c r="S960" s="101"/>
      <c r="T960" s="101"/>
      <c r="U960" s="101"/>
      <c r="V960" s="101"/>
      <c r="W960" s="91"/>
      <c r="X960" s="105"/>
      <c r="Y960" s="92">
        <f t="shared" si="90"/>
        <v>0</v>
      </c>
      <c r="Z960" s="92">
        <f t="shared" si="91"/>
        <v>0</v>
      </c>
      <c r="AA960" s="92">
        <f t="shared" si="92"/>
        <v>0</v>
      </c>
      <c r="AB960" s="92">
        <f t="shared" si="93"/>
        <v>0</v>
      </c>
      <c r="AC960" s="92"/>
      <c r="AD960" s="92">
        <v>0</v>
      </c>
      <c r="AE960" s="92">
        <f t="shared" si="94"/>
        <v>0</v>
      </c>
      <c r="AF960" s="93">
        <v>0</v>
      </c>
      <c r="AG960" s="105"/>
      <c r="AH960" s="108"/>
      <c r="AI960" s="109" t="s">
        <v>4336</v>
      </c>
      <c r="AJ960" s="110" t="s">
        <v>4337</v>
      </c>
      <c r="AK960" s="111"/>
      <c r="AL960" s="105" t="s">
        <v>1069</v>
      </c>
      <c r="AM960" s="100"/>
      <c r="AN960" s="107"/>
      <c r="AO960" s="107"/>
      <c r="AP960" s="107"/>
      <c r="AQ960" s="107"/>
      <c r="AR960" s="107"/>
      <c r="AS960" s="107"/>
      <c r="AT960" s="107"/>
      <c r="AU960" s="107"/>
      <c r="AV960" s="107"/>
      <c r="AW960" s="107"/>
      <c r="AX960" s="107"/>
      <c r="AY960" s="107"/>
      <c r="AZ960" s="107"/>
      <c r="BA960" s="107"/>
      <c r="BB960" s="107"/>
      <c r="BC960" s="107"/>
      <c r="BD960" s="107"/>
      <c r="BE960" s="107"/>
      <c r="BF960" s="107"/>
      <c r="BG960" s="107"/>
      <c r="BH960" s="107"/>
      <c r="BI960" s="107"/>
      <c r="BJ960" s="107"/>
      <c r="BK960" s="107"/>
      <c r="BL960" s="107"/>
      <c r="BM960" s="107"/>
      <c r="BN960" s="107"/>
      <c r="BO960" s="107"/>
      <c r="BP960" s="107"/>
      <c r="BQ960" s="107"/>
      <c r="BR960" s="107"/>
      <c r="BS960" s="107"/>
      <c r="BT960" s="107"/>
      <c r="BU960" s="107"/>
      <c r="BV960" s="107"/>
      <c r="BW960" s="107"/>
      <c r="BX960" s="107"/>
      <c r="BY960" s="107"/>
      <c r="BZ960" s="107"/>
      <c r="CA960" s="107"/>
      <c r="CB960" s="107"/>
      <c r="CC960" s="107"/>
      <c r="CD960" s="107"/>
      <c r="CE960" s="107"/>
      <c r="CF960" s="107"/>
      <c r="CG960" s="107"/>
      <c r="CH960" s="107"/>
      <c r="CI960" s="107"/>
      <c r="CJ960" s="107"/>
      <c r="CK960" s="107"/>
      <c r="CL960" s="107"/>
      <c r="CM960" s="107"/>
      <c r="CN960" s="118"/>
      <c r="CO960" s="119"/>
      <c r="CP960" s="118"/>
      <c r="CQ960" s="119"/>
      <c r="CR960" s="118"/>
      <c r="CS960" s="119"/>
      <c r="CT960" s="113"/>
      <c r="CU960" s="118"/>
      <c r="CV960" s="99">
        <f t="shared" si="89"/>
        <v>0</v>
      </c>
      <c r="CW960" s="118"/>
      <c r="CX960" s="119"/>
      <c r="CY960" s="119"/>
      <c r="CZ960" s="119"/>
      <c r="DA960" s="118"/>
      <c r="DB960" s="119"/>
      <c r="DC960" s="111"/>
      <c r="DD960" s="119"/>
      <c r="DE960" s="111"/>
      <c r="DF960" s="46"/>
    </row>
    <row r="961" spans="1:110" s="42" customFormat="1" ht="22.5" x14ac:dyDescent="0.2">
      <c r="A961" s="89">
        <v>40665</v>
      </c>
      <c r="B961" s="90" t="s">
        <v>4387</v>
      </c>
      <c r="C961" s="90" t="s">
        <v>2900</v>
      </c>
      <c r="D961" s="90" t="s">
        <v>2362</v>
      </c>
      <c r="E961" s="90" t="str">
        <f>VLOOKUP(B961&amp;C961,Divipola!$C$2:$F$1138,4,FALSE)</f>
        <v>52210</v>
      </c>
      <c r="F961" s="90"/>
      <c r="G961" s="101"/>
      <c r="H961" s="101"/>
      <c r="I961" s="101"/>
      <c r="J961" s="101">
        <v>168</v>
      </c>
      <c r="K961" s="101">
        <v>42</v>
      </c>
      <c r="L961" s="101">
        <v>42</v>
      </c>
      <c r="M961" s="101"/>
      <c r="N961" s="101"/>
      <c r="O961" s="101"/>
      <c r="P961" s="101"/>
      <c r="Q961" s="101"/>
      <c r="R961" s="101"/>
      <c r="S961" s="101"/>
      <c r="T961" s="101"/>
      <c r="U961" s="101"/>
      <c r="V961" s="101"/>
      <c r="W961" s="91"/>
      <c r="X961" s="105"/>
      <c r="Y961" s="92">
        <f t="shared" si="90"/>
        <v>0</v>
      </c>
      <c r="Z961" s="92">
        <f t="shared" si="91"/>
        <v>0</v>
      </c>
      <c r="AA961" s="92">
        <f t="shared" si="92"/>
        <v>0</v>
      </c>
      <c r="AB961" s="92">
        <f t="shared" si="93"/>
        <v>0</v>
      </c>
      <c r="AC961" s="92"/>
      <c r="AD961" s="92">
        <v>0</v>
      </c>
      <c r="AE961" s="92">
        <f t="shared" si="94"/>
        <v>0</v>
      </c>
      <c r="AF961" s="93">
        <v>0</v>
      </c>
      <c r="AG961" s="105"/>
      <c r="AH961" s="108"/>
      <c r="AI961" s="109" t="s">
        <v>4336</v>
      </c>
      <c r="AJ961" s="110" t="s">
        <v>4337</v>
      </c>
      <c r="AK961" s="111"/>
      <c r="AL961" s="105" t="s">
        <v>1069</v>
      </c>
      <c r="AM961" s="100"/>
      <c r="AN961" s="107"/>
      <c r="AO961" s="107"/>
      <c r="AP961" s="107"/>
      <c r="AQ961" s="107"/>
      <c r="AR961" s="107"/>
      <c r="AS961" s="107"/>
      <c r="AT961" s="107"/>
      <c r="AU961" s="107"/>
      <c r="AV961" s="107"/>
      <c r="AW961" s="107"/>
      <c r="AX961" s="107"/>
      <c r="AY961" s="107"/>
      <c r="AZ961" s="107"/>
      <c r="BA961" s="107"/>
      <c r="BB961" s="107"/>
      <c r="BC961" s="107"/>
      <c r="BD961" s="107"/>
      <c r="BE961" s="107"/>
      <c r="BF961" s="107"/>
      <c r="BG961" s="107"/>
      <c r="BH961" s="107"/>
      <c r="BI961" s="107"/>
      <c r="BJ961" s="107"/>
      <c r="BK961" s="107"/>
      <c r="BL961" s="107"/>
      <c r="BM961" s="107"/>
      <c r="BN961" s="107"/>
      <c r="BO961" s="107"/>
      <c r="BP961" s="107"/>
      <c r="BQ961" s="107"/>
      <c r="BR961" s="107"/>
      <c r="BS961" s="107"/>
      <c r="BT961" s="107"/>
      <c r="BU961" s="107"/>
      <c r="BV961" s="107"/>
      <c r="BW961" s="107"/>
      <c r="BX961" s="107"/>
      <c r="BY961" s="107"/>
      <c r="BZ961" s="107"/>
      <c r="CA961" s="107"/>
      <c r="CB961" s="107"/>
      <c r="CC961" s="107"/>
      <c r="CD961" s="107"/>
      <c r="CE961" s="107"/>
      <c r="CF961" s="107"/>
      <c r="CG961" s="107"/>
      <c r="CH961" s="107"/>
      <c r="CI961" s="107"/>
      <c r="CJ961" s="107"/>
      <c r="CK961" s="107"/>
      <c r="CL961" s="107"/>
      <c r="CM961" s="107"/>
      <c r="CN961" s="118"/>
      <c r="CO961" s="119"/>
      <c r="CP961" s="118"/>
      <c r="CQ961" s="119"/>
      <c r="CR961" s="118"/>
      <c r="CS961" s="119"/>
      <c r="CT961" s="113"/>
      <c r="CU961" s="118"/>
      <c r="CV961" s="99">
        <f t="shared" si="89"/>
        <v>0</v>
      </c>
      <c r="CW961" s="118"/>
      <c r="CX961" s="119"/>
      <c r="CY961" s="119"/>
      <c r="CZ961" s="119"/>
      <c r="DA961" s="118"/>
      <c r="DB961" s="119"/>
      <c r="DC961" s="111"/>
      <c r="DD961" s="119"/>
      <c r="DE961" s="111"/>
      <c r="DF961" s="46"/>
    </row>
    <row r="962" spans="1:110" s="42" customFormat="1" ht="72" x14ac:dyDescent="0.2">
      <c r="A962" s="89">
        <v>40665</v>
      </c>
      <c r="B962" s="90" t="s">
        <v>4387</v>
      </c>
      <c r="C962" s="90" t="s">
        <v>799</v>
      </c>
      <c r="D962" s="90" t="s">
        <v>4340</v>
      </c>
      <c r="E962" s="90" t="str">
        <f>VLOOKUP(B962&amp;C962,Divipola!$C$2:$F$1138,4,FALSE)</f>
        <v>52287</v>
      </c>
      <c r="F962" s="90"/>
      <c r="G962" s="101"/>
      <c r="H962" s="101">
        <v>2</v>
      </c>
      <c r="I962" s="101"/>
      <c r="J962" s="101">
        <v>118</v>
      </c>
      <c r="K962" s="101">
        <v>32</v>
      </c>
      <c r="L962" s="101">
        <v>2</v>
      </c>
      <c r="M962" s="101">
        <v>30</v>
      </c>
      <c r="N962" s="101">
        <v>1</v>
      </c>
      <c r="O962" s="101"/>
      <c r="P962" s="101"/>
      <c r="Q962" s="101"/>
      <c r="R962" s="101"/>
      <c r="S962" s="101"/>
      <c r="T962" s="101">
        <v>2</v>
      </c>
      <c r="U962" s="101"/>
      <c r="V962" s="101"/>
      <c r="W962" s="91"/>
      <c r="X962" s="105"/>
      <c r="Y962" s="92">
        <f t="shared" si="90"/>
        <v>0</v>
      </c>
      <c r="Z962" s="92">
        <f t="shared" si="91"/>
        <v>0</v>
      </c>
      <c r="AA962" s="92">
        <f t="shared" si="92"/>
        <v>0</v>
      </c>
      <c r="AB962" s="92">
        <f t="shared" si="93"/>
        <v>0</v>
      </c>
      <c r="AC962" s="92"/>
      <c r="AD962" s="92">
        <v>0</v>
      </c>
      <c r="AE962" s="92">
        <f t="shared" si="94"/>
        <v>0</v>
      </c>
      <c r="AF962" s="93">
        <v>0</v>
      </c>
      <c r="AG962" s="105"/>
      <c r="AH962" s="108"/>
      <c r="AI962" s="109" t="s">
        <v>4336</v>
      </c>
      <c r="AJ962" s="110" t="s">
        <v>4337</v>
      </c>
      <c r="AK962" s="111"/>
      <c r="AL962" s="105" t="s">
        <v>1069</v>
      </c>
      <c r="AM962" s="100" t="s">
        <v>75</v>
      </c>
      <c r="AN962" s="107"/>
      <c r="AO962" s="107"/>
      <c r="AP962" s="107"/>
      <c r="AQ962" s="107"/>
      <c r="AR962" s="107"/>
      <c r="AS962" s="107"/>
      <c r="AT962" s="107"/>
      <c r="AU962" s="107"/>
      <c r="AV962" s="107"/>
      <c r="AW962" s="107"/>
      <c r="AX962" s="107"/>
      <c r="AY962" s="107"/>
      <c r="AZ962" s="107"/>
      <c r="BA962" s="107"/>
      <c r="BB962" s="107"/>
      <c r="BC962" s="107"/>
      <c r="BD962" s="107"/>
      <c r="BE962" s="107"/>
      <c r="BF962" s="107"/>
      <c r="BG962" s="107"/>
      <c r="BH962" s="107"/>
      <c r="BI962" s="107"/>
      <c r="BJ962" s="107"/>
      <c r="BK962" s="107"/>
      <c r="BL962" s="107"/>
      <c r="BM962" s="107"/>
      <c r="BN962" s="107"/>
      <c r="BO962" s="107"/>
      <c r="BP962" s="107"/>
      <c r="BQ962" s="107"/>
      <c r="BR962" s="107"/>
      <c r="BS962" s="107"/>
      <c r="BT962" s="107"/>
      <c r="BU962" s="107"/>
      <c r="BV962" s="107"/>
      <c r="BW962" s="107"/>
      <c r="BX962" s="107"/>
      <c r="BY962" s="107"/>
      <c r="BZ962" s="107"/>
      <c r="CA962" s="107"/>
      <c r="CB962" s="107"/>
      <c r="CC962" s="107"/>
      <c r="CD962" s="107"/>
      <c r="CE962" s="107"/>
      <c r="CF962" s="107"/>
      <c r="CG962" s="107"/>
      <c r="CH962" s="107"/>
      <c r="CI962" s="107"/>
      <c r="CJ962" s="107"/>
      <c r="CK962" s="107"/>
      <c r="CL962" s="107"/>
      <c r="CM962" s="107"/>
      <c r="CN962" s="118"/>
      <c r="CO962" s="119"/>
      <c r="CP962" s="118"/>
      <c r="CQ962" s="119"/>
      <c r="CR962" s="118"/>
      <c r="CS962" s="119"/>
      <c r="CT962" s="113"/>
      <c r="CU962" s="118"/>
      <c r="CV962" s="99">
        <f t="shared" si="89"/>
        <v>0</v>
      </c>
      <c r="CW962" s="118"/>
      <c r="CX962" s="119"/>
      <c r="CY962" s="119"/>
      <c r="CZ962" s="119"/>
      <c r="DA962" s="118"/>
      <c r="DB962" s="119"/>
      <c r="DC962" s="111"/>
      <c r="DD962" s="119"/>
      <c r="DE962" s="111"/>
      <c r="DF962" s="46"/>
    </row>
    <row r="963" spans="1:110" s="42" customFormat="1" ht="22.5" x14ac:dyDescent="0.2">
      <c r="A963" s="89">
        <v>40665</v>
      </c>
      <c r="B963" s="90" t="s">
        <v>4387</v>
      </c>
      <c r="C963" s="90" t="s">
        <v>479</v>
      </c>
      <c r="D963" s="90" t="s">
        <v>2362</v>
      </c>
      <c r="E963" s="90" t="str">
        <f>VLOOKUP(B963&amp;C963,Divipola!$C$2:$F$1138,4,FALSE)</f>
        <v>52352</v>
      </c>
      <c r="F963" s="90"/>
      <c r="G963" s="101"/>
      <c r="H963" s="101"/>
      <c r="I963" s="101"/>
      <c r="J963" s="101">
        <v>216</v>
      </c>
      <c r="K963" s="101">
        <v>76</v>
      </c>
      <c r="L963" s="101"/>
      <c r="M963" s="101">
        <v>76</v>
      </c>
      <c r="N963" s="101"/>
      <c r="O963" s="101"/>
      <c r="P963" s="101"/>
      <c r="Q963" s="101"/>
      <c r="R963" s="101"/>
      <c r="S963" s="101"/>
      <c r="T963" s="101"/>
      <c r="U963" s="101"/>
      <c r="V963" s="101"/>
      <c r="W963" s="91"/>
      <c r="X963" s="105"/>
      <c r="Y963" s="92">
        <f t="shared" si="90"/>
        <v>0</v>
      </c>
      <c r="Z963" s="92">
        <f t="shared" si="91"/>
        <v>0</v>
      </c>
      <c r="AA963" s="92">
        <f t="shared" si="92"/>
        <v>0</v>
      </c>
      <c r="AB963" s="92">
        <f t="shared" si="93"/>
        <v>0</v>
      </c>
      <c r="AC963" s="92"/>
      <c r="AD963" s="92">
        <v>0</v>
      </c>
      <c r="AE963" s="92">
        <f t="shared" si="94"/>
        <v>0</v>
      </c>
      <c r="AF963" s="93">
        <v>0</v>
      </c>
      <c r="AG963" s="105"/>
      <c r="AH963" s="108"/>
      <c r="AI963" s="109" t="s">
        <v>4336</v>
      </c>
      <c r="AJ963" s="110" t="s">
        <v>4337</v>
      </c>
      <c r="AK963" s="111"/>
      <c r="AL963" s="105" t="s">
        <v>1069</v>
      </c>
      <c r="AM963" s="100"/>
      <c r="AN963" s="107"/>
      <c r="AO963" s="107"/>
      <c r="AP963" s="107"/>
      <c r="AQ963" s="107"/>
      <c r="AR963" s="107"/>
      <c r="AS963" s="107"/>
      <c r="AT963" s="107"/>
      <c r="AU963" s="107"/>
      <c r="AV963" s="107"/>
      <c r="AW963" s="107"/>
      <c r="AX963" s="107"/>
      <c r="AY963" s="107"/>
      <c r="AZ963" s="107"/>
      <c r="BA963" s="107"/>
      <c r="BB963" s="107"/>
      <c r="BC963" s="107"/>
      <c r="BD963" s="107"/>
      <c r="BE963" s="107"/>
      <c r="BF963" s="107"/>
      <c r="BG963" s="107"/>
      <c r="BH963" s="107"/>
      <c r="BI963" s="107"/>
      <c r="BJ963" s="107"/>
      <c r="BK963" s="107"/>
      <c r="BL963" s="107"/>
      <c r="BM963" s="107"/>
      <c r="BN963" s="107"/>
      <c r="BO963" s="107"/>
      <c r="BP963" s="107"/>
      <c r="BQ963" s="107"/>
      <c r="BR963" s="107"/>
      <c r="BS963" s="107"/>
      <c r="BT963" s="107"/>
      <c r="BU963" s="107"/>
      <c r="BV963" s="107"/>
      <c r="BW963" s="107"/>
      <c r="BX963" s="107"/>
      <c r="BY963" s="107"/>
      <c r="BZ963" s="107"/>
      <c r="CA963" s="107"/>
      <c r="CB963" s="107"/>
      <c r="CC963" s="107"/>
      <c r="CD963" s="107"/>
      <c r="CE963" s="107"/>
      <c r="CF963" s="107"/>
      <c r="CG963" s="107"/>
      <c r="CH963" s="107"/>
      <c r="CI963" s="107"/>
      <c r="CJ963" s="107"/>
      <c r="CK963" s="107"/>
      <c r="CL963" s="107"/>
      <c r="CM963" s="107"/>
      <c r="CN963" s="118"/>
      <c r="CO963" s="119"/>
      <c r="CP963" s="118"/>
      <c r="CQ963" s="119"/>
      <c r="CR963" s="118"/>
      <c r="CS963" s="119"/>
      <c r="CT963" s="113"/>
      <c r="CU963" s="118"/>
      <c r="CV963" s="99">
        <f t="shared" ref="CV963:CV1026" si="95">AO963+AQ963+AS963+AU963+AW963+AY963+BA963+BC963+BE963+BG963+BI963+BK963+BM963+BO963+BQ963+BS963+BU963+BW963+BY963+CA963+CC963+CE963+CG963+CI963+CK963+CM963+CO963+CQ963+CS963+CU963</f>
        <v>0</v>
      </c>
      <c r="CW963" s="118"/>
      <c r="CX963" s="119"/>
      <c r="CY963" s="119"/>
      <c r="CZ963" s="119"/>
      <c r="DA963" s="118"/>
      <c r="DB963" s="119"/>
      <c r="DC963" s="111"/>
      <c r="DD963" s="119"/>
      <c r="DE963" s="111"/>
      <c r="DF963" s="46"/>
    </row>
    <row r="964" spans="1:110" s="42" customFormat="1" ht="48" x14ac:dyDescent="0.2">
      <c r="A964" s="89">
        <v>40665</v>
      </c>
      <c r="B964" s="90" t="s">
        <v>4387</v>
      </c>
      <c r="C964" s="90" t="s">
        <v>4204</v>
      </c>
      <c r="D964" s="90" t="s">
        <v>2362</v>
      </c>
      <c r="E964" s="90" t="str">
        <f>VLOOKUP(B964&amp;C964,Divipola!$C$2:$F$1138,4,FALSE)</f>
        <v>52381</v>
      </c>
      <c r="F964" s="90"/>
      <c r="G964" s="101"/>
      <c r="H964" s="101"/>
      <c r="I964" s="101"/>
      <c r="J964" s="101">
        <v>184</v>
      </c>
      <c r="K964" s="101">
        <v>48</v>
      </c>
      <c r="L964" s="101"/>
      <c r="M964" s="101">
        <v>48</v>
      </c>
      <c r="N964" s="101">
        <v>3</v>
      </c>
      <c r="O964" s="101"/>
      <c r="P964" s="101"/>
      <c r="Q964" s="101"/>
      <c r="R964" s="101"/>
      <c r="S964" s="101"/>
      <c r="T964" s="101">
        <v>1</v>
      </c>
      <c r="U964" s="101"/>
      <c r="V964" s="101">
        <v>14.6</v>
      </c>
      <c r="W964" s="91"/>
      <c r="X964" s="105"/>
      <c r="Y964" s="92">
        <f t="shared" si="90"/>
        <v>0</v>
      </c>
      <c r="Z964" s="92">
        <f t="shared" si="91"/>
        <v>0</v>
      </c>
      <c r="AA964" s="92">
        <f t="shared" si="92"/>
        <v>0</v>
      </c>
      <c r="AB964" s="92">
        <f t="shared" si="93"/>
        <v>0</v>
      </c>
      <c r="AC964" s="92"/>
      <c r="AD964" s="92">
        <v>0</v>
      </c>
      <c r="AE964" s="92">
        <f t="shared" si="94"/>
        <v>0</v>
      </c>
      <c r="AF964" s="93">
        <v>0</v>
      </c>
      <c r="AG964" s="105"/>
      <c r="AH964" s="108"/>
      <c r="AI964" s="109" t="s">
        <v>4336</v>
      </c>
      <c r="AJ964" s="110" t="s">
        <v>4337</v>
      </c>
      <c r="AK964" s="111"/>
      <c r="AL964" s="105" t="s">
        <v>1069</v>
      </c>
      <c r="AM964" s="100" t="s">
        <v>76</v>
      </c>
      <c r="AN964" s="107"/>
      <c r="AO964" s="107"/>
      <c r="AP964" s="107"/>
      <c r="AQ964" s="107"/>
      <c r="AR964" s="107"/>
      <c r="AS964" s="107"/>
      <c r="AT964" s="107"/>
      <c r="AU964" s="107"/>
      <c r="AV964" s="107"/>
      <c r="AW964" s="107"/>
      <c r="AX964" s="107"/>
      <c r="AY964" s="107"/>
      <c r="AZ964" s="107"/>
      <c r="BA964" s="107"/>
      <c r="BB964" s="107"/>
      <c r="BC964" s="107"/>
      <c r="BD964" s="107"/>
      <c r="BE964" s="107"/>
      <c r="BF964" s="107"/>
      <c r="BG964" s="107"/>
      <c r="BH964" s="107"/>
      <c r="BI964" s="107"/>
      <c r="BJ964" s="107"/>
      <c r="BK964" s="107"/>
      <c r="BL964" s="107"/>
      <c r="BM964" s="107"/>
      <c r="BN964" s="107"/>
      <c r="BO964" s="107"/>
      <c r="BP964" s="107"/>
      <c r="BQ964" s="107"/>
      <c r="BR964" s="107"/>
      <c r="BS964" s="107"/>
      <c r="BT964" s="107"/>
      <c r="BU964" s="107"/>
      <c r="BV964" s="107"/>
      <c r="BW964" s="107"/>
      <c r="BX964" s="107"/>
      <c r="BY964" s="107"/>
      <c r="BZ964" s="107"/>
      <c r="CA964" s="107"/>
      <c r="CB964" s="107"/>
      <c r="CC964" s="107"/>
      <c r="CD964" s="107"/>
      <c r="CE964" s="107"/>
      <c r="CF964" s="107"/>
      <c r="CG964" s="107"/>
      <c r="CH964" s="107"/>
      <c r="CI964" s="107"/>
      <c r="CJ964" s="107"/>
      <c r="CK964" s="107"/>
      <c r="CL964" s="107"/>
      <c r="CM964" s="107"/>
      <c r="CN964" s="118"/>
      <c r="CO964" s="119"/>
      <c r="CP964" s="118"/>
      <c r="CQ964" s="119"/>
      <c r="CR964" s="118"/>
      <c r="CS964" s="119"/>
      <c r="CT964" s="113"/>
      <c r="CU964" s="118"/>
      <c r="CV964" s="99">
        <f t="shared" si="95"/>
        <v>0</v>
      </c>
      <c r="CW964" s="118"/>
      <c r="CX964" s="119"/>
      <c r="CY964" s="119"/>
      <c r="CZ964" s="119"/>
      <c r="DA964" s="118"/>
      <c r="DB964" s="119"/>
      <c r="DC964" s="111"/>
      <c r="DD964" s="119"/>
      <c r="DE964" s="111"/>
      <c r="DF964" s="46">
        <v>1774</v>
      </c>
    </row>
    <row r="965" spans="1:110" s="42" customFormat="1" ht="78.75" x14ac:dyDescent="0.2">
      <c r="A965" s="89">
        <v>40665</v>
      </c>
      <c r="B965" s="90" t="s">
        <v>4348</v>
      </c>
      <c r="C965" s="90" t="s">
        <v>1957</v>
      </c>
      <c r="D965" s="90" t="s">
        <v>2362</v>
      </c>
      <c r="E965" s="90" t="str">
        <f>VLOOKUP(B965&amp;C965,Divipola!$C$2:$F$1138,4,FALSE)</f>
        <v>66572</v>
      </c>
      <c r="F965" s="101"/>
      <c r="G965" s="101"/>
      <c r="H965" s="101"/>
      <c r="I965" s="101"/>
      <c r="J965" s="101">
        <v>660</v>
      </c>
      <c r="K965" s="101">
        <v>132</v>
      </c>
      <c r="L965" s="101"/>
      <c r="M965" s="101"/>
      <c r="N965" s="101"/>
      <c r="O965" s="101"/>
      <c r="P965" s="101"/>
      <c r="Q965" s="101"/>
      <c r="R965" s="101"/>
      <c r="S965" s="101"/>
      <c r="T965" s="101"/>
      <c r="U965" s="91"/>
      <c r="V965" s="89"/>
      <c r="W965" s="127" t="s">
        <v>4420</v>
      </c>
      <c r="X965" s="92"/>
      <c r="Y965" s="92">
        <f t="shared" si="90"/>
        <v>0</v>
      </c>
      <c r="Z965" s="92">
        <f t="shared" si="91"/>
        <v>0</v>
      </c>
      <c r="AA965" s="92">
        <f t="shared" si="92"/>
        <v>0</v>
      </c>
      <c r="AB965" s="92">
        <f t="shared" si="93"/>
        <v>0</v>
      </c>
      <c r="AC965" s="92"/>
      <c r="AD965" s="92">
        <v>0</v>
      </c>
      <c r="AE965" s="92">
        <f t="shared" si="94"/>
        <v>0</v>
      </c>
      <c r="AF965" s="93">
        <v>0</v>
      </c>
      <c r="AG965" s="89"/>
      <c r="AH965" s="96"/>
      <c r="AI965" s="95" t="s">
        <v>4336</v>
      </c>
      <c r="AJ965" s="96" t="s">
        <v>4337</v>
      </c>
      <c r="AK965" s="100"/>
      <c r="AL965" s="89"/>
      <c r="AM965" s="90" t="s">
        <v>4421</v>
      </c>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114"/>
      <c r="CQ965" s="115"/>
      <c r="CR965" s="114"/>
      <c r="CS965" s="115"/>
      <c r="CT965" s="114"/>
      <c r="CU965" s="115"/>
      <c r="CV965" s="99">
        <f t="shared" si="95"/>
        <v>0</v>
      </c>
      <c r="CW965" s="114"/>
      <c r="CX965" s="115"/>
      <c r="CY965" s="114"/>
      <c r="CZ965" s="115"/>
      <c r="DA965" s="115"/>
      <c r="DB965" s="115"/>
      <c r="DC965" s="114"/>
      <c r="DD965" s="115"/>
      <c r="DE965" s="97"/>
      <c r="DF965" s="46"/>
    </row>
    <row r="966" spans="1:110" s="42" customFormat="1" ht="33.75" x14ac:dyDescent="0.2">
      <c r="A966" s="89">
        <v>40665</v>
      </c>
      <c r="B966" s="90" t="s">
        <v>4348</v>
      </c>
      <c r="C966" s="90" t="s">
        <v>4320</v>
      </c>
      <c r="D966" s="90" t="s">
        <v>2362</v>
      </c>
      <c r="E966" s="90" t="str">
        <f>VLOOKUP(B966&amp;C966,Divipola!$C$2:$F$1138,4,FALSE)</f>
        <v>66687</v>
      </c>
      <c r="F966" s="101"/>
      <c r="G966" s="101"/>
      <c r="H966" s="101"/>
      <c r="I966" s="101"/>
      <c r="J966" s="101">
        <v>50</v>
      </c>
      <c r="K966" s="101">
        <v>10</v>
      </c>
      <c r="L966" s="101"/>
      <c r="M966" s="101"/>
      <c r="N966" s="101"/>
      <c r="O966" s="101"/>
      <c r="P966" s="101"/>
      <c r="Q966" s="101"/>
      <c r="R966" s="101"/>
      <c r="S966" s="101"/>
      <c r="T966" s="101"/>
      <c r="U966" s="91"/>
      <c r="V966" s="89"/>
      <c r="W966" s="92"/>
      <c r="X966" s="92"/>
      <c r="Y966" s="92">
        <f t="shared" si="90"/>
        <v>0</v>
      </c>
      <c r="Z966" s="92">
        <f t="shared" si="91"/>
        <v>0</v>
      </c>
      <c r="AA966" s="92">
        <f t="shared" si="92"/>
        <v>0</v>
      </c>
      <c r="AB966" s="92">
        <f t="shared" si="93"/>
        <v>0</v>
      </c>
      <c r="AC966" s="92"/>
      <c r="AD966" s="92">
        <v>0</v>
      </c>
      <c r="AE966" s="92">
        <f t="shared" si="94"/>
        <v>0</v>
      </c>
      <c r="AF966" s="93">
        <v>0</v>
      </c>
      <c r="AG966" s="89"/>
      <c r="AH966" s="96"/>
      <c r="AI966" s="95" t="s">
        <v>4336</v>
      </c>
      <c r="AJ966" s="96" t="s">
        <v>4337</v>
      </c>
      <c r="AK966" s="100"/>
      <c r="AL966" s="89"/>
      <c r="AM966" s="90" t="s">
        <v>4164</v>
      </c>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114"/>
      <c r="CQ966" s="115"/>
      <c r="CR966" s="114"/>
      <c r="CS966" s="115"/>
      <c r="CT966" s="114"/>
      <c r="CU966" s="115"/>
      <c r="CV966" s="99">
        <f t="shared" si="95"/>
        <v>0</v>
      </c>
      <c r="CW966" s="114"/>
      <c r="CX966" s="115"/>
      <c r="CY966" s="114"/>
      <c r="CZ966" s="115"/>
      <c r="DA966" s="115"/>
      <c r="DB966" s="115"/>
      <c r="DC966" s="114"/>
      <c r="DD966" s="115"/>
      <c r="DE966" s="97"/>
      <c r="DF966" s="46"/>
    </row>
    <row r="967" spans="1:110" s="42" customFormat="1" ht="24" x14ac:dyDescent="0.2">
      <c r="A967" s="89">
        <v>40665</v>
      </c>
      <c r="B967" s="106" t="s">
        <v>2226</v>
      </c>
      <c r="C967" s="106" t="s">
        <v>2965</v>
      </c>
      <c r="D967" s="90" t="s">
        <v>4264</v>
      </c>
      <c r="E967" s="90" t="str">
        <f>VLOOKUP(B967&amp;C967,Divipola!$C$2:$F$1138,4,FALSE)</f>
        <v>68502</v>
      </c>
      <c r="F967" s="90"/>
      <c r="G967" s="129"/>
      <c r="H967" s="129"/>
      <c r="I967" s="129"/>
      <c r="J967" s="129">
        <v>6095</v>
      </c>
      <c r="K967" s="129">
        <v>1219</v>
      </c>
      <c r="L967" s="129"/>
      <c r="M967" s="129">
        <v>1219</v>
      </c>
      <c r="N967" s="129"/>
      <c r="O967" s="129"/>
      <c r="P967" s="129"/>
      <c r="Q967" s="129"/>
      <c r="R967" s="129"/>
      <c r="S967" s="129"/>
      <c r="T967" s="129"/>
      <c r="U967" s="129"/>
      <c r="V967" s="129"/>
      <c r="W967" s="107"/>
      <c r="X967" s="105"/>
      <c r="Y967" s="92">
        <f t="shared" si="90"/>
        <v>0</v>
      </c>
      <c r="Z967" s="92">
        <f t="shared" si="91"/>
        <v>0</v>
      </c>
      <c r="AA967" s="92">
        <f t="shared" si="92"/>
        <v>0</v>
      </c>
      <c r="AB967" s="92">
        <f t="shared" si="93"/>
        <v>0</v>
      </c>
      <c r="AC967" s="5">
        <f>120*280999.56</f>
        <v>33719947.200000003</v>
      </c>
      <c r="AD967" s="92">
        <v>0</v>
      </c>
      <c r="AE967" s="92">
        <f t="shared" si="94"/>
        <v>33719947.200000003</v>
      </c>
      <c r="AF967" s="93">
        <v>0</v>
      </c>
      <c r="AG967" s="105"/>
      <c r="AH967" s="108"/>
      <c r="AI967" s="95" t="s">
        <v>4346</v>
      </c>
      <c r="AJ967" s="96" t="s">
        <v>4347</v>
      </c>
      <c r="AK967" s="111"/>
      <c r="AL967" s="105"/>
      <c r="AM967" s="112" t="s">
        <v>144</v>
      </c>
      <c r="AN967" s="107"/>
      <c r="AO967" s="107"/>
      <c r="AP967" s="107"/>
      <c r="AQ967" s="107"/>
      <c r="AR967" s="107"/>
      <c r="AS967" s="107"/>
      <c r="AT967" s="107"/>
      <c r="AU967" s="107"/>
      <c r="AV967" s="107"/>
      <c r="AW967" s="107"/>
      <c r="AX967" s="107"/>
      <c r="AY967" s="107"/>
      <c r="AZ967" s="107"/>
      <c r="BA967" s="107"/>
      <c r="BB967" s="107"/>
      <c r="BC967" s="107"/>
      <c r="BD967" s="107"/>
      <c r="BE967" s="107"/>
      <c r="BF967" s="107"/>
      <c r="BG967" s="107"/>
      <c r="BH967" s="107"/>
      <c r="BI967" s="107"/>
      <c r="BJ967" s="107"/>
      <c r="BK967" s="107"/>
      <c r="BL967" s="107"/>
      <c r="BM967" s="107"/>
      <c r="BN967" s="107"/>
      <c r="BO967" s="107"/>
      <c r="BP967" s="107"/>
      <c r="BQ967" s="107"/>
      <c r="BR967" s="107"/>
      <c r="BS967" s="107"/>
      <c r="BT967" s="107"/>
      <c r="BU967" s="107"/>
      <c r="BV967" s="107"/>
      <c r="BW967" s="107"/>
      <c r="BX967" s="107"/>
      <c r="BY967" s="107"/>
      <c r="BZ967" s="107"/>
      <c r="CA967" s="107"/>
      <c r="CB967" s="107"/>
      <c r="CC967" s="107"/>
      <c r="CD967" s="107"/>
      <c r="CE967" s="107"/>
      <c r="CF967" s="107"/>
      <c r="CG967" s="107"/>
      <c r="CH967" s="107"/>
      <c r="CI967" s="107"/>
      <c r="CJ967" s="107"/>
      <c r="CK967" s="107"/>
      <c r="CL967" s="107"/>
      <c r="CM967" s="107"/>
      <c r="CN967" s="118"/>
      <c r="CO967" s="119"/>
      <c r="CP967" s="118"/>
      <c r="CQ967" s="119"/>
      <c r="CR967" s="118"/>
      <c r="CS967" s="119"/>
      <c r="CT967" s="113"/>
      <c r="CU967" s="118"/>
      <c r="CV967" s="99">
        <f t="shared" si="95"/>
        <v>0</v>
      </c>
      <c r="CW967" s="118"/>
      <c r="CX967" s="119"/>
      <c r="CY967" s="119"/>
      <c r="CZ967" s="119"/>
      <c r="DA967" s="118"/>
      <c r="DB967" s="119"/>
      <c r="DC967" s="111"/>
      <c r="DD967" s="119"/>
      <c r="DE967" s="111"/>
      <c r="DF967" s="46"/>
    </row>
    <row r="968" spans="1:110" s="42" customFormat="1" ht="108" x14ac:dyDescent="0.2">
      <c r="A968" s="89">
        <v>40665</v>
      </c>
      <c r="B968" s="90" t="s">
        <v>3316</v>
      </c>
      <c r="C968" s="90" t="s">
        <v>2216</v>
      </c>
      <c r="D968" s="90" t="s">
        <v>4264</v>
      </c>
      <c r="E968" s="90" t="str">
        <f>VLOOKUP(B968&amp;C968,Divipola!$C$2:$F$1138,4,FALSE)</f>
        <v>73504</v>
      </c>
      <c r="F968" s="90"/>
      <c r="G968" s="101"/>
      <c r="H968" s="101"/>
      <c r="I968" s="101"/>
      <c r="J968" s="101">
        <v>1500</v>
      </c>
      <c r="K968" s="101">
        <v>300</v>
      </c>
      <c r="L968" s="101"/>
      <c r="M968" s="101"/>
      <c r="N968" s="101"/>
      <c r="O968" s="101"/>
      <c r="P968" s="101"/>
      <c r="Q968" s="101">
        <v>6</v>
      </c>
      <c r="R968" s="101"/>
      <c r="S968" s="101"/>
      <c r="T968" s="101">
        <v>3</v>
      </c>
      <c r="U968" s="101"/>
      <c r="V968" s="101"/>
      <c r="W968" s="91"/>
      <c r="X968" s="89"/>
      <c r="Y968" s="92">
        <f t="shared" si="90"/>
        <v>0</v>
      </c>
      <c r="Z968" s="92">
        <f t="shared" si="91"/>
        <v>0</v>
      </c>
      <c r="AA968" s="92">
        <f t="shared" si="92"/>
        <v>0</v>
      </c>
      <c r="AB968" s="92">
        <f t="shared" si="93"/>
        <v>0</v>
      </c>
      <c r="AC968" s="92"/>
      <c r="AD968" s="92">
        <v>0</v>
      </c>
      <c r="AE968" s="92">
        <f t="shared" si="94"/>
        <v>0</v>
      </c>
      <c r="AF968" s="93">
        <v>0</v>
      </c>
      <c r="AG968" s="89"/>
      <c r="AH968" s="94"/>
      <c r="AI968" s="95" t="s">
        <v>4346</v>
      </c>
      <c r="AJ968" s="96" t="s">
        <v>4347</v>
      </c>
      <c r="AK968" s="97"/>
      <c r="AL968" s="89" t="s">
        <v>2798</v>
      </c>
      <c r="AM968" s="100" t="s">
        <v>1056</v>
      </c>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114"/>
      <c r="CQ968" s="115"/>
      <c r="CR968" s="114"/>
      <c r="CS968" s="115"/>
      <c r="CT968" s="114"/>
      <c r="CU968" s="115"/>
      <c r="CV968" s="99">
        <f t="shared" si="95"/>
        <v>0</v>
      </c>
      <c r="CW968" s="114"/>
      <c r="CX968" s="115"/>
      <c r="CY968" s="114"/>
      <c r="CZ968" s="115"/>
      <c r="DA968" s="115"/>
      <c r="DB968" s="115"/>
      <c r="DC968" s="114"/>
      <c r="DD968" s="115"/>
      <c r="DE968" s="97"/>
      <c r="DF968" s="46"/>
    </row>
    <row r="969" spans="1:110" s="42" customFormat="1" ht="22.5" x14ac:dyDescent="0.2">
      <c r="A969" s="89">
        <v>40665</v>
      </c>
      <c r="B969" s="90" t="s">
        <v>3316</v>
      </c>
      <c r="C969" s="90" t="s">
        <v>4272</v>
      </c>
      <c r="D969" s="90" t="s">
        <v>4264</v>
      </c>
      <c r="E969" s="90" t="str">
        <f>VLOOKUP(B969&amp;C969,Divipola!$C$2:$F$1138,4,FALSE)</f>
        <v>73854</v>
      </c>
      <c r="F969" s="90"/>
      <c r="G969" s="101"/>
      <c r="H969" s="101"/>
      <c r="I969" s="101"/>
      <c r="J969" s="101">
        <v>150</v>
      </c>
      <c r="K969" s="101">
        <v>30</v>
      </c>
      <c r="L969" s="101"/>
      <c r="M969" s="101"/>
      <c r="N969" s="101"/>
      <c r="O969" s="101"/>
      <c r="P969" s="101"/>
      <c r="Q969" s="101"/>
      <c r="R969" s="101"/>
      <c r="S969" s="101"/>
      <c r="T969" s="101"/>
      <c r="U969" s="101"/>
      <c r="V969" s="101"/>
      <c r="W969" s="91"/>
      <c r="X969" s="89"/>
      <c r="Y969" s="92">
        <f t="shared" si="90"/>
        <v>0</v>
      </c>
      <c r="Z969" s="92">
        <f t="shared" si="91"/>
        <v>0</v>
      </c>
      <c r="AA969" s="92">
        <f t="shared" si="92"/>
        <v>0</v>
      </c>
      <c r="AB969" s="92">
        <f t="shared" si="93"/>
        <v>0</v>
      </c>
      <c r="AC969" s="92"/>
      <c r="AD969" s="92">
        <v>0</v>
      </c>
      <c r="AE969" s="92">
        <f t="shared" si="94"/>
        <v>0</v>
      </c>
      <c r="AF969" s="93">
        <v>0</v>
      </c>
      <c r="AG969" s="89"/>
      <c r="AH969" s="94"/>
      <c r="AI969" s="95" t="s">
        <v>4346</v>
      </c>
      <c r="AJ969" s="96" t="s">
        <v>4347</v>
      </c>
      <c r="AK969" s="97"/>
      <c r="AL969" s="89" t="s">
        <v>2798</v>
      </c>
      <c r="AM969" s="100" t="s">
        <v>236</v>
      </c>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114"/>
      <c r="CQ969" s="115"/>
      <c r="CR969" s="114"/>
      <c r="CS969" s="115"/>
      <c r="CT969" s="114"/>
      <c r="CU969" s="115"/>
      <c r="CV969" s="99">
        <f t="shared" si="95"/>
        <v>0</v>
      </c>
      <c r="CW969" s="114"/>
      <c r="CX969" s="115"/>
      <c r="CY969" s="114"/>
      <c r="CZ969" s="115"/>
      <c r="DA969" s="115"/>
      <c r="DB969" s="115"/>
      <c r="DC969" s="114"/>
      <c r="DD969" s="115"/>
      <c r="DE969" s="97"/>
      <c r="DF969" s="46"/>
    </row>
    <row r="970" spans="1:110" s="42" customFormat="1" ht="48" x14ac:dyDescent="0.2">
      <c r="A970" s="89">
        <v>40666</v>
      </c>
      <c r="B970" s="90" t="s">
        <v>4352</v>
      </c>
      <c r="C970" s="90" t="s">
        <v>3504</v>
      </c>
      <c r="D970" s="90" t="s">
        <v>3346</v>
      </c>
      <c r="E970" s="90" t="str">
        <f>VLOOKUP(B970&amp;C970,Divipola!$C$2:$F$1138,4,FALSE)</f>
        <v>13052</v>
      </c>
      <c r="F970" s="90"/>
      <c r="G970" s="101"/>
      <c r="H970" s="101"/>
      <c r="I970" s="101"/>
      <c r="J970" s="101"/>
      <c r="K970" s="101"/>
      <c r="L970" s="101"/>
      <c r="M970" s="101"/>
      <c r="N970" s="101"/>
      <c r="O970" s="101"/>
      <c r="P970" s="101"/>
      <c r="Q970" s="101"/>
      <c r="R970" s="101"/>
      <c r="S970" s="101"/>
      <c r="T970" s="101"/>
      <c r="U970" s="101"/>
      <c r="V970" s="101"/>
      <c r="W970" s="91"/>
      <c r="X970" s="89"/>
      <c r="Y970" s="92">
        <f t="shared" si="90"/>
        <v>0</v>
      </c>
      <c r="Z970" s="92">
        <f t="shared" si="91"/>
        <v>0</v>
      </c>
      <c r="AA970" s="92">
        <f t="shared" si="92"/>
        <v>0</v>
      </c>
      <c r="AB970" s="92">
        <f t="shared" si="93"/>
        <v>0</v>
      </c>
      <c r="AC970" s="92"/>
      <c r="AD970" s="92">
        <v>0</v>
      </c>
      <c r="AE970" s="92">
        <f t="shared" si="94"/>
        <v>0</v>
      </c>
      <c r="AF970" s="93">
        <v>0</v>
      </c>
      <c r="AG970" s="89"/>
      <c r="AH970" s="94"/>
      <c r="AI970" s="95" t="s">
        <v>4336</v>
      </c>
      <c r="AJ970" s="96" t="s">
        <v>4337</v>
      </c>
      <c r="AK970" s="97"/>
      <c r="AL970" s="89"/>
      <c r="AM970" s="100" t="s">
        <v>991</v>
      </c>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114"/>
      <c r="CQ970" s="115"/>
      <c r="CR970" s="114"/>
      <c r="CS970" s="115"/>
      <c r="CT970" s="114"/>
      <c r="CU970" s="115"/>
      <c r="CV970" s="99">
        <f t="shared" si="95"/>
        <v>0</v>
      </c>
      <c r="CW970" s="114"/>
      <c r="CX970" s="115"/>
      <c r="CY970" s="114"/>
      <c r="CZ970" s="115"/>
      <c r="DA970" s="115"/>
      <c r="DB970" s="115"/>
      <c r="DC970" s="114"/>
      <c r="DD970" s="115"/>
      <c r="DE970" s="97"/>
      <c r="DF970" s="46"/>
    </row>
    <row r="971" spans="1:110" s="42" customFormat="1" ht="72" x14ac:dyDescent="0.2">
      <c r="A971" s="89">
        <v>40666</v>
      </c>
      <c r="B971" s="106" t="s">
        <v>4352</v>
      </c>
      <c r="C971" s="106" t="s">
        <v>4282</v>
      </c>
      <c r="D971" s="90" t="s">
        <v>4264</v>
      </c>
      <c r="E971" s="90" t="str">
        <f>VLOOKUP(B971&amp;C971,Divipola!$C$2:$F$1138,4,FALSE)</f>
        <v>13212</v>
      </c>
      <c r="F971" s="90"/>
      <c r="G971" s="129"/>
      <c r="H971" s="129"/>
      <c r="I971" s="129"/>
      <c r="J971" s="129"/>
      <c r="K971" s="129"/>
      <c r="L971" s="129"/>
      <c r="M971" s="129"/>
      <c r="N971" s="129"/>
      <c r="O971" s="129"/>
      <c r="P971" s="129"/>
      <c r="Q971" s="129"/>
      <c r="R971" s="129"/>
      <c r="S971" s="129"/>
      <c r="T971" s="129"/>
      <c r="U971" s="129"/>
      <c r="V971" s="129"/>
      <c r="W971" s="107"/>
      <c r="X971" s="105"/>
      <c r="Y971" s="117">
        <f t="shared" si="90"/>
        <v>399812000</v>
      </c>
      <c r="Z971" s="117">
        <f t="shared" si="91"/>
        <v>63750000</v>
      </c>
      <c r="AA971" s="117">
        <f t="shared" si="92"/>
        <v>0</v>
      </c>
      <c r="AB971" s="117">
        <f t="shared" si="93"/>
        <v>0</v>
      </c>
      <c r="AC971" s="117">
        <f>10*41000</f>
        <v>410000</v>
      </c>
      <c r="AD971" s="117">
        <v>40000000</v>
      </c>
      <c r="AE971" s="92">
        <f t="shared" si="94"/>
        <v>503972000</v>
      </c>
      <c r="AF971" s="93">
        <v>0</v>
      </c>
      <c r="AG971" s="105"/>
      <c r="AH971" s="108"/>
      <c r="AI971" s="95" t="s">
        <v>4346</v>
      </c>
      <c r="AJ971" s="96" t="s">
        <v>4347</v>
      </c>
      <c r="AK971" s="111"/>
      <c r="AL971" s="105"/>
      <c r="AM971" s="112" t="s">
        <v>4121</v>
      </c>
      <c r="AN971" s="107"/>
      <c r="AO971" s="107"/>
      <c r="AP971" s="107"/>
      <c r="AQ971" s="107"/>
      <c r="AR971" s="107"/>
      <c r="AS971" s="107"/>
      <c r="AT971" s="107"/>
      <c r="AU971" s="107"/>
      <c r="AV971" s="91"/>
      <c r="AW971" s="91"/>
      <c r="AX971" s="107">
        <v>500</v>
      </c>
      <c r="AY971" s="107">
        <f>27*389000+473*450000</f>
        <v>223353000</v>
      </c>
      <c r="AZ971" s="107">
        <v>1000</v>
      </c>
      <c r="BA971" s="107">
        <f>750*56000+250*56000</f>
        <v>56000000</v>
      </c>
      <c r="BB971" s="107"/>
      <c r="BC971" s="107"/>
      <c r="BD971" s="107">
        <v>30</v>
      </c>
      <c r="BE971" s="107">
        <f>30*24000</f>
        <v>720000</v>
      </c>
      <c r="BF971" s="107"/>
      <c r="BG971" s="107"/>
      <c r="BH971" s="107"/>
      <c r="BI971" s="107"/>
      <c r="BJ971" s="107"/>
      <c r="BK971" s="107"/>
      <c r="BL971" s="107">
        <v>500</v>
      </c>
      <c r="BM971" s="107">
        <f>500*25500</f>
        <v>12750000</v>
      </c>
      <c r="BN971" s="107"/>
      <c r="BO971" s="107"/>
      <c r="BP971" s="107"/>
      <c r="BQ971" s="107"/>
      <c r="BR971" s="107"/>
      <c r="BS971" s="107"/>
      <c r="BT971" s="107"/>
      <c r="BU971" s="107"/>
      <c r="BV971" s="107"/>
      <c r="BW971" s="107"/>
      <c r="BX971" s="107"/>
      <c r="BY971" s="107"/>
      <c r="BZ971" s="107"/>
      <c r="CA971" s="107"/>
      <c r="CB971" s="107"/>
      <c r="CC971" s="107"/>
      <c r="CD971" s="107"/>
      <c r="CE971" s="107"/>
      <c r="CF971" s="107"/>
      <c r="CG971" s="107"/>
      <c r="CH971" s="107"/>
      <c r="CI971" s="107"/>
      <c r="CJ971" s="107">
        <v>1500</v>
      </c>
      <c r="CK971" s="107">
        <f>1500*21000</f>
        <v>31500000</v>
      </c>
      <c r="CL971" s="107"/>
      <c r="CM971" s="107"/>
      <c r="CN971" s="107">
        <v>1000</v>
      </c>
      <c r="CO971" s="107">
        <f>1000*18000</f>
        <v>18000000</v>
      </c>
      <c r="CP971" s="118">
        <v>750</v>
      </c>
      <c r="CQ971" s="119">
        <f>750*36952</f>
        <v>27714000</v>
      </c>
      <c r="CR971" s="118">
        <v>750</v>
      </c>
      <c r="CS971" s="119">
        <f>750*39700</f>
        <v>29775000</v>
      </c>
      <c r="CT971" s="118"/>
      <c r="CU971" s="119"/>
      <c r="CV971" s="99">
        <f t="shared" si="95"/>
        <v>399812000</v>
      </c>
      <c r="CW971" s="118"/>
      <c r="CX971" s="119"/>
      <c r="CY971" s="118">
        <v>750</v>
      </c>
      <c r="CZ971" s="119">
        <f>750*85000</f>
        <v>63750000</v>
      </c>
      <c r="DA971" s="119"/>
      <c r="DB971" s="119"/>
      <c r="DC971" s="118"/>
      <c r="DD971" s="119"/>
      <c r="DE971" s="111"/>
      <c r="DF971" s="46"/>
    </row>
    <row r="972" spans="1:110" s="42" customFormat="1" ht="36" x14ac:dyDescent="0.2">
      <c r="A972" s="89">
        <v>40666</v>
      </c>
      <c r="B972" s="106" t="s">
        <v>4261</v>
      </c>
      <c r="C972" s="106" t="s">
        <v>1301</v>
      </c>
      <c r="D972" s="90" t="s">
        <v>2362</v>
      </c>
      <c r="E972" s="90" t="str">
        <f>VLOOKUP(B972&amp;C972,Divipola!$C$2:$F$1138,4,FALSE)</f>
        <v>15740</v>
      </c>
      <c r="F972" s="4"/>
      <c r="G972" s="274"/>
      <c r="H972" s="274"/>
      <c r="I972" s="274"/>
      <c r="J972" s="129">
        <v>120</v>
      </c>
      <c r="K972" s="129">
        <v>24</v>
      </c>
      <c r="L972" s="129"/>
      <c r="M972" s="129">
        <v>24</v>
      </c>
      <c r="N972" s="208">
        <v>2</v>
      </c>
      <c r="O972" s="208"/>
      <c r="P972" s="208"/>
      <c r="Q972" s="208">
        <v>1</v>
      </c>
      <c r="R972" s="208"/>
      <c r="S972" s="208"/>
      <c r="T972" s="208"/>
      <c r="U972" s="208"/>
      <c r="V972" s="208"/>
      <c r="W972" s="19"/>
      <c r="X972" s="17"/>
      <c r="Y972" s="5">
        <f t="shared" si="90"/>
        <v>0</v>
      </c>
      <c r="Z972" s="5">
        <f t="shared" si="91"/>
        <v>0</v>
      </c>
      <c r="AA972" s="5">
        <f t="shared" si="92"/>
        <v>0</v>
      </c>
      <c r="AB972" s="5">
        <f t="shared" si="93"/>
        <v>0</v>
      </c>
      <c r="AC972" s="5"/>
      <c r="AD972" s="5">
        <v>0</v>
      </c>
      <c r="AE972" s="5">
        <f t="shared" si="94"/>
        <v>0</v>
      </c>
      <c r="AF972" s="70">
        <v>0</v>
      </c>
      <c r="AG972" s="17"/>
      <c r="AH972" s="18"/>
      <c r="AI972" s="47" t="s">
        <v>4346</v>
      </c>
      <c r="AJ972" s="73" t="s">
        <v>4347</v>
      </c>
      <c r="AK972" s="275"/>
      <c r="AL972" s="89" t="s">
        <v>2798</v>
      </c>
      <c r="AM972" s="112" t="s">
        <v>2399</v>
      </c>
      <c r="AN972" s="19"/>
      <c r="AO972" s="19"/>
      <c r="AP972" s="19"/>
      <c r="AQ972" s="19"/>
      <c r="AR972" s="19"/>
      <c r="AS972" s="19"/>
      <c r="AT972" s="19"/>
      <c r="AU972" s="19"/>
      <c r="AV972" s="19"/>
      <c r="AW972" s="19"/>
      <c r="AX972" s="107"/>
      <c r="AY972" s="107"/>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39"/>
      <c r="CO972" s="138"/>
      <c r="CP972" s="139"/>
      <c r="CQ972" s="138"/>
      <c r="CR972" s="139"/>
      <c r="CS972" s="138"/>
      <c r="CT972" s="72"/>
      <c r="CU972" s="139"/>
      <c r="CV972" s="99">
        <f t="shared" si="95"/>
        <v>0</v>
      </c>
      <c r="CW972" s="139"/>
      <c r="CX972" s="138"/>
      <c r="CY972" s="138"/>
      <c r="CZ972" s="138"/>
      <c r="DA972" s="139"/>
      <c r="DB972" s="138"/>
      <c r="DC972" s="45"/>
      <c r="DD972" s="138"/>
      <c r="DE972" s="45"/>
      <c r="DF972" s="46"/>
    </row>
    <row r="973" spans="1:110" s="42" customFormat="1" x14ac:dyDescent="0.2">
      <c r="A973" s="89">
        <v>40666</v>
      </c>
      <c r="B973" s="90" t="s">
        <v>4261</v>
      </c>
      <c r="C973" s="90" t="s">
        <v>2260</v>
      </c>
      <c r="D973" s="90" t="s">
        <v>4264</v>
      </c>
      <c r="E973" s="90" t="str">
        <f>VLOOKUP(B973&amp;C973,Divipola!$C$2:$F$1138,4,FALSE)</f>
        <v>15790</v>
      </c>
      <c r="F973" s="4"/>
      <c r="G973" s="274"/>
      <c r="H973" s="274"/>
      <c r="I973" s="274"/>
      <c r="J973" s="101">
        <v>100</v>
      </c>
      <c r="K973" s="101">
        <v>20</v>
      </c>
      <c r="L973" s="101"/>
      <c r="M973" s="101">
        <v>20</v>
      </c>
      <c r="N973" s="101"/>
      <c r="O973" s="208"/>
      <c r="P973" s="208"/>
      <c r="Q973" s="208"/>
      <c r="R973" s="208"/>
      <c r="S973" s="208"/>
      <c r="T973" s="208"/>
      <c r="U973" s="208"/>
      <c r="V973" s="208"/>
      <c r="W973" s="19"/>
      <c r="X973" s="17"/>
      <c r="Y973" s="5">
        <f t="shared" si="90"/>
        <v>0</v>
      </c>
      <c r="Z973" s="5">
        <f t="shared" si="91"/>
        <v>0</v>
      </c>
      <c r="AA973" s="5">
        <f t="shared" si="92"/>
        <v>0</v>
      </c>
      <c r="AB973" s="5">
        <f t="shared" si="93"/>
        <v>0</v>
      </c>
      <c r="AC973" s="5"/>
      <c r="AD973" s="5">
        <v>0</v>
      </c>
      <c r="AE973" s="5">
        <f t="shared" si="94"/>
        <v>0</v>
      </c>
      <c r="AF973" s="70">
        <v>0</v>
      </c>
      <c r="AG973" s="17"/>
      <c r="AH973" s="18"/>
      <c r="AI973" s="47" t="s">
        <v>4346</v>
      </c>
      <c r="AJ973" s="73" t="s">
        <v>4347</v>
      </c>
      <c r="AK973" s="275"/>
      <c r="AL973" s="89" t="s">
        <v>2798</v>
      </c>
      <c r="AM973" s="100" t="s">
        <v>4148</v>
      </c>
      <c r="AN973" s="19"/>
      <c r="AO973" s="19"/>
      <c r="AP973" s="19"/>
      <c r="AQ973" s="19"/>
      <c r="AR973" s="19"/>
      <c r="AS973" s="19"/>
      <c r="AT973" s="19"/>
      <c r="AU973" s="19"/>
      <c r="AV973" s="19"/>
      <c r="AW973" s="19"/>
      <c r="AX973" s="107"/>
      <c r="AY973" s="107"/>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39"/>
      <c r="CO973" s="138"/>
      <c r="CP973" s="139"/>
      <c r="CQ973" s="138"/>
      <c r="CR973" s="139"/>
      <c r="CS973" s="138"/>
      <c r="CT973" s="72"/>
      <c r="CU973" s="139"/>
      <c r="CV973" s="99">
        <f t="shared" si="95"/>
        <v>0</v>
      </c>
      <c r="CW973" s="139"/>
      <c r="CX973" s="138"/>
      <c r="CY973" s="138"/>
      <c r="CZ973" s="138"/>
      <c r="DA973" s="139"/>
      <c r="DB973" s="138"/>
      <c r="DC973" s="45"/>
      <c r="DD973" s="138"/>
      <c r="DE973" s="45"/>
      <c r="DF973" s="46"/>
    </row>
    <row r="974" spans="1:110" s="42" customFormat="1" ht="162.75" x14ac:dyDescent="0.2">
      <c r="A974" s="89">
        <v>40666</v>
      </c>
      <c r="B974" s="90" t="s">
        <v>3358</v>
      </c>
      <c r="C974" s="90" t="s">
        <v>4253</v>
      </c>
      <c r="D974" s="90" t="s">
        <v>4264</v>
      </c>
      <c r="E974" s="90" t="str">
        <f>VLOOKUP(B974&amp;C974,Divipola!$C$2:$F$1138,4,FALSE)</f>
        <v>18001</v>
      </c>
      <c r="F974" s="90"/>
      <c r="G974" s="101"/>
      <c r="H974" s="101"/>
      <c r="I974" s="101"/>
      <c r="J974" s="101">
        <v>3100</v>
      </c>
      <c r="K974" s="101">
        <v>620</v>
      </c>
      <c r="L974" s="101"/>
      <c r="M974" s="101">
        <v>620</v>
      </c>
      <c r="N974" s="101"/>
      <c r="O974" s="101"/>
      <c r="P974" s="101"/>
      <c r="Q974" s="101"/>
      <c r="R974" s="101"/>
      <c r="S974" s="101"/>
      <c r="T974" s="101"/>
      <c r="U974" s="101"/>
      <c r="V974" s="101"/>
      <c r="W974" s="91"/>
      <c r="X974" s="89"/>
      <c r="Y974" s="92">
        <f t="shared" si="90"/>
        <v>205952000</v>
      </c>
      <c r="Z974" s="92">
        <f t="shared" si="91"/>
        <v>85000000</v>
      </c>
      <c r="AA974" s="92">
        <f t="shared" si="92"/>
        <v>45000000</v>
      </c>
      <c r="AB974" s="92">
        <f t="shared" si="93"/>
        <v>0</v>
      </c>
      <c r="AC974" s="92"/>
      <c r="AD974" s="92">
        <v>100000000</v>
      </c>
      <c r="AE974" s="92">
        <f t="shared" si="94"/>
        <v>435952000</v>
      </c>
      <c r="AF974" s="93">
        <v>0</v>
      </c>
      <c r="AG974" s="89"/>
      <c r="AH974" s="94"/>
      <c r="AI974" s="95" t="s">
        <v>4346</v>
      </c>
      <c r="AJ974" s="96" t="s">
        <v>4347</v>
      </c>
      <c r="AK974" s="97"/>
      <c r="AL974" s="89"/>
      <c r="AM974" s="100" t="s">
        <v>2781</v>
      </c>
      <c r="AN974" s="91"/>
      <c r="AO974" s="91"/>
      <c r="AP974" s="91"/>
      <c r="AQ974" s="91"/>
      <c r="AR974" s="91"/>
      <c r="AS974" s="91"/>
      <c r="AT974" s="91"/>
      <c r="AU974" s="91"/>
      <c r="AV974" s="91"/>
      <c r="AW974" s="91"/>
      <c r="AX974" s="91"/>
      <c r="AY974" s="91"/>
      <c r="AZ974" s="91">
        <v>2000</v>
      </c>
      <c r="BA974" s="91">
        <f>2000*56000</f>
        <v>112000000</v>
      </c>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v>1000</v>
      </c>
      <c r="CK974" s="91">
        <f>1000*21000</f>
        <v>21000000</v>
      </c>
      <c r="CL974" s="91"/>
      <c r="CM974" s="91"/>
      <c r="CN974" s="91"/>
      <c r="CO974" s="91"/>
      <c r="CP974" s="114">
        <v>1000</v>
      </c>
      <c r="CQ974" s="115">
        <f>1000*36952</f>
        <v>36952000</v>
      </c>
      <c r="CR974" s="114">
        <v>1000</v>
      </c>
      <c r="CS974" s="115">
        <f>1000*36000</f>
        <v>36000000</v>
      </c>
      <c r="CT974" s="114"/>
      <c r="CU974" s="115"/>
      <c r="CV974" s="99">
        <f t="shared" si="95"/>
        <v>205952000</v>
      </c>
      <c r="CW974" s="114"/>
      <c r="CX974" s="115"/>
      <c r="CY974" s="114">
        <v>1000</v>
      </c>
      <c r="CZ974" s="115">
        <f>1000*85000</f>
        <v>85000000</v>
      </c>
      <c r="DA974" s="115"/>
      <c r="DB974" s="115"/>
      <c r="DC974" s="114">
        <v>2000</v>
      </c>
      <c r="DD974" s="115">
        <f>2000*22500</f>
        <v>45000000</v>
      </c>
      <c r="DE974" s="97"/>
      <c r="DF974" s="46"/>
    </row>
    <row r="975" spans="1:110" s="42" customFormat="1" ht="36" x14ac:dyDescent="0.2">
      <c r="A975" s="89">
        <v>40666</v>
      </c>
      <c r="B975" s="90" t="s">
        <v>3358</v>
      </c>
      <c r="C975" s="90" t="s">
        <v>2220</v>
      </c>
      <c r="D975" s="90" t="s">
        <v>4264</v>
      </c>
      <c r="E975" s="90" t="str">
        <f>VLOOKUP(B975&amp;C975,Divipola!$C$2:$F$1138,4,FALSE)</f>
        <v>18460</v>
      </c>
      <c r="F975" s="90"/>
      <c r="G975" s="101"/>
      <c r="H975" s="101"/>
      <c r="I975" s="101"/>
      <c r="J975" s="101">
        <f>139*5</f>
        <v>695</v>
      </c>
      <c r="K975" s="101">
        <v>139</v>
      </c>
      <c r="L975" s="101"/>
      <c r="M975" s="101">
        <v>139</v>
      </c>
      <c r="N975" s="101"/>
      <c r="O975" s="101"/>
      <c r="P975" s="101"/>
      <c r="Q975" s="101"/>
      <c r="R975" s="101"/>
      <c r="S975" s="101"/>
      <c r="T975" s="101"/>
      <c r="U975" s="101"/>
      <c r="V975" s="101"/>
      <c r="W975" s="91"/>
      <c r="X975" s="89"/>
      <c r="Y975" s="92">
        <f t="shared" si="90"/>
        <v>43354883</v>
      </c>
      <c r="Z975" s="92">
        <f t="shared" si="91"/>
        <v>11815000</v>
      </c>
      <c r="AA975" s="92">
        <f t="shared" si="92"/>
        <v>59336000</v>
      </c>
      <c r="AB975" s="92">
        <f t="shared" si="93"/>
        <v>0</v>
      </c>
      <c r="AC975" s="92"/>
      <c r="AD975" s="92">
        <v>0</v>
      </c>
      <c r="AE975" s="92">
        <f t="shared" si="94"/>
        <v>114505883</v>
      </c>
      <c r="AF975" s="93">
        <v>0</v>
      </c>
      <c r="AG975" s="89"/>
      <c r="AH975" s="94"/>
      <c r="AI975" s="95" t="s">
        <v>4346</v>
      </c>
      <c r="AJ975" s="96" t="s">
        <v>4347</v>
      </c>
      <c r="AK975" s="97"/>
      <c r="AL975" s="89"/>
      <c r="AM975" s="100" t="s">
        <v>3582</v>
      </c>
      <c r="AN975" s="91"/>
      <c r="AO975" s="91"/>
      <c r="AP975" s="91"/>
      <c r="AQ975" s="91"/>
      <c r="AR975" s="91"/>
      <c r="AS975" s="91"/>
      <c r="AT975" s="91"/>
      <c r="AU975" s="91"/>
      <c r="AV975" s="91"/>
      <c r="AW975" s="91"/>
      <c r="AX975" s="91"/>
      <c r="AY975" s="91"/>
      <c r="AZ975" s="91">
        <v>417</v>
      </c>
      <c r="BA975" s="91">
        <f>417*55999</f>
        <v>23351583</v>
      </c>
      <c r="BB975" s="91"/>
      <c r="BC975" s="91"/>
      <c r="BD975" s="91"/>
      <c r="BE975" s="91"/>
      <c r="BF975" s="91"/>
      <c r="BG975" s="91"/>
      <c r="BH975" s="91"/>
      <c r="BI975" s="91"/>
      <c r="BJ975" s="91"/>
      <c r="BK975" s="91"/>
      <c r="BL975" s="91">
        <v>72</v>
      </c>
      <c r="BM975" s="91">
        <f>72*25500</f>
        <v>1836000</v>
      </c>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v>417</v>
      </c>
      <c r="CO975" s="91">
        <f>417*18000</f>
        <v>7506000</v>
      </c>
      <c r="CP975" s="114">
        <v>139</v>
      </c>
      <c r="CQ975" s="115">
        <f>139*37000</f>
        <v>5143000</v>
      </c>
      <c r="CR975" s="114">
        <v>139</v>
      </c>
      <c r="CS975" s="115">
        <f>139*39700</f>
        <v>5518300</v>
      </c>
      <c r="CT975" s="114"/>
      <c r="CU975" s="115"/>
      <c r="CV975" s="99">
        <f t="shared" si="95"/>
        <v>43354883</v>
      </c>
      <c r="CW975" s="114"/>
      <c r="CX975" s="115"/>
      <c r="CY975" s="114">
        <v>139</v>
      </c>
      <c r="CZ975" s="115">
        <f>139*85000</f>
        <v>11815000</v>
      </c>
      <c r="DA975" s="115">
        <v>1000</v>
      </c>
      <c r="DB975" s="115">
        <f>1000*25000</f>
        <v>25000000</v>
      </c>
      <c r="DC975" s="114">
        <v>2000</v>
      </c>
      <c r="DD975" s="115">
        <f>2000*17168</f>
        <v>34336000</v>
      </c>
      <c r="DE975" s="97"/>
      <c r="DF975" s="46"/>
    </row>
    <row r="976" spans="1:110" s="42" customFormat="1" ht="48" x14ac:dyDescent="0.2">
      <c r="A976" s="89">
        <v>40666</v>
      </c>
      <c r="B976" s="106" t="s">
        <v>4353</v>
      </c>
      <c r="C976" s="106" t="s">
        <v>863</v>
      </c>
      <c r="D976" s="90" t="s">
        <v>4264</v>
      </c>
      <c r="E976" s="90" t="str">
        <f>VLOOKUP(B976&amp;C976,Divipola!$C$2:$F$1138,4,FALSE)</f>
        <v>85125</v>
      </c>
      <c r="F976" s="90"/>
      <c r="G976" s="129"/>
      <c r="H976" s="129"/>
      <c r="I976" s="129"/>
      <c r="J976" s="129">
        <v>3095</v>
      </c>
      <c r="K976" s="129">
        <v>619</v>
      </c>
      <c r="L976" s="129"/>
      <c r="M976" s="129">
        <v>619</v>
      </c>
      <c r="N976" s="129"/>
      <c r="O976" s="129"/>
      <c r="P976" s="129"/>
      <c r="Q976" s="129"/>
      <c r="R976" s="129"/>
      <c r="S976" s="129"/>
      <c r="T976" s="129"/>
      <c r="U976" s="129"/>
      <c r="V976" s="129"/>
      <c r="W976" s="107"/>
      <c r="X976" s="105"/>
      <c r="Y976" s="92">
        <f t="shared" si="90"/>
        <v>0</v>
      </c>
      <c r="Z976" s="92">
        <f t="shared" si="91"/>
        <v>0</v>
      </c>
      <c r="AA976" s="92">
        <f t="shared" si="92"/>
        <v>0</v>
      </c>
      <c r="AB976" s="92">
        <f t="shared" si="93"/>
        <v>0</v>
      </c>
      <c r="AC976" s="92"/>
      <c r="AD976" s="92">
        <v>0</v>
      </c>
      <c r="AE976" s="92">
        <f t="shared" si="94"/>
        <v>0</v>
      </c>
      <c r="AF976" s="93">
        <v>0</v>
      </c>
      <c r="AG976" s="105"/>
      <c r="AH976" s="108"/>
      <c r="AI976" s="95" t="s">
        <v>4346</v>
      </c>
      <c r="AJ976" s="96" t="s">
        <v>4347</v>
      </c>
      <c r="AK976" s="97"/>
      <c r="AL976" s="89" t="s">
        <v>2798</v>
      </c>
      <c r="AM976" s="100" t="s">
        <v>3434</v>
      </c>
      <c r="AN976" s="107"/>
      <c r="AO976" s="107"/>
      <c r="AP976" s="107"/>
      <c r="AQ976" s="107"/>
      <c r="AR976" s="107"/>
      <c r="AS976" s="107"/>
      <c r="AT976" s="107"/>
      <c r="AU976" s="107"/>
      <c r="AV976" s="107"/>
      <c r="AW976" s="107"/>
      <c r="AX976" s="107"/>
      <c r="AY976" s="107"/>
      <c r="AZ976" s="107"/>
      <c r="BA976" s="107"/>
      <c r="BB976" s="107"/>
      <c r="BC976" s="107"/>
      <c r="BD976" s="107"/>
      <c r="BE976" s="107"/>
      <c r="BF976" s="107"/>
      <c r="BG976" s="107"/>
      <c r="BH976" s="107"/>
      <c r="BI976" s="107"/>
      <c r="BJ976" s="107"/>
      <c r="BK976" s="107"/>
      <c r="BL976" s="107"/>
      <c r="BM976" s="107"/>
      <c r="BN976" s="107"/>
      <c r="BO976" s="107"/>
      <c r="BP976" s="107"/>
      <c r="BQ976" s="107"/>
      <c r="BR976" s="107"/>
      <c r="BS976" s="107"/>
      <c r="BT976" s="107"/>
      <c r="BU976" s="107"/>
      <c r="BV976" s="107"/>
      <c r="BW976" s="107"/>
      <c r="BX976" s="107"/>
      <c r="BY976" s="107"/>
      <c r="BZ976" s="107"/>
      <c r="CA976" s="107"/>
      <c r="CB976" s="107"/>
      <c r="CC976" s="107"/>
      <c r="CD976" s="107"/>
      <c r="CE976" s="107"/>
      <c r="CF976" s="107"/>
      <c r="CG976" s="107"/>
      <c r="CH976" s="107"/>
      <c r="CI976" s="107"/>
      <c r="CJ976" s="107"/>
      <c r="CK976" s="107"/>
      <c r="CL976" s="107"/>
      <c r="CM976" s="107"/>
      <c r="CN976" s="118"/>
      <c r="CO976" s="119"/>
      <c r="CP976" s="118"/>
      <c r="CQ976" s="119"/>
      <c r="CR976" s="118"/>
      <c r="CS976" s="119"/>
      <c r="CT976" s="113"/>
      <c r="CU976" s="118"/>
      <c r="CV976" s="99">
        <f t="shared" si="95"/>
        <v>0</v>
      </c>
      <c r="CW976" s="118"/>
      <c r="CX976" s="119"/>
      <c r="CY976" s="119"/>
      <c r="CZ976" s="119"/>
      <c r="DA976" s="118"/>
      <c r="DB976" s="119"/>
      <c r="DC976" s="111"/>
      <c r="DD976" s="119"/>
      <c r="DE976" s="111"/>
      <c r="DF976" s="46"/>
    </row>
    <row r="977" spans="1:110" s="42" customFormat="1" ht="36" x14ac:dyDescent="0.2">
      <c r="A977" s="89">
        <v>40666</v>
      </c>
      <c r="B977" s="90" t="s">
        <v>4353</v>
      </c>
      <c r="C977" s="90" t="s">
        <v>2222</v>
      </c>
      <c r="D977" s="90" t="s">
        <v>4264</v>
      </c>
      <c r="E977" s="90" t="str">
        <f>VLOOKUP(B977&amp;C977,Divipola!$C$2:$F$1138,4,FALSE)</f>
        <v>85139</v>
      </c>
      <c r="F977" s="90"/>
      <c r="G977" s="101"/>
      <c r="H977" s="101"/>
      <c r="I977" s="101"/>
      <c r="J977" s="101">
        <f>419*5</f>
        <v>2095</v>
      </c>
      <c r="K977" s="101">
        <v>419</v>
      </c>
      <c r="L977" s="101"/>
      <c r="M977" s="101">
        <v>419</v>
      </c>
      <c r="N977" s="101"/>
      <c r="O977" s="101"/>
      <c r="P977" s="101"/>
      <c r="Q977" s="101"/>
      <c r="R977" s="101"/>
      <c r="S977" s="101"/>
      <c r="T977" s="101"/>
      <c r="U977" s="101"/>
      <c r="V977" s="101"/>
      <c r="W977" s="91"/>
      <c r="X977" s="89"/>
      <c r="Y977" s="92">
        <f t="shared" si="90"/>
        <v>0</v>
      </c>
      <c r="Z977" s="92">
        <f t="shared" si="91"/>
        <v>0</v>
      </c>
      <c r="AA977" s="92">
        <f t="shared" si="92"/>
        <v>0</v>
      </c>
      <c r="AB977" s="92">
        <f t="shared" si="93"/>
        <v>0</v>
      </c>
      <c r="AC977" s="92"/>
      <c r="AD977" s="92">
        <v>0</v>
      </c>
      <c r="AE977" s="92">
        <f t="shared" si="94"/>
        <v>0</v>
      </c>
      <c r="AF977" s="93">
        <v>0</v>
      </c>
      <c r="AG977" s="89"/>
      <c r="AH977" s="94"/>
      <c r="AI977" s="95" t="s">
        <v>4346</v>
      </c>
      <c r="AJ977" s="96" t="s">
        <v>4347</v>
      </c>
      <c r="AK977" s="97"/>
      <c r="AL977" s="89" t="s">
        <v>2798</v>
      </c>
      <c r="AM977" s="100" t="s">
        <v>3593</v>
      </c>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114"/>
      <c r="CQ977" s="115"/>
      <c r="CR977" s="114"/>
      <c r="CS977" s="115"/>
      <c r="CT977" s="114"/>
      <c r="CU977" s="115"/>
      <c r="CV977" s="99">
        <f t="shared" si="95"/>
        <v>0</v>
      </c>
      <c r="CW977" s="114"/>
      <c r="CX977" s="115"/>
      <c r="CY977" s="114"/>
      <c r="CZ977" s="115"/>
      <c r="DA977" s="115"/>
      <c r="DB977" s="115"/>
      <c r="DC977" s="114"/>
      <c r="DD977" s="115"/>
      <c r="DE977" s="97"/>
      <c r="DF977" s="46"/>
    </row>
    <row r="978" spans="1:110" s="42" customFormat="1" x14ac:dyDescent="0.2">
      <c r="A978" s="89">
        <v>40666</v>
      </c>
      <c r="B978" s="90" t="s">
        <v>4353</v>
      </c>
      <c r="C978" s="90" t="s">
        <v>3444</v>
      </c>
      <c r="D978" s="90" t="s">
        <v>4264</v>
      </c>
      <c r="E978" s="90" t="str">
        <f>VLOOKUP(B978&amp;C978,Divipola!$C$2:$F$1138,4,FALSE)</f>
        <v>85225</v>
      </c>
      <c r="F978" s="90"/>
      <c r="G978" s="101"/>
      <c r="H978" s="101"/>
      <c r="I978" s="101"/>
      <c r="J978" s="101">
        <v>755</v>
      </c>
      <c r="K978" s="101">
        <v>151</v>
      </c>
      <c r="L978" s="101"/>
      <c r="M978" s="101">
        <v>151</v>
      </c>
      <c r="N978" s="101"/>
      <c r="O978" s="101"/>
      <c r="P978" s="101"/>
      <c r="Q978" s="101"/>
      <c r="R978" s="101"/>
      <c r="S978" s="101"/>
      <c r="T978" s="101"/>
      <c r="U978" s="101"/>
      <c r="V978" s="101"/>
      <c r="W978" s="91"/>
      <c r="X978" s="89"/>
      <c r="Y978" s="92">
        <f t="shared" si="90"/>
        <v>0</v>
      </c>
      <c r="Z978" s="92">
        <f t="shared" si="91"/>
        <v>0</v>
      </c>
      <c r="AA978" s="92">
        <f t="shared" si="92"/>
        <v>0</v>
      </c>
      <c r="AB978" s="92">
        <f t="shared" si="93"/>
        <v>0</v>
      </c>
      <c r="AC978" s="92"/>
      <c r="AD978" s="92">
        <v>0</v>
      </c>
      <c r="AE978" s="92">
        <f t="shared" si="94"/>
        <v>0</v>
      </c>
      <c r="AF978" s="93">
        <v>0</v>
      </c>
      <c r="AG978" s="89"/>
      <c r="AH978" s="94"/>
      <c r="AI978" s="95" t="s">
        <v>4346</v>
      </c>
      <c r="AJ978" s="96" t="s">
        <v>4347</v>
      </c>
      <c r="AK978" s="97"/>
      <c r="AL978" s="89" t="s">
        <v>2798</v>
      </c>
      <c r="AM978" s="100" t="s">
        <v>3588</v>
      </c>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114"/>
      <c r="CQ978" s="115"/>
      <c r="CR978" s="114"/>
      <c r="CS978" s="115"/>
      <c r="CT978" s="114"/>
      <c r="CU978" s="115"/>
      <c r="CV978" s="99">
        <f t="shared" si="95"/>
        <v>0</v>
      </c>
      <c r="CW978" s="114"/>
      <c r="CX978" s="115"/>
      <c r="CY978" s="114"/>
      <c r="CZ978" s="115"/>
      <c r="DA978" s="115"/>
      <c r="DB978" s="115"/>
      <c r="DC978" s="114"/>
      <c r="DD978" s="115"/>
      <c r="DE978" s="97"/>
      <c r="DF978" s="46"/>
    </row>
    <row r="979" spans="1:110" s="42" customFormat="1" ht="72" x14ac:dyDescent="0.2">
      <c r="A979" s="89">
        <v>40666</v>
      </c>
      <c r="B979" s="90" t="s">
        <v>4353</v>
      </c>
      <c r="C979" s="90" t="s">
        <v>2223</v>
      </c>
      <c r="D979" s="90" t="s">
        <v>2362</v>
      </c>
      <c r="E979" s="90" t="str">
        <f>VLOOKUP(B979&amp;C979,Divipola!$C$2:$F$1138,4,FALSE)</f>
        <v>85001</v>
      </c>
      <c r="F979" s="90"/>
      <c r="G979" s="101">
        <v>1</v>
      </c>
      <c r="H979" s="101"/>
      <c r="I979" s="101"/>
      <c r="J979" s="101">
        <v>1750</v>
      </c>
      <c r="K979" s="101">
        <v>350</v>
      </c>
      <c r="L979" s="101"/>
      <c r="M979" s="101">
        <v>350</v>
      </c>
      <c r="N979" s="101"/>
      <c r="O979" s="101"/>
      <c r="P979" s="101"/>
      <c r="Q979" s="101"/>
      <c r="R979" s="101"/>
      <c r="S979" s="101"/>
      <c r="T979" s="101"/>
      <c r="U979" s="101"/>
      <c r="V979" s="101"/>
      <c r="W979" s="91"/>
      <c r="X979" s="89"/>
      <c r="Y979" s="92">
        <f t="shared" si="90"/>
        <v>205590000</v>
      </c>
      <c r="Z979" s="92">
        <f t="shared" si="91"/>
        <v>59500000</v>
      </c>
      <c r="AA979" s="92">
        <f t="shared" si="92"/>
        <v>0</v>
      </c>
      <c r="AB979" s="92">
        <f t="shared" si="93"/>
        <v>0</v>
      </c>
      <c r="AC979" s="92"/>
      <c r="AD979" s="92">
        <v>0</v>
      </c>
      <c r="AE979" s="92">
        <f t="shared" si="94"/>
        <v>265090000</v>
      </c>
      <c r="AF979" s="93">
        <v>0</v>
      </c>
      <c r="AG979" s="89"/>
      <c r="AH979" s="94"/>
      <c r="AI979" s="95" t="s">
        <v>4346</v>
      </c>
      <c r="AJ979" s="96" t="s">
        <v>4347</v>
      </c>
      <c r="AK979" s="97"/>
      <c r="AL979" s="89" t="s">
        <v>2798</v>
      </c>
      <c r="AM979" s="100" t="s">
        <v>3585</v>
      </c>
      <c r="AN979" s="91"/>
      <c r="AO979" s="91"/>
      <c r="AP979" s="91"/>
      <c r="AQ979" s="91"/>
      <c r="AR979" s="91"/>
      <c r="AS979" s="91"/>
      <c r="AT979" s="91"/>
      <c r="AU979" s="91"/>
      <c r="AV979" s="91"/>
      <c r="AW979" s="91"/>
      <c r="AX979" s="91"/>
      <c r="AY979" s="91"/>
      <c r="AZ979" s="91">
        <f>700+1500</f>
        <v>2200</v>
      </c>
      <c r="BA979" s="91">
        <f>700*56000+1500*56000</f>
        <v>123200000</v>
      </c>
      <c r="BB979" s="91"/>
      <c r="BC979" s="91"/>
      <c r="BD979" s="91"/>
      <c r="BE979" s="91"/>
      <c r="BF979" s="91"/>
      <c r="BG979" s="91"/>
      <c r="BH979" s="91"/>
      <c r="BI979" s="91"/>
      <c r="BJ979" s="91">
        <v>200</v>
      </c>
      <c r="BK979" s="91">
        <f>200*70000</f>
        <v>14000000</v>
      </c>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v>700</v>
      </c>
      <c r="CK979" s="91">
        <f>700*21000</f>
        <v>14700000</v>
      </c>
      <c r="CL979" s="91"/>
      <c r="CM979" s="91"/>
      <c r="CN979" s="91"/>
      <c r="CO979" s="91"/>
      <c r="CP979" s="114">
        <f>350+350</f>
        <v>700</v>
      </c>
      <c r="CQ979" s="115">
        <f>350*37000+350*37000</f>
        <v>25900000</v>
      </c>
      <c r="CR979" s="114">
        <f>350+350</f>
        <v>700</v>
      </c>
      <c r="CS979" s="115">
        <f>350*39700+350*39700</f>
        <v>27790000</v>
      </c>
      <c r="CT979" s="114"/>
      <c r="CU979" s="115"/>
      <c r="CV979" s="99">
        <f t="shared" si="95"/>
        <v>205590000</v>
      </c>
      <c r="CW979" s="114"/>
      <c r="CX979" s="115"/>
      <c r="CY979" s="114">
        <f>350+350</f>
        <v>700</v>
      </c>
      <c r="CZ979" s="115">
        <f>350*85000+350*85000</f>
        <v>59500000</v>
      </c>
      <c r="DA979" s="115"/>
      <c r="DB979" s="115"/>
      <c r="DC979" s="114"/>
      <c r="DD979" s="115"/>
      <c r="DE979" s="97"/>
      <c r="DF979" s="46"/>
    </row>
    <row r="980" spans="1:110" s="42" customFormat="1" x14ac:dyDescent="0.2">
      <c r="A980" s="89">
        <v>40666</v>
      </c>
      <c r="B980" s="90" t="s">
        <v>4344</v>
      </c>
      <c r="C980" s="90" t="s">
        <v>4512</v>
      </c>
      <c r="D980" s="90" t="s">
        <v>4264</v>
      </c>
      <c r="E980" s="90" t="str">
        <f>VLOOKUP(B980&amp;C980,Divipola!$C$2:$F$1138,4,FALSE)</f>
        <v>25372</v>
      </c>
      <c r="F980" s="90"/>
      <c r="G980" s="101"/>
      <c r="H980" s="101"/>
      <c r="I980" s="101"/>
      <c r="J980" s="101">
        <v>26</v>
      </c>
      <c r="K980" s="101">
        <v>7</v>
      </c>
      <c r="L980" s="101"/>
      <c r="M980" s="101">
        <v>7</v>
      </c>
      <c r="N980" s="101"/>
      <c r="O980" s="101"/>
      <c r="P980" s="101"/>
      <c r="Q980" s="101"/>
      <c r="R980" s="101">
        <v>1</v>
      </c>
      <c r="S980" s="101"/>
      <c r="T980" s="101"/>
      <c r="U980" s="101"/>
      <c r="V980" s="101"/>
      <c r="W980" s="91"/>
      <c r="X980" s="89"/>
      <c r="Y980" s="92">
        <f t="shared" si="90"/>
        <v>0</v>
      </c>
      <c r="Z980" s="92">
        <f t="shared" si="91"/>
        <v>0</v>
      </c>
      <c r="AA980" s="92">
        <f t="shared" si="92"/>
        <v>0</v>
      </c>
      <c r="AB980" s="92">
        <f t="shared" si="93"/>
        <v>0</v>
      </c>
      <c r="AC980" s="92"/>
      <c r="AD980" s="92">
        <v>0</v>
      </c>
      <c r="AE980" s="92">
        <f t="shared" si="94"/>
        <v>0</v>
      </c>
      <c r="AF980" s="93">
        <v>0</v>
      </c>
      <c r="AG980" s="89"/>
      <c r="AH980" s="94"/>
      <c r="AI980" s="102" t="s">
        <v>4336</v>
      </c>
      <c r="AJ980" s="96" t="s">
        <v>4337</v>
      </c>
      <c r="AK980" s="97"/>
      <c r="AL980" s="89"/>
      <c r="AM980" s="100" t="s">
        <v>249</v>
      </c>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114"/>
      <c r="CQ980" s="115"/>
      <c r="CR980" s="114"/>
      <c r="CS980" s="115"/>
      <c r="CT980" s="114"/>
      <c r="CU980" s="115"/>
      <c r="CV980" s="99">
        <f t="shared" si="95"/>
        <v>0</v>
      </c>
      <c r="CW980" s="114"/>
      <c r="CX980" s="115"/>
      <c r="CY980" s="114"/>
      <c r="CZ980" s="115"/>
      <c r="DA980" s="115"/>
      <c r="DB980" s="115"/>
      <c r="DC980" s="114"/>
      <c r="DD980" s="115"/>
      <c r="DE980" s="97"/>
      <c r="DF980" s="46"/>
    </row>
    <row r="981" spans="1:110" s="42" customFormat="1" x14ac:dyDescent="0.2">
      <c r="A981" s="89">
        <v>40666</v>
      </c>
      <c r="B981" s="90" t="s">
        <v>4219</v>
      </c>
      <c r="C981" s="90" t="s">
        <v>66</v>
      </c>
      <c r="D981" s="90" t="s">
        <v>2362</v>
      </c>
      <c r="E981" s="90" t="str">
        <f>VLOOKUP(B981&amp;C981,Divipola!$C$2:$F$1138,4,FALSE)</f>
        <v>41503</v>
      </c>
      <c r="F981" s="90"/>
      <c r="G981" s="101"/>
      <c r="H981" s="101"/>
      <c r="I981" s="101"/>
      <c r="J981" s="101">
        <f>281*5</f>
        <v>1405</v>
      </c>
      <c r="K981" s="101">
        <v>281</v>
      </c>
      <c r="L981" s="101"/>
      <c r="M981" s="101">
        <v>1</v>
      </c>
      <c r="N981" s="101"/>
      <c r="O981" s="101"/>
      <c r="P981" s="101"/>
      <c r="Q981" s="101"/>
      <c r="R981" s="101"/>
      <c r="S981" s="101"/>
      <c r="T981" s="101"/>
      <c r="U981" s="101"/>
      <c r="V981" s="101"/>
      <c r="W981" s="91"/>
      <c r="X981" s="89"/>
      <c r="Y981" s="92">
        <f t="shared" si="90"/>
        <v>0</v>
      </c>
      <c r="Z981" s="92">
        <f t="shared" si="91"/>
        <v>0</v>
      </c>
      <c r="AA981" s="92">
        <f t="shared" si="92"/>
        <v>0</v>
      </c>
      <c r="AB981" s="92">
        <f t="shared" si="93"/>
        <v>0</v>
      </c>
      <c r="AC981" s="92"/>
      <c r="AD981" s="92">
        <v>0</v>
      </c>
      <c r="AE981" s="92">
        <f t="shared" si="94"/>
        <v>0</v>
      </c>
      <c r="AF981" s="93">
        <v>0</v>
      </c>
      <c r="AG981" s="89"/>
      <c r="AH981" s="94"/>
      <c r="AI981" s="95" t="s">
        <v>4336</v>
      </c>
      <c r="AJ981" s="96" t="s">
        <v>4337</v>
      </c>
      <c r="AK981" s="97"/>
      <c r="AL981" s="89"/>
      <c r="AM981" s="100" t="s">
        <v>243</v>
      </c>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114"/>
      <c r="CQ981" s="115"/>
      <c r="CR981" s="114"/>
      <c r="CS981" s="115"/>
      <c r="CT981" s="114"/>
      <c r="CU981" s="115"/>
      <c r="CV981" s="99">
        <f t="shared" si="95"/>
        <v>0</v>
      </c>
      <c r="CW981" s="114"/>
      <c r="CX981" s="115"/>
      <c r="CY981" s="114"/>
      <c r="CZ981" s="115"/>
      <c r="DA981" s="115"/>
      <c r="DB981" s="115"/>
      <c r="DC981" s="114"/>
      <c r="DD981" s="115"/>
      <c r="DE981" s="97"/>
      <c r="DF981" s="46"/>
    </row>
    <row r="982" spans="1:110" s="42" customFormat="1" ht="36" x14ac:dyDescent="0.2">
      <c r="A982" s="89">
        <v>40666</v>
      </c>
      <c r="B982" s="128" t="s">
        <v>4308</v>
      </c>
      <c r="C982" s="128" t="s">
        <v>4309</v>
      </c>
      <c r="D982" s="90" t="s">
        <v>4264</v>
      </c>
      <c r="E982" s="90" t="str">
        <f>VLOOKUP(B982&amp;C982,Divipola!$C$2:$F$1138,4,FALSE)</f>
        <v>47245</v>
      </c>
      <c r="F982" s="90"/>
      <c r="G982" s="129"/>
      <c r="H982" s="129"/>
      <c r="I982" s="129"/>
      <c r="J982" s="129">
        <f>531*5</f>
        <v>2655</v>
      </c>
      <c r="K982" s="129">
        <f>316+215</f>
        <v>531</v>
      </c>
      <c r="L982" s="129"/>
      <c r="M982" s="129"/>
      <c r="N982" s="129"/>
      <c r="O982" s="129"/>
      <c r="P982" s="129"/>
      <c r="Q982" s="129"/>
      <c r="R982" s="129"/>
      <c r="S982" s="129"/>
      <c r="T982" s="129"/>
      <c r="U982" s="129"/>
      <c r="V982" s="129"/>
      <c r="W982" s="107"/>
      <c r="X982" s="105"/>
      <c r="Y982" s="92">
        <f t="shared" si="90"/>
        <v>0</v>
      </c>
      <c r="Z982" s="92">
        <f t="shared" si="91"/>
        <v>0</v>
      </c>
      <c r="AA982" s="92">
        <f t="shared" si="92"/>
        <v>0</v>
      </c>
      <c r="AB982" s="92">
        <f t="shared" si="93"/>
        <v>0</v>
      </c>
      <c r="AC982" s="92"/>
      <c r="AD982" s="92">
        <v>40000000</v>
      </c>
      <c r="AE982" s="92">
        <f t="shared" si="94"/>
        <v>40000000</v>
      </c>
      <c r="AF982" s="93">
        <v>0</v>
      </c>
      <c r="AG982" s="105"/>
      <c r="AH982" s="108"/>
      <c r="AI982" s="95" t="s">
        <v>4346</v>
      </c>
      <c r="AJ982" s="96" t="s">
        <v>4347</v>
      </c>
      <c r="AK982" s="111"/>
      <c r="AL982" s="105"/>
      <c r="AM982" s="112" t="s">
        <v>4130</v>
      </c>
      <c r="AN982" s="107"/>
      <c r="AO982" s="107"/>
      <c r="AP982" s="107"/>
      <c r="AQ982" s="107"/>
      <c r="AR982" s="107"/>
      <c r="AS982" s="107"/>
      <c r="AT982" s="107"/>
      <c r="AU982" s="107"/>
      <c r="AV982" s="107"/>
      <c r="AW982" s="107"/>
      <c r="AX982" s="107"/>
      <c r="AY982" s="107"/>
      <c r="AZ982" s="107"/>
      <c r="BA982" s="107"/>
      <c r="BB982" s="107"/>
      <c r="BC982" s="107"/>
      <c r="BD982" s="107"/>
      <c r="BE982" s="107"/>
      <c r="BF982" s="107"/>
      <c r="BG982" s="107"/>
      <c r="BH982" s="107"/>
      <c r="BI982" s="107"/>
      <c r="BJ982" s="107"/>
      <c r="BK982" s="107"/>
      <c r="BL982" s="107"/>
      <c r="BM982" s="107"/>
      <c r="BN982" s="107"/>
      <c r="BO982" s="107"/>
      <c r="BP982" s="107"/>
      <c r="BQ982" s="107"/>
      <c r="BR982" s="107"/>
      <c r="BS982" s="107"/>
      <c r="BT982" s="107"/>
      <c r="BU982" s="107"/>
      <c r="BV982" s="107"/>
      <c r="BW982" s="107"/>
      <c r="BX982" s="107"/>
      <c r="BY982" s="107"/>
      <c r="BZ982" s="107"/>
      <c r="CA982" s="107"/>
      <c r="CB982" s="107"/>
      <c r="CC982" s="107"/>
      <c r="CD982" s="107"/>
      <c r="CE982" s="107"/>
      <c r="CF982" s="107"/>
      <c r="CG982" s="107"/>
      <c r="CH982" s="107"/>
      <c r="CI982" s="107"/>
      <c r="CJ982" s="107"/>
      <c r="CK982" s="107"/>
      <c r="CL982" s="107"/>
      <c r="CM982" s="107"/>
      <c r="CN982" s="118"/>
      <c r="CO982" s="119"/>
      <c r="CP982" s="118"/>
      <c r="CQ982" s="119"/>
      <c r="CR982" s="118"/>
      <c r="CS982" s="119"/>
      <c r="CT982" s="113"/>
      <c r="CU982" s="118"/>
      <c r="CV982" s="99">
        <f t="shared" si="95"/>
        <v>0</v>
      </c>
      <c r="CW982" s="118"/>
      <c r="CX982" s="119"/>
      <c r="CY982" s="119"/>
      <c r="CZ982" s="119"/>
      <c r="DA982" s="118"/>
      <c r="DB982" s="119"/>
      <c r="DC982" s="111"/>
      <c r="DD982" s="119"/>
      <c r="DE982" s="111"/>
      <c r="DF982" s="46"/>
    </row>
    <row r="983" spans="1:110" s="42" customFormat="1" ht="36" x14ac:dyDescent="0.2">
      <c r="A983" s="89">
        <v>40666</v>
      </c>
      <c r="B983" s="90" t="s">
        <v>860</v>
      </c>
      <c r="C983" s="90" t="s">
        <v>2211</v>
      </c>
      <c r="D983" s="90" t="s">
        <v>4264</v>
      </c>
      <c r="E983" s="90" t="str">
        <f>VLOOKUP(B983&amp;C983,Divipola!$C$2:$F$1138,4,FALSE)</f>
        <v>50313</v>
      </c>
      <c r="F983" s="90"/>
      <c r="G983" s="101"/>
      <c r="H983" s="101"/>
      <c r="I983" s="101"/>
      <c r="J983" s="101">
        <v>9140</v>
      </c>
      <c r="K983" s="101">
        <v>1828</v>
      </c>
      <c r="L983" s="101">
        <v>1</v>
      </c>
      <c r="M983" s="101">
        <v>1827</v>
      </c>
      <c r="N983" s="101"/>
      <c r="O983" s="101"/>
      <c r="P983" s="101"/>
      <c r="Q983" s="101"/>
      <c r="R983" s="101"/>
      <c r="S983" s="101"/>
      <c r="T983" s="101"/>
      <c r="U983" s="101"/>
      <c r="V983" s="101"/>
      <c r="W983" s="91"/>
      <c r="X983" s="89"/>
      <c r="Y983" s="92">
        <f t="shared" si="90"/>
        <v>0</v>
      </c>
      <c r="Z983" s="92">
        <f t="shared" si="91"/>
        <v>0</v>
      </c>
      <c r="AA983" s="92">
        <f t="shared" si="92"/>
        <v>0</v>
      </c>
      <c r="AB983" s="92">
        <f t="shared" si="93"/>
        <v>0</v>
      </c>
      <c r="AC983" s="92"/>
      <c r="AD983" s="92">
        <v>0</v>
      </c>
      <c r="AE983" s="92">
        <f t="shared" si="94"/>
        <v>0</v>
      </c>
      <c r="AF983" s="93">
        <v>0</v>
      </c>
      <c r="AG983" s="89"/>
      <c r="AH983" s="94"/>
      <c r="AI983" s="95" t="s">
        <v>4346</v>
      </c>
      <c r="AJ983" s="96" t="s">
        <v>4347</v>
      </c>
      <c r="AK983" s="97"/>
      <c r="AL983" s="105" t="s">
        <v>2823</v>
      </c>
      <c r="AM983" s="100" t="s">
        <v>248</v>
      </c>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114"/>
      <c r="CQ983" s="115"/>
      <c r="CR983" s="114"/>
      <c r="CS983" s="115"/>
      <c r="CT983" s="114"/>
      <c r="CU983" s="115"/>
      <c r="CV983" s="99">
        <f t="shared" si="95"/>
        <v>0</v>
      </c>
      <c r="CW983" s="114"/>
      <c r="CX983" s="115"/>
      <c r="CY983" s="114"/>
      <c r="CZ983" s="115"/>
      <c r="DA983" s="115"/>
      <c r="DB983" s="115"/>
      <c r="DC983" s="114"/>
      <c r="DD983" s="115"/>
      <c r="DE983" s="97"/>
      <c r="DF983" s="46"/>
    </row>
    <row r="984" spans="1:110" s="42" customFormat="1" ht="60" x14ac:dyDescent="0.2">
      <c r="A984" s="89">
        <v>40666</v>
      </c>
      <c r="B984" s="90" t="s">
        <v>860</v>
      </c>
      <c r="C984" s="90" t="s">
        <v>4302</v>
      </c>
      <c r="D984" s="90" t="s">
        <v>4264</v>
      </c>
      <c r="E984" s="90" t="str">
        <f>VLOOKUP(B984&amp;C984,Divipola!$C$2:$F$1138,4,FALSE)</f>
        <v>50400</v>
      </c>
      <c r="F984" s="90"/>
      <c r="G984" s="101"/>
      <c r="H984" s="101"/>
      <c r="I984" s="101"/>
      <c r="J984" s="101">
        <v>287</v>
      </c>
      <c r="K984" s="101">
        <v>81</v>
      </c>
      <c r="L984" s="101"/>
      <c r="M984" s="101">
        <v>81</v>
      </c>
      <c r="N984" s="101"/>
      <c r="O984" s="101"/>
      <c r="P984" s="101"/>
      <c r="Q984" s="101"/>
      <c r="R984" s="101"/>
      <c r="S984" s="101"/>
      <c r="T984" s="101"/>
      <c r="U984" s="101"/>
      <c r="V984" s="101"/>
      <c r="W984" s="91"/>
      <c r="X984" s="89"/>
      <c r="Y984" s="92">
        <f t="shared" si="90"/>
        <v>0</v>
      </c>
      <c r="Z984" s="92">
        <f t="shared" si="91"/>
        <v>0</v>
      </c>
      <c r="AA984" s="92">
        <f t="shared" si="92"/>
        <v>0</v>
      </c>
      <c r="AB984" s="92">
        <f t="shared" si="93"/>
        <v>0</v>
      </c>
      <c r="AC984" s="92"/>
      <c r="AD984" s="92">
        <v>83700000</v>
      </c>
      <c r="AE984" s="92">
        <f t="shared" si="94"/>
        <v>83700000</v>
      </c>
      <c r="AF984" s="93">
        <v>0</v>
      </c>
      <c r="AG984" s="89"/>
      <c r="AH984" s="94"/>
      <c r="AI984" s="95" t="s">
        <v>4346</v>
      </c>
      <c r="AJ984" s="96" t="s">
        <v>4347</v>
      </c>
      <c r="AK984" s="97"/>
      <c r="AL984" s="105" t="s">
        <v>2823</v>
      </c>
      <c r="AM984" s="100" t="s">
        <v>1011</v>
      </c>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114"/>
      <c r="CQ984" s="115"/>
      <c r="CR984" s="114"/>
      <c r="CS984" s="115"/>
      <c r="CT984" s="114"/>
      <c r="CU984" s="115"/>
      <c r="CV984" s="99">
        <f t="shared" si="95"/>
        <v>0</v>
      </c>
      <c r="CW984" s="114"/>
      <c r="CX984" s="115"/>
      <c r="CY984" s="114"/>
      <c r="CZ984" s="115"/>
      <c r="DA984" s="115"/>
      <c r="DB984" s="115"/>
      <c r="DC984" s="114"/>
      <c r="DD984" s="115"/>
      <c r="DE984" s="97"/>
      <c r="DF984" s="46"/>
    </row>
    <row r="985" spans="1:110" s="42" customFormat="1" ht="48" x14ac:dyDescent="0.2">
      <c r="A985" s="89">
        <v>40666</v>
      </c>
      <c r="B985" s="90" t="s">
        <v>860</v>
      </c>
      <c r="C985" s="90" t="s">
        <v>4364</v>
      </c>
      <c r="D985" s="90" t="s">
        <v>4264</v>
      </c>
      <c r="E985" s="90" t="str">
        <f>VLOOKUP(B985&amp;C985,Divipola!$C$2:$F$1138,4,FALSE)</f>
        <v>50683</v>
      </c>
      <c r="F985" s="90"/>
      <c r="G985" s="101"/>
      <c r="H985" s="101"/>
      <c r="I985" s="101"/>
      <c r="J985" s="101">
        <v>250</v>
      </c>
      <c r="K985" s="101">
        <v>50</v>
      </c>
      <c r="L985" s="101"/>
      <c r="M985" s="101">
        <v>50</v>
      </c>
      <c r="N985" s="101"/>
      <c r="O985" s="101"/>
      <c r="P985" s="101"/>
      <c r="Q985" s="101"/>
      <c r="R985" s="101"/>
      <c r="S985" s="101"/>
      <c r="T985" s="101"/>
      <c r="U985" s="101"/>
      <c r="V985" s="101"/>
      <c r="W985" s="91"/>
      <c r="X985" s="89"/>
      <c r="Y985" s="92">
        <f t="shared" si="90"/>
        <v>0</v>
      </c>
      <c r="Z985" s="92">
        <f t="shared" si="91"/>
        <v>0</v>
      </c>
      <c r="AA985" s="92">
        <f t="shared" si="92"/>
        <v>0</v>
      </c>
      <c r="AB985" s="92">
        <f t="shared" si="93"/>
        <v>0</v>
      </c>
      <c r="AC985" s="92"/>
      <c r="AD985" s="92">
        <v>0</v>
      </c>
      <c r="AE985" s="92">
        <f t="shared" si="94"/>
        <v>0</v>
      </c>
      <c r="AF985" s="93">
        <v>0</v>
      </c>
      <c r="AG985" s="89"/>
      <c r="AH985" s="94"/>
      <c r="AI985" s="95" t="s">
        <v>4346</v>
      </c>
      <c r="AJ985" s="96" t="s">
        <v>4347</v>
      </c>
      <c r="AK985" s="97"/>
      <c r="AL985" s="89" t="s">
        <v>2798</v>
      </c>
      <c r="AM985" s="100" t="s">
        <v>250</v>
      </c>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114"/>
      <c r="CQ985" s="115"/>
      <c r="CR985" s="114"/>
      <c r="CS985" s="115"/>
      <c r="CT985" s="114"/>
      <c r="CU985" s="115"/>
      <c r="CV985" s="99">
        <f t="shared" si="95"/>
        <v>0</v>
      </c>
      <c r="CW985" s="114"/>
      <c r="CX985" s="115"/>
      <c r="CY985" s="114"/>
      <c r="CZ985" s="115"/>
      <c r="DA985" s="115"/>
      <c r="DB985" s="115"/>
      <c r="DC985" s="114"/>
      <c r="DD985" s="115"/>
      <c r="DE985" s="97"/>
      <c r="DF985" s="46"/>
    </row>
    <row r="986" spans="1:110" s="42" customFormat="1" ht="24" x14ac:dyDescent="0.2">
      <c r="A986" s="89">
        <v>40666</v>
      </c>
      <c r="B986" s="90" t="s">
        <v>860</v>
      </c>
      <c r="C986" s="90" t="s">
        <v>2859</v>
      </c>
      <c r="D986" s="90" t="s">
        <v>4264</v>
      </c>
      <c r="E986" s="90" t="str">
        <f>VLOOKUP(B986&amp;C986,Divipola!$C$2:$F$1138,4,FALSE)</f>
        <v>50001</v>
      </c>
      <c r="F986" s="90"/>
      <c r="G986" s="101"/>
      <c r="H986" s="101"/>
      <c r="I986" s="101"/>
      <c r="J986" s="101">
        <v>5</v>
      </c>
      <c r="K986" s="101">
        <v>1</v>
      </c>
      <c r="L986" s="101"/>
      <c r="M986" s="101">
        <v>1</v>
      </c>
      <c r="N986" s="101"/>
      <c r="O986" s="101"/>
      <c r="P986" s="101"/>
      <c r="Q986" s="101"/>
      <c r="R986" s="101"/>
      <c r="S986" s="101"/>
      <c r="T986" s="101"/>
      <c r="U986" s="101"/>
      <c r="V986" s="101"/>
      <c r="W986" s="91"/>
      <c r="X986" s="89"/>
      <c r="Y986" s="92">
        <f t="shared" si="90"/>
        <v>0</v>
      </c>
      <c r="Z986" s="92">
        <f t="shared" si="91"/>
        <v>0</v>
      </c>
      <c r="AA986" s="92">
        <f t="shared" si="92"/>
        <v>0</v>
      </c>
      <c r="AB986" s="92">
        <f t="shared" si="93"/>
        <v>0</v>
      </c>
      <c r="AC986" s="92"/>
      <c r="AD986" s="92">
        <v>0</v>
      </c>
      <c r="AE986" s="92">
        <f t="shared" si="94"/>
        <v>0</v>
      </c>
      <c r="AF986" s="93">
        <v>0</v>
      </c>
      <c r="AG986" s="89"/>
      <c r="AH986" s="94"/>
      <c r="AI986" s="95" t="s">
        <v>4346</v>
      </c>
      <c r="AJ986" s="96" t="s">
        <v>4347</v>
      </c>
      <c r="AK986" s="97"/>
      <c r="AL986" s="89" t="s">
        <v>2798</v>
      </c>
      <c r="AM986" s="100" t="s">
        <v>240</v>
      </c>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114"/>
      <c r="CQ986" s="115"/>
      <c r="CR986" s="114"/>
      <c r="CS986" s="115"/>
      <c r="CT986" s="114"/>
      <c r="CU986" s="115"/>
      <c r="CV986" s="99">
        <f t="shared" si="95"/>
        <v>0</v>
      </c>
      <c r="CW986" s="114"/>
      <c r="CX986" s="115"/>
      <c r="CY986" s="114"/>
      <c r="CZ986" s="115"/>
      <c r="DA986" s="115"/>
      <c r="DB986" s="115"/>
      <c r="DC986" s="114"/>
      <c r="DD986" s="115"/>
      <c r="DE986" s="97"/>
      <c r="DF986" s="46"/>
    </row>
    <row r="987" spans="1:110" s="42" customFormat="1" x14ac:dyDescent="0.2">
      <c r="A987" s="89">
        <v>40666</v>
      </c>
      <c r="B987" s="90" t="s">
        <v>4387</v>
      </c>
      <c r="C987" s="90" t="s">
        <v>4345</v>
      </c>
      <c r="D987" s="90" t="s">
        <v>4264</v>
      </c>
      <c r="E987" s="90">
        <f>VLOOKUP(B987&amp;C987,Divipola!$C$2:$F$1138,4,FALSE)</f>
        <v>52</v>
      </c>
      <c r="F987" s="90"/>
      <c r="G987" s="101"/>
      <c r="H987" s="101"/>
      <c r="I987" s="101"/>
      <c r="J987" s="101"/>
      <c r="K987" s="101"/>
      <c r="L987" s="101"/>
      <c r="M987" s="101"/>
      <c r="N987" s="101"/>
      <c r="O987" s="101"/>
      <c r="P987" s="101"/>
      <c r="Q987" s="101"/>
      <c r="R987" s="101"/>
      <c r="S987" s="101"/>
      <c r="T987" s="101"/>
      <c r="U987" s="101"/>
      <c r="V987" s="101"/>
      <c r="W987" s="91"/>
      <c r="X987" s="89"/>
      <c r="Y987" s="92">
        <f t="shared" si="90"/>
        <v>37000000</v>
      </c>
      <c r="Z987" s="92">
        <f t="shared" si="91"/>
        <v>84998460</v>
      </c>
      <c r="AA987" s="92">
        <f t="shared" si="92"/>
        <v>0</v>
      </c>
      <c r="AB987" s="92">
        <f t="shared" si="93"/>
        <v>0</v>
      </c>
      <c r="AC987" s="92"/>
      <c r="AD987" s="92">
        <v>0</v>
      </c>
      <c r="AE987" s="92">
        <f t="shared" si="94"/>
        <v>121998460</v>
      </c>
      <c r="AF987" s="93">
        <v>0</v>
      </c>
      <c r="AG987" s="89"/>
      <c r="AH987" s="94"/>
      <c r="AI987" s="95" t="s">
        <v>4346</v>
      </c>
      <c r="AJ987" s="96" t="s">
        <v>4347</v>
      </c>
      <c r="AK987" s="97"/>
      <c r="AL987" s="89"/>
      <c r="AM987" s="100" t="s">
        <v>3587</v>
      </c>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114">
        <v>1000</v>
      </c>
      <c r="CQ987" s="115">
        <f>1000*37000</f>
        <v>37000000</v>
      </c>
      <c r="CR987" s="114"/>
      <c r="CS987" s="115"/>
      <c r="CT987" s="114"/>
      <c r="CU987" s="115"/>
      <c r="CV987" s="99">
        <f t="shared" si="95"/>
        <v>37000000</v>
      </c>
      <c r="CW987" s="114"/>
      <c r="CX987" s="115"/>
      <c r="CY987" s="114">
        <v>1000</v>
      </c>
      <c r="CZ987" s="115">
        <f>1000*84998.46</f>
        <v>84998460</v>
      </c>
      <c r="DA987" s="115"/>
      <c r="DB987" s="115"/>
      <c r="DC987" s="114"/>
      <c r="DD987" s="115"/>
      <c r="DE987" s="97"/>
      <c r="DF987" s="46"/>
    </row>
    <row r="988" spans="1:110" s="42" customFormat="1" ht="48" x14ac:dyDescent="0.2">
      <c r="A988" s="89">
        <v>40666</v>
      </c>
      <c r="B988" s="90" t="s">
        <v>4221</v>
      </c>
      <c r="C988" s="90" t="s">
        <v>3540</v>
      </c>
      <c r="D988" s="90" t="s">
        <v>4264</v>
      </c>
      <c r="E988" s="90" t="str">
        <f>VLOOKUP(B988&amp;C988,Divipola!$C$2:$F$1138,4,FALSE)</f>
        <v>54344</v>
      </c>
      <c r="F988" s="90"/>
      <c r="G988" s="101"/>
      <c r="H988" s="101"/>
      <c r="I988" s="101"/>
      <c r="J988" s="101">
        <v>250</v>
      </c>
      <c r="K988" s="101">
        <v>50</v>
      </c>
      <c r="L988" s="101"/>
      <c r="M988" s="101">
        <v>50</v>
      </c>
      <c r="N988" s="101"/>
      <c r="O988" s="101">
        <v>1</v>
      </c>
      <c r="P988" s="101"/>
      <c r="Q988" s="101"/>
      <c r="R988" s="101"/>
      <c r="S988" s="101"/>
      <c r="T988" s="101">
        <v>1</v>
      </c>
      <c r="U988" s="101"/>
      <c r="V988" s="101"/>
      <c r="W988" s="91"/>
      <c r="X988" s="89"/>
      <c r="Y988" s="92">
        <f t="shared" si="90"/>
        <v>0</v>
      </c>
      <c r="Z988" s="92">
        <f t="shared" si="91"/>
        <v>0</v>
      </c>
      <c r="AA988" s="92">
        <f t="shared" si="92"/>
        <v>0</v>
      </c>
      <c r="AB988" s="92">
        <f t="shared" si="93"/>
        <v>0</v>
      </c>
      <c r="AC988" s="92"/>
      <c r="AD988" s="92">
        <v>0</v>
      </c>
      <c r="AE988" s="92">
        <f t="shared" si="94"/>
        <v>0</v>
      </c>
      <c r="AF988" s="93">
        <v>0</v>
      </c>
      <c r="AG988" s="89"/>
      <c r="AH988" s="94"/>
      <c r="AI988" s="95" t="s">
        <v>4336</v>
      </c>
      <c r="AJ988" s="96" t="s">
        <v>4337</v>
      </c>
      <c r="AK988" s="97"/>
      <c r="AL988" s="89"/>
      <c r="AM988" s="100" t="s">
        <v>247</v>
      </c>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114"/>
      <c r="CQ988" s="115"/>
      <c r="CR988" s="114"/>
      <c r="CS988" s="115"/>
      <c r="CT988" s="114"/>
      <c r="CU988" s="115"/>
      <c r="CV988" s="99">
        <f t="shared" si="95"/>
        <v>0</v>
      </c>
      <c r="CW988" s="114"/>
      <c r="CX988" s="115"/>
      <c r="CY988" s="114"/>
      <c r="CZ988" s="115"/>
      <c r="DA988" s="115"/>
      <c r="DB988" s="115"/>
      <c r="DC988" s="114"/>
      <c r="DD988" s="115"/>
      <c r="DE988" s="97"/>
      <c r="DF988" s="46"/>
    </row>
    <row r="989" spans="1:110" s="42" customFormat="1" ht="72" x14ac:dyDescent="0.2">
      <c r="A989" s="89">
        <v>40666</v>
      </c>
      <c r="B989" s="90" t="s">
        <v>3316</v>
      </c>
      <c r="C989" s="90" t="s">
        <v>4323</v>
      </c>
      <c r="D989" s="90" t="s">
        <v>4264</v>
      </c>
      <c r="E989" s="90" t="str">
        <f>VLOOKUP(B989&amp;C989,Divipola!$C$2:$F$1138,4,FALSE)</f>
        <v>73001</v>
      </c>
      <c r="F989" s="90"/>
      <c r="G989" s="101">
        <v>1</v>
      </c>
      <c r="H989" s="101"/>
      <c r="I989" s="101"/>
      <c r="J989" s="101">
        <v>20</v>
      </c>
      <c r="K989" s="101">
        <v>4</v>
      </c>
      <c r="L989" s="101">
        <v>3</v>
      </c>
      <c r="M989" s="101">
        <v>1</v>
      </c>
      <c r="N989" s="101"/>
      <c r="O989" s="101"/>
      <c r="P989" s="101"/>
      <c r="Q989" s="101"/>
      <c r="R989" s="101"/>
      <c r="S989" s="101"/>
      <c r="T989" s="101"/>
      <c r="U989" s="101"/>
      <c r="V989" s="101"/>
      <c r="W989" s="91"/>
      <c r="X989" s="89"/>
      <c r="Y989" s="92">
        <f t="shared" si="90"/>
        <v>0</v>
      </c>
      <c r="Z989" s="92">
        <f t="shared" si="91"/>
        <v>0</v>
      </c>
      <c r="AA989" s="92">
        <f t="shared" si="92"/>
        <v>0</v>
      </c>
      <c r="AB989" s="92">
        <f t="shared" si="93"/>
        <v>0</v>
      </c>
      <c r="AC989" s="92"/>
      <c r="AD989" s="92">
        <v>0</v>
      </c>
      <c r="AE989" s="92">
        <f t="shared" si="94"/>
        <v>0</v>
      </c>
      <c r="AF989" s="93">
        <v>0</v>
      </c>
      <c r="AG989" s="89"/>
      <c r="AH989" s="94"/>
      <c r="AI989" s="95" t="s">
        <v>4346</v>
      </c>
      <c r="AJ989" s="96" t="s">
        <v>4347</v>
      </c>
      <c r="AK989" s="97"/>
      <c r="AL989" s="89" t="s">
        <v>2798</v>
      </c>
      <c r="AM989" s="100" t="s">
        <v>3583</v>
      </c>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114"/>
      <c r="CQ989" s="115"/>
      <c r="CR989" s="114"/>
      <c r="CS989" s="115"/>
      <c r="CT989" s="114"/>
      <c r="CU989" s="115"/>
      <c r="CV989" s="99">
        <f t="shared" si="95"/>
        <v>0</v>
      </c>
      <c r="CW989" s="114"/>
      <c r="CX989" s="115"/>
      <c r="CY989" s="114"/>
      <c r="CZ989" s="115"/>
      <c r="DA989" s="115"/>
      <c r="DB989" s="115"/>
      <c r="DC989" s="114"/>
      <c r="DD989" s="115"/>
      <c r="DE989" s="97"/>
      <c r="DF989" s="46"/>
    </row>
    <row r="990" spans="1:110" s="42" customFormat="1" ht="24" x14ac:dyDescent="0.2">
      <c r="A990" s="89">
        <v>40666</v>
      </c>
      <c r="B990" s="90" t="s">
        <v>4244</v>
      </c>
      <c r="C990" s="90" t="s">
        <v>4319</v>
      </c>
      <c r="D990" s="90" t="s">
        <v>3346</v>
      </c>
      <c r="E990" s="90" t="str">
        <f>VLOOKUP(B990&amp;C990,Divipola!$C$2:$F$1138,4,FALSE)</f>
        <v>76828</v>
      </c>
      <c r="F990" s="90"/>
      <c r="G990" s="101"/>
      <c r="H990" s="101"/>
      <c r="I990" s="101"/>
      <c r="J990" s="101">
        <f>200*5</f>
        <v>1000</v>
      </c>
      <c r="K990" s="101">
        <v>200</v>
      </c>
      <c r="L990" s="101"/>
      <c r="M990" s="101">
        <v>200</v>
      </c>
      <c r="N990" s="101"/>
      <c r="O990" s="101"/>
      <c r="P990" s="101"/>
      <c r="Q990" s="101"/>
      <c r="R990" s="101"/>
      <c r="S990" s="101"/>
      <c r="T990" s="101"/>
      <c r="U990" s="101"/>
      <c r="V990" s="101"/>
      <c r="W990" s="91"/>
      <c r="X990" s="89"/>
      <c r="Y990" s="92">
        <f t="shared" ref="Y990:Y1053" si="96">CV990</f>
        <v>22539960</v>
      </c>
      <c r="Z990" s="92">
        <f t="shared" ref="Z990:Z1053" si="97">CZ990</f>
        <v>17000000</v>
      </c>
      <c r="AA990" s="92">
        <f t="shared" ref="AA990:AA1053" si="98">DB990+DD990</f>
        <v>0</v>
      </c>
      <c r="AB990" s="92">
        <f t="shared" ref="AB990:AB1053" si="99">CX990</f>
        <v>0</v>
      </c>
      <c r="AC990" s="92"/>
      <c r="AD990" s="92">
        <v>0</v>
      </c>
      <c r="AE990" s="92">
        <f t="shared" ref="AE990:AE1053" si="100">Y990+Z990+AA990+AB990+AC990+AD990</f>
        <v>39539960</v>
      </c>
      <c r="AF990" s="93">
        <v>0</v>
      </c>
      <c r="AG990" s="89"/>
      <c r="AH990" s="94"/>
      <c r="AI990" s="102" t="s">
        <v>4346</v>
      </c>
      <c r="AJ990" s="96" t="s">
        <v>4347</v>
      </c>
      <c r="AK990" s="97"/>
      <c r="AL990" s="89"/>
      <c r="AM990" s="100" t="s">
        <v>244</v>
      </c>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v>400</v>
      </c>
      <c r="CK990" s="91">
        <f>400*17999.72</f>
        <v>7199888</v>
      </c>
      <c r="CL990" s="91"/>
      <c r="CM990" s="91"/>
      <c r="CN990" s="91"/>
      <c r="CO990" s="91"/>
      <c r="CP990" s="114">
        <v>200</v>
      </c>
      <c r="CQ990" s="115">
        <f>200*37000.52</f>
        <v>7400103.9999999991</v>
      </c>
      <c r="CR990" s="114">
        <v>200</v>
      </c>
      <c r="CS990" s="115">
        <f>200*39699.84</f>
        <v>7939967.9999999991</v>
      </c>
      <c r="CT990" s="114"/>
      <c r="CU990" s="115"/>
      <c r="CV990" s="99">
        <f t="shared" si="95"/>
        <v>22539960</v>
      </c>
      <c r="CW990" s="114"/>
      <c r="CX990" s="115"/>
      <c r="CY990" s="114">
        <v>200</v>
      </c>
      <c r="CZ990" s="115">
        <f>200*85000</f>
        <v>17000000</v>
      </c>
      <c r="DA990" s="115"/>
      <c r="DB990" s="115"/>
      <c r="DC990" s="114"/>
      <c r="DD990" s="115"/>
      <c r="DE990" s="97"/>
      <c r="DF990" s="46"/>
    </row>
    <row r="991" spans="1:110" s="42" customFormat="1" ht="24" x14ac:dyDescent="0.2">
      <c r="A991" s="89">
        <v>40666</v>
      </c>
      <c r="B991" s="90" t="s">
        <v>4244</v>
      </c>
      <c r="C991" s="90" t="s">
        <v>4319</v>
      </c>
      <c r="D991" s="90" t="s">
        <v>4264</v>
      </c>
      <c r="E991" s="90" t="str">
        <f>VLOOKUP(B991&amp;C991,Divipola!$C$2:$F$1138,4,FALSE)</f>
        <v>76828</v>
      </c>
      <c r="F991" s="90"/>
      <c r="G991" s="101"/>
      <c r="H991" s="101"/>
      <c r="I991" s="101"/>
      <c r="J991" s="101"/>
      <c r="K991" s="101"/>
      <c r="L991" s="101"/>
      <c r="M991" s="101"/>
      <c r="N991" s="101"/>
      <c r="O991" s="101"/>
      <c r="P991" s="101"/>
      <c r="Q991" s="101"/>
      <c r="R991" s="101"/>
      <c r="S991" s="101"/>
      <c r="T991" s="101"/>
      <c r="U991" s="101"/>
      <c r="V991" s="101"/>
      <c r="W991" s="91"/>
      <c r="X991" s="89"/>
      <c r="Y991" s="92">
        <f t="shared" si="96"/>
        <v>0</v>
      </c>
      <c r="Z991" s="92">
        <f t="shared" si="97"/>
        <v>0</v>
      </c>
      <c r="AA991" s="92">
        <f t="shared" si="98"/>
        <v>0</v>
      </c>
      <c r="AB991" s="92">
        <f t="shared" si="99"/>
        <v>0</v>
      </c>
      <c r="AC991" s="92"/>
      <c r="AD991" s="92">
        <v>0</v>
      </c>
      <c r="AE991" s="92">
        <f t="shared" si="100"/>
        <v>0</v>
      </c>
      <c r="AF991" s="93">
        <v>0</v>
      </c>
      <c r="AG991" s="89"/>
      <c r="AH991" s="94"/>
      <c r="AI991" s="95" t="s">
        <v>4336</v>
      </c>
      <c r="AJ991" s="96" t="s">
        <v>4337</v>
      </c>
      <c r="AK991" s="97"/>
      <c r="AL991" s="89"/>
      <c r="AM991" s="100" t="s">
        <v>245</v>
      </c>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114"/>
      <c r="CQ991" s="115"/>
      <c r="CR991" s="114"/>
      <c r="CS991" s="115"/>
      <c r="CT991" s="114"/>
      <c r="CU991" s="115"/>
      <c r="CV991" s="99">
        <f t="shared" si="95"/>
        <v>0</v>
      </c>
      <c r="CW991" s="114"/>
      <c r="CX991" s="115"/>
      <c r="CY991" s="114"/>
      <c r="CZ991" s="115"/>
      <c r="DA991" s="115"/>
      <c r="DB991" s="115"/>
      <c r="DC991" s="114"/>
      <c r="DD991" s="115"/>
      <c r="DE991" s="97"/>
      <c r="DF991" s="46"/>
    </row>
    <row r="992" spans="1:110" s="42" customFormat="1" ht="84" x14ac:dyDescent="0.2">
      <c r="A992" s="89">
        <v>40667</v>
      </c>
      <c r="B992" s="90" t="s">
        <v>1116</v>
      </c>
      <c r="C992" s="90" t="s">
        <v>1116</v>
      </c>
      <c r="D992" s="104" t="s">
        <v>4298</v>
      </c>
      <c r="E992" s="90" t="str">
        <f>VLOOKUP(B992&amp;C992,Divipola!$C$2:$F$1138,4,FALSE)</f>
        <v>11001</v>
      </c>
      <c r="F992" s="90"/>
      <c r="G992" s="101">
        <v>3</v>
      </c>
      <c r="H992" s="101"/>
      <c r="I992" s="101"/>
      <c r="J992" s="101">
        <v>5</v>
      </c>
      <c r="K992" s="101">
        <v>1</v>
      </c>
      <c r="L992" s="101">
        <v>1</v>
      </c>
      <c r="M992" s="101"/>
      <c r="N992" s="101"/>
      <c r="O992" s="101"/>
      <c r="P992" s="101"/>
      <c r="Q992" s="101"/>
      <c r="R992" s="101"/>
      <c r="S992" s="101"/>
      <c r="T992" s="101"/>
      <c r="U992" s="101"/>
      <c r="V992" s="101"/>
      <c r="W992" s="91"/>
      <c r="X992" s="89"/>
      <c r="Y992" s="92">
        <f t="shared" si="96"/>
        <v>0</v>
      </c>
      <c r="Z992" s="92">
        <f t="shared" si="97"/>
        <v>0</v>
      </c>
      <c r="AA992" s="92">
        <f t="shared" si="98"/>
        <v>0</v>
      </c>
      <c r="AB992" s="92">
        <f t="shared" si="99"/>
        <v>0</v>
      </c>
      <c r="AC992" s="92"/>
      <c r="AD992" s="92">
        <v>0</v>
      </c>
      <c r="AE992" s="92">
        <f t="shared" si="100"/>
        <v>0</v>
      </c>
      <c r="AF992" s="93">
        <v>0</v>
      </c>
      <c r="AG992" s="89"/>
      <c r="AH992" s="94"/>
      <c r="AI992" s="95" t="s">
        <v>4336</v>
      </c>
      <c r="AJ992" s="96" t="s">
        <v>4337</v>
      </c>
      <c r="AK992" s="97"/>
      <c r="AL992" s="89"/>
      <c r="AM992" s="100" t="s">
        <v>990</v>
      </c>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114"/>
      <c r="CQ992" s="115"/>
      <c r="CR992" s="114"/>
      <c r="CS992" s="115"/>
      <c r="CT992" s="114"/>
      <c r="CU992" s="115"/>
      <c r="CV992" s="99">
        <f t="shared" si="95"/>
        <v>0</v>
      </c>
      <c r="CW992" s="114"/>
      <c r="CX992" s="115"/>
      <c r="CY992" s="114"/>
      <c r="CZ992" s="115"/>
      <c r="DA992" s="115"/>
      <c r="DB992" s="115"/>
      <c r="DC992" s="114"/>
      <c r="DD992" s="115"/>
      <c r="DE992" s="97"/>
      <c r="DF992" s="46"/>
    </row>
    <row r="993" spans="1:110" s="42" customFormat="1" ht="22.5" x14ac:dyDescent="0.2">
      <c r="A993" s="89">
        <v>40667</v>
      </c>
      <c r="B993" s="90" t="s">
        <v>4352</v>
      </c>
      <c r="C993" s="90" t="s">
        <v>4329</v>
      </c>
      <c r="D993" s="90" t="s">
        <v>4264</v>
      </c>
      <c r="E993" s="90" t="str">
        <f>VLOOKUP(B993&amp;C993,Divipola!$C$2:$F$1138,4,FALSE)</f>
        <v>13430</v>
      </c>
      <c r="F993" s="101"/>
      <c r="G993" s="101">
        <v>1</v>
      </c>
      <c r="H993" s="101"/>
      <c r="I993" s="101"/>
      <c r="J993" s="101"/>
      <c r="K993" s="101"/>
      <c r="L993" s="101"/>
      <c r="M993" s="101"/>
      <c r="N993" s="101"/>
      <c r="O993" s="101"/>
      <c r="P993" s="101"/>
      <c r="Q993" s="101"/>
      <c r="R993" s="101"/>
      <c r="S993" s="101"/>
      <c r="T993" s="101"/>
      <c r="U993" s="91"/>
      <c r="V993" s="89"/>
      <c r="W993" s="92"/>
      <c r="X993" s="92"/>
      <c r="Y993" s="92">
        <f t="shared" si="96"/>
        <v>0</v>
      </c>
      <c r="Z993" s="92">
        <f t="shared" si="97"/>
        <v>0</v>
      </c>
      <c r="AA993" s="92">
        <f t="shared" si="98"/>
        <v>0</v>
      </c>
      <c r="AB993" s="92">
        <f t="shared" si="99"/>
        <v>0</v>
      </c>
      <c r="AC993" s="92"/>
      <c r="AD993" s="92">
        <v>0</v>
      </c>
      <c r="AE993" s="92">
        <f t="shared" si="100"/>
        <v>0</v>
      </c>
      <c r="AF993" s="93">
        <v>0</v>
      </c>
      <c r="AG993" s="89"/>
      <c r="AH993" s="96"/>
      <c r="AI993" s="95" t="s">
        <v>4336</v>
      </c>
      <c r="AJ993" s="96" t="s">
        <v>4337</v>
      </c>
      <c r="AK993" s="100"/>
      <c r="AL993" s="89"/>
      <c r="AM993" s="90" t="s">
        <v>992</v>
      </c>
      <c r="AN993" s="90"/>
      <c r="AO993" s="90"/>
      <c r="AP993" s="101"/>
      <c r="AQ993" s="101"/>
      <c r="AR993" s="101"/>
      <c r="AS993" s="101"/>
      <c r="AT993" s="101"/>
      <c r="AU993" s="101"/>
      <c r="AV993" s="101"/>
      <c r="AW993" s="101"/>
      <c r="AX993" s="101"/>
      <c r="AY993" s="101"/>
      <c r="AZ993" s="101"/>
      <c r="BA993" s="101"/>
      <c r="BB993" s="101"/>
      <c r="BC993" s="101"/>
      <c r="BD993" s="101"/>
      <c r="BE993" s="101"/>
      <c r="BF993" s="91"/>
      <c r="BG993" s="89"/>
      <c r="BH993" s="92"/>
      <c r="BI993" s="92"/>
      <c r="BJ993" s="92"/>
      <c r="BK993" s="92"/>
      <c r="BL993" s="92"/>
      <c r="BM993" s="92"/>
      <c r="BN993" s="92"/>
      <c r="BO993" s="93"/>
      <c r="BP993" s="89"/>
      <c r="BQ993" s="94"/>
      <c r="BR993" s="89"/>
      <c r="BS993" s="96"/>
      <c r="BT993" s="97"/>
      <c r="BU993" s="89"/>
      <c r="BV993" s="100"/>
      <c r="BW993" s="91"/>
      <c r="BX993" s="91"/>
      <c r="BY993" s="91"/>
      <c r="BZ993" s="91"/>
      <c r="CA993" s="91"/>
      <c r="CB993" s="91"/>
      <c r="CC993" s="91"/>
      <c r="CD993" s="91"/>
      <c r="CE993" s="91"/>
      <c r="CF993" s="91"/>
      <c r="CG993" s="91"/>
      <c r="CH993" s="91"/>
      <c r="CI993" s="91"/>
      <c r="CJ993" s="91"/>
      <c r="CK993" s="91"/>
      <c r="CL993" s="91"/>
      <c r="CM993" s="91"/>
      <c r="CN993" s="91"/>
      <c r="CO993" s="91"/>
      <c r="CP993" s="114"/>
      <c r="CQ993" s="115"/>
      <c r="CR993" s="114"/>
      <c r="CS993" s="115"/>
      <c r="CT993" s="114"/>
      <c r="CU993" s="115"/>
      <c r="CV993" s="99">
        <f t="shared" si="95"/>
        <v>0</v>
      </c>
      <c r="CW993" s="114"/>
      <c r="CX993" s="115"/>
      <c r="CY993" s="114"/>
      <c r="CZ993" s="115"/>
      <c r="DA993" s="115"/>
      <c r="DB993" s="115"/>
      <c r="DC993" s="114"/>
      <c r="DD993" s="115"/>
      <c r="DE993" s="97"/>
      <c r="DF993" s="46"/>
    </row>
    <row r="994" spans="1:110" s="42" customFormat="1" ht="84" x14ac:dyDescent="0.2">
      <c r="A994" s="89">
        <v>40667</v>
      </c>
      <c r="B994" s="90" t="s">
        <v>4261</v>
      </c>
      <c r="C994" s="90" t="s">
        <v>3248</v>
      </c>
      <c r="D994" s="90" t="s">
        <v>2362</v>
      </c>
      <c r="E994" s="90" t="str">
        <f>VLOOKUP(B994&amp;C994,Divipola!$C$2:$F$1138,4,FALSE)</f>
        <v>15646</v>
      </c>
      <c r="F994" s="90"/>
      <c r="G994" s="101">
        <v>2</v>
      </c>
      <c r="H994" s="101"/>
      <c r="I994" s="101"/>
      <c r="J994" s="101">
        <v>310</v>
      </c>
      <c r="K994" s="101">
        <v>62</v>
      </c>
      <c r="L994" s="101">
        <v>1</v>
      </c>
      <c r="M994" s="101">
        <v>61</v>
      </c>
      <c r="N994" s="101"/>
      <c r="O994" s="101"/>
      <c r="P994" s="101"/>
      <c r="Q994" s="101"/>
      <c r="R994" s="101"/>
      <c r="S994" s="101"/>
      <c r="T994" s="101"/>
      <c r="U994" s="101"/>
      <c r="V994" s="101">
        <v>800</v>
      </c>
      <c r="W994" s="91"/>
      <c r="X994" s="89"/>
      <c r="Y994" s="92">
        <f t="shared" si="96"/>
        <v>0</v>
      </c>
      <c r="Z994" s="92">
        <f t="shared" si="97"/>
        <v>0</v>
      </c>
      <c r="AA994" s="92">
        <f t="shared" si="98"/>
        <v>0</v>
      </c>
      <c r="AB994" s="92">
        <f t="shared" si="99"/>
        <v>0</v>
      </c>
      <c r="AC994" s="92"/>
      <c r="AD994" s="92">
        <v>0</v>
      </c>
      <c r="AE994" s="92">
        <f t="shared" si="100"/>
        <v>0</v>
      </c>
      <c r="AF994" s="93">
        <v>0</v>
      </c>
      <c r="AG994" s="89"/>
      <c r="AH994" s="94"/>
      <c r="AI994" s="102" t="s">
        <v>4346</v>
      </c>
      <c r="AJ994" s="96" t="s">
        <v>4347</v>
      </c>
      <c r="AK994" s="97"/>
      <c r="AL994" s="89" t="s">
        <v>1049</v>
      </c>
      <c r="AM994" s="100" t="s">
        <v>1126</v>
      </c>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114"/>
      <c r="CQ994" s="115"/>
      <c r="CR994" s="114"/>
      <c r="CS994" s="115"/>
      <c r="CT994" s="114"/>
      <c r="CU994" s="115"/>
      <c r="CV994" s="99">
        <f t="shared" si="95"/>
        <v>0</v>
      </c>
      <c r="CW994" s="114"/>
      <c r="CX994" s="115"/>
      <c r="CY994" s="114"/>
      <c r="CZ994" s="115"/>
      <c r="DA994" s="115"/>
      <c r="DB994" s="115"/>
      <c r="DC994" s="114"/>
      <c r="DD994" s="115"/>
      <c r="DE994" s="97"/>
      <c r="DF994" s="46"/>
    </row>
    <row r="995" spans="1:110" s="42" customFormat="1" ht="60" x14ac:dyDescent="0.2">
      <c r="A995" s="89">
        <v>40667</v>
      </c>
      <c r="B995" s="16" t="s">
        <v>3358</v>
      </c>
      <c r="C995" s="16" t="s">
        <v>1431</v>
      </c>
      <c r="D995" s="90" t="s">
        <v>4264</v>
      </c>
      <c r="E995" s="90" t="str">
        <f>VLOOKUP(B995&amp;C995,Divipola!$C$2:$F$1138,4,FALSE)</f>
        <v>18150</v>
      </c>
      <c r="F995" s="4"/>
      <c r="G995" s="208"/>
      <c r="H995" s="208"/>
      <c r="I995" s="208"/>
      <c r="J995" s="208">
        <f>62*5</f>
        <v>310</v>
      </c>
      <c r="K995" s="208">
        <v>62</v>
      </c>
      <c r="L995" s="208">
        <v>4</v>
      </c>
      <c r="M995" s="208">
        <v>36</v>
      </c>
      <c r="N995" s="208">
        <v>7</v>
      </c>
      <c r="O995" s="208">
        <v>5</v>
      </c>
      <c r="P995" s="208"/>
      <c r="Q995" s="208">
        <v>1</v>
      </c>
      <c r="R995" s="208"/>
      <c r="S995" s="208"/>
      <c r="T995" s="208"/>
      <c r="U995" s="208"/>
      <c r="V995" s="208">
        <v>533</v>
      </c>
      <c r="W995" s="19" t="s">
        <v>13</v>
      </c>
      <c r="X995" s="17"/>
      <c r="Y995" s="5">
        <f t="shared" si="96"/>
        <v>0</v>
      </c>
      <c r="Z995" s="5">
        <f t="shared" si="97"/>
        <v>0</v>
      </c>
      <c r="AA995" s="5">
        <f t="shared" si="98"/>
        <v>0</v>
      </c>
      <c r="AB995" s="5">
        <f t="shared" si="99"/>
        <v>0</v>
      </c>
      <c r="AC995" s="5"/>
      <c r="AD995" s="5">
        <v>0</v>
      </c>
      <c r="AE995" s="5">
        <f t="shared" si="100"/>
        <v>0</v>
      </c>
      <c r="AF995" s="70">
        <v>0</v>
      </c>
      <c r="AG995" s="17"/>
      <c r="AH995" s="18"/>
      <c r="AI995" s="47" t="s">
        <v>4336</v>
      </c>
      <c r="AJ995" s="73" t="s">
        <v>4337</v>
      </c>
      <c r="AK995" s="45"/>
      <c r="AL995" s="17"/>
      <c r="AM995" s="20" t="s">
        <v>14</v>
      </c>
      <c r="AN995" s="19"/>
      <c r="AO995" s="19"/>
      <c r="AP995" s="19"/>
      <c r="AQ995" s="19"/>
      <c r="AR995" s="19"/>
      <c r="AS995" s="19"/>
      <c r="AT995" s="19"/>
      <c r="AU995" s="19"/>
      <c r="AV995" s="19"/>
      <c r="AW995" s="19"/>
      <c r="AX995" s="107"/>
      <c r="AY995" s="107"/>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39"/>
      <c r="CO995" s="138"/>
      <c r="CP995" s="139"/>
      <c r="CQ995" s="138"/>
      <c r="CR995" s="139"/>
      <c r="CS995" s="138"/>
      <c r="CT995" s="72"/>
      <c r="CU995" s="139"/>
      <c r="CV995" s="99">
        <f t="shared" si="95"/>
        <v>0</v>
      </c>
      <c r="CW995" s="139"/>
      <c r="CX995" s="138"/>
      <c r="CY995" s="138"/>
      <c r="CZ995" s="138"/>
      <c r="DA995" s="139"/>
      <c r="DB995" s="138"/>
      <c r="DC995" s="45"/>
      <c r="DD995" s="138"/>
      <c r="DE995" s="45"/>
      <c r="DF995" s="46"/>
    </row>
    <row r="996" spans="1:110" s="42" customFormat="1" x14ac:dyDescent="0.2">
      <c r="A996" s="89">
        <v>40667</v>
      </c>
      <c r="B996" s="90" t="s">
        <v>2225</v>
      </c>
      <c r="C996" s="90" t="s">
        <v>3466</v>
      </c>
      <c r="D996" s="90" t="s">
        <v>3346</v>
      </c>
      <c r="E996" s="90" t="str">
        <f>VLOOKUP(B996&amp;C996,Divipola!$C$2:$F$1138,4,FALSE)</f>
        <v>27050</v>
      </c>
      <c r="F996" s="101"/>
      <c r="G996" s="101"/>
      <c r="H996" s="101"/>
      <c r="I996" s="101"/>
      <c r="J996" s="101">
        <v>262</v>
      </c>
      <c r="K996" s="101">
        <v>58</v>
      </c>
      <c r="L996" s="101"/>
      <c r="M996" s="101">
        <v>58</v>
      </c>
      <c r="N996" s="101"/>
      <c r="O996" s="101"/>
      <c r="P996" s="101"/>
      <c r="Q996" s="101"/>
      <c r="R996" s="101"/>
      <c r="S996" s="101"/>
      <c r="T996" s="101"/>
      <c r="U996" s="91"/>
      <c r="V996" s="89"/>
      <c r="W996" s="92"/>
      <c r="X996" s="92"/>
      <c r="Y996" s="92">
        <f t="shared" si="96"/>
        <v>3240000</v>
      </c>
      <c r="Z996" s="92">
        <f t="shared" si="97"/>
        <v>0</v>
      </c>
      <c r="AA996" s="92">
        <f t="shared" si="98"/>
        <v>12528000</v>
      </c>
      <c r="AB996" s="92">
        <f t="shared" si="99"/>
        <v>0</v>
      </c>
      <c r="AC996" s="92"/>
      <c r="AD996" s="92">
        <v>0</v>
      </c>
      <c r="AE996" s="92">
        <f t="shared" si="100"/>
        <v>15768000</v>
      </c>
      <c r="AF996" s="93">
        <v>0</v>
      </c>
      <c r="AG996" s="89"/>
      <c r="AH996" s="96"/>
      <c r="AI996" s="95" t="s">
        <v>4346</v>
      </c>
      <c r="AJ996" s="96" t="s">
        <v>4347</v>
      </c>
      <c r="AK996" s="100"/>
      <c r="AL996" s="89"/>
      <c r="AM996" s="90" t="s">
        <v>249</v>
      </c>
      <c r="AN996" s="91"/>
      <c r="AO996" s="91"/>
      <c r="AP996" s="91"/>
      <c r="AQ996" s="91"/>
      <c r="AR996" s="91"/>
      <c r="AS996" s="91"/>
      <c r="AT996" s="91"/>
      <c r="AU996" s="91"/>
      <c r="AV996" s="91"/>
      <c r="AW996" s="91"/>
      <c r="AX996" s="91"/>
      <c r="AY996" s="91"/>
      <c r="AZ996" s="91">
        <v>54</v>
      </c>
      <c r="BA996" s="91">
        <f>54*60000</f>
        <v>3240000</v>
      </c>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114"/>
      <c r="CQ996" s="115"/>
      <c r="CR996" s="114"/>
      <c r="CS996" s="115"/>
      <c r="CT996" s="114"/>
      <c r="CU996" s="115"/>
      <c r="CV996" s="99">
        <f t="shared" si="95"/>
        <v>3240000</v>
      </c>
      <c r="CW996" s="114"/>
      <c r="CX996" s="115"/>
      <c r="CY996" s="114"/>
      <c r="CZ996" s="115"/>
      <c r="DA996" s="115"/>
      <c r="DB996" s="115"/>
      <c r="DC996" s="114">
        <v>783</v>
      </c>
      <c r="DD996" s="115">
        <f>783*16000</f>
        <v>12528000</v>
      </c>
      <c r="DE996" s="97"/>
      <c r="DF996" s="46"/>
    </row>
    <row r="997" spans="1:110" s="42" customFormat="1" ht="36" x14ac:dyDescent="0.2">
      <c r="A997" s="89">
        <v>40667</v>
      </c>
      <c r="B997" s="90" t="s">
        <v>4219</v>
      </c>
      <c r="C997" s="90" t="s">
        <v>4220</v>
      </c>
      <c r="D997" s="90" t="s">
        <v>2362</v>
      </c>
      <c r="E997" s="90" t="str">
        <f>VLOOKUP(B997&amp;C997,Divipola!$C$2:$F$1138,4,FALSE)</f>
        <v>41483</v>
      </c>
      <c r="F997" s="101"/>
      <c r="G997" s="101"/>
      <c r="H997" s="101"/>
      <c r="I997" s="101"/>
      <c r="J997" s="101">
        <f>15*5</f>
        <v>75</v>
      </c>
      <c r="K997" s="101">
        <v>15</v>
      </c>
      <c r="L997" s="101">
        <v>15</v>
      </c>
      <c r="M997" s="101"/>
      <c r="N997" s="101"/>
      <c r="O997" s="101"/>
      <c r="P997" s="101"/>
      <c r="Q997" s="101"/>
      <c r="R997" s="101"/>
      <c r="S997" s="101"/>
      <c r="T997" s="101"/>
      <c r="U997" s="91"/>
      <c r="V997" s="89"/>
      <c r="W997" s="92"/>
      <c r="X997" s="92"/>
      <c r="Y997" s="92">
        <f t="shared" si="96"/>
        <v>0</v>
      </c>
      <c r="Z997" s="92">
        <f t="shared" si="97"/>
        <v>0</v>
      </c>
      <c r="AA997" s="92">
        <f t="shared" si="98"/>
        <v>0</v>
      </c>
      <c r="AB997" s="92">
        <f t="shared" si="99"/>
        <v>0</v>
      </c>
      <c r="AC997" s="92">
        <f>15*900000</f>
        <v>13500000</v>
      </c>
      <c r="AD997" s="92">
        <v>0</v>
      </c>
      <c r="AE997" s="92">
        <f t="shared" si="100"/>
        <v>13500000</v>
      </c>
      <c r="AF997" s="93">
        <v>0</v>
      </c>
      <c r="AG997" s="89"/>
      <c r="AH997" s="96"/>
      <c r="AI997" s="95" t="s">
        <v>4346</v>
      </c>
      <c r="AJ997" s="96" t="s">
        <v>4347</v>
      </c>
      <c r="AK997" s="100"/>
      <c r="AL997" s="105"/>
      <c r="AM997" s="112" t="s">
        <v>2825</v>
      </c>
      <c r="AN997" s="107"/>
      <c r="AO997" s="107"/>
      <c r="AP997" s="107"/>
      <c r="AQ997" s="107"/>
      <c r="AR997" s="107"/>
      <c r="AS997" s="107"/>
      <c r="AT997" s="107"/>
      <c r="AU997" s="107"/>
      <c r="AV997" s="107"/>
      <c r="AW997" s="107"/>
      <c r="AX997" s="107"/>
      <c r="AY997" s="107"/>
      <c r="AZ997" s="107"/>
      <c r="BA997" s="107"/>
      <c r="BB997" s="107"/>
      <c r="BC997" s="107"/>
      <c r="BD997" s="107"/>
      <c r="BE997" s="107"/>
      <c r="BF997" s="107"/>
      <c r="BG997" s="107"/>
      <c r="BH997" s="107"/>
      <c r="BI997" s="107"/>
      <c r="BJ997" s="107"/>
      <c r="BK997" s="107"/>
      <c r="BL997" s="107"/>
      <c r="BM997" s="107"/>
      <c r="BN997" s="107"/>
      <c r="BO997" s="107"/>
      <c r="BP997" s="107"/>
      <c r="BQ997" s="107"/>
      <c r="BR997" s="107"/>
      <c r="BS997" s="107"/>
      <c r="BT997" s="107"/>
      <c r="BU997" s="107"/>
      <c r="BV997" s="107"/>
      <c r="BW997" s="107"/>
      <c r="BX997" s="107"/>
      <c r="BY997" s="107"/>
      <c r="BZ997" s="107"/>
      <c r="CA997" s="107"/>
      <c r="CB997" s="107"/>
      <c r="CC997" s="107"/>
      <c r="CD997" s="107"/>
      <c r="CE997" s="107"/>
      <c r="CF997" s="107"/>
      <c r="CG997" s="107"/>
      <c r="CH997" s="107"/>
      <c r="CI997" s="107"/>
      <c r="CJ997" s="107"/>
      <c r="CK997" s="107"/>
      <c r="CL997" s="107"/>
      <c r="CM997" s="107"/>
      <c r="CN997" s="118"/>
      <c r="CO997" s="119"/>
      <c r="CP997" s="118"/>
      <c r="CQ997" s="119"/>
      <c r="CR997" s="118"/>
      <c r="CS997" s="119"/>
      <c r="CT997" s="113"/>
      <c r="CU997" s="118"/>
      <c r="CV997" s="99">
        <f t="shared" si="95"/>
        <v>0</v>
      </c>
      <c r="CW997" s="118"/>
      <c r="CX997" s="119"/>
      <c r="CY997" s="119"/>
      <c r="CZ997" s="119"/>
      <c r="DA997" s="118"/>
      <c r="DB997" s="119"/>
      <c r="DC997" s="111"/>
      <c r="DD997" s="119"/>
      <c r="DE997" s="111">
        <v>3</v>
      </c>
      <c r="DF997" s="46"/>
    </row>
    <row r="998" spans="1:110" s="42" customFormat="1" ht="22.5" x14ac:dyDescent="0.2">
      <c r="A998" s="89">
        <v>40667</v>
      </c>
      <c r="B998" s="106" t="s">
        <v>4387</v>
      </c>
      <c r="C998" s="106" t="s">
        <v>4282</v>
      </c>
      <c r="D998" s="90" t="s">
        <v>2362</v>
      </c>
      <c r="E998" s="90" t="str">
        <f>VLOOKUP(B998&amp;C998,Divipola!$C$2:$F$1138,4,FALSE)</f>
        <v>52215</v>
      </c>
      <c r="F998" s="90"/>
      <c r="G998" s="279"/>
      <c r="H998" s="279"/>
      <c r="I998" s="279"/>
      <c r="J998" s="129">
        <v>236</v>
      </c>
      <c r="K998" s="129">
        <v>59</v>
      </c>
      <c r="L998" s="129"/>
      <c r="M998" s="129">
        <v>59</v>
      </c>
      <c r="N998" s="129"/>
      <c r="O998" s="129"/>
      <c r="P998" s="129"/>
      <c r="Q998" s="129"/>
      <c r="R998" s="129"/>
      <c r="S998" s="129"/>
      <c r="T998" s="129"/>
      <c r="U998" s="129"/>
      <c r="V998" s="129">
        <v>514.5</v>
      </c>
      <c r="W998" s="107"/>
      <c r="X998" s="105"/>
      <c r="Y998" s="92">
        <f t="shared" si="96"/>
        <v>0</v>
      </c>
      <c r="Z998" s="92">
        <f t="shared" si="97"/>
        <v>0</v>
      </c>
      <c r="AA998" s="92">
        <f t="shared" si="98"/>
        <v>0</v>
      </c>
      <c r="AB998" s="92">
        <f t="shared" si="99"/>
        <v>0</v>
      </c>
      <c r="AC998" s="92"/>
      <c r="AD998" s="92">
        <v>0</v>
      </c>
      <c r="AE998" s="92">
        <f t="shared" si="100"/>
        <v>0</v>
      </c>
      <c r="AF998" s="93">
        <v>0</v>
      </c>
      <c r="AG998" s="105"/>
      <c r="AH998" s="108"/>
      <c r="AI998" s="109" t="s">
        <v>4336</v>
      </c>
      <c r="AJ998" s="110" t="s">
        <v>4337</v>
      </c>
      <c r="AK998" s="111"/>
      <c r="AL998" s="105" t="s">
        <v>1069</v>
      </c>
      <c r="AM998" s="90" t="s">
        <v>77</v>
      </c>
      <c r="AN998" s="107"/>
      <c r="AO998" s="107"/>
      <c r="AP998" s="107"/>
      <c r="AQ998" s="107"/>
      <c r="AR998" s="107"/>
      <c r="AS998" s="107"/>
      <c r="AT998" s="107"/>
      <c r="AU998" s="107"/>
      <c r="AV998" s="107"/>
      <c r="AW998" s="107"/>
      <c r="AX998" s="107"/>
      <c r="AY998" s="107"/>
      <c r="AZ998" s="107"/>
      <c r="BA998" s="107"/>
      <c r="BB998" s="107"/>
      <c r="BC998" s="107"/>
      <c r="BD998" s="107"/>
      <c r="BE998" s="107"/>
      <c r="BF998" s="107"/>
      <c r="BG998" s="107"/>
      <c r="BH998" s="107"/>
      <c r="BI998" s="107"/>
      <c r="BJ998" s="107"/>
      <c r="BK998" s="107"/>
      <c r="BL998" s="107"/>
      <c r="BM998" s="107"/>
      <c r="BN998" s="107"/>
      <c r="BO998" s="107"/>
      <c r="BP998" s="107"/>
      <c r="BQ998" s="107"/>
      <c r="BR998" s="107"/>
      <c r="BS998" s="107"/>
      <c r="BT998" s="107"/>
      <c r="BU998" s="107"/>
      <c r="BV998" s="107"/>
      <c r="BW998" s="107"/>
      <c r="BX998" s="107"/>
      <c r="BY998" s="107"/>
      <c r="BZ998" s="107"/>
      <c r="CA998" s="107"/>
      <c r="CB998" s="107"/>
      <c r="CC998" s="107"/>
      <c r="CD998" s="107"/>
      <c r="CE998" s="107"/>
      <c r="CF998" s="107"/>
      <c r="CG998" s="107"/>
      <c r="CH998" s="107"/>
      <c r="CI998" s="107"/>
      <c r="CJ998" s="107"/>
      <c r="CK998" s="107"/>
      <c r="CL998" s="107"/>
      <c r="CM998" s="107"/>
      <c r="CN998" s="118"/>
      <c r="CO998" s="119"/>
      <c r="CP998" s="118"/>
      <c r="CQ998" s="119"/>
      <c r="CR998" s="118"/>
      <c r="CS998" s="119"/>
      <c r="CT998" s="113"/>
      <c r="CU998" s="118"/>
      <c r="CV998" s="99">
        <f t="shared" si="95"/>
        <v>0</v>
      </c>
      <c r="CW998" s="118"/>
      <c r="CX998" s="119"/>
      <c r="CY998" s="119"/>
      <c r="CZ998" s="119"/>
      <c r="DA998" s="118"/>
      <c r="DB998" s="119"/>
      <c r="DC998" s="111"/>
      <c r="DD998" s="119"/>
      <c r="DE998" s="111"/>
      <c r="DF998" s="46"/>
    </row>
    <row r="999" spans="1:110" s="42" customFormat="1" ht="36" x14ac:dyDescent="0.2">
      <c r="A999" s="89">
        <v>40667</v>
      </c>
      <c r="B999" s="106" t="s">
        <v>4221</v>
      </c>
      <c r="C999" s="106" t="s">
        <v>853</v>
      </c>
      <c r="D999" s="90" t="s">
        <v>4264</v>
      </c>
      <c r="E999" s="90" t="str">
        <f>VLOOKUP(B999&amp;C999,Divipola!$C$2:$F$1138,4,FALSE)</f>
        <v>54003</v>
      </c>
      <c r="F999" s="90"/>
      <c r="G999" s="129"/>
      <c r="H999" s="129"/>
      <c r="I999" s="129"/>
      <c r="J999" s="129">
        <f>818*5</f>
        <v>4090</v>
      </c>
      <c r="K999" s="129">
        <v>818</v>
      </c>
      <c r="L999" s="129"/>
      <c r="M999" s="129">
        <v>818</v>
      </c>
      <c r="N999" s="129"/>
      <c r="O999" s="129"/>
      <c r="P999" s="129"/>
      <c r="Q999" s="129"/>
      <c r="R999" s="129"/>
      <c r="S999" s="129"/>
      <c r="T999" s="129"/>
      <c r="U999" s="129"/>
      <c r="V999" s="129"/>
      <c r="W999" s="107"/>
      <c r="X999" s="105"/>
      <c r="Y999" s="92">
        <f t="shared" si="96"/>
        <v>0</v>
      </c>
      <c r="Z999" s="92">
        <f t="shared" si="97"/>
        <v>0</v>
      </c>
      <c r="AA999" s="92">
        <f t="shared" si="98"/>
        <v>126817000</v>
      </c>
      <c r="AB999" s="92">
        <f t="shared" si="99"/>
        <v>0</v>
      </c>
      <c r="AC999" s="123">
        <f>120*90000+120*220000+30000*952+1000*53302</f>
        <v>119062000</v>
      </c>
      <c r="AD999" s="92">
        <v>0</v>
      </c>
      <c r="AE999" s="92">
        <f t="shared" si="100"/>
        <v>245879000</v>
      </c>
      <c r="AF999" s="93">
        <v>0</v>
      </c>
      <c r="AG999" s="105"/>
      <c r="AH999" s="108"/>
      <c r="AI999" s="95" t="s">
        <v>4346</v>
      </c>
      <c r="AJ999" s="96" t="s">
        <v>4347</v>
      </c>
      <c r="AK999" s="111"/>
      <c r="AL999" s="105"/>
      <c r="AM999" s="112" t="s">
        <v>4191</v>
      </c>
      <c r="AN999" s="107"/>
      <c r="AO999" s="107"/>
      <c r="AP999" s="107"/>
      <c r="AQ999" s="107"/>
      <c r="AR999" s="107"/>
      <c r="AS999" s="107"/>
      <c r="AT999" s="107"/>
      <c r="AU999" s="107"/>
      <c r="AV999" s="107"/>
      <c r="AW999" s="107"/>
      <c r="AX999" s="107"/>
      <c r="AY999" s="107"/>
      <c r="AZ999" s="107"/>
      <c r="BA999" s="107"/>
      <c r="BB999" s="107"/>
      <c r="BC999" s="107"/>
      <c r="BD999" s="107"/>
      <c r="BE999" s="107"/>
      <c r="BF999" s="107"/>
      <c r="BG999" s="107"/>
      <c r="BH999" s="107"/>
      <c r="BI999" s="107"/>
      <c r="BJ999" s="107"/>
      <c r="BK999" s="107"/>
      <c r="BL999" s="107"/>
      <c r="BM999" s="107"/>
      <c r="BN999" s="107"/>
      <c r="BO999" s="107"/>
      <c r="BP999" s="107"/>
      <c r="BQ999" s="107"/>
      <c r="BR999" s="107"/>
      <c r="BS999" s="107"/>
      <c r="BT999" s="107"/>
      <c r="BU999" s="107"/>
      <c r="BV999" s="107"/>
      <c r="BW999" s="107"/>
      <c r="BX999" s="107"/>
      <c r="BY999" s="107"/>
      <c r="BZ999" s="107"/>
      <c r="CA999" s="107"/>
      <c r="CB999" s="107"/>
      <c r="CC999" s="107"/>
      <c r="CD999" s="107"/>
      <c r="CE999" s="107"/>
      <c r="CF999" s="107"/>
      <c r="CG999" s="107"/>
      <c r="CH999" s="107"/>
      <c r="CI999" s="107"/>
      <c r="CJ999" s="107"/>
      <c r="CK999" s="107"/>
      <c r="CL999" s="107"/>
      <c r="CM999" s="107"/>
      <c r="CN999" s="118"/>
      <c r="CO999" s="119"/>
      <c r="CP999" s="118"/>
      <c r="CQ999" s="119"/>
      <c r="CR999" s="118"/>
      <c r="CS999" s="119"/>
      <c r="CT999" s="113"/>
      <c r="CU999" s="118"/>
      <c r="CV999" s="99">
        <f t="shared" si="95"/>
        <v>0</v>
      </c>
      <c r="CW999" s="118"/>
      <c r="CX999" s="119"/>
      <c r="CY999" s="119"/>
      <c r="CZ999" s="119"/>
      <c r="DA999" s="118">
        <v>1500</v>
      </c>
      <c r="DB999" s="119">
        <f>1500*24998</f>
        <v>37497000</v>
      </c>
      <c r="DC999" s="111">
        <v>4000</v>
      </c>
      <c r="DD999" s="119">
        <f>4000*22330</f>
        <v>89320000</v>
      </c>
      <c r="DE999" s="111"/>
      <c r="DF999" s="46"/>
    </row>
    <row r="1000" spans="1:110" s="42" customFormat="1" ht="22.5" x14ac:dyDescent="0.2">
      <c r="A1000" s="89">
        <v>40667</v>
      </c>
      <c r="B1000" s="90" t="s">
        <v>4348</v>
      </c>
      <c r="C1000" s="90" t="s">
        <v>4365</v>
      </c>
      <c r="D1000" s="90" t="s">
        <v>2362</v>
      </c>
      <c r="E1000" s="90" t="str">
        <f>VLOOKUP(B1000&amp;C1000,Divipola!$C$2:$F$1138,4,FALSE)</f>
        <v>66682</v>
      </c>
      <c r="F1000" s="101"/>
      <c r="G1000" s="101"/>
      <c r="H1000" s="101"/>
      <c r="I1000" s="101"/>
      <c r="J1000" s="101">
        <v>20</v>
      </c>
      <c r="K1000" s="101">
        <v>4</v>
      </c>
      <c r="L1000" s="101"/>
      <c r="M1000" s="101">
        <v>4</v>
      </c>
      <c r="N1000" s="101"/>
      <c r="O1000" s="101"/>
      <c r="P1000" s="101"/>
      <c r="Q1000" s="101"/>
      <c r="R1000" s="101"/>
      <c r="S1000" s="101"/>
      <c r="T1000" s="101"/>
      <c r="U1000" s="91"/>
      <c r="V1000" s="89"/>
      <c r="W1000" s="92" t="s">
        <v>4423</v>
      </c>
      <c r="X1000" s="92"/>
      <c r="Y1000" s="92">
        <f t="shared" si="96"/>
        <v>0</v>
      </c>
      <c r="Z1000" s="92">
        <f t="shared" si="97"/>
        <v>0</v>
      </c>
      <c r="AA1000" s="92">
        <f t="shared" si="98"/>
        <v>0</v>
      </c>
      <c r="AB1000" s="92">
        <f t="shared" si="99"/>
        <v>0</v>
      </c>
      <c r="AC1000" s="92"/>
      <c r="AD1000" s="92">
        <v>0</v>
      </c>
      <c r="AE1000" s="92">
        <f t="shared" si="100"/>
        <v>0</v>
      </c>
      <c r="AF1000" s="93">
        <v>0</v>
      </c>
      <c r="AG1000" s="89"/>
      <c r="AH1000" s="96"/>
      <c r="AI1000" s="95" t="s">
        <v>4336</v>
      </c>
      <c r="AJ1000" s="96" t="s">
        <v>4337</v>
      </c>
      <c r="AK1000" s="100"/>
      <c r="AL1000" s="89"/>
      <c r="AM1000" s="90" t="s">
        <v>4162</v>
      </c>
      <c r="AN1000" s="90"/>
      <c r="AO1000" s="90"/>
      <c r="AP1000" s="101"/>
      <c r="AQ1000" s="101"/>
      <c r="AR1000" s="101"/>
      <c r="AS1000" s="101"/>
      <c r="AT1000" s="101"/>
      <c r="AU1000" s="101"/>
      <c r="AV1000" s="101"/>
      <c r="AW1000" s="101"/>
      <c r="AX1000" s="101"/>
      <c r="AY1000" s="101"/>
      <c r="AZ1000" s="101"/>
      <c r="BA1000" s="101"/>
      <c r="BB1000" s="101"/>
      <c r="BC1000" s="101"/>
      <c r="BD1000" s="101"/>
      <c r="BE1000" s="101"/>
      <c r="BF1000" s="91"/>
      <c r="BG1000" s="89"/>
      <c r="BH1000" s="92"/>
      <c r="BI1000" s="92"/>
      <c r="BJ1000" s="92"/>
      <c r="BK1000" s="92"/>
      <c r="BL1000" s="92"/>
      <c r="BM1000" s="92"/>
      <c r="BN1000" s="92"/>
      <c r="BO1000" s="93"/>
      <c r="BP1000" s="89"/>
      <c r="BQ1000" s="94"/>
      <c r="BR1000" s="89"/>
      <c r="BS1000" s="96"/>
      <c r="BT1000" s="97"/>
      <c r="BU1000" s="89"/>
      <c r="BV1000" s="100"/>
      <c r="BW1000" s="91"/>
      <c r="BX1000" s="91"/>
      <c r="BY1000" s="91"/>
      <c r="BZ1000" s="91"/>
      <c r="CA1000" s="91"/>
      <c r="CB1000" s="91"/>
      <c r="CC1000" s="91"/>
      <c r="CD1000" s="91"/>
      <c r="CE1000" s="91"/>
      <c r="CF1000" s="91"/>
      <c r="CG1000" s="91"/>
      <c r="CH1000" s="91"/>
      <c r="CI1000" s="91"/>
      <c r="CJ1000" s="91"/>
      <c r="CK1000" s="91"/>
      <c r="CL1000" s="91"/>
      <c r="CM1000" s="91"/>
      <c r="CN1000" s="91"/>
      <c r="CO1000" s="91"/>
      <c r="CP1000" s="114"/>
      <c r="CQ1000" s="115"/>
      <c r="CR1000" s="114"/>
      <c r="CS1000" s="115"/>
      <c r="CT1000" s="114"/>
      <c r="CU1000" s="115"/>
      <c r="CV1000" s="99">
        <f t="shared" si="95"/>
        <v>0</v>
      </c>
      <c r="CW1000" s="114"/>
      <c r="CX1000" s="115"/>
      <c r="CY1000" s="114"/>
      <c r="CZ1000" s="115"/>
      <c r="DA1000" s="115"/>
      <c r="DB1000" s="115"/>
      <c r="DC1000" s="114"/>
      <c r="DD1000" s="115"/>
      <c r="DE1000" s="97"/>
      <c r="DF1000" s="46"/>
    </row>
    <row r="1001" spans="1:110" s="42" customFormat="1" ht="48" x14ac:dyDescent="0.2">
      <c r="A1001" s="89">
        <v>40668</v>
      </c>
      <c r="B1001" s="106" t="s">
        <v>4352</v>
      </c>
      <c r="C1001" s="106" t="s">
        <v>4358</v>
      </c>
      <c r="D1001" s="90" t="s">
        <v>4264</v>
      </c>
      <c r="E1001" s="90" t="str">
        <f>VLOOKUP(B1001&amp;C1001,Divipola!$C$2:$F$1138,4,FALSE)</f>
        <v>13001</v>
      </c>
      <c r="F1001" s="90"/>
      <c r="G1001" s="129"/>
      <c r="H1001" s="129"/>
      <c r="I1001" s="129"/>
      <c r="J1001" s="129">
        <f>150*5</f>
        <v>750</v>
      </c>
      <c r="K1001" s="129">
        <v>150</v>
      </c>
      <c r="L1001" s="129"/>
      <c r="M1001" s="129"/>
      <c r="N1001" s="129"/>
      <c r="O1001" s="129"/>
      <c r="P1001" s="129"/>
      <c r="Q1001" s="129"/>
      <c r="R1001" s="129"/>
      <c r="S1001" s="129"/>
      <c r="T1001" s="129"/>
      <c r="U1001" s="129"/>
      <c r="V1001" s="129"/>
      <c r="W1001" s="107"/>
      <c r="X1001" s="105"/>
      <c r="Y1001" s="92">
        <f t="shared" si="96"/>
        <v>0</v>
      </c>
      <c r="Z1001" s="92">
        <f t="shared" si="97"/>
        <v>0</v>
      </c>
      <c r="AA1001" s="92">
        <f t="shared" si="98"/>
        <v>0</v>
      </c>
      <c r="AB1001" s="92">
        <f t="shared" si="99"/>
        <v>0</v>
      </c>
      <c r="AC1001" s="92">
        <v>112500000</v>
      </c>
      <c r="AD1001" s="92">
        <v>0</v>
      </c>
      <c r="AE1001" s="92">
        <f t="shared" si="100"/>
        <v>112500000</v>
      </c>
      <c r="AF1001" s="93">
        <v>0</v>
      </c>
      <c r="AG1001" s="105"/>
      <c r="AH1001" s="108"/>
      <c r="AI1001" s="95" t="s">
        <v>4346</v>
      </c>
      <c r="AJ1001" s="96" t="s">
        <v>4347</v>
      </c>
      <c r="AK1001" s="111"/>
      <c r="AL1001" s="105"/>
      <c r="AM1001" s="126" t="s">
        <v>4193</v>
      </c>
      <c r="AN1001" s="107"/>
      <c r="AO1001" s="107"/>
      <c r="AP1001" s="107"/>
      <c r="AQ1001" s="107"/>
      <c r="AR1001" s="107"/>
      <c r="AS1001" s="107"/>
      <c r="AT1001" s="107"/>
      <c r="AU1001" s="107"/>
      <c r="AV1001" s="107"/>
      <c r="AW1001" s="107"/>
      <c r="AX1001" s="107"/>
      <c r="AY1001" s="107"/>
      <c r="AZ1001" s="107"/>
      <c r="BA1001" s="107"/>
      <c r="BB1001" s="107"/>
      <c r="BC1001" s="107"/>
      <c r="BD1001" s="107"/>
      <c r="BE1001" s="107"/>
      <c r="BF1001" s="107"/>
      <c r="BG1001" s="107"/>
      <c r="BH1001" s="107"/>
      <c r="BI1001" s="107"/>
      <c r="BJ1001" s="107"/>
      <c r="BK1001" s="107"/>
      <c r="BL1001" s="107"/>
      <c r="BM1001" s="107"/>
      <c r="BN1001" s="107"/>
      <c r="BO1001" s="107"/>
      <c r="BP1001" s="107"/>
      <c r="BQ1001" s="107"/>
      <c r="BR1001" s="107"/>
      <c r="BS1001" s="107"/>
      <c r="BT1001" s="107"/>
      <c r="BU1001" s="107"/>
      <c r="BV1001" s="107"/>
      <c r="BW1001" s="107"/>
      <c r="BX1001" s="107"/>
      <c r="BY1001" s="107"/>
      <c r="BZ1001" s="107"/>
      <c r="CA1001" s="107"/>
      <c r="CB1001" s="107"/>
      <c r="CC1001" s="107"/>
      <c r="CD1001" s="107"/>
      <c r="CE1001" s="107"/>
      <c r="CF1001" s="107"/>
      <c r="CG1001" s="107"/>
      <c r="CH1001" s="107"/>
      <c r="CI1001" s="107"/>
      <c r="CJ1001" s="107"/>
      <c r="CK1001" s="107"/>
      <c r="CL1001" s="107"/>
      <c r="CM1001" s="107"/>
      <c r="CN1001" s="118"/>
      <c r="CO1001" s="119"/>
      <c r="CP1001" s="118"/>
      <c r="CQ1001" s="119"/>
      <c r="CR1001" s="118"/>
      <c r="CS1001" s="119"/>
      <c r="CT1001" s="113"/>
      <c r="CU1001" s="118"/>
      <c r="CV1001" s="99">
        <f t="shared" si="95"/>
        <v>0</v>
      </c>
      <c r="CW1001" s="118"/>
      <c r="CX1001" s="119"/>
      <c r="CY1001" s="119"/>
      <c r="CZ1001" s="119"/>
      <c r="DA1001" s="118"/>
      <c r="DB1001" s="119"/>
      <c r="DC1001" s="111"/>
      <c r="DD1001" s="119"/>
      <c r="DE1001" s="111">
        <v>3</v>
      </c>
      <c r="DF1001" s="46"/>
    </row>
    <row r="1002" spans="1:110" s="42" customFormat="1" ht="33.75" x14ac:dyDescent="0.2">
      <c r="A1002" s="89">
        <v>40668</v>
      </c>
      <c r="B1002" s="106" t="s">
        <v>4352</v>
      </c>
      <c r="C1002" s="106" t="s">
        <v>4330</v>
      </c>
      <c r="D1002" s="90" t="s">
        <v>4264</v>
      </c>
      <c r="E1002" s="90" t="str">
        <f>VLOOKUP(B1002&amp;C1002,Divipola!$C$2:$F$1138,4,FALSE)</f>
        <v>13188</v>
      </c>
      <c r="F1002" s="90"/>
      <c r="G1002" s="129"/>
      <c r="H1002" s="129"/>
      <c r="I1002" s="129"/>
      <c r="J1002" s="129"/>
      <c r="K1002" s="129"/>
      <c r="L1002" s="129"/>
      <c r="M1002" s="129"/>
      <c r="N1002" s="129"/>
      <c r="O1002" s="129"/>
      <c r="P1002" s="129"/>
      <c r="Q1002" s="129"/>
      <c r="R1002" s="129"/>
      <c r="S1002" s="129"/>
      <c r="T1002" s="129"/>
      <c r="U1002" s="129"/>
      <c r="V1002" s="129"/>
      <c r="W1002" s="107"/>
      <c r="X1002" s="105"/>
      <c r="Y1002" s="92">
        <f t="shared" si="96"/>
        <v>0</v>
      </c>
      <c r="Z1002" s="92">
        <f t="shared" si="97"/>
        <v>0</v>
      </c>
      <c r="AA1002" s="92">
        <f t="shared" si="98"/>
        <v>0</v>
      </c>
      <c r="AB1002" s="92">
        <f t="shared" si="99"/>
        <v>0</v>
      </c>
      <c r="AC1002" s="92"/>
      <c r="AD1002" s="92">
        <v>0</v>
      </c>
      <c r="AE1002" s="92">
        <f t="shared" si="100"/>
        <v>0</v>
      </c>
      <c r="AF1002" s="93">
        <v>0</v>
      </c>
      <c r="AG1002" s="105"/>
      <c r="AH1002" s="108"/>
      <c r="AI1002" s="109" t="s">
        <v>4336</v>
      </c>
      <c r="AJ1002" s="96" t="s">
        <v>4337</v>
      </c>
      <c r="AK1002" s="111"/>
      <c r="AL1002" s="89"/>
      <c r="AM1002" s="90" t="s">
        <v>2807</v>
      </c>
      <c r="AN1002" s="90"/>
      <c r="AO1002" s="90"/>
      <c r="AP1002" s="101"/>
      <c r="AQ1002" s="101"/>
      <c r="AR1002" s="101"/>
      <c r="AS1002" s="101"/>
      <c r="AT1002" s="101"/>
      <c r="AU1002" s="101"/>
      <c r="AV1002" s="101"/>
      <c r="AW1002" s="101"/>
      <c r="AX1002" s="101"/>
      <c r="AY1002" s="101"/>
      <c r="AZ1002" s="101"/>
      <c r="BA1002" s="101"/>
      <c r="BB1002" s="101"/>
      <c r="BC1002" s="101"/>
      <c r="BD1002" s="101"/>
      <c r="BE1002" s="101"/>
      <c r="BF1002" s="91"/>
      <c r="BG1002" s="89"/>
      <c r="BH1002" s="92"/>
      <c r="BI1002" s="92"/>
      <c r="BJ1002" s="92"/>
      <c r="BK1002" s="92"/>
      <c r="BL1002" s="92"/>
      <c r="BM1002" s="92"/>
      <c r="BN1002" s="92"/>
      <c r="BO1002" s="93"/>
      <c r="BP1002" s="89"/>
      <c r="BQ1002" s="94"/>
      <c r="BR1002" s="89"/>
      <c r="BS1002" s="96"/>
      <c r="BT1002" s="97"/>
      <c r="BU1002" s="89"/>
      <c r="BV1002" s="100"/>
      <c r="BW1002" s="107"/>
      <c r="BX1002" s="107"/>
      <c r="BY1002" s="107"/>
      <c r="BZ1002" s="107"/>
      <c r="CA1002" s="107"/>
      <c r="CB1002" s="107"/>
      <c r="CC1002" s="107"/>
      <c r="CD1002" s="107"/>
      <c r="CE1002" s="107"/>
      <c r="CF1002" s="107"/>
      <c r="CG1002" s="107"/>
      <c r="CH1002" s="107"/>
      <c r="CI1002" s="107"/>
      <c r="CJ1002" s="107"/>
      <c r="CK1002" s="107"/>
      <c r="CL1002" s="107"/>
      <c r="CM1002" s="107"/>
      <c r="CN1002" s="118"/>
      <c r="CO1002" s="119"/>
      <c r="CP1002" s="118"/>
      <c r="CQ1002" s="119"/>
      <c r="CR1002" s="118"/>
      <c r="CS1002" s="119"/>
      <c r="CT1002" s="113"/>
      <c r="CU1002" s="118"/>
      <c r="CV1002" s="99">
        <f t="shared" si="95"/>
        <v>0</v>
      </c>
      <c r="CW1002" s="118"/>
      <c r="CX1002" s="119"/>
      <c r="CY1002" s="119"/>
      <c r="CZ1002" s="119"/>
      <c r="DA1002" s="118"/>
      <c r="DB1002" s="119"/>
      <c r="DC1002" s="111"/>
      <c r="DD1002" s="119"/>
      <c r="DE1002" s="111"/>
      <c r="DF1002" s="46"/>
    </row>
    <row r="1003" spans="1:110" s="42" customFormat="1" ht="36" x14ac:dyDescent="0.2">
      <c r="A1003" s="89">
        <v>40668</v>
      </c>
      <c r="B1003" s="106" t="s">
        <v>4261</v>
      </c>
      <c r="C1003" s="106" t="s">
        <v>1264</v>
      </c>
      <c r="D1003" s="90" t="s">
        <v>4264</v>
      </c>
      <c r="E1003" s="90" t="str">
        <f>VLOOKUP(B1003&amp;C1003,Divipola!$C$2:$F$1138,4,FALSE)</f>
        <v>15599</v>
      </c>
      <c r="F1003" s="4"/>
      <c r="G1003" s="274"/>
      <c r="H1003" s="274"/>
      <c r="I1003" s="274"/>
      <c r="J1003" s="129">
        <v>155</v>
      </c>
      <c r="K1003" s="129">
        <v>31</v>
      </c>
      <c r="L1003" s="129">
        <v>1</v>
      </c>
      <c r="M1003" s="129">
        <v>5</v>
      </c>
      <c r="N1003" s="208"/>
      <c r="O1003" s="208"/>
      <c r="P1003" s="208"/>
      <c r="Q1003" s="208"/>
      <c r="R1003" s="208"/>
      <c r="S1003" s="208"/>
      <c r="T1003" s="208"/>
      <c r="U1003" s="208"/>
      <c r="V1003" s="208"/>
      <c r="W1003" s="19"/>
      <c r="X1003" s="17"/>
      <c r="Y1003" s="5">
        <f t="shared" si="96"/>
        <v>0</v>
      </c>
      <c r="Z1003" s="5">
        <f t="shared" si="97"/>
        <v>0</v>
      </c>
      <c r="AA1003" s="5">
        <f t="shared" si="98"/>
        <v>0</v>
      </c>
      <c r="AB1003" s="5">
        <f t="shared" si="99"/>
        <v>0</v>
      </c>
      <c r="AC1003" s="5"/>
      <c r="AD1003" s="5">
        <v>0</v>
      </c>
      <c r="AE1003" s="5">
        <f t="shared" si="100"/>
        <v>0</v>
      </c>
      <c r="AF1003" s="70">
        <v>0</v>
      </c>
      <c r="AG1003" s="17"/>
      <c r="AH1003" s="18"/>
      <c r="AI1003" s="47" t="s">
        <v>4346</v>
      </c>
      <c r="AJ1003" s="73" t="s">
        <v>4347</v>
      </c>
      <c r="AK1003" s="275"/>
      <c r="AL1003" s="89" t="s">
        <v>2798</v>
      </c>
      <c r="AM1003" s="100" t="s">
        <v>1079</v>
      </c>
      <c r="AN1003" s="19"/>
      <c r="AO1003" s="19"/>
      <c r="AP1003" s="19"/>
      <c r="AQ1003" s="19"/>
      <c r="AR1003" s="19"/>
      <c r="AS1003" s="19"/>
      <c r="AT1003" s="19"/>
      <c r="AU1003" s="19"/>
      <c r="AV1003" s="19"/>
      <c r="AW1003" s="19"/>
      <c r="AX1003" s="107"/>
      <c r="AY1003" s="107"/>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39"/>
      <c r="CO1003" s="138"/>
      <c r="CP1003" s="139"/>
      <c r="CQ1003" s="138"/>
      <c r="CR1003" s="139"/>
      <c r="CS1003" s="138"/>
      <c r="CT1003" s="72"/>
      <c r="CU1003" s="139"/>
      <c r="CV1003" s="99">
        <f t="shared" si="95"/>
        <v>0</v>
      </c>
      <c r="CW1003" s="139"/>
      <c r="CX1003" s="138"/>
      <c r="CY1003" s="138"/>
      <c r="CZ1003" s="138"/>
      <c r="DA1003" s="139"/>
      <c r="DB1003" s="138"/>
      <c r="DC1003" s="45"/>
      <c r="DD1003" s="138"/>
      <c r="DE1003" s="45"/>
      <c r="DF1003" s="46"/>
    </row>
    <row r="1004" spans="1:110" s="42" customFormat="1" ht="22.5" x14ac:dyDescent="0.2">
      <c r="A1004" s="89">
        <v>40668</v>
      </c>
      <c r="B1004" s="90" t="s">
        <v>4261</v>
      </c>
      <c r="C1004" s="90" t="s">
        <v>4230</v>
      </c>
      <c r="D1004" s="90" t="s">
        <v>2362</v>
      </c>
      <c r="E1004" s="90" t="str">
        <f>VLOOKUP(B1004&amp;C1004,Divipola!$C$2:$F$1138,4,FALSE)</f>
        <v>15001</v>
      </c>
      <c r="F1004" s="101"/>
      <c r="G1004" s="101"/>
      <c r="H1004" s="101"/>
      <c r="I1004" s="101"/>
      <c r="J1004" s="101">
        <v>10</v>
      </c>
      <c r="K1004" s="101">
        <v>2</v>
      </c>
      <c r="L1004" s="101"/>
      <c r="M1004" s="101">
        <v>2</v>
      </c>
      <c r="N1004" s="101"/>
      <c r="O1004" s="101"/>
      <c r="P1004" s="101"/>
      <c r="Q1004" s="101"/>
      <c r="R1004" s="101"/>
      <c r="S1004" s="101"/>
      <c r="T1004" s="101"/>
      <c r="U1004" s="91"/>
      <c r="V1004" s="89"/>
      <c r="W1004" s="92"/>
      <c r="X1004" s="92"/>
      <c r="Y1004" s="92">
        <f t="shared" si="96"/>
        <v>0</v>
      </c>
      <c r="Z1004" s="92">
        <f t="shared" si="97"/>
        <v>0</v>
      </c>
      <c r="AA1004" s="92">
        <f t="shared" si="98"/>
        <v>0</v>
      </c>
      <c r="AB1004" s="92">
        <f t="shared" si="99"/>
        <v>0</v>
      </c>
      <c r="AC1004" s="92"/>
      <c r="AD1004" s="92">
        <v>0</v>
      </c>
      <c r="AE1004" s="92">
        <f t="shared" si="100"/>
        <v>0</v>
      </c>
      <c r="AF1004" s="93">
        <v>0</v>
      </c>
      <c r="AG1004" s="89"/>
      <c r="AH1004" s="96"/>
      <c r="AI1004" s="102" t="s">
        <v>4346</v>
      </c>
      <c r="AJ1004" s="96" t="s">
        <v>4347</v>
      </c>
      <c r="AK1004" s="97"/>
      <c r="AL1004" s="89" t="s">
        <v>1049</v>
      </c>
      <c r="AM1004" s="90" t="s">
        <v>872</v>
      </c>
      <c r="AN1004" s="90"/>
      <c r="AO1004" s="90"/>
      <c r="AP1004" s="101"/>
      <c r="AQ1004" s="101"/>
      <c r="AR1004" s="101"/>
      <c r="AS1004" s="101"/>
      <c r="AT1004" s="101"/>
      <c r="AU1004" s="101"/>
      <c r="AV1004" s="101"/>
      <c r="AW1004" s="101"/>
      <c r="AX1004" s="101"/>
      <c r="AY1004" s="101"/>
      <c r="AZ1004" s="101"/>
      <c r="BA1004" s="101"/>
      <c r="BB1004" s="101"/>
      <c r="BC1004" s="101"/>
      <c r="BD1004" s="101"/>
      <c r="BE1004" s="101"/>
      <c r="BF1004" s="91"/>
      <c r="BG1004" s="89"/>
      <c r="BH1004" s="92"/>
      <c r="BI1004" s="92"/>
      <c r="BJ1004" s="92"/>
      <c r="BK1004" s="92"/>
      <c r="BL1004" s="92"/>
      <c r="BM1004" s="92"/>
      <c r="BN1004" s="92"/>
      <c r="BO1004" s="93"/>
      <c r="BP1004" s="89"/>
      <c r="BQ1004" s="94"/>
      <c r="BR1004" s="89"/>
      <c r="BS1004" s="96"/>
      <c r="BT1004" s="97"/>
      <c r="BU1004" s="89"/>
      <c r="BV1004" s="100"/>
      <c r="BW1004" s="91"/>
      <c r="BX1004" s="91"/>
      <c r="BY1004" s="91"/>
      <c r="BZ1004" s="91"/>
      <c r="CA1004" s="91"/>
      <c r="CB1004" s="91"/>
      <c r="CC1004" s="91"/>
      <c r="CD1004" s="91"/>
      <c r="CE1004" s="91"/>
      <c r="CF1004" s="91"/>
      <c r="CG1004" s="91"/>
      <c r="CH1004" s="91"/>
      <c r="CI1004" s="91"/>
      <c r="CJ1004" s="91"/>
      <c r="CK1004" s="91"/>
      <c r="CL1004" s="91"/>
      <c r="CM1004" s="91"/>
      <c r="CN1004" s="91"/>
      <c r="CO1004" s="91"/>
      <c r="CP1004" s="114"/>
      <c r="CQ1004" s="115"/>
      <c r="CR1004" s="114"/>
      <c r="CS1004" s="115"/>
      <c r="CT1004" s="114"/>
      <c r="CU1004" s="115"/>
      <c r="CV1004" s="99">
        <f t="shared" si="95"/>
        <v>0</v>
      </c>
      <c r="CW1004" s="114"/>
      <c r="CX1004" s="115"/>
      <c r="CY1004" s="114"/>
      <c r="CZ1004" s="115"/>
      <c r="DA1004" s="115"/>
      <c r="DB1004" s="115"/>
      <c r="DC1004" s="114"/>
      <c r="DD1004" s="115"/>
      <c r="DE1004" s="97"/>
      <c r="DF1004" s="46"/>
    </row>
    <row r="1005" spans="1:110" s="42" customFormat="1" ht="24" x14ac:dyDescent="0.2">
      <c r="A1005" s="89">
        <v>40668</v>
      </c>
      <c r="B1005" s="106" t="s">
        <v>4261</v>
      </c>
      <c r="C1005" s="106" t="s">
        <v>1375</v>
      </c>
      <c r="D1005" s="90" t="s">
        <v>4264</v>
      </c>
      <c r="E1005" s="90" t="str">
        <f>VLOOKUP(B1005&amp;C1005,Divipola!$C$2:$F$1138,4,FALSE)</f>
        <v>15897</v>
      </c>
      <c r="F1005" s="4"/>
      <c r="G1005" s="274"/>
      <c r="H1005" s="274"/>
      <c r="I1005" s="274"/>
      <c r="J1005" s="129">
        <v>120</v>
      </c>
      <c r="K1005" s="129">
        <v>24</v>
      </c>
      <c r="L1005" s="129"/>
      <c r="M1005" s="129"/>
      <c r="N1005" s="208"/>
      <c r="O1005" s="208"/>
      <c r="P1005" s="208"/>
      <c r="Q1005" s="208"/>
      <c r="R1005" s="208"/>
      <c r="S1005" s="208"/>
      <c r="T1005" s="208"/>
      <c r="U1005" s="208"/>
      <c r="V1005" s="208"/>
      <c r="W1005" s="19"/>
      <c r="X1005" s="17"/>
      <c r="Y1005" s="5">
        <f t="shared" si="96"/>
        <v>0</v>
      </c>
      <c r="Z1005" s="5">
        <f t="shared" si="97"/>
        <v>0</v>
      </c>
      <c r="AA1005" s="5">
        <f t="shared" si="98"/>
        <v>0</v>
      </c>
      <c r="AB1005" s="5">
        <f t="shared" si="99"/>
        <v>0</v>
      </c>
      <c r="AC1005" s="5"/>
      <c r="AD1005" s="5">
        <v>0</v>
      </c>
      <c r="AE1005" s="5">
        <f t="shared" si="100"/>
        <v>0</v>
      </c>
      <c r="AF1005" s="70">
        <v>0</v>
      </c>
      <c r="AG1005" s="17"/>
      <c r="AH1005" s="18"/>
      <c r="AI1005" s="47" t="s">
        <v>4346</v>
      </c>
      <c r="AJ1005" s="73" t="s">
        <v>4347</v>
      </c>
      <c r="AK1005" s="275"/>
      <c r="AL1005" s="89" t="s">
        <v>2798</v>
      </c>
      <c r="AM1005" s="112" t="s">
        <v>3771</v>
      </c>
      <c r="AN1005" s="19"/>
      <c r="AO1005" s="19"/>
      <c r="AP1005" s="19"/>
      <c r="AQ1005" s="19"/>
      <c r="AR1005" s="19"/>
      <c r="AS1005" s="19"/>
      <c r="AT1005" s="19"/>
      <c r="AU1005" s="19"/>
      <c r="AV1005" s="19"/>
      <c r="AW1005" s="19"/>
      <c r="AX1005" s="107"/>
      <c r="AY1005" s="107"/>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39"/>
      <c r="CO1005" s="138"/>
      <c r="CP1005" s="139"/>
      <c r="CQ1005" s="138"/>
      <c r="CR1005" s="139"/>
      <c r="CS1005" s="138"/>
      <c r="CT1005" s="72"/>
      <c r="CU1005" s="139"/>
      <c r="CV1005" s="99">
        <f t="shared" si="95"/>
        <v>0</v>
      </c>
      <c r="CW1005" s="139"/>
      <c r="CX1005" s="138"/>
      <c r="CY1005" s="138"/>
      <c r="CZ1005" s="138"/>
      <c r="DA1005" s="139"/>
      <c r="DB1005" s="138"/>
      <c r="DC1005" s="45"/>
      <c r="DD1005" s="138"/>
      <c r="DE1005" s="45"/>
      <c r="DF1005" s="46"/>
    </row>
    <row r="1006" spans="1:110" s="42" customFormat="1" ht="48" x14ac:dyDescent="0.2">
      <c r="A1006" s="89">
        <v>40668</v>
      </c>
      <c r="B1006" s="90" t="s">
        <v>4282</v>
      </c>
      <c r="C1006" s="90" t="s">
        <v>854</v>
      </c>
      <c r="D1006" s="90" t="s">
        <v>4264</v>
      </c>
      <c r="E1006" s="90" t="str">
        <f>VLOOKUP(B1006&amp;C1006,Divipola!$C$2:$F$1138,4,FALSE)</f>
        <v>23068</v>
      </c>
      <c r="F1006" s="101"/>
      <c r="G1006" s="101"/>
      <c r="H1006" s="101"/>
      <c r="I1006" s="101"/>
      <c r="J1006" s="101"/>
      <c r="K1006" s="101"/>
      <c r="L1006" s="101"/>
      <c r="M1006" s="101"/>
      <c r="N1006" s="101"/>
      <c r="O1006" s="101"/>
      <c r="P1006" s="101"/>
      <c r="Q1006" s="101"/>
      <c r="R1006" s="101"/>
      <c r="S1006" s="101"/>
      <c r="T1006" s="101"/>
      <c r="U1006" s="91"/>
      <c r="V1006" s="89"/>
      <c r="W1006" s="92"/>
      <c r="X1006" s="92"/>
      <c r="Y1006" s="92">
        <f t="shared" si="96"/>
        <v>199800000</v>
      </c>
      <c r="Z1006" s="92">
        <f t="shared" si="97"/>
        <v>0</v>
      </c>
      <c r="AA1006" s="92">
        <f t="shared" si="98"/>
        <v>0</v>
      </c>
      <c r="AB1006" s="92">
        <f t="shared" si="99"/>
        <v>0</v>
      </c>
      <c r="AC1006" s="92"/>
      <c r="AD1006" s="92">
        <v>25000000</v>
      </c>
      <c r="AE1006" s="92">
        <f t="shared" si="100"/>
        <v>224800000</v>
      </c>
      <c r="AF1006" s="93">
        <v>0</v>
      </c>
      <c r="AG1006" s="89"/>
      <c r="AH1006" s="96"/>
      <c r="AI1006" s="102" t="s">
        <v>4346</v>
      </c>
      <c r="AJ1006" s="96" t="s">
        <v>4347</v>
      </c>
      <c r="AK1006" s="100"/>
      <c r="AL1006" s="105"/>
      <c r="AM1006" s="112" t="s">
        <v>1910</v>
      </c>
      <c r="AN1006" s="107"/>
      <c r="AO1006" s="107"/>
      <c r="AP1006" s="107"/>
      <c r="AQ1006" s="107"/>
      <c r="AR1006" s="107"/>
      <c r="AS1006" s="107"/>
      <c r="AT1006" s="107"/>
      <c r="AU1006" s="107"/>
      <c r="AV1006" s="91"/>
      <c r="AW1006" s="91"/>
      <c r="AX1006" s="107">
        <v>500</v>
      </c>
      <c r="AY1006" s="107">
        <f>251*400000+100*250000+49*600000+100*450000</f>
        <v>199800000</v>
      </c>
      <c r="AZ1006" s="107"/>
      <c r="BA1006" s="107"/>
      <c r="BB1006" s="107"/>
      <c r="BC1006" s="107"/>
      <c r="BD1006" s="107"/>
      <c r="BE1006" s="107"/>
      <c r="BF1006" s="107"/>
      <c r="BG1006" s="107"/>
      <c r="BH1006" s="107"/>
      <c r="BI1006" s="107"/>
      <c r="BJ1006" s="107"/>
      <c r="BK1006" s="107"/>
      <c r="BL1006" s="107"/>
      <c r="BM1006" s="107"/>
      <c r="BN1006" s="107"/>
      <c r="BO1006" s="107"/>
      <c r="BP1006" s="107"/>
      <c r="BQ1006" s="107"/>
      <c r="BR1006" s="107"/>
      <c r="BS1006" s="107"/>
      <c r="BT1006" s="107"/>
      <c r="BU1006" s="107"/>
      <c r="BV1006" s="107"/>
      <c r="BW1006" s="107"/>
      <c r="BX1006" s="107"/>
      <c r="BY1006" s="107"/>
      <c r="BZ1006" s="107"/>
      <c r="CA1006" s="107"/>
      <c r="CB1006" s="107"/>
      <c r="CC1006" s="107"/>
      <c r="CD1006" s="107"/>
      <c r="CE1006" s="107"/>
      <c r="CF1006" s="107"/>
      <c r="CG1006" s="107"/>
      <c r="CH1006" s="107"/>
      <c r="CI1006" s="107"/>
      <c r="CJ1006" s="107"/>
      <c r="CK1006" s="107"/>
      <c r="CL1006" s="107"/>
      <c r="CM1006" s="107"/>
      <c r="CN1006" s="107"/>
      <c r="CO1006" s="107"/>
      <c r="CP1006" s="118"/>
      <c r="CQ1006" s="119"/>
      <c r="CR1006" s="118"/>
      <c r="CS1006" s="119"/>
      <c r="CT1006" s="118"/>
      <c r="CU1006" s="119"/>
      <c r="CV1006" s="99">
        <f t="shared" si="95"/>
        <v>199800000</v>
      </c>
      <c r="CW1006" s="118"/>
      <c r="CX1006" s="119"/>
      <c r="CY1006" s="118"/>
      <c r="CZ1006" s="119"/>
      <c r="DA1006" s="119"/>
      <c r="DB1006" s="119"/>
      <c r="DC1006" s="118"/>
      <c r="DD1006" s="119"/>
      <c r="DE1006" s="111"/>
      <c r="DF1006" s="46"/>
    </row>
    <row r="1007" spans="1:110" s="42" customFormat="1" ht="60" x14ac:dyDescent="0.2">
      <c r="A1007" s="89">
        <v>40668</v>
      </c>
      <c r="B1007" s="90" t="s">
        <v>4344</v>
      </c>
      <c r="C1007" s="90" t="s">
        <v>2215</v>
      </c>
      <c r="D1007" s="90" t="s">
        <v>2362</v>
      </c>
      <c r="E1007" s="90" t="str">
        <f>VLOOKUP(B1007&amp;C1007,Divipola!$C$2:$F$1138,4,FALSE)</f>
        <v>25407</v>
      </c>
      <c r="F1007" s="101"/>
      <c r="G1007" s="101"/>
      <c r="H1007" s="101"/>
      <c r="I1007" s="101"/>
      <c r="J1007" s="101"/>
      <c r="K1007" s="101"/>
      <c r="L1007" s="101"/>
      <c r="M1007" s="101"/>
      <c r="N1007" s="101"/>
      <c r="O1007" s="101"/>
      <c r="P1007" s="101"/>
      <c r="Q1007" s="101"/>
      <c r="R1007" s="101"/>
      <c r="S1007" s="101"/>
      <c r="T1007" s="101"/>
      <c r="U1007" s="91"/>
      <c r="V1007" s="89"/>
      <c r="W1007" s="92"/>
      <c r="X1007" s="92"/>
      <c r="Y1007" s="92">
        <f t="shared" si="96"/>
        <v>0</v>
      </c>
      <c r="Z1007" s="92">
        <f t="shared" si="97"/>
        <v>0</v>
      </c>
      <c r="AA1007" s="92">
        <f t="shared" si="98"/>
        <v>0</v>
      </c>
      <c r="AB1007" s="92">
        <f t="shared" si="99"/>
        <v>0</v>
      </c>
      <c r="AC1007" s="92"/>
      <c r="AD1007" s="92">
        <v>0</v>
      </c>
      <c r="AE1007" s="92">
        <f t="shared" si="100"/>
        <v>0</v>
      </c>
      <c r="AF1007" s="93">
        <v>0</v>
      </c>
      <c r="AG1007" s="89"/>
      <c r="AH1007" s="96"/>
      <c r="AI1007" s="102" t="s">
        <v>4336</v>
      </c>
      <c r="AJ1007" s="96" t="s">
        <v>4337</v>
      </c>
      <c r="AK1007" s="100"/>
      <c r="AL1007" s="105"/>
      <c r="AM1007" s="112" t="s">
        <v>2803</v>
      </c>
      <c r="AN1007" s="107"/>
      <c r="AO1007" s="107"/>
      <c r="AP1007" s="107"/>
      <c r="AQ1007" s="107"/>
      <c r="AR1007" s="107"/>
      <c r="AS1007" s="107"/>
      <c r="AT1007" s="107"/>
      <c r="AU1007" s="107"/>
      <c r="AV1007" s="107"/>
      <c r="AW1007" s="107"/>
      <c r="AX1007" s="107"/>
      <c r="AY1007" s="107"/>
      <c r="AZ1007" s="107"/>
      <c r="BA1007" s="107"/>
      <c r="BB1007" s="107"/>
      <c r="BC1007" s="107"/>
      <c r="BD1007" s="107"/>
      <c r="BE1007" s="107"/>
      <c r="BF1007" s="107"/>
      <c r="BG1007" s="107"/>
      <c r="BH1007" s="107"/>
      <c r="BI1007" s="107"/>
      <c r="BJ1007" s="107"/>
      <c r="BK1007" s="107"/>
      <c r="BL1007" s="107"/>
      <c r="BM1007" s="107"/>
      <c r="BN1007" s="107"/>
      <c r="BO1007" s="107"/>
      <c r="BP1007" s="107"/>
      <c r="BQ1007" s="107"/>
      <c r="BR1007" s="107"/>
      <c r="BS1007" s="107"/>
      <c r="BT1007" s="107"/>
      <c r="BU1007" s="107"/>
      <c r="BV1007" s="107"/>
      <c r="BW1007" s="107"/>
      <c r="BX1007" s="107"/>
      <c r="BY1007" s="107"/>
      <c r="BZ1007" s="107"/>
      <c r="CA1007" s="107"/>
      <c r="CB1007" s="107"/>
      <c r="CC1007" s="107"/>
      <c r="CD1007" s="107"/>
      <c r="CE1007" s="107"/>
      <c r="CF1007" s="107"/>
      <c r="CG1007" s="107"/>
      <c r="CH1007" s="107"/>
      <c r="CI1007" s="107"/>
      <c r="CJ1007" s="107"/>
      <c r="CK1007" s="107"/>
      <c r="CL1007" s="107"/>
      <c r="CM1007" s="107"/>
      <c r="CN1007" s="118"/>
      <c r="CO1007" s="119"/>
      <c r="CP1007" s="118"/>
      <c r="CQ1007" s="119"/>
      <c r="CR1007" s="118"/>
      <c r="CS1007" s="119"/>
      <c r="CT1007" s="113"/>
      <c r="CU1007" s="118"/>
      <c r="CV1007" s="99">
        <f t="shared" si="95"/>
        <v>0</v>
      </c>
      <c r="CW1007" s="118"/>
      <c r="CX1007" s="119"/>
      <c r="CY1007" s="119"/>
      <c r="CZ1007" s="119"/>
      <c r="DA1007" s="118"/>
      <c r="DB1007" s="119"/>
      <c r="DC1007" s="111"/>
      <c r="DD1007" s="119"/>
      <c r="DE1007" s="111"/>
      <c r="DF1007" s="46"/>
    </row>
    <row r="1008" spans="1:110" s="42" customFormat="1" ht="22.5" x14ac:dyDescent="0.2">
      <c r="A1008" s="89">
        <v>40668</v>
      </c>
      <c r="B1008" s="90" t="s">
        <v>4221</v>
      </c>
      <c r="C1008" s="90" t="s">
        <v>803</v>
      </c>
      <c r="D1008" s="90" t="s">
        <v>4264</v>
      </c>
      <c r="E1008" s="90" t="str">
        <f>VLOOKUP(B1008&amp;C1008,Divipola!$C$2:$F$1138,4,FALSE)</f>
        <v>54051</v>
      </c>
      <c r="F1008" s="101"/>
      <c r="G1008" s="101"/>
      <c r="H1008" s="101"/>
      <c r="I1008" s="101"/>
      <c r="J1008" s="101">
        <v>1788</v>
      </c>
      <c r="K1008" s="101">
        <v>467</v>
      </c>
      <c r="L1008" s="101"/>
      <c r="M1008" s="101">
        <v>467</v>
      </c>
      <c r="N1008" s="101"/>
      <c r="O1008" s="101"/>
      <c r="P1008" s="101"/>
      <c r="Q1008" s="101"/>
      <c r="R1008" s="101"/>
      <c r="S1008" s="101"/>
      <c r="T1008" s="101"/>
      <c r="U1008" s="91"/>
      <c r="V1008" s="89"/>
      <c r="W1008" s="92"/>
      <c r="X1008" s="92"/>
      <c r="Y1008" s="92">
        <f t="shared" si="96"/>
        <v>0</v>
      </c>
      <c r="Z1008" s="92">
        <f t="shared" si="97"/>
        <v>0</v>
      </c>
      <c r="AA1008" s="92">
        <f t="shared" si="98"/>
        <v>0</v>
      </c>
      <c r="AB1008" s="92">
        <f t="shared" si="99"/>
        <v>0</v>
      </c>
      <c r="AC1008" s="92"/>
      <c r="AD1008" s="92">
        <v>0</v>
      </c>
      <c r="AE1008" s="92">
        <f t="shared" si="100"/>
        <v>0</v>
      </c>
      <c r="AF1008" s="93">
        <v>0</v>
      </c>
      <c r="AG1008" s="89"/>
      <c r="AH1008" s="96"/>
      <c r="AI1008" s="95" t="s">
        <v>4336</v>
      </c>
      <c r="AJ1008" s="96" t="s">
        <v>4337</v>
      </c>
      <c r="AK1008" s="100"/>
      <c r="AL1008" s="89"/>
      <c r="AM1008" s="90" t="s">
        <v>3530</v>
      </c>
      <c r="AN1008" s="90"/>
      <c r="AO1008" s="90"/>
      <c r="AP1008" s="101"/>
      <c r="AQ1008" s="101"/>
      <c r="AR1008" s="101"/>
      <c r="AS1008" s="101"/>
      <c r="AT1008" s="101"/>
      <c r="AU1008" s="101"/>
      <c r="AV1008" s="101"/>
      <c r="AW1008" s="101"/>
      <c r="AX1008" s="101"/>
      <c r="AY1008" s="101"/>
      <c r="AZ1008" s="101"/>
      <c r="BA1008" s="101"/>
      <c r="BB1008" s="101"/>
      <c r="BC1008" s="101"/>
      <c r="BD1008" s="101"/>
      <c r="BE1008" s="101"/>
      <c r="BF1008" s="91"/>
      <c r="BG1008" s="89"/>
      <c r="BH1008" s="92"/>
      <c r="BI1008" s="92"/>
      <c r="BJ1008" s="92"/>
      <c r="BK1008" s="92"/>
      <c r="BL1008" s="92"/>
      <c r="BM1008" s="92"/>
      <c r="BN1008" s="92"/>
      <c r="BO1008" s="93"/>
      <c r="BP1008" s="89"/>
      <c r="BQ1008" s="94"/>
      <c r="BR1008" s="89"/>
      <c r="BS1008" s="96"/>
      <c r="BT1008" s="97"/>
      <c r="BU1008" s="89"/>
      <c r="BV1008" s="100"/>
      <c r="BW1008" s="91"/>
      <c r="BX1008" s="91"/>
      <c r="BY1008" s="91"/>
      <c r="BZ1008" s="91"/>
      <c r="CA1008" s="91"/>
      <c r="CB1008" s="91"/>
      <c r="CC1008" s="91"/>
      <c r="CD1008" s="91"/>
      <c r="CE1008" s="91"/>
      <c r="CF1008" s="91"/>
      <c r="CG1008" s="91"/>
      <c r="CH1008" s="91"/>
      <c r="CI1008" s="91"/>
      <c r="CJ1008" s="91"/>
      <c r="CK1008" s="91"/>
      <c r="CL1008" s="91"/>
      <c r="CM1008" s="91"/>
      <c r="CN1008" s="91"/>
      <c r="CO1008" s="91"/>
      <c r="CP1008" s="114"/>
      <c r="CQ1008" s="115"/>
      <c r="CR1008" s="114"/>
      <c r="CS1008" s="115"/>
      <c r="CT1008" s="114"/>
      <c r="CU1008" s="115"/>
      <c r="CV1008" s="99">
        <f t="shared" si="95"/>
        <v>0</v>
      </c>
      <c r="CW1008" s="114"/>
      <c r="CX1008" s="115"/>
      <c r="CY1008" s="114"/>
      <c r="CZ1008" s="115"/>
      <c r="DA1008" s="115"/>
      <c r="DB1008" s="115"/>
      <c r="DC1008" s="114"/>
      <c r="DD1008" s="115"/>
      <c r="DE1008" s="97"/>
      <c r="DF1008" s="46"/>
    </row>
    <row r="1009" spans="1:110" s="42" customFormat="1" ht="45" x14ac:dyDescent="0.2">
      <c r="A1009" s="89">
        <v>40668</v>
      </c>
      <c r="B1009" s="90" t="s">
        <v>4221</v>
      </c>
      <c r="C1009" s="90" t="s">
        <v>67</v>
      </c>
      <c r="D1009" s="90" t="s">
        <v>4264</v>
      </c>
      <c r="E1009" s="90" t="str">
        <f>VLOOKUP(B1009&amp;C1009,Divipola!$C$2:$F$1138,4,FALSE)</f>
        <v>54125</v>
      </c>
      <c r="F1009" s="101"/>
      <c r="G1009" s="101"/>
      <c r="H1009" s="101"/>
      <c r="I1009" s="101"/>
      <c r="J1009" s="101">
        <v>245</v>
      </c>
      <c r="K1009" s="101">
        <v>70</v>
      </c>
      <c r="L1009" s="101"/>
      <c r="M1009" s="101">
        <v>70</v>
      </c>
      <c r="N1009" s="101"/>
      <c r="O1009" s="101"/>
      <c r="P1009" s="101"/>
      <c r="Q1009" s="101"/>
      <c r="R1009" s="101"/>
      <c r="S1009" s="101"/>
      <c r="T1009" s="101"/>
      <c r="U1009" s="91"/>
      <c r="V1009" s="89"/>
      <c r="W1009" s="92"/>
      <c r="X1009" s="92"/>
      <c r="Y1009" s="92">
        <f t="shared" si="96"/>
        <v>0</v>
      </c>
      <c r="Z1009" s="92">
        <f t="shared" si="97"/>
        <v>0</v>
      </c>
      <c r="AA1009" s="92">
        <f t="shared" si="98"/>
        <v>0</v>
      </c>
      <c r="AB1009" s="92">
        <f t="shared" si="99"/>
        <v>0</v>
      </c>
      <c r="AC1009" s="92"/>
      <c r="AD1009" s="92">
        <v>290000000</v>
      </c>
      <c r="AE1009" s="92">
        <f t="shared" si="100"/>
        <v>290000000</v>
      </c>
      <c r="AF1009" s="93">
        <v>0</v>
      </c>
      <c r="AG1009" s="89"/>
      <c r="AH1009" s="96"/>
      <c r="AI1009" s="95" t="s">
        <v>4346</v>
      </c>
      <c r="AJ1009" s="96" t="s">
        <v>4347</v>
      </c>
      <c r="AK1009" s="100"/>
      <c r="AL1009" s="89"/>
      <c r="AM1009" s="90" t="s">
        <v>46</v>
      </c>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114"/>
      <c r="CQ1009" s="115"/>
      <c r="CR1009" s="114"/>
      <c r="CS1009" s="115"/>
      <c r="CT1009" s="114"/>
      <c r="CU1009" s="115"/>
      <c r="CV1009" s="99">
        <f t="shared" si="95"/>
        <v>0</v>
      </c>
      <c r="CW1009" s="114"/>
      <c r="CX1009" s="115"/>
      <c r="CY1009" s="114"/>
      <c r="CZ1009" s="115"/>
      <c r="DA1009" s="115"/>
      <c r="DB1009" s="115"/>
      <c r="DC1009" s="114"/>
      <c r="DD1009" s="115"/>
      <c r="DE1009" s="97"/>
      <c r="DF1009" s="46"/>
    </row>
    <row r="1010" spans="1:110" s="42" customFormat="1" ht="45" x14ac:dyDescent="0.2">
      <c r="A1010" s="89">
        <v>40668</v>
      </c>
      <c r="B1010" s="106" t="s">
        <v>4221</v>
      </c>
      <c r="C1010" s="106" t="s">
        <v>4373</v>
      </c>
      <c r="D1010" s="90" t="s">
        <v>4264</v>
      </c>
      <c r="E1010" s="90" t="str">
        <f>VLOOKUP(B1010&amp;C1010,Divipola!$C$2:$F$1138,4,FALSE)</f>
        <v>54174</v>
      </c>
      <c r="F1010" s="90"/>
      <c r="G1010" s="129"/>
      <c r="H1010" s="129"/>
      <c r="I1010" s="129"/>
      <c r="J1010" s="129">
        <v>56</v>
      </c>
      <c r="K1010" s="129">
        <v>14</v>
      </c>
      <c r="L1010" s="129"/>
      <c r="M1010" s="129">
        <v>14</v>
      </c>
      <c r="N1010" s="129"/>
      <c r="O1010" s="129"/>
      <c r="P1010" s="129"/>
      <c r="Q1010" s="129"/>
      <c r="R1010" s="129"/>
      <c r="S1010" s="129"/>
      <c r="T1010" s="129"/>
      <c r="U1010" s="129"/>
      <c r="V1010" s="129"/>
      <c r="W1010" s="107"/>
      <c r="X1010" s="105"/>
      <c r="Y1010" s="92">
        <f t="shared" si="96"/>
        <v>0</v>
      </c>
      <c r="Z1010" s="92">
        <f t="shared" si="97"/>
        <v>0</v>
      </c>
      <c r="AA1010" s="92">
        <f t="shared" si="98"/>
        <v>0</v>
      </c>
      <c r="AB1010" s="92">
        <f t="shared" si="99"/>
        <v>0</v>
      </c>
      <c r="AC1010" s="92"/>
      <c r="AD1010" s="92">
        <v>371000000</v>
      </c>
      <c r="AE1010" s="92">
        <f t="shared" si="100"/>
        <v>371000000</v>
      </c>
      <c r="AF1010" s="93">
        <v>0</v>
      </c>
      <c r="AG1010" s="105"/>
      <c r="AH1010" s="108"/>
      <c r="AI1010" s="109" t="s">
        <v>4346</v>
      </c>
      <c r="AJ1010" s="110" t="s">
        <v>4347</v>
      </c>
      <c r="AK1010" s="111"/>
      <c r="AL1010" s="89"/>
      <c r="AM1010" s="90" t="s">
        <v>2099</v>
      </c>
      <c r="AN1010" s="90"/>
      <c r="AO1010" s="90"/>
      <c r="AP1010" s="101"/>
      <c r="AQ1010" s="101"/>
      <c r="AR1010" s="101"/>
      <c r="AS1010" s="101"/>
      <c r="AT1010" s="101"/>
      <c r="AU1010" s="101"/>
      <c r="AV1010" s="101"/>
      <c r="AW1010" s="101"/>
      <c r="AX1010" s="101"/>
      <c r="AY1010" s="101"/>
      <c r="AZ1010" s="101"/>
      <c r="BA1010" s="101"/>
      <c r="BB1010" s="101"/>
      <c r="BC1010" s="101"/>
      <c r="BD1010" s="101"/>
      <c r="BE1010" s="101"/>
      <c r="BF1010" s="91"/>
      <c r="BG1010" s="89"/>
      <c r="BH1010" s="92"/>
      <c r="BI1010" s="92"/>
      <c r="BJ1010" s="92"/>
      <c r="BK1010" s="92"/>
      <c r="BL1010" s="92"/>
      <c r="BM1010" s="92"/>
      <c r="BN1010" s="92"/>
      <c r="BO1010" s="93"/>
      <c r="BP1010" s="89"/>
      <c r="BQ1010" s="94"/>
      <c r="BR1010" s="89"/>
      <c r="BS1010" s="96"/>
      <c r="BT1010" s="97"/>
      <c r="BU1010" s="89"/>
      <c r="BV1010" s="100"/>
      <c r="BW1010" s="107"/>
      <c r="BX1010" s="107"/>
      <c r="BY1010" s="107"/>
      <c r="BZ1010" s="107"/>
      <c r="CA1010" s="107"/>
      <c r="CB1010" s="107"/>
      <c r="CC1010" s="107"/>
      <c r="CD1010" s="107"/>
      <c r="CE1010" s="107"/>
      <c r="CF1010" s="107"/>
      <c r="CG1010" s="107"/>
      <c r="CH1010" s="107"/>
      <c r="CI1010" s="107"/>
      <c r="CJ1010" s="107"/>
      <c r="CK1010" s="107"/>
      <c r="CL1010" s="107"/>
      <c r="CM1010" s="107"/>
      <c r="CN1010" s="118"/>
      <c r="CO1010" s="119"/>
      <c r="CP1010" s="118"/>
      <c r="CQ1010" s="119"/>
      <c r="CR1010" s="118"/>
      <c r="CS1010" s="119"/>
      <c r="CT1010" s="113"/>
      <c r="CU1010" s="118"/>
      <c r="CV1010" s="99">
        <f t="shared" si="95"/>
        <v>0</v>
      </c>
      <c r="CW1010" s="118"/>
      <c r="CX1010" s="119"/>
      <c r="CY1010" s="119"/>
      <c r="CZ1010" s="119"/>
      <c r="DA1010" s="118"/>
      <c r="DB1010" s="119"/>
      <c r="DC1010" s="111"/>
      <c r="DD1010" s="119"/>
      <c r="DE1010" s="111"/>
      <c r="DF1010" s="46">
        <v>1770</v>
      </c>
    </row>
    <row r="1011" spans="1:110" s="42" customFormat="1" ht="112.5" x14ac:dyDescent="0.2">
      <c r="A1011" s="89">
        <v>40668</v>
      </c>
      <c r="B1011" s="90" t="s">
        <v>4221</v>
      </c>
      <c r="C1011" s="90" t="s">
        <v>68</v>
      </c>
      <c r="D1011" s="90" t="s">
        <v>4264</v>
      </c>
      <c r="E1011" s="90" t="str">
        <f>VLOOKUP(B1011&amp;C1011,Divipola!$C$2:$F$1138,4,FALSE)</f>
        <v>54385</v>
      </c>
      <c r="F1011" s="101"/>
      <c r="G1011" s="101"/>
      <c r="H1011" s="101"/>
      <c r="I1011" s="101"/>
      <c r="J1011" s="101">
        <f>500*5</f>
        <v>2500</v>
      </c>
      <c r="K1011" s="101">
        <v>500</v>
      </c>
      <c r="L1011" s="101"/>
      <c r="M1011" s="101">
        <v>500</v>
      </c>
      <c r="N1011" s="101"/>
      <c r="O1011" s="101"/>
      <c r="P1011" s="101"/>
      <c r="Q1011" s="101"/>
      <c r="R1011" s="101"/>
      <c r="S1011" s="101"/>
      <c r="T1011" s="101"/>
      <c r="U1011" s="91"/>
      <c r="V1011" s="89"/>
      <c r="W1011" s="92"/>
      <c r="X1011" s="92"/>
      <c r="Y1011" s="92">
        <f t="shared" si="96"/>
        <v>0</v>
      </c>
      <c r="Z1011" s="92">
        <f t="shared" si="97"/>
        <v>0</v>
      </c>
      <c r="AA1011" s="92">
        <f t="shared" si="98"/>
        <v>77978680</v>
      </c>
      <c r="AB1011" s="92">
        <f t="shared" si="99"/>
        <v>0</v>
      </c>
      <c r="AC1011" s="92">
        <f>50000*419.92</f>
        <v>20996000</v>
      </c>
      <c r="AD1011" s="92">
        <v>0</v>
      </c>
      <c r="AE1011" s="92">
        <f t="shared" si="100"/>
        <v>98974680</v>
      </c>
      <c r="AF1011" s="93">
        <v>0</v>
      </c>
      <c r="AG1011" s="89"/>
      <c r="AH1011" s="96"/>
      <c r="AI1011" s="95" t="s">
        <v>4346</v>
      </c>
      <c r="AJ1011" s="96" t="s">
        <v>4347</v>
      </c>
      <c r="AK1011" s="100"/>
      <c r="AL1011" s="89"/>
      <c r="AM1011" s="90" t="s">
        <v>4585</v>
      </c>
      <c r="AN1011" s="90"/>
      <c r="AO1011" s="90"/>
      <c r="AP1011" s="101"/>
      <c r="AQ1011" s="101"/>
      <c r="AR1011" s="101"/>
      <c r="AS1011" s="101"/>
      <c r="AT1011" s="101"/>
      <c r="AU1011" s="101"/>
      <c r="AV1011" s="101"/>
      <c r="AW1011" s="101"/>
      <c r="AX1011" s="101"/>
      <c r="AY1011" s="101"/>
      <c r="AZ1011" s="101"/>
      <c r="BA1011" s="101"/>
      <c r="BB1011" s="101"/>
      <c r="BC1011" s="101"/>
      <c r="BD1011" s="101"/>
      <c r="BE1011" s="101"/>
      <c r="BF1011" s="91"/>
      <c r="BG1011" s="89"/>
      <c r="BH1011" s="92"/>
      <c r="BI1011" s="92"/>
      <c r="BJ1011" s="92"/>
      <c r="BK1011" s="92"/>
      <c r="BL1011" s="92"/>
      <c r="BM1011" s="92"/>
      <c r="BN1011" s="92"/>
      <c r="BO1011" s="93"/>
      <c r="BP1011" s="89"/>
      <c r="BQ1011" s="94"/>
      <c r="BR1011" s="89"/>
      <c r="BS1011" s="96"/>
      <c r="BT1011" s="97"/>
      <c r="BU1011" s="89"/>
      <c r="BV1011" s="100"/>
      <c r="BW1011" s="91"/>
      <c r="BX1011" s="91"/>
      <c r="BY1011" s="91"/>
      <c r="BZ1011" s="91"/>
      <c r="CA1011" s="91"/>
      <c r="CB1011" s="91"/>
      <c r="CC1011" s="91"/>
      <c r="CD1011" s="91"/>
      <c r="CE1011" s="91"/>
      <c r="CF1011" s="91"/>
      <c r="CG1011" s="91"/>
      <c r="CH1011" s="91"/>
      <c r="CI1011" s="91"/>
      <c r="CJ1011" s="91"/>
      <c r="CK1011" s="91"/>
      <c r="CL1011" s="91"/>
      <c r="CM1011" s="91"/>
      <c r="CN1011" s="91"/>
      <c r="CO1011" s="91"/>
      <c r="CP1011" s="114"/>
      <c r="CQ1011" s="115"/>
      <c r="CR1011" s="114"/>
      <c r="CS1011" s="115"/>
      <c r="CT1011" s="114"/>
      <c r="CU1011" s="115"/>
      <c r="CV1011" s="99">
        <f t="shared" si="95"/>
        <v>0</v>
      </c>
      <c r="CW1011" s="114"/>
      <c r="CX1011" s="115"/>
      <c r="CY1011" s="114"/>
      <c r="CZ1011" s="115"/>
      <c r="DA1011" s="115">
        <v>1000</v>
      </c>
      <c r="DB1011" s="115">
        <f>1000*27998.92</f>
        <v>27998920</v>
      </c>
      <c r="DC1011" s="114">
        <v>2000</v>
      </c>
      <c r="DD1011" s="115">
        <f>2000*24989.88</f>
        <v>49979760</v>
      </c>
      <c r="DE1011" s="97"/>
      <c r="DF1011" s="46"/>
    </row>
    <row r="1012" spans="1:110" s="42" customFormat="1" ht="45" x14ac:dyDescent="0.2">
      <c r="A1012" s="89">
        <v>40668</v>
      </c>
      <c r="B1012" s="90" t="s">
        <v>4221</v>
      </c>
      <c r="C1012" s="90" t="s">
        <v>3544</v>
      </c>
      <c r="D1012" s="90" t="s">
        <v>4264</v>
      </c>
      <c r="E1012" s="90" t="str">
        <f>VLOOKUP(B1012&amp;C1012,Divipola!$C$2:$F$1138,4,FALSE)</f>
        <v>54398</v>
      </c>
      <c r="F1012" s="101"/>
      <c r="G1012" s="101"/>
      <c r="H1012" s="101"/>
      <c r="I1012" s="101"/>
      <c r="J1012" s="101">
        <v>1260</v>
      </c>
      <c r="K1012" s="101">
        <v>315</v>
      </c>
      <c r="L1012" s="101"/>
      <c r="M1012" s="101">
        <v>315</v>
      </c>
      <c r="N1012" s="101"/>
      <c r="O1012" s="101"/>
      <c r="P1012" s="101"/>
      <c r="Q1012" s="101"/>
      <c r="R1012" s="101"/>
      <c r="S1012" s="101"/>
      <c r="T1012" s="101"/>
      <c r="U1012" s="91"/>
      <c r="V1012" s="89"/>
      <c r="W1012" s="92"/>
      <c r="X1012" s="92"/>
      <c r="Y1012" s="92">
        <f t="shared" si="96"/>
        <v>13920000</v>
      </c>
      <c r="Z1012" s="92">
        <f t="shared" si="97"/>
        <v>0</v>
      </c>
      <c r="AA1012" s="92">
        <f t="shared" si="98"/>
        <v>264944000</v>
      </c>
      <c r="AB1012" s="92">
        <f t="shared" si="99"/>
        <v>0</v>
      </c>
      <c r="AC1012" s="143">
        <f>500*78416+3000*17980+6000*4599.4</f>
        <v>120744400</v>
      </c>
      <c r="AD1012" s="92">
        <v>0</v>
      </c>
      <c r="AE1012" s="92">
        <f t="shared" si="100"/>
        <v>399608400</v>
      </c>
      <c r="AF1012" s="93">
        <v>0</v>
      </c>
      <c r="AG1012" s="89"/>
      <c r="AH1012" s="96"/>
      <c r="AI1012" s="95" t="s">
        <v>4346</v>
      </c>
      <c r="AJ1012" s="96" t="s">
        <v>4347</v>
      </c>
      <c r="AK1012" s="100"/>
      <c r="AL1012" s="89"/>
      <c r="AM1012" s="90" t="s">
        <v>2407</v>
      </c>
      <c r="AN1012" s="91"/>
      <c r="AO1012" s="91"/>
      <c r="AP1012" s="91"/>
      <c r="AQ1012" s="91"/>
      <c r="AR1012" s="91"/>
      <c r="AS1012" s="91"/>
      <c r="AT1012" s="91"/>
      <c r="AU1012" s="91"/>
      <c r="AV1012" s="91"/>
      <c r="AW1012" s="91"/>
      <c r="AX1012" s="91"/>
      <c r="AY1012" s="91"/>
      <c r="AZ1012" s="91">
        <v>200</v>
      </c>
      <c r="BA1012" s="91">
        <f>200*69600</f>
        <v>13920000</v>
      </c>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114"/>
      <c r="CQ1012" s="115"/>
      <c r="CR1012" s="114"/>
      <c r="CS1012" s="115"/>
      <c r="CT1012" s="114"/>
      <c r="CU1012" s="115"/>
      <c r="CV1012" s="99">
        <f t="shared" si="95"/>
        <v>13920000</v>
      </c>
      <c r="CW1012" s="114"/>
      <c r="CX1012" s="115"/>
      <c r="CY1012" s="114"/>
      <c r="CZ1012" s="115"/>
      <c r="DA1012" s="115">
        <v>5000</v>
      </c>
      <c r="DB1012" s="115">
        <f>5000*27998.92</f>
        <v>139994600</v>
      </c>
      <c r="DC1012" s="114">
        <v>5000</v>
      </c>
      <c r="DD1012" s="115">
        <f>5000*24989.88</f>
        <v>124949400</v>
      </c>
      <c r="DE1012" s="97"/>
      <c r="DF1012" s="46"/>
    </row>
    <row r="1013" spans="1:110" s="42" customFormat="1" ht="22.5" x14ac:dyDescent="0.2">
      <c r="A1013" s="89">
        <v>40668</v>
      </c>
      <c r="B1013" s="90" t="s">
        <v>4221</v>
      </c>
      <c r="C1013" s="90" t="s">
        <v>3545</v>
      </c>
      <c r="D1013" s="90" t="s">
        <v>4264</v>
      </c>
      <c r="E1013" s="90" t="str">
        <f>VLOOKUP(B1013&amp;C1013,Divipola!$C$2:$F$1138,4,FALSE)</f>
        <v>54418</v>
      </c>
      <c r="F1013" s="101"/>
      <c r="G1013" s="101"/>
      <c r="H1013" s="101"/>
      <c r="I1013" s="101"/>
      <c r="J1013" s="101">
        <v>1268</v>
      </c>
      <c r="K1013" s="101">
        <v>317</v>
      </c>
      <c r="L1013" s="101"/>
      <c r="M1013" s="101">
        <v>317</v>
      </c>
      <c r="N1013" s="101"/>
      <c r="O1013" s="101"/>
      <c r="P1013" s="101"/>
      <c r="Q1013" s="101"/>
      <c r="R1013" s="101"/>
      <c r="S1013" s="101"/>
      <c r="T1013" s="101"/>
      <c r="U1013" s="91"/>
      <c r="V1013" s="89"/>
      <c r="W1013" s="92"/>
      <c r="X1013" s="92"/>
      <c r="Y1013" s="92">
        <f t="shared" si="96"/>
        <v>0</v>
      </c>
      <c r="Z1013" s="92">
        <f t="shared" si="97"/>
        <v>0</v>
      </c>
      <c r="AA1013" s="92">
        <f t="shared" si="98"/>
        <v>0</v>
      </c>
      <c r="AB1013" s="92">
        <f t="shared" si="99"/>
        <v>0</v>
      </c>
      <c r="AC1013" s="92"/>
      <c r="AD1013" s="92">
        <v>0</v>
      </c>
      <c r="AE1013" s="92">
        <f t="shared" si="100"/>
        <v>0</v>
      </c>
      <c r="AF1013" s="93">
        <v>0</v>
      </c>
      <c r="AG1013" s="89"/>
      <c r="AH1013" s="96"/>
      <c r="AI1013" s="95" t="s">
        <v>4336</v>
      </c>
      <c r="AJ1013" s="96" t="s">
        <v>4337</v>
      </c>
      <c r="AK1013" s="100"/>
      <c r="AL1013" s="89"/>
      <c r="AM1013" s="90" t="s">
        <v>3530</v>
      </c>
      <c r="AN1013" s="90"/>
      <c r="AO1013" s="90"/>
      <c r="AP1013" s="101"/>
      <c r="AQ1013" s="101"/>
      <c r="AR1013" s="101"/>
      <c r="AS1013" s="101"/>
      <c r="AT1013" s="101"/>
      <c r="AU1013" s="101"/>
      <c r="AV1013" s="101"/>
      <c r="AW1013" s="101"/>
      <c r="AX1013" s="101"/>
      <c r="AY1013" s="101"/>
      <c r="AZ1013" s="101"/>
      <c r="BA1013" s="101"/>
      <c r="BB1013" s="101"/>
      <c r="BC1013" s="101"/>
      <c r="BD1013" s="101"/>
      <c r="BE1013" s="101"/>
      <c r="BF1013" s="91"/>
      <c r="BG1013" s="89"/>
      <c r="BH1013" s="92"/>
      <c r="BI1013" s="92"/>
      <c r="BJ1013" s="92"/>
      <c r="BK1013" s="92"/>
      <c r="BL1013" s="92"/>
      <c r="BM1013" s="92"/>
      <c r="BN1013" s="92"/>
      <c r="BO1013" s="93"/>
      <c r="BP1013" s="89"/>
      <c r="BQ1013" s="94"/>
      <c r="BR1013" s="89"/>
      <c r="BS1013" s="96"/>
      <c r="BT1013" s="97"/>
      <c r="BU1013" s="89"/>
      <c r="BV1013" s="100"/>
      <c r="BW1013" s="91"/>
      <c r="BX1013" s="91"/>
      <c r="BY1013" s="91"/>
      <c r="BZ1013" s="91"/>
      <c r="CA1013" s="91"/>
      <c r="CB1013" s="91"/>
      <c r="CC1013" s="91"/>
      <c r="CD1013" s="91"/>
      <c r="CE1013" s="91"/>
      <c r="CF1013" s="91"/>
      <c r="CG1013" s="91"/>
      <c r="CH1013" s="91"/>
      <c r="CI1013" s="91"/>
      <c r="CJ1013" s="91"/>
      <c r="CK1013" s="91"/>
      <c r="CL1013" s="91"/>
      <c r="CM1013" s="91"/>
      <c r="CN1013" s="91"/>
      <c r="CO1013" s="91"/>
      <c r="CP1013" s="114"/>
      <c r="CQ1013" s="115"/>
      <c r="CR1013" s="114"/>
      <c r="CS1013" s="115"/>
      <c r="CT1013" s="114"/>
      <c r="CU1013" s="115"/>
      <c r="CV1013" s="99">
        <f t="shared" si="95"/>
        <v>0</v>
      </c>
      <c r="CW1013" s="114"/>
      <c r="CX1013" s="115"/>
      <c r="CY1013" s="114"/>
      <c r="CZ1013" s="115"/>
      <c r="DA1013" s="115"/>
      <c r="DB1013" s="115"/>
      <c r="DC1013" s="114"/>
      <c r="DD1013" s="115"/>
      <c r="DE1013" s="97"/>
      <c r="DF1013" s="46"/>
    </row>
    <row r="1014" spans="1:110" s="42" customFormat="1" ht="22.5" x14ac:dyDescent="0.2">
      <c r="A1014" s="89">
        <v>40668</v>
      </c>
      <c r="B1014" s="90" t="s">
        <v>4221</v>
      </c>
      <c r="C1014" s="90" t="s">
        <v>2230</v>
      </c>
      <c r="D1014" s="90" t="s">
        <v>4264</v>
      </c>
      <c r="E1014" s="90" t="str">
        <f>VLOOKUP(B1014&amp;C1014,Divipola!$C$2:$F$1138,4,FALSE)</f>
        <v>54660</v>
      </c>
      <c r="F1014" s="101"/>
      <c r="G1014" s="101"/>
      <c r="H1014" s="101"/>
      <c r="I1014" s="101"/>
      <c r="J1014" s="101">
        <v>60</v>
      </c>
      <c r="K1014" s="101">
        <v>15</v>
      </c>
      <c r="L1014" s="101"/>
      <c r="M1014" s="101">
        <v>15</v>
      </c>
      <c r="N1014" s="101"/>
      <c r="O1014" s="101"/>
      <c r="P1014" s="101"/>
      <c r="Q1014" s="101"/>
      <c r="R1014" s="101"/>
      <c r="S1014" s="101"/>
      <c r="T1014" s="101"/>
      <c r="U1014" s="91"/>
      <c r="V1014" s="89"/>
      <c r="W1014" s="92"/>
      <c r="X1014" s="92"/>
      <c r="Y1014" s="92">
        <f t="shared" si="96"/>
        <v>0</v>
      </c>
      <c r="Z1014" s="92">
        <f t="shared" si="97"/>
        <v>0</v>
      </c>
      <c r="AA1014" s="92">
        <f t="shared" si="98"/>
        <v>0</v>
      </c>
      <c r="AB1014" s="92">
        <f t="shared" si="99"/>
        <v>0</v>
      </c>
      <c r="AC1014" s="92"/>
      <c r="AD1014" s="92">
        <v>0</v>
      </c>
      <c r="AE1014" s="92">
        <f t="shared" si="100"/>
        <v>0</v>
      </c>
      <c r="AF1014" s="93">
        <v>0</v>
      </c>
      <c r="AG1014" s="89"/>
      <c r="AH1014" s="96"/>
      <c r="AI1014" s="102" t="s">
        <v>4336</v>
      </c>
      <c r="AJ1014" s="96" t="s">
        <v>4337</v>
      </c>
      <c r="AK1014" s="100"/>
      <c r="AL1014" s="89"/>
      <c r="AM1014" s="90" t="s">
        <v>3530</v>
      </c>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114"/>
      <c r="CQ1014" s="115"/>
      <c r="CR1014" s="114"/>
      <c r="CS1014" s="115"/>
      <c r="CT1014" s="114"/>
      <c r="CU1014" s="115"/>
      <c r="CV1014" s="99">
        <f t="shared" si="95"/>
        <v>0</v>
      </c>
      <c r="CW1014" s="114"/>
      <c r="CX1014" s="115"/>
      <c r="CY1014" s="114"/>
      <c r="CZ1014" s="115"/>
      <c r="DA1014" s="115"/>
      <c r="DB1014" s="115"/>
      <c r="DC1014" s="114"/>
      <c r="DD1014" s="115"/>
      <c r="DE1014" s="97"/>
      <c r="DF1014" s="46"/>
    </row>
    <row r="1015" spans="1:110" s="42" customFormat="1" ht="22.5" x14ac:dyDescent="0.2">
      <c r="A1015" s="89">
        <v>40668</v>
      </c>
      <c r="B1015" s="90" t="s">
        <v>4221</v>
      </c>
      <c r="C1015" s="90" t="s">
        <v>802</v>
      </c>
      <c r="D1015" s="90" t="s">
        <v>4264</v>
      </c>
      <c r="E1015" s="90" t="str">
        <f>VLOOKUP(B1015&amp;C1015,Divipola!$C$2:$F$1138,4,FALSE)</f>
        <v>54720</v>
      </c>
      <c r="F1015" s="101"/>
      <c r="G1015" s="101"/>
      <c r="H1015" s="101"/>
      <c r="I1015" s="101"/>
      <c r="J1015" s="101">
        <v>967</v>
      </c>
      <c r="K1015" s="101">
        <v>242</v>
      </c>
      <c r="L1015" s="101"/>
      <c r="M1015" s="101">
        <v>242</v>
      </c>
      <c r="N1015" s="101"/>
      <c r="O1015" s="101"/>
      <c r="P1015" s="101"/>
      <c r="Q1015" s="101"/>
      <c r="R1015" s="101"/>
      <c r="S1015" s="101"/>
      <c r="T1015" s="101"/>
      <c r="U1015" s="91"/>
      <c r="V1015" s="89"/>
      <c r="W1015" s="92"/>
      <c r="X1015" s="92"/>
      <c r="Y1015" s="92">
        <f t="shared" si="96"/>
        <v>0</v>
      </c>
      <c r="Z1015" s="92">
        <f t="shared" si="97"/>
        <v>0</v>
      </c>
      <c r="AA1015" s="92">
        <f t="shared" si="98"/>
        <v>0</v>
      </c>
      <c r="AB1015" s="92">
        <f t="shared" si="99"/>
        <v>0</v>
      </c>
      <c r="AC1015" s="92"/>
      <c r="AD1015" s="92">
        <v>0</v>
      </c>
      <c r="AE1015" s="92">
        <f t="shared" si="100"/>
        <v>0</v>
      </c>
      <c r="AF1015" s="93">
        <v>0</v>
      </c>
      <c r="AG1015" s="89"/>
      <c r="AH1015" s="96"/>
      <c r="AI1015" s="95" t="s">
        <v>4336</v>
      </c>
      <c r="AJ1015" s="96" t="s">
        <v>4337</v>
      </c>
      <c r="AK1015" s="100"/>
      <c r="AL1015" s="89"/>
      <c r="AM1015" s="90" t="s">
        <v>3530</v>
      </c>
      <c r="AN1015" s="90"/>
      <c r="AO1015" s="90"/>
      <c r="AP1015" s="101"/>
      <c r="AQ1015" s="101"/>
      <c r="AR1015" s="101"/>
      <c r="AS1015" s="101"/>
      <c r="AT1015" s="101"/>
      <c r="AU1015" s="101"/>
      <c r="AV1015" s="101"/>
      <c r="AW1015" s="101"/>
      <c r="AX1015" s="101"/>
      <c r="AY1015" s="101"/>
      <c r="AZ1015" s="101"/>
      <c r="BA1015" s="101"/>
      <c r="BB1015" s="101"/>
      <c r="BC1015" s="101"/>
      <c r="BD1015" s="101"/>
      <c r="BE1015" s="101"/>
      <c r="BF1015" s="91"/>
      <c r="BG1015" s="89"/>
      <c r="BH1015" s="92"/>
      <c r="BI1015" s="92"/>
      <c r="BJ1015" s="92"/>
      <c r="BK1015" s="92"/>
      <c r="BL1015" s="92"/>
      <c r="BM1015" s="92"/>
      <c r="BN1015" s="92"/>
      <c r="BO1015" s="93"/>
      <c r="BP1015" s="89"/>
      <c r="BQ1015" s="94"/>
      <c r="BR1015" s="89"/>
      <c r="BS1015" s="96"/>
      <c r="BT1015" s="97"/>
      <c r="BU1015" s="89"/>
      <c r="BV1015" s="100"/>
      <c r="BW1015" s="91"/>
      <c r="BX1015" s="91"/>
      <c r="BY1015" s="91"/>
      <c r="BZ1015" s="91"/>
      <c r="CA1015" s="91"/>
      <c r="CB1015" s="91"/>
      <c r="CC1015" s="91"/>
      <c r="CD1015" s="91"/>
      <c r="CE1015" s="91"/>
      <c r="CF1015" s="91"/>
      <c r="CG1015" s="91"/>
      <c r="CH1015" s="91"/>
      <c r="CI1015" s="91"/>
      <c r="CJ1015" s="91"/>
      <c r="CK1015" s="91"/>
      <c r="CL1015" s="91"/>
      <c r="CM1015" s="91"/>
      <c r="CN1015" s="91"/>
      <c r="CO1015" s="91"/>
      <c r="CP1015" s="114"/>
      <c r="CQ1015" s="115"/>
      <c r="CR1015" s="114"/>
      <c r="CS1015" s="115"/>
      <c r="CT1015" s="114"/>
      <c r="CU1015" s="115"/>
      <c r="CV1015" s="99">
        <f t="shared" si="95"/>
        <v>0</v>
      </c>
      <c r="CW1015" s="114"/>
      <c r="CX1015" s="115"/>
      <c r="CY1015" s="114"/>
      <c r="CZ1015" s="115"/>
      <c r="DA1015" s="115"/>
      <c r="DB1015" s="115"/>
      <c r="DC1015" s="114"/>
      <c r="DD1015" s="115"/>
      <c r="DE1015" s="97"/>
      <c r="DF1015" s="46"/>
    </row>
    <row r="1016" spans="1:110" s="42" customFormat="1" ht="22.5" x14ac:dyDescent="0.2">
      <c r="A1016" s="89">
        <v>40668</v>
      </c>
      <c r="B1016" s="90" t="s">
        <v>4221</v>
      </c>
      <c r="C1016" s="90" t="s">
        <v>3362</v>
      </c>
      <c r="D1016" s="90" t="s">
        <v>4264</v>
      </c>
      <c r="E1016" s="90" t="str">
        <f>VLOOKUP(B1016&amp;C1016,Divipola!$C$2:$F$1138,4,FALSE)</f>
        <v>54820</v>
      </c>
      <c r="F1016" s="101"/>
      <c r="G1016" s="101"/>
      <c r="H1016" s="101"/>
      <c r="I1016" s="101"/>
      <c r="J1016" s="101">
        <v>10</v>
      </c>
      <c r="K1016" s="101">
        <v>2</v>
      </c>
      <c r="L1016" s="101"/>
      <c r="M1016" s="101">
        <v>2</v>
      </c>
      <c r="N1016" s="101"/>
      <c r="O1016" s="101"/>
      <c r="P1016" s="101"/>
      <c r="Q1016" s="101"/>
      <c r="R1016" s="101"/>
      <c r="S1016" s="101"/>
      <c r="T1016" s="101"/>
      <c r="U1016" s="91"/>
      <c r="V1016" s="89"/>
      <c r="W1016" s="92"/>
      <c r="X1016" s="92"/>
      <c r="Y1016" s="92">
        <f t="shared" si="96"/>
        <v>0</v>
      </c>
      <c r="Z1016" s="92">
        <f t="shared" si="97"/>
        <v>0</v>
      </c>
      <c r="AA1016" s="92">
        <f t="shared" si="98"/>
        <v>0</v>
      </c>
      <c r="AB1016" s="92">
        <f t="shared" si="99"/>
        <v>0</v>
      </c>
      <c r="AC1016" s="92"/>
      <c r="AD1016" s="92">
        <v>0</v>
      </c>
      <c r="AE1016" s="92">
        <f t="shared" si="100"/>
        <v>0</v>
      </c>
      <c r="AF1016" s="93">
        <v>0</v>
      </c>
      <c r="AG1016" s="89"/>
      <c r="AH1016" s="96"/>
      <c r="AI1016" s="95" t="s">
        <v>4336</v>
      </c>
      <c r="AJ1016" s="96" t="s">
        <v>4337</v>
      </c>
      <c r="AK1016" s="100"/>
      <c r="AL1016" s="89"/>
      <c r="AM1016" s="90" t="s">
        <v>3406</v>
      </c>
      <c r="AN1016" s="90"/>
      <c r="AO1016" s="90"/>
      <c r="AP1016" s="101"/>
      <c r="AQ1016" s="101"/>
      <c r="AR1016" s="101"/>
      <c r="AS1016" s="101"/>
      <c r="AT1016" s="101"/>
      <c r="AU1016" s="101"/>
      <c r="AV1016" s="101"/>
      <c r="AW1016" s="101"/>
      <c r="AX1016" s="101"/>
      <c r="AY1016" s="101"/>
      <c r="AZ1016" s="101"/>
      <c r="BA1016" s="101"/>
      <c r="BB1016" s="101"/>
      <c r="BC1016" s="101"/>
      <c r="BD1016" s="101"/>
      <c r="BE1016" s="101"/>
      <c r="BF1016" s="91"/>
      <c r="BG1016" s="89"/>
      <c r="BH1016" s="92"/>
      <c r="BI1016" s="92"/>
      <c r="BJ1016" s="92"/>
      <c r="BK1016" s="92"/>
      <c r="BL1016" s="92"/>
      <c r="BM1016" s="92"/>
      <c r="BN1016" s="92"/>
      <c r="BO1016" s="93"/>
      <c r="BP1016" s="89"/>
      <c r="BQ1016" s="94"/>
      <c r="BR1016" s="89"/>
      <c r="BS1016" s="96"/>
      <c r="BT1016" s="97"/>
      <c r="BU1016" s="89"/>
      <c r="BV1016" s="100"/>
      <c r="BW1016" s="91"/>
      <c r="BX1016" s="91"/>
      <c r="BY1016" s="91"/>
      <c r="BZ1016" s="91"/>
      <c r="CA1016" s="91"/>
      <c r="CB1016" s="91"/>
      <c r="CC1016" s="91"/>
      <c r="CD1016" s="91"/>
      <c r="CE1016" s="91"/>
      <c r="CF1016" s="91"/>
      <c r="CG1016" s="91"/>
      <c r="CH1016" s="91"/>
      <c r="CI1016" s="91"/>
      <c r="CJ1016" s="91"/>
      <c r="CK1016" s="91"/>
      <c r="CL1016" s="91"/>
      <c r="CM1016" s="91"/>
      <c r="CN1016" s="91"/>
      <c r="CO1016" s="91"/>
      <c r="CP1016" s="114"/>
      <c r="CQ1016" s="115"/>
      <c r="CR1016" s="114"/>
      <c r="CS1016" s="115"/>
      <c r="CT1016" s="114"/>
      <c r="CU1016" s="115"/>
      <c r="CV1016" s="99">
        <f t="shared" si="95"/>
        <v>0</v>
      </c>
      <c r="CW1016" s="114"/>
      <c r="CX1016" s="115"/>
      <c r="CY1016" s="114"/>
      <c r="CZ1016" s="115"/>
      <c r="DA1016" s="115"/>
      <c r="DB1016" s="115"/>
      <c r="DC1016" s="114"/>
      <c r="DD1016" s="115"/>
      <c r="DE1016" s="97"/>
      <c r="DF1016" s="46"/>
    </row>
    <row r="1017" spans="1:110" s="42" customFormat="1" ht="33.75" x14ac:dyDescent="0.2">
      <c r="A1017" s="89">
        <v>40668</v>
      </c>
      <c r="B1017" s="90" t="s">
        <v>4221</v>
      </c>
      <c r="C1017" s="90" t="s">
        <v>4523</v>
      </c>
      <c r="D1017" s="90" t="s">
        <v>4264</v>
      </c>
      <c r="E1017" s="90" t="str">
        <f>VLOOKUP(B1017&amp;C1017,Divipola!$C$2:$F$1138,4,FALSE)</f>
        <v>54871</v>
      </c>
      <c r="F1017" s="101"/>
      <c r="G1017" s="101"/>
      <c r="H1017" s="101"/>
      <c r="I1017" s="101"/>
      <c r="J1017" s="101">
        <v>698</v>
      </c>
      <c r="K1017" s="101">
        <v>141</v>
      </c>
      <c r="L1017" s="101"/>
      <c r="M1017" s="101">
        <v>141</v>
      </c>
      <c r="N1017" s="101"/>
      <c r="O1017" s="101"/>
      <c r="P1017" s="101"/>
      <c r="Q1017" s="101"/>
      <c r="R1017" s="101"/>
      <c r="S1017" s="101"/>
      <c r="T1017" s="101"/>
      <c r="U1017" s="91"/>
      <c r="V1017" s="89"/>
      <c r="W1017" s="92"/>
      <c r="X1017" s="92"/>
      <c r="Y1017" s="92">
        <f t="shared" si="96"/>
        <v>0</v>
      </c>
      <c r="Z1017" s="92">
        <f t="shared" si="97"/>
        <v>0</v>
      </c>
      <c r="AA1017" s="92">
        <f t="shared" si="98"/>
        <v>33090972</v>
      </c>
      <c r="AB1017" s="92">
        <f t="shared" si="99"/>
        <v>0</v>
      </c>
      <c r="AC1017" s="143">
        <f>2500*1133+1200*21599.2+500*24000.4</f>
        <v>40751740</v>
      </c>
      <c r="AD1017" s="92">
        <v>0</v>
      </c>
      <c r="AE1017" s="92">
        <f t="shared" si="100"/>
        <v>73842712</v>
      </c>
      <c r="AF1017" s="93">
        <v>0</v>
      </c>
      <c r="AG1017" s="89"/>
      <c r="AH1017" s="96"/>
      <c r="AI1017" s="95" t="s">
        <v>4346</v>
      </c>
      <c r="AJ1017" s="96" t="s">
        <v>4347</v>
      </c>
      <c r="AK1017" s="100"/>
      <c r="AL1017" s="89"/>
      <c r="AM1017" s="90" t="s">
        <v>898</v>
      </c>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114"/>
      <c r="CQ1017" s="115"/>
      <c r="CR1017" s="114"/>
      <c r="CS1017" s="115"/>
      <c r="CT1017" s="114"/>
      <c r="CU1017" s="115"/>
      <c r="CV1017" s="99">
        <f t="shared" si="95"/>
        <v>0</v>
      </c>
      <c r="CW1017" s="114"/>
      <c r="CX1017" s="115"/>
      <c r="CY1017" s="114"/>
      <c r="CZ1017" s="115"/>
      <c r="DA1017" s="115">
        <v>800</v>
      </c>
      <c r="DB1017" s="115">
        <f>800*25745.04</f>
        <v>20596032</v>
      </c>
      <c r="DC1017" s="114">
        <v>500</v>
      </c>
      <c r="DD1017" s="115">
        <f>500*24989.88</f>
        <v>12494940</v>
      </c>
      <c r="DE1017" s="97"/>
      <c r="DF1017" s="46">
        <v>1783</v>
      </c>
    </row>
    <row r="1018" spans="1:110" s="42" customFormat="1" x14ac:dyDescent="0.2">
      <c r="A1018" s="89">
        <v>40668</v>
      </c>
      <c r="B1018" s="90" t="s">
        <v>4348</v>
      </c>
      <c r="C1018" s="90" t="s">
        <v>3553</v>
      </c>
      <c r="D1018" s="90" t="s">
        <v>3346</v>
      </c>
      <c r="E1018" s="90" t="str">
        <f>VLOOKUP(B1018&amp;C1018,Divipola!$C$2:$F$1138,4,FALSE)</f>
        <v>66075</v>
      </c>
      <c r="F1018" s="101"/>
      <c r="G1018" s="101"/>
      <c r="H1018" s="101"/>
      <c r="I1018" s="101"/>
      <c r="J1018" s="101">
        <v>5</v>
      </c>
      <c r="K1018" s="101">
        <v>1</v>
      </c>
      <c r="L1018" s="101"/>
      <c r="M1018" s="101">
        <v>1</v>
      </c>
      <c r="N1018" s="101"/>
      <c r="O1018" s="101"/>
      <c r="P1018" s="101"/>
      <c r="Q1018" s="101"/>
      <c r="R1018" s="101"/>
      <c r="S1018" s="101"/>
      <c r="T1018" s="101"/>
      <c r="U1018" s="91"/>
      <c r="V1018" s="89"/>
      <c r="W1018" s="92"/>
      <c r="X1018" s="92"/>
      <c r="Y1018" s="92">
        <f t="shared" si="96"/>
        <v>0</v>
      </c>
      <c r="Z1018" s="92">
        <f t="shared" si="97"/>
        <v>0</v>
      </c>
      <c r="AA1018" s="92">
        <f t="shared" si="98"/>
        <v>0</v>
      </c>
      <c r="AB1018" s="92">
        <f t="shared" si="99"/>
        <v>0</v>
      </c>
      <c r="AC1018" s="92"/>
      <c r="AD1018" s="92">
        <v>0</v>
      </c>
      <c r="AE1018" s="92">
        <f t="shared" si="100"/>
        <v>0</v>
      </c>
      <c r="AF1018" s="93">
        <v>0</v>
      </c>
      <c r="AG1018" s="89"/>
      <c r="AH1018" s="96"/>
      <c r="AI1018" s="102" t="s">
        <v>4336</v>
      </c>
      <c r="AJ1018" s="96" t="s">
        <v>4337</v>
      </c>
      <c r="AK1018" s="100"/>
      <c r="AL1018" s="89"/>
      <c r="AM1018" s="90" t="s">
        <v>4419</v>
      </c>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114"/>
      <c r="CQ1018" s="115"/>
      <c r="CR1018" s="114"/>
      <c r="CS1018" s="115"/>
      <c r="CT1018" s="114"/>
      <c r="CU1018" s="115"/>
      <c r="CV1018" s="99">
        <f t="shared" si="95"/>
        <v>0</v>
      </c>
      <c r="CW1018" s="114"/>
      <c r="CX1018" s="115"/>
      <c r="CY1018" s="114"/>
      <c r="CZ1018" s="115"/>
      <c r="DA1018" s="115"/>
      <c r="DB1018" s="115"/>
      <c r="DC1018" s="114"/>
      <c r="DD1018" s="115"/>
      <c r="DE1018" s="97"/>
      <c r="DF1018" s="46"/>
    </row>
    <row r="1019" spans="1:110" s="42" customFormat="1" ht="60" x14ac:dyDescent="0.2">
      <c r="A1019" s="89">
        <v>40668</v>
      </c>
      <c r="B1019" s="106" t="s">
        <v>4244</v>
      </c>
      <c r="C1019" s="106" t="s">
        <v>424</v>
      </c>
      <c r="D1019" s="90" t="s">
        <v>4264</v>
      </c>
      <c r="E1019" s="90" t="str">
        <f>VLOOKUP(B1019&amp;C1019,Divipola!$C$2:$F$1138,4,FALSE)</f>
        <v>76606</v>
      </c>
      <c r="F1019" s="90"/>
      <c r="G1019" s="129"/>
      <c r="H1019" s="129"/>
      <c r="I1019" s="129"/>
      <c r="J1019" s="129">
        <f>60*5</f>
        <v>300</v>
      </c>
      <c r="K1019" s="129">
        <v>60</v>
      </c>
      <c r="L1019" s="129"/>
      <c r="M1019" s="129">
        <v>60</v>
      </c>
      <c r="N1019" s="129"/>
      <c r="O1019" s="129"/>
      <c r="P1019" s="129"/>
      <c r="Q1019" s="129"/>
      <c r="R1019" s="129"/>
      <c r="S1019" s="129"/>
      <c r="T1019" s="129"/>
      <c r="U1019" s="129"/>
      <c r="V1019" s="129"/>
      <c r="W1019" s="107"/>
      <c r="X1019" s="105">
        <v>40708</v>
      </c>
      <c r="Y1019" s="92">
        <f t="shared" si="96"/>
        <v>0</v>
      </c>
      <c r="Z1019" s="92">
        <f t="shared" si="97"/>
        <v>0</v>
      </c>
      <c r="AA1019" s="92">
        <f t="shared" si="98"/>
        <v>0</v>
      </c>
      <c r="AB1019" s="92">
        <f t="shared" si="99"/>
        <v>0</v>
      </c>
      <c r="AC1019" s="92"/>
      <c r="AD1019" s="92">
        <v>50000000</v>
      </c>
      <c r="AE1019" s="92">
        <f t="shared" si="100"/>
        <v>50000000</v>
      </c>
      <c r="AF1019" s="93">
        <v>0</v>
      </c>
      <c r="AG1019" s="105"/>
      <c r="AH1019" s="108"/>
      <c r="AI1019" s="109" t="s">
        <v>4346</v>
      </c>
      <c r="AJ1019" s="110" t="s">
        <v>4347</v>
      </c>
      <c r="AK1019" s="111"/>
      <c r="AL1019" s="105"/>
      <c r="AM1019" s="112" t="s">
        <v>925</v>
      </c>
      <c r="AN1019" s="107"/>
      <c r="AO1019" s="107"/>
      <c r="AP1019" s="107"/>
      <c r="AQ1019" s="107"/>
      <c r="AR1019" s="107"/>
      <c r="AS1019" s="107"/>
      <c r="AT1019" s="107"/>
      <c r="AU1019" s="107"/>
      <c r="AV1019" s="107"/>
      <c r="AW1019" s="107"/>
      <c r="AX1019" s="107"/>
      <c r="AY1019" s="107"/>
      <c r="AZ1019" s="107"/>
      <c r="BA1019" s="107"/>
      <c r="BB1019" s="107"/>
      <c r="BC1019" s="107"/>
      <c r="BD1019" s="107"/>
      <c r="BE1019" s="107"/>
      <c r="BF1019" s="107"/>
      <c r="BG1019" s="107"/>
      <c r="BH1019" s="107"/>
      <c r="BI1019" s="107"/>
      <c r="BJ1019" s="107"/>
      <c r="BK1019" s="107"/>
      <c r="BL1019" s="107"/>
      <c r="BM1019" s="107"/>
      <c r="BN1019" s="107"/>
      <c r="BO1019" s="107"/>
      <c r="BP1019" s="107"/>
      <c r="BQ1019" s="107"/>
      <c r="BR1019" s="107"/>
      <c r="BS1019" s="107"/>
      <c r="BT1019" s="107"/>
      <c r="BU1019" s="107"/>
      <c r="BV1019" s="107"/>
      <c r="BW1019" s="107"/>
      <c r="BX1019" s="107"/>
      <c r="BY1019" s="107"/>
      <c r="BZ1019" s="107"/>
      <c r="CA1019" s="107"/>
      <c r="CB1019" s="107"/>
      <c r="CC1019" s="107"/>
      <c r="CD1019" s="107"/>
      <c r="CE1019" s="107"/>
      <c r="CF1019" s="107"/>
      <c r="CG1019" s="107"/>
      <c r="CH1019" s="107"/>
      <c r="CI1019" s="107"/>
      <c r="CJ1019" s="107"/>
      <c r="CK1019" s="107"/>
      <c r="CL1019" s="107"/>
      <c r="CM1019" s="107"/>
      <c r="CN1019" s="118"/>
      <c r="CO1019" s="119"/>
      <c r="CP1019" s="118"/>
      <c r="CQ1019" s="119"/>
      <c r="CR1019" s="118"/>
      <c r="CS1019" s="119"/>
      <c r="CT1019" s="113"/>
      <c r="CU1019" s="118"/>
      <c r="CV1019" s="99">
        <f t="shared" si="95"/>
        <v>0</v>
      </c>
      <c r="CW1019" s="118"/>
      <c r="CX1019" s="119"/>
      <c r="CY1019" s="119"/>
      <c r="CZ1019" s="119"/>
      <c r="DA1019" s="118"/>
      <c r="DB1019" s="119"/>
      <c r="DC1019" s="111"/>
      <c r="DD1019" s="119"/>
      <c r="DE1019" s="111"/>
      <c r="DF1019" s="46"/>
    </row>
    <row r="1020" spans="1:110" s="42" customFormat="1" ht="48" x14ac:dyDescent="0.2">
      <c r="A1020" s="89">
        <v>40669</v>
      </c>
      <c r="B1020" s="106" t="s">
        <v>4261</v>
      </c>
      <c r="C1020" s="106" t="s">
        <v>1180</v>
      </c>
      <c r="D1020" s="90" t="s">
        <v>2362</v>
      </c>
      <c r="E1020" s="90" t="str">
        <f>VLOOKUP(B1020&amp;C1020,Divipola!$C$2:$F$1138,4,FALSE)</f>
        <v>15325</v>
      </c>
      <c r="F1020" s="90"/>
      <c r="G1020" s="129"/>
      <c r="H1020" s="129"/>
      <c r="I1020" s="129"/>
      <c r="J1020" s="129"/>
      <c r="K1020" s="129"/>
      <c r="L1020" s="129"/>
      <c r="M1020" s="129"/>
      <c r="N1020" s="129"/>
      <c r="O1020" s="129"/>
      <c r="P1020" s="129"/>
      <c r="Q1020" s="129"/>
      <c r="R1020" s="129"/>
      <c r="S1020" s="129"/>
      <c r="T1020" s="129"/>
      <c r="U1020" s="129"/>
      <c r="V1020" s="129"/>
      <c r="W1020" s="107"/>
      <c r="X1020" s="105"/>
      <c r="Y1020" s="92">
        <f t="shared" si="96"/>
        <v>0</v>
      </c>
      <c r="Z1020" s="92">
        <f t="shared" si="97"/>
        <v>0</v>
      </c>
      <c r="AA1020" s="92">
        <f t="shared" si="98"/>
        <v>0</v>
      </c>
      <c r="AB1020" s="92">
        <f t="shared" si="99"/>
        <v>0</v>
      </c>
      <c r="AC1020" s="92"/>
      <c r="AD1020" s="92">
        <v>20000000</v>
      </c>
      <c r="AE1020" s="92">
        <f t="shared" si="100"/>
        <v>20000000</v>
      </c>
      <c r="AF1020" s="93">
        <v>0</v>
      </c>
      <c r="AG1020" s="105"/>
      <c r="AH1020" s="108"/>
      <c r="AI1020" s="109" t="s">
        <v>4346</v>
      </c>
      <c r="AJ1020" s="110" t="s">
        <v>4347</v>
      </c>
      <c r="AK1020" s="111"/>
      <c r="AL1020" s="105"/>
      <c r="AM1020" s="112" t="s">
        <v>3225</v>
      </c>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c r="BJ1020" s="107"/>
      <c r="BK1020" s="107"/>
      <c r="BL1020" s="107"/>
      <c r="BM1020" s="107"/>
      <c r="BN1020" s="107"/>
      <c r="BO1020" s="107"/>
      <c r="BP1020" s="107"/>
      <c r="BQ1020" s="107"/>
      <c r="BR1020" s="107"/>
      <c r="BS1020" s="107"/>
      <c r="BT1020" s="107"/>
      <c r="BU1020" s="107"/>
      <c r="BV1020" s="107"/>
      <c r="BW1020" s="107"/>
      <c r="BX1020" s="107"/>
      <c r="BY1020" s="107"/>
      <c r="BZ1020" s="107"/>
      <c r="CA1020" s="107"/>
      <c r="CB1020" s="107"/>
      <c r="CC1020" s="107"/>
      <c r="CD1020" s="107"/>
      <c r="CE1020" s="107"/>
      <c r="CF1020" s="107"/>
      <c r="CG1020" s="107"/>
      <c r="CH1020" s="107"/>
      <c r="CI1020" s="107"/>
      <c r="CJ1020" s="107"/>
      <c r="CK1020" s="107"/>
      <c r="CL1020" s="107"/>
      <c r="CM1020" s="107"/>
      <c r="CN1020" s="118"/>
      <c r="CO1020" s="119"/>
      <c r="CP1020" s="118"/>
      <c r="CQ1020" s="119"/>
      <c r="CR1020" s="118"/>
      <c r="CS1020" s="119"/>
      <c r="CT1020" s="113"/>
      <c r="CU1020" s="118"/>
      <c r="CV1020" s="99">
        <f t="shared" si="95"/>
        <v>0</v>
      </c>
      <c r="CW1020" s="118"/>
      <c r="CX1020" s="119"/>
      <c r="CY1020" s="119"/>
      <c r="CZ1020" s="119"/>
      <c r="DA1020" s="118"/>
      <c r="DB1020" s="119"/>
      <c r="DC1020" s="111"/>
      <c r="DD1020" s="119"/>
      <c r="DE1020" s="111"/>
      <c r="DF1020" s="46"/>
    </row>
    <row r="1021" spans="1:110" s="42" customFormat="1" ht="22.5" x14ac:dyDescent="0.2">
      <c r="A1021" s="89">
        <v>40669</v>
      </c>
      <c r="B1021" s="106" t="s">
        <v>4387</v>
      </c>
      <c r="C1021" s="106" t="s">
        <v>468</v>
      </c>
      <c r="D1021" s="90" t="s">
        <v>2362</v>
      </c>
      <c r="E1021" s="90" t="str">
        <f>VLOOKUP(B1021&amp;C1021,Divipola!$C$2:$F$1138,4,FALSE)</f>
        <v>52258</v>
      </c>
      <c r="F1021" s="90"/>
      <c r="G1021" s="279"/>
      <c r="H1021" s="279"/>
      <c r="I1021" s="279"/>
      <c r="J1021" s="129">
        <v>419</v>
      </c>
      <c r="K1021" s="129">
        <v>107</v>
      </c>
      <c r="L1021" s="129"/>
      <c r="M1021" s="129">
        <v>107</v>
      </c>
      <c r="N1021" s="129">
        <v>1</v>
      </c>
      <c r="O1021" s="129"/>
      <c r="P1021" s="129"/>
      <c r="Q1021" s="129"/>
      <c r="R1021" s="129"/>
      <c r="S1021" s="129"/>
      <c r="T1021" s="129">
        <v>1</v>
      </c>
      <c r="U1021" s="129"/>
      <c r="V1021" s="129"/>
      <c r="W1021" s="107"/>
      <c r="X1021" s="105"/>
      <c r="Y1021" s="92">
        <f t="shared" si="96"/>
        <v>0</v>
      </c>
      <c r="Z1021" s="92">
        <f t="shared" si="97"/>
        <v>0</v>
      </c>
      <c r="AA1021" s="92">
        <f t="shared" si="98"/>
        <v>0</v>
      </c>
      <c r="AB1021" s="92">
        <f t="shared" si="99"/>
        <v>0</v>
      </c>
      <c r="AC1021" s="92"/>
      <c r="AD1021" s="92">
        <v>0</v>
      </c>
      <c r="AE1021" s="92">
        <f t="shared" si="100"/>
        <v>0</v>
      </c>
      <c r="AF1021" s="93">
        <v>0</v>
      </c>
      <c r="AG1021" s="105"/>
      <c r="AH1021" s="108"/>
      <c r="AI1021" s="109" t="s">
        <v>4336</v>
      </c>
      <c r="AJ1021" s="110" t="s">
        <v>4337</v>
      </c>
      <c r="AK1021" s="111"/>
      <c r="AL1021" s="105" t="s">
        <v>1069</v>
      </c>
      <c r="AM1021" s="90" t="s">
        <v>78</v>
      </c>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c r="BJ1021" s="107"/>
      <c r="BK1021" s="107"/>
      <c r="BL1021" s="107"/>
      <c r="BM1021" s="107"/>
      <c r="BN1021" s="107"/>
      <c r="BO1021" s="107"/>
      <c r="BP1021" s="107"/>
      <c r="BQ1021" s="107"/>
      <c r="BR1021" s="107"/>
      <c r="BS1021" s="107"/>
      <c r="BT1021" s="107"/>
      <c r="BU1021" s="107"/>
      <c r="BV1021" s="107"/>
      <c r="BW1021" s="107"/>
      <c r="BX1021" s="107"/>
      <c r="BY1021" s="107"/>
      <c r="BZ1021" s="107"/>
      <c r="CA1021" s="107"/>
      <c r="CB1021" s="107"/>
      <c r="CC1021" s="107"/>
      <c r="CD1021" s="107"/>
      <c r="CE1021" s="107"/>
      <c r="CF1021" s="107"/>
      <c r="CG1021" s="107"/>
      <c r="CH1021" s="107"/>
      <c r="CI1021" s="107"/>
      <c r="CJ1021" s="107"/>
      <c r="CK1021" s="107"/>
      <c r="CL1021" s="107"/>
      <c r="CM1021" s="107"/>
      <c r="CN1021" s="118"/>
      <c r="CO1021" s="119"/>
      <c r="CP1021" s="118"/>
      <c r="CQ1021" s="119"/>
      <c r="CR1021" s="118"/>
      <c r="CS1021" s="119"/>
      <c r="CT1021" s="113"/>
      <c r="CU1021" s="118"/>
      <c r="CV1021" s="99">
        <f t="shared" si="95"/>
        <v>0</v>
      </c>
      <c r="CW1021" s="118"/>
      <c r="CX1021" s="119"/>
      <c r="CY1021" s="119"/>
      <c r="CZ1021" s="119"/>
      <c r="DA1021" s="118"/>
      <c r="DB1021" s="119"/>
      <c r="DC1021" s="111"/>
      <c r="DD1021" s="119"/>
      <c r="DE1021" s="111"/>
      <c r="DF1021" s="46"/>
    </row>
    <row r="1022" spans="1:110" s="42" customFormat="1" ht="22.5" x14ac:dyDescent="0.2">
      <c r="A1022" s="89">
        <v>40669</v>
      </c>
      <c r="B1022" s="90" t="s">
        <v>4244</v>
      </c>
      <c r="C1022" s="90" t="s">
        <v>2768</v>
      </c>
      <c r="D1022" s="90" t="s">
        <v>4298</v>
      </c>
      <c r="E1022" s="90" t="str">
        <f>VLOOKUP(B1022&amp;C1022,Divipola!$C$2:$F$1138,4,FALSE)</f>
        <v>76001</v>
      </c>
      <c r="F1022" s="101"/>
      <c r="G1022" s="101">
        <v>1</v>
      </c>
      <c r="H1022" s="101"/>
      <c r="I1022" s="101"/>
      <c r="J1022" s="101">
        <v>75</v>
      </c>
      <c r="K1022" s="101">
        <v>15</v>
      </c>
      <c r="L1022" s="101">
        <v>15</v>
      </c>
      <c r="M1022" s="101"/>
      <c r="N1022" s="101"/>
      <c r="O1022" s="101"/>
      <c r="P1022" s="101"/>
      <c r="Q1022" s="101"/>
      <c r="R1022" s="101"/>
      <c r="S1022" s="101"/>
      <c r="T1022" s="101"/>
      <c r="U1022" s="91"/>
      <c r="V1022" s="89"/>
      <c r="W1022" s="92"/>
      <c r="X1022" s="92"/>
      <c r="Y1022" s="92">
        <f t="shared" si="96"/>
        <v>0</v>
      </c>
      <c r="Z1022" s="92">
        <f t="shared" si="97"/>
        <v>0</v>
      </c>
      <c r="AA1022" s="92">
        <f t="shared" si="98"/>
        <v>0</v>
      </c>
      <c r="AB1022" s="92">
        <f t="shared" si="99"/>
        <v>0</v>
      </c>
      <c r="AC1022" s="92"/>
      <c r="AD1022" s="92">
        <v>0</v>
      </c>
      <c r="AE1022" s="92">
        <f t="shared" si="100"/>
        <v>0</v>
      </c>
      <c r="AF1022" s="93">
        <v>0</v>
      </c>
      <c r="AG1022" s="89"/>
      <c r="AH1022" s="96"/>
      <c r="AI1022" s="102" t="s">
        <v>4336</v>
      </c>
      <c r="AJ1022" s="96" t="s">
        <v>4337</v>
      </c>
      <c r="AK1022" s="100"/>
      <c r="AL1022" s="89"/>
      <c r="AM1022" s="90" t="s">
        <v>873</v>
      </c>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114"/>
      <c r="CQ1022" s="115"/>
      <c r="CR1022" s="114"/>
      <c r="CS1022" s="115"/>
      <c r="CT1022" s="114"/>
      <c r="CU1022" s="115"/>
      <c r="CV1022" s="99">
        <f t="shared" si="95"/>
        <v>0</v>
      </c>
      <c r="CW1022" s="114"/>
      <c r="CX1022" s="115"/>
      <c r="CY1022" s="114"/>
      <c r="CZ1022" s="115"/>
      <c r="DA1022" s="115"/>
      <c r="DB1022" s="115"/>
      <c r="DC1022" s="114"/>
      <c r="DD1022" s="115"/>
      <c r="DE1022" s="97"/>
      <c r="DF1022" s="46"/>
    </row>
    <row r="1023" spans="1:110" s="42" customFormat="1" ht="45" x14ac:dyDescent="0.2">
      <c r="A1023" s="89">
        <v>40671</v>
      </c>
      <c r="B1023" s="90" t="s">
        <v>860</v>
      </c>
      <c r="C1023" s="90" t="s">
        <v>3320</v>
      </c>
      <c r="D1023" s="90" t="s">
        <v>4264</v>
      </c>
      <c r="E1023" s="90" t="str">
        <f>VLOOKUP(B1023&amp;C1023,Divipola!$C$2:$F$1138,4,FALSE)</f>
        <v>50590</v>
      </c>
      <c r="F1023" s="101"/>
      <c r="G1023" s="101"/>
      <c r="H1023" s="101"/>
      <c r="I1023" s="101"/>
      <c r="J1023" s="101">
        <v>2040</v>
      </c>
      <c r="K1023" s="101">
        <v>408</v>
      </c>
      <c r="L1023" s="101"/>
      <c r="M1023" s="101">
        <v>408</v>
      </c>
      <c r="N1023" s="101"/>
      <c r="O1023" s="101"/>
      <c r="P1023" s="101"/>
      <c r="Q1023" s="101"/>
      <c r="R1023" s="101"/>
      <c r="S1023" s="101"/>
      <c r="T1023" s="101"/>
      <c r="U1023" s="91"/>
      <c r="V1023" s="89">
        <v>531</v>
      </c>
      <c r="W1023" s="92" t="s">
        <v>55</v>
      </c>
      <c r="X1023" s="92"/>
      <c r="Y1023" s="92">
        <f t="shared" si="96"/>
        <v>0</v>
      </c>
      <c r="Z1023" s="92">
        <f t="shared" si="97"/>
        <v>0</v>
      </c>
      <c r="AA1023" s="92">
        <f t="shared" si="98"/>
        <v>0</v>
      </c>
      <c r="AB1023" s="92">
        <f t="shared" si="99"/>
        <v>0</v>
      </c>
      <c r="AC1023" s="92"/>
      <c r="AD1023" s="92">
        <v>0</v>
      </c>
      <c r="AE1023" s="92">
        <f t="shared" si="100"/>
        <v>0</v>
      </c>
      <c r="AF1023" s="93">
        <v>0</v>
      </c>
      <c r="AG1023" s="89"/>
      <c r="AH1023" s="96"/>
      <c r="AI1023" s="102" t="s">
        <v>4346</v>
      </c>
      <c r="AJ1023" s="96" t="s">
        <v>4347</v>
      </c>
      <c r="AK1023" s="100"/>
      <c r="AL1023" s="105" t="s">
        <v>2823</v>
      </c>
      <c r="AM1023" s="90" t="s">
        <v>56</v>
      </c>
      <c r="AN1023" s="90"/>
      <c r="AO1023" s="90"/>
      <c r="AP1023" s="101"/>
      <c r="AQ1023" s="101"/>
      <c r="AR1023" s="101"/>
      <c r="AS1023" s="101"/>
      <c r="AT1023" s="101"/>
      <c r="AU1023" s="101"/>
      <c r="AV1023" s="101"/>
      <c r="AW1023" s="101"/>
      <c r="AX1023" s="101"/>
      <c r="AY1023" s="101"/>
      <c r="AZ1023" s="101"/>
      <c r="BA1023" s="101"/>
      <c r="BB1023" s="101"/>
      <c r="BC1023" s="101"/>
      <c r="BD1023" s="101"/>
      <c r="BE1023" s="101"/>
      <c r="BF1023" s="91"/>
      <c r="BG1023" s="89"/>
      <c r="BH1023" s="92"/>
      <c r="BI1023" s="92"/>
      <c r="BJ1023" s="92"/>
      <c r="BK1023" s="92"/>
      <c r="BL1023" s="92"/>
      <c r="BM1023" s="92"/>
      <c r="BN1023" s="92"/>
      <c r="BO1023" s="93"/>
      <c r="BP1023" s="89"/>
      <c r="BQ1023" s="94"/>
      <c r="BR1023" s="89"/>
      <c r="BS1023" s="96"/>
      <c r="BT1023" s="97"/>
      <c r="BU1023" s="89"/>
      <c r="BV1023" s="100"/>
      <c r="BW1023" s="91"/>
      <c r="BX1023" s="91"/>
      <c r="BY1023" s="91"/>
      <c r="BZ1023" s="91"/>
      <c r="CA1023" s="91"/>
      <c r="CB1023" s="91"/>
      <c r="CC1023" s="91"/>
      <c r="CD1023" s="91"/>
      <c r="CE1023" s="91"/>
      <c r="CF1023" s="91"/>
      <c r="CG1023" s="91"/>
      <c r="CH1023" s="91"/>
      <c r="CI1023" s="91"/>
      <c r="CJ1023" s="91"/>
      <c r="CK1023" s="91"/>
      <c r="CL1023" s="91"/>
      <c r="CM1023" s="91"/>
      <c r="CN1023" s="91"/>
      <c r="CO1023" s="91"/>
      <c r="CP1023" s="114"/>
      <c r="CQ1023" s="115"/>
      <c r="CR1023" s="114"/>
      <c r="CS1023" s="115"/>
      <c r="CT1023" s="114"/>
      <c r="CU1023" s="115"/>
      <c r="CV1023" s="99">
        <f t="shared" si="95"/>
        <v>0</v>
      </c>
      <c r="CW1023" s="114"/>
      <c r="CX1023" s="115"/>
      <c r="CY1023" s="114"/>
      <c r="CZ1023" s="115"/>
      <c r="DA1023" s="115"/>
      <c r="DB1023" s="115"/>
      <c r="DC1023" s="114"/>
      <c r="DD1023" s="115"/>
      <c r="DE1023" s="97"/>
      <c r="DF1023" s="46"/>
    </row>
    <row r="1024" spans="1:110" s="42" customFormat="1" ht="22.5" x14ac:dyDescent="0.2">
      <c r="A1024" s="89">
        <v>40671</v>
      </c>
      <c r="B1024" s="90" t="s">
        <v>2226</v>
      </c>
      <c r="C1024" s="90" t="s">
        <v>2263</v>
      </c>
      <c r="D1024" s="90" t="s">
        <v>4264</v>
      </c>
      <c r="E1024" s="90" t="str">
        <f>VLOOKUP(B1024&amp;C1024,Divipola!$C$2:$F$1138,4,FALSE)</f>
        <v>68780</v>
      </c>
      <c r="F1024" s="101"/>
      <c r="G1024" s="101"/>
      <c r="H1024" s="101"/>
      <c r="I1024" s="101"/>
      <c r="J1024" s="101">
        <v>45</v>
      </c>
      <c r="K1024" s="101">
        <v>9</v>
      </c>
      <c r="L1024" s="101"/>
      <c r="M1024" s="101">
        <v>9</v>
      </c>
      <c r="N1024" s="101"/>
      <c r="O1024" s="101"/>
      <c r="P1024" s="101"/>
      <c r="Q1024" s="101"/>
      <c r="R1024" s="101"/>
      <c r="S1024" s="101"/>
      <c r="T1024" s="101"/>
      <c r="U1024" s="91"/>
      <c r="V1024" s="89"/>
      <c r="W1024" s="92"/>
      <c r="X1024" s="92"/>
      <c r="Y1024" s="92">
        <f t="shared" si="96"/>
        <v>0</v>
      </c>
      <c r="Z1024" s="92">
        <f t="shared" si="97"/>
        <v>0</v>
      </c>
      <c r="AA1024" s="92">
        <f t="shared" si="98"/>
        <v>0</v>
      </c>
      <c r="AB1024" s="92">
        <f t="shared" si="99"/>
        <v>0</v>
      </c>
      <c r="AC1024" s="92"/>
      <c r="AD1024" s="92">
        <v>0</v>
      </c>
      <c r="AE1024" s="92">
        <f t="shared" si="100"/>
        <v>0</v>
      </c>
      <c r="AF1024" s="93">
        <v>0</v>
      </c>
      <c r="AG1024" s="89"/>
      <c r="AH1024" s="96"/>
      <c r="AI1024" s="95" t="s">
        <v>4346</v>
      </c>
      <c r="AJ1024" s="96" t="s">
        <v>4347</v>
      </c>
      <c r="AK1024" s="97"/>
      <c r="AL1024" s="89" t="s">
        <v>1049</v>
      </c>
      <c r="AM1024" s="90" t="s">
        <v>57</v>
      </c>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114"/>
      <c r="CQ1024" s="115"/>
      <c r="CR1024" s="114"/>
      <c r="CS1024" s="115"/>
      <c r="CT1024" s="114"/>
      <c r="CU1024" s="115"/>
      <c r="CV1024" s="99">
        <f t="shared" si="95"/>
        <v>0</v>
      </c>
      <c r="CW1024" s="114"/>
      <c r="CX1024" s="115"/>
      <c r="CY1024" s="114"/>
      <c r="CZ1024" s="115"/>
      <c r="DA1024" s="115"/>
      <c r="DB1024" s="115"/>
      <c r="DC1024" s="114"/>
      <c r="DD1024" s="115"/>
      <c r="DE1024" s="97"/>
      <c r="DF1024" s="46"/>
    </row>
    <row r="1025" spans="1:110" s="42" customFormat="1" ht="22.5" x14ac:dyDescent="0.2">
      <c r="A1025" s="89">
        <v>40671</v>
      </c>
      <c r="B1025" s="90" t="s">
        <v>4244</v>
      </c>
      <c r="C1025" s="90" t="s">
        <v>2768</v>
      </c>
      <c r="D1025" s="90" t="s">
        <v>3346</v>
      </c>
      <c r="E1025" s="90" t="str">
        <f>VLOOKUP(B1025&amp;C1025,Divipola!$C$2:$F$1138,4,FALSE)</f>
        <v>76001</v>
      </c>
      <c r="F1025" s="101"/>
      <c r="G1025" s="101"/>
      <c r="H1025" s="101"/>
      <c r="I1025" s="101"/>
      <c r="J1025" s="101">
        <v>135</v>
      </c>
      <c r="K1025" s="101">
        <v>27</v>
      </c>
      <c r="L1025" s="101">
        <v>12</v>
      </c>
      <c r="M1025" s="101">
        <v>15</v>
      </c>
      <c r="N1025" s="101"/>
      <c r="O1025" s="101"/>
      <c r="P1025" s="101"/>
      <c r="Q1025" s="101"/>
      <c r="R1025" s="101"/>
      <c r="S1025" s="101"/>
      <c r="T1025" s="101"/>
      <c r="U1025" s="91"/>
      <c r="V1025" s="89"/>
      <c r="W1025" s="92"/>
      <c r="X1025" s="92"/>
      <c r="Y1025" s="92">
        <f t="shared" si="96"/>
        <v>0</v>
      </c>
      <c r="Z1025" s="92">
        <f t="shared" si="97"/>
        <v>0</v>
      </c>
      <c r="AA1025" s="92">
        <f t="shared" si="98"/>
        <v>0</v>
      </c>
      <c r="AB1025" s="92">
        <f t="shared" si="99"/>
        <v>0</v>
      </c>
      <c r="AC1025" s="92"/>
      <c r="AD1025" s="92">
        <v>0</v>
      </c>
      <c r="AE1025" s="92">
        <f t="shared" si="100"/>
        <v>0</v>
      </c>
      <c r="AF1025" s="93">
        <v>0</v>
      </c>
      <c r="AG1025" s="89"/>
      <c r="AH1025" s="96"/>
      <c r="AI1025" s="102" t="s">
        <v>4336</v>
      </c>
      <c r="AJ1025" s="96" t="s">
        <v>4337</v>
      </c>
      <c r="AK1025" s="100"/>
      <c r="AL1025" s="89"/>
      <c r="AM1025" s="90" t="s">
        <v>1007</v>
      </c>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114"/>
      <c r="CQ1025" s="115"/>
      <c r="CR1025" s="114"/>
      <c r="CS1025" s="115"/>
      <c r="CT1025" s="114"/>
      <c r="CU1025" s="115"/>
      <c r="CV1025" s="99">
        <f t="shared" si="95"/>
        <v>0</v>
      </c>
      <c r="CW1025" s="114"/>
      <c r="CX1025" s="115"/>
      <c r="CY1025" s="114"/>
      <c r="CZ1025" s="115"/>
      <c r="DA1025" s="115"/>
      <c r="DB1025" s="115"/>
      <c r="DC1025" s="114"/>
      <c r="DD1025" s="115"/>
      <c r="DE1025" s="97"/>
      <c r="DF1025" s="46"/>
    </row>
    <row r="1026" spans="1:110" s="42" customFormat="1" ht="56.25" x14ac:dyDescent="0.2">
      <c r="A1026" s="89">
        <v>40671</v>
      </c>
      <c r="B1026" s="90" t="s">
        <v>4244</v>
      </c>
      <c r="C1026" s="90" t="s">
        <v>2768</v>
      </c>
      <c r="D1026" s="90" t="s">
        <v>4264</v>
      </c>
      <c r="E1026" s="90" t="str">
        <f>VLOOKUP(B1026&amp;C1026,Divipola!$C$2:$F$1138,4,FALSE)</f>
        <v>76001</v>
      </c>
      <c r="F1026" s="101"/>
      <c r="G1026" s="101">
        <v>1</v>
      </c>
      <c r="H1026" s="101"/>
      <c r="I1026" s="101">
        <v>1</v>
      </c>
      <c r="J1026" s="101">
        <v>110</v>
      </c>
      <c r="K1026" s="101">
        <v>23</v>
      </c>
      <c r="L1026" s="101">
        <v>8</v>
      </c>
      <c r="M1026" s="101">
        <v>15</v>
      </c>
      <c r="N1026" s="101"/>
      <c r="O1026" s="101"/>
      <c r="P1026" s="101"/>
      <c r="Q1026" s="101"/>
      <c r="R1026" s="101"/>
      <c r="S1026" s="101"/>
      <c r="T1026" s="101"/>
      <c r="U1026" s="91"/>
      <c r="V1026" s="89"/>
      <c r="W1026" s="92"/>
      <c r="X1026" s="92"/>
      <c r="Y1026" s="92">
        <f t="shared" si="96"/>
        <v>843471000</v>
      </c>
      <c r="Z1026" s="92">
        <f t="shared" si="97"/>
        <v>73610000</v>
      </c>
      <c r="AA1026" s="92">
        <f t="shared" si="98"/>
        <v>0</v>
      </c>
      <c r="AB1026" s="92">
        <f t="shared" si="99"/>
        <v>0</v>
      </c>
      <c r="AC1026" s="92"/>
      <c r="AD1026" s="92">
        <v>0</v>
      </c>
      <c r="AE1026" s="92">
        <f t="shared" si="100"/>
        <v>917081000</v>
      </c>
      <c r="AF1026" s="93">
        <v>0</v>
      </c>
      <c r="AG1026" s="89"/>
      <c r="AH1026" s="96"/>
      <c r="AI1026" s="95" t="s">
        <v>4346</v>
      </c>
      <c r="AJ1026" s="96" t="s">
        <v>4347</v>
      </c>
      <c r="AK1026" s="100"/>
      <c r="AL1026" s="89"/>
      <c r="AM1026" s="90" t="s">
        <v>58</v>
      </c>
      <c r="AN1026" s="90"/>
      <c r="AO1026" s="90"/>
      <c r="AP1026" s="101"/>
      <c r="AQ1026" s="101"/>
      <c r="AR1026" s="101"/>
      <c r="AS1026" s="101"/>
      <c r="AT1026" s="101"/>
      <c r="AU1026" s="101"/>
      <c r="AV1026" s="101"/>
      <c r="AW1026" s="101"/>
      <c r="AX1026" s="101">
        <v>866</v>
      </c>
      <c r="AY1026" s="101">
        <f>125*389000+17*400000+67*450000+14*600000+267*450000+14*600000+90*389000+185*450000+87*400000</f>
        <v>375585000</v>
      </c>
      <c r="AZ1026" s="101">
        <v>6500</v>
      </c>
      <c r="BA1026" s="101">
        <f>6500*56000</f>
        <v>364000000</v>
      </c>
      <c r="BB1026" s="101"/>
      <c r="BC1026" s="101"/>
      <c r="BD1026" s="101">
        <v>50</v>
      </c>
      <c r="BE1026" s="101">
        <f>50*24000</f>
        <v>1200000</v>
      </c>
      <c r="BF1026" s="91"/>
      <c r="BG1026" s="89"/>
      <c r="BH1026" s="92"/>
      <c r="BI1026" s="92"/>
      <c r="BJ1026" s="92"/>
      <c r="BK1026" s="92"/>
      <c r="BL1026" s="92"/>
      <c r="BM1026" s="92"/>
      <c r="BN1026" s="92"/>
      <c r="BO1026" s="93"/>
      <c r="BP1026" s="89"/>
      <c r="BQ1026" s="94"/>
      <c r="BR1026" s="89"/>
      <c r="BS1026" s="96"/>
      <c r="BT1026" s="97"/>
      <c r="BU1026" s="89"/>
      <c r="BV1026" s="100"/>
      <c r="BW1026" s="91"/>
      <c r="BX1026" s="91"/>
      <c r="BY1026" s="91"/>
      <c r="BZ1026" s="91"/>
      <c r="CA1026" s="91"/>
      <c r="CB1026" s="91"/>
      <c r="CC1026" s="91"/>
      <c r="CD1026" s="91"/>
      <c r="CE1026" s="91"/>
      <c r="CF1026" s="91"/>
      <c r="CG1026" s="91"/>
      <c r="CH1026" s="91"/>
      <c r="CI1026" s="91"/>
      <c r="CJ1026" s="91">
        <v>3364</v>
      </c>
      <c r="CK1026" s="91">
        <f>3364*21000</f>
        <v>70644000</v>
      </c>
      <c r="CL1026" s="91"/>
      <c r="CM1026" s="91"/>
      <c r="CN1026" s="91"/>
      <c r="CO1026" s="91"/>
      <c r="CP1026" s="114">
        <v>866</v>
      </c>
      <c r="CQ1026" s="115">
        <f>866*37000</f>
        <v>32042000</v>
      </c>
      <c r="CR1026" s="114"/>
      <c r="CS1026" s="115"/>
      <c r="CT1026" s="114"/>
      <c r="CU1026" s="115"/>
      <c r="CV1026" s="99">
        <f t="shared" si="95"/>
        <v>843471000</v>
      </c>
      <c r="CW1026" s="114"/>
      <c r="CX1026" s="115"/>
      <c r="CY1026" s="114">
        <v>866</v>
      </c>
      <c r="CZ1026" s="115">
        <f>866*85000</f>
        <v>73610000</v>
      </c>
      <c r="DA1026" s="115"/>
      <c r="DB1026" s="115"/>
      <c r="DC1026" s="114"/>
      <c r="DD1026" s="115"/>
      <c r="DE1026" s="97"/>
      <c r="DF1026" s="46"/>
    </row>
    <row r="1027" spans="1:110" s="42" customFormat="1" ht="135" x14ac:dyDescent="0.2">
      <c r="A1027" s="89">
        <v>40671</v>
      </c>
      <c r="B1027" s="90" t="s">
        <v>4244</v>
      </c>
      <c r="C1027" s="90" t="s">
        <v>3325</v>
      </c>
      <c r="D1027" s="90" t="s">
        <v>4264</v>
      </c>
      <c r="E1027" s="90" t="str">
        <f>VLOOKUP(B1027&amp;C1027,Divipola!$C$2:$F$1138,4,FALSE)</f>
        <v>76250</v>
      </c>
      <c r="F1027" s="101"/>
      <c r="G1027" s="101"/>
      <c r="H1027" s="101"/>
      <c r="I1027" s="101"/>
      <c r="J1027" s="101">
        <v>550</v>
      </c>
      <c r="K1027" s="101">
        <v>110</v>
      </c>
      <c r="L1027" s="101"/>
      <c r="M1027" s="101">
        <v>50</v>
      </c>
      <c r="N1027" s="101">
        <v>4</v>
      </c>
      <c r="O1027" s="101"/>
      <c r="P1027" s="101"/>
      <c r="Q1027" s="101"/>
      <c r="R1027" s="101"/>
      <c r="S1027" s="101"/>
      <c r="T1027" s="101"/>
      <c r="U1027" s="91"/>
      <c r="V1027" s="89"/>
      <c r="W1027" s="92"/>
      <c r="X1027" s="92"/>
      <c r="Y1027" s="92">
        <f t="shared" si="96"/>
        <v>23054724</v>
      </c>
      <c r="Z1027" s="92">
        <f t="shared" si="97"/>
        <v>12750000</v>
      </c>
      <c r="AA1027" s="92">
        <f t="shared" si="98"/>
        <v>0</v>
      </c>
      <c r="AB1027" s="92">
        <f t="shared" si="99"/>
        <v>0</v>
      </c>
      <c r="AC1027" s="92">
        <f>46*69999.04</f>
        <v>3219955.84</v>
      </c>
      <c r="AD1027" s="92">
        <v>15000000</v>
      </c>
      <c r="AE1027" s="92">
        <f t="shared" si="100"/>
        <v>54024679.840000004</v>
      </c>
      <c r="AF1027" s="93">
        <v>0</v>
      </c>
      <c r="AG1027" s="89"/>
      <c r="AH1027" s="96"/>
      <c r="AI1027" s="95" t="s">
        <v>4346</v>
      </c>
      <c r="AJ1027" s="96" t="s">
        <v>4347</v>
      </c>
      <c r="AK1027" s="100"/>
      <c r="AL1027" s="89"/>
      <c r="AM1027" s="90" t="s">
        <v>2404</v>
      </c>
      <c r="AN1027" s="90"/>
      <c r="AO1027" s="90"/>
      <c r="AP1027" s="101"/>
      <c r="AQ1027" s="101"/>
      <c r="AR1027" s="101"/>
      <c r="AS1027" s="101"/>
      <c r="AT1027" s="101"/>
      <c r="AU1027" s="101"/>
      <c r="AV1027" s="101"/>
      <c r="AW1027" s="101"/>
      <c r="AX1027" s="101"/>
      <c r="AY1027" s="101"/>
      <c r="AZ1027" s="101">
        <v>150</v>
      </c>
      <c r="BA1027" s="101">
        <f>150*55999.48</f>
        <v>8399922</v>
      </c>
      <c r="BB1027" s="101"/>
      <c r="BC1027" s="101"/>
      <c r="BD1027" s="101"/>
      <c r="BE1027" s="101"/>
      <c r="BF1027" s="91"/>
      <c r="BG1027" s="89"/>
      <c r="BH1027" s="92"/>
      <c r="BI1027" s="92"/>
      <c r="BJ1027" s="92"/>
      <c r="BK1027" s="92"/>
      <c r="BL1027" s="92"/>
      <c r="BM1027" s="92"/>
      <c r="BN1027" s="92"/>
      <c r="BO1027" s="93"/>
      <c r="BP1027" s="89"/>
      <c r="BQ1027" s="94"/>
      <c r="BR1027" s="89"/>
      <c r="BS1027" s="96"/>
      <c r="BT1027" s="97"/>
      <c r="BU1027" s="89"/>
      <c r="BV1027" s="100"/>
      <c r="BW1027" s="91"/>
      <c r="BX1027" s="91"/>
      <c r="BY1027" s="91"/>
      <c r="BZ1027" s="91"/>
      <c r="CA1027" s="91"/>
      <c r="CB1027" s="91"/>
      <c r="CC1027" s="91"/>
      <c r="CD1027" s="91"/>
      <c r="CE1027" s="91"/>
      <c r="CF1027" s="91"/>
      <c r="CG1027" s="91"/>
      <c r="CH1027" s="91"/>
      <c r="CI1027" s="91"/>
      <c r="CJ1027" s="91">
        <v>150</v>
      </c>
      <c r="CK1027" s="91">
        <f>150*20999.48</f>
        <v>3149922</v>
      </c>
      <c r="CL1027" s="91"/>
      <c r="CM1027" s="91"/>
      <c r="CN1027" s="91"/>
      <c r="CO1027" s="91"/>
      <c r="CP1027" s="114">
        <v>150</v>
      </c>
      <c r="CQ1027" s="115">
        <f>150*36999.36</f>
        <v>5549904</v>
      </c>
      <c r="CR1027" s="114">
        <v>150</v>
      </c>
      <c r="CS1027" s="115">
        <f>150*39699.84</f>
        <v>5954975.9999999991</v>
      </c>
      <c r="CT1027" s="114"/>
      <c r="CU1027" s="115"/>
      <c r="CV1027" s="99">
        <f t="shared" ref="CV1027:CV1090" si="101">AO1027+AQ1027+AS1027+AU1027+AW1027+AY1027+BA1027+BC1027+BE1027+BG1027+BI1027+BK1027+BM1027+BO1027+BQ1027+BS1027+BU1027+BW1027+BY1027+CA1027+CC1027+CE1027+CG1027+CI1027+CK1027+CM1027+CO1027+CQ1027+CS1027+CU1027</f>
        <v>23054724</v>
      </c>
      <c r="CW1027" s="114"/>
      <c r="CX1027" s="115"/>
      <c r="CY1027" s="114">
        <v>150</v>
      </c>
      <c r="CZ1027" s="115">
        <f>150*85000</f>
        <v>12750000</v>
      </c>
      <c r="DA1027" s="115"/>
      <c r="DB1027" s="115"/>
      <c r="DC1027" s="114"/>
      <c r="DD1027" s="115"/>
      <c r="DE1027" s="97"/>
      <c r="DF1027" s="46"/>
    </row>
    <row r="1028" spans="1:110" s="42" customFormat="1" ht="60" x14ac:dyDescent="0.2">
      <c r="A1028" s="89">
        <v>40672</v>
      </c>
      <c r="B1028" s="106" t="s">
        <v>4261</v>
      </c>
      <c r="C1028" s="106" t="s">
        <v>1320</v>
      </c>
      <c r="D1028" s="90" t="s">
        <v>2362</v>
      </c>
      <c r="E1028" s="90" t="str">
        <f>VLOOKUP(B1028&amp;C1028,Divipola!$C$2:$F$1138,4,FALSE)</f>
        <v>15763</v>
      </c>
      <c r="F1028" s="90"/>
      <c r="G1028" s="129"/>
      <c r="H1028" s="129"/>
      <c r="I1028" s="129"/>
      <c r="J1028" s="129">
        <v>699</v>
      </c>
      <c r="K1028" s="129">
        <v>109</v>
      </c>
      <c r="L1028" s="129"/>
      <c r="M1028" s="129">
        <v>109</v>
      </c>
      <c r="N1028" s="129">
        <v>1</v>
      </c>
      <c r="O1028" s="129"/>
      <c r="P1028" s="129"/>
      <c r="Q1028" s="129"/>
      <c r="R1028" s="129"/>
      <c r="S1028" s="129"/>
      <c r="T1028" s="129"/>
      <c r="U1028" s="129"/>
      <c r="V1028" s="129"/>
      <c r="W1028" s="107"/>
      <c r="X1028" s="105"/>
      <c r="Y1028" s="92">
        <f t="shared" si="96"/>
        <v>0</v>
      </c>
      <c r="Z1028" s="92">
        <f t="shared" si="97"/>
        <v>0</v>
      </c>
      <c r="AA1028" s="92">
        <f t="shared" si="98"/>
        <v>0</v>
      </c>
      <c r="AB1028" s="92">
        <f t="shared" si="99"/>
        <v>0</v>
      </c>
      <c r="AC1028" s="92"/>
      <c r="AD1028" s="92">
        <f>10000000+20000000</f>
        <v>30000000</v>
      </c>
      <c r="AE1028" s="92">
        <f t="shared" si="100"/>
        <v>30000000</v>
      </c>
      <c r="AF1028" s="93">
        <v>0</v>
      </c>
      <c r="AG1028" s="105"/>
      <c r="AH1028" s="108"/>
      <c r="AI1028" s="109" t="s">
        <v>4346</v>
      </c>
      <c r="AJ1028" s="110" t="s">
        <v>4347</v>
      </c>
      <c r="AK1028" s="111"/>
      <c r="AL1028" s="105"/>
      <c r="AM1028" s="112" t="s">
        <v>3763</v>
      </c>
      <c r="AN1028" s="107"/>
      <c r="AO1028" s="107"/>
      <c r="AP1028" s="107"/>
      <c r="AQ1028" s="107"/>
      <c r="AR1028" s="107"/>
      <c r="AS1028" s="107"/>
      <c r="AT1028" s="107"/>
      <c r="AU1028" s="107"/>
      <c r="AV1028" s="107"/>
      <c r="AW1028" s="107"/>
      <c r="AX1028" s="107"/>
      <c r="AY1028" s="107"/>
      <c r="AZ1028" s="107"/>
      <c r="BA1028" s="107"/>
      <c r="BB1028" s="107"/>
      <c r="BC1028" s="107"/>
      <c r="BD1028" s="107"/>
      <c r="BE1028" s="107"/>
      <c r="BF1028" s="107"/>
      <c r="BG1028" s="107"/>
      <c r="BH1028" s="107"/>
      <c r="BI1028" s="107"/>
      <c r="BJ1028" s="107"/>
      <c r="BK1028" s="107"/>
      <c r="BL1028" s="107"/>
      <c r="BM1028" s="107"/>
      <c r="BN1028" s="107"/>
      <c r="BO1028" s="107"/>
      <c r="BP1028" s="107"/>
      <c r="BQ1028" s="107"/>
      <c r="BR1028" s="107"/>
      <c r="BS1028" s="107"/>
      <c r="BT1028" s="107"/>
      <c r="BU1028" s="107"/>
      <c r="BV1028" s="107"/>
      <c r="BW1028" s="107"/>
      <c r="BX1028" s="107"/>
      <c r="BY1028" s="107"/>
      <c r="BZ1028" s="107"/>
      <c r="CA1028" s="107"/>
      <c r="CB1028" s="107"/>
      <c r="CC1028" s="107"/>
      <c r="CD1028" s="107"/>
      <c r="CE1028" s="107"/>
      <c r="CF1028" s="107"/>
      <c r="CG1028" s="107"/>
      <c r="CH1028" s="107"/>
      <c r="CI1028" s="107"/>
      <c r="CJ1028" s="107"/>
      <c r="CK1028" s="107"/>
      <c r="CL1028" s="107"/>
      <c r="CM1028" s="107"/>
      <c r="CN1028" s="118"/>
      <c r="CO1028" s="119"/>
      <c r="CP1028" s="118"/>
      <c r="CQ1028" s="119"/>
      <c r="CR1028" s="118"/>
      <c r="CS1028" s="119"/>
      <c r="CT1028" s="113"/>
      <c r="CU1028" s="118"/>
      <c r="CV1028" s="99">
        <f t="shared" si="101"/>
        <v>0</v>
      </c>
      <c r="CW1028" s="118"/>
      <c r="CX1028" s="119"/>
      <c r="CY1028" s="119"/>
      <c r="CZ1028" s="119"/>
      <c r="DA1028" s="118"/>
      <c r="DB1028" s="119"/>
      <c r="DC1028" s="111"/>
      <c r="DD1028" s="119"/>
      <c r="DE1028" s="111"/>
      <c r="DF1028" s="46"/>
    </row>
    <row r="1029" spans="1:110" s="42" customFormat="1" ht="22.5" x14ac:dyDescent="0.2">
      <c r="A1029" s="89">
        <v>40672</v>
      </c>
      <c r="B1029" s="106" t="s">
        <v>4387</v>
      </c>
      <c r="C1029" s="106" t="s">
        <v>3387</v>
      </c>
      <c r="D1029" s="90" t="s">
        <v>2362</v>
      </c>
      <c r="E1029" s="90" t="str">
        <f>VLOOKUP(B1029&amp;C1029,Divipola!$C$2:$F$1138,4,FALSE)</f>
        <v>52320</v>
      </c>
      <c r="F1029" s="90"/>
      <c r="G1029" s="279"/>
      <c r="H1029" s="279"/>
      <c r="I1029" s="279"/>
      <c r="J1029" s="129">
        <v>196</v>
      </c>
      <c r="K1029" s="129">
        <v>59</v>
      </c>
      <c r="L1029" s="129"/>
      <c r="M1029" s="129">
        <v>56</v>
      </c>
      <c r="N1029" s="129"/>
      <c r="O1029" s="129"/>
      <c r="P1029" s="129"/>
      <c r="Q1029" s="129"/>
      <c r="R1029" s="129"/>
      <c r="S1029" s="129"/>
      <c r="T1029" s="129"/>
      <c r="U1029" s="129"/>
      <c r="V1029" s="129"/>
      <c r="W1029" s="107"/>
      <c r="X1029" s="105"/>
      <c r="Y1029" s="92">
        <f t="shared" si="96"/>
        <v>0</v>
      </c>
      <c r="Z1029" s="92">
        <f t="shared" si="97"/>
        <v>0</v>
      </c>
      <c r="AA1029" s="92">
        <f t="shared" si="98"/>
        <v>0</v>
      </c>
      <c r="AB1029" s="92">
        <f t="shared" si="99"/>
        <v>0</v>
      </c>
      <c r="AC1029" s="92"/>
      <c r="AD1029" s="92">
        <v>0</v>
      </c>
      <c r="AE1029" s="92">
        <f t="shared" si="100"/>
        <v>0</v>
      </c>
      <c r="AF1029" s="93">
        <v>0</v>
      </c>
      <c r="AG1029" s="105"/>
      <c r="AH1029" s="108"/>
      <c r="AI1029" s="109" t="s">
        <v>4336</v>
      </c>
      <c r="AJ1029" s="110" t="s">
        <v>4337</v>
      </c>
      <c r="AK1029" s="111"/>
      <c r="AL1029" s="105" t="s">
        <v>1069</v>
      </c>
      <c r="AM1029" s="90"/>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18"/>
      <c r="CO1029" s="119"/>
      <c r="CP1029" s="118"/>
      <c r="CQ1029" s="119"/>
      <c r="CR1029" s="118"/>
      <c r="CS1029" s="119"/>
      <c r="CT1029" s="113"/>
      <c r="CU1029" s="118"/>
      <c r="CV1029" s="99">
        <f t="shared" si="101"/>
        <v>0</v>
      </c>
      <c r="CW1029" s="118"/>
      <c r="CX1029" s="119"/>
      <c r="CY1029" s="119"/>
      <c r="CZ1029" s="119"/>
      <c r="DA1029" s="118"/>
      <c r="DB1029" s="119"/>
      <c r="DC1029" s="111"/>
      <c r="DD1029" s="119"/>
      <c r="DE1029" s="111"/>
      <c r="DF1029" s="46"/>
    </row>
    <row r="1030" spans="1:110" s="42" customFormat="1" ht="22.5" x14ac:dyDescent="0.2">
      <c r="A1030" s="89">
        <v>40672</v>
      </c>
      <c r="B1030" s="106" t="s">
        <v>4387</v>
      </c>
      <c r="C1030" s="106" t="s">
        <v>4387</v>
      </c>
      <c r="D1030" s="90" t="s">
        <v>2362</v>
      </c>
      <c r="E1030" s="90" t="str">
        <f>VLOOKUP(B1030&amp;C1030,Divipola!$C$2:$F$1138,4,FALSE)</f>
        <v>52480</v>
      </c>
      <c r="F1030" s="90"/>
      <c r="G1030" s="279"/>
      <c r="H1030" s="279"/>
      <c r="I1030" s="279"/>
      <c r="J1030" s="129">
        <v>21</v>
      </c>
      <c r="K1030" s="129">
        <v>5</v>
      </c>
      <c r="L1030" s="129"/>
      <c r="M1030" s="129">
        <v>5</v>
      </c>
      <c r="N1030" s="129"/>
      <c r="O1030" s="129"/>
      <c r="P1030" s="129"/>
      <c r="Q1030" s="129"/>
      <c r="R1030" s="129"/>
      <c r="S1030" s="129"/>
      <c r="T1030" s="129"/>
      <c r="U1030" s="129"/>
      <c r="V1030" s="129"/>
      <c r="W1030" s="107"/>
      <c r="X1030" s="105"/>
      <c r="Y1030" s="92">
        <f t="shared" si="96"/>
        <v>0</v>
      </c>
      <c r="Z1030" s="92">
        <f t="shared" si="97"/>
        <v>0</v>
      </c>
      <c r="AA1030" s="92">
        <f t="shared" si="98"/>
        <v>0</v>
      </c>
      <c r="AB1030" s="92">
        <f t="shared" si="99"/>
        <v>0</v>
      </c>
      <c r="AC1030" s="92"/>
      <c r="AD1030" s="92">
        <v>0</v>
      </c>
      <c r="AE1030" s="92">
        <f t="shared" si="100"/>
        <v>0</v>
      </c>
      <c r="AF1030" s="93">
        <v>0</v>
      </c>
      <c r="AG1030" s="105"/>
      <c r="AH1030" s="108"/>
      <c r="AI1030" s="109" t="s">
        <v>4336</v>
      </c>
      <c r="AJ1030" s="110" t="s">
        <v>4337</v>
      </c>
      <c r="AK1030" s="111"/>
      <c r="AL1030" s="105" t="s">
        <v>1069</v>
      </c>
      <c r="AM1030" s="90"/>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18"/>
      <c r="CO1030" s="119"/>
      <c r="CP1030" s="118"/>
      <c r="CQ1030" s="119"/>
      <c r="CR1030" s="118"/>
      <c r="CS1030" s="119"/>
      <c r="CT1030" s="113"/>
      <c r="CU1030" s="118"/>
      <c r="CV1030" s="99">
        <f t="shared" si="101"/>
        <v>0</v>
      </c>
      <c r="CW1030" s="118"/>
      <c r="CX1030" s="119"/>
      <c r="CY1030" s="119"/>
      <c r="CZ1030" s="119"/>
      <c r="DA1030" s="118"/>
      <c r="DB1030" s="119"/>
      <c r="DC1030" s="111"/>
      <c r="DD1030" s="119"/>
      <c r="DE1030" s="111"/>
      <c r="DF1030" s="46"/>
    </row>
    <row r="1031" spans="1:110" s="42" customFormat="1" ht="56.25" x14ac:dyDescent="0.2">
      <c r="A1031" s="89">
        <v>40672</v>
      </c>
      <c r="B1031" s="90" t="s">
        <v>4244</v>
      </c>
      <c r="C1031" s="90" t="s">
        <v>4352</v>
      </c>
      <c r="D1031" s="90" t="s">
        <v>4264</v>
      </c>
      <c r="E1031" s="90" t="str">
        <f>VLOOKUP(B1031&amp;C1031,Divipola!$C$2:$F$1138,4,FALSE)</f>
        <v>76100</v>
      </c>
      <c r="F1031" s="101"/>
      <c r="G1031" s="101"/>
      <c r="H1031" s="101"/>
      <c r="I1031" s="101"/>
      <c r="J1031" s="101">
        <v>150</v>
      </c>
      <c r="K1031" s="101">
        <v>30</v>
      </c>
      <c r="L1031" s="101"/>
      <c r="M1031" s="101">
        <v>30</v>
      </c>
      <c r="N1031" s="101"/>
      <c r="O1031" s="101"/>
      <c r="P1031" s="101"/>
      <c r="Q1031" s="101"/>
      <c r="R1031" s="101"/>
      <c r="S1031" s="101"/>
      <c r="T1031" s="101"/>
      <c r="U1031" s="91"/>
      <c r="V1031" s="89"/>
      <c r="W1031" s="92"/>
      <c r="X1031" s="92"/>
      <c r="Y1031" s="92">
        <f t="shared" si="96"/>
        <v>0</v>
      </c>
      <c r="Z1031" s="92">
        <f t="shared" si="97"/>
        <v>0</v>
      </c>
      <c r="AA1031" s="92">
        <f t="shared" si="98"/>
        <v>0</v>
      </c>
      <c r="AB1031" s="92">
        <f t="shared" si="99"/>
        <v>0</v>
      </c>
      <c r="AC1031" s="92"/>
      <c r="AD1031" s="92">
        <v>0</v>
      </c>
      <c r="AE1031" s="92">
        <f t="shared" si="100"/>
        <v>0</v>
      </c>
      <c r="AF1031" s="93">
        <v>0</v>
      </c>
      <c r="AG1031" s="89"/>
      <c r="AH1031" s="96"/>
      <c r="AI1031" s="102" t="s">
        <v>4336</v>
      </c>
      <c r="AJ1031" s="96" t="s">
        <v>4337</v>
      </c>
      <c r="AK1031" s="100"/>
      <c r="AL1031" s="89"/>
      <c r="AM1031" s="90" t="s">
        <v>2802</v>
      </c>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114"/>
      <c r="CQ1031" s="115"/>
      <c r="CR1031" s="114"/>
      <c r="CS1031" s="115"/>
      <c r="CT1031" s="114"/>
      <c r="CU1031" s="115"/>
      <c r="CV1031" s="99">
        <f t="shared" si="101"/>
        <v>0</v>
      </c>
      <c r="CW1031" s="114"/>
      <c r="CX1031" s="115"/>
      <c r="CY1031" s="114"/>
      <c r="CZ1031" s="115"/>
      <c r="DA1031" s="115"/>
      <c r="DB1031" s="115"/>
      <c r="DC1031" s="114"/>
      <c r="DD1031" s="115"/>
      <c r="DE1031" s="97"/>
      <c r="DF1031" s="46"/>
    </row>
    <row r="1032" spans="1:110" s="42" customFormat="1" ht="24" x14ac:dyDescent="0.2">
      <c r="A1032" s="89">
        <v>40673</v>
      </c>
      <c r="B1032" s="106" t="s">
        <v>4261</v>
      </c>
      <c r="C1032" s="106" t="s">
        <v>2588</v>
      </c>
      <c r="D1032" s="90" t="s">
        <v>4264</v>
      </c>
      <c r="E1032" s="90" t="str">
        <f>VLOOKUP(B1032&amp;C1032,Divipola!$C$2:$F$1138,4,FALSE)</f>
        <v>15090</v>
      </c>
      <c r="F1032" s="4"/>
      <c r="G1032" s="274"/>
      <c r="H1032" s="274"/>
      <c r="I1032" s="274"/>
      <c r="J1032" s="129">
        <v>170</v>
      </c>
      <c r="K1032" s="129">
        <v>34</v>
      </c>
      <c r="L1032" s="129"/>
      <c r="M1032" s="129">
        <v>34</v>
      </c>
      <c r="N1032" s="129"/>
      <c r="O1032" s="208"/>
      <c r="P1032" s="208"/>
      <c r="Q1032" s="208"/>
      <c r="R1032" s="208"/>
      <c r="S1032" s="208"/>
      <c r="T1032" s="208"/>
      <c r="U1032" s="208"/>
      <c r="V1032" s="208"/>
      <c r="W1032" s="19"/>
      <c r="X1032" s="17"/>
      <c r="Y1032" s="5">
        <f t="shared" si="96"/>
        <v>0</v>
      </c>
      <c r="Z1032" s="5">
        <f t="shared" si="97"/>
        <v>0</v>
      </c>
      <c r="AA1032" s="5">
        <f t="shared" si="98"/>
        <v>0</v>
      </c>
      <c r="AB1032" s="5">
        <f t="shared" si="99"/>
        <v>0</v>
      </c>
      <c r="AC1032" s="5"/>
      <c r="AD1032" s="5">
        <v>0</v>
      </c>
      <c r="AE1032" s="5">
        <f t="shared" si="100"/>
        <v>0</v>
      </c>
      <c r="AF1032" s="70">
        <v>0</v>
      </c>
      <c r="AG1032" s="17"/>
      <c r="AH1032" s="18"/>
      <c r="AI1032" s="47" t="s">
        <v>4346</v>
      </c>
      <c r="AJ1032" s="73" t="s">
        <v>4347</v>
      </c>
      <c r="AK1032" s="275"/>
      <c r="AL1032" s="89" t="s">
        <v>2798</v>
      </c>
      <c r="AM1032" s="112" t="s">
        <v>1101</v>
      </c>
      <c r="AN1032" s="19"/>
      <c r="AO1032" s="19"/>
      <c r="AP1032" s="19"/>
      <c r="AQ1032" s="19"/>
      <c r="AR1032" s="19"/>
      <c r="AS1032" s="19"/>
      <c r="AT1032" s="19"/>
      <c r="AU1032" s="19"/>
      <c r="AV1032" s="19"/>
      <c r="AW1032" s="19"/>
      <c r="AX1032" s="107"/>
      <c r="AY1032" s="107"/>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39"/>
      <c r="CO1032" s="138"/>
      <c r="CP1032" s="139"/>
      <c r="CQ1032" s="138"/>
      <c r="CR1032" s="139"/>
      <c r="CS1032" s="138"/>
      <c r="CT1032" s="72"/>
      <c r="CU1032" s="139"/>
      <c r="CV1032" s="99">
        <f t="shared" si="101"/>
        <v>0</v>
      </c>
      <c r="CW1032" s="139"/>
      <c r="CX1032" s="138"/>
      <c r="CY1032" s="138"/>
      <c r="CZ1032" s="138"/>
      <c r="DA1032" s="139"/>
      <c r="DB1032" s="138"/>
      <c r="DC1032" s="45"/>
      <c r="DD1032" s="138"/>
      <c r="DE1032" s="45"/>
      <c r="DF1032" s="46"/>
    </row>
    <row r="1033" spans="1:110" s="42" customFormat="1" ht="72" x14ac:dyDescent="0.2">
      <c r="A1033" s="89">
        <v>40673</v>
      </c>
      <c r="B1033" s="106" t="s">
        <v>4261</v>
      </c>
      <c r="C1033" s="106" t="s">
        <v>2629</v>
      </c>
      <c r="D1033" s="90" t="s">
        <v>4264</v>
      </c>
      <c r="E1033" s="90" t="str">
        <f>VLOOKUP(B1033&amp;C1033,Divipola!$C$2:$F$1138,4,FALSE)</f>
        <v>15189</v>
      </c>
      <c r="F1033" s="4"/>
      <c r="G1033" s="274"/>
      <c r="H1033" s="274"/>
      <c r="I1033" s="274"/>
      <c r="J1033" s="129">
        <v>275</v>
      </c>
      <c r="K1033" s="129">
        <v>55</v>
      </c>
      <c r="L1033" s="129">
        <v>14</v>
      </c>
      <c r="M1033" s="129">
        <v>16</v>
      </c>
      <c r="N1033" s="208"/>
      <c r="O1033" s="208"/>
      <c r="P1033" s="208"/>
      <c r="Q1033" s="208"/>
      <c r="R1033" s="208"/>
      <c r="S1033" s="208"/>
      <c r="T1033" s="208"/>
      <c r="U1033" s="208"/>
      <c r="V1033" s="208">
        <v>17</v>
      </c>
      <c r="W1033" s="19"/>
      <c r="X1033" s="17"/>
      <c r="Y1033" s="5">
        <f t="shared" si="96"/>
        <v>0</v>
      </c>
      <c r="Z1033" s="5">
        <f t="shared" si="97"/>
        <v>0</v>
      </c>
      <c r="AA1033" s="5">
        <f t="shared" si="98"/>
        <v>0</v>
      </c>
      <c r="AB1033" s="5">
        <f t="shared" si="99"/>
        <v>0</v>
      </c>
      <c r="AC1033" s="5"/>
      <c r="AD1033" s="5">
        <v>0</v>
      </c>
      <c r="AE1033" s="5">
        <f t="shared" si="100"/>
        <v>0</v>
      </c>
      <c r="AF1033" s="70">
        <v>0</v>
      </c>
      <c r="AG1033" s="17"/>
      <c r="AH1033" s="18"/>
      <c r="AI1033" s="47" t="s">
        <v>4336</v>
      </c>
      <c r="AJ1033" s="73" t="s">
        <v>4337</v>
      </c>
      <c r="AK1033" s="275"/>
      <c r="AL1033" s="276"/>
      <c r="AM1033" s="112" t="s">
        <v>1098</v>
      </c>
      <c r="AN1033" s="19"/>
      <c r="AO1033" s="19"/>
      <c r="AP1033" s="19"/>
      <c r="AQ1033" s="19"/>
      <c r="AR1033" s="19"/>
      <c r="AS1033" s="19"/>
      <c r="AT1033" s="19"/>
      <c r="AU1033" s="19"/>
      <c r="AV1033" s="19"/>
      <c r="AW1033" s="19"/>
      <c r="AX1033" s="107"/>
      <c r="AY1033" s="107"/>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39"/>
      <c r="CO1033" s="138"/>
      <c r="CP1033" s="139"/>
      <c r="CQ1033" s="138"/>
      <c r="CR1033" s="139"/>
      <c r="CS1033" s="138"/>
      <c r="CT1033" s="72"/>
      <c r="CU1033" s="139"/>
      <c r="CV1033" s="99">
        <f t="shared" si="101"/>
        <v>0</v>
      </c>
      <c r="CW1033" s="139"/>
      <c r="CX1033" s="138"/>
      <c r="CY1033" s="138"/>
      <c r="CZ1033" s="138"/>
      <c r="DA1033" s="139"/>
      <c r="DB1033" s="138"/>
      <c r="DC1033" s="45"/>
      <c r="DD1033" s="138"/>
      <c r="DE1033" s="45"/>
      <c r="DF1033" s="46"/>
    </row>
    <row r="1034" spans="1:110" s="42" customFormat="1" x14ac:dyDescent="0.2">
      <c r="A1034" s="89">
        <v>40673</v>
      </c>
      <c r="B1034" s="90" t="s">
        <v>4353</v>
      </c>
      <c r="C1034" s="90" t="s">
        <v>4345</v>
      </c>
      <c r="D1034" s="90" t="s">
        <v>4264</v>
      </c>
      <c r="E1034" s="90">
        <f>VLOOKUP(B1034&amp;C1034,Divipola!$C$2:$F$1138,4,FALSE)</f>
        <v>85</v>
      </c>
      <c r="F1034" s="101"/>
      <c r="G1034" s="101"/>
      <c r="H1034" s="101"/>
      <c r="I1034" s="101"/>
      <c r="J1034" s="101"/>
      <c r="K1034" s="101"/>
      <c r="L1034" s="101"/>
      <c r="M1034" s="101"/>
      <c r="N1034" s="101"/>
      <c r="O1034" s="101"/>
      <c r="P1034" s="101"/>
      <c r="Q1034" s="101"/>
      <c r="R1034" s="101"/>
      <c r="S1034" s="101"/>
      <c r="T1034" s="101"/>
      <c r="U1034" s="91"/>
      <c r="V1034" s="89"/>
      <c r="W1034" s="92"/>
      <c r="X1034" s="92"/>
      <c r="Y1034" s="92">
        <f t="shared" si="96"/>
        <v>357978000</v>
      </c>
      <c r="Z1034" s="92">
        <f t="shared" si="97"/>
        <v>161840000</v>
      </c>
      <c r="AA1034" s="92">
        <f t="shared" si="98"/>
        <v>66000000</v>
      </c>
      <c r="AB1034" s="92">
        <f t="shared" si="99"/>
        <v>0</v>
      </c>
      <c r="AC1034" s="92"/>
      <c r="AD1034" s="92">
        <v>0</v>
      </c>
      <c r="AE1034" s="92">
        <f t="shared" si="100"/>
        <v>585818000</v>
      </c>
      <c r="AF1034" s="93">
        <v>0</v>
      </c>
      <c r="AG1034" s="89"/>
      <c r="AH1034" s="96"/>
      <c r="AI1034" s="102" t="s">
        <v>4346</v>
      </c>
      <c r="AJ1034" s="96" t="s">
        <v>4347</v>
      </c>
      <c r="AK1034" s="100"/>
      <c r="AL1034" s="105"/>
      <c r="AM1034" s="112" t="s">
        <v>2823</v>
      </c>
      <c r="AN1034" s="107"/>
      <c r="AO1034" s="107"/>
      <c r="AP1034" s="107"/>
      <c r="AQ1034" s="107"/>
      <c r="AR1034" s="107"/>
      <c r="AS1034" s="107"/>
      <c r="AT1034" s="107"/>
      <c r="AU1034" s="107"/>
      <c r="AV1034" s="107"/>
      <c r="AW1034" s="107"/>
      <c r="AX1034" s="107"/>
      <c r="AY1034" s="107"/>
      <c r="AZ1034" s="107">
        <v>1200</v>
      </c>
      <c r="BA1034" s="107">
        <f>1200*56000</f>
        <v>67200000</v>
      </c>
      <c r="BB1034" s="107"/>
      <c r="BC1034" s="107"/>
      <c r="BD1034" s="107"/>
      <c r="BE1034" s="107"/>
      <c r="BF1034" s="107"/>
      <c r="BG1034" s="107"/>
      <c r="BH1034" s="107"/>
      <c r="BI1034" s="107"/>
      <c r="BJ1034" s="107"/>
      <c r="BK1034" s="107"/>
      <c r="BL1034" s="107">
        <v>1500</v>
      </c>
      <c r="BM1034" s="107">
        <f>1500*25500</f>
        <v>38250000</v>
      </c>
      <c r="BN1034" s="107"/>
      <c r="BO1034" s="107"/>
      <c r="BP1034" s="107"/>
      <c r="BQ1034" s="107"/>
      <c r="BR1034" s="107"/>
      <c r="BS1034" s="107"/>
      <c r="BT1034" s="107"/>
      <c r="BU1034" s="107"/>
      <c r="BV1034" s="107"/>
      <c r="BW1034" s="107"/>
      <c r="BX1034" s="107"/>
      <c r="BY1034" s="107"/>
      <c r="BZ1034" s="107"/>
      <c r="CA1034" s="107"/>
      <c r="CB1034" s="107"/>
      <c r="CC1034" s="107"/>
      <c r="CD1034" s="107"/>
      <c r="CE1034" s="107"/>
      <c r="CF1034" s="107"/>
      <c r="CG1034" s="107"/>
      <c r="CH1034" s="107">
        <v>1200</v>
      </c>
      <c r="CI1034" s="107">
        <f>1200*18000</f>
        <v>21600000</v>
      </c>
      <c r="CJ1034" s="107">
        <f>1200+1500</f>
        <v>2700</v>
      </c>
      <c r="CK1034" s="107">
        <f>1200*21500+1500*21500</f>
        <v>58050000</v>
      </c>
      <c r="CL1034" s="107"/>
      <c r="CM1034" s="107"/>
      <c r="CN1034" s="118">
        <v>1500</v>
      </c>
      <c r="CO1034" s="119">
        <f>1500*18000</f>
        <v>27000000</v>
      </c>
      <c r="CP1034" s="118">
        <v>1904</v>
      </c>
      <c r="CQ1034" s="119">
        <f>1904*37000</f>
        <v>70448000</v>
      </c>
      <c r="CR1034" s="118">
        <v>1900</v>
      </c>
      <c r="CS1034" s="119">
        <f>1900*39700</f>
        <v>75430000</v>
      </c>
      <c r="CT1034" s="113"/>
      <c r="CU1034" s="118"/>
      <c r="CV1034" s="99">
        <f t="shared" si="101"/>
        <v>357978000</v>
      </c>
      <c r="CW1034" s="118"/>
      <c r="CX1034" s="119"/>
      <c r="CY1034" s="119">
        <v>1904</v>
      </c>
      <c r="CZ1034" s="119">
        <f>1904*85000</f>
        <v>161840000</v>
      </c>
      <c r="DA1034" s="118"/>
      <c r="DB1034" s="119"/>
      <c r="DC1034" s="111">
        <v>3000</v>
      </c>
      <c r="DD1034" s="119">
        <f>3000*22000</f>
        <v>66000000</v>
      </c>
      <c r="DE1034" s="111"/>
      <c r="DF1034" s="46"/>
    </row>
    <row r="1035" spans="1:110" s="42" customFormat="1" x14ac:dyDescent="0.2">
      <c r="A1035" s="89">
        <v>40673</v>
      </c>
      <c r="B1035" s="90" t="s">
        <v>4353</v>
      </c>
      <c r="C1035" s="90" t="s">
        <v>4354</v>
      </c>
      <c r="D1035" s="90" t="s">
        <v>4264</v>
      </c>
      <c r="E1035" s="90" t="str">
        <f>VLOOKUP(B1035&amp;C1035,Divipola!$C$2:$F$1138,4,FALSE)</f>
        <v>85230</v>
      </c>
      <c r="F1035" s="101"/>
      <c r="G1035" s="101"/>
      <c r="H1035" s="101"/>
      <c r="I1035" s="101"/>
      <c r="J1035" s="101">
        <v>625</v>
      </c>
      <c r="K1035" s="101">
        <v>125</v>
      </c>
      <c r="L1035" s="101"/>
      <c r="M1035" s="101">
        <v>125</v>
      </c>
      <c r="N1035" s="101"/>
      <c r="O1035" s="101"/>
      <c r="P1035" s="101"/>
      <c r="Q1035" s="101"/>
      <c r="R1035" s="101"/>
      <c r="S1035" s="101"/>
      <c r="T1035" s="101"/>
      <c r="U1035" s="91"/>
      <c r="V1035" s="89"/>
      <c r="W1035" s="92"/>
      <c r="X1035" s="92"/>
      <c r="Y1035" s="92">
        <f t="shared" si="96"/>
        <v>0</v>
      </c>
      <c r="Z1035" s="92">
        <f t="shared" si="97"/>
        <v>0</v>
      </c>
      <c r="AA1035" s="92">
        <f t="shared" si="98"/>
        <v>0</v>
      </c>
      <c r="AB1035" s="92">
        <f t="shared" si="99"/>
        <v>0</v>
      </c>
      <c r="AC1035" s="92"/>
      <c r="AD1035" s="92">
        <v>0</v>
      </c>
      <c r="AE1035" s="92">
        <f t="shared" si="100"/>
        <v>0</v>
      </c>
      <c r="AF1035" s="93">
        <v>0</v>
      </c>
      <c r="AG1035" s="89"/>
      <c r="AH1035" s="96"/>
      <c r="AI1035" s="102" t="s">
        <v>4346</v>
      </c>
      <c r="AJ1035" s="96" t="s">
        <v>4347</v>
      </c>
      <c r="AK1035" s="100"/>
      <c r="AL1035" s="89" t="s">
        <v>2798</v>
      </c>
      <c r="AM1035" s="112" t="s">
        <v>3530</v>
      </c>
      <c r="AN1035" s="107"/>
      <c r="AO1035" s="107"/>
      <c r="AP1035" s="107"/>
      <c r="AQ1035" s="107"/>
      <c r="AR1035" s="107"/>
      <c r="AS1035" s="107"/>
      <c r="AT1035" s="107"/>
      <c r="AU1035" s="107"/>
      <c r="AV1035" s="91"/>
      <c r="AW1035" s="91"/>
      <c r="AX1035" s="107"/>
      <c r="AY1035" s="107"/>
      <c r="AZ1035" s="107"/>
      <c r="BA1035" s="107"/>
      <c r="BB1035" s="107"/>
      <c r="BC1035" s="107"/>
      <c r="BD1035" s="107"/>
      <c r="BE1035" s="107"/>
      <c r="BF1035" s="107"/>
      <c r="BG1035" s="107"/>
      <c r="BH1035" s="107"/>
      <c r="BI1035" s="107"/>
      <c r="BJ1035" s="107"/>
      <c r="BK1035" s="107"/>
      <c r="BL1035" s="107"/>
      <c r="BM1035" s="107"/>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18"/>
      <c r="CQ1035" s="119"/>
      <c r="CR1035" s="118"/>
      <c r="CS1035" s="119"/>
      <c r="CT1035" s="118"/>
      <c r="CU1035" s="119"/>
      <c r="CV1035" s="99">
        <f t="shared" si="101"/>
        <v>0</v>
      </c>
      <c r="CW1035" s="118"/>
      <c r="CX1035" s="119"/>
      <c r="CY1035" s="118"/>
      <c r="CZ1035" s="119"/>
      <c r="DA1035" s="119"/>
      <c r="DB1035" s="119"/>
      <c r="DC1035" s="118"/>
      <c r="DD1035" s="119"/>
      <c r="DE1035" s="111"/>
      <c r="DF1035" s="46"/>
    </row>
    <row r="1036" spans="1:110" s="42" customFormat="1" ht="22.5" x14ac:dyDescent="0.2">
      <c r="A1036" s="89">
        <v>40673</v>
      </c>
      <c r="B1036" s="90" t="s">
        <v>4353</v>
      </c>
      <c r="C1036" s="90" t="s">
        <v>3276</v>
      </c>
      <c r="D1036" s="90" t="s">
        <v>4264</v>
      </c>
      <c r="E1036" s="90" t="str">
        <f>VLOOKUP(B1036&amp;C1036,Divipola!$C$2:$F$1138,4,FALSE)</f>
        <v>85325</v>
      </c>
      <c r="F1036" s="101"/>
      <c r="G1036" s="101"/>
      <c r="H1036" s="101"/>
      <c r="I1036" s="101"/>
      <c r="J1036" s="101">
        <v>1280</v>
      </c>
      <c r="K1036" s="101">
        <v>256</v>
      </c>
      <c r="L1036" s="101"/>
      <c r="M1036" s="101">
        <v>256</v>
      </c>
      <c r="N1036" s="101"/>
      <c r="O1036" s="101"/>
      <c r="P1036" s="101"/>
      <c r="Q1036" s="101"/>
      <c r="R1036" s="101"/>
      <c r="S1036" s="101"/>
      <c r="T1036" s="101"/>
      <c r="U1036" s="91"/>
      <c r="V1036" s="89"/>
      <c r="W1036" s="92"/>
      <c r="X1036" s="92"/>
      <c r="Y1036" s="92">
        <f t="shared" si="96"/>
        <v>0</v>
      </c>
      <c r="Z1036" s="92">
        <f t="shared" si="97"/>
        <v>0</v>
      </c>
      <c r="AA1036" s="92">
        <f t="shared" si="98"/>
        <v>0</v>
      </c>
      <c r="AB1036" s="92">
        <f t="shared" si="99"/>
        <v>0</v>
      </c>
      <c r="AC1036" s="92"/>
      <c r="AD1036" s="92">
        <v>0</v>
      </c>
      <c r="AE1036" s="92">
        <f t="shared" si="100"/>
        <v>0</v>
      </c>
      <c r="AF1036" s="93">
        <v>0</v>
      </c>
      <c r="AG1036" s="89"/>
      <c r="AH1036" s="96"/>
      <c r="AI1036" s="102" t="s">
        <v>4346</v>
      </c>
      <c r="AJ1036" s="96" t="s">
        <v>4347</v>
      </c>
      <c r="AK1036" s="100"/>
      <c r="AL1036" s="89" t="s">
        <v>2798</v>
      </c>
      <c r="AM1036" s="112" t="s">
        <v>3530</v>
      </c>
      <c r="AN1036" s="107"/>
      <c r="AO1036" s="107"/>
      <c r="AP1036" s="107"/>
      <c r="AQ1036" s="107"/>
      <c r="AR1036" s="107"/>
      <c r="AS1036" s="107"/>
      <c r="AT1036" s="107"/>
      <c r="AU1036" s="107"/>
      <c r="AV1036" s="91"/>
      <c r="AW1036" s="91"/>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18"/>
      <c r="CQ1036" s="119"/>
      <c r="CR1036" s="118"/>
      <c r="CS1036" s="119"/>
      <c r="CT1036" s="118"/>
      <c r="CU1036" s="119"/>
      <c r="CV1036" s="99">
        <f t="shared" si="101"/>
        <v>0</v>
      </c>
      <c r="CW1036" s="118"/>
      <c r="CX1036" s="119"/>
      <c r="CY1036" s="118"/>
      <c r="CZ1036" s="119"/>
      <c r="DA1036" s="119"/>
      <c r="DB1036" s="119"/>
      <c r="DC1036" s="118"/>
      <c r="DD1036" s="119"/>
      <c r="DE1036" s="111"/>
      <c r="DF1036" s="46">
        <v>1776</v>
      </c>
    </row>
    <row r="1037" spans="1:110" s="42" customFormat="1" ht="45" x14ac:dyDescent="0.2">
      <c r="A1037" s="89">
        <v>40673</v>
      </c>
      <c r="B1037" s="106" t="s">
        <v>4353</v>
      </c>
      <c r="C1037" s="106" t="s">
        <v>3277</v>
      </c>
      <c r="D1037" s="90" t="s">
        <v>4264</v>
      </c>
      <c r="E1037" s="90" t="str">
        <f>VLOOKUP(B1037&amp;C1037,Divipola!$C$2:$F$1138,4,FALSE)</f>
        <v>85400</v>
      </c>
      <c r="F1037" s="90"/>
      <c r="G1037" s="129"/>
      <c r="H1037" s="129"/>
      <c r="I1037" s="129"/>
      <c r="J1037" s="129">
        <v>500</v>
      </c>
      <c r="K1037" s="129">
        <v>100</v>
      </c>
      <c r="L1037" s="129"/>
      <c r="M1037" s="129">
        <v>100</v>
      </c>
      <c r="N1037" s="129"/>
      <c r="O1037" s="129"/>
      <c r="P1037" s="129"/>
      <c r="Q1037" s="129"/>
      <c r="R1037" s="129"/>
      <c r="S1037" s="129"/>
      <c r="T1037" s="129"/>
      <c r="U1037" s="129"/>
      <c r="V1037" s="129"/>
      <c r="W1037" s="107"/>
      <c r="X1037" s="105"/>
      <c r="Y1037" s="92">
        <f t="shared" si="96"/>
        <v>0</v>
      </c>
      <c r="Z1037" s="92">
        <f t="shared" si="97"/>
        <v>0</v>
      </c>
      <c r="AA1037" s="92">
        <f t="shared" si="98"/>
        <v>0</v>
      </c>
      <c r="AB1037" s="92">
        <f t="shared" si="99"/>
        <v>0</v>
      </c>
      <c r="AC1037" s="92"/>
      <c r="AD1037" s="92">
        <v>25000000</v>
      </c>
      <c r="AE1037" s="92">
        <f t="shared" si="100"/>
        <v>25000000</v>
      </c>
      <c r="AF1037" s="93">
        <v>0</v>
      </c>
      <c r="AG1037" s="105"/>
      <c r="AH1037" s="108"/>
      <c r="AI1037" s="95" t="s">
        <v>4346</v>
      </c>
      <c r="AJ1037" s="96" t="s">
        <v>4347</v>
      </c>
      <c r="AK1037" s="97"/>
      <c r="AL1037" s="89" t="s">
        <v>2798</v>
      </c>
      <c r="AM1037" s="90" t="s">
        <v>919</v>
      </c>
      <c r="AN1037" s="90"/>
      <c r="AO1037" s="90"/>
      <c r="AP1037" s="101"/>
      <c r="AQ1037" s="101"/>
      <c r="AR1037" s="101"/>
      <c r="AS1037" s="101"/>
      <c r="AT1037" s="101"/>
      <c r="AU1037" s="101"/>
      <c r="AV1037" s="101"/>
      <c r="AW1037" s="101"/>
      <c r="AX1037" s="101"/>
      <c r="AY1037" s="101"/>
      <c r="AZ1037" s="101"/>
      <c r="BA1037" s="101"/>
      <c r="BB1037" s="101"/>
      <c r="BC1037" s="101"/>
      <c r="BD1037" s="101"/>
      <c r="BE1037" s="101"/>
      <c r="BF1037" s="91"/>
      <c r="BG1037" s="89"/>
      <c r="BH1037" s="92"/>
      <c r="BI1037" s="92"/>
      <c r="BJ1037" s="92"/>
      <c r="BK1037" s="92"/>
      <c r="BL1037" s="92"/>
      <c r="BM1037" s="92"/>
      <c r="BN1037" s="92"/>
      <c r="BO1037" s="93"/>
      <c r="BP1037" s="89"/>
      <c r="BQ1037" s="94"/>
      <c r="BR1037" s="89"/>
      <c r="BS1037" s="96"/>
      <c r="BT1037" s="97"/>
      <c r="BU1037" s="89"/>
      <c r="BV1037" s="100"/>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18"/>
      <c r="CQ1037" s="119"/>
      <c r="CR1037" s="118"/>
      <c r="CS1037" s="119"/>
      <c r="CT1037" s="118"/>
      <c r="CU1037" s="119"/>
      <c r="CV1037" s="99">
        <f t="shared" si="101"/>
        <v>0</v>
      </c>
      <c r="CW1037" s="118"/>
      <c r="CX1037" s="119"/>
      <c r="CY1037" s="118"/>
      <c r="CZ1037" s="119"/>
      <c r="DA1037" s="119"/>
      <c r="DB1037" s="119"/>
      <c r="DC1037" s="118"/>
      <c r="DD1037" s="119"/>
      <c r="DE1037" s="111"/>
      <c r="DF1037" s="46"/>
    </row>
    <row r="1038" spans="1:110" s="42" customFormat="1" x14ac:dyDescent="0.2">
      <c r="A1038" s="89">
        <v>40673</v>
      </c>
      <c r="B1038" s="106" t="s">
        <v>4353</v>
      </c>
      <c r="C1038" s="106" t="s">
        <v>3532</v>
      </c>
      <c r="D1038" s="90" t="s">
        <v>4264</v>
      </c>
      <c r="E1038" s="90" t="str">
        <f>VLOOKUP(B1038&amp;C1038,Divipola!$C$2:$F$1138,4,FALSE)</f>
        <v>85430</v>
      </c>
      <c r="F1038" s="90"/>
      <c r="G1038" s="129"/>
      <c r="H1038" s="129"/>
      <c r="I1038" s="129"/>
      <c r="J1038" s="129">
        <f>70*5</f>
        <v>350</v>
      </c>
      <c r="K1038" s="129">
        <v>70</v>
      </c>
      <c r="L1038" s="129"/>
      <c r="M1038" s="129">
        <v>70</v>
      </c>
      <c r="N1038" s="129"/>
      <c r="O1038" s="129"/>
      <c r="P1038" s="129"/>
      <c r="Q1038" s="129"/>
      <c r="R1038" s="129"/>
      <c r="S1038" s="129"/>
      <c r="T1038" s="129"/>
      <c r="U1038" s="129"/>
      <c r="V1038" s="129"/>
      <c r="W1038" s="107"/>
      <c r="X1038" s="105"/>
      <c r="Y1038" s="92">
        <f t="shared" si="96"/>
        <v>0</v>
      </c>
      <c r="Z1038" s="92">
        <f t="shared" si="97"/>
        <v>0</v>
      </c>
      <c r="AA1038" s="92">
        <f t="shared" si="98"/>
        <v>0</v>
      </c>
      <c r="AB1038" s="92">
        <f t="shared" si="99"/>
        <v>0</v>
      </c>
      <c r="AC1038" s="92"/>
      <c r="AD1038" s="92">
        <v>0</v>
      </c>
      <c r="AE1038" s="92">
        <f t="shared" si="100"/>
        <v>0</v>
      </c>
      <c r="AF1038" s="93">
        <v>0</v>
      </c>
      <c r="AG1038" s="105"/>
      <c r="AH1038" s="108"/>
      <c r="AI1038" s="95" t="s">
        <v>4346</v>
      </c>
      <c r="AJ1038" s="96" t="s">
        <v>4347</v>
      </c>
      <c r="AK1038" s="97"/>
      <c r="AL1038" s="89" t="s">
        <v>2798</v>
      </c>
      <c r="AM1038" s="90" t="s">
        <v>3530</v>
      </c>
      <c r="AN1038" s="90"/>
      <c r="AO1038" s="90"/>
      <c r="AP1038" s="101"/>
      <c r="AQ1038" s="101"/>
      <c r="AR1038" s="101"/>
      <c r="AS1038" s="101"/>
      <c r="AT1038" s="101"/>
      <c r="AU1038" s="101"/>
      <c r="AV1038" s="101"/>
      <c r="AW1038" s="101"/>
      <c r="AX1038" s="101"/>
      <c r="AY1038" s="101"/>
      <c r="AZ1038" s="101"/>
      <c r="BA1038" s="101"/>
      <c r="BB1038" s="101"/>
      <c r="BC1038" s="101"/>
      <c r="BD1038" s="101"/>
      <c r="BE1038" s="101"/>
      <c r="BF1038" s="91"/>
      <c r="BG1038" s="89"/>
      <c r="BH1038" s="92"/>
      <c r="BI1038" s="92"/>
      <c r="BJ1038" s="92"/>
      <c r="BK1038" s="92"/>
      <c r="BL1038" s="92"/>
      <c r="BM1038" s="92"/>
      <c r="BN1038" s="92"/>
      <c r="BO1038" s="93"/>
      <c r="BP1038" s="89"/>
      <c r="BQ1038" s="94"/>
      <c r="BR1038" s="89"/>
      <c r="BS1038" s="96"/>
      <c r="BT1038" s="97"/>
      <c r="BU1038" s="89"/>
      <c r="BV1038" s="100"/>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18"/>
      <c r="CQ1038" s="119"/>
      <c r="CR1038" s="118"/>
      <c r="CS1038" s="119"/>
      <c r="CT1038" s="118"/>
      <c r="CU1038" s="119"/>
      <c r="CV1038" s="99">
        <f t="shared" si="101"/>
        <v>0</v>
      </c>
      <c r="CW1038" s="118"/>
      <c r="CX1038" s="119"/>
      <c r="CY1038" s="118"/>
      <c r="CZ1038" s="119"/>
      <c r="DA1038" s="119"/>
      <c r="DB1038" s="119"/>
      <c r="DC1038" s="118"/>
      <c r="DD1038" s="119"/>
      <c r="DE1038" s="111"/>
      <c r="DF1038" s="46"/>
    </row>
    <row r="1039" spans="1:110" s="42" customFormat="1" ht="78.75" x14ac:dyDescent="0.2">
      <c r="A1039" s="89">
        <v>40673</v>
      </c>
      <c r="B1039" s="106" t="s">
        <v>2225</v>
      </c>
      <c r="C1039" s="106" t="s">
        <v>2205</v>
      </c>
      <c r="D1039" s="90" t="s">
        <v>4264</v>
      </c>
      <c r="E1039" s="90" t="str">
        <f>VLOOKUP(B1039&amp;C1039,Divipola!$C$2:$F$1138,4,FALSE)</f>
        <v>27001</v>
      </c>
      <c r="F1039" s="90"/>
      <c r="G1039" s="129"/>
      <c r="H1039" s="129"/>
      <c r="I1039" s="129"/>
      <c r="J1039" s="129">
        <v>899</v>
      </c>
      <c r="K1039" s="129">
        <v>221</v>
      </c>
      <c r="L1039" s="129"/>
      <c r="M1039" s="129">
        <v>221</v>
      </c>
      <c r="N1039" s="129"/>
      <c r="O1039" s="129"/>
      <c r="P1039" s="129"/>
      <c r="Q1039" s="129"/>
      <c r="R1039" s="129"/>
      <c r="S1039" s="129"/>
      <c r="T1039" s="129"/>
      <c r="U1039" s="129"/>
      <c r="V1039" s="129"/>
      <c r="W1039" s="107" t="s">
        <v>3337</v>
      </c>
      <c r="X1039" s="105"/>
      <c r="Y1039" s="92">
        <f t="shared" si="96"/>
        <v>0</v>
      </c>
      <c r="Z1039" s="92">
        <f t="shared" si="97"/>
        <v>0</v>
      </c>
      <c r="AA1039" s="92">
        <f t="shared" si="98"/>
        <v>0</v>
      </c>
      <c r="AB1039" s="92">
        <f t="shared" si="99"/>
        <v>0</v>
      </c>
      <c r="AC1039" s="92"/>
      <c r="AD1039" s="92">
        <v>0</v>
      </c>
      <c r="AE1039" s="92">
        <f t="shared" si="100"/>
        <v>0</v>
      </c>
      <c r="AF1039" s="93">
        <v>0</v>
      </c>
      <c r="AG1039" s="105"/>
      <c r="AH1039" s="108"/>
      <c r="AI1039" s="109" t="s">
        <v>4336</v>
      </c>
      <c r="AJ1039" s="110" t="s">
        <v>4337</v>
      </c>
      <c r="AK1039" s="111"/>
      <c r="AL1039" s="89"/>
      <c r="AM1039" s="90" t="s">
        <v>358</v>
      </c>
      <c r="AN1039" s="90"/>
      <c r="AO1039" s="90"/>
      <c r="AP1039" s="101"/>
      <c r="AQ1039" s="101"/>
      <c r="AR1039" s="101"/>
      <c r="AS1039" s="101"/>
      <c r="AT1039" s="101"/>
      <c r="AU1039" s="101"/>
      <c r="AV1039" s="101"/>
      <c r="AW1039" s="101"/>
      <c r="AX1039" s="101"/>
      <c r="AY1039" s="101"/>
      <c r="AZ1039" s="101"/>
      <c r="BA1039" s="101"/>
      <c r="BB1039" s="101"/>
      <c r="BC1039" s="101"/>
      <c r="BD1039" s="101"/>
      <c r="BE1039" s="101"/>
      <c r="BF1039" s="91"/>
      <c r="BG1039" s="89"/>
      <c r="BH1039" s="92"/>
      <c r="BI1039" s="92"/>
      <c r="BJ1039" s="92"/>
      <c r="BK1039" s="92"/>
      <c r="BL1039" s="92"/>
      <c r="BM1039" s="92"/>
      <c r="BN1039" s="92"/>
      <c r="BO1039" s="93"/>
      <c r="BP1039" s="89"/>
      <c r="BQ1039" s="94"/>
      <c r="BR1039" s="89"/>
      <c r="BS1039" s="96"/>
      <c r="BT1039" s="97"/>
      <c r="BU1039" s="89"/>
      <c r="BV1039" s="100"/>
      <c r="BW1039" s="107"/>
      <c r="BX1039" s="107"/>
      <c r="BY1039" s="107"/>
      <c r="BZ1039" s="107"/>
      <c r="CA1039" s="107"/>
      <c r="CB1039" s="107"/>
      <c r="CC1039" s="107"/>
      <c r="CD1039" s="107"/>
      <c r="CE1039" s="107"/>
      <c r="CF1039" s="107"/>
      <c r="CG1039" s="107"/>
      <c r="CH1039" s="107"/>
      <c r="CI1039" s="107"/>
      <c r="CJ1039" s="107"/>
      <c r="CK1039" s="107"/>
      <c r="CL1039" s="107"/>
      <c r="CM1039" s="107"/>
      <c r="CN1039" s="118"/>
      <c r="CO1039" s="119"/>
      <c r="CP1039" s="118"/>
      <c r="CQ1039" s="119"/>
      <c r="CR1039" s="118"/>
      <c r="CS1039" s="119"/>
      <c r="CT1039" s="113"/>
      <c r="CU1039" s="118"/>
      <c r="CV1039" s="99">
        <f t="shared" si="101"/>
        <v>0</v>
      </c>
      <c r="CW1039" s="118"/>
      <c r="CX1039" s="119"/>
      <c r="CY1039" s="119"/>
      <c r="CZ1039" s="119"/>
      <c r="DA1039" s="118"/>
      <c r="DB1039" s="119"/>
      <c r="DC1039" s="111"/>
      <c r="DD1039" s="119"/>
      <c r="DE1039" s="111"/>
      <c r="DF1039" s="46"/>
    </row>
    <row r="1040" spans="1:110" s="42" customFormat="1" ht="48" x14ac:dyDescent="0.2">
      <c r="A1040" s="89">
        <v>40673</v>
      </c>
      <c r="B1040" s="106" t="s">
        <v>4282</v>
      </c>
      <c r="C1040" s="106" t="s">
        <v>1606</v>
      </c>
      <c r="D1040" s="90" t="s">
        <v>4264</v>
      </c>
      <c r="E1040" s="90" t="str">
        <f>VLOOKUP(B1040&amp;C1040,Divipola!$C$2:$F$1138,4,FALSE)</f>
        <v>23417</v>
      </c>
      <c r="F1040" s="90"/>
      <c r="G1040" s="129"/>
      <c r="H1040" s="129"/>
      <c r="I1040" s="129"/>
      <c r="J1040" s="129">
        <v>10</v>
      </c>
      <c r="K1040" s="129">
        <v>2</v>
      </c>
      <c r="L1040" s="129">
        <v>2</v>
      </c>
      <c r="M1040" s="129"/>
      <c r="N1040" s="129">
        <v>1</v>
      </c>
      <c r="O1040" s="129"/>
      <c r="P1040" s="129"/>
      <c r="Q1040" s="129"/>
      <c r="R1040" s="129"/>
      <c r="S1040" s="129"/>
      <c r="T1040" s="129"/>
      <c r="U1040" s="129"/>
      <c r="V1040" s="129"/>
      <c r="W1040" s="107"/>
      <c r="X1040" s="105"/>
      <c r="Y1040" s="92">
        <f t="shared" si="96"/>
        <v>0</v>
      </c>
      <c r="Z1040" s="92">
        <f t="shared" si="97"/>
        <v>0</v>
      </c>
      <c r="AA1040" s="92">
        <f t="shared" si="98"/>
        <v>0</v>
      </c>
      <c r="AB1040" s="92">
        <f t="shared" si="99"/>
        <v>0</v>
      </c>
      <c r="AC1040" s="92"/>
      <c r="AD1040" s="92">
        <v>83500000</v>
      </c>
      <c r="AE1040" s="92">
        <f t="shared" si="100"/>
        <v>83500000</v>
      </c>
      <c r="AF1040" s="93">
        <v>0</v>
      </c>
      <c r="AG1040" s="105"/>
      <c r="AH1040" s="108"/>
      <c r="AI1040" s="109" t="s">
        <v>4346</v>
      </c>
      <c r="AJ1040" s="110" t="s">
        <v>4347</v>
      </c>
      <c r="AK1040" s="111"/>
      <c r="AL1040" s="105"/>
      <c r="AM1040" s="126" t="s">
        <v>3415</v>
      </c>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c r="BJ1040" s="107"/>
      <c r="BK1040" s="107"/>
      <c r="BL1040" s="107"/>
      <c r="BM1040" s="107"/>
      <c r="BN1040" s="107"/>
      <c r="BO1040" s="107"/>
      <c r="BP1040" s="107"/>
      <c r="BQ1040" s="107"/>
      <c r="BR1040" s="107"/>
      <c r="BS1040" s="107"/>
      <c r="BT1040" s="107"/>
      <c r="BU1040" s="107"/>
      <c r="BV1040" s="107"/>
      <c r="BW1040" s="107"/>
      <c r="BX1040" s="107"/>
      <c r="BY1040" s="107"/>
      <c r="BZ1040" s="107"/>
      <c r="CA1040" s="107"/>
      <c r="CB1040" s="107"/>
      <c r="CC1040" s="107"/>
      <c r="CD1040" s="107"/>
      <c r="CE1040" s="107"/>
      <c r="CF1040" s="107"/>
      <c r="CG1040" s="107"/>
      <c r="CH1040" s="107"/>
      <c r="CI1040" s="107"/>
      <c r="CJ1040" s="107"/>
      <c r="CK1040" s="107"/>
      <c r="CL1040" s="107"/>
      <c r="CM1040" s="107"/>
      <c r="CN1040" s="118"/>
      <c r="CO1040" s="119"/>
      <c r="CP1040" s="118"/>
      <c r="CQ1040" s="119"/>
      <c r="CR1040" s="118"/>
      <c r="CS1040" s="119"/>
      <c r="CT1040" s="113"/>
      <c r="CU1040" s="118"/>
      <c r="CV1040" s="99">
        <f t="shared" si="101"/>
        <v>0</v>
      </c>
      <c r="CW1040" s="118"/>
      <c r="CX1040" s="119"/>
      <c r="CY1040" s="119"/>
      <c r="CZ1040" s="119"/>
      <c r="DA1040" s="118"/>
      <c r="DB1040" s="119"/>
      <c r="DC1040" s="111"/>
      <c r="DD1040" s="119"/>
      <c r="DE1040" s="111"/>
      <c r="DF1040" s="46"/>
    </row>
    <row r="1041" spans="1:110" s="42" customFormat="1" ht="67.5" x14ac:dyDescent="0.2">
      <c r="A1041" s="89">
        <v>40673</v>
      </c>
      <c r="B1041" s="106" t="s">
        <v>4387</v>
      </c>
      <c r="C1041" s="106" t="s">
        <v>453</v>
      </c>
      <c r="D1041" s="90" t="s">
        <v>2362</v>
      </c>
      <c r="E1041" s="90" t="str">
        <f>VLOOKUP(B1041&amp;C1041,Divipola!$C$2:$F$1138,4,FALSE)</f>
        <v>52224</v>
      </c>
      <c r="F1041" s="90"/>
      <c r="G1041" s="279"/>
      <c r="H1041" s="279"/>
      <c r="I1041" s="279"/>
      <c r="J1041" s="129">
        <v>28</v>
      </c>
      <c r="K1041" s="129">
        <v>7</v>
      </c>
      <c r="L1041" s="129">
        <v>6</v>
      </c>
      <c r="M1041" s="129">
        <v>1</v>
      </c>
      <c r="N1041" s="129">
        <v>4</v>
      </c>
      <c r="O1041" s="129"/>
      <c r="P1041" s="129"/>
      <c r="Q1041" s="129">
        <v>1</v>
      </c>
      <c r="R1041" s="129"/>
      <c r="S1041" s="129"/>
      <c r="T1041" s="129">
        <v>5</v>
      </c>
      <c r="U1041" s="129"/>
      <c r="V1041" s="129"/>
      <c r="W1041" s="107"/>
      <c r="X1041" s="105"/>
      <c r="Y1041" s="92">
        <f t="shared" si="96"/>
        <v>0</v>
      </c>
      <c r="Z1041" s="92">
        <f t="shared" si="97"/>
        <v>0</v>
      </c>
      <c r="AA1041" s="92">
        <f t="shared" si="98"/>
        <v>0</v>
      </c>
      <c r="AB1041" s="92">
        <f t="shared" si="99"/>
        <v>0</v>
      </c>
      <c r="AC1041" s="92"/>
      <c r="AD1041" s="92">
        <v>0</v>
      </c>
      <c r="AE1041" s="92">
        <f t="shared" si="100"/>
        <v>0</v>
      </c>
      <c r="AF1041" s="93">
        <v>0</v>
      </c>
      <c r="AG1041" s="105"/>
      <c r="AH1041" s="108"/>
      <c r="AI1041" s="109" t="s">
        <v>4336</v>
      </c>
      <c r="AJ1041" s="110" t="s">
        <v>4337</v>
      </c>
      <c r="AK1041" s="111"/>
      <c r="AL1041" s="105" t="s">
        <v>1069</v>
      </c>
      <c r="AM1041" s="90" t="s">
        <v>79</v>
      </c>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18"/>
      <c r="CO1041" s="119"/>
      <c r="CP1041" s="118"/>
      <c r="CQ1041" s="119"/>
      <c r="CR1041" s="118"/>
      <c r="CS1041" s="119"/>
      <c r="CT1041" s="113"/>
      <c r="CU1041" s="118"/>
      <c r="CV1041" s="99">
        <f t="shared" si="101"/>
        <v>0</v>
      </c>
      <c r="CW1041" s="118"/>
      <c r="CX1041" s="119"/>
      <c r="CY1041" s="119"/>
      <c r="CZ1041" s="119"/>
      <c r="DA1041" s="118"/>
      <c r="DB1041" s="119"/>
      <c r="DC1041" s="111"/>
      <c r="DD1041" s="119"/>
      <c r="DE1041" s="111"/>
      <c r="DF1041" s="46"/>
    </row>
    <row r="1042" spans="1:110" s="42" customFormat="1" ht="22.5" x14ac:dyDescent="0.2">
      <c r="A1042" s="89">
        <v>40673</v>
      </c>
      <c r="B1042" s="106" t="s">
        <v>4244</v>
      </c>
      <c r="C1042" s="106" t="s">
        <v>4322</v>
      </c>
      <c r="D1042" s="90" t="s">
        <v>4264</v>
      </c>
      <c r="E1042" s="90" t="str">
        <f>VLOOKUP(B1042&amp;C1042,Divipola!$C$2:$F$1138,4,FALSE)</f>
        <v>76109</v>
      </c>
      <c r="F1042" s="90"/>
      <c r="G1042" s="129"/>
      <c r="H1042" s="129"/>
      <c r="I1042" s="129"/>
      <c r="J1042" s="129">
        <f>53*5</f>
        <v>265</v>
      </c>
      <c r="K1042" s="129">
        <v>53</v>
      </c>
      <c r="L1042" s="129"/>
      <c r="M1042" s="129">
        <v>53</v>
      </c>
      <c r="N1042" s="129"/>
      <c r="O1042" s="129"/>
      <c r="P1042" s="129"/>
      <c r="Q1042" s="129"/>
      <c r="R1042" s="129"/>
      <c r="S1042" s="129"/>
      <c r="T1042" s="129"/>
      <c r="U1042" s="129"/>
      <c r="V1042" s="129"/>
      <c r="W1042" s="107"/>
      <c r="X1042" s="105"/>
      <c r="Y1042" s="92">
        <f t="shared" si="96"/>
        <v>16287112</v>
      </c>
      <c r="Z1042" s="92">
        <f t="shared" si="97"/>
        <v>9010000</v>
      </c>
      <c r="AA1042" s="92">
        <f t="shared" si="98"/>
        <v>14927000</v>
      </c>
      <c r="AB1042" s="92">
        <f t="shared" si="99"/>
        <v>0</v>
      </c>
      <c r="AC1042" s="92"/>
      <c r="AD1042" s="92">
        <v>0</v>
      </c>
      <c r="AE1042" s="92">
        <f t="shared" si="100"/>
        <v>40224112</v>
      </c>
      <c r="AF1042" s="93">
        <v>0</v>
      </c>
      <c r="AG1042" s="105"/>
      <c r="AH1042" s="108"/>
      <c r="AI1042" s="109" t="s">
        <v>4346</v>
      </c>
      <c r="AJ1042" s="110" t="s">
        <v>4347</v>
      </c>
      <c r="AK1042" s="111"/>
      <c r="AL1042" s="89"/>
      <c r="AM1042" s="90" t="s">
        <v>2799</v>
      </c>
      <c r="AN1042" s="90"/>
      <c r="AO1042" s="90"/>
      <c r="AP1042" s="101"/>
      <c r="AQ1042" s="101"/>
      <c r="AR1042" s="101"/>
      <c r="AS1042" s="101"/>
      <c r="AT1042" s="101"/>
      <c r="AU1042" s="101"/>
      <c r="AV1042" s="101"/>
      <c r="AW1042" s="101"/>
      <c r="AX1042" s="101"/>
      <c r="AY1042" s="101"/>
      <c r="AZ1042" s="101">
        <v>106</v>
      </c>
      <c r="BA1042" s="101">
        <f>106*56000</f>
        <v>5936000</v>
      </c>
      <c r="BB1042" s="101"/>
      <c r="BC1042" s="101"/>
      <c r="BD1042" s="101"/>
      <c r="BE1042" s="101"/>
      <c r="BF1042" s="91"/>
      <c r="BG1042" s="89"/>
      <c r="BH1042" s="92"/>
      <c r="BI1042" s="92"/>
      <c r="BJ1042" s="92"/>
      <c r="BK1042" s="92"/>
      <c r="BL1042" s="92"/>
      <c r="BM1042" s="92"/>
      <c r="BN1042" s="92"/>
      <c r="BO1042" s="93"/>
      <c r="BP1042" s="89"/>
      <c r="BQ1042" s="94"/>
      <c r="BR1042" s="89"/>
      <c r="BS1042" s="96"/>
      <c r="BT1042" s="97"/>
      <c r="BU1042" s="89"/>
      <c r="BV1042" s="100"/>
      <c r="BW1042" s="107"/>
      <c r="BX1042" s="107"/>
      <c r="BY1042" s="107"/>
      <c r="BZ1042" s="107"/>
      <c r="CA1042" s="107"/>
      <c r="CB1042" s="107"/>
      <c r="CC1042" s="107"/>
      <c r="CD1042" s="107"/>
      <c r="CE1042" s="107"/>
      <c r="CF1042" s="107"/>
      <c r="CG1042" s="107"/>
      <c r="CH1042" s="107"/>
      <c r="CI1042" s="107"/>
      <c r="CJ1042" s="107">
        <v>106</v>
      </c>
      <c r="CK1042" s="107">
        <f>106*21000</f>
        <v>2226000</v>
      </c>
      <c r="CL1042" s="107"/>
      <c r="CM1042" s="107"/>
      <c r="CN1042" s="107"/>
      <c r="CO1042" s="107"/>
      <c r="CP1042" s="118">
        <v>106</v>
      </c>
      <c r="CQ1042" s="119">
        <f>106*36952</f>
        <v>3916912</v>
      </c>
      <c r="CR1042" s="118">
        <v>106</v>
      </c>
      <c r="CS1042" s="119">
        <f>106*39700</f>
        <v>4208200</v>
      </c>
      <c r="CT1042" s="118"/>
      <c r="CU1042" s="119"/>
      <c r="CV1042" s="99">
        <f t="shared" si="101"/>
        <v>16287112</v>
      </c>
      <c r="CW1042" s="118"/>
      <c r="CX1042" s="119"/>
      <c r="CY1042" s="118">
        <v>106</v>
      </c>
      <c r="CZ1042" s="119">
        <f>106*85000</f>
        <v>9010000</v>
      </c>
      <c r="DA1042" s="119"/>
      <c r="DB1042" s="119"/>
      <c r="DC1042" s="118">
        <v>640</v>
      </c>
      <c r="DD1042" s="119">
        <f>640*22000+3850*220</f>
        <v>14927000</v>
      </c>
      <c r="DE1042" s="111"/>
      <c r="DF1042" s="46"/>
    </row>
    <row r="1043" spans="1:110" s="42" customFormat="1" ht="84" x14ac:dyDescent="0.2">
      <c r="A1043" s="89">
        <v>40674</v>
      </c>
      <c r="B1043" s="106" t="s">
        <v>2218</v>
      </c>
      <c r="C1043" s="106" t="s">
        <v>3335</v>
      </c>
      <c r="D1043" s="90" t="s">
        <v>4264</v>
      </c>
      <c r="E1043" s="90" t="str">
        <f>VLOOKUP(B1043&amp;C1043,Divipola!$C$2:$F$1138,4,FALSE)</f>
        <v>05873</v>
      </c>
      <c r="F1043" s="90"/>
      <c r="G1043" s="129"/>
      <c r="H1043" s="129"/>
      <c r="I1043" s="129"/>
      <c r="J1043" s="129">
        <v>724</v>
      </c>
      <c r="K1043" s="129">
        <v>178</v>
      </c>
      <c r="L1043" s="129"/>
      <c r="M1043" s="129"/>
      <c r="N1043" s="129"/>
      <c r="O1043" s="129"/>
      <c r="P1043" s="129"/>
      <c r="Q1043" s="129"/>
      <c r="R1043" s="129"/>
      <c r="S1043" s="129"/>
      <c r="T1043" s="129"/>
      <c r="U1043" s="129"/>
      <c r="V1043" s="129"/>
      <c r="W1043" s="107"/>
      <c r="X1043" s="105"/>
      <c r="Y1043" s="92">
        <f t="shared" si="96"/>
        <v>0</v>
      </c>
      <c r="Z1043" s="92">
        <f t="shared" si="97"/>
        <v>0</v>
      </c>
      <c r="AA1043" s="92">
        <f t="shared" si="98"/>
        <v>20153108.039999999</v>
      </c>
      <c r="AB1043" s="92">
        <f t="shared" si="99"/>
        <v>0</v>
      </c>
      <c r="AC1043" s="92">
        <f>51629310+13*256499.2+20*7053.96</f>
        <v>55104878.800000004</v>
      </c>
      <c r="AD1043" s="92">
        <v>49900000</v>
      </c>
      <c r="AE1043" s="92">
        <f t="shared" si="100"/>
        <v>125157986.84</v>
      </c>
      <c r="AF1043" s="93">
        <v>0</v>
      </c>
      <c r="AG1043" s="105"/>
      <c r="AH1043" s="108"/>
      <c r="AI1043" s="95" t="s">
        <v>4346</v>
      </c>
      <c r="AJ1043" s="96" t="s">
        <v>4347</v>
      </c>
      <c r="AK1043" s="111"/>
      <c r="AL1043" s="105"/>
      <c r="AM1043" s="112" t="s">
        <v>1163</v>
      </c>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c r="BJ1043" s="107"/>
      <c r="BK1043" s="107"/>
      <c r="BL1043" s="107"/>
      <c r="BM1043" s="107"/>
      <c r="BN1043" s="107"/>
      <c r="BO1043" s="107"/>
      <c r="BP1043" s="107"/>
      <c r="BQ1043" s="107"/>
      <c r="BR1043" s="107"/>
      <c r="BS1043" s="107"/>
      <c r="BT1043" s="107"/>
      <c r="BU1043" s="107"/>
      <c r="BV1043" s="107"/>
      <c r="BW1043" s="107"/>
      <c r="BX1043" s="107"/>
      <c r="BY1043" s="107"/>
      <c r="BZ1043" s="107"/>
      <c r="CA1043" s="107"/>
      <c r="CB1043" s="107"/>
      <c r="CC1043" s="107"/>
      <c r="CD1043" s="107"/>
      <c r="CE1043" s="107"/>
      <c r="CF1043" s="107"/>
      <c r="CG1043" s="107"/>
      <c r="CH1043" s="107"/>
      <c r="CI1043" s="107"/>
      <c r="CJ1043" s="107"/>
      <c r="CK1043" s="107"/>
      <c r="CL1043" s="107"/>
      <c r="CM1043" s="107"/>
      <c r="CN1043" s="118"/>
      <c r="CO1043" s="119"/>
      <c r="CP1043" s="118"/>
      <c r="CQ1043" s="119"/>
      <c r="CR1043" s="118"/>
      <c r="CS1043" s="119"/>
      <c r="CT1043" s="113"/>
      <c r="CU1043" s="118"/>
      <c r="CV1043" s="99">
        <f t="shared" si="101"/>
        <v>0</v>
      </c>
      <c r="CW1043" s="118"/>
      <c r="CX1043" s="119"/>
      <c r="CY1043" s="119"/>
      <c r="CZ1043" s="119"/>
      <c r="DA1043" s="118">
        <v>39</v>
      </c>
      <c r="DB1043" s="119">
        <f>39*24999.16</f>
        <v>974967.24</v>
      </c>
      <c r="DC1043" s="111">
        <v>780</v>
      </c>
      <c r="DD1043" s="119">
        <f>780*22499.36+4680*348</f>
        <v>19178140.800000001</v>
      </c>
      <c r="DE1043" s="111"/>
      <c r="DF1043" s="46"/>
    </row>
    <row r="1044" spans="1:110" s="42" customFormat="1" ht="84" x14ac:dyDescent="0.2">
      <c r="A1044" s="89">
        <v>40674</v>
      </c>
      <c r="B1044" s="106" t="s">
        <v>4261</v>
      </c>
      <c r="C1044" s="106" t="s">
        <v>2203</v>
      </c>
      <c r="D1044" s="90" t="s">
        <v>2362</v>
      </c>
      <c r="E1044" s="90" t="str">
        <f>VLOOKUP(B1044&amp;C1044,Divipola!$C$2:$F$1138,4,FALSE)</f>
        <v>15109</v>
      </c>
      <c r="F1044" s="90"/>
      <c r="G1044" s="129"/>
      <c r="H1044" s="129"/>
      <c r="I1044" s="129"/>
      <c r="J1044" s="129">
        <v>170</v>
      </c>
      <c r="K1044" s="129">
        <v>34</v>
      </c>
      <c r="L1044" s="129"/>
      <c r="M1044" s="129">
        <v>13</v>
      </c>
      <c r="N1044" s="129">
        <v>1</v>
      </c>
      <c r="O1044" s="129"/>
      <c r="P1044" s="129"/>
      <c r="Q1044" s="129"/>
      <c r="R1044" s="129"/>
      <c r="S1044" s="129"/>
      <c r="T1044" s="129"/>
      <c r="U1044" s="129"/>
      <c r="V1044" s="129"/>
      <c r="W1044" s="107"/>
      <c r="X1044" s="105"/>
      <c r="Y1044" s="92">
        <f t="shared" si="96"/>
        <v>0</v>
      </c>
      <c r="Z1044" s="92">
        <f t="shared" si="97"/>
        <v>0</v>
      </c>
      <c r="AA1044" s="92">
        <f t="shared" si="98"/>
        <v>0</v>
      </c>
      <c r="AB1044" s="92">
        <f t="shared" si="99"/>
        <v>0</v>
      </c>
      <c r="AC1044" s="92"/>
      <c r="AD1044" s="92">
        <v>10000000</v>
      </c>
      <c r="AE1044" s="92">
        <f t="shared" si="100"/>
        <v>10000000</v>
      </c>
      <c r="AF1044" s="93">
        <v>0</v>
      </c>
      <c r="AG1044" s="105"/>
      <c r="AH1044" s="108"/>
      <c r="AI1044" s="109" t="s">
        <v>4346</v>
      </c>
      <c r="AJ1044" s="110" t="s">
        <v>4347</v>
      </c>
      <c r="AK1044" s="111"/>
      <c r="AL1044" s="105"/>
      <c r="AM1044" s="112" t="s">
        <v>1103</v>
      </c>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18"/>
      <c r="CO1044" s="119"/>
      <c r="CP1044" s="118"/>
      <c r="CQ1044" s="119"/>
      <c r="CR1044" s="118"/>
      <c r="CS1044" s="119"/>
      <c r="CT1044" s="113"/>
      <c r="CU1044" s="118"/>
      <c r="CV1044" s="99">
        <f t="shared" si="101"/>
        <v>0</v>
      </c>
      <c r="CW1044" s="118"/>
      <c r="CX1044" s="119"/>
      <c r="CY1044" s="119"/>
      <c r="CZ1044" s="119"/>
      <c r="DA1044" s="118"/>
      <c r="DB1044" s="119"/>
      <c r="DC1044" s="111"/>
      <c r="DD1044" s="119"/>
      <c r="DE1044" s="111"/>
      <c r="DF1044" s="46"/>
    </row>
    <row r="1045" spans="1:110" s="42" customFormat="1" ht="22.5" x14ac:dyDescent="0.2">
      <c r="A1045" s="89">
        <v>40674</v>
      </c>
      <c r="B1045" s="90" t="s">
        <v>4261</v>
      </c>
      <c r="C1045" s="90" t="s">
        <v>2256</v>
      </c>
      <c r="D1045" s="90" t="s">
        <v>4264</v>
      </c>
      <c r="E1045" s="90" t="str">
        <f>VLOOKUP(B1045&amp;C1045,Divipola!$C$2:$F$1138,4,FALSE)</f>
        <v>15759</v>
      </c>
      <c r="F1045" s="101"/>
      <c r="G1045" s="101"/>
      <c r="H1045" s="101"/>
      <c r="I1045" s="101"/>
      <c r="J1045" s="101"/>
      <c r="K1045" s="101"/>
      <c r="L1045" s="101"/>
      <c r="M1045" s="101"/>
      <c r="N1045" s="101"/>
      <c r="O1045" s="101"/>
      <c r="P1045" s="101"/>
      <c r="Q1045" s="101"/>
      <c r="R1045" s="101"/>
      <c r="S1045" s="101"/>
      <c r="T1045" s="101"/>
      <c r="U1045" s="91"/>
      <c r="V1045" s="89"/>
      <c r="W1045" s="92"/>
      <c r="X1045" s="92"/>
      <c r="Y1045" s="92">
        <f t="shared" si="96"/>
        <v>0</v>
      </c>
      <c r="Z1045" s="92">
        <f t="shared" si="97"/>
        <v>0</v>
      </c>
      <c r="AA1045" s="92">
        <f t="shared" si="98"/>
        <v>0</v>
      </c>
      <c r="AB1045" s="92">
        <f t="shared" si="99"/>
        <v>0</v>
      </c>
      <c r="AC1045" s="92"/>
      <c r="AD1045" s="92">
        <v>0</v>
      </c>
      <c r="AE1045" s="92">
        <f t="shared" si="100"/>
        <v>0</v>
      </c>
      <c r="AF1045" s="93">
        <v>0</v>
      </c>
      <c r="AG1045" s="89"/>
      <c r="AH1045" s="96"/>
      <c r="AI1045" s="102" t="s">
        <v>4346</v>
      </c>
      <c r="AJ1045" s="96" t="s">
        <v>4347</v>
      </c>
      <c r="AK1045" s="97"/>
      <c r="AL1045" s="89" t="s">
        <v>1049</v>
      </c>
      <c r="AM1045" s="112" t="s">
        <v>2805</v>
      </c>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18"/>
      <c r="CO1045" s="119"/>
      <c r="CP1045" s="118"/>
      <c r="CQ1045" s="119"/>
      <c r="CR1045" s="118"/>
      <c r="CS1045" s="119"/>
      <c r="CT1045" s="113"/>
      <c r="CU1045" s="118"/>
      <c r="CV1045" s="99">
        <f t="shared" si="101"/>
        <v>0</v>
      </c>
      <c r="CW1045" s="118"/>
      <c r="CX1045" s="119"/>
      <c r="CY1045" s="119"/>
      <c r="CZ1045" s="119"/>
      <c r="DA1045" s="118"/>
      <c r="DB1045" s="119"/>
      <c r="DC1045" s="111"/>
      <c r="DD1045" s="119"/>
      <c r="DE1045" s="111"/>
      <c r="DF1045" s="46"/>
    </row>
    <row r="1046" spans="1:110" s="42" customFormat="1" ht="22.5" x14ac:dyDescent="0.2">
      <c r="A1046" s="89">
        <v>40674</v>
      </c>
      <c r="B1046" s="90" t="s">
        <v>2225</v>
      </c>
      <c r="C1046" s="90" t="s">
        <v>3466</v>
      </c>
      <c r="D1046" s="90" t="s">
        <v>4264</v>
      </c>
      <c r="E1046" s="90" t="str">
        <f>VLOOKUP(B1046&amp;C1046,Divipola!$C$2:$F$1138,4,FALSE)</f>
        <v>27050</v>
      </c>
      <c r="F1046" s="90"/>
      <c r="G1046" s="308"/>
      <c r="H1046" s="308"/>
      <c r="I1046" s="308"/>
      <c r="J1046" s="124">
        <v>36</v>
      </c>
      <c r="K1046" s="124">
        <v>6</v>
      </c>
      <c r="L1046" s="124"/>
      <c r="M1046" s="124">
        <v>6</v>
      </c>
      <c r="N1046" s="129"/>
      <c r="O1046" s="129"/>
      <c r="P1046" s="129"/>
      <c r="Q1046" s="129"/>
      <c r="R1046" s="129"/>
      <c r="S1046" s="129"/>
      <c r="T1046" s="129"/>
      <c r="U1046" s="129"/>
      <c r="V1046" s="129"/>
      <c r="W1046" s="107"/>
      <c r="X1046" s="105"/>
      <c r="Y1046" s="92">
        <f t="shared" si="96"/>
        <v>0</v>
      </c>
      <c r="Z1046" s="92">
        <f t="shared" si="97"/>
        <v>0</v>
      </c>
      <c r="AA1046" s="92">
        <f t="shared" si="98"/>
        <v>0</v>
      </c>
      <c r="AB1046" s="92">
        <f t="shared" si="99"/>
        <v>0</v>
      </c>
      <c r="AC1046" s="92"/>
      <c r="AD1046" s="92">
        <v>0</v>
      </c>
      <c r="AE1046" s="92">
        <f t="shared" si="100"/>
        <v>0</v>
      </c>
      <c r="AF1046" s="93">
        <v>0</v>
      </c>
      <c r="AG1046" s="105"/>
      <c r="AH1046" s="108"/>
      <c r="AI1046" s="109" t="s">
        <v>4336</v>
      </c>
      <c r="AJ1046" s="110" t="s">
        <v>4337</v>
      </c>
      <c r="AK1046" s="309"/>
      <c r="AL1046" s="89"/>
      <c r="AM1046" s="90" t="s">
        <v>2830</v>
      </c>
      <c r="AN1046" s="90"/>
      <c r="AO1046" s="90"/>
      <c r="AP1046" s="101"/>
      <c r="AQ1046" s="101"/>
      <c r="AR1046" s="101"/>
      <c r="AS1046" s="101"/>
      <c r="AT1046" s="101"/>
      <c r="AU1046" s="101"/>
      <c r="AV1046" s="101"/>
      <c r="AW1046" s="101"/>
      <c r="AX1046" s="101"/>
      <c r="AY1046" s="101"/>
      <c r="AZ1046" s="101"/>
      <c r="BA1046" s="101"/>
      <c r="BB1046" s="101"/>
      <c r="BC1046" s="101"/>
      <c r="BD1046" s="101"/>
      <c r="BE1046" s="101"/>
      <c r="BF1046" s="91"/>
      <c r="BG1046" s="89"/>
      <c r="BH1046" s="92"/>
      <c r="BI1046" s="92"/>
      <c r="BJ1046" s="92"/>
      <c r="BK1046" s="92"/>
      <c r="BL1046" s="92"/>
      <c r="BM1046" s="92"/>
      <c r="BN1046" s="92"/>
      <c r="BO1046" s="93"/>
      <c r="BP1046" s="89"/>
      <c r="BQ1046" s="94"/>
      <c r="BR1046" s="89"/>
      <c r="BS1046" s="96"/>
      <c r="BT1046" s="97"/>
      <c r="BU1046" s="89"/>
      <c r="BV1046" s="100"/>
      <c r="BW1046" s="107"/>
      <c r="BX1046" s="107"/>
      <c r="BY1046" s="107"/>
      <c r="BZ1046" s="107"/>
      <c r="CA1046" s="107"/>
      <c r="CB1046" s="107"/>
      <c r="CC1046" s="107"/>
      <c r="CD1046" s="107"/>
      <c r="CE1046" s="107"/>
      <c r="CF1046" s="107"/>
      <c r="CG1046" s="107"/>
      <c r="CH1046" s="107"/>
      <c r="CI1046" s="107"/>
      <c r="CJ1046" s="107"/>
      <c r="CK1046" s="107"/>
      <c r="CL1046" s="107"/>
      <c r="CM1046" s="107"/>
      <c r="CN1046" s="118"/>
      <c r="CO1046" s="119"/>
      <c r="CP1046" s="118"/>
      <c r="CQ1046" s="119"/>
      <c r="CR1046" s="118"/>
      <c r="CS1046" s="119"/>
      <c r="CT1046" s="113"/>
      <c r="CU1046" s="118"/>
      <c r="CV1046" s="99">
        <f t="shared" si="101"/>
        <v>0</v>
      </c>
      <c r="CW1046" s="118"/>
      <c r="CX1046" s="119"/>
      <c r="CY1046" s="119"/>
      <c r="CZ1046" s="119"/>
      <c r="DA1046" s="118"/>
      <c r="DB1046" s="119"/>
      <c r="DC1046" s="111"/>
      <c r="DD1046" s="119"/>
      <c r="DE1046" s="111"/>
      <c r="DF1046" s="46"/>
    </row>
    <row r="1047" spans="1:110" s="42" customFormat="1" ht="157.5" x14ac:dyDescent="0.2">
      <c r="A1047" s="89">
        <v>40674</v>
      </c>
      <c r="B1047" s="106" t="s">
        <v>874</v>
      </c>
      <c r="C1047" s="106" t="s">
        <v>4327</v>
      </c>
      <c r="D1047" s="90" t="s">
        <v>4264</v>
      </c>
      <c r="E1047" s="90" t="str">
        <f>VLOOKUP(B1047&amp;C1047,Divipola!$C$2:$F$1138,4,FALSE)</f>
        <v>44874</v>
      </c>
      <c r="F1047" s="90"/>
      <c r="G1047" s="129"/>
      <c r="H1047" s="129"/>
      <c r="I1047" s="129"/>
      <c r="J1047" s="129">
        <v>975</v>
      </c>
      <c r="K1047" s="129">
        <v>195</v>
      </c>
      <c r="L1047" s="129">
        <v>20</v>
      </c>
      <c r="M1047" s="129">
        <v>175</v>
      </c>
      <c r="N1047" s="129"/>
      <c r="O1047" s="129"/>
      <c r="P1047" s="129"/>
      <c r="Q1047" s="129"/>
      <c r="R1047" s="129"/>
      <c r="S1047" s="129"/>
      <c r="T1047" s="129"/>
      <c r="U1047" s="129"/>
      <c r="V1047" s="129"/>
      <c r="W1047" s="107"/>
      <c r="X1047" s="105"/>
      <c r="Y1047" s="92">
        <f t="shared" si="96"/>
        <v>0</v>
      </c>
      <c r="Z1047" s="92">
        <f t="shared" si="97"/>
        <v>0</v>
      </c>
      <c r="AA1047" s="92">
        <f t="shared" si="98"/>
        <v>0</v>
      </c>
      <c r="AB1047" s="92">
        <f t="shared" si="99"/>
        <v>0</v>
      </c>
      <c r="AC1047" s="92"/>
      <c r="AD1047" s="92">
        <v>350000000</v>
      </c>
      <c r="AE1047" s="92">
        <f t="shared" si="100"/>
        <v>350000000</v>
      </c>
      <c r="AF1047" s="93">
        <v>0</v>
      </c>
      <c r="AG1047" s="105"/>
      <c r="AH1047" s="108"/>
      <c r="AI1047" s="109" t="s">
        <v>4346</v>
      </c>
      <c r="AJ1047" s="110" t="s">
        <v>4347</v>
      </c>
      <c r="AK1047" s="111"/>
      <c r="AL1047" s="89"/>
      <c r="AM1047" s="90" t="s">
        <v>932</v>
      </c>
      <c r="AN1047" s="90"/>
      <c r="AO1047" s="90"/>
      <c r="AP1047" s="101"/>
      <c r="AQ1047" s="101"/>
      <c r="AR1047" s="101"/>
      <c r="AS1047" s="101"/>
      <c r="AT1047" s="101"/>
      <c r="AU1047" s="101"/>
      <c r="AV1047" s="101"/>
      <c r="AW1047" s="101"/>
      <c r="AX1047" s="101"/>
      <c r="AY1047" s="101"/>
      <c r="AZ1047" s="101"/>
      <c r="BA1047" s="101"/>
      <c r="BB1047" s="101"/>
      <c r="BC1047" s="101"/>
      <c r="BD1047" s="101"/>
      <c r="BE1047" s="101"/>
      <c r="BF1047" s="91"/>
      <c r="BG1047" s="89"/>
      <c r="BH1047" s="92"/>
      <c r="BI1047" s="92"/>
      <c r="BJ1047" s="92"/>
      <c r="BK1047" s="92"/>
      <c r="BL1047" s="92"/>
      <c r="BM1047" s="92"/>
      <c r="BN1047" s="92"/>
      <c r="BO1047" s="93"/>
      <c r="BP1047" s="89"/>
      <c r="BQ1047" s="94"/>
      <c r="BR1047" s="89"/>
      <c r="BS1047" s="96"/>
      <c r="BT1047" s="97"/>
      <c r="BU1047" s="89"/>
      <c r="BV1047" s="100"/>
      <c r="BW1047" s="107"/>
      <c r="BX1047" s="107"/>
      <c r="BY1047" s="107"/>
      <c r="BZ1047" s="107"/>
      <c r="CA1047" s="107"/>
      <c r="CB1047" s="107"/>
      <c r="CC1047" s="107"/>
      <c r="CD1047" s="107"/>
      <c r="CE1047" s="107"/>
      <c r="CF1047" s="107"/>
      <c r="CG1047" s="107"/>
      <c r="CH1047" s="107"/>
      <c r="CI1047" s="107"/>
      <c r="CJ1047" s="107"/>
      <c r="CK1047" s="107"/>
      <c r="CL1047" s="107"/>
      <c r="CM1047" s="107"/>
      <c r="CN1047" s="118"/>
      <c r="CO1047" s="119"/>
      <c r="CP1047" s="118"/>
      <c r="CQ1047" s="119"/>
      <c r="CR1047" s="118"/>
      <c r="CS1047" s="119"/>
      <c r="CT1047" s="113"/>
      <c r="CU1047" s="118"/>
      <c r="CV1047" s="99">
        <f t="shared" si="101"/>
        <v>0</v>
      </c>
      <c r="CW1047" s="118"/>
      <c r="CX1047" s="119"/>
      <c r="CY1047" s="119"/>
      <c r="CZ1047" s="119"/>
      <c r="DA1047" s="118"/>
      <c r="DB1047" s="119"/>
      <c r="DC1047" s="111"/>
      <c r="DD1047" s="119"/>
      <c r="DE1047" s="111"/>
      <c r="DF1047" s="46"/>
    </row>
    <row r="1048" spans="1:110" s="42" customFormat="1" ht="60" x14ac:dyDescent="0.2">
      <c r="A1048" s="89">
        <v>40674</v>
      </c>
      <c r="B1048" s="90" t="s">
        <v>4308</v>
      </c>
      <c r="C1048" s="90" t="s">
        <v>4314</v>
      </c>
      <c r="D1048" s="90" t="s">
        <v>4264</v>
      </c>
      <c r="E1048" s="90" t="str">
        <f>VLOOKUP(B1048&amp;C1048,Divipola!$C$2:$F$1138,4,FALSE)</f>
        <v>47703</v>
      </c>
      <c r="F1048" s="101"/>
      <c r="G1048" s="101"/>
      <c r="H1048" s="101"/>
      <c r="I1048" s="101"/>
      <c r="J1048" s="101">
        <f>1022*4</f>
        <v>4088</v>
      </c>
      <c r="K1048" s="101">
        <f>450+572</f>
        <v>1022</v>
      </c>
      <c r="L1048" s="101"/>
      <c r="M1048" s="101">
        <v>450</v>
      </c>
      <c r="N1048" s="101"/>
      <c r="O1048" s="101"/>
      <c r="P1048" s="101"/>
      <c r="Q1048" s="101"/>
      <c r="R1048" s="101"/>
      <c r="S1048" s="101"/>
      <c r="T1048" s="101"/>
      <c r="U1048" s="91"/>
      <c r="V1048" s="89"/>
      <c r="W1048" s="92"/>
      <c r="X1048" s="92"/>
      <c r="Y1048" s="92">
        <f t="shared" si="96"/>
        <v>0</v>
      </c>
      <c r="Z1048" s="92">
        <f t="shared" si="97"/>
        <v>0</v>
      </c>
      <c r="AA1048" s="92">
        <f t="shared" si="98"/>
        <v>0</v>
      </c>
      <c r="AB1048" s="92">
        <f t="shared" si="99"/>
        <v>0</v>
      </c>
      <c r="AC1048" s="92"/>
      <c r="AD1048" s="92">
        <v>0</v>
      </c>
      <c r="AE1048" s="92">
        <f t="shared" si="100"/>
        <v>0</v>
      </c>
      <c r="AF1048" s="93">
        <v>0</v>
      </c>
      <c r="AG1048" s="89"/>
      <c r="AH1048" s="96"/>
      <c r="AI1048" s="109" t="s">
        <v>4336</v>
      </c>
      <c r="AJ1048" s="110" t="s">
        <v>4337</v>
      </c>
      <c r="AK1048" s="100"/>
      <c r="AL1048" s="105"/>
      <c r="AM1048" s="112" t="s">
        <v>2804</v>
      </c>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c r="BJ1048" s="107"/>
      <c r="BK1048" s="107"/>
      <c r="BL1048" s="107"/>
      <c r="BM1048" s="107"/>
      <c r="BN1048" s="107"/>
      <c r="BO1048" s="107"/>
      <c r="BP1048" s="107"/>
      <c r="BQ1048" s="107"/>
      <c r="BR1048" s="107"/>
      <c r="BS1048" s="107"/>
      <c r="BT1048" s="107"/>
      <c r="BU1048" s="107"/>
      <c r="BV1048" s="107"/>
      <c r="BW1048" s="107"/>
      <c r="BX1048" s="107"/>
      <c r="BY1048" s="107"/>
      <c r="BZ1048" s="107"/>
      <c r="CA1048" s="107"/>
      <c r="CB1048" s="107"/>
      <c r="CC1048" s="107"/>
      <c r="CD1048" s="107"/>
      <c r="CE1048" s="107"/>
      <c r="CF1048" s="107"/>
      <c r="CG1048" s="107"/>
      <c r="CH1048" s="107"/>
      <c r="CI1048" s="107"/>
      <c r="CJ1048" s="107"/>
      <c r="CK1048" s="107"/>
      <c r="CL1048" s="107"/>
      <c r="CM1048" s="107"/>
      <c r="CN1048" s="118"/>
      <c r="CO1048" s="119"/>
      <c r="CP1048" s="118"/>
      <c r="CQ1048" s="119"/>
      <c r="CR1048" s="118"/>
      <c r="CS1048" s="119"/>
      <c r="CT1048" s="113"/>
      <c r="CU1048" s="118"/>
      <c r="CV1048" s="99">
        <f t="shared" si="101"/>
        <v>0</v>
      </c>
      <c r="CW1048" s="118"/>
      <c r="CX1048" s="119"/>
      <c r="CY1048" s="119"/>
      <c r="CZ1048" s="119"/>
      <c r="DA1048" s="118"/>
      <c r="DB1048" s="119"/>
      <c r="DC1048" s="111"/>
      <c r="DD1048" s="119"/>
      <c r="DE1048" s="111"/>
      <c r="DF1048" s="46"/>
    </row>
    <row r="1049" spans="1:110" s="42" customFormat="1" ht="22.5" x14ac:dyDescent="0.2">
      <c r="A1049" s="89">
        <v>40674</v>
      </c>
      <c r="B1049" s="106" t="s">
        <v>4387</v>
      </c>
      <c r="C1049" s="106" t="s">
        <v>3445</v>
      </c>
      <c r="D1049" s="90" t="s">
        <v>2362</v>
      </c>
      <c r="E1049" s="90" t="str">
        <f>VLOOKUP(B1049&amp;C1049,Divipola!$C$2:$F$1138,4,FALSE)</f>
        <v>52612</v>
      </c>
      <c r="F1049" s="90"/>
      <c r="G1049" s="279"/>
      <c r="H1049" s="279"/>
      <c r="I1049" s="279"/>
      <c r="J1049" s="129">
        <v>4435</v>
      </c>
      <c r="K1049" s="129">
        <v>866</v>
      </c>
      <c r="L1049" s="129"/>
      <c r="M1049" s="129">
        <v>853</v>
      </c>
      <c r="N1049" s="129"/>
      <c r="O1049" s="129"/>
      <c r="P1049" s="129"/>
      <c r="Q1049" s="129"/>
      <c r="R1049" s="129"/>
      <c r="S1049" s="129"/>
      <c r="T1049" s="129"/>
      <c r="U1049" s="129"/>
      <c r="V1049" s="129"/>
      <c r="W1049" s="107"/>
      <c r="X1049" s="105"/>
      <c r="Y1049" s="92">
        <f t="shared" si="96"/>
        <v>0</v>
      </c>
      <c r="Z1049" s="92">
        <f t="shared" si="97"/>
        <v>0</v>
      </c>
      <c r="AA1049" s="92">
        <f t="shared" si="98"/>
        <v>0</v>
      </c>
      <c r="AB1049" s="92">
        <f t="shared" si="99"/>
        <v>0</v>
      </c>
      <c r="AC1049" s="92"/>
      <c r="AD1049" s="92">
        <v>0</v>
      </c>
      <c r="AE1049" s="92">
        <f t="shared" si="100"/>
        <v>0</v>
      </c>
      <c r="AF1049" s="93">
        <v>0</v>
      </c>
      <c r="AG1049" s="105"/>
      <c r="AH1049" s="108"/>
      <c r="AI1049" s="109" t="s">
        <v>4336</v>
      </c>
      <c r="AJ1049" s="110" t="s">
        <v>4337</v>
      </c>
      <c r="AK1049" s="111"/>
      <c r="AL1049" s="105" t="s">
        <v>1069</v>
      </c>
      <c r="AM1049" s="90"/>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18"/>
      <c r="CO1049" s="119"/>
      <c r="CP1049" s="118"/>
      <c r="CQ1049" s="119"/>
      <c r="CR1049" s="118"/>
      <c r="CS1049" s="119"/>
      <c r="CT1049" s="113"/>
      <c r="CU1049" s="118"/>
      <c r="CV1049" s="99">
        <f t="shared" si="101"/>
        <v>0</v>
      </c>
      <c r="CW1049" s="118"/>
      <c r="CX1049" s="119"/>
      <c r="CY1049" s="119"/>
      <c r="CZ1049" s="119"/>
      <c r="DA1049" s="118"/>
      <c r="DB1049" s="119"/>
      <c r="DC1049" s="111"/>
      <c r="DD1049" s="119"/>
      <c r="DE1049" s="111"/>
      <c r="DF1049" s="46"/>
    </row>
    <row r="1050" spans="1:110" s="42" customFormat="1" ht="22.5" x14ac:dyDescent="0.2">
      <c r="A1050" s="89">
        <v>40674</v>
      </c>
      <c r="B1050" s="106" t="s">
        <v>4387</v>
      </c>
      <c r="C1050" s="106" t="s">
        <v>3329</v>
      </c>
      <c r="D1050" s="90" t="s">
        <v>4264</v>
      </c>
      <c r="E1050" s="90" t="str">
        <f>VLOOKUP(B1050&amp;C1050,Divipola!$C$2:$F$1138,4,FALSE)</f>
        <v>52788</v>
      </c>
      <c r="F1050" s="90"/>
      <c r="G1050" s="279"/>
      <c r="H1050" s="279"/>
      <c r="I1050" s="279"/>
      <c r="J1050" s="129"/>
      <c r="K1050" s="129"/>
      <c r="L1050" s="129"/>
      <c r="M1050" s="129"/>
      <c r="N1050" s="129">
        <v>1</v>
      </c>
      <c r="O1050" s="129"/>
      <c r="P1050" s="129"/>
      <c r="Q1050" s="129"/>
      <c r="R1050" s="129"/>
      <c r="S1050" s="129"/>
      <c r="T1050" s="129">
        <v>1</v>
      </c>
      <c r="U1050" s="129"/>
      <c r="V1050" s="129"/>
      <c r="W1050" s="107"/>
      <c r="X1050" s="105"/>
      <c r="Y1050" s="92">
        <f t="shared" si="96"/>
        <v>0</v>
      </c>
      <c r="Z1050" s="92">
        <f t="shared" si="97"/>
        <v>0</v>
      </c>
      <c r="AA1050" s="92">
        <f t="shared" si="98"/>
        <v>0</v>
      </c>
      <c r="AB1050" s="92">
        <f t="shared" si="99"/>
        <v>0</v>
      </c>
      <c r="AC1050" s="92"/>
      <c r="AD1050" s="92">
        <v>0</v>
      </c>
      <c r="AE1050" s="92">
        <f t="shared" si="100"/>
        <v>0</v>
      </c>
      <c r="AF1050" s="93">
        <v>0</v>
      </c>
      <c r="AG1050" s="105"/>
      <c r="AH1050" s="108"/>
      <c r="AI1050" s="109" t="s">
        <v>4336</v>
      </c>
      <c r="AJ1050" s="110" t="s">
        <v>4337</v>
      </c>
      <c r="AK1050" s="111"/>
      <c r="AL1050" s="105" t="s">
        <v>1069</v>
      </c>
      <c r="AM1050" s="90" t="s">
        <v>80</v>
      </c>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18"/>
      <c r="CO1050" s="119"/>
      <c r="CP1050" s="118"/>
      <c r="CQ1050" s="119"/>
      <c r="CR1050" s="118"/>
      <c r="CS1050" s="119"/>
      <c r="CT1050" s="113"/>
      <c r="CU1050" s="118"/>
      <c r="CV1050" s="99">
        <f t="shared" si="101"/>
        <v>0</v>
      </c>
      <c r="CW1050" s="118"/>
      <c r="CX1050" s="119"/>
      <c r="CY1050" s="119"/>
      <c r="CZ1050" s="119"/>
      <c r="DA1050" s="118"/>
      <c r="DB1050" s="119"/>
      <c r="DC1050" s="111"/>
      <c r="DD1050" s="119"/>
      <c r="DE1050" s="111"/>
      <c r="DF1050" s="46"/>
    </row>
    <row r="1051" spans="1:110" s="42" customFormat="1" ht="48" x14ac:dyDescent="0.2">
      <c r="A1051" s="89">
        <v>40675</v>
      </c>
      <c r="B1051" s="90" t="s">
        <v>2218</v>
      </c>
      <c r="C1051" s="90" t="s">
        <v>3493</v>
      </c>
      <c r="D1051" s="90" t="s">
        <v>3346</v>
      </c>
      <c r="E1051" s="90" t="str">
        <f>VLOOKUP(B1051&amp;C1051,Divipola!$C$2:$F$1138,4,FALSE)</f>
        <v>05400</v>
      </c>
      <c r="F1051" s="101"/>
      <c r="G1051" s="101"/>
      <c r="H1051" s="101">
        <v>5</v>
      </c>
      <c r="I1051" s="101"/>
      <c r="J1051" s="101">
        <v>1100</v>
      </c>
      <c r="K1051" s="101">
        <v>254</v>
      </c>
      <c r="L1051" s="101"/>
      <c r="M1051" s="101">
        <v>254</v>
      </c>
      <c r="N1051" s="101"/>
      <c r="O1051" s="101"/>
      <c r="P1051" s="101"/>
      <c r="Q1051" s="101"/>
      <c r="R1051" s="101"/>
      <c r="S1051" s="101"/>
      <c r="T1051" s="101">
        <v>1</v>
      </c>
      <c r="U1051" s="91"/>
      <c r="V1051" s="89"/>
      <c r="W1051" s="92" t="s">
        <v>2810</v>
      </c>
      <c r="X1051" s="92"/>
      <c r="Y1051" s="92">
        <f t="shared" si="96"/>
        <v>0</v>
      </c>
      <c r="Z1051" s="92">
        <f t="shared" si="97"/>
        <v>0</v>
      </c>
      <c r="AA1051" s="92">
        <f t="shared" si="98"/>
        <v>0</v>
      </c>
      <c r="AB1051" s="92">
        <f t="shared" si="99"/>
        <v>0</v>
      </c>
      <c r="AC1051" s="92"/>
      <c r="AD1051" s="92">
        <v>0</v>
      </c>
      <c r="AE1051" s="92">
        <f t="shared" si="100"/>
        <v>0</v>
      </c>
      <c r="AF1051" s="93">
        <v>0</v>
      </c>
      <c r="AG1051" s="89"/>
      <c r="AH1051" s="96"/>
      <c r="AI1051" s="102" t="s">
        <v>4336</v>
      </c>
      <c r="AJ1051" s="96" t="s">
        <v>4337</v>
      </c>
      <c r="AK1051" s="100"/>
      <c r="AL1051" s="105"/>
      <c r="AM1051" s="112" t="s">
        <v>2811</v>
      </c>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18"/>
      <c r="CO1051" s="119"/>
      <c r="CP1051" s="118"/>
      <c r="CQ1051" s="119"/>
      <c r="CR1051" s="118"/>
      <c r="CS1051" s="119"/>
      <c r="CT1051" s="113"/>
      <c r="CU1051" s="118"/>
      <c r="CV1051" s="99">
        <f t="shared" si="101"/>
        <v>0</v>
      </c>
      <c r="CW1051" s="118"/>
      <c r="CX1051" s="119"/>
      <c r="CY1051" s="119"/>
      <c r="CZ1051" s="119"/>
      <c r="DA1051" s="118"/>
      <c r="DB1051" s="119"/>
      <c r="DC1051" s="111"/>
      <c r="DD1051" s="119"/>
      <c r="DE1051" s="111"/>
      <c r="DF1051" s="46"/>
    </row>
    <row r="1052" spans="1:110" s="42" customFormat="1" ht="78.75" x14ac:dyDescent="0.2">
      <c r="A1052" s="89">
        <v>40675</v>
      </c>
      <c r="B1052" s="106" t="s">
        <v>4326</v>
      </c>
      <c r="C1052" s="106" t="s">
        <v>4338</v>
      </c>
      <c r="D1052" s="90" t="s">
        <v>4264</v>
      </c>
      <c r="E1052" s="90" t="str">
        <f>VLOOKUP(B1052&amp;C1052,Divipola!$C$2:$F$1138,4,FALSE)</f>
        <v>08001</v>
      </c>
      <c r="F1052" s="90"/>
      <c r="G1052" s="129"/>
      <c r="H1052" s="129"/>
      <c r="I1052" s="129"/>
      <c r="J1052" s="129">
        <v>215</v>
      </c>
      <c r="K1052" s="129">
        <v>43</v>
      </c>
      <c r="L1052" s="129">
        <v>3</v>
      </c>
      <c r="M1052" s="129">
        <v>40</v>
      </c>
      <c r="N1052" s="129"/>
      <c r="O1052" s="129"/>
      <c r="P1052" s="129"/>
      <c r="Q1052" s="129"/>
      <c r="R1052" s="129"/>
      <c r="S1052" s="129"/>
      <c r="T1052" s="129"/>
      <c r="U1052" s="129"/>
      <c r="V1052" s="129"/>
      <c r="W1052" s="107"/>
      <c r="X1052" s="105"/>
      <c r="Y1052" s="92">
        <f t="shared" si="96"/>
        <v>0</v>
      </c>
      <c r="Z1052" s="92">
        <f t="shared" si="97"/>
        <v>0</v>
      </c>
      <c r="AA1052" s="92">
        <f t="shared" si="98"/>
        <v>0</v>
      </c>
      <c r="AB1052" s="92">
        <f t="shared" si="99"/>
        <v>0</v>
      </c>
      <c r="AC1052" s="92"/>
      <c r="AD1052" s="92">
        <v>0</v>
      </c>
      <c r="AE1052" s="92">
        <f t="shared" si="100"/>
        <v>0</v>
      </c>
      <c r="AF1052" s="93">
        <v>0</v>
      </c>
      <c r="AG1052" s="105"/>
      <c r="AH1052" s="108"/>
      <c r="AI1052" s="109" t="s">
        <v>4336</v>
      </c>
      <c r="AJ1052" s="110" t="s">
        <v>4337</v>
      </c>
      <c r="AK1052" s="111"/>
      <c r="AL1052" s="89"/>
      <c r="AM1052" s="90" t="s">
        <v>2809</v>
      </c>
      <c r="AN1052" s="90"/>
      <c r="AO1052" s="90"/>
      <c r="AP1052" s="101"/>
      <c r="AQ1052" s="101"/>
      <c r="AR1052" s="101"/>
      <c r="AS1052" s="101"/>
      <c r="AT1052" s="101"/>
      <c r="AU1052" s="101"/>
      <c r="AV1052" s="101"/>
      <c r="AW1052" s="101"/>
      <c r="AX1052" s="101"/>
      <c r="AY1052" s="101"/>
      <c r="AZ1052" s="101"/>
      <c r="BA1052" s="101"/>
      <c r="BB1052" s="101"/>
      <c r="BC1052" s="101"/>
      <c r="BD1052" s="101"/>
      <c r="BE1052" s="101"/>
      <c r="BF1052" s="91"/>
      <c r="BG1052" s="89"/>
      <c r="BH1052" s="92"/>
      <c r="BI1052" s="92"/>
      <c r="BJ1052" s="92"/>
      <c r="BK1052" s="92"/>
      <c r="BL1052" s="92"/>
      <c r="BM1052" s="92"/>
      <c r="BN1052" s="92"/>
      <c r="BO1052" s="93"/>
      <c r="BP1052" s="89"/>
      <c r="BQ1052" s="94"/>
      <c r="BR1052" s="89"/>
      <c r="BS1052" s="96"/>
      <c r="BT1052" s="97"/>
      <c r="BU1052" s="89"/>
      <c r="BV1052" s="100"/>
      <c r="BW1052" s="107"/>
      <c r="BX1052" s="107"/>
      <c r="BY1052" s="107"/>
      <c r="BZ1052" s="107"/>
      <c r="CA1052" s="107"/>
      <c r="CB1052" s="107"/>
      <c r="CC1052" s="107"/>
      <c r="CD1052" s="107"/>
      <c r="CE1052" s="107"/>
      <c r="CF1052" s="107"/>
      <c r="CG1052" s="107"/>
      <c r="CH1052" s="107"/>
      <c r="CI1052" s="107"/>
      <c r="CJ1052" s="107"/>
      <c r="CK1052" s="107"/>
      <c r="CL1052" s="107"/>
      <c r="CM1052" s="107"/>
      <c r="CN1052" s="118"/>
      <c r="CO1052" s="119"/>
      <c r="CP1052" s="118"/>
      <c r="CQ1052" s="119"/>
      <c r="CR1052" s="118"/>
      <c r="CS1052" s="119"/>
      <c r="CT1052" s="113"/>
      <c r="CU1052" s="118"/>
      <c r="CV1052" s="99">
        <f t="shared" si="101"/>
        <v>0</v>
      </c>
      <c r="CW1052" s="118"/>
      <c r="CX1052" s="119"/>
      <c r="CY1052" s="119"/>
      <c r="CZ1052" s="119"/>
      <c r="DA1052" s="118"/>
      <c r="DB1052" s="119"/>
      <c r="DC1052" s="111"/>
      <c r="DD1052" s="119"/>
      <c r="DE1052" s="111"/>
      <c r="DF1052" s="46"/>
    </row>
    <row r="1053" spans="1:110" s="42" customFormat="1" ht="36" x14ac:dyDescent="0.2">
      <c r="A1053" s="89">
        <v>40675</v>
      </c>
      <c r="B1053" s="90" t="s">
        <v>4326</v>
      </c>
      <c r="C1053" s="90" t="s">
        <v>4239</v>
      </c>
      <c r="D1053" s="90" t="s">
        <v>4264</v>
      </c>
      <c r="E1053" s="90" t="str">
        <f>VLOOKUP(B1053&amp;C1053,Divipola!$C$2:$F$1138,4,FALSE)</f>
        <v>08758</v>
      </c>
      <c r="F1053" s="101"/>
      <c r="G1053" s="101"/>
      <c r="H1053" s="101"/>
      <c r="I1053" s="101"/>
      <c r="J1053" s="101"/>
      <c r="K1053" s="101"/>
      <c r="L1053" s="101"/>
      <c r="M1053" s="101"/>
      <c r="N1053" s="101"/>
      <c r="O1053" s="101"/>
      <c r="P1053" s="101"/>
      <c r="Q1053" s="101"/>
      <c r="R1053" s="101"/>
      <c r="S1053" s="101"/>
      <c r="T1053" s="101"/>
      <c r="U1053" s="91"/>
      <c r="V1053" s="89"/>
      <c r="W1053" s="92"/>
      <c r="X1053" s="92"/>
      <c r="Y1053" s="92">
        <f t="shared" si="96"/>
        <v>0</v>
      </c>
      <c r="Z1053" s="92">
        <f t="shared" si="97"/>
        <v>0</v>
      </c>
      <c r="AA1053" s="92">
        <f t="shared" si="98"/>
        <v>0</v>
      </c>
      <c r="AB1053" s="92">
        <f t="shared" si="99"/>
        <v>0</v>
      </c>
      <c r="AC1053" s="92"/>
      <c r="AD1053" s="92">
        <v>0</v>
      </c>
      <c r="AE1053" s="92">
        <f t="shared" si="100"/>
        <v>0</v>
      </c>
      <c r="AF1053" s="93">
        <v>0</v>
      </c>
      <c r="AG1053" s="89"/>
      <c r="AH1053" s="96"/>
      <c r="AI1053" s="109" t="s">
        <v>4336</v>
      </c>
      <c r="AJ1053" s="110" t="s">
        <v>4337</v>
      </c>
      <c r="AK1053" s="100"/>
      <c r="AL1053" s="105"/>
      <c r="AM1053" s="112" t="s">
        <v>2813</v>
      </c>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c r="BJ1053" s="107"/>
      <c r="BK1053" s="107"/>
      <c r="BL1053" s="107"/>
      <c r="BM1053" s="107"/>
      <c r="BN1053" s="107"/>
      <c r="BO1053" s="107"/>
      <c r="BP1053" s="107"/>
      <c r="BQ1053" s="107"/>
      <c r="BR1053" s="107"/>
      <c r="BS1053" s="107"/>
      <c r="BT1053" s="107"/>
      <c r="BU1053" s="107"/>
      <c r="BV1053" s="107"/>
      <c r="BW1053" s="107"/>
      <c r="BX1053" s="107"/>
      <c r="BY1053" s="107"/>
      <c r="BZ1053" s="107"/>
      <c r="CA1053" s="107"/>
      <c r="CB1053" s="107"/>
      <c r="CC1053" s="107"/>
      <c r="CD1053" s="107"/>
      <c r="CE1053" s="107"/>
      <c r="CF1053" s="107"/>
      <c r="CG1053" s="107"/>
      <c r="CH1053" s="107"/>
      <c r="CI1053" s="107"/>
      <c r="CJ1053" s="107"/>
      <c r="CK1053" s="107"/>
      <c r="CL1053" s="107"/>
      <c r="CM1053" s="107"/>
      <c r="CN1053" s="118"/>
      <c r="CO1053" s="119"/>
      <c r="CP1053" s="118"/>
      <c r="CQ1053" s="119"/>
      <c r="CR1053" s="118"/>
      <c r="CS1053" s="119"/>
      <c r="CT1053" s="113"/>
      <c r="CU1053" s="118"/>
      <c r="CV1053" s="99">
        <f t="shared" si="101"/>
        <v>0</v>
      </c>
      <c r="CW1053" s="118"/>
      <c r="CX1053" s="119"/>
      <c r="CY1053" s="119"/>
      <c r="CZ1053" s="119"/>
      <c r="DA1053" s="118"/>
      <c r="DB1053" s="119"/>
      <c r="DC1053" s="111"/>
      <c r="DD1053" s="119"/>
      <c r="DE1053" s="111"/>
      <c r="DF1053" s="46"/>
    </row>
    <row r="1054" spans="1:110" s="42" customFormat="1" ht="45" x14ac:dyDescent="0.2">
      <c r="A1054" s="89">
        <v>40675</v>
      </c>
      <c r="B1054" s="90" t="s">
        <v>1116</v>
      </c>
      <c r="C1054" s="90" t="s">
        <v>1116</v>
      </c>
      <c r="D1054" s="90" t="s">
        <v>4264</v>
      </c>
      <c r="E1054" s="90" t="str">
        <f>VLOOKUP(B1054&amp;C1054,Divipola!$C$2:$F$1138,4,FALSE)</f>
        <v>11001</v>
      </c>
      <c r="F1054" s="90"/>
      <c r="G1054" s="279"/>
      <c r="H1054" s="279"/>
      <c r="I1054" s="279"/>
      <c r="J1054" s="129">
        <v>110</v>
      </c>
      <c r="K1054" s="129">
        <v>22</v>
      </c>
      <c r="L1054" s="129"/>
      <c r="M1054" s="129">
        <v>22</v>
      </c>
      <c r="N1054" s="129"/>
      <c r="O1054" s="129"/>
      <c r="P1054" s="129"/>
      <c r="Q1054" s="129"/>
      <c r="R1054" s="129"/>
      <c r="S1054" s="129"/>
      <c r="T1054" s="129"/>
      <c r="U1054" s="129"/>
      <c r="V1054" s="129"/>
      <c r="W1054" s="107"/>
      <c r="X1054" s="105"/>
      <c r="Y1054" s="92">
        <f t="shared" ref="Y1054:Y1117" si="102">CV1054</f>
        <v>0</v>
      </c>
      <c r="Z1054" s="92">
        <f t="shared" ref="Z1054:Z1117" si="103">CZ1054</f>
        <v>0</v>
      </c>
      <c r="AA1054" s="92">
        <f t="shared" ref="AA1054:AA1117" si="104">DB1054+DD1054</f>
        <v>0</v>
      </c>
      <c r="AB1054" s="92">
        <f t="shared" ref="AB1054:AB1117" si="105">CX1054</f>
        <v>0</v>
      </c>
      <c r="AC1054" s="92"/>
      <c r="AD1054" s="92">
        <v>0</v>
      </c>
      <c r="AE1054" s="92">
        <f t="shared" ref="AE1054:AE1117" si="106">Y1054+Z1054+AA1054+AB1054+AC1054+AD1054</f>
        <v>0</v>
      </c>
      <c r="AF1054" s="93">
        <v>0</v>
      </c>
      <c r="AG1054" s="105"/>
      <c r="AH1054" s="108"/>
      <c r="AI1054" s="109" t="s">
        <v>4336</v>
      </c>
      <c r="AJ1054" s="110" t="s">
        <v>4337</v>
      </c>
      <c r="AK1054" s="111"/>
      <c r="AL1054" s="89"/>
      <c r="AM1054" s="90" t="s">
        <v>2812</v>
      </c>
      <c r="AN1054" s="90"/>
      <c r="AO1054" s="90"/>
      <c r="AP1054" s="101"/>
      <c r="AQ1054" s="101"/>
      <c r="AR1054" s="101"/>
      <c r="AS1054" s="101"/>
      <c r="AT1054" s="101"/>
      <c r="AU1054" s="101"/>
      <c r="AV1054" s="101"/>
      <c r="AW1054" s="101"/>
      <c r="AX1054" s="101"/>
      <c r="AY1054" s="101"/>
      <c r="AZ1054" s="101"/>
      <c r="BA1054" s="101"/>
      <c r="BB1054" s="101"/>
      <c r="BC1054" s="101"/>
      <c r="BD1054" s="101"/>
      <c r="BE1054" s="101"/>
      <c r="BF1054" s="91"/>
      <c r="BG1054" s="89"/>
      <c r="BH1054" s="92"/>
      <c r="BI1054" s="92"/>
      <c r="BJ1054" s="92"/>
      <c r="BK1054" s="92"/>
      <c r="BL1054" s="92"/>
      <c r="BM1054" s="92"/>
      <c r="BN1054" s="92"/>
      <c r="BO1054" s="93"/>
      <c r="BP1054" s="89"/>
      <c r="BQ1054" s="94"/>
      <c r="BR1054" s="89"/>
      <c r="BS1054" s="96"/>
      <c r="BT1054" s="97"/>
      <c r="BU1054" s="89"/>
      <c r="BV1054" s="100"/>
      <c r="BW1054" s="107"/>
      <c r="BX1054" s="107"/>
      <c r="BY1054" s="107"/>
      <c r="BZ1054" s="107"/>
      <c r="CA1054" s="107"/>
      <c r="CB1054" s="107"/>
      <c r="CC1054" s="107"/>
      <c r="CD1054" s="107"/>
      <c r="CE1054" s="107"/>
      <c r="CF1054" s="107"/>
      <c r="CG1054" s="107"/>
      <c r="CH1054" s="107"/>
      <c r="CI1054" s="107"/>
      <c r="CJ1054" s="107"/>
      <c r="CK1054" s="107"/>
      <c r="CL1054" s="107"/>
      <c r="CM1054" s="107"/>
      <c r="CN1054" s="118"/>
      <c r="CO1054" s="119"/>
      <c r="CP1054" s="118"/>
      <c r="CQ1054" s="119"/>
      <c r="CR1054" s="118"/>
      <c r="CS1054" s="119"/>
      <c r="CT1054" s="113"/>
      <c r="CU1054" s="118"/>
      <c r="CV1054" s="99">
        <f t="shared" si="101"/>
        <v>0</v>
      </c>
      <c r="CW1054" s="118"/>
      <c r="CX1054" s="119"/>
      <c r="CY1054" s="119"/>
      <c r="CZ1054" s="119"/>
      <c r="DA1054" s="118"/>
      <c r="DB1054" s="119"/>
      <c r="DC1054" s="111"/>
      <c r="DD1054" s="119"/>
      <c r="DE1054" s="111"/>
      <c r="DF1054" s="46"/>
    </row>
    <row r="1055" spans="1:110" s="42" customFormat="1" x14ac:dyDescent="0.2">
      <c r="A1055" s="89">
        <v>40675</v>
      </c>
      <c r="B1055" s="106" t="s">
        <v>4352</v>
      </c>
      <c r="C1055" s="106" t="s">
        <v>2560</v>
      </c>
      <c r="D1055" s="90" t="s">
        <v>4264</v>
      </c>
      <c r="E1055" s="90" t="str">
        <f>VLOOKUP(B1055&amp;C1055,Divipola!$C$2:$F$1138,4,FALSE)</f>
        <v>13780</v>
      </c>
      <c r="F1055" s="90"/>
      <c r="G1055" s="129"/>
      <c r="H1055" s="129"/>
      <c r="I1055" s="129"/>
      <c r="J1055" s="129"/>
      <c r="K1055" s="129"/>
      <c r="L1055" s="129"/>
      <c r="M1055" s="129"/>
      <c r="N1055" s="129"/>
      <c r="O1055" s="129"/>
      <c r="P1055" s="129"/>
      <c r="Q1055" s="129"/>
      <c r="R1055" s="129"/>
      <c r="S1055" s="129"/>
      <c r="T1055" s="129"/>
      <c r="U1055" s="129"/>
      <c r="V1055" s="129"/>
      <c r="W1055" s="107"/>
      <c r="X1055" s="105"/>
      <c r="Y1055" s="92">
        <f t="shared" si="102"/>
        <v>45354000</v>
      </c>
      <c r="Z1055" s="92">
        <f t="shared" si="103"/>
        <v>54570000</v>
      </c>
      <c r="AA1055" s="92">
        <f t="shared" si="104"/>
        <v>0</v>
      </c>
      <c r="AB1055" s="92">
        <f t="shared" si="105"/>
        <v>0</v>
      </c>
      <c r="AC1055" s="92"/>
      <c r="AD1055" s="92">
        <v>0</v>
      </c>
      <c r="AE1055" s="92">
        <f t="shared" si="106"/>
        <v>99924000</v>
      </c>
      <c r="AF1055" s="93">
        <v>0</v>
      </c>
      <c r="AG1055" s="105"/>
      <c r="AH1055" s="108"/>
      <c r="AI1055" s="102" t="s">
        <v>4346</v>
      </c>
      <c r="AJ1055" s="96" t="s">
        <v>4347</v>
      </c>
      <c r="AK1055" s="111"/>
      <c r="AL1055" s="105"/>
      <c r="AM1055" s="112"/>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c r="BJ1055" s="107"/>
      <c r="BK1055" s="107"/>
      <c r="BL1055" s="107"/>
      <c r="BM1055" s="107"/>
      <c r="BN1055" s="107"/>
      <c r="BO1055" s="107"/>
      <c r="BP1055" s="107"/>
      <c r="BQ1055" s="107"/>
      <c r="BR1055" s="107"/>
      <c r="BS1055" s="107"/>
      <c r="BT1055" s="107"/>
      <c r="BU1055" s="107"/>
      <c r="BV1055" s="107"/>
      <c r="BW1055" s="107"/>
      <c r="BX1055" s="107"/>
      <c r="BY1055" s="107"/>
      <c r="BZ1055" s="107"/>
      <c r="CA1055" s="107"/>
      <c r="CB1055" s="107"/>
      <c r="CC1055" s="107"/>
      <c r="CD1055" s="107"/>
      <c r="CE1055" s="107"/>
      <c r="CF1055" s="107"/>
      <c r="CG1055" s="107"/>
      <c r="CH1055" s="107"/>
      <c r="CI1055" s="107"/>
      <c r="CJ1055" s="107"/>
      <c r="CK1055" s="107"/>
      <c r="CL1055" s="107"/>
      <c r="CM1055" s="107"/>
      <c r="CN1055" s="118">
        <v>1200</v>
      </c>
      <c r="CO1055" s="119">
        <f>1200*18000</f>
        <v>21600000</v>
      </c>
      <c r="CP1055" s="118">
        <v>642</v>
      </c>
      <c r="CQ1055" s="119">
        <f>642*37000</f>
        <v>23754000</v>
      </c>
      <c r="CR1055" s="118"/>
      <c r="CS1055" s="119"/>
      <c r="CT1055" s="113"/>
      <c r="CU1055" s="118"/>
      <c r="CV1055" s="99">
        <f t="shared" si="101"/>
        <v>45354000</v>
      </c>
      <c r="CW1055" s="118"/>
      <c r="CX1055" s="119"/>
      <c r="CY1055" s="119">
        <v>642</v>
      </c>
      <c r="CZ1055" s="119">
        <f>642*85000</f>
        <v>54570000</v>
      </c>
      <c r="DA1055" s="118"/>
      <c r="DB1055" s="119"/>
      <c r="DC1055" s="111"/>
      <c r="DD1055" s="119"/>
      <c r="DE1055" s="111"/>
      <c r="DF1055" s="46"/>
    </row>
    <row r="1056" spans="1:110" s="42" customFormat="1" ht="84" x14ac:dyDescent="0.2">
      <c r="A1056" s="89">
        <v>40675</v>
      </c>
      <c r="B1056" s="106" t="s">
        <v>4261</v>
      </c>
      <c r="C1056" s="106" t="s">
        <v>2650</v>
      </c>
      <c r="D1056" s="90" t="s">
        <v>2362</v>
      </c>
      <c r="E1056" s="90" t="str">
        <f>VLOOKUP(B1056&amp;C1056,Divipola!$C$2:$F$1138,4,FALSE)</f>
        <v>15232</v>
      </c>
      <c r="F1056" s="90"/>
      <c r="G1056" s="129"/>
      <c r="H1056" s="129"/>
      <c r="I1056" s="129"/>
      <c r="J1056" s="129">
        <v>30</v>
      </c>
      <c r="K1056" s="129">
        <v>6</v>
      </c>
      <c r="L1056" s="129"/>
      <c r="M1056" s="129">
        <v>6</v>
      </c>
      <c r="N1056" s="129">
        <v>1</v>
      </c>
      <c r="O1056" s="129"/>
      <c r="P1056" s="129"/>
      <c r="Q1056" s="129"/>
      <c r="R1056" s="129"/>
      <c r="S1056" s="129"/>
      <c r="T1056" s="129"/>
      <c r="U1056" s="129"/>
      <c r="V1056" s="129"/>
      <c r="W1056" s="107"/>
      <c r="X1056" s="105"/>
      <c r="Y1056" s="92">
        <f t="shared" si="102"/>
        <v>0</v>
      </c>
      <c r="Z1056" s="92">
        <f t="shared" si="103"/>
        <v>0</v>
      </c>
      <c r="AA1056" s="92">
        <f t="shared" si="104"/>
        <v>0</v>
      </c>
      <c r="AB1056" s="92">
        <f t="shared" si="105"/>
        <v>0</v>
      </c>
      <c r="AC1056" s="92"/>
      <c r="AD1056" s="92">
        <v>20000000</v>
      </c>
      <c r="AE1056" s="92">
        <f t="shared" si="106"/>
        <v>20000000</v>
      </c>
      <c r="AF1056" s="93">
        <v>0</v>
      </c>
      <c r="AG1056" s="105"/>
      <c r="AH1056" s="108"/>
      <c r="AI1056" s="109" t="s">
        <v>4346</v>
      </c>
      <c r="AJ1056" s="110" t="s">
        <v>4347</v>
      </c>
      <c r="AK1056" s="111"/>
      <c r="AL1056" s="105"/>
      <c r="AM1056" s="112" t="s">
        <v>1106</v>
      </c>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18"/>
      <c r="CO1056" s="119"/>
      <c r="CP1056" s="118"/>
      <c r="CQ1056" s="119"/>
      <c r="CR1056" s="118"/>
      <c r="CS1056" s="119"/>
      <c r="CT1056" s="113"/>
      <c r="CU1056" s="118"/>
      <c r="CV1056" s="99">
        <f t="shared" si="101"/>
        <v>0</v>
      </c>
      <c r="CW1056" s="118"/>
      <c r="CX1056" s="119"/>
      <c r="CY1056" s="119"/>
      <c r="CZ1056" s="119"/>
      <c r="DA1056" s="118"/>
      <c r="DB1056" s="119"/>
      <c r="DC1056" s="111"/>
      <c r="DD1056" s="119"/>
      <c r="DE1056" s="111"/>
      <c r="DF1056" s="46"/>
    </row>
    <row r="1057" spans="1:110" s="42" customFormat="1" ht="60" x14ac:dyDescent="0.2">
      <c r="A1057" s="89">
        <v>40675</v>
      </c>
      <c r="B1057" s="106" t="s">
        <v>4261</v>
      </c>
      <c r="C1057" s="106" t="s">
        <v>2623</v>
      </c>
      <c r="D1057" s="90" t="s">
        <v>4264</v>
      </c>
      <c r="E1057" s="90" t="str">
        <f>VLOOKUP(B1057&amp;C1057,Divipola!$C$2:$F$1138,4,FALSE)</f>
        <v>15185</v>
      </c>
      <c r="F1057" s="90"/>
      <c r="G1057" s="129"/>
      <c r="H1057" s="129"/>
      <c r="I1057" s="129"/>
      <c r="J1057" s="129">
        <v>150</v>
      </c>
      <c r="K1057" s="129">
        <v>30</v>
      </c>
      <c r="L1057" s="129"/>
      <c r="M1057" s="129">
        <v>30</v>
      </c>
      <c r="N1057" s="129"/>
      <c r="O1057" s="129"/>
      <c r="P1057" s="129"/>
      <c r="Q1057" s="129"/>
      <c r="R1057" s="129"/>
      <c r="S1057" s="129"/>
      <c r="T1057" s="129">
        <v>5</v>
      </c>
      <c r="U1057" s="129"/>
      <c r="V1057" s="129"/>
      <c r="W1057" s="107"/>
      <c r="X1057" s="105"/>
      <c r="Y1057" s="92">
        <f t="shared" si="102"/>
        <v>0</v>
      </c>
      <c r="Z1057" s="92">
        <f t="shared" si="103"/>
        <v>0</v>
      </c>
      <c r="AA1057" s="92">
        <f t="shared" si="104"/>
        <v>0</v>
      </c>
      <c r="AB1057" s="92">
        <f t="shared" si="105"/>
        <v>0</v>
      </c>
      <c r="AC1057" s="92"/>
      <c r="AD1057" s="92">
        <v>30000000</v>
      </c>
      <c r="AE1057" s="92">
        <f t="shared" si="106"/>
        <v>30000000</v>
      </c>
      <c r="AF1057" s="93">
        <v>0</v>
      </c>
      <c r="AG1057" s="105"/>
      <c r="AH1057" s="108"/>
      <c r="AI1057" s="109" t="s">
        <v>4346</v>
      </c>
      <c r="AJ1057" s="110" t="s">
        <v>4347</v>
      </c>
      <c r="AK1057" s="111"/>
      <c r="AL1057" s="105"/>
      <c r="AM1057" s="112" t="s">
        <v>2098</v>
      </c>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18"/>
      <c r="CO1057" s="119"/>
      <c r="CP1057" s="118"/>
      <c r="CQ1057" s="119"/>
      <c r="CR1057" s="118"/>
      <c r="CS1057" s="119"/>
      <c r="CT1057" s="113"/>
      <c r="CU1057" s="118"/>
      <c r="CV1057" s="99">
        <f t="shared" si="101"/>
        <v>0</v>
      </c>
      <c r="CW1057" s="118"/>
      <c r="CX1057" s="119"/>
      <c r="CY1057" s="119"/>
      <c r="CZ1057" s="119"/>
      <c r="DA1057" s="118"/>
      <c r="DB1057" s="119"/>
      <c r="DC1057" s="111"/>
      <c r="DD1057" s="119"/>
      <c r="DE1057" s="111"/>
      <c r="DF1057" s="46"/>
    </row>
    <row r="1058" spans="1:110" s="42" customFormat="1" ht="60" x14ac:dyDescent="0.2">
      <c r="A1058" s="89">
        <v>40675</v>
      </c>
      <c r="B1058" s="106" t="s">
        <v>4261</v>
      </c>
      <c r="C1058" s="106" t="s">
        <v>1218</v>
      </c>
      <c r="D1058" s="90" t="s">
        <v>2362</v>
      </c>
      <c r="E1058" s="90" t="str">
        <f>VLOOKUP(B1058&amp;C1058,Divipola!$C$2:$F$1138,4,FALSE)</f>
        <v>15476</v>
      </c>
      <c r="F1058" s="90"/>
      <c r="G1058" s="129"/>
      <c r="H1058" s="129"/>
      <c r="I1058" s="129"/>
      <c r="J1058" s="129"/>
      <c r="K1058" s="129"/>
      <c r="L1058" s="129"/>
      <c r="M1058" s="129"/>
      <c r="N1058" s="129">
        <v>1</v>
      </c>
      <c r="O1058" s="129"/>
      <c r="P1058" s="129"/>
      <c r="Q1058" s="129"/>
      <c r="R1058" s="129"/>
      <c r="S1058" s="129"/>
      <c r="T1058" s="129"/>
      <c r="U1058" s="129"/>
      <c r="V1058" s="129"/>
      <c r="W1058" s="107"/>
      <c r="X1058" s="105"/>
      <c r="Y1058" s="92">
        <f t="shared" si="102"/>
        <v>0</v>
      </c>
      <c r="Z1058" s="92">
        <f t="shared" si="103"/>
        <v>0</v>
      </c>
      <c r="AA1058" s="92">
        <f t="shared" si="104"/>
        <v>0</v>
      </c>
      <c r="AB1058" s="92">
        <f t="shared" si="105"/>
        <v>0</v>
      </c>
      <c r="AC1058" s="92"/>
      <c r="AD1058" s="92">
        <v>20000000</v>
      </c>
      <c r="AE1058" s="92">
        <f t="shared" si="106"/>
        <v>20000000</v>
      </c>
      <c r="AF1058" s="93">
        <v>0</v>
      </c>
      <c r="AG1058" s="105"/>
      <c r="AH1058" s="108"/>
      <c r="AI1058" s="109" t="s">
        <v>4346</v>
      </c>
      <c r="AJ1058" s="110" t="s">
        <v>4347</v>
      </c>
      <c r="AK1058" s="111"/>
      <c r="AL1058" s="105"/>
      <c r="AM1058" s="112" t="s">
        <v>3227</v>
      </c>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18"/>
      <c r="CO1058" s="119"/>
      <c r="CP1058" s="118"/>
      <c r="CQ1058" s="119"/>
      <c r="CR1058" s="118"/>
      <c r="CS1058" s="119"/>
      <c r="CT1058" s="113"/>
      <c r="CU1058" s="118"/>
      <c r="CV1058" s="99">
        <f t="shared" si="101"/>
        <v>0</v>
      </c>
      <c r="CW1058" s="118"/>
      <c r="CX1058" s="119"/>
      <c r="CY1058" s="119"/>
      <c r="CZ1058" s="119"/>
      <c r="DA1058" s="118"/>
      <c r="DB1058" s="119"/>
      <c r="DC1058" s="111"/>
      <c r="DD1058" s="119"/>
      <c r="DE1058" s="111"/>
      <c r="DF1058" s="46"/>
    </row>
    <row r="1059" spans="1:110" s="42" customFormat="1" ht="96" x14ac:dyDescent="0.2">
      <c r="A1059" s="89">
        <v>40675</v>
      </c>
      <c r="B1059" s="106" t="s">
        <v>4261</v>
      </c>
      <c r="C1059" s="90" t="s">
        <v>1289</v>
      </c>
      <c r="D1059" s="90" t="s">
        <v>4264</v>
      </c>
      <c r="E1059" s="90" t="str">
        <f>VLOOKUP(B1059&amp;C1059,Divipola!$C$2:$F$1138,4,FALSE)</f>
        <v>15693</v>
      </c>
      <c r="F1059" s="90"/>
      <c r="G1059" s="129"/>
      <c r="H1059" s="129"/>
      <c r="I1059" s="129"/>
      <c r="J1059" s="129">
        <v>930</v>
      </c>
      <c r="K1059" s="129">
        <v>186</v>
      </c>
      <c r="L1059" s="129">
        <v>12</v>
      </c>
      <c r="M1059" s="129">
        <v>5</v>
      </c>
      <c r="N1059" s="129"/>
      <c r="O1059" s="129"/>
      <c r="P1059" s="129"/>
      <c r="Q1059" s="129"/>
      <c r="R1059" s="129"/>
      <c r="S1059" s="129"/>
      <c r="T1059" s="129"/>
      <c r="U1059" s="129"/>
      <c r="V1059" s="129"/>
      <c r="W1059" s="107"/>
      <c r="X1059" s="105"/>
      <c r="Y1059" s="92">
        <f t="shared" si="102"/>
        <v>0</v>
      </c>
      <c r="Z1059" s="92">
        <f t="shared" si="103"/>
        <v>0</v>
      </c>
      <c r="AA1059" s="92">
        <f t="shared" si="104"/>
        <v>0</v>
      </c>
      <c r="AB1059" s="92">
        <f t="shared" si="105"/>
        <v>0</v>
      </c>
      <c r="AC1059" s="92"/>
      <c r="AD1059" s="92">
        <v>20000000</v>
      </c>
      <c r="AE1059" s="92">
        <f t="shared" si="106"/>
        <v>20000000</v>
      </c>
      <c r="AF1059" s="93">
        <v>0</v>
      </c>
      <c r="AG1059" s="105"/>
      <c r="AH1059" s="108"/>
      <c r="AI1059" s="109" t="s">
        <v>4346</v>
      </c>
      <c r="AJ1059" s="110" t="s">
        <v>4347</v>
      </c>
      <c r="AK1059" s="111"/>
      <c r="AL1059" s="105"/>
      <c r="AM1059" s="112" t="s">
        <v>1138</v>
      </c>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18"/>
      <c r="CO1059" s="119"/>
      <c r="CP1059" s="118"/>
      <c r="CQ1059" s="119"/>
      <c r="CR1059" s="118"/>
      <c r="CS1059" s="119"/>
      <c r="CT1059" s="113"/>
      <c r="CU1059" s="118"/>
      <c r="CV1059" s="99">
        <f t="shared" si="101"/>
        <v>0</v>
      </c>
      <c r="CW1059" s="118"/>
      <c r="CX1059" s="119"/>
      <c r="CY1059" s="119"/>
      <c r="CZ1059" s="119"/>
      <c r="DA1059" s="118"/>
      <c r="DB1059" s="119"/>
      <c r="DC1059" s="111"/>
      <c r="DD1059" s="119"/>
      <c r="DE1059" s="111"/>
      <c r="DF1059" s="46"/>
    </row>
    <row r="1060" spans="1:110" s="42" customFormat="1" ht="48" x14ac:dyDescent="0.2">
      <c r="A1060" s="89">
        <v>40675</v>
      </c>
      <c r="B1060" s="106" t="s">
        <v>4261</v>
      </c>
      <c r="C1060" s="106" t="s">
        <v>1317</v>
      </c>
      <c r="D1060" s="90" t="s">
        <v>2362</v>
      </c>
      <c r="E1060" s="90" t="str">
        <f>VLOOKUP(B1060&amp;C1060,Divipola!$C$2:$F$1138,4,FALSE)</f>
        <v>15762</v>
      </c>
      <c r="F1060" s="90"/>
      <c r="G1060" s="129"/>
      <c r="H1060" s="129"/>
      <c r="I1060" s="129"/>
      <c r="J1060" s="129"/>
      <c r="K1060" s="129"/>
      <c r="L1060" s="129"/>
      <c r="M1060" s="129"/>
      <c r="N1060" s="129"/>
      <c r="O1060" s="129"/>
      <c r="P1060" s="129"/>
      <c r="Q1060" s="129"/>
      <c r="R1060" s="129"/>
      <c r="S1060" s="129"/>
      <c r="T1060" s="129"/>
      <c r="U1060" s="129"/>
      <c r="V1060" s="129"/>
      <c r="W1060" s="107"/>
      <c r="X1060" s="105"/>
      <c r="Y1060" s="92">
        <f t="shared" si="102"/>
        <v>0</v>
      </c>
      <c r="Z1060" s="92">
        <f t="shared" si="103"/>
        <v>0</v>
      </c>
      <c r="AA1060" s="92">
        <f t="shared" si="104"/>
        <v>0</v>
      </c>
      <c r="AB1060" s="92">
        <f t="shared" si="105"/>
        <v>0</v>
      </c>
      <c r="AC1060" s="92"/>
      <c r="AD1060" s="92">
        <v>20000000</v>
      </c>
      <c r="AE1060" s="92">
        <f t="shared" si="106"/>
        <v>20000000</v>
      </c>
      <c r="AF1060" s="93">
        <v>0</v>
      </c>
      <c r="AG1060" s="105"/>
      <c r="AH1060" s="108"/>
      <c r="AI1060" s="109" t="s">
        <v>4346</v>
      </c>
      <c r="AJ1060" s="110" t="s">
        <v>4347</v>
      </c>
      <c r="AK1060" s="111"/>
      <c r="AL1060" s="105"/>
      <c r="AM1060" s="112" t="s">
        <v>3226</v>
      </c>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18"/>
      <c r="CO1060" s="119"/>
      <c r="CP1060" s="118"/>
      <c r="CQ1060" s="119"/>
      <c r="CR1060" s="118"/>
      <c r="CS1060" s="119"/>
      <c r="CT1060" s="113"/>
      <c r="CU1060" s="118"/>
      <c r="CV1060" s="99">
        <f t="shared" si="101"/>
        <v>0</v>
      </c>
      <c r="CW1060" s="118"/>
      <c r="CX1060" s="119"/>
      <c r="CY1060" s="119"/>
      <c r="CZ1060" s="119"/>
      <c r="DA1060" s="118"/>
      <c r="DB1060" s="119"/>
      <c r="DC1060" s="111"/>
      <c r="DD1060" s="119"/>
      <c r="DE1060" s="111"/>
      <c r="DF1060" s="46"/>
    </row>
    <row r="1061" spans="1:110" s="42" customFormat="1" ht="60" x14ac:dyDescent="0.2">
      <c r="A1061" s="89">
        <v>40675</v>
      </c>
      <c r="B1061" s="106" t="s">
        <v>4261</v>
      </c>
      <c r="C1061" s="106" t="s">
        <v>1323</v>
      </c>
      <c r="D1061" s="90" t="s">
        <v>2362</v>
      </c>
      <c r="E1061" s="90" t="str">
        <f>VLOOKUP(B1061&amp;C1061,Divipola!$C$2:$F$1138,4,FALSE)</f>
        <v>15764</v>
      </c>
      <c r="F1061" s="90"/>
      <c r="G1061" s="129"/>
      <c r="H1061" s="129"/>
      <c r="I1061" s="129"/>
      <c r="J1061" s="129">
        <v>15</v>
      </c>
      <c r="K1061" s="129">
        <v>3</v>
      </c>
      <c r="L1061" s="129"/>
      <c r="M1061" s="129">
        <v>3</v>
      </c>
      <c r="N1061" s="129">
        <v>11</v>
      </c>
      <c r="O1061" s="129"/>
      <c r="P1061" s="129"/>
      <c r="Q1061" s="129"/>
      <c r="R1061" s="129"/>
      <c r="S1061" s="129"/>
      <c r="T1061" s="129"/>
      <c r="U1061" s="129"/>
      <c r="V1061" s="129"/>
      <c r="W1061" s="107"/>
      <c r="X1061" s="105"/>
      <c r="Y1061" s="92">
        <f t="shared" si="102"/>
        <v>0</v>
      </c>
      <c r="Z1061" s="92">
        <f t="shared" si="103"/>
        <v>0</v>
      </c>
      <c r="AA1061" s="92">
        <f t="shared" si="104"/>
        <v>0</v>
      </c>
      <c r="AB1061" s="92">
        <f t="shared" si="105"/>
        <v>0</v>
      </c>
      <c r="AC1061" s="92"/>
      <c r="AD1061" s="92">
        <v>20000000</v>
      </c>
      <c r="AE1061" s="92">
        <f t="shared" si="106"/>
        <v>20000000</v>
      </c>
      <c r="AF1061" s="93">
        <v>0</v>
      </c>
      <c r="AG1061" s="105"/>
      <c r="AH1061" s="108"/>
      <c r="AI1061" s="109" t="s">
        <v>4346</v>
      </c>
      <c r="AJ1061" s="110" t="s">
        <v>4347</v>
      </c>
      <c r="AK1061" s="111"/>
      <c r="AL1061" s="105"/>
      <c r="AM1061" s="112" t="s">
        <v>3768</v>
      </c>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18"/>
      <c r="CO1061" s="119"/>
      <c r="CP1061" s="118"/>
      <c r="CQ1061" s="119"/>
      <c r="CR1061" s="118"/>
      <c r="CS1061" s="119"/>
      <c r="CT1061" s="113"/>
      <c r="CU1061" s="118"/>
      <c r="CV1061" s="99">
        <f t="shared" si="101"/>
        <v>0</v>
      </c>
      <c r="CW1061" s="118"/>
      <c r="CX1061" s="119"/>
      <c r="CY1061" s="119"/>
      <c r="CZ1061" s="119"/>
      <c r="DA1061" s="118"/>
      <c r="DB1061" s="119"/>
      <c r="DC1061" s="111"/>
      <c r="DD1061" s="119"/>
      <c r="DE1061" s="111"/>
      <c r="DF1061" s="46"/>
    </row>
    <row r="1062" spans="1:110" s="42" customFormat="1" ht="36" x14ac:dyDescent="0.2">
      <c r="A1062" s="89">
        <v>40675</v>
      </c>
      <c r="B1062" s="106" t="s">
        <v>4261</v>
      </c>
      <c r="C1062" s="106" t="s">
        <v>1343</v>
      </c>
      <c r="D1062" s="90" t="s">
        <v>2362</v>
      </c>
      <c r="E1062" s="90" t="str">
        <f>VLOOKUP(B1062&amp;C1062,Divipola!$C$2:$F$1138,4,FALSE)</f>
        <v>15808</v>
      </c>
      <c r="F1062" s="90"/>
      <c r="G1062" s="129"/>
      <c r="H1062" s="129"/>
      <c r="I1062" s="129"/>
      <c r="J1062" s="129">
        <v>1435</v>
      </c>
      <c r="K1062" s="129">
        <v>287</v>
      </c>
      <c r="L1062" s="129"/>
      <c r="M1062" s="129"/>
      <c r="N1062" s="129"/>
      <c r="O1062" s="129"/>
      <c r="P1062" s="129"/>
      <c r="Q1062" s="129"/>
      <c r="R1062" s="129"/>
      <c r="S1062" s="129"/>
      <c r="T1062" s="129"/>
      <c r="U1062" s="129"/>
      <c r="V1062" s="129">
        <v>150</v>
      </c>
      <c r="W1062" s="107"/>
      <c r="X1062" s="105"/>
      <c r="Y1062" s="92">
        <f t="shared" si="102"/>
        <v>0</v>
      </c>
      <c r="Z1062" s="92">
        <f t="shared" si="103"/>
        <v>0</v>
      </c>
      <c r="AA1062" s="92">
        <f t="shared" si="104"/>
        <v>0</v>
      </c>
      <c r="AB1062" s="92">
        <f t="shared" si="105"/>
        <v>0</v>
      </c>
      <c r="AC1062" s="92"/>
      <c r="AD1062" s="92">
        <v>10000000</v>
      </c>
      <c r="AE1062" s="92">
        <f t="shared" si="106"/>
        <v>10000000</v>
      </c>
      <c r="AF1062" s="93">
        <v>0</v>
      </c>
      <c r="AG1062" s="105"/>
      <c r="AH1062" s="108"/>
      <c r="AI1062" s="102" t="s">
        <v>4346</v>
      </c>
      <c r="AJ1062" s="96" t="s">
        <v>4347</v>
      </c>
      <c r="AK1062" s="111"/>
      <c r="AL1062" s="105"/>
      <c r="AM1062" s="112" t="s">
        <v>389</v>
      </c>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18"/>
      <c r="CO1062" s="119"/>
      <c r="CP1062" s="118"/>
      <c r="CQ1062" s="119"/>
      <c r="CR1062" s="118"/>
      <c r="CS1062" s="119"/>
      <c r="CT1062" s="113"/>
      <c r="CU1062" s="118"/>
      <c r="CV1062" s="99">
        <f t="shared" si="101"/>
        <v>0</v>
      </c>
      <c r="CW1062" s="118"/>
      <c r="CX1062" s="119"/>
      <c r="CY1062" s="119"/>
      <c r="CZ1062" s="119"/>
      <c r="DA1062" s="118"/>
      <c r="DB1062" s="119"/>
      <c r="DC1062" s="111"/>
      <c r="DD1062" s="119"/>
      <c r="DE1062" s="111"/>
      <c r="DF1062" s="46"/>
    </row>
    <row r="1063" spans="1:110" s="42" customFormat="1" ht="96" x14ac:dyDescent="0.2">
      <c r="A1063" s="89">
        <v>40675</v>
      </c>
      <c r="B1063" s="106" t="s">
        <v>4261</v>
      </c>
      <c r="C1063" s="106" t="s">
        <v>1351</v>
      </c>
      <c r="D1063" s="90" t="s">
        <v>2362</v>
      </c>
      <c r="E1063" s="90" t="str">
        <f>VLOOKUP(B1063&amp;C1063,Divipola!$C$2:$F$1138,4,FALSE)</f>
        <v>15816</v>
      </c>
      <c r="F1063" s="90"/>
      <c r="G1063" s="129"/>
      <c r="H1063" s="129"/>
      <c r="I1063" s="129"/>
      <c r="J1063" s="129">
        <v>695</v>
      </c>
      <c r="K1063" s="129">
        <v>139</v>
      </c>
      <c r="L1063" s="129">
        <v>8</v>
      </c>
      <c r="M1063" s="129">
        <v>114</v>
      </c>
      <c r="N1063" s="129"/>
      <c r="O1063" s="129"/>
      <c r="P1063" s="129"/>
      <c r="Q1063" s="129"/>
      <c r="R1063" s="129"/>
      <c r="S1063" s="129"/>
      <c r="T1063" s="129"/>
      <c r="U1063" s="129"/>
      <c r="V1063" s="129">
        <v>38</v>
      </c>
      <c r="W1063" s="107"/>
      <c r="X1063" s="105"/>
      <c r="Y1063" s="92">
        <f t="shared" si="102"/>
        <v>0</v>
      </c>
      <c r="Z1063" s="92">
        <f t="shared" si="103"/>
        <v>0</v>
      </c>
      <c r="AA1063" s="92">
        <f t="shared" si="104"/>
        <v>0</v>
      </c>
      <c r="AB1063" s="92">
        <f t="shared" si="105"/>
        <v>0</v>
      </c>
      <c r="AC1063" s="92"/>
      <c r="AD1063" s="92">
        <v>20000000</v>
      </c>
      <c r="AE1063" s="92">
        <f t="shared" si="106"/>
        <v>20000000</v>
      </c>
      <c r="AF1063" s="93">
        <v>0</v>
      </c>
      <c r="AG1063" s="105"/>
      <c r="AH1063" s="108"/>
      <c r="AI1063" s="109" t="s">
        <v>4346</v>
      </c>
      <c r="AJ1063" s="110" t="s">
        <v>4347</v>
      </c>
      <c r="AK1063" s="111"/>
      <c r="AL1063" s="105"/>
      <c r="AM1063" s="112" t="s">
        <v>3770</v>
      </c>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18"/>
      <c r="CO1063" s="119"/>
      <c r="CP1063" s="118"/>
      <c r="CQ1063" s="119"/>
      <c r="CR1063" s="118"/>
      <c r="CS1063" s="119"/>
      <c r="CT1063" s="113"/>
      <c r="CU1063" s="118"/>
      <c r="CV1063" s="99">
        <f t="shared" si="101"/>
        <v>0</v>
      </c>
      <c r="CW1063" s="118"/>
      <c r="CX1063" s="119"/>
      <c r="CY1063" s="119"/>
      <c r="CZ1063" s="119"/>
      <c r="DA1063" s="118"/>
      <c r="DB1063" s="119"/>
      <c r="DC1063" s="111"/>
      <c r="DD1063" s="119"/>
      <c r="DE1063" s="111"/>
      <c r="DF1063" s="46"/>
    </row>
    <row r="1064" spans="1:110" s="42" customFormat="1" ht="36" x14ac:dyDescent="0.2">
      <c r="A1064" s="89">
        <v>40675</v>
      </c>
      <c r="B1064" s="90" t="s">
        <v>2204</v>
      </c>
      <c r="C1064" s="90" t="s">
        <v>3492</v>
      </c>
      <c r="D1064" s="90" t="s">
        <v>4264</v>
      </c>
      <c r="E1064" s="90" t="str">
        <f>VLOOKUP(B1064&amp;C1064,Divipola!$C$2:$F$1138,4,FALSE)</f>
        <v>70717</v>
      </c>
      <c r="F1064" s="101"/>
      <c r="G1064" s="101"/>
      <c r="H1064" s="101"/>
      <c r="I1064" s="101"/>
      <c r="J1064" s="101">
        <v>166</v>
      </c>
      <c r="K1064" s="101">
        <v>36</v>
      </c>
      <c r="L1064" s="101">
        <v>2</v>
      </c>
      <c r="M1064" s="101">
        <v>34</v>
      </c>
      <c r="N1064" s="101"/>
      <c r="O1064" s="101"/>
      <c r="P1064" s="101"/>
      <c r="Q1064" s="101"/>
      <c r="R1064" s="101"/>
      <c r="S1064" s="101"/>
      <c r="T1064" s="101"/>
      <c r="U1064" s="91"/>
      <c r="V1064" s="89"/>
      <c r="W1064" s="92"/>
      <c r="X1064" s="92"/>
      <c r="Y1064" s="92">
        <f t="shared" si="102"/>
        <v>0</v>
      </c>
      <c r="Z1064" s="92">
        <f t="shared" si="103"/>
        <v>0</v>
      </c>
      <c r="AA1064" s="92">
        <f t="shared" si="104"/>
        <v>0</v>
      </c>
      <c r="AB1064" s="92">
        <f t="shared" si="105"/>
        <v>0</v>
      </c>
      <c r="AC1064" s="92"/>
      <c r="AD1064" s="92">
        <v>0</v>
      </c>
      <c r="AE1064" s="92">
        <f t="shared" si="106"/>
        <v>0</v>
      </c>
      <c r="AF1064" s="93">
        <v>0</v>
      </c>
      <c r="AG1064" s="89"/>
      <c r="AH1064" s="96"/>
      <c r="AI1064" s="109" t="s">
        <v>4336</v>
      </c>
      <c r="AJ1064" s="110" t="s">
        <v>4337</v>
      </c>
      <c r="AK1064" s="100"/>
      <c r="AL1064" s="105"/>
      <c r="AM1064" s="112" t="s">
        <v>2808</v>
      </c>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18"/>
      <c r="CO1064" s="119"/>
      <c r="CP1064" s="118"/>
      <c r="CQ1064" s="119"/>
      <c r="CR1064" s="118"/>
      <c r="CS1064" s="119"/>
      <c r="CT1064" s="113"/>
      <c r="CU1064" s="118"/>
      <c r="CV1064" s="99">
        <f t="shared" si="101"/>
        <v>0</v>
      </c>
      <c r="CW1064" s="118"/>
      <c r="CX1064" s="119"/>
      <c r="CY1064" s="119"/>
      <c r="CZ1064" s="119"/>
      <c r="DA1064" s="118"/>
      <c r="DB1064" s="119"/>
      <c r="DC1064" s="111"/>
      <c r="DD1064" s="119"/>
      <c r="DE1064" s="111"/>
      <c r="DF1064" s="46"/>
    </row>
    <row r="1065" spans="1:110" s="42" customFormat="1" ht="24" x14ac:dyDescent="0.2">
      <c r="A1065" s="89">
        <v>40676</v>
      </c>
      <c r="B1065" s="90" t="s">
        <v>4326</v>
      </c>
      <c r="C1065" s="90" t="s">
        <v>4338</v>
      </c>
      <c r="D1065" s="90" t="s">
        <v>2362</v>
      </c>
      <c r="E1065" s="90" t="str">
        <f>VLOOKUP(B1065&amp;C1065,Divipola!$C$2:$F$1138,4,FALSE)</f>
        <v>08001</v>
      </c>
      <c r="F1065" s="101"/>
      <c r="G1065" s="101"/>
      <c r="H1065" s="101"/>
      <c r="I1065" s="101"/>
      <c r="J1065" s="101">
        <v>15</v>
      </c>
      <c r="K1065" s="101">
        <v>3</v>
      </c>
      <c r="L1065" s="101"/>
      <c r="M1065" s="101">
        <v>3</v>
      </c>
      <c r="N1065" s="101"/>
      <c r="O1065" s="101"/>
      <c r="P1065" s="101"/>
      <c r="Q1065" s="101"/>
      <c r="R1065" s="101"/>
      <c r="S1065" s="101"/>
      <c r="T1065" s="101"/>
      <c r="U1065" s="91"/>
      <c r="V1065" s="89"/>
      <c r="W1065" s="92"/>
      <c r="X1065" s="92"/>
      <c r="Y1065" s="92">
        <f t="shared" si="102"/>
        <v>0</v>
      </c>
      <c r="Z1065" s="92">
        <f t="shared" si="103"/>
        <v>0</v>
      </c>
      <c r="AA1065" s="92">
        <f t="shared" si="104"/>
        <v>0</v>
      </c>
      <c r="AB1065" s="92">
        <f t="shared" si="105"/>
        <v>0</v>
      </c>
      <c r="AC1065" s="92"/>
      <c r="AD1065" s="92">
        <v>0</v>
      </c>
      <c r="AE1065" s="92">
        <f t="shared" si="106"/>
        <v>0</v>
      </c>
      <c r="AF1065" s="93">
        <v>0</v>
      </c>
      <c r="AG1065" s="89"/>
      <c r="AH1065" s="96"/>
      <c r="AI1065" s="109" t="s">
        <v>4336</v>
      </c>
      <c r="AJ1065" s="110" t="s">
        <v>4337</v>
      </c>
      <c r="AK1065" s="100"/>
      <c r="AL1065" s="105"/>
      <c r="AM1065" s="112" t="s">
        <v>2814</v>
      </c>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18"/>
      <c r="CO1065" s="119"/>
      <c r="CP1065" s="118"/>
      <c r="CQ1065" s="119"/>
      <c r="CR1065" s="118"/>
      <c r="CS1065" s="119"/>
      <c r="CT1065" s="113"/>
      <c r="CU1065" s="118"/>
      <c r="CV1065" s="99">
        <f t="shared" si="101"/>
        <v>0</v>
      </c>
      <c r="CW1065" s="118"/>
      <c r="CX1065" s="119"/>
      <c r="CY1065" s="119"/>
      <c r="CZ1065" s="119"/>
      <c r="DA1065" s="118"/>
      <c r="DB1065" s="119"/>
      <c r="DC1065" s="111"/>
      <c r="DD1065" s="119"/>
      <c r="DE1065" s="111"/>
      <c r="DF1065" s="46"/>
    </row>
    <row r="1066" spans="1:110" s="42" customFormat="1" ht="22.5" x14ac:dyDescent="0.2">
      <c r="A1066" s="89">
        <v>40676</v>
      </c>
      <c r="B1066" s="90" t="s">
        <v>1116</v>
      </c>
      <c r="C1066" s="90" t="s">
        <v>1116</v>
      </c>
      <c r="D1066" s="90" t="s">
        <v>2362</v>
      </c>
      <c r="E1066" s="90" t="str">
        <f>VLOOKUP(B1066&amp;C1066,Divipola!$C$2:$F$1138,4,FALSE)</f>
        <v>11001</v>
      </c>
      <c r="F1066" s="90"/>
      <c r="G1066" s="308"/>
      <c r="H1066" s="308"/>
      <c r="I1066" s="308"/>
      <c r="J1066" s="124">
        <v>30</v>
      </c>
      <c r="K1066" s="124">
        <v>5</v>
      </c>
      <c r="L1066" s="124"/>
      <c r="M1066" s="124">
        <v>5</v>
      </c>
      <c r="N1066" s="129"/>
      <c r="O1066" s="129"/>
      <c r="P1066" s="129"/>
      <c r="Q1066" s="129"/>
      <c r="R1066" s="129"/>
      <c r="S1066" s="129"/>
      <c r="T1066" s="129"/>
      <c r="U1066" s="129"/>
      <c r="V1066" s="129"/>
      <c r="W1066" s="107"/>
      <c r="X1066" s="105"/>
      <c r="Y1066" s="92">
        <f t="shared" si="102"/>
        <v>0</v>
      </c>
      <c r="Z1066" s="92">
        <f t="shared" si="103"/>
        <v>0</v>
      </c>
      <c r="AA1066" s="92">
        <f t="shared" si="104"/>
        <v>0</v>
      </c>
      <c r="AB1066" s="92">
        <f t="shared" si="105"/>
        <v>0</v>
      </c>
      <c r="AC1066" s="92"/>
      <c r="AD1066" s="92">
        <v>0</v>
      </c>
      <c r="AE1066" s="92">
        <f t="shared" si="106"/>
        <v>0</v>
      </c>
      <c r="AF1066" s="93">
        <v>0</v>
      </c>
      <c r="AG1066" s="105"/>
      <c r="AH1066" s="108"/>
      <c r="AI1066" s="109" t="s">
        <v>4336</v>
      </c>
      <c r="AJ1066" s="110" t="s">
        <v>4337</v>
      </c>
      <c r="AK1066" s="309"/>
      <c r="AL1066" s="310"/>
      <c r="AM1066" s="128" t="s">
        <v>2834</v>
      </c>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18"/>
      <c r="CO1066" s="119"/>
      <c r="CP1066" s="118"/>
      <c r="CQ1066" s="119"/>
      <c r="CR1066" s="118"/>
      <c r="CS1066" s="119"/>
      <c r="CT1066" s="113"/>
      <c r="CU1066" s="118"/>
      <c r="CV1066" s="99">
        <f t="shared" si="101"/>
        <v>0</v>
      </c>
      <c r="CW1066" s="118"/>
      <c r="CX1066" s="119"/>
      <c r="CY1066" s="119"/>
      <c r="CZ1066" s="119"/>
      <c r="DA1066" s="118"/>
      <c r="DB1066" s="119"/>
      <c r="DC1066" s="111"/>
      <c r="DD1066" s="119"/>
      <c r="DE1066" s="111"/>
      <c r="DF1066" s="46"/>
    </row>
    <row r="1067" spans="1:110" s="42" customFormat="1" ht="36" x14ac:dyDescent="0.2">
      <c r="A1067" s="89">
        <v>40676</v>
      </c>
      <c r="B1067" s="106" t="s">
        <v>4261</v>
      </c>
      <c r="C1067" s="106" t="s">
        <v>2626</v>
      </c>
      <c r="D1067" s="90" t="s">
        <v>2362</v>
      </c>
      <c r="E1067" s="90" t="str">
        <f>VLOOKUP(B1067&amp;C1067,Divipola!$C$2:$F$1138,4,FALSE)</f>
        <v>15187</v>
      </c>
      <c r="F1067" s="90"/>
      <c r="G1067" s="129"/>
      <c r="H1067" s="129"/>
      <c r="I1067" s="129"/>
      <c r="J1067" s="129"/>
      <c r="K1067" s="129"/>
      <c r="L1067" s="129"/>
      <c r="M1067" s="129"/>
      <c r="N1067" s="129">
        <v>4</v>
      </c>
      <c r="O1067" s="129"/>
      <c r="P1067" s="129"/>
      <c r="Q1067" s="129"/>
      <c r="R1067" s="129">
        <v>1</v>
      </c>
      <c r="S1067" s="129"/>
      <c r="T1067" s="129"/>
      <c r="U1067" s="129"/>
      <c r="V1067" s="129"/>
      <c r="W1067" s="107"/>
      <c r="X1067" s="105"/>
      <c r="Y1067" s="92">
        <f t="shared" si="102"/>
        <v>0</v>
      </c>
      <c r="Z1067" s="92">
        <f t="shared" si="103"/>
        <v>0</v>
      </c>
      <c r="AA1067" s="92">
        <f t="shared" si="104"/>
        <v>0</v>
      </c>
      <c r="AB1067" s="92">
        <f t="shared" si="105"/>
        <v>0</v>
      </c>
      <c r="AC1067" s="92"/>
      <c r="AD1067" s="92">
        <v>20000000</v>
      </c>
      <c r="AE1067" s="92">
        <f t="shared" si="106"/>
        <v>20000000</v>
      </c>
      <c r="AF1067" s="93">
        <v>0</v>
      </c>
      <c r="AG1067" s="105"/>
      <c r="AH1067" s="108"/>
      <c r="AI1067" s="109" t="s">
        <v>4346</v>
      </c>
      <c r="AJ1067" s="110" t="s">
        <v>4347</v>
      </c>
      <c r="AK1067" s="111"/>
      <c r="AL1067" s="105"/>
      <c r="AM1067" s="112" t="s">
        <v>3414</v>
      </c>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18"/>
      <c r="CO1067" s="119"/>
      <c r="CP1067" s="118"/>
      <c r="CQ1067" s="119"/>
      <c r="CR1067" s="118"/>
      <c r="CS1067" s="119"/>
      <c r="CT1067" s="113"/>
      <c r="CU1067" s="118"/>
      <c r="CV1067" s="99">
        <f t="shared" si="101"/>
        <v>0</v>
      </c>
      <c r="CW1067" s="118"/>
      <c r="CX1067" s="119"/>
      <c r="CY1067" s="119"/>
      <c r="CZ1067" s="119"/>
      <c r="DA1067" s="118"/>
      <c r="DB1067" s="119"/>
      <c r="DC1067" s="111"/>
      <c r="DD1067" s="119"/>
      <c r="DE1067" s="111"/>
      <c r="DF1067" s="46"/>
    </row>
    <row r="1068" spans="1:110" s="42" customFormat="1" ht="48" x14ac:dyDescent="0.2">
      <c r="A1068" s="89">
        <v>40676</v>
      </c>
      <c r="B1068" s="106" t="s">
        <v>4261</v>
      </c>
      <c r="C1068" s="106" t="s">
        <v>1187</v>
      </c>
      <c r="D1068" s="90" t="s">
        <v>4264</v>
      </c>
      <c r="E1068" s="90" t="str">
        <f>VLOOKUP(B1068&amp;C1068,Divipola!$C$2:$F$1138,4,FALSE)</f>
        <v>15367</v>
      </c>
      <c r="F1068" s="90"/>
      <c r="G1068" s="129"/>
      <c r="H1068" s="129"/>
      <c r="I1068" s="129"/>
      <c r="J1068" s="129">
        <v>340</v>
      </c>
      <c r="K1068" s="129">
        <v>68</v>
      </c>
      <c r="L1068" s="129">
        <v>8</v>
      </c>
      <c r="M1068" s="129">
        <v>44</v>
      </c>
      <c r="N1068" s="129"/>
      <c r="O1068" s="129"/>
      <c r="P1068" s="129"/>
      <c r="Q1068" s="129"/>
      <c r="R1068" s="129"/>
      <c r="S1068" s="129"/>
      <c r="T1068" s="129"/>
      <c r="U1068" s="129"/>
      <c r="V1068" s="129">
        <v>25</v>
      </c>
      <c r="W1068" s="107"/>
      <c r="X1068" s="105"/>
      <c r="Y1068" s="92">
        <f t="shared" si="102"/>
        <v>0</v>
      </c>
      <c r="Z1068" s="92">
        <f t="shared" si="103"/>
        <v>0</v>
      </c>
      <c r="AA1068" s="92">
        <f t="shared" si="104"/>
        <v>0</v>
      </c>
      <c r="AB1068" s="92">
        <f t="shared" si="105"/>
        <v>0</v>
      </c>
      <c r="AC1068" s="92"/>
      <c r="AD1068" s="92">
        <v>0</v>
      </c>
      <c r="AE1068" s="92">
        <f t="shared" si="106"/>
        <v>0</v>
      </c>
      <c r="AF1068" s="93">
        <v>0</v>
      </c>
      <c r="AG1068" s="105"/>
      <c r="AH1068" s="108"/>
      <c r="AI1068" s="47" t="s">
        <v>4346</v>
      </c>
      <c r="AJ1068" s="73" t="s">
        <v>4347</v>
      </c>
      <c r="AK1068" s="275"/>
      <c r="AL1068" s="89" t="s">
        <v>2798</v>
      </c>
      <c r="AM1068" s="100" t="s">
        <v>2382</v>
      </c>
      <c r="AN1068" s="19"/>
      <c r="AO1068" s="19"/>
      <c r="AP1068" s="19"/>
      <c r="AQ1068" s="19"/>
      <c r="AR1068" s="19"/>
      <c r="AS1068" s="19"/>
      <c r="AT1068" s="19"/>
      <c r="AU1068" s="19"/>
      <c r="AV1068" s="19"/>
      <c r="AW1068" s="19"/>
      <c r="AX1068" s="107"/>
      <c r="AY1068" s="107"/>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39"/>
      <c r="CO1068" s="138"/>
      <c r="CP1068" s="139"/>
      <c r="CQ1068" s="138"/>
      <c r="CR1068" s="139"/>
      <c r="CS1068" s="138"/>
      <c r="CT1068" s="72"/>
      <c r="CU1068" s="139"/>
      <c r="CV1068" s="99">
        <f t="shared" si="101"/>
        <v>0</v>
      </c>
      <c r="CW1068" s="139"/>
      <c r="CX1068" s="138"/>
      <c r="CY1068" s="138"/>
      <c r="CZ1068" s="138"/>
      <c r="DA1068" s="139"/>
      <c r="DB1068" s="138"/>
      <c r="DC1068" s="45"/>
      <c r="DD1068" s="138"/>
      <c r="DE1068" s="45"/>
      <c r="DF1068" s="46"/>
    </row>
    <row r="1069" spans="1:110" s="42" customFormat="1" ht="22.5" x14ac:dyDescent="0.2">
      <c r="A1069" s="89">
        <v>40676</v>
      </c>
      <c r="B1069" s="90" t="s">
        <v>4261</v>
      </c>
      <c r="C1069" s="90" t="s">
        <v>4230</v>
      </c>
      <c r="D1069" s="90" t="s">
        <v>4264</v>
      </c>
      <c r="E1069" s="90" t="str">
        <f>VLOOKUP(B1069&amp;C1069,Divipola!$C$2:$F$1138,4,FALSE)</f>
        <v>15001</v>
      </c>
      <c r="F1069" s="90"/>
      <c r="G1069" s="308"/>
      <c r="H1069" s="308"/>
      <c r="I1069" s="308"/>
      <c r="J1069" s="124">
        <v>70</v>
      </c>
      <c r="K1069" s="124">
        <v>12</v>
      </c>
      <c r="L1069" s="124"/>
      <c r="M1069" s="124">
        <v>12</v>
      </c>
      <c r="N1069" s="129"/>
      <c r="O1069" s="129"/>
      <c r="P1069" s="129"/>
      <c r="Q1069" s="129"/>
      <c r="R1069" s="129"/>
      <c r="S1069" s="129"/>
      <c r="T1069" s="129"/>
      <c r="U1069" s="129"/>
      <c r="V1069" s="129"/>
      <c r="W1069" s="107"/>
      <c r="X1069" s="105"/>
      <c r="Y1069" s="92">
        <f t="shared" si="102"/>
        <v>0</v>
      </c>
      <c r="Z1069" s="92">
        <f t="shared" si="103"/>
        <v>0</v>
      </c>
      <c r="AA1069" s="92">
        <f t="shared" si="104"/>
        <v>0</v>
      </c>
      <c r="AB1069" s="92">
        <f t="shared" si="105"/>
        <v>0</v>
      </c>
      <c r="AC1069" s="92"/>
      <c r="AD1069" s="92">
        <v>0</v>
      </c>
      <c r="AE1069" s="92">
        <f t="shared" si="106"/>
        <v>0</v>
      </c>
      <c r="AF1069" s="93">
        <v>0</v>
      </c>
      <c r="AG1069" s="105"/>
      <c r="AH1069" s="108"/>
      <c r="AI1069" s="102" t="s">
        <v>4346</v>
      </c>
      <c r="AJ1069" s="96" t="s">
        <v>4347</v>
      </c>
      <c r="AK1069" s="97"/>
      <c r="AL1069" s="89" t="s">
        <v>1049</v>
      </c>
      <c r="AM1069" s="90" t="s">
        <v>2833</v>
      </c>
      <c r="AN1069" s="90"/>
      <c r="AO1069" s="90"/>
      <c r="AP1069" s="101"/>
      <c r="AQ1069" s="101"/>
      <c r="AR1069" s="101"/>
      <c r="AS1069" s="101"/>
      <c r="AT1069" s="101"/>
      <c r="AU1069" s="101"/>
      <c r="AV1069" s="101"/>
      <c r="AW1069" s="101"/>
      <c r="AX1069" s="101"/>
      <c r="AY1069" s="101"/>
      <c r="AZ1069" s="101"/>
      <c r="BA1069" s="101"/>
      <c r="BB1069" s="101"/>
      <c r="BC1069" s="101"/>
      <c r="BD1069" s="101"/>
      <c r="BE1069" s="101"/>
      <c r="BF1069" s="91"/>
      <c r="BG1069" s="89"/>
      <c r="BH1069" s="92"/>
      <c r="BI1069" s="92"/>
      <c r="BJ1069" s="92"/>
      <c r="BK1069" s="92"/>
      <c r="BL1069" s="92"/>
      <c r="BM1069" s="92"/>
      <c r="BN1069" s="92"/>
      <c r="BO1069" s="93"/>
      <c r="BP1069" s="89"/>
      <c r="BQ1069" s="94"/>
      <c r="BR1069" s="89"/>
      <c r="BS1069" s="96"/>
      <c r="BT1069" s="97"/>
      <c r="BU1069" s="89"/>
      <c r="BV1069" s="100"/>
      <c r="BW1069" s="107"/>
      <c r="BX1069" s="107"/>
      <c r="BY1069" s="107"/>
      <c r="BZ1069" s="107"/>
      <c r="CA1069" s="107"/>
      <c r="CB1069" s="107"/>
      <c r="CC1069" s="107"/>
      <c r="CD1069" s="107"/>
      <c r="CE1069" s="107"/>
      <c r="CF1069" s="107"/>
      <c r="CG1069" s="107"/>
      <c r="CH1069" s="107"/>
      <c r="CI1069" s="107"/>
      <c r="CJ1069" s="107"/>
      <c r="CK1069" s="107"/>
      <c r="CL1069" s="107"/>
      <c r="CM1069" s="107"/>
      <c r="CN1069" s="118"/>
      <c r="CO1069" s="119"/>
      <c r="CP1069" s="118"/>
      <c r="CQ1069" s="119"/>
      <c r="CR1069" s="118"/>
      <c r="CS1069" s="119"/>
      <c r="CT1069" s="113"/>
      <c r="CU1069" s="118"/>
      <c r="CV1069" s="99">
        <f t="shared" si="101"/>
        <v>0</v>
      </c>
      <c r="CW1069" s="118"/>
      <c r="CX1069" s="119"/>
      <c r="CY1069" s="119"/>
      <c r="CZ1069" s="119"/>
      <c r="DA1069" s="118"/>
      <c r="DB1069" s="119"/>
      <c r="DC1069" s="111"/>
      <c r="DD1069" s="119"/>
      <c r="DE1069" s="111"/>
      <c r="DF1069" s="46"/>
    </row>
    <row r="1070" spans="1:110" s="42" customFormat="1" ht="56.25" x14ac:dyDescent="0.2">
      <c r="A1070" s="89">
        <v>40676</v>
      </c>
      <c r="B1070" s="106" t="s">
        <v>4296</v>
      </c>
      <c r="C1070" s="106" t="s">
        <v>868</v>
      </c>
      <c r="D1070" s="90" t="s">
        <v>4264</v>
      </c>
      <c r="E1070" s="90" t="str">
        <f>VLOOKUP(B1070&amp;C1070,Divipola!$C$2:$F$1138,4,FALSE)</f>
        <v>19821</v>
      </c>
      <c r="F1070" s="90"/>
      <c r="G1070" s="279"/>
      <c r="H1070" s="279"/>
      <c r="I1070" s="129">
        <v>1</v>
      </c>
      <c r="J1070" s="129">
        <f>1210*4</f>
        <v>4840</v>
      </c>
      <c r="K1070" s="129">
        <f>17+1193</f>
        <v>1210</v>
      </c>
      <c r="L1070" s="129">
        <v>5</v>
      </c>
      <c r="M1070" s="129">
        <v>12</v>
      </c>
      <c r="N1070" s="129"/>
      <c r="O1070" s="129"/>
      <c r="P1070" s="129"/>
      <c r="Q1070" s="129"/>
      <c r="R1070" s="129"/>
      <c r="S1070" s="129"/>
      <c r="T1070" s="129"/>
      <c r="U1070" s="129"/>
      <c r="V1070" s="129"/>
      <c r="W1070" s="107"/>
      <c r="X1070" s="105"/>
      <c r="Y1070" s="92">
        <f t="shared" si="102"/>
        <v>76848840</v>
      </c>
      <c r="Z1070" s="92">
        <f t="shared" si="103"/>
        <v>8500000</v>
      </c>
      <c r="AA1070" s="92">
        <f t="shared" si="104"/>
        <v>0</v>
      </c>
      <c r="AB1070" s="92">
        <f t="shared" si="105"/>
        <v>0</v>
      </c>
      <c r="AC1070" s="92"/>
      <c r="AD1070" s="92">
        <v>0</v>
      </c>
      <c r="AE1070" s="92">
        <f t="shared" si="106"/>
        <v>85348840</v>
      </c>
      <c r="AF1070" s="93">
        <v>0</v>
      </c>
      <c r="AG1070" s="105"/>
      <c r="AH1070" s="108"/>
      <c r="AI1070" s="95" t="s">
        <v>4346</v>
      </c>
      <c r="AJ1070" s="96" t="s">
        <v>4347</v>
      </c>
      <c r="AK1070" s="111"/>
      <c r="AL1070" s="89"/>
      <c r="AM1070" s="90" t="s">
        <v>2815</v>
      </c>
      <c r="AN1070" s="90"/>
      <c r="AO1070" s="90"/>
      <c r="AP1070" s="101"/>
      <c r="AQ1070" s="101"/>
      <c r="AR1070" s="101"/>
      <c r="AS1070" s="101"/>
      <c r="AT1070" s="101"/>
      <c r="AU1070" s="101"/>
      <c r="AV1070" s="101"/>
      <c r="AW1070" s="101"/>
      <c r="AX1070" s="101"/>
      <c r="AY1070" s="101"/>
      <c r="AZ1070" s="101">
        <v>500</v>
      </c>
      <c r="BA1070" s="101">
        <f>500*55999</f>
        <v>27999500</v>
      </c>
      <c r="BB1070" s="101"/>
      <c r="BC1070" s="101"/>
      <c r="BD1070" s="101"/>
      <c r="BE1070" s="101"/>
      <c r="BF1070" s="91"/>
      <c r="BG1070" s="89"/>
      <c r="BH1070" s="92"/>
      <c r="BI1070" s="92"/>
      <c r="BJ1070" s="92"/>
      <c r="BK1070" s="92"/>
      <c r="BL1070" s="92"/>
      <c r="BM1070" s="92"/>
      <c r="BN1070" s="92"/>
      <c r="BO1070" s="93"/>
      <c r="BP1070" s="89"/>
      <c r="BQ1070" s="94"/>
      <c r="BR1070" s="89"/>
      <c r="BS1070" s="96"/>
      <c r="BT1070" s="97"/>
      <c r="BU1070" s="89"/>
      <c r="BV1070" s="100"/>
      <c r="BW1070" s="107"/>
      <c r="BX1070" s="107"/>
      <c r="BY1070" s="107"/>
      <c r="BZ1070" s="107"/>
      <c r="CA1070" s="107"/>
      <c r="CB1070" s="107"/>
      <c r="CC1070" s="107"/>
      <c r="CD1070" s="107"/>
      <c r="CE1070" s="107"/>
      <c r="CF1070" s="107"/>
      <c r="CG1070" s="107"/>
      <c r="CH1070" s="107"/>
      <c r="CI1070" s="107"/>
      <c r="CJ1070" s="107">
        <v>500</v>
      </c>
      <c r="CK1070" s="107">
        <f>500*20999.48</f>
        <v>10499740</v>
      </c>
      <c r="CL1070" s="107"/>
      <c r="CM1070" s="107"/>
      <c r="CN1070" s="118"/>
      <c r="CO1070" s="119"/>
      <c r="CP1070" s="118">
        <v>500</v>
      </c>
      <c r="CQ1070" s="119">
        <f>500*36999.36</f>
        <v>18499680</v>
      </c>
      <c r="CR1070" s="118">
        <v>500</v>
      </c>
      <c r="CS1070" s="119">
        <f>500*39699.84</f>
        <v>19849920</v>
      </c>
      <c r="CT1070" s="113"/>
      <c r="CU1070" s="118"/>
      <c r="CV1070" s="99">
        <f t="shared" si="101"/>
        <v>76848840</v>
      </c>
      <c r="CW1070" s="118"/>
      <c r="CX1070" s="119"/>
      <c r="CY1070" s="119">
        <v>100</v>
      </c>
      <c r="CZ1070" s="119">
        <f>100*85000</f>
        <v>8500000</v>
      </c>
      <c r="DA1070" s="118"/>
      <c r="DB1070" s="119"/>
      <c r="DC1070" s="111"/>
      <c r="DD1070" s="119"/>
      <c r="DE1070" s="111"/>
      <c r="DF1070" s="46"/>
    </row>
    <row r="1071" spans="1:110" s="42" customFormat="1" ht="33.75" x14ac:dyDescent="0.2">
      <c r="A1071" s="89">
        <v>40676</v>
      </c>
      <c r="B1071" s="106" t="s">
        <v>2225</v>
      </c>
      <c r="C1071" s="106" t="s">
        <v>3318</v>
      </c>
      <c r="D1071" s="90" t="s">
        <v>4264</v>
      </c>
      <c r="E1071" s="90" t="str">
        <f>VLOOKUP(B1071&amp;C1071,Divipola!$C$2:$F$1138,4,FALSE)</f>
        <v>27073</v>
      </c>
      <c r="F1071" s="90"/>
      <c r="G1071" s="129"/>
      <c r="H1071" s="129"/>
      <c r="I1071" s="129"/>
      <c r="J1071" s="129">
        <v>5393</v>
      </c>
      <c r="K1071" s="129">
        <v>1015</v>
      </c>
      <c r="L1071" s="129"/>
      <c r="M1071" s="129">
        <v>1015</v>
      </c>
      <c r="N1071" s="129"/>
      <c r="O1071" s="129"/>
      <c r="P1071" s="129"/>
      <c r="Q1071" s="129"/>
      <c r="R1071" s="129"/>
      <c r="S1071" s="129"/>
      <c r="T1071" s="129"/>
      <c r="U1071" s="129"/>
      <c r="V1071" s="129"/>
      <c r="W1071" s="107" t="s">
        <v>360</v>
      </c>
      <c r="X1071" s="105"/>
      <c r="Y1071" s="92">
        <f t="shared" si="102"/>
        <v>249586977.5</v>
      </c>
      <c r="Z1071" s="92">
        <f t="shared" si="103"/>
        <v>86275010.149999991</v>
      </c>
      <c r="AA1071" s="92">
        <f t="shared" si="104"/>
        <v>32000000</v>
      </c>
      <c r="AB1071" s="92">
        <f t="shared" si="105"/>
        <v>0</v>
      </c>
      <c r="AC1071" s="92"/>
      <c r="AD1071" s="92">
        <v>0</v>
      </c>
      <c r="AE1071" s="92">
        <f t="shared" si="106"/>
        <v>367861987.64999998</v>
      </c>
      <c r="AF1071" s="93">
        <v>0</v>
      </c>
      <c r="AG1071" s="105"/>
      <c r="AH1071" s="108"/>
      <c r="AI1071" s="95" t="s">
        <v>4346</v>
      </c>
      <c r="AJ1071" s="96" t="s">
        <v>4347</v>
      </c>
      <c r="AK1071" s="111"/>
      <c r="AL1071" s="105"/>
      <c r="AM1071" s="112" t="s">
        <v>364</v>
      </c>
      <c r="AN1071" s="107"/>
      <c r="AO1071" s="107"/>
      <c r="AP1071" s="107"/>
      <c r="AQ1071" s="107"/>
      <c r="AR1071" s="107"/>
      <c r="AS1071" s="107"/>
      <c r="AT1071" s="107"/>
      <c r="AU1071" s="107"/>
      <c r="AV1071" s="107"/>
      <c r="AW1071" s="107"/>
      <c r="AX1071" s="107"/>
      <c r="AY1071" s="107"/>
      <c r="AZ1071" s="107">
        <v>2030</v>
      </c>
      <c r="BA1071" s="107">
        <f>2030*60000</f>
        <v>121800000</v>
      </c>
      <c r="BB1071" s="107"/>
      <c r="BC1071" s="107"/>
      <c r="BD1071" s="107"/>
      <c r="BE1071" s="107"/>
      <c r="BF1071" s="107"/>
      <c r="BG1071" s="107"/>
      <c r="BH1071" s="107"/>
      <c r="BI1071" s="107"/>
      <c r="BJ1071" s="107"/>
      <c r="BK1071" s="107"/>
      <c r="BL1071" s="107"/>
      <c r="BM1071" s="107"/>
      <c r="BN1071" s="107"/>
      <c r="BO1071" s="107"/>
      <c r="BP1071" s="107"/>
      <c r="BQ1071" s="107"/>
      <c r="BR1071" s="107"/>
      <c r="BS1071" s="107"/>
      <c r="BT1071" s="107"/>
      <c r="BU1071" s="107"/>
      <c r="BV1071" s="107"/>
      <c r="BW1071" s="107"/>
      <c r="BX1071" s="107"/>
      <c r="BY1071" s="107"/>
      <c r="BZ1071" s="107"/>
      <c r="CA1071" s="107"/>
      <c r="CB1071" s="107"/>
      <c r="CC1071" s="107"/>
      <c r="CD1071" s="107"/>
      <c r="CE1071" s="107"/>
      <c r="CF1071" s="107"/>
      <c r="CG1071" s="107"/>
      <c r="CH1071" s="107">
        <v>2030</v>
      </c>
      <c r="CI1071" s="107">
        <f>2030*26450</f>
        <v>53693500</v>
      </c>
      <c r="CJ1071" s="107"/>
      <c r="CK1071" s="107"/>
      <c r="CL1071" s="107"/>
      <c r="CM1071" s="107"/>
      <c r="CN1071" s="118"/>
      <c r="CO1071" s="119"/>
      <c r="CP1071" s="118">
        <v>1015</v>
      </c>
      <c r="CQ1071" s="119">
        <f>1015*36999.36</f>
        <v>37554350.399999999</v>
      </c>
      <c r="CR1071" s="118">
        <v>1015</v>
      </c>
      <c r="CS1071" s="119">
        <f>1015*35999.14</f>
        <v>36539127.100000001</v>
      </c>
      <c r="CT1071" s="113"/>
      <c r="CU1071" s="118"/>
      <c r="CV1071" s="99">
        <f t="shared" si="101"/>
        <v>249586977.5</v>
      </c>
      <c r="CW1071" s="118"/>
      <c r="CX1071" s="119"/>
      <c r="CY1071" s="119">
        <v>1015</v>
      </c>
      <c r="CZ1071" s="119">
        <f>1015*85000.01</f>
        <v>86275010.149999991</v>
      </c>
      <c r="DA1071" s="118"/>
      <c r="DB1071" s="119"/>
      <c r="DC1071" s="111">
        <v>2000</v>
      </c>
      <c r="DD1071" s="119">
        <f>2000*16000</f>
        <v>32000000</v>
      </c>
      <c r="DE1071" s="111"/>
      <c r="DF1071" s="46"/>
    </row>
    <row r="1072" spans="1:110" s="42" customFormat="1" ht="38.25" x14ac:dyDescent="0.2">
      <c r="A1072" s="89">
        <v>40676</v>
      </c>
      <c r="B1072" s="90" t="s">
        <v>2225</v>
      </c>
      <c r="C1072" s="90" t="s">
        <v>3365</v>
      </c>
      <c r="D1072" s="90" t="s">
        <v>4264</v>
      </c>
      <c r="E1072" s="90" t="str">
        <f>VLOOKUP(B1072&amp;C1072,Divipola!$C$2:$F$1138,4,FALSE)</f>
        <v>27413</v>
      </c>
      <c r="F1072" s="90"/>
      <c r="G1072" s="279"/>
      <c r="H1072" s="279"/>
      <c r="I1072" s="279"/>
      <c r="J1072" s="101">
        <v>1045</v>
      </c>
      <c r="K1072" s="101">
        <v>243</v>
      </c>
      <c r="L1072" s="101"/>
      <c r="M1072" s="101">
        <v>243</v>
      </c>
      <c r="N1072" s="129"/>
      <c r="O1072" s="129"/>
      <c r="P1072" s="129"/>
      <c r="Q1072" s="129"/>
      <c r="R1072" s="129"/>
      <c r="S1072" s="129"/>
      <c r="T1072" s="129"/>
      <c r="U1072" s="129"/>
      <c r="V1072" s="129"/>
      <c r="W1072" s="107"/>
      <c r="X1072" s="105"/>
      <c r="Y1072" s="92">
        <f t="shared" si="102"/>
        <v>0</v>
      </c>
      <c r="Z1072" s="92">
        <f t="shared" si="103"/>
        <v>0</v>
      </c>
      <c r="AA1072" s="92">
        <f t="shared" si="104"/>
        <v>0</v>
      </c>
      <c r="AB1072" s="92">
        <f t="shared" si="105"/>
        <v>0</v>
      </c>
      <c r="AC1072" s="92"/>
      <c r="AD1072" s="92">
        <v>0</v>
      </c>
      <c r="AE1072" s="92">
        <f t="shared" si="106"/>
        <v>0</v>
      </c>
      <c r="AF1072" s="93">
        <v>0</v>
      </c>
      <c r="AG1072" s="105"/>
      <c r="AH1072" s="108"/>
      <c r="AI1072" s="109" t="s">
        <v>4346</v>
      </c>
      <c r="AJ1072" s="110" t="s">
        <v>4347</v>
      </c>
      <c r="AK1072" s="280"/>
      <c r="AL1072" s="281" t="s">
        <v>1049</v>
      </c>
      <c r="AM1072" s="100" t="s">
        <v>1989</v>
      </c>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c r="CI1072" s="107"/>
      <c r="CJ1072" s="107"/>
      <c r="CK1072" s="107"/>
      <c r="CL1072" s="107"/>
      <c r="CM1072" s="107"/>
      <c r="CN1072" s="118"/>
      <c r="CO1072" s="119"/>
      <c r="CP1072" s="118"/>
      <c r="CQ1072" s="119"/>
      <c r="CR1072" s="118"/>
      <c r="CS1072" s="119"/>
      <c r="CT1072" s="113"/>
      <c r="CU1072" s="118"/>
      <c r="CV1072" s="99">
        <f t="shared" si="101"/>
        <v>0</v>
      </c>
      <c r="CW1072" s="118"/>
      <c r="CX1072" s="119"/>
      <c r="CY1072" s="119"/>
      <c r="CZ1072" s="119"/>
      <c r="DA1072" s="118"/>
      <c r="DB1072" s="119"/>
      <c r="DC1072" s="111"/>
      <c r="DD1072" s="119"/>
      <c r="DE1072" s="111"/>
      <c r="DF1072" s="46">
        <v>1801</v>
      </c>
    </row>
    <row r="1073" spans="1:110" s="42" customFormat="1" ht="22.5" x14ac:dyDescent="0.2">
      <c r="A1073" s="89">
        <v>40676</v>
      </c>
      <c r="B1073" s="90" t="s">
        <v>4282</v>
      </c>
      <c r="C1073" s="106" t="s">
        <v>3529</v>
      </c>
      <c r="D1073" s="90" t="s">
        <v>4264</v>
      </c>
      <c r="E1073" s="90" t="str">
        <f>VLOOKUP(B1073&amp;C1073,Divipola!$C$2:$F$1138,4,FALSE)</f>
        <v>23350</v>
      </c>
      <c r="F1073" s="90"/>
      <c r="G1073" s="279"/>
      <c r="H1073" s="279"/>
      <c r="I1073" s="279"/>
      <c r="J1073" s="129">
        <v>1602</v>
      </c>
      <c r="K1073" s="129">
        <v>356</v>
      </c>
      <c r="L1073" s="129"/>
      <c r="M1073" s="129">
        <v>356</v>
      </c>
      <c r="N1073" s="129"/>
      <c r="O1073" s="129"/>
      <c r="P1073" s="129"/>
      <c r="Q1073" s="129"/>
      <c r="R1073" s="129"/>
      <c r="S1073" s="129"/>
      <c r="T1073" s="129"/>
      <c r="U1073" s="129"/>
      <c r="V1073" s="129"/>
      <c r="W1073" s="107"/>
      <c r="X1073" s="105"/>
      <c r="Y1073" s="92">
        <f t="shared" si="102"/>
        <v>0</v>
      </c>
      <c r="Z1073" s="92">
        <f t="shared" si="103"/>
        <v>0</v>
      </c>
      <c r="AA1073" s="92">
        <f t="shared" si="104"/>
        <v>0</v>
      </c>
      <c r="AB1073" s="92">
        <f t="shared" si="105"/>
        <v>0</v>
      </c>
      <c r="AC1073" s="92"/>
      <c r="AD1073" s="92">
        <v>0</v>
      </c>
      <c r="AE1073" s="92">
        <f t="shared" si="106"/>
        <v>0</v>
      </c>
      <c r="AF1073" s="93">
        <v>0</v>
      </c>
      <c r="AG1073" s="105"/>
      <c r="AH1073" s="108"/>
      <c r="AI1073" s="109" t="s">
        <v>4336</v>
      </c>
      <c r="AJ1073" s="110" t="s">
        <v>4337</v>
      </c>
      <c r="AK1073" s="111"/>
      <c r="AL1073" s="89"/>
      <c r="AM1073" s="90" t="s">
        <v>3646</v>
      </c>
      <c r="AN1073" s="90"/>
      <c r="AO1073" s="90"/>
      <c r="AP1073" s="101"/>
      <c r="AQ1073" s="101"/>
      <c r="AR1073" s="101"/>
      <c r="AS1073" s="101"/>
      <c r="AT1073" s="101"/>
      <c r="AU1073" s="101"/>
      <c r="AV1073" s="101"/>
      <c r="AW1073" s="101"/>
      <c r="AX1073" s="101"/>
      <c r="AY1073" s="101"/>
      <c r="AZ1073" s="101"/>
      <c r="BA1073" s="101"/>
      <c r="BB1073" s="101"/>
      <c r="BC1073" s="101"/>
      <c r="BD1073" s="101"/>
      <c r="BE1073" s="101"/>
      <c r="BF1073" s="91"/>
      <c r="BG1073" s="89"/>
      <c r="BH1073" s="92"/>
      <c r="BI1073" s="92"/>
      <c r="BJ1073" s="92"/>
      <c r="BK1073" s="92"/>
      <c r="BL1073" s="92"/>
      <c r="BM1073" s="92"/>
      <c r="BN1073" s="92"/>
      <c r="BO1073" s="93"/>
      <c r="BP1073" s="89"/>
      <c r="BQ1073" s="94"/>
      <c r="BR1073" s="89"/>
      <c r="BS1073" s="96"/>
      <c r="BT1073" s="97"/>
      <c r="BU1073" s="89"/>
      <c r="BV1073" s="100"/>
      <c r="BW1073" s="107"/>
      <c r="BX1073" s="107"/>
      <c r="BY1073" s="107"/>
      <c r="BZ1073" s="107"/>
      <c r="CA1073" s="107"/>
      <c r="CB1073" s="107"/>
      <c r="CC1073" s="107"/>
      <c r="CD1073" s="107"/>
      <c r="CE1073" s="107"/>
      <c r="CF1073" s="107"/>
      <c r="CG1073" s="107"/>
      <c r="CH1073" s="107"/>
      <c r="CI1073" s="107"/>
      <c r="CJ1073" s="107"/>
      <c r="CK1073" s="107"/>
      <c r="CL1073" s="107"/>
      <c r="CM1073" s="107"/>
      <c r="CN1073" s="118"/>
      <c r="CO1073" s="119"/>
      <c r="CP1073" s="118"/>
      <c r="CQ1073" s="119"/>
      <c r="CR1073" s="118"/>
      <c r="CS1073" s="119"/>
      <c r="CT1073" s="113"/>
      <c r="CU1073" s="118"/>
      <c r="CV1073" s="99">
        <f t="shared" si="101"/>
        <v>0</v>
      </c>
      <c r="CW1073" s="118"/>
      <c r="CX1073" s="119"/>
      <c r="CY1073" s="119"/>
      <c r="CZ1073" s="119"/>
      <c r="DA1073" s="118"/>
      <c r="DB1073" s="119"/>
      <c r="DC1073" s="111"/>
      <c r="DD1073" s="119"/>
      <c r="DE1073" s="111"/>
      <c r="DF1073" s="46"/>
    </row>
    <row r="1074" spans="1:110" s="42" customFormat="1" ht="48" x14ac:dyDescent="0.2">
      <c r="A1074" s="89">
        <v>40676</v>
      </c>
      <c r="B1074" s="90" t="s">
        <v>4282</v>
      </c>
      <c r="C1074" s="90" t="s">
        <v>2231</v>
      </c>
      <c r="D1074" s="90" t="s">
        <v>4264</v>
      </c>
      <c r="E1074" s="90" t="str">
        <f>VLOOKUP(B1074&amp;C1074,Divipola!$C$2:$F$1138,4,FALSE)</f>
        <v>23682</v>
      </c>
      <c r="F1074" s="101"/>
      <c r="G1074" s="101"/>
      <c r="H1074" s="101"/>
      <c r="I1074" s="101"/>
      <c r="J1074" s="101">
        <v>750</v>
      </c>
      <c r="K1074" s="101">
        <v>150</v>
      </c>
      <c r="L1074" s="101"/>
      <c r="M1074" s="101">
        <v>150</v>
      </c>
      <c r="N1074" s="101"/>
      <c r="O1074" s="101"/>
      <c r="P1074" s="101"/>
      <c r="Q1074" s="101"/>
      <c r="R1074" s="101"/>
      <c r="S1074" s="101"/>
      <c r="T1074" s="101"/>
      <c r="U1074" s="91"/>
      <c r="V1074" s="89"/>
      <c r="W1074" s="92"/>
      <c r="X1074" s="92"/>
      <c r="Y1074" s="92">
        <f t="shared" si="102"/>
        <v>0</v>
      </c>
      <c r="Z1074" s="92">
        <f t="shared" si="103"/>
        <v>0</v>
      </c>
      <c r="AA1074" s="92">
        <f t="shared" si="104"/>
        <v>0</v>
      </c>
      <c r="AB1074" s="92">
        <f t="shared" si="105"/>
        <v>0</v>
      </c>
      <c r="AC1074" s="92"/>
      <c r="AD1074" s="92">
        <v>0</v>
      </c>
      <c r="AE1074" s="92">
        <f t="shared" si="106"/>
        <v>0</v>
      </c>
      <c r="AF1074" s="93">
        <v>0</v>
      </c>
      <c r="AG1074" s="89"/>
      <c r="AH1074" s="96"/>
      <c r="AI1074" s="109" t="s">
        <v>4336</v>
      </c>
      <c r="AJ1074" s="110" t="s">
        <v>4337</v>
      </c>
      <c r="AK1074" s="100"/>
      <c r="AL1074" s="105"/>
      <c r="AM1074" s="112" t="s">
        <v>1946</v>
      </c>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c r="BJ1074" s="107"/>
      <c r="BK1074" s="107"/>
      <c r="BL1074" s="107"/>
      <c r="BM1074" s="107"/>
      <c r="BN1074" s="107"/>
      <c r="BO1074" s="107"/>
      <c r="BP1074" s="107"/>
      <c r="BQ1074" s="107"/>
      <c r="BR1074" s="107"/>
      <c r="BS1074" s="107"/>
      <c r="BT1074" s="107"/>
      <c r="BU1074" s="107"/>
      <c r="BV1074" s="107"/>
      <c r="BW1074" s="107"/>
      <c r="BX1074" s="107"/>
      <c r="BY1074" s="107"/>
      <c r="BZ1074" s="107"/>
      <c r="CA1074" s="107"/>
      <c r="CB1074" s="107"/>
      <c r="CC1074" s="107"/>
      <c r="CD1074" s="107"/>
      <c r="CE1074" s="107"/>
      <c r="CF1074" s="107"/>
      <c r="CG1074" s="107"/>
      <c r="CH1074" s="107"/>
      <c r="CI1074" s="107"/>
      <c r="CJ1074" s="107"/>
      <c r="CK1074" s="107"/>
      <c r="CL1074" s="107"/>
      <c r="CM1074" s="107"/>
      <c r="CN1074" s="118"/>
      <c r="CO1074" s="119"/>
      <c r="CP1074" s="118"/>
      <c r="CQ1074" s="119"/>
      <c r="CR1074" s="118"/>
      <c r="CS1074" s="119"/>
      <c r="CT1074" s="113"/>
      <c r="CU1074" s="118"/>
      <c r="CV1074" s="99">
        <f t="shared" si="101"/>
        <v>0</v>
      </c>
      <c r="CW1074" s="118"/>
      <c r="CX1074" s="119"/>
      <c r="CY1074" s="119"/>
      <c r="CZ1074" s="119"/>
      <c r="DA1074" s="118"/>
      <c r="DB1074" s="119"/>
      <c r="DC1074" s="111"/>
      <c r="DD1074" s="119"/>
      <c r="DE1074" s="111"/>
      <c r="DF1074" s="46"/>
    </row>
    <row r="1075" spans="1:110" s="42" customFormat="1" ht="22.5" x14ac:dyDescent="0.2">
      <c r="A1075" s="89">
        <v>40676</v>
      </c>
      <c r="B1075" s="90" t="s">
        <v>4344</v>
      </c>
      <c r="C1075" s="90" t="s">
        <v>840</v>
      </c>
      <c r="D1075" s="90" t="s">
        <v>4264</v>
      </c>
      <c r="E1075" s="90" t="str">
        <f>VLOOKUP(B1075&amp;C1075,Divipola!$C$2:$F$1138,4,FALSE)</f>
        <v>25491</v>
      </c>
      <c r="F1075" s="90"/>
      <c r="G1075" s="124"/>
      <c r="H1075" s="124"/>
      <c r="I1075" s="308"/>
      <c r="J1075" s="124">
        <v>44</v>
      </c>
      <c r="K1075" s="124">
        <v>10</v>
      </c>
      <c r="L1075" s="124"/>
      <c r="M1075" s="124">
        <v>10</v>
      </c>
      <c r="N1075" s="129"/>
      <c r="O1075" s="129"/>
      <c r="P1075" s="129"/>
      <c r="Q1075" s="129"/>
      <c r="R1075" s="129"/>
      <c r="S1075" s="129"/>
      <c r="T1075" s="129"/>
      <c r="U1075" s="129"/>
      <c r="V1075" s="129"/>
      <c r="W1075" s="107"/>
      <c r="X1075" s="105"/>
      <c r="Y1075" s="92">
        <f t="shared" si="102"/>
        <v>0</v>
      </c>
      <c r="Z1075" s="92">
        <f t="shared" si="103"/>
        <v>0</v>
      </c>
      <c r="AA1075" s="92">
        <f t="shared" si="104"/>
        <v>0</v>
      </c>
      <c r="AB1075" s="92">
        <f t="shared" si="105"/>
        <v>0</v>
      </c>
      <c r="AC1075" s="92"/>
      <c r="AD1075" s="92">
        <v>0</v>
      </c>
      <c r="AE1075" s="92">
        <f t="shared" si="106"/>
        <v>0</v>
      </c>
      <c r="AF1075" s="93">
        <v>0</v>
      </c>
      <c r="AG1075" s="105"/>
      <c r="AH1075" s="108"/>
      <c r="AI1075" s="109" t="s">
        <v>4346</v>
      </c>
      <c r="AJ1075" s="110" t="s">
        <v>4347</v>
      </c>
      <c r="AK1075" s="111"/>
      <c r="AL1075" s="105" t="s">
        <v>928</v>
      </c>
      <c r="AM1075" s="128" t="s">
        <v>4425</v>
      </c>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18"/>
      <c r="CO1075" s="119"/>
      <c r="CP1075" s="118"/>
      <c r="CQ1075" s="119"/>
      <c r="CR1075" s="118"/>
      <c r="CS1075" s="119"/>
      <c r="CT1075" s="113"/>
      <c r="CU1075" s="118"/>
      <c r="CV1075" s="99">
        <f t="shared" si="101"/>
        <v>0</v>
      </c>
      <c r="CW1075" s="118"/>
      <c r="CX1075" s="119"/>
      <c r="CY1075" s="119"/>
      <c r="CZ1075" s="119"/>
      <c r="DA1075" s="118"/>
      <c r="DB1075" s="119"/>
      <c r="DC1075" s="111"/>
      <c r="DD1075" s="119"/>
      <c r="DE1075" s="111"/>
      <c r="DF1075" s="46"/>
    </row>
    <row r="1076" spans="1:110" s="42" customFormat="1" ht="24" x14ac:dyDescent="0.2">
      <c r="A1076" s="89">
        <v>40676</v>
      </c>
      <c r="B1076" s="90" t="s">
        <v>4344</v>
      </c>
      <c r="C1076" s="90" t="s">
        <v>4516</v>
      </c>
      <c r="D1076" s="90" t="s">
        <v>4264</v>
      </c>
      <c r="E1076" s="90" t="str">
        <f>VLOOKUP(B1076&amp;C1076,Divipola!$C$2:$F$1138,4,FALSE)</f>
        <v>25772</v>
      </c>
      <c r="F1076" s="101"/>
      <c r="G1076" s="101"/>
      <c r="H1076" s="101"/>
      <c r="I1076" s="101"/>
      <c r="J1076" s="101">
        <v>80</v>
      </c>
      <c r="K1076" s="101">
        <v>20</v>
      </c>
      <c r="L1076" s="101"/>
      <c r="M1076" s="101">
        <v>20</v>
      </c>
      <c r="N1076" s="101"/>
      <c r="O1076" s="101"/>
      <c r="P1076" s="101"/>
      <c r="Q1076" s="101"/>
      <c r="R1076" s="101"/>
      <c r="S1076" s="101"/>
      <c r="T1076" s="101"/>
      <c r="U1076" s="91"/>
      <c r="V1076" s="89"/>
      <c r="W1076" s="92"/>
      <c r="X1076" s="92"/>
      <c r="Y1076" s="92">
        <f t="shared" si="102"/>
        <v>0</v>
      </c>
      <c r="Z1076" s="92">
        <f t="shared" si="103"/>
        <v>0</v>
      </c>
      <c r="AA1076" s="92">
        <f t="shared" si="104"/>
        <v>0</v>
      </c>
      <c r="AB1076" s="92">
        <f t="shared" si="105"/>
        <v>0</v>
      </c>
      <c r="AC1076" s="92"/>
      <c r="AD1076" s="92">
        <v>0</v>
      </c>
      <c r="AE1076" s="92">
        <f t="shared" si="106"/>
        <v>0</v>
      </c>
      <c r="AF1076" s="93">
        <v>0</v>
      </c>
      <c r="AG1076" s="89"/>
      <c r="AH1076" s="96"/>
      <c r="AI1076" s="109" t="s">
        <v>4346</v>
      </c>
      <c r="AJ1076" s="110" t="s">
        <v>4347</v>
      </c>
      <c r="AK1076" s="100"/>
      <c r="AL1076" s="105"/>
      <c r="AM1076" s="112" t="s">
        <v>2826</v>
      </c>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18"/>
      <c r="CO1076" s="119"/>
      <c r="CP1076" s="118"/>
      <c r="CQ1076" s="119"/>
      <c r="CR1076" s="118"/>
      <c r="CS1076" s="119"/>
      <c r="CT1076" s="113"/>
      <c r="CU1076" s="118"/>
      <c r="CV1076" s="99">
        <f t="shared" si="101"/>
        <v>0</v>
      </c>
      <c r="CW1076" s="118"/>
      <c r="CX1076" s="119"/>
      <c r="CY1076" s="119"/>
      <c r="CZ1076" s="119"/>
      <c r="DA1076" s="118"/>
      <c r="DB1076" s="119"/>
      <c r="DC1076" s="111"/>
      <c r="DD1076" s="119"/>
      <c r="DE1076" s="111"/>
      <c r="DF1076" s="46"/>
    </row>
    <row r="1077" spans="1:110" s="42" customFormat="1" ht="22.5" x14ac:dyDescent="0.2">
      <c r="A1077" s="89">
        <v>40676</v>
      </c>
      <c r="B1077" s="106" t="s">
        <v>4344</v>
      </c>
      <c r="C1077" s="106" t="s">
        <v>4223</v>
      </c>
      <c r="D1077" s="90" t="s">
        <v>4264</v>
      </c>
      <c r="E1077" s="90" t="str">
        <f>VLOOKUP(B1077&amp;C1077,Divipola!$C$2:$F$1138,4,FALSE)</f>
        <v>25815</v>
      </c>
      <c r="F1077" s="90"/>
      <c r="G1077" s="279"/>
      <c r="H1077" s="279"/>
      <c r="I1077" s="279"/>
      <c r="J1077" s="129"/>
      <c r="K1077" s="129"/>
      <c r="L1077" s="129"/>
      <c r="M1077" s="129"/>
      <c r="N1077" s="129"/>
      <c r="O1077" s="129"/>
      <c r="P1077" s="129"/>
      <c r="Q1077" s="129"/>
      <c r="R1077" s="129"/>
      <c r="S1077" s="129"/>
      <c r="T1077" s="129"/>
      <c r="U1077" s="129"/>
      <c r="V1077" s="129"/>
      <c r="W1077" s="107"/>
      <c r="X1077" s="105"/>
      <c r="Y1077" s="92">
        <f t="shared" si="102"/>
        <v>0</v>
      </c>
      <c r="Z1077" s="92">
        <f t="shared" si="103"/>
        <v>0</v>
      </c>
      <c r="AA1077" s="92">
        <f t="shared" si="104"/>
        <v>0</v>
      </c>
      <c r="AB1077" s="92">
        <f t="shared" si="105"/>
        <v>0</v>
      </c>
      <c r="AC1077" s="92"/>
      <c r="AD1077" s="92">
        <v>0</v>
      </c>
      <c r="AE1077" s="92">
        <f t="shared" si="106"/>
        <v>0</v>
      </c>
      <c r="AF1077" s="93">
        <v>0</v>
      </c>
      <c r="AG1077" s="105"/>
      <c r="AH1077" s="108"/>
      <c r="AI1077" s="102" t="s">
        <v>4336</v>
      </c>
      <c r="AJ1077" s="96" t="s">
        <v>4337</v>
      </c>
      <c r="AK1077" s="111"/>
      <c r="AL1077" s="89"/>
      <c r="AM1077" s="90" t="s">
        <v>2819</v>
      </c>
      <c r="AN1077" s="90"/>
      <c r="AO1077" s="90"/>
      <c r="AP1077" s="101"/>
      <c r="AQ1077" s="101"/>
      <c r="AR1077" s="101"/>
      <c r="AS1077" s="101"/>
      <c r="AT1077" s="101"/>
      <c r="AU1077" s="101"/>
      <c r="AV1077" s="101"/>
      <c r="AW1077" s="101"/>
      <c r="AX1077" s="101"/>
      <c r="AY1077" s="101"/>
      <c r="AZ1077" s="101"/>
      <c r="BA1077" s="101"/>
      <c r="BB1077" s="101"/>
      <c r="BC1077" s="101"/>
      <c r="BD1077" s="101"/>
      <c r="BE1077" s="101"/>
      <c r="BF1077" s="91"/>
      <c r="BG1077" s="89"/>
      <c r="BH1077" s="92"/>
      <c r="BI1077" s="92"/>
      <c r="BJ1077" s="92"/>
      <c r="BK1077" s="92"/>
      <c r="BL1077" s="92"/>
      <c r="BM1077" s="92"/>
      <c r="BN1077" s="92"/>
      <c r="BO1077" s="93"/>
      <c r="BP1077" s="89"/>
      <c r="BQ1077" s="94"/>
      <c r="BR1077" s="89"/>
      <c r="BS1077" s="96"/>
      <c r="BT1077" s="97"/>
      <c r="BU1077" s="89"/>
      <c r="BV1077" s="100"/>
      <c r="BW1077" s="107"/>
      <c r="BX1077" s="107"/>
      <c r="BY1077" s="107"/>
      <c r="BZ1077" s="107"/>
      <c r="CA1077" s="107"/>
      <c r="CB1077" s="107"/>
      <c r="CC1077" s="107"/>
      <c r="CD1077" s="107"/>
      <c r="CE1077" s="107"/>
      <c r="CF1077" s="107"/>
      <c r="CG1077" s="107"/>
      <c r="CH1077" s="107"/>
      <c r="CI1077" s="107"/>
      <c r="CJ1077" s="107"/>
      <c r="CK1077" s="107"/>
      <c r="CL1077" s="107"/>
      <c r="CM1077" s="107"/>
      <c r="CN1077" s="118"/>
      <c r="CO1077" s="119"/>
      <c r="CP1077" s="118"/>
      <c r="CQ1077" s="119"/>
      <c r="CR1077" s="118"/>
      <c r="CS1077" s="119"/>
      <c r="CT1077" s="113"/>
      <c r="CU1077" s="118"/>
      <c r="CV1077" s="99">
        <f t="shared" si="101"/>
        <v>0</v>
      </c>
      <c r="CW1077" s="118"/>
      <c r="CX1077" s="119"/>
      <c r="CY1077" s="119"/>
      <c r="CZ1077" s="119"/>
      <c r="DA1077" s="118"/>
      <c r="DB1077" s="119"/>
      <c r="DC1077" s="111"/>
      <c r="DD1077" s="119"/>
      <c r="DE1077" s="111"/>
      <c r="DF1077" s="46"/>
    </row>
    <row r="1078" spans="1:110" s="42" customFormat="1" ht="67.5" x14ac:dyDescent="0.2">
      <c r="A1078" s="89">
        <v>40676</v>
      </c>
      <c r="B1078" s="106" t="s">
        <v>4344</v>
      </c>
      <c r="C1078" s="106" t="s">
        <v>4518</v>
      </c>
      <c r="D1078" s="90" t="s">
        <v>4264</v>
      </c>
      <c r="E1078" s="90" t="str">
        <f>VLOOKUP(B1078&amp;C1078,Divipola!$C$2:$F$1138,4,FALSE)</f>
        <v>25873</v>
      </c>
      <c r="F1078" s="90"/>
      <c r="G1078" s="129"/>
      <c r="H1078" s="129"/>
      <c r="I1078" s="129"/>
      <c r="J1078" s="129">
        <v>1045</v>
      </c>
      <c r="K1078" s="129">
        <v>283</v>
      </c>
      <c r="L1078" s="129"/>
      <c r="M1078" s="129">
        <v>283</v>
      </c>
      <c r="N1078" s="129"/>
      <c r="O1078" s="129"/>
      <c r="P1078" s="129"/>
      <c r="Q1078" s="129"/>
      <c r="R1078" s="129"/>
      <c r="S1078" s="129"/>
      <c r="T1078" s="129"/>
      <c r="U1078" s="129"/>
      <c r="V1078" s="129"/>
      <c r="W1078" s="107"/>
      <c r="X1078" s="105"/>
      <c r="Y1078" s="92">
        <f t="shared" si="102"/>
        <v>37832800</v>
      </c>
      <c r="Z1078" s="92">
        <f t="shared" si="103"/>
        <v>6800000</v>
      </c>
      <c r="AA1078" s="92">
        <f t="shared" si="104"/>
        <v>0</v>
      </c>
      <c r="AB1078" s="92">
        <f t="shared" si="105"/>
        <v>0</v>
      </c>
      <c r="AC1078" s="92">
        <f>20*23000+20*34800+10*226000+20*18000+20*12000+11*12000+20*38000+21*23000+20*25000+20*16000+20*17000</f>
        <v>6551000</v>
      </c>
      <c r="AD1078" s="92">
        <v>0</v>
      </c>
      <c r="AE1078" s="92">
        <f t="shared" si="106"/>
        <v>51183800</v>
      </c>
      <c r="AF1078" s="93">
        <v>0</v>
      </c>
      <c r="AG1078" s="105"/>
      <c r="AH1078" s="108"/>
      <c r="AI1078" s="109" t="s">
        <v>4346</v>
      </c>
      <c r="AJ1078" s="110" t="s">
        <v>4347</v>
      </c>
      <c r="AK1078" s="111"/>
      <c r="AL1078" s="89"/>
      <c r="AM1078" s="90" t="s">
        <v>4144</v>
      </c>
      <c r="AN1078" s="90"/>
      <c r="AO1078" s="90"/>
      <c r="AP1078" s="101"/>
      <c r="AQ1078" s="101"/>
      <c r="AR1078" s="101"/>
      <c r="AS1078" s="101"/>
      <c r="AT1078" s="101"/>
      <c r="AU1078" s="101"/>
      <c r="AV1078" s="101"/>
      <c r="AW1078" s="101"/>
      <c r="AX1078" s="101">
        <v>10</v>
      </c>
      <c r="AY1078" s="101">
        <f>10*400000</f>
        <v>4000000</v>
      </c>
      <c r="AZ1078" s="101"/>
      <c r="BA1078" s="101"/>
      <c r="BB1078" s="101">
        <v>250</v>
      </c>
      <c r="BC1078" s="101">
        <f>250*56000</f>
        <v>14000000</v>
      </c>
      <c r="BD1078" s="101">
        <v>21</v>
      </c>
      <c r="BE1078" s="101">
        <f>21*24000</f>
        <v>504000</v>
      </c>
      <c r="BF1078" s="91"/>
      <c r="BG1078" s="89"/>
      <c r="BH1078" s="92"/>
      <c r="BI1078" s="92"/>
      <c r="BJ1078" s="92"/>
      <c r="BK1078" s="92"/>
      <c r="BL1078" s="92"/>
      <c r="BM1078" s="92"/>
      <c r="BN1078" s="92"/>
      <c r="BO1078" s="93"/>
      <c r="BP1078" s="89"/>
      <c r="BQ1078" s="94"/>
      <c r="BR1078" s="89"/>
      <c r="BS1078" s="96"/>
      <c r="BT1078" s="97"/>
      <c r="BU1078" s="89"/>
      <c r="BV1078" s="100"/>
      <c r="BW1078" s="107"/>
      <c r="BX1078" s="107"/>
      <c r="BY1078" s="107"/>
      <c r="BZ1078" s="107"/>
      <c r="CA1078" s="107"/>
      <c r="CB1078" s="107"/>
      <c r="CC1078" s="107"/>
      <c r="CD1078" s="107"/>
      <c r="CE1078" s="107"/>
      <c r="CF1078" s="107"/>
      <c r="CG1078" s="107"/>
      <c r="CH1078" s="107"/>
      <c r="CI1078" s="107"/>
      <c r="CJ1078" s="107">
        <v>250</v>
      </c>
      <c r="CK1078" s="107">
        <f>250*18000</f>
        <v>4500000</v>
      </c>
      <c r="CL1078" s="107">
        <v>300</v>
      </c>
      <c r="CM1078" s="107">
        <f>300*10500</f>
        <v>3150000</v>
      </c>
      <c r="CN1078" s="118"/>
      <c r="CO1078" s="119"/>
      <c r="CP1078" s="118">
        <f>80+150</f>
        <v>230</v>
      </c>
      <c r="CQ1078" s="119">
        <f>80*37000+150*36952</f>
        <v>8502800</v>
      </c>
      <c r="CR1078" s="118">
        <v>80</v>
      </c>
      <c r="CS1078" s="119">
        <f>80*39700</f>
        <v>3176000</v>
      </c>
      <c r="CT1078" s="113"/>
      <c r="CU1078" s="118"/>
      <c r="CV1078" s="99">
        <f t="shared" si="101"/>
        <v>37832800</v>
      </c>
      <c r="CW1078" s="118"/>
      <c r="CX1078" s="119"/>
      <c r="CY1078" s="119">
        <v>80</v>
      </c>
      <c r="CZ1078" s="119">
        <f>80*85000</f>
        <v>6800000</v>
      </c>
      <c r="DA1078" s="118"/>
      <c r="DB1078" s="119"/>
      <c r="DC1078" s="111"/>
      <c r="DD1078" s="119"/>
      <c r="DE1078" s="111"/>
      <c r="DF1078" s="46"/>
    </row>
    <row r="1079" spans="1:110" s="42" customFormat="1" ht="33.75" x14ac:dyDescent="0.2">
      <c r="A1079" s="89">
        <v>40676</v>
      </c>
      <c r="B1079" s="106" t="s">
        <v>4219</v>
      </c>
      <c r="C1079" s="106" t="s">
        <v>3396</v>
      </c>
      <c r="D1079" s="90" t="s">
        <v>2362</v>
      </c>
      <c r="E1079" s="90" t="str">
        <f>VLOOKUP(B1079&amp;C1079,Divipola!$C$2:$F$1138,4,FALSE)</f>
        <v>41020</v>
      </c>
      <c r="F1079" s="90"/>
      <c r="G1079" s="279"/>
      <c r="H1079" s="279"/>
      <c r="I1079" s="279"/>
      <c r="J1079" s="129"/>
      <c r="K1079" s="129"/>
      <c r="L1079" s="129"/>
      <c r="M1079" s="129"/>
      <c r="N1079" s="129">
        <v>1</v>
      </c>
      <c r="O1079" s="129"/>
      <c r="P1079" s="129"/>
      <c r="Q1079" s="129"/>
      <c r="R1079" s="129"/>
      <c r="S1079" s="129"/>
      <c r="T1079" s="129"/>
      <c r="U1079" s="129"/>
      <c r="V1079" s="129"/>
      <c r="W1079" s="107"/>
      <c r="X1079" s="105"/>
      <c r="Y1079" s="92">
        <f t="shared" si="102"/>
        <v>0</v>
      </c>
      <c r="Z1079" s="92">
        <f t="shared" si="103"/>
        <v>0</v>
      </c>
      <c r="AA1079" s="92">
        <f t="shared" si="104"/>
        <v>0</v>
      </c>
      <c r="AB1079" s="92">
        <f t="shared" si="105"/>
        <v>0</v>
      </c>
      <c r="AC1079" s="92"/>
      <c r="AD1079" s="92">
        <v>0</v>
      </c>
      <c r="AE1079" s="92">
        <f t="shared" si="106"/>
        <v>0</v>
      </c>
      <c r="AF1079" s="93">
        <v>0</v>
      </c>
      <c r="AG1079" s="105"/>
      <c r="AH1079" s="108"/>
      <c r="AI1079" s="109" t="s">
        <v>4336</v>
      </c>
      <c r="AJ1079" s="110" t="s">
        <v>4337</v>
      </c>
      <c r="AK1079" s="111"/>
      <c r="AL1079" s="89"/>
      <c r="AM1079" s="90" t="s">
        <v>2817</v>
      </c>
      <c r="AN1079" s="90"/>
      <c r="AO1079" s="90"/>
      <c r="AP1079" s="101"/>
      <c r="AQ1079" s="101"/>
      <c r="AR1079" s="101"/>
      <c r="AS1079" s="101"/>
      <c r="AT1079" s="101"/>
      <c r="AU1079" s="101"/>
      <c r="AV1079" s="101"/>
      <c r="AW1079" s="101"/>
      <c r="AX1079" s="101"/>
      <c r="AY1079" s="101"/>
      <c r="AZ1079" s="101"/>
      <c r="BA1079" s="101"/>
      <c r="BB1079" s="101"/>
      <c r="BC1079" s="101"/>
      <c r="BD1079" s="101"/>
      <c r="BE1079" s="101"/>
      <c r="BF1079" s="91"/>
      <c r="BG1079" s="89"/>
      <c r="BH1079" s="92"/>
      <c r="BI1079" s="92"/>
      <c r="BJ1079" s="92"/>
      <c r="BK1079" s="92"/>
      <c r="BL1079" s="92"/>
      <c r="BM1079" s="92"/>
      <c r="BN1079" s="92"/>
      <c r="BO1079" s="93"/>
      <c r="BP1079" s="89"/>
      <c r="BQ1079" s="94"/>
      <c r="BR1079" s="89"/>
      <c r="BS1079" s="96"/>
      <c r="BT1079" s="97"/>
      <c r="BU1079" s="89"/>
      <c r="BV1079" s="100"/>
      <c r="BW1079" s="107"/>
      <c r="BX1079" s="107"/>
      <c r="BY1079" s="107"/>
      <c r="BZ1079" s="107"/>
      <c r="CA1079" s="107"/>
      <c r="CB1079" s="107"/>
      <c r="CC1079" s="107"/>
      <c r="CD1079" s="107"/>
      <c r="CE1079" s="107"/>
      <c r="CF1079" s="107"/>
      <c r="CG1079" s="107"/>
      <c r="CH1079" s="107"/>
      <c r="CI1079" s="107"/>
      <c r="CJ1079" s="107"/>
      <c r="CK1079" s="107"/>
      <c r="CL1079" s="107"/>
      <c r="CM1079" s="107"/>
      <c r="CN1079" s="118"/>
      <c r="CO1079" s="119"/>
      <c r="CP1079" s="118"/>
      <c r="CQ1079" s="119"/>
      <c r="CR1079" s="118"/>
      <c r="CS1079" s="119"/>
      <c r="CT1079" s="113"/>
      <c r="CU1079" s="118"/>
      <c r="CV1079" s="99">
        <f t="shared" si="101"/>
        <v>0</v>
      </c>
      <c r="CW1079" s="118"/>
      <c r="CX1079" s="119"/>
      <c r="CY1079" s="119"/>
      <c r="CZ1079" s="119"/>
      <c r="DA1079" s="118"/>
      <c r="DB1079" s="119"/>
      <c r="DC1079" s="111"/>
      <c r="DD1079" s="119"/>
      <c r="DE1079" s="111"/>
      <c r="DF1079" s="46"/>
    </row>
    <row r="1080" spans="1:110" s="42" customFormat="1" ht="33.75" x14ac:dyDescent="0.2">
      <c r="A1080" s="89">
        <v>40676</v>
      </c>
      <c r="B1080" s="106" t="s">
        <v>4387</v>
      </c>
      <c r="C1080" s="106" t="s">
        <v>459</v>
      </c>
      <c r="D1080" s="90" t="s">
        <v>2362</v>
      </c>
      <c r="E1080" s="90" t="str">
        <f>VLOOKUP(B1080&amp;C1080,Divipola!$C$2:$F$1138,4,FALSE)</f>
        <v>52240</v>
      </c>
      <c r="F1080" s="90"/>
      <c r="G1080" s="279"/>
      <c r="H1080" s="279"/>
      <c r="I1080" s="279"/>
      <c r="J1080" s="129">
        <v>545</v>
      </c>
      <c r="K1080" s="129">
        <v>227</v>
      </c>
      <c r="L1080" s="129"/>
      <c r="M1080" s="129">
        <v>106</v>
      </c>
      <c r="N1080" s="129"/>
      <c r="O1080" s="129"/>
      <c r="P1080" s="129"/>
      <c r="Q1080" s="129">
        <v>1</v>
      </c>
      <c r="R1080" s="129"/>
      <c r="S1080" s="129"/>
      <c r="T1080" s="129"/>
      <c r="U1080" s="129"/>
      <c r="V1080" s="129">
        <v>91.3</v>
      </c>
      <c r="W1080" s="107"/>
      <c r="X1080" s="105"/>
      <c r="Y1080" s="92">
        <f t="shared" si="102"/>
        <v>0</v>
      </c>
      <c r="Z1080" s="92">
        <f t="shared" si="103"/>
        <v>0</v>
      </c>
      <c r="AA1080" s="92">
        <f t="shared" si="104"/>
        <v>0</v>
      </c>
      <c r="AB1080" s="92">
        <f t="shared" si="105"/>
        <v>0</v>
      </c>
      <c r="AC1080" s="92"/>
      <c r="AD1080" s="92">
        <v>0</v>
      </c>
      <c r="AE1080" s="92">
        <f t="shared" si="106"/>
        <v>0</v>
      </c>
      <c r="AF1080" s="93">
        <v>0</v>
      </c>
      <c r="AG1080" s="105"/>
      <c r="AH1080" s="108"/>
      <c r="AI1080" s="109" t="s">
        <v>4336</v>
      </c>
      <c r="AJ1080" s="110" t="s">
        <v>4337</v>
      </c>
      <c r="AK1080" s="111"/>
      <c r="AL1080" s="105" t="s">
        <v>1069</v>
      </c>
      <c r="AM1080" s="90" t="s">
        <v>82</v>
      </c>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c r="BJ1080" s="107"/>
      <c r="BK1080" s="107"/>
      <c r="BL1080" s="107"/>
      <c r="BM1080" s="107"/>
      <c r="BN1080" s="107"/>
      <c r="BO1080" s="107"/>
      <c r="BP1080" s="107"/>
      <c r="BQ1080" s="107"/>
      <c r="BR1080" s="107"/>
      <c r="BS1080" s="107"/>
      <c r="BT1080" s="107"/>
      <c r="BU1080" s="107"/>
      <c r="BV1080" s="107"/>
      <c r="BW1080" s="107"/>
      <c r="BX1080" s="107"/>
      <c r="BY1080" s="107"/>
      <c r="BZ1080" s="107"/>
      <c r="CA1080" s="107"/>
      <c r="CB1080" s="107"/>
      <c r="CC1080" s="107"/>
      <c r="CD1080" s="107"/>
      <c r="CE1080" s="107"/>
      <c r="CF1080" s="107"/>
      <c r="CG1080" s="107"/>
      <c r="CH1080" s="107"/>
      <c r="CI1080" s="107"/>
      <c r="CJ1080" s="107"/>
      <c r="CK1080" s="107"/>
      <c r="CL1080" s="107"/>
      <c r="CM1080" s="107"/>
      <c r="CN1080" s="118"/>
      <c r="CO1080" s="119"/>
      <c r="CP1080" s="118"/>
      <c r="CQ1080" s="119"/>
      <c r="CR1080" s="118"/>
      <c r="CS1080" s="119"/>
      <c r="CT1080" s="113"/>
      <c r="CU1080" s="118"/>
      <c r="CV1080" s="99">
        <f t="shared" si="101"/>
        <v>0</v>
      </c>
      <c r="CW1080" s="118"/>
      <c r="CX1080" s="119"/>
      <c r="CY1080" s="119"/>
      <c r="CZ1080" s="119"/>
      <c r="DA1080" s="118"/>
      <c r="DB1080" s="119"/>
      <c r="DC1080" s="111"/>
      <c r="DD1080" s="119"/>
      <c r="DE1080" s="111"/>
      <c r="DF1080" s="46"/>
    </row>
    <row r="1081" spans="1:110" s="42" customFormat="1" ht="22.5" x14ac:dyDescent="0.2">
      <c r="A1081" s="89">
        <v>40676</v>
      </c>
      <c r="B1081" s="106" t="s">
        <v>4387</v>
      </c>
      <c r="C1081" s="106" t="s">
        <v>2901</v>
      </c>
      <c r="D1081" s="90" t="s">
        <v>4264</v>
      </c>
      <c r="E1081" s="90" t="str">
        <f>VLOOKUP(B1081&amp;C1081,Divipola!$C$2:$F$1138,4,FALSE)</f>
        <v>52427</v>
      </c>
      <c r="F1081" s="90"/>
      <c r="G1081" s="279"/>
      <c r="H1081" s="279"/>
      <c r="I1081" s="279"/>
      <c r="J1081" s="129"/>
      <c r="K1081" s="129"/>
      <c r="L1081" s="129"/>
      <c r="M1081" s="129"/>
      <c r="N1081" s="129"/>
      <c r="O1081" s="129"/>
      <c r="P1081" s="129"/>
      <c r="Q1081" s="129"/>
      <c r="R1081" s="129"/>
      <c r="S1081" s="129"/>
      <c r="T1081" s="129"/>
      <c r="U1081" s="129"/>
      <c r="V1081" s="129"/>
      <c r="W1081" s="107"/>
      <c r="X1081" s="105"/>
      <c r="Y1081" s="92">
        <f t="shared" si="102"/>
        <v>0</v>
      </c>
      <c r="Z1081" s="92">
        <f t="shared" si="103"/>
        <v>0</v>
      </c>
      <c r="AA1081" s="92">
        <f t="shared" si="104"/>
        <v>0</v>
      </c>
      <c r="AB1081" s="92">
        <f t="shared" si="105"/>
        <v>0</v>
      </c>
      <c r="AC1081" s="92"/>
      <c r="AD1081" s="92">
        <v>0</v>
      </c>
      <c r="AE1081" s="92">
        <f t="shared" si="106"/>
        <v>0</v>
      </c>
      <c r="AF1081" s="93">
        <v>0</v>
      </c>
      <c r="AG1081" s="105"/>
      <c r="AH1081" s="108"/>
      <c r="AI1081" s="109" t="s">
        <v>4336</v>
      </c>
      <c r="AJ1081" s="110" t="s">
        <v>4337</v>
      </c>
      <c r="AK1081" s="111"/>
      <c r="AL1081" s="105" t="s">
        <v>1069</v>
      </c>
      <c r="AM1081" s="90" t="s">
        <v>83</v>
      </c>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18"/>
      <c r="CO1081" s="119"/>
      <c r="CP1081" s="118"/>
      <c r="CQ1081" s="119"/>
      <c r="CR1081" s="118"/>
      <c r="CS1081" s="119"/>
      <c r="CT1081" s="113"/>
      <c r="CU1081" s="118"/>
      <c r="CV1081" s="99">
        <f t="shared" si="101"/>
        <v>0</v>
      </c>
      <c r="CW1081" s="118"/>
      <c r="CX1081" s="119"/>
      <c r="CY1081" s="119"/>
      <c r="CZ1081" s="119"/>
      <c r="DA1081" s="118"/>
      <c r="DB1081" s="119"/>
      <c r="DC1081" s="111"/>
      <c r="DD1081" s="119"/>
      <c r="DE1081" s="111"/>
      <c r="DF1081" s="46"/>
    </row>
    <row r="1082" spans="1:110" s="42" customFormat="1" ht="38.25" x14ac:dyDescent="0.2">
      <c r="A1082" s="89">
        <v>40676</v>
      </c>
      <c r="B1082" s="106" t="s">
        <v>4387</v>
      </c>
      <c r="C1082" s="106" t="s">
        <v>798</v>
      </c>
      <c r="D1082" s="90" t="s">
        <v>4264</v>
      </c>
      <c r="E1082" s="90" t="str">
        <f>VLOOKUP(B1082&amp;C1082,Divipola!$C$2:$F$1138,4,FALSE)</f>
        <v>52621</v>
      </c>
      <c r="F1082" s="90"/>
      <c r="G1082" s="279"/>
      <c r="H1082" s="279"/>
      <c r="I1082" s="279"/>
      <c r="J1082" s="129"/>
      <c r="K1082" s="129"/>
      <c r="L1082" s="129"/>
      <c r="M1082" s="129"/>
      <c r="N1082" s="129"/>
      <c r="O1082" s="129"/>
      <c r="P1082" s="129"/>
      <c r="Q1082" s="129"/>
      <c r="R1082" s="129"/>
      <c r="S1082" s="129"/>
      <c r="T1082" s="129">
        <v>1</v>
      </c>
      <c r="U1082" s="129"/>
      <c r="V1082" s="129"/>
      <c r="W1082" s="107"/>
      <c r="X1082" s="105"/>
      <c r="Y1082" s="92">
        <f t="shared" si="102"/>
        <v>0</v>
      </c>
      <c r="Z1082" s="92">
        <f t="shared" si="103"/>
        <v>0</v>
      </c>
      <c r="AA1082" s="92">
        <f t="shared" si="104"/>
        <v>0</v>
      </c>
      <c r="AB1082" s="92">
        <f t="shared" si="105"/>
        <v>0</v>
      </c>
      <c r="AC1082" s="92"/>
      <c r="AD1082" s="92">
        <v>0</v>
      </c>
      <c r="AE1082" s="92">
        <f t="shared" si="106"/>
        <v>0</v>
      </c>
      <c r="AF1082" s="93">
        <v>0</v>
      </c>
      <c r="AG1082" s="105"/>
      <c r="AH1082" s="108"/>
      <c r="AI1082" s="109" t="s">
        <v>4336</v>
      </c>
      <c r="AJ1082" s="110" t="s">
        <v>4337</v>
      </c>
      <c r="AK1082" s="111"/>
      <c r="AL1082" s="105" t="s">
        <v>1069</v>
      </c>
      <c r="AM1082" s="114" t="s">
        <v>81</v>
      </c>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18"/>
      <c r="CO1082" s="119"/>
      <c r="CP1082" s="118"/>
      <c r="CQ1082" s="119"/>
      <c r="CR1082" s="118"/>
      <c r="CS1082" s="119"/>
      <c r="CT1082" s="113"/>
      <c r="CU1082" s="118"/>
      <c r="CV1082" s="99">
        <f t="shared" si="101"/>
        <v>0</v>
      </c>
      <c r="CW1082" s="118"/>
      <c r="CX1082" s="119"/>
      <c r="CY1082" s="119"/>
      <c r="CZ1082" s="119"/>
      <c r="DA1082" s="118"/>
      <c r="DB1082" s="119"/>
      <c r="DC1082" s="111"/>
      <c r="DD1082" s="119"/>
      <c r="DE1082" s="111"/>
      <c r="DF1082" s="46"/>
    </row>
    <row r="1083" spans="1:110" s="42" customFormat="1" ht="108" x14ac:dyDescent="0.2">
      <c r="A1083" s="89">
        <v>40676</v>
      </c>
      <c r="B1083" s="90" t="s">
        <v>4387</v>
      </c>
      <c r="C1083" s="90" t="s">
        <v>4362</v>
      </c>
      <c r="D1083" s="90" t="s">
        <v>4264</v>
      </c>
      <c r="E1083" s="90" t="str">
        <f>VLOOKUP(B1083&amp;C1083,Divipola!$C$2:$F$1138,4,FALSE)</f>
        <v>52693</v>
      </c>
      <c r="F1083" s="101"/>
      <c r="G1083" s="101"/>
      <c r="H1083" s="101"/>
      <c r="I1083" s="101"/>
      <c r="J1083" s="101">
        <v>100</v>
      </c>
      <c r="K1083" s="101">
        <v>20</v>
      </c>
      <c r="L1083" s="101">
        <v>12</v>
      </c>
      <c r="M1083" s="101">
        <v>8</v>
      </c>
      <c r="N1083" s="101"/>
      <c r="O1083" s="101">
        <v>1</v>
      </c>
      <c r="P1083" s="101"/>
      <c r="Q1083" s="101"/>
      <c r="R1083" s="101"/>
      <c r="S1083" s="101"/>
      <c r="T1083" s="101"/>
      <c r="U1083" s="91"/>
      <c r="V1083" s="89"/>
      <c r="W1083" s="92"/>
      <c r="X1083" s="92"/>
      <c r="Y1083" s="92">
        <f t="shared" si="102"/>
        <v>0</v>
      </c>
      <c r="Z1083" s="92">
        <f t="shared" si="103"/>
        <v>0</v>
      </c>
      <c r="AA1083" s="92">
        <f t="shared" si="104"/>
        <v>0</v>
      </c>
      <c r="AB1083" s="92">
        <f t="shared" si="105"/>
        <v>0</v>
      </c>
      <c r="AC1083" s="92"/>
      <c r="AD1083" s="92">
        <v>53462500</v>
      </c>
      <c r="AE1083" s="92">
        <f t="shared" si="106"/>
        <v>53462500</v>
      </c>
      <c r="AF1083" s="93">
        <v>0</v>
      </c>
      <c r="AG1083" s="89"/>
      <c r="AH1083" s="96"/>
      <c r="AI1083" s="102" t="s">
        <v>4346</v>
      </c>
      <c r="AJ1083" s="96" t="s">
        <v>4347</v>
      </c>
      <c r="AK1083" s="100"/>
      <c r="AL1083" s="105"/>
      <c r="AM1083" s="112" t="s">
        <v>2021</v>
      </c>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18"/>
      <c r="CO1083" s="119"/>
      <c r="CP1083" s="118"/>
      <c r="CQ1083" s="119"/>
      <c r="CR1083" s="118"/>
      <c r="CS1083" s="119"/>
      <c r="CT1083" s="113"/>
      <c r="CU1083" s="118"/>
      <c r="CV1083" s="99">
        <f t="shared" si="101"/>
        <v>0</v>
      </c>
      <c r="CW1083" s="118"/>
      <c r="CX1083" s="119"/>
      <c r="CY1083" s="119"/>
      <c r="CZ1083" s="119"/>
      <c r="DA1083" s="118"/>
      <c r="DB1083" s="119"/>
      <c r="DC1083" s="111"/>
      <c r="DD1083" s="119"/>
      <c r="DE1083" s="111"/>
      <c r="DF1083" s="46"/>
    </row>
    <row r="1084" spans="1:110" s="42" customFormat="1" ht="60" x14ac:dyDescent="0.2">
      <c r="A1084" s="89">
        <v>40676</v>
      </c>
      <c r="B1084" s="90" t="s">
        <v>4221</v>
      </c>
      <c r="C1084" s="90" t="s">
        <v>4372</v>
      </c>
      <c r="D1084" s="90" t="s">
        <v>4298</v>
      </c>
      <c r="E1084" s="90" t="str">
        <f>VLOOKUP(B1084&amp;C1084,Divipola!$C$2:$F$1138,4,FALSE)</f>
        <v>54498</v>
      </c>
      <c r="F1084" s="101"/>
      <c r="G1084" s="101"/>
      <c r="H1084" s="101"/>
      <c r="I1084" s="101"/>
      <c r="J1084" s="101"/>
      <c r="K1084" s="101"/>
      <c r="L1084" s="101"/>
      <c r="M1084" s="101"/>
      <c r="N1084" s="101"/>
      <c r="O1084" s="101"/>
      <c r="P1084" s="101"/>
      <c r="Q1084" s="101"/>
      <c r="R1084" s="101"/>
      <c r="S1084" s="101"/>
      <c r="T1084" s="101"/>
      <c r="U1084" s="91"/>
      <c r="V1084" s="89"/>
      <c r="W1084" s="92"/>
      <c r="X1084" s="92"/>
      <c r="Y1084" s="92">
        <f t="shared" si="102"/>
        <v>0</v>
      </c>
      <c r="Z1084" s="92">
        <f t="shared" si="103"/>
        <v>0</v>
      </c>
      <c r="AA1084" s="92">
        <f t="shared" si="104"/>
        <v>0</v>
      </c>
      <c r="AB1084" s="92">
        <f t="shared" si="105"/>
        <v>0</v>
      </c>
      <c r="AC1084" s="92"/>
      <c r="AD1084" s="92">
        <v>0</v>
      </c>
      <c r="AE1084" s="92">
        <f t="shared" si="106"/>
        <v>0</v>
      </c>
      <c r="AF1084" s="93">
        <v>0</v>
      </c>
      <c r="AG1084" s="89"/>
      <c r="AH1084" s="96"/>
      <c r="AI1084" s="109" t="s">
        <v>4336</v>
      </c>
      <c r="AJ1084" s="110" t="s">
        <v>4337</v>
      </c>
      <c r="AK1084" s="100"/>
      <c r="AL1084" s="105"/>
      <c r="AM1084" s="112" t="s">
        <v>2816</v>
      </c>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18"/>
      <c r="CO1084" s="119"/>
      <c r="CP1084" s="118"/>
      <c r="CQ1084" s="119"/>
      <c r="CR1084" s="118"/>
      <c r="CS1084" s="119"/>
      <c r="CT1084" s="113"/>
      <c r="CU1084" s="118"/>
      <c r="CV1084" s="99">
        <f t="shared" si="101"/>
        <v>0</v>
      </c>
      <c r="CW1084" s="118"/>
      <c r="CX1084" s="119"/>
      <c r="CY1084" s="119"/>
      <c r="CZ1084" s="119"/>
      <c r="DA1084" s="118"/>
      <c r="DB1084" s="119"/>
      <c r="DC1084" s="111"/>
      <c r="DD1084" s="119"/>
      <c r="DE1084" s="111"/>
      <c r="DF1084" s="46"/>
    </row>
    <row r="1085" spans="1:110" s="42" customFormat="1" ht="24" x14ac:dyDescent="0.2">
      <c r="A1085" s="89">
        <v>40676</v>
      </c>
      <c r="B1085" s="106" t="s">
        <v>4348</v>
      </c>
      <c r="C1085" s="106" t="s">
        <v>4313</v>
      </c>
      <c r="D1085" s="90" t="s">
        <v>2362</v>
      </c>
      <c r="E1085" s="90" t="str">
        <f>VLOOKUP(B1085&amp;C1085,Divipola!$C$2:$F$1138,4,FALSE)</f>
        <v>66318</v>
      </c>
      <c r="F1085" s="90"/>
      <c r="G1085" s="129"/>
      <c r="H1085" s="129"/>
      <c r="I1085" s="129"/>
      <c r="J1085" s="129">
        <v>5</v>
      </c>
      <c r="K1085" s="129">
        <v>1</v>
      </c>
      <c r="L1085" s="129"/>
      <c r="M1085" s="129">
        <v>1</v>
      </c>
      <c r="N1085" s="129"/>
      <c r="O1085" s="129"/>
      <c r="P1085" s="129"/>
      <c r="Q1085" s="129"/>
      <c r="R1085" s="129"/>
      <c r="S1085" s="129"/>
      <c r="T1085" s="129"/>
      <c r="U1085" s="129"/>
      <c r="V1085" s="129"/>
      <c r="W1085" s="107"/>
      <c r="X1085" s="105"/>
      <c r="Y1085" s="92">
        <f t="shared" si="102"/>
        <v>0</v>
      </c>
      <c r="Z1085" s="92">
        <f t="shared" si="103"/>
        <v>0</v>
      </c>
      <c r="AA1085" s="92">
        <f t="shared" si="104"/>
        <v>0</v>
      </c>
      <c r="AB1085" s="92">
        <f t="shared" si="105"/>
        <v>0</v>
      </c>
      <c r="AC1085" s="92"/>
      <c r="AD1085" s="92">
        <v>0</v>
      </c>
      <c r="AE1085" s="92">
        <f t="shared" si="106"/>
        <v>0</v>
      </c>
      <c r="AF1085" s="93">
        <v>0</v>
      </c>
      <c r="AG1085" s="105"/>
      <c r="AH1085" s="108"/>
      <c r="AI1085" s="109" t="s">
        <v>4336</v>
      </c>
      <c r="AJ1085" s="110" t="s">
        <v>4337</v>
      </c>
      <c r="AK1085" s="111"/>
      <c r="AL1085" s="105"/>
      <c r="AM1085" s="112" t="s">
        <v>370</v>
      </c>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18"/>
      <c r="CO1085" s="119"/>
      <c r="CP1085" s="118"/>
      <c r="CQ1085" s="119"/>
      <c r="CR1085" s="118"/>
      <c r="CS1085" s="119"/>
      <c r="CT1085" s="113"/>
      <c r="CU1085" s="118"/>
      <c r="CV1085" s="99">
        <f t="shared" si="101"/>
        <v>0</v>
      </c>
      <c r="CW1085" s="118"/>
      <c r="CX1085" s="119"/>
      <c r="CY1085" s="119"/>
      <c r="CZ1085" s="119"/>
      <c r="DA1085" s="118"/>
      <c r="DB1085" s="119"/>
      <c r="DC1085" s="111"/>
      <c r="DD1085" s="119"/>
      <c r="DE1085" s="111"/>
      <c r="DF1085" s="46"/>
    </row>
    <row r="1086" spans="1:110" s="42" customFormat="1" ht="99" x14ac:dyDescent="0.2">
      <c r="A1086" s="89">
        <v>40676</v>
      </c>
      <c r="B1086" s="106" t="s">
        <v>2226</v>
      </c>
      <c r="C1086" s="106" t="s">
        <v>3340</v>
      </c>
      <c r="D1086" s="90" t="s">
        <v>2362</v>
      </c>
      <c r="E1086" s="90" t="str">
        <f>VLOOKUP(B1086&amp;C1086,Divipola!$C$2:$F$1138,4,FALSE)</f>
        <v>68498</v>
      </c>
      <c r="F1086" s="90"/>
      <c r="G1086" s="279"/>
      <c r="H1086" s="279"/>
      <c r="I1086" s="279"/>
      <c r="J1086" s="129">
        <v>380</v>
      </c>
      <c r="K1086" s="129">
        <v>76</v>
      </c>
      <c r="L1086" s="129"/>
      <c r="M1086" s="129">
        <v>76</v>
      </c>
      <c r="N1086" s="129"/>
      <c r="O1086" s="129"/>
      <c r="P1086" s="129"/>
      <c r="Q1086" s="129"/>
      <c r="R1086" s="129"/>
      <c r="S1086" s="129"/>
      <c r="T1086" s="129"/>
      <c r="U1086" s="129"/>
      <c r="V1086" s="129"/>
      <c r="W1086" s="107"/>
      <c r="X1086" s="105"/>
      <c r="Y1086" s="92">
        <f t="shared" si="102"/>
        <v>2781696</v>
      </c>
      <c r="Z1086" s="92">
        <f t="shared" si="103"/>
        <v>4080000</v>
      </c>
      <c r="AA1086" s="92">
        <f t="shared" si="104"/>
        <v>0</v>
      </c>
      <c r="AB1086" s="92">
        <f t="shared" si="105"/>
        <v>0</v>
      </c>
      <c r="AC1086" s="92">
        <f>50*120000+250*10000+250*20000</f>
        <v>13500000</v>
      </c>
      <c r="AD1086" s="92">
        <v>45000000</v>
      </c>
      <c r="AE1086" s="92">
        <f t="shared" si="106"/>
        <v>65361696</v>
      </c>
      <c r="AF1086" s="93">
        <v>0</v>
      </c>
      <c r="AG1086" s="105"/>
      <c r="AH1086" s="108"/>
      <c r="AI1086" s="95" t="s">
        <v>4346</v>
      </c>
      <c r="AJ1086" s="96" t="s">
        <v>4347</v>
      </c>
      <c r="AK1086" s="111"/>
      <c r="AL1086" s="89"/>
      <c r="AM1086" s="90" t="s">
        <v>2019</v>
      </c>
      <c r="AN1086" s="90"/>
      <c r="AO1086" s="90"/>
      <c r="AP1086" s="101"/>
      <c r="AQ1086" s="101"/>
      <c r="AR1086" s="101"/>
      <c r="AS1086" s="101"/>
      <c r="AT1086" s="101"/>
      <c r="AU1086" s="101"/>
      <c r="AV1086" s="101"/>
      <c r="AW1086" s="101"/>
      <c r="AX1086" s="107"/>
      <c r="AY1086" s="107"/>
      <c r="AZ1086" s="101"/>
      <c r="BA1086" s="101"/>
      <c r="BB1086" s="101"/>
      <c r="BC1086" s="101"/>
      <c r="BD1086" s="101"/>
      <c r="BE1086" s="101"/>
      <c r="BF1086" s="91"/>
      <c r="BG1086" s="89"/>
      <c r="BH1086" s="92"/>
      <c r="BI1086" s="92"/>
      <c r="BJ1086" s="92"/>
      <c r="BK1086" s="92"/>
      <c r="BL1086" s="92"/>
      <c r="BM1086" s="92"/>
      <c r="BN1086" s="92"/>
      <c r="BO1086" s="93"/>
      <c r="BP1086" s="89"/>
      <c r="BQ1086" s="94"/>
      <c r="BR1086" s="89"/>
      <c r="BS1086" s="96"/>
      <c r="BT1086" s="97"/>
      <c r="BU1086" s="89"/>
      <c r="BV1086" s="100"/>
      <c r="BW1086" s="107"/>
      <c r="BX1086" s="107"/>
      <c r="BY1086" s="107"/>
      <c r="BZ1086" s="107"/>
      <c r="CA1086" s="107"/>
      <c r="CB1086" s="107"/>
      <c r="CC1086" s="107"/>
      <c r="CD1086" s="107"/>
      <c r="CE1086" s="107"/>
      <c r="CF1086" s="107"/>
      <c r="CG1086" s="107"/>
      <c r="CH1086" s="107"/>
      <c r="CI1086" s="107"/>
      <c r="CJ1086" s="107">
        <v>48</v>
      </c>
      <c r="CK1086" s="107">
        <f>48*21000</f>
        <v>1008000</v>
      </c>
      <c r="CL1086" s="107"/>
      <c r="CM1086" s="107"/>
      <c r="CN1086" s="118"/>
      <c r="CO1086" s="119"/>
      <c r="CP1086" s="118">
        <v>48</v>
      </c>
      <c r="CQ1086" s="119">
        <f>48*36952</f>
        <v>1773696</v>
      </c>
      <c r="CR1086" s="118"/>
      <c r="CS1086" s="119"/>
      <c r="CT1086" s="113"/>
      <c r="CU1086" s="118"/>
      <c r="CV1086" s="99">
        <f t="shared" si="101"/>
        <v>2781696</v>
      </c>
      <c r="CW1086" s="118"/>
      <c r="CX1086" s="119"/>
      <c r="CY1086" s="119">
        <v>48</v>
      </c>
      <c r="CZ1086" s="119">
        <f>48*85000</f>
        <v>4080000</v>
      </c>
      <c r="DA1086" s="118"/>
      <c r="DB1086" s="119"/>
      <c r="DC1086" s="111"/>
      <c r="DD1086" s="119"/>
      <c r="DE1086" s="111"/>
      <c r="DF1086" s="46"/>
    </row>
    <row r="1087" spans="1:110" s="42" customFormat="1" ht="48" x14ac:dyDescent="0.2">
      <c r="A1087" s="89">
        <v>40676</v>
      </c>
      <c r="B1087" s="106" t="s">
        <v>2226</v>
      </c>
      <c r="C1087" s="106" t="s">
        <v>801</v>
      </c>
      <c r="D1087" s="90" t="s">
        <v>2362</v>
      </c>
      <c r="E1087" s="90" t="str">
        <f>VLOOKUP(B1087&amp;C1087,Divipola!$C$2:$F$1138,4,FALSE)</f>
        <v>68820</v>
      </c>
      <c r="F1087" s="90"/>
      <c r="G1087" s="129"/>
      <c r="H1087" s="129"/>
      <c r="I1087" s="129"/>
      <c r="J1087" s="129">
        <f>6175-1506</f>
        <v>4669</v>
      </c>
      <c r="K1087" s="129">
        <f>1235-350</f>
        <v>885</v>
      </c>
      <c r="L1087" s="129">
        <v>36</v>
      </c>
      <c r="M1087" s="129">
        <f>885-36</f>
        <v>849</v>
      </c>
      <c r="N1087" s="129">
        <v>9</v>
      </c>
      <c r="O1087" s="129">
        <v>1</v>
      </c>
      <c r="P1087" s="129">
        <v>3</v>
      </c>
      <c r="Q1087" s="129">
        <v>2</v>
      </c>
      <c r="R1087" s="129">
        <v>1</v>
      </c>
      <c r="S1087" s="129"/>
      <c r="T1087" s="129"/>
      <c r="U1087" s="129"/>
      <c r="V1087" s="129">
        <v>60</v>
      </c>
      <c r="W1087" s="107"/>
      <c r="X1087" s="105"/>
      <c r="Y1087" s="92">
        <f t="shared" si="102"/>
        <v>0</v>
      </c>
      <c r="Z1087" s="92">
        <f t="shared" si="103"/>
        <v>0</v>
      </c>
      <c r="AA1087" s="92">
        <f t="shared" si="104"/>
        <v>0</v>
      </c>
      <c r="AB1087" s="92">
        <f t="shared" si="105"/>
        <v>0</v>
      </c>
      <c r="AC1087" s="92"/>
      <c r="AD1087" s="92">
        <v>0</v>
      </c>
      <c r="AE1087" s="92">
        <f t="shared" si="106"/>
        <v>0</v>
      </c>
      <c r="AF1087" s="93">
        <v>0</v>
      </c>
      <c r="AG1087" s="105"/>
      <c r="AH1087" s="108"/>
      <c r="AI1087" s="95" t="s">
        <v>4346</v>
      </c>
      <c r="AJ1087" s="96" t="s">
        <v>4347</v>
      </c>
      <c r="AK1087" s="97"/>
      <c r="AL1087" s="89" t="s">
        <v>1049</v>
      </c>
      <c r="AM1087" s="112" t="s">
        <v>2842</v>
      </c>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7"/>
      <c r="BL1087" s="107"/>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7"/>
      <c r="CG1087" s="107"/>
      <c r="CH1087" s="107"/>
      <c r="CI1087" s="107"/>
      <c r="CJ1087" s="107"/>
      <c r="CK1087" s="107"/>
      <c r="CL1087" s="107"/>
      <c r="CM1087" s="107"/>
      <c r="CN1087" s="118"/>
      <c r="CO1087" s="119"/>
      <c r="CP1087" s="118"/>
      <c r="CQ1087" s="119"/>
      <c r="CR1087" s="118"/>
      <c r="CS1087" s="119"/>
      <c r="CT1087" s="113"/>
      <c r="CU1087" s="118"/>
      <c r="CV1087" s="99">
        <f t="shared" si="101"/>
        <v>0</v>
      </c>
      <c r="CW1087" s="118"/>
      <c r="CX1087" s="119"/>
      <c r="CY1087" s="119"/>
      <c r="CZ1087" s="119"/>
      <c r="DA1087" s="118"/>
      <c r="DB1087" s="119"/>
      <c r="DC1087" s="111"/>
      <c r="DD1087" s="119"/>
      <c r="DE1087" s="111"/>
      <c r="DF1087" s="46"/>
    </row>
    <row r="1088" spans="1:110" s="42" customFormat="1" ht="48" x14ac:dyDescent="0.2">
      <c r="A1088" s="89">
        <v>40676</v>
      </c>
      <c r="B1088" s="90" t="s">
        <v>3316</v>
      </c>
      <c r="C1088" s="90" t="s">
        <v>4323</v>
      </c>
      <c r="D1088" s="90" t="s">
        <v>4264</v>
      </c>
      <c r="E1088" s="90" t="str">
        <f>VLOOKUP(B1088&amp;C1088,Divipola!$C$2:$F$1138,4,FALSE)</f>
        <v>73001</v>
      </c>
      <c r="F1088" s="101"/>
      <c r="G1088" s="101"/>
      <c r="H1088" s="101"/>
      <c r="I1088" s="101"/>
      <c r="J1088" s="101">
        <v>155</v>
      </c>
      <c r="K1088" s="101">
        <v>31</v>
      </c>
      <c r="L1088" s="101">
        <v>7</v>
      </c>
      <c r="M1088" s="101">
        <v>24</v>
      </c>
      <c r="N1088" s="101"/>
      <c r="O1088" s="101"/>
      <c r="P1088" s="101"/>
      <c r="Q1088" s="101"/>
      <c r="R1088" s="101"/>
      <c r="S1088" s="101"/>
      <c r="T1088" s="101"/>
      <c r="U1088" s="91"/>
      <c r="V1088" s="89"/>
      <c r="W1088" s="92"/>
      <c r="X1088" s="92"/>
      <c r="Y1088" s="92">
        <f t="shared" si="102"/>
        <v>0</v>
      </c>
      <c r="Z1088" s="92">
        <f t="shared" si="103"/>
        <v>0</v>
      </c>
      <c r="AA1088" s="92">
        <f t="shared" si="104"/>
        <v>0</v>
      </c>
      <c r="AB1088" s="92">
        <f t="shared" si="105"/>
        <v>0</v>
      </c>
      <c r="AC1088" s="92"/>
      <c r="AD1088" s="92">
        <v>0</v>
      </c>
      <c r="AE1088" s="92">
        <f t="shared" si="106"/>
        <v>0</v>
      </c>
      <c r="AF1088" s="93">
        <v>0</v>
      </c>
      <c r="AG1088" s="89"/>
      <c r="AH1088" s="96"/>
      <c r="AI1088" s="95" t="s">
        <v>4346</v>
      </c>
      <c r="AJ1088" s="96" t="s">
        <v>4347</v>
      </c>
      <c r="AK1088" s="97"/>
      <c r="AL1088" s="89" t="s">
        <v>2798</v>
      </c>
      <c r="AM1088" s="112" t="s">
        <v>2818</v>
      </c>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18"/>
      <c r="CO1088" s="119"/>
      <c r="CP1088" s="118"/>
      <c r="CQ1088" s="119"/>
      <c r="CR1088" s="118"/>
      <c r="CS1088" s="119"/>
      <c r="CT1088" s="113"/>
      <c r="CU1088" s="118"/>
      <c r="CV1088" s="99">
        <f t="shared" si="101"/>
        <v>0</v>
      </c>
      <c r="CW1088" s="118"/>
      <c r="CX1088" s="119"/>
      <c r="CY1088" s="119"/>
      <c r="CZ1088" s="119"/>
      <c r="DA1088" s="118"/>
      <c r="DB1088" s="119"/>
      <c r="DC1088" s="111"/>
      <c r="DD1088" s="119"/>
      <c r="DE1088" s="111"/>
      <c r="DF1088" s="46"/>
    </row>
    <row r="1089" spans="1:110" s="42" customFormat="1" ht="36" x14ac:dyDescent="0.2">
      <c r="A1089" s="89">
        <v>40676</v>
      </c>
      <c r="B1089" s="106" t="s">
        <v>4244</v>
      </c>
      <c r="C1089" s="106" t="s">
        <v>3157</v>
      </c>
      <c r="D1089" s="90" t="s">
        <v>2362</v>
      </c>
      <c r="E1089" s="90" t="str">
        <f>VLOOKUP(B1089&amp;C1089,Divipola!$C$2:$F$1138,4,FALSE)</f>
        <v>76122</v>
      </c>
      <c r="F1089" s="90"/>
      <c r="G1089" s="129"/>
      <c r="H1089" s="129"/>
      <c r="I1089" s="129"/>
      <c r="J1089" s="129"/>
      <c r="K1089" s="129"/>
      <c r="L1089" s="129"/>
      <c r="M1089" s="129"/>
      <c r="N1089" s="129"/>
      <c r="O1089" s="129"/>
      <c r="P1089" s="129"/>
      <c r="Q1089" s="129"/>
      <c r="R1089" s="129"/>
      <c r="S1089" s="129"/>
      <c r="T1089" s="129"/>
      <c r="U1089" s="129"/>
      <c r="V1089" s="129"/>
      <c r="W1089" s="107"/>
      <c r="X1089" s="105"/>
      <c r="Y1089" s="92">
        <f t="shared" si="102"/>
        <v>0</v>
      </c>
      <c r="Z1089" s="92">
        <f t="shared" si="103"/>
        <v>0</v>
      </c>
      <c r="AA1089" s="92">
        <f t="shared" si="104"/>
        <v>0</v>
      </c>
      <c r="AB1089" s="92">
        <f t="shared" si="105"/>
        <v>0</v>
      </c>
      <c r="AC1089" s="92"/>
      <c r="AD1089" s="92">
        <v>40000000</v>
      </c>
      <c r="AE1089" s="92">
        <f t="shared" si="106"/>
        <v>40000000</v>
      </c>
      <c r="AF1089" s="93">
        <v>0</v>
      </c>
      <c r="AG1089" s="105"/>
      <c r="AH1089" s="108"/>
      <c r="AI1089" s="102" t="s">
        <v>4346</v>
      </c>
      <c r="AJ1089" s="96" t="s">
        <v>4347</v>
      </c>
      <c r="AK1089" s="111"/>
      <c r="AL1089" s="105"/>
      <c r="AM1089" s="112" t="s">
        <v>924</v>
      </c>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18"/>
      <c r="CO1089" s="119"/>
      <c r="CP1089" s="118"/>
      <c r="CQ1089" s="119"/>
      <c r="CR1089" s="118"/>
      <c r="CS1089" s="119"/>
      <c r="CT1089" s="113"/>
      <c r="CU1089" s="118"/>
      <c r="CV1089" s="99">
        <f t="shared" si="101"/>
        <v>0</v>
      </c>
      <c r="CW1089" s="118"/>
      <c r="CX1089" s="119"/>
      <c r="CY1089" s="119"/>
      <c r="CZ1089" s="119"/>
      <c r="DA1089" s="118"/>
      <c r="DB1089" s="119"/>
      <c r="DC1089" s="111"/>
      <c r="DD1089" s="119"/>
      <c r="DE1089" s="111"/>
      <c r="DF1089" s="46"/>
    </row>
    <row r="1090" spans="1:110" s="42" customFormat="1" ht="36" x14ac:dyDescent="0.2">
      <c r="A1090" s="89">
        <v>40677</v>
      </c>
      <c r="B1090" s="106" t="s">
        <v>4352</v>
      </c>
      <c r="C1090" s="106" t="s">
        <v>3504</v>
      </c>
      <c r="D1090" s="90" t="s">
        <v>4264</v>
      </c>
      <c r="E1090" s="90" t="str">
        <f>VLOOKUP(B1090&amp;C1090,Divipola!$C$2:$F$1138,4,FALSE)</f>
        <v>13052</v>
      </c>
      <c r="F1090" s="90"/>
      <c r="G1090" s="129"/>
      <c r="H1090" s="129"/>
      <c r="I1090" s="129"/>
      <c r="J1090" s="129"/>
      <c r="K1090" s="129"/>
      <c r="L1090" s="129"/>
      <c r="M1090" s="129"/>
      <c r="N1090" s="129"/>
      <c r="O1090" s="129"/>
      <c r="P1090" s="129"/>
      <c r="Q1090" s="129"/>
      <c r="R1090" s="129"/>
      <c r="S1090" s="129"/>
      <c r="T1090" s="129"/>
      <c r="U1090" s="129"/>
      <c r="V1090" s="129"/>
      <c r="W1090" s="107"/>
      <c r="X1090" s="105"/>
      <c r="Y1090" s="92">
        <f t="shared" si="102"/>
        <v>0</v>
      </c>
      <c r="Z1090" s="92">
        <f t="shared" si="103"/>
        <v>0</v>
      </c>
      <c r="AA1090" s="92">
        <f t="shared" si="104"/>
        <v>0</v>
      </c>
      <c r="AB1090" s="92">
        <f t="shared" si="105"/>
        <v>0</v>
      </c>
      <c r="AC1090" s="92"/>
      <c r="AD1090" s="92">
        <v>0</v>
      </c>
      <c r="AE1090" s="92">
        <f t="shared" si="106"/>
        <v>0</v>
      </c>
      <c r="AF1090" s="93">
        <v>0</v>
      </c>
      <c r="AG1090" s="105"/>
      <c r="AH1090" s="108"/>
      <c r="AI1090" s="102" t="s">
        <v>4336</v>
      </c>
      <c r="AJ1090" s="96" t="s">
        <v>4337</v>
      </c>
      <c r="AK1090" s="111"/>
      <c r="AL1090" s="105"/>
      <c r="AM1090" s="112" t="s">
        <v>2687</v>
      </c>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18"/>
      <c r="CO1090" s="119"/>
      <c r="CP1090" s="118"/>
      <c r="CQ1090" s="119"/>
      <c r="CR1090" s="118"/>
      <c r="CS1090" s="119"/>
      <c r="CT1090" s="113"/>
      <c r="CU1090" s="118"/>
      <c r="CV1090" s="99">
        <f t="shared" si="101"/>
        <v>0</v>
      </c>
      <c r="CW1090" s="118"/>
      <c r="CX1090" s="119"/>
      <c r="CY1090" s="119"/>
      <c r="CZ1090" s="119"/>
      <c r="DA1090" s="118"/>
      <c r="DB1090" s="119"/>
      <c r="DC1090" s="111"/>
      <c r="DD1090" s="119"/>
      <c r="DE1090" s="111"/>
      <c r="DF1090" s="46"/>
    </row>
    <row r="1091" spans="1:110" s="42" customFormat="1" ht="46.5" x14ac:dyDescent="0.2">
      <c r="A1091" s="89">
        <v>40677</v>
      </c>
      <c r="B1091" s="128" t="s">
        <v>4261</v>
      </c>
      <c r="C1091" s="128" t="s">
        <v>4345</v>
      </c>
      <c r="D1091" s="90" t="s">
        <v>4264</v>
      </c>
      <c r="E1091" s="90">
        <f>VLOOKUP(B1091&amp;C1091,Divipola!$C$2:$F$1138,4,FALSE)</f>
        <v>15</v>
      </c>
      <c r="F1091" s="90"/>
      <c r="G1091" s="129"/>
      <c r="H1091" s="129"/>
      <c r="I1091" s="129"/>
      <c r="J1091" s="129"/>
      <c r="K1091" s="129"/>
      <c r="L1091" s="129"/>
      <c r="M1091" s="129"/>
      <c r="N1091" s="129"/>
      <c r="O1091" s="129"/>
      <c r="P1091" s="129"/>
      <c r="Q1091" s="129"/>
      <c r="R1091" s="129"/>
      <c r="S1091" s="129"/>
      <c r="T1091" s="129"/>
      <c r="U1091" s="129"/>
      <c r="V1091" s="129"/>
      <c r="W1091" s="107"/>
      <c r="X1091" s="105"/>
      <c r="Y1091" s="92">
        <f t="shared" si="102"/>
        <v>391400000</v>
      </c>
      <c r="Z1091" s="92">
        <f t="shared" si="103"/>
        <v>170000000</v>
      </c>
      <c r="AA1091" s="92">
        <f t="shared" si="104"/>
        <v>0</v>
      </c>
      <c r="AB1091" s="92">
        <f t="shared" si="105"/>
        <v>0</v>
      </c>
      <c r="AC1091" s="92">
        <f>3000*25000</f>
        <v>75000000</v>
      </c>
      <c r="AD1091" s="92">
        <v>16100000</v>
      </c>
      <c r="AE1091" s="92">
        <f t="shared" si="106"/>
        <v>652500000</v>
      </c>
      <c r="AF1091" s="93">
        <v>0</v>
      </c>
      <c r="AG1091" s="105"/>
      <c r="AH1091" s="108"/>
      <c r="AI1091" s="109" t="s">
        <v>4346</v>
      </c>
      <c r="AJ1091" s="110" t="s">
        <v>4347</v>
      </c>
      <c r="AK1091" s="111"/>
      <c r="AL1091" s="89"/>
      <c r="AM1091" s="126" t="s">
        <v>2315</v>
      </c>
      <c r="AN1091" s="90"/>
      <c r="AO1091" s="90"/>
      <c r="AP1091" s="101"/>
      <c r="AQ1091" s="101"/>
      <c r="AR1091" s="101"/>
      <c r="AS1091" s="101"/>
      <c r="AT1091" s="101"/>
      <c r="AU1091" s="101"/>
      <c r="AV1091" s="101"/>
      <c r="AW1091" s="101"/>
      <c r="AX1091" s="101"/>
      <c r="AY1091" s="101"/>
      <c r="AZ1091" s="101">
        <v>2000</v>
      </c>
      <c r="BA1091" s="101">
        <f>2000*56000</f>
        <v>112000000</v>
      </c>
      <c r="BB1091" s="101"/>
      <c r="BC1091" s="101"/>
      <c r="BD1091" s="101"/>
      <c r="BE1091" s="101"/>
      <c r="BF1091" s="91"/>
      <c r="BG1091" s="89"/>
      <c r="BH1091" s="92"/>
      <c r="BI1091" s="92"/>
      <c r="BJ1091" s="92"/>
      <c r="BK1091" s="92"/>
      <c r="BL1091" s="92"/>
      <c r="BM1091" s="92"/>
      <c r="BN1091" s="92"/>
      <c r="BO1091" s="93"/>
      <c r="BP1091" s="89"/>
      <c r="BQ1091" s="94"/>
      <c r="BR1091" s="89"/>
      <c r="BS1091" s="96"/>
      <c r="BT1091" s="97"/>
      <c r="BU1091" s="89"/>
      <c r="BV1091" s="100"/>
      <c r="BW1091" s="107"/>
      <c r="BX1091" s="107"/>
      <c r="BY1091" s="107"/>
      <c r="BZ1091" s="107"/>
      <c r="CA1091" s="107"/>
      <c r="CB1091" s="107"/>
      <c r="CC1091" s="107"/>
      <c r="CD1091" s="107"/>
      <c r="CE1091" s="107"/>
      <c r="CF1091" s="107"/>
      <c r="CG1091" s="107"/>
      <c r="CH1091" s="107"/>
      <c r="CI1091" s="107"/>
      <c r="CJ1091" s="107">
        <v>6000</v>
      </c>
      <c r="CK1091" s="107">
        <f>6000*21000</f>
        <v>126000000</v>
      </c>
      <c r="CL1091" s="107"/>
      <c r="CM1091" s="107"/>
      <c r="CN1091" s="118"/>
      <c r="CO1091" s="119"/>
      <c r="CP1091" s="118">
        <v>2000</v>
      </c>
      <c r="CQ1091" s="119">
        <f>2000*37000</f>
        <v>74000000</v>
      </c>
      <c r="CR1091" s="118">
        <v>2000</v>
      </c>
      <c r="CS1091" s="119">
        <f>2000*39700</f>
        <v>79400000</v>
      </c>
      <c r="CT1091" s="113"/>
      <c r="CU1091" s="118"/>
      <c r="CV1091" s="99">
        <f t="shared" ref="CV1091:CV1154" si="107">AO1091+AQ1091+AS1091+AU1091+AW1091+AY1091+BA1091+BC1091+BE1091+BG1091+BI1091+BK1091+BM1091+BO1091+BQ1091+BS1091+BU1091+BW1091+BY1091+CA1091+CC1091+CE1091+CG1091+CI1091+CK1091+CM1091+CO1091+CQ1091+CS1091+CU1091</f>
        <v>391400000</v>
      </c>
      <c r="CW1091" s="118"/>
      <c r="CX1091" s="119"/>
      <c r="CY1091" s="119">
        <v>2000</v>
      </c>
      <c r="CZ1091" s="119">
        <f>2000*85000</f>
        <v>170000000</v>
      </c>
      <c r="DA1091" s="118"/>
      <c r="DB1091" s="119"/>
      <c r="DC1091" s="111"/>
      <c r="DD1091" s="119"/>
      <c r="DE1091" s="111"/>
      <c r="DF1091" s="46"/>
    </row>
    <row r="1092" spans="1:110" s="42" customFormat="1" ht="22.5" x14ac:dyDescent="0.2">
      <c r="A1092" s="89">
        <v>40677</v>
      </c>
      <c r="B1092" s="90" t="s">
        <v>4261</v>
      </c>
      <c r="C1092" s="90" t="s">
        <v>2256</v>
      </c>
      <c r="D1092" s="90" t="s">
        <v>2362</v>
      </c>
      <c r="E1092" s="90" t="str">
        <f>VLOOKUP(B1092&amp;C1092,Divipola!$C$2:$F$1138,4,FALSE)</f>
        <v>15759</v>
      </c>
      <c r="F1092" s="101"/>
      <c r="G1092" s="101"/>
      <c r="H1092" s="101"/>
      <c r="I1092" s="101"/>
      <c r="J1092" s="101">
        <v>9</v>
      </c>
      <c r="K1092" s="101">
        <v>1</v>
      </c>
      <c r="L1092" s="101">
        <v>1</v>
      </c>
      <c r="M1092" s="101"/>
      <c r="N1092" s="101"/>
      <c r="O1092" s="101"/>
      <c r="P1092" s="101"/>
      <c r="Q1092" s="101"/>
      <c r="R1092" s="101"/>
      <c r="S1092" s="101"/>
      <c r="T1092" s="101"/>
      <c r="U1092" s="91"/>
      <c r="V1092" s="89"/>
      <c r="W1092" s="92"/>
      <c r="X1092" s="92"/>
      <c r="Y1092" s="92">
        <f t="shared" si="102"/>
        <v>0</v>
      </c>
      <c r="Z1092" s="92">
        <f t="shared" si="103"/>
        <v>0</v>
      </c>
      <c r="AA1092" s="92">
        <f t="shared" si="104"/>
        <v>0</v>
      </c>
      <c r="AB1092" s="92">
        <f t="shared" si="105"/>
        <v>0</v>
      </c>
      <c r="AC1092" s="92"/>
      <c r="AD1092" s="92">
        <v>0</v>
      </c>
      <c r="AE1092" s="92">
        <f t="shared" si="106"/>
        <v>0</v>
      </c>
      <c r="AF1092" s="93">
        <v>0</v>
      </c>
      <c r="AG1092" s="89"/>
      <c r="AH1092" s="96"/>
      <c r="AI1092" s="102" t="s">
        <v>4346</v>
      </c>
      <c r="AJ1092" s="96" t="s">
        <v>4347</v>
      </c>
      <c r="AK1092" s="97"/>
      <c r="AL1092" s="89" t="s">
        <v>1049</v>
      </c>
      <c r="AM1092" s="128" t="s">
        <v>2832</v>
      </c>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7"/>
      <c r="BL1092" s="107"/>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7"/>
      <c r="CG1092" s="107"/>
      <c r="CH1092" s="107"/>
      <c r="CI1092" s="107"/>
      <c r="CJ1092" s="107"/>
      <c r="CK1092" s="107"/>
      <c r="CL1092" s="107"/>
      <c r="CM1092" s="107"/>
      <c r="CN1092" s="118"/>
      <c r="CO1092" s="119"/>
      <c r="CP1092" s="118"/>
      <c r="CQ1092" s="119"/>
      <c r="CR1092" s="118"/>
      <c r="CS1092" s="119"/>
      <c r="CT1092" s="113"/>
      <c r="CU1092" s="118"/>
      <c r="CV1092" s="99">
        <f t="shared" si="107"/>
        <v>0</v>
      </c>
      <c r="CW1092" s="118"/>
      <c r="CX1092" s="119"/>
      <c r="CY1092" s="119"/>
      <c r="CZ1092" s="119"/>
      <c r="DA1092" s="118"/>
      <c r="DB1092" s="119"/>
      <c r="DC1092" s="111"/>
      <c r="DD1092" s="119"/>
      <c r="DE1092" s="111"/>
      <c r="DF1092" s="46"/>
    </row>
    <row r="1093" spans="1:110" s="42" customFormat="1" ht="56.25" x14ac:dyDescent="0.2">
      <c r="A1093" s="89">
        <v>40677</v>
      </c>
      <c r="B1093" s="90" t="s">
        <v>4261</v>
      </c>
      <c r="C1093" s="90" t="s">
        <v>3379</v>
      </c>
      <c r="D1093" s="90" t="s">
        <v>2362</v>
      </c>
      <c r="E1093" s="90" t="str">
        <f>VLOOKUP(B1093&amp;C1093,Divipola!$C$2:$F$1138,4,FALSE)</f>
        <v>15804</v>
      </c>
      <c r="F1093" s="101"/>
      <c r="G1093" s="101"/>
      <c r="H1093" s="101"/>
      <c r="I1093" s="101"/>
      <c r="J1093" s="101">
        <v>155</v>
      </c>
      <c r="K1093" s="101">
        <v>31</v>
      </c>
      <c r="L1093" s="101">
        <v>6</v>
      </c>
      <c r="M1093" s="101">
        <v>25</v>
      </c>
      <c r="N1093" s="101"/>
      <c r="O1093" s="101"/>
      <c r="P1093" s="101"/>
      <c r="Q1093" s="101"/>
      <c r="R1093" s="101"/>
      <c r="S1093" s="101"/>
      <c r="T1093" s="101"/>
      <c r="U1093" s="91"/>
      <c r="V1093" s="89"/>
      <c r="W1093" s="92"/>
      <c r="X1093" s="92"/>
      <c r="Y1093" s="92">
        <f t="shared" si="102"/>
        <v>0</v>
      </c>
      <c r="Z1093" s="92">
        <f t="shared" si="103"/>
        <v>0</v>
      </c>
      <c r="AA1093" s="92">
        <f t="shared" si="104"/>
        <v>0</v>
      </c>
      <c r="AB1093" s="92">
        <f t="shared" si="105"/>
        <v>0</v>
      </c>
      <c r="AC1093" s="92"/>
      <c r="AD1093" s="92">
        <v>10000000</v>
      </c>
      <c r="AE1093" s="92">
        <f t="shared" si="106"/>
        <v>10000000</v>
      </c>
      <c r="AF1093" s="93">
        <v>0</v>
      </c>
      <c r="AG1093" s="89"/>
      <c r="AH1093" s="96"/>
      <c r="AI1093" s="102" t="s">
        <v>4346</v>
      </c>
      <c r="AJ1093" s="96" t="s">
        <v>4347</v>
      </c>
      <c r="AK1093" s="97"/>
      <c r="AL1093" s="89" t="s">
        <v>1049</v>
      </c>
      <c r="AM1093" s="128" t="s">
        <v>5627</v>
      </c>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18"/>
      <c r="CO1093" s="119"/>
      <c r="CP1093" s="118"/>
      <c r="CQ1093" s="119"/>
      <c r="CR1093" s="118"/>
      <c r="CS1093" s="119"/>
      <c r="CT1093" s="113"/>
      <c r="CU1093" s="118"/>
      <c r="CV1093" s="99">
        <f t="shared" si="107"/>
        <v>0</v>
      </c>
      <c r="CW1093" s="118"/>
      <c r="CX1093" s="119"/>
      <c r="CY1093" s="119"/>
      <c r="CZ1093" s="119"/>
      <c r="DA1093" s="118"/>
      <c r="DB1093" s="119"/>
      <c r="DC1093" s="111"/>
      <c r="DD1093" s="119"/>
      <c r="DE1093" s="111"/>
      <c r="DF1093" s="46"/>
    </row>
    <row r="1094" spans="1:110" s="42" customFormat="1" ht="45" x14ac:dyDescent="0.2">
      <c r="A1094" s="89">
        <v>40677</v>
      </c>
      <c r="B1094" s="90" t="s">
        <v>4296</v>
      </c>
      <c r="C1094" s="90" t="s">
        <v>4246</v>
      </c>
      <c r="D1094" s="90" t="s">
        <v>4264</v>
      </c>
      <c r="E1094" s="90" t="str">
        <f>VLOOKUP(B1094&amp;C1094,Divipola!$C$2:$F$1138,4,FALSE)</f>
        <v>19212</v>
      </c>
      <c r="F1094" s="90"/>
      <c r="G1094" s="308"/>
      <c r="H1094" s="308"/>
      <c r="I1094" s="308"/>
      <c r="J1094" s="124">
        <f>200*5</f>
        <v>1000</v>
      </c>
      <c r="K1094" s="124">
        <v>200</v>
      </c>
      <c r="L1094" s="124">
        <v>6</v>
      </c>
      <c r="M1094" s="124">
        <v>194</v>
      </c>
      <c r="N1094" s="129"/>
      <c r="O1094" s="129"/>
      <c r="P1094" s="129"/>
      <c r="Q1094" s="129"/>
      <c r="R1094" s="129"/>
      <c r="S1094" s="129"/>
      <c r="T1094" s="129"/>
      <c r="U1094" s="129"/>
      <c r="V1094" s="129"/>
      <c r="W1094" s="107"/>
      <c r="X1094" s="105"/>
      <c r="Y1094" s="92">
        <f t="shared" si="102"/>
        <v>0</v>
      </c>
      <c r="Z1094" s="92">
        <f t="shared" si="103"/>
        <v>0</v>
      </c>
      <c r="AA1094" s="92">
        <f t="shared" si="104"/>
        <v>0</v>
      </c>
      <c r="AB1094" s="92">
        <f t="shared" si="105"/>
        <v>0</v>
      </c>
      <c r="AC1094" s="92"/>
      <c r="AD1094" s="92">
        <v>0</v>
      </c>
      <c r="AE1094" s="92">
        <f t="shared" si="106"/>
        <v>0</v>
      </c>
      <c r="AF1094" s="93">
        <v>0</v>
      </c>
      <c r="AG1094" s="105"/>
      <c r="AH1094" s="108"/>
      <c r="AI1094" s="102" t="s">
        <v>4336</v>
      </c>
      <c r="AJ1094" s="96" t="s">
        <v>4337</v>
      </c>
      <c r="AK1094" s="309"/>
      <c r="AL1094" s="310"/>
      <c r="AM1094" s="128" t="s">
        <v>4170</v>
      </c>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18"/>
      <c r="CO1094" s="119"/>
      <c r="CP1094" s="118"/>
      <c r="CQ1094" s="119"/>
      <c r="CR1094" s="118"/>
      <c r="CS1094" s="119"/>
      <c r="CT1094" s="113"/>
      <c r="CU1094" s="118"/>
      <c r="CV1094" s="99">
        <f t="shared" si="107"/>
        <v>0</v>
      </c>
      <c r="CW1094" s="118"/>
      <c r="CX1094" s="119"/>
      <c r="CY1094" s="119"/>
      <c r="CZ1094" s="119"/>
      <c r="DA1094" s="118"/>
      <c r="DB1094" s="119"/>
      <c r="DC1094" s="111"/>
      <c r="DD1094" s="119"/>
      <c r="DE1094" s="111"/>
      <c r="DF1094" s="46"/>
    </row>
    <row r="1095" spans="1:110" s="42" customFormat="1" ht="22.5" x14ac:dyDescent="0.2">
      <c r="A1095" s="89">
        <v>40677</v>
      </c>
      <c r="B1095" s="90" t="s">
        <v>4296</v>
      </c>
      <c r="C1095" s="90" t="s">
        <v>4297</v>
      </c>
      <c r="D1095" s="90" t="s">
        <v>4298</v>
      </c>
      <c r="E1095" s="90" t="str">
        <f>VLOOKUP(B1095&amp;C1095,Divipola!$C$2:$F$1138,4,FALSE)</f>
        <v>19001</v>
      </c>
      <c r="F1095" s="90"/>
      <c r="G1095" s="308"/>
      <c r="H1095" s="308"/>
      <c r="I1095" s="308"/>
      <c r="J1095" s="124">
        <v>400</v>
      </c>
      <c r="K1095" s="124">
        <v>117</v>
      </c>
      <c r="L1095" s="124">
        <v>70</v>
      </c>
      <c r="M1095" s="124"/>
      <c r="N1095" s="129"/>
      <c r="O1095" s="129"/>
      <c r="P1095" s="129"/>
      <c r="Q1095" s="129"/>
      <c r="R1095" s="129"/>
      <c r="S1095" s="129"/>
      <c r="T1095" s="129"/>
      <c r="U1095" s="129"/>
      <c r="V1095" s="129"/>
      <c r="W1095" s="107"/>
      <c r="X1095" s="105"/>
      <c r="Y1095" s="92">
        <f t="shared" si="102"/>
        <v>119419500</v>
      </c>
      <c r="Z1095" s="92">
        <f t="shared" si="103"/>
        <v>28050000</v>
      </c>
      <c r="AA1095" s="92">
        <f t="shared" si="104"/>
        <v>0</v>
      </c>
      <c r="AB1095" s="92">
        <f t="shared" si="105"/>
        <v>0</v>
      </c>
      <c r="AC1095" s="123"/>
      <c r="AD1095" s="92">
        <v>0</v>
      </c>
      <c r="AE1095" s="92">
        <f t="shared" si="106"/>
        <v>147469500</v>
      </c>
      <c r="AF1095" s="93">
        <v>0</v>
      </c>
      <c r="AG1095" s="105"/>
      <c r="AH1095" s="108"/>
      <c r="AI1095" s="109" t="s">
        <v>4346</v>
      </c>
      <c r="AJ1095" s="110" t="s">
        <v>4347</v>
      </c>
      <c r="AK1095" s="309"/>
      <c r="AL1095" s="310"/>
      <c r="AM1095" s="128" t="s">
        <v>2841</v>
      </c>
      <c r="AN1095" s="107"/>
      <c r="AO1095" s="107"/>
      <c r="AP1095" s="107"/>
      <c r="AQ1095" s="107"/>
      <c r="AR1095" s="107"/>
      <c r="AS1095" s="107"/>
      <c r="AT1095" s="107"/>
      <c r="AU1095" s="107"/>
      <c r="AV1095" s="107"/>
      <c r="AW1095" s="107"/>
      <c r="AX1095" s="107">
        <v>165</v>
      </c>
      <c r="AY1095" s="107">
        <f>108*400000+2*450000+4*600000+51*389000</f>
        <v>66339000</v>
      </c>
      <c r="AZ1095" s="107">
        <v>330</v>
      </c>
      <c r="BA1095" s="107">
        <f>330*56000</f>
        <v>18480000</v>
      </c>
      <c r="BB1095" s="107"/>
      <c r="BC1095" s="107"/>
      <c r="BD1095" s="107"/>
      <c r="BE1095" s="107"/>
      <c r="BF1095" s="107"/>
      <c r="BG1095" s="107"/>
      <c r="BH1095" s="107"/>
      <c r="BI1095" s="107"/>
      <c r="BJ1095" s="107">
        <v>165</v>
      </c>
      <c r="BK1095" s="107">
        <f>165*60000</f>
        <v>9900000</v>
      </c>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v>330</v>
      </c>
      <c r="CK1095" s="107">
        <f>330*18000</f>
        <v>5940000</v>
      </c>
      <c r="CL1095" s="107"/>
      <c r="CM1095" s="107"/>
      <c r="CN1095" s="118"/>
      <c r="CO1095" s="119"/>
      <c r="CP1095" s="118">
        <v>330</v>
      </c>
      <c r="CQ1095" s="119">
        <f>330*37000</f>
        <v>12210000</v>
      </c>
      <c r="CR1095" s="118">
        <v>165</v>
      </c>
      <c r="CS1095" s="119">
        <f>165*39700</f>
        <v>6550500</v>
      </c>
      <c r="CT1095" s="113"/>
      <c r="CU1095" s="118"/>
      <c r="CV1095" s="99">
        <f t="shared" si="107"/>
        <v>119419500</v>
      </c>
      <c r="CW1095" s="118"/>
      <c r="CX1095" s="119"/>
      <c r="CY1095" s="119">
        <v>330</v>
      </c>
      <c r="CZ1095" s="119">
        <f>330*85000</f>
        <v>28050000</v>
      </c>
      <c r="DA1095" s="118"/>
      <c r="DB1095" s="119"/>
      <c r="DC1095" s="111"/>
      <c r="DD1095" s="119"/>
      <c r="DE1095" s="111"/>
      <c r="DF1095" s="46"/>
    </row>
    <row r="1096" spans="1:110" s="42" customFormat="1" ht="22.5" x14ac:dyDescent="0.2">
      <c r="A1096" s="89">
        <v>40677</v>
      </c>
      <c r="B1096" s="90" t="s">
        <v>4386</v>
      </c>
      <c r="C1096" s="90" t="s">
        <v>4281</v>
      </c>
      <c r="D1096" s="90" t="s">
        <v>4264</v>
      </c>
      <c r="E1096" s="90" t="str">
        <f>VLOOKUP(B1096&amp;C1096,Divipola!$C$2:$F$1138,4,FALSE)</f>
        <v>20750</v>
      </c>
      <c r="F1096" s="90"/>
      <c r="G1096" s="124"/>
      <c r="H1096" s="124"/>
      <c r="I1096" s="308"/>
      <c r="J1096" s="124">
        <f>300*5</f>
        <v>1500</v>
      </c>
      <c r="K1096" s="124">
        <v>300</v>
      </c>
      <c r="L1096" s="124">
        <v>3</v>
      </c>
      <c r="M1096" s="124">
        <v>297</v>
      </c>
      <c r="N1096" s="129"/>
      <c r="O1096" s="129"/>
      <c r="P1096" s="129"/>
      <c r="Q1096" s="129"/>
      <c r="R1096" s="129"/>
      <c r="S1096" s="129"/>
      <c r="T1096" s="129"/>
      <c r="U1096" s="129"/>
      <c r="V1096" s="129"/>
      <c r="W1096" s="107"/>
      <c r="X1096" s="105"/>
      <c r="Y1096" s="92">
        <f t="shared" si="102"/>
        <v>0</v>
      </c>
      <c r="Z1096" s="92">
        <f t="shared" si="103"/>
        <v>0</v>
      </c>
      <c r="AA1096" s="92">
        <f t="shared" si="104"/>
        <v>0</v>
      </c>
      <c r="AB1096" s="92">
        <f t="shared" si="105"/>
        <v>0</v>
      </c>
      <c r="AC1096" s="92"/>
      <c r="AD1096" s="92">
        <v>0</v>
      </c>
      <c r="AE1096" s="92">
        <f t="shared" si="106"/>
        <v>0</v>
      </c>
      <c r="AF1096" s="93">
        <v>0</v>
      </c>
      <c r="AG1096" s="105"/>
      <c r="AH1096" s="108"/>
      <c r="AI1096" s="102" t="s">
        <v>4346</v>
      </c>
      <c r="AJ1096" s="96" t="s">
        <v>4347</v>
      </c>
      <c r="AK1096" s="97"/>
      <c r="AL1096" s="89" t="s">
        <v>1049</v>
      </c>
      <c r="AM1096" s="128" t="s">
        <v>910</v>
      </c>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c r="BJ1096" s="107"/>
      <c r="BK1096" s="107"/>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c r="CK1096" s="107"/>
      <c r="CL1096" s="107"/>
      <c r="CM1096" s="107"/>
      <c r="CN1096" s="118"/>
      <c r="CO1096" s="119"/>
      <c r="CP1096" s="118"/>
      <c r="CQ1096" s="119"/>
      <c r="CR1096" s="118"/>
      <c r="CS1096" s="119"/>
      <c r="CT1096" s="113"/>
      <c r="CU1096" s="118"/>
      <c r="CV1096" s="99">
        <f t="shared" si="107"/>
        <v>0</v>
      </c>
      <c r="CW1096" s="118"/>
      <c r="CX1096" s="119"/>
      <c r="CY1096" s="119"/>
      <c r="CZ1096" s="119"/>
      <c r="DA1096" s="118"/>
      <c r="DB1096" s="119"/>
      <c r="DC1096" s="111"/>
      <c r="DD1096" s="119"/>
      <c r="DE1096" s="111"/>
      <c r="DF1096" s="46"/>
    </row>
    <row r="1097" spans="1:110" s="42" customFormat="1" ht="56.25" x14ac:dyDescent="0.2">
      <c r="A1097" s="89">
        <v>40677</v>
      </c>
      <c r="B1097" s="90" t="s">
        <v>2225</v>
      </c>
      <c r="C1097" s="90" t="s">
        <v>4520</v>
      </c>
      <c r="D1097" s="90" t="s">
        <v>4264</v>
      </c>
      <c r="E1097" s="90" t="str">
        <f>VLOOKUP(B1097&amp;C1097,Divipola!$C$2:$F$1138,4,FALSE)</f>
        <v>27361</v>
      </c>
      <c r="F1097" s="90"/>
      <c r="G1097" s="308"/>
      <c r="H1097" s="308"/>
      <c r="I1097" s="308"/>
      <c r="J1097" s="124">
        <f>168*5</f>
        <v>840</v>
      </c>
      <c r="K1097" s="124">
        <f>9+159</f>
        <v>168</v>
      </c>
      <c r="L1097" s="124">
        <v>8</v>
      </c>
      <c r="M1097" s="124">
        <v>1</v>
      </c>
      <c r="N1097" s="129"/>
      <c r="O1097" s="129"/>
      <c r="P1097" s="129"/>
      <c r="Q1097" s="129"/>
      <c r="R1097" s="129"/>
      <c r="S1097" s="129"/>
      <c r="T1097" s="129"/>
      <c r="U1097" s="129"/>
      <c r="V1097" s="129"/>
      <c r="W1097" s="107"/>
      <c r="X1097" s="105"/>
      <c r="Y1097" s="92">
        <f t="shared" si="102"/>
        <v>0</v>
      </c>
      <c r="Z1097" s="92">
        <f t="shared" si="103"/>
        <v>0</v>
      </c>
      <c r="AA1097" s="92">
        <f t="shared" si="104"/>
        <v>0</v>
      </c>
      <c r="AB1097" s="92">
        <f t="shared" si="105"/>
        <v>0</v>
      </c>
      <c r="AC1097" s="92"/>
      <c r="AD1097" s="92">
        <v>30000000</v>
      </c>
      <c r="AE1097" s="92">
        <f t="shared" si="106"/>
        <v>30000000</v>
      </c>
      <c r="AF1097" s="93">
        <v>0</v>
      </c>
      <c r="AG1097" s="105"/>
      <c r="AH1097" s="108"/>
      <c r="AI1097" s="95" t="s">
        <v>4346</v>
      </c>
      <c r="AJ1097" s="96" t="s">
        <v>4347</v>
      </c>
      <c r="AK1097" s="309"/>
      <c r="AL1097" s="89"/>
      <c r="AM1097" s="90" t="s">
        <v>894</v>
      </c>
      <c r="AN1097" s="90"/>
      <c r="AO1097" s="90"/>
      <c r="AP1097" s="101"/>
      <c r="AQ1097" s="101"/>
      <c r="AR1097" s="101"/>
      <c r="AS1097" s="101"/>
      <c r="AT1097" s="101"/>
      <c r="AU1097" s="101"/>
      <c r="AV1097" s="101"/>
      <c r="AW1097" s="101"/>
      <c r="AX1097" s="101"/>
      <c r="AY1097" s="101"/>
      <c r="AZ1097" s="101"/>
      <c r="BA1097" s="101"/>
      <c r="BB1097" s="101"/>
      <c r="BC1097" s="101"/>
      <c r="BD1097" s="101"/>
      <c r="BE1097" s="101"/>
      <c r="BF1097" s="91"/>
      <c r="BG1097" s="89"/>
      <c r="BH1097" s="92"/>
      <c r="BI1097" s="92"/>
      <c r="BJ1097" s="92"/>
      <c r="BK1097" s="92"/>
      <c r="BL1097" s="92"/>
      <c r="BM1097" s="92"/>
      <c r="BN1097" s="92"/>
      <c r="BO1097" s="93"/>
      <c r="BP1097" s="89"/>
      <c r="BQ1097" s="94"/>
      <c r="BR1097" s="89"/>
      <c r="BS1097" s="96"/>
      <c r="BT1097" s="97"/>
      <c r="BU1097" s="89"/>
      <c r="BV1097" s="100"/>
      <c r="BW1097" s="107"/>
      <c r="BX1097" s="107"/>
      <c r="BY1097" s="107"/>
      <c r="BZ1097" s="107"/>
      <c r="CA1097" s="107"/>
      <c r="CB1097" s="107"/>
      <c r="CC1097" s="107"/>
      <c r="CD1097" s="107"/>
      <c r="CE1097" s="107"/>
      <c r="CF1097" s="107"/>
      <c r="CG1097" s="107"/>
      <c r="CH1097" s="107"/>
      <c r="CI1097" s="107"/>
      <c r="CJ1097" s="107"/>
      <c r="CK1097" s="107"/>
      <c r="CL1097" s="107"/>
      <c r="CM1097" s="107"/>
      <c r="CN1097" s="118"/>
      <c r="CO1097" s="119"/>
      <c r="CP1097" s="118"/>
      <c r="CQ1097" s="119"/>
      <c r="CR1097" s="118"/>
      <c r="CS1097" s="119"/>
      <c r="CT1097" s="113"/>
      <c r="CU1097" s="118"/>
      <c r="CV1097" s="99">
        <f t="shared" si="107"/>
        <v>0</v>
      </c>
      <c r="CW1097" s="118"/>
      <c r="CX1097" s="119"/>
      <c r="CY1097" s="119"/>
      <c r="CZ1097" s="119"/>
      <c r="DA1097" s="118"/>
      <c r="DB1097" s="119"/>
      <c r="DC1097" s="111"/>
      <c r="DD1097" s="119"/>
      <c r="DE1097" s="111"/>
      <c r="DF1097" s="46"/>
    </row>
    <row r="1098" spans="1:110" s="42" customFormat="1" ht="56.25" x14ac:dyDescent="0.2">
      <c r="A1098" s="89">
        <v>40677</v>
      </c>
      <c r="B1098" s="90" t="s">
        <v>4344</v>
      </c>
      <c r="C1098" s="90" t="s">
        <v>3450</v>
      </c>
      <c r="D1098" s="90" t="s">
        <v>4264</v>
      </c>
      <c r="E1098" s="90" t="str">
        <f>VLOOKUP(B1098&amp;C1098,Divipola!$C$2:$F$1138,4,FALSE)</f>
        <v>25175</v>
      </c>
      <c r="F1098" s="90"/>
      <c r="G1098" s="124"/>
      <c r="H1098" s="124"/>
      <c r="I1098" s="308"/>
      <c r="J1098" s="124"/>
      <c r="K1098" s="124"/>
      <c r="L1098" s="124"/>
      <c r="M1098" s="124"/>
      <c r="N1098" s="129"/>
      <c r="O1098" s="129"/>
      <c r="P1098" s="129"/>
      <c r="Q1098" s="129"/>
      <c r="R1098" s="129"/>
      <c r="S1098" s="129"/>
      <c r="T1098" s="129"/>
      <c r="U1098" s="129"/>
      <c r="V1098" s="129"/>
      <c r="W1098" s="107"/>
      <c r="X1098" s="105"/>
      <c r="Y1098" s="92">
        <f t="shared" si="102"/>
        <v>0</v>
      </c>
      <c r="Z1098" s="92">
        <f t="shared" si="103"/>
        <v>0</v>
      </c>
      <c r="AA1098" s="92">
        <f t="shared" si="104"/>
        <v>0</v>
      </c>
      <c r="AB1098" s="92">
        <f t="shared" si="105"/>
        <v>0</v>
      </c>
      <c r="AC1098" s="92"/>
      <c r="AD1098" s="92">
        <v>0</v>
      </c>
      <c r="AE1098" s="92">
        <f t="shared" si="106"/>
        <v>0</v>
      </c>
      <c r="AF1098" s="93">
        <v>0</v>
      </c>
      <c r="AG1098" s="105"/>
      <c r="AH1098" s="108"/>
      <c r="AI1098" s="102" t="s">
        <v>4336</v>
      </c>
      <c r="AJ1098" s="96" t="s">
        <v>4337</v>
      </c>
      <c r="AK1098" s="309"/>
      <c r="AL1098" s="310"/>
      <c r="AM1098" s="128" t="s">
        <v>4424</v>
      </c>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c r="BJ1098" s="107"/>
      <c r="BK1098" s="107"/>
      <c r="BL1098" s="107"/>
      <c r="BM1098" s="107"/>
      <c r="BN1098" s="107"/>
      <c r="BO1098" s="107"/>
      <c r="BP1098" s="107"/>
      <c r="BQ1098" s="107"/>
      <c r="BR1098" s="107"/>
      <c r="BS1098" s="107"/>
      <c r="BT1098" s="107"/>
      <c r="BU1098" s="107"/>
      <c r="BV1098" s="107"/>
      <c r="BW1098" s="107"/>
      <c r="BX1098" s="107"/>
      <c r="BY1098" s="107"/>
      <c r="BZ1098" s="107"/>
      <c r="CA1098" s="107"/>
      <c r="CB1098" s="107"/>
      <c r="CC1098" s="107"/>
      <c r="CD1098" s="107"/>
      <c r="CE1098" s="107"/>
      <c r="CF1098" s="107"/>
      <c r="CG1098" s="107"/>
      <c r="CH1098" s="107"/>
      <c r="CI1098" s="107"/>
      <c r="CJ1098" s="107"/>
      <c r="CK1098" s="107"/>
      <c r="CL1098" s="107"/>
      <c r="CM1098" s="107"/>
      <c r="CN1098" s="118"/>
      <c r="CO1098" s="119"/>
      <c r="CP1098" s="118"/>
      <c r="CQ1098" s="119"/>
      <c r="CR1098" s="118"/>
      <c r="CS1098" s="119"/>
      <c r="CT1098" s="113"/>
      <c r="CU1098" s="118"/>
      <c r="CV1098" s="99">
        <f t="shared" si="107"/>
        <v>0</v>
      </c>
      <c r="CW1098" s="118"/>
      <c r="CX1098" s="119"/>
      <c r="CY1098" s="119"/>
      <c r="CZ1098" s="119"/>
      <c r="DA1098" s="118"/>
      <c r="DB1098" s="119"/>
      <c r="DC1098" s="111"/>
      <c r="DD1098" s="119"/>
      <c r="DE1098" s="111"/>
      <c r="DF1098" s="46"/>
    </row>
    <row r="1099" spans="1:110" s="42" customFormat="1" ht="33.75" x14ac:dyDescent="0.2">
      <c r="A1099" s="89">
        <v>40677</v>
      </c>
      <c r="B1099" s="90" t="s">
        <v>4344</v>
      </c>
      <c r="C1099" s="90" t="s">
        <v>4511</v>
      </c>
      <c r="D1099" s="90" t="s">
        <v>4264</v>
      </c>
      <c r="E1099" s="90" t="str">
        <f>VLOOKUP(B1099&amp;C1099,Divipola!$C$2:$F$1138,4,FALSE)</f>
        <v>25183</v>
      </c>
      <c r="F1099" s="90"/>
      <c r="G1099" s="308"/>
      <c r="H1099" s="308"/>
      <c r="I1099" s="308"/>
      <c r="J1099" s="124">
        <v>65</v>
      </c>
      <c r="K1099" s="124">
        <v>18</v>
      </c>
      <c r="L1099" s="124"/>
      <c r="M1099" s="124">
        <v>18</v>
      </c>
      <c r="N1099" s="129"/>
      <c r="O1099" s="129"/>
      <c r="P1099" s="129"/>
      <c r="Q1099" s="129"/>
      <c r="R1099" s="129"/>
      <c r="S1099" s="129"/>
      <c r="T1099" s="129"/>
      <c r="U1099" s="129"/>
      <c r="V1099" s="129"/>
      <c r="W1099" s="107"/>
      <c r="X1099" s="105"/>
      <c r="Y1099" s="92">
        <f t="shared" si="102"/>
        <v>0</v>
      </c>
      <c r="Z1099" s="92">
        <f t="shared" si="103"/>
        <v>0</v>
      </c>
      <c r="AA1099" s="92">
        <f t="shared" si="104"/>
        <v>0</v>
      </c>
      <c r="AB1099" s="92">
        <f t="shared" si="105"/>
        <v>0</v>
      </c>
      <c r="AC1099" s="92"/>
      <c r="AD1099" s="92">
        <v>0</v>
      </c>
      <c r="AE1099" s="92">
        <f t="shared" si="106"/>
        <v>0</v>
      </c>
      <c r="AF1099" s="93">
        <v>0</v>
      </c>
      <c r="AG1099" s="105"/>
      <c r="AH1099" s="108"/>
      <c r="AI1099" s="109" t="s">
        <v>4346</v>
      </c>
      <c r="AJ1099" s="110" t="s">
        <v>4347</v>
      </c>
      <c r="AK1099" s="309"/>
      <c r="AL1099" s="310"/>
      <c r="AM1099" s="128" t="s">
        <v>2838</v>
      </c>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18"/>
      <c r="CO1099" s="119"/>
      <c r="CP1099" s="118"/>
      <c r="CQ1099" s="119"/>
      <c r="CR1099" s="118"/>
      <c r="CS1099" s="119"/>
      <c r="CT1099" s="113"/>
      <c r="CU1099" s="118"/>
      <c r="CV1099" s="99">
        <f t="shared" si="107"/>
        <v>0</v>
      </c>
      <c r="CW1099" s="118"/>
      <c r="CX1099" s="119"/>
      <c r="CY1099" s="119"/>
      <c r="CZ1099" s="119"/>
      <c r="DA1099" s="118"/>
      <c r="DB1099" s="119"/>
      <c r="DC1099" s="111"/>
      <c r="DD1099" s="119"/>
      <c r="DE1099" s="111"/>
      <c r="DF1099" s="46"/>
    </row>
    <row r="1100" spans="1:110" s="42" customFormat="1" ht="67.5" x14ac:dyDescent="0.2">
      <c r="A1100" s="89">
        <v>40677</v>
      </c>
      <c r="B1100" s="90" t="s">
        <v>4344</v>
      </c>
      <c r="C1100" s="90" t="s">
        <v>2215</v>
      </c>
      <c r="D1100" s="90" t="s">
        <v>4264</v>
      </c>
      <c r="E1100" s="90" t="str">
        <f>VLOOKUP(B1100&amp;C1100,Divipola!$C$2:$F$1138,4,FALSE)</f>
        <v>25407</v>
      </c>
      <c r="F1100" s="90"/>
      <c r="G1100" s="124"/>
      <c r="H1100" s="124"/>
      <c r="I1100" s="308"/>
      <c r="J1100" s="124">
        <v>80</v>
      </c>
      <c r="K1100" s="124">
        <v>20</v>
      </c>
      <c r="L1100" s="124"/>
      <c r="M1100" s="124">
        <v>20</v>
      </c>
      <c r="N1100" s="129"/>
      <c r="O1100" s="129"/>
      <c r="P1100" s="129"/>
      <c r="Q1100" s="129"/>
      <c r="R1100" s="129"/>
      <c r="S1100" s="129"/>
      <c r="T1100" s="129"/>
      <c r="U1100" s="129"/>
      <c r="V1100" s="129"/>
      <c r="W1100" s="107"/>
      <c r="X1100" s="105"/>
      <c r="Y1100" s="92">
        <f t="shared" si="102"/>
        <v>0</v>
      </c>
      <c r="Z1100" s="92">
        <f t="shared" si="103"/>
        <v>0</v>
      </c>
      <c r="AA1100" s="92">
        <f t="shared" si="104"/>
        <v>0</v>
      </c>
      <c r="AB1100" s="92">
        <f t="shared" si="105"/>
        <v>0</v>
      </c>
      <c r="AC1100" s="92"/>
      <c r="AD1100" s="92">
        <v>0</v>
      </c>
      <c r="AE1100" s="92">
        <f t="shared" si="106"/>
        <v>0</v>
      </c>
      <c r="AF1100" s="93">
        <v>0</v>
      </c>
      <c r="AG1100" s="105"/>
      <c r="AH1100" s="108"/>
      <c r="AI1100" s="109" t="s">
        <v>4346</v>
      </c>
      <c r="AJ1100" s="110" t="s">
        <v>4347</v>
      </c>
      <c r="AK1100" s="111"/>
      <c r="AL1100" s="105" t="s">
        <v>928</v>
      </c>
      <c r="AM1100" s="128" t="s">
        <v>4184</v>
      </c>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18"/>
      <c r="CO1100" s="119"/>
      <c r="CP1100" s="118"/>
      <c r="CQ1100" s="119"/>
      <c r="CR1100" s="118"/>
      <c r="CS1100" s="119"/>
      <c r="CT1100" s="113"/>
      <c r="CU1100" s="118"/>
      <c r="CV1100" s="99">
        <f t="shared" si="107"/>
        <v>0</v>
      </c>
      <c r="CW1100" s="118"/>
      <c r="CX1100" s="119"/>
      <c r="CY1100" s="119"/>
      <c r="CZ1100" s="119"/>
      <c r="DA1100" s="118"/>
      <c r="DB1100" s="119"/>
      <c r="DC1100" s="111"/>
      <c r="DD1100" s="119"/>
      <c r="DE1100" s="111"/>
      <c r="DF1100" s="46"/>
    </row>
    <row r="1101" spans="1:110" s="42" customFormat="1" x14ac:dyDescent="0.2">
      <c r="A1101" s="89">
        <v>40677</v>
      </c>
      <c r="B1101" s="106" t="s">
        <v>2857</v>
      </c>
      <c r="C1101" s="106" t="s">
        <v>3693</v>
      </c>
      <c r="D1101" s="90" t="s">
        <v>4264</v>
      </c>
      <c r="E1101" s="90" t="str">
        <f>VLOOKUP(B1101&amp;C1101,Divipola!$C$2:$F$1138,4,FALSE)</f>
        <v>95025</v>
      </c>
      <c r="F1101" s="90"/>
      <c r="G1101" s="129"/>
      <c r="H1101" s="129"/>
      <c r="I1101" s="129"/>
      <c r="J1101" s="129">
        <f>57*5</f>
        <v>285</v>
      </c>
      <c r="K1101" s="129">
        <v>57</v>
      </c>
      <c r="L1101" s="129"/>
      <c r="M1101" s="129">
        <v>57</v>
      </c>
      <c r="N1101" s="129"/>
      <c r="O1101" s="129"/>
      <c r="P1101" s="129"/>
      <c r="Q1101" s="129"/>
      <c r="R1101" s="129"/>
      <c r="S1101" s="129"/>
      <c r="T1101" s="129"/>
      <c r="U1101" s="129"/>
      <c r="V1101" s="129"/>
      <c r="W1101" s="107"/>
      <c r="X1101" s="105"/>
      <c r="Y1101" s="92">
        <f t="shared" si="102"/>
        <v>19538900</v>
      </c>
      <c r="Z1101" s="92">
        <f t="shared" si="103"/>
        <v>9690000</v>
      </c>
      <c r="AA1101" s="92">
        <f t="shared" si="104"/>
        <v>0</v>
      </c>
      <c r="AB1101" s="92">
        <f t="shared" si="105"/>
        <v>0</v>
      </c>
      <c r="AC1101" s="92"/>
      <c r="AD1101" s="92">
        <v>0</v>
      </c>
      <c r="AE1101" s="92">
        <f t="shared" si="106"/>
        <v>29228900</v>
      </c>
      <c r="AF1101" s="93">
        <v>0</v>
      </c>
      <c r="AG1101" s="105"/>
      <c r="AH1101" s="108"/>
      <c r="AI1101" s="109" t="s">
        <v>4346</v>
      </c>
      <c r="AJ1101" s="110" t="s">
        <v>4347</v>
      </c>
      <c r="AK1101" s="111"/>
      <c r="AL1101" s="105"/>
      <c r="AM1101" s="112" t="s">
        <v>3530</v>
      </c>
      <c r="AN1101" s="107"/>
      <c r="AO1101" s="107"/>
      <c r="AP1101" s="107"/>
      <c r="AQ1101" s="107"/>
      <c r="AR1101" s="107"/>
      <c r="AS1101" s="107"/>
      <c r="AT1101" s="107"/>
      <c r="AU1101" s="107"/>
      <c r="AV1101" s="107"/>
      <c r="AW1101" s="107"/>
      <c r="AX1101" s="107"/>
      <c r="AY1101" s="107"/>
      <c r="AZ1101" s="107">
        <v>171</v>
      </c>
      <c r="BA1101" s="107">
        <f>171*56000</f>
        <v>9576000</v>
      </c>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v>4</v>
      </c>
      <c r="CA1101" s="107">
        <f>4*500000</f>
        <v>2000000</v>
      </c>
      <c r="CB1101" s="107"/>
      <c r="CC1101" s="107"/>
      <c r="CD1101" s="107"/>
      <c r="CE1101" s="107"/>
      <c r="CF1101" s="107"/>
      <c r="CG1101" s="107"/>
      <c r="CH1101" s="107"/>
      <c r="CI1101" s="107"/>
      <c r="CJ1101" s="107">
        <v>171</v>
      </c>
      <c r="CK1101" s="107">
        <f>171*21000</f>
        <v>3591000</v>
      </c>
      <c r="CL1101" s="107"/>
      <c r="CM1101" s="107"/>
      <c r="CN1101" s="118"/>
      <c r="CO1101" s="119"/>
      <c r="CP1101" s="118">
        <v>57</v>
      </c>
      <c r="CQ1101" s="119">
        <f>57*37000</f>
        <v>2109000</v>
      </c>
      <c r="CR1101" s="118">
        <v>57</v>
      </c>
      <c r="CS1101" s="119">
        <f>57*39700</f>
        <v>2262900</v>
      </c>
      <c r="CT1101" s="113"/>
      <c r="CU1101" s="118"/>
      <c r="CV1101" s="99">
        <f t="shared" si="107"/>
        <v>19538900</v>
      </c>
      <c r="CW1101" s="118"/>
      <c r="CX1101" s="119"/>
      <c r="CY1101" s="119">
        <v>114</v>
      </c>
      <c r="CZ1101" s="119">
        <f>114*85000</f>
        <v>9690000</v>
      </c>
      <c r="DA1101" s="118"/>
      <c r="DB1101" s="119"/>
      <c r="DC1101" s="111"/>
      <c r="DD1101" s="119"/>
      <c r="DE1101" s="111"/>
      <c r="DF1101" s="46"/>
    </row>
    <row r="1102" spans="1:110" s="42" customFormat="1" ht="22.5" x14ac:dyDescent="0.2">
      <c r="A1102" s="89">
        <v>40677</v>
      </c>
      <c r="B1102" s="90" t="s">
        <v>4219</v>
      </c>
      <c r="C1102" s="90" t="s">
        <v>3467</v>
      </c>
      <c r="D1102" s="90" t="s">
        <v>4264</v>
      </c>
      <c r="E1102" s="90" t="str">
        <f>VLOOKUP(B1102&amp;C1102,Divipola!$C$2:$F$1138,4,FALSE)</f>
        <v>41016</v>
      </c>
      <c r="F1102" s="90"/>
      <c r="G1102" s="308"/>
      <c r="H1102" s="308"/>
      <c r="I1102" s="308"/>
      <c r="J1102" s="124">
        <v>95</v>
      </c>
      <c r="K1102" s="124">
        <v>19</v>
      </c>
      <c r="L1102" s="124"/>
      <c r="M1102" s="124">
        <v>19</v>
      </c>
      <c r="N1102" s="129"/>
      <c r="O1102" s="129"/>
      <c r="P1102" s="129"/>
      <c r="Q1102" s="129"/>
      <c r="R1102" s="129"/>
      <c r="S1102" s="129"/>
      <c r="T1102" s="129"/>
      <c r="U1102" s="129"/>
      <c r="V1102" s="129"/>
      <c r="W1102" s="107"/>
      <c r="X1102" s="105"/>
      <c r="Y1102" s="92">
        <f t="shared" si="102"/>
        <v>0</v>
      </c>
      <c r="Z1102" s="92">
        <f t="shared" si="103"/>
        <v>0</v>
      </c>
      <c r="AA1102" s="92">
        <f t="shared" si="104"/>
        <v>0</v>
      </c>
      <c r="AB1102" s="92">
        <f t="shared" si="105"/>
        <v>0</v>
      </c>
      <c r="AC1102" s="92"/>
      <c r="AD1102" s="92">
        <v>0</v>
      </c>
      <c r="AE1102" s="92">
        <f t="shared" si="106"/>
        <v>0</v>
      </c>
      <c r="AF1102" s="93">
        <v>0</v>
      </c>
      <c r="AG1102" s="105"/>
      <c r="AH1102" s="108"/>
      <c r="AI1102" s="109" t="s">
        <v>4336</v>
      </c>
      <c r="AJ1102" s="110" t="s">
        <v>4337</v>
      </c>
      <c r="AK1102" s="309"/>
      <c r="AL1102" s="310"/>
      <c r="AM1102" s="128" t="s">
        <v>2837</v>
      </c>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c r="CA1102" s="107"/>
      <c r="CB1102" s="107"/>
      <c r="CC1102" s="107"/>
      <c r="CD1102" s="107"/>
      <c r="CE1102" s="107"/>
      <c r="CF1102" s="107"/>
      <c r="CG1102" s="107"/>
      <c r="CH1102" s="107"/>
      <c r="CI1102" s="107"/>
      <c r="CJ1102" s="107"/>
      <c r="CK1102" s="107"/>
      <c r="CL1102" s="107"/>
      <c r="CM1102" s="107"/>
      <c r="CN1102" s="118"/>
      <c r="CO1102" s="119"/>
      <c r="CP1102" s="118"/>
      <c r="CQ1102" s="119"/>
      <c r="CR1102" s="118"/>
      <c r="CS1102" s="119"/>
      <c r="CT1102" s="113"/>
      <c r="CU1102" s="118"/>
      <c r="CV1102" s="99">
        <f t="shared" si="107"/>
        <v>0</v>
      </c>
      <c r="CW1102" s="118"/>
      <c r="CX1102" s="119"/>
      <c r="CY1102" s="119"/>
      <c r="CZ1102" s="119"/>
      <c r="DA1102" s="118"/>
      <c r="DB1102" s="119"/>
      <c r="DC1102" s="111"/>
      <c r="DD1102" s="119"/>
      <c r="DE1102" s="111"/>
      <c r="DF1102" s="46"/>
    </row>
    <row r="1103" spans="1:110" s="42" customFormat="1" ht="33.75" x14ac:dyDescent="0.2">
      <c r="A1103" s="89">
        <v>40677</v>
      </c>
      <c r="B1103" s="90" t="s">
        <v>4219</v>
      </c>
      <c r="C1103" s="90" t="s">
        <v>4521</v>
      </c>
      <c r="D1103" s="90" t="s">
        <v>4264</v>
      </c>
      <c r="E1103" s="90" t="str">
        <f>VLOOKUP(B1103&amp;C1103,Divipola!$C$2:$F$1138,4,FALSE)</f>
        <v>41132</v>
      </c>
      <c r="F1103" s="90"/>
      <c r="G1103" s="308"/>
      <c r="H1103" s="308"/>
      <c r="I1103" s="308"/>
      <c r="J1103" s="124">
        <v>18</v>
      </c>
      <c r="K1103" s="124">
        <v>3</v>
      </c>
      <c r="L1103" s="124">
        <v>2</v>
      </c>
      <c r="M1103" s="124">
        <v>1</v>
      </c>
      <c r="N1103" s="129"/>
      <c r="O1103" s="129"/>
      <c r="P1103" s="129"/>
      <c r="Q1103" s="129"/>
      <c r="R1103" s="129"/>
      <c r="S1103" s="129"/>
      <c r="T1103" s="129"/>
      <c r="U1103" s="129"/>
      <c r="V1103" s="129"/>
      <c r="W1103" s="107"/>
      <c r="X1103" s="105"/>
      <c r="Y1103" s="92">
        <f t="shared" si="102"/>
        <v>0</v>
      </c>
      <c r="Z1103" s="92">
        <f t="shared" si="103"/>
        <v>0</v>
      </c>
      <c r="AA1103" s="92">
        <f t="shared" si="104"/>
        <v>0</v>
      </c>
      <c r="AB1103" s="92">
        <f t="shared" si="105"/>
        <v>0</v>
      </c>
      <c r="AC1103" s="92"/>
      <c r="AD1103" s="92">
        <v>0</v>
      </c>
      <c r="AE1103" s="92">
        <f t="shared" si="106"/>
        <v>0</v>
      </c>
      <c r="AF1103" s="93">
        <v>0</v>
      </c>
      <c r="AG1103" s="105"/>
      <c r="AH1103" s="108"/>
      <c r="AI1103" s="109" t="s">
        <v>4336</v>
      </c>
      <c r="AJ1103" s="110" t="s">
        <v>4337</v>
      </c>
      <c r="AK1103" s="309"/>
      <c r="AL1103" s="310"/>
      <c r="AM1103" s="128" t="s">
        <v>2835</v>
      </c>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18"/>
      <c r="CO1103" s="119"/>
      <c r="CP1103" s="118"/>
      <c r="CQ1103" s="119"/>
      <c r="CR1103" s="118"/>
      <c r="CS1103" s="119"/>
      <c r="CT1103" s="113"/>
      <c r="CU1103" s="118"/>
      <c r="CV1103" s="99">
        <f t="shared" si="107"/>
        <v>0</v>
      </c>
      <c r="CW1103" s="118"/>
      <c r="CX1103" s="119"/>
      <c r="CY1103" s="119"/>
      <c r="CZ1103" s="119"/>
      <c r="DA1103" s="118"/>
      <c r="DB1103" s="119"/>
      <c r="DC1103" s="111"/>
      <c r="DD1103" s="119"/>
      <c r="DE1103" s="111"/>
      <c r="DF1103" s="46"/>
    </row>
    <row r="1104" spans="1:110" s="42" customFormat="1" ht="22.5" x14ac:dyDescent="0.2">
      <c r="A1104" s="89">
        <v>40677</v>
      </c>
      <c r="B1104" s="90" t="s">
        <v>4219</v>
      </c>
      <c r="C1104" s="90" t="s">
        <v>63</v>
      </c>
      <c r="D1104" s="90" t="s">
        <v>4264</v>
      </c>
      <c r="E1104" s="90" t="str">
        <f>VLOOKUP(B1104&amp;C1104,Divipola!$C$2:$F$1138,4,FALSE)</f>
        <v>41524</v>
      </c>
      <c r="F1104" s="90"/>
      <c r="G1104" s="308"/>
      <c r="H1104" s="308"/>
      <c r="I1104" s="308"/>
      <c r="J1104" s="124">
        <v>105</v>
      </c>
      <c r="K1104" s="124">
        <v>21</v>
      </c>
      <c r="L1104" s="124"/>
      <c r="M1104" s="124">
        <v>21</v>
      </c>
      <c r="N1104" s="129"/>
      <c r="O1104" s="129"/>
      <c r="P1104" s="129"/>
      <c r="Q1104" s="129"/>
      <c r="R1104" s="129"/>
      <c r="S1104" s="129"/>
      <c r="T1104" s="129"/>
      <c r="U1104" s="129"/>
      <c r="V1104" s="129"/>
      <c r="W1104" s="107"/>
      <c r="X1104" s="105"/>
      <c r="Y1104" s="92">
        <f t="shared" si="102"/>
        <v>0</v>
      </c>
      <c r="Z1104" s="92">
        <f t="shared" si="103"/>
        <v>0</v>
      </c>
      <c r="AA1104" s="92">
        <f t="shared" si="104"/>
        <v>0</v>
      </c>
      <c r="AB1104" s="92">
        <f t="shared" si="105"/>
        <v>0</v>
      </c>
      <c r="AC1104" s="92"/>
      <c r="AD1104" s="92">
        <v>0</v>
      </c>
      <c r="AE1104" s="92">
        <f t="shared" si="106"/>
        <v>0</v>
      </c>
      <c r="AF1104" s="93">
        <v>0</v>
      </c>
      <c r="AG1104" s="105"/>
      <c r="AH1104" s="108"/>
      <c r="AI1104" s="109" t="s">
        <v>4336</v>
      </c>
      <c r="AJ1104" s="110" t="s">
        <v>4337</v>
      </c>
      <c r="AK1104" s="309"/>
      <c r="AL1104" s="310"/>
      <c r="AM1104" s="128" t="s">
        <v>2836</v>
      </c>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18"/>
      <c r="CO1104" s="119"/>
      <c r="CP1104" s="118"/>
      <c r="CQ1104" s="119"/>
      <c r="CR1104" s="118"/>
      <c r="CS1104" s="119"/>
      <c r="CT1104" s="113"/>
      <c r="CU1104" s="118"/>
      <c r="CV1104" s="99">
        <f t="shared" si="107"/>
        <v>0</v>
      </c>
      <c r="CW1104" s="118"/>
      <c r="CX1104" s="119"/>
      <c r="CY1104" s="119"/>
      <c r="CZ1104" s="119"/>
      <c r="DA1104" s="118"/>
      <c r="DB1104" s="119"/>
      <c r="DC1104" s="111"/>
      <c r="DD1104" s="119"/>
      <c r="DE1104" s="111"/>
      <c r="DF1104" s="46"/>
    </row>
    <row r="1105" spans="1:110" s="42" customFormat="1" ht="33.75" x14ac:dyDescent="0.2">
      <c r="A1105" s="89">
        <v>40677</v>
      </c>
      <c r="B1105" s="90" t="s">
        <v>860</v>
      </c>
      <c r="C1105" s="90" t="s">
        <v>4302</v>
      </c>
      <c r="D1105" s="90" t="s">
        <v>4264</v>
      </c>
      <c r="E1105" s="90" t="str">
        <f>VLOOKUP(B1105&amp;C1105,Divipola!$C$2:$F$1138,4,FALSE)</f>
        <v>50400</v>
      </c>
      <c r="F1105" s="90"/>
      <c r="G1105" s="124"/>
      <c r="H1105" s="124"/>
      <c r="I1105" s="308"/>
      <c r="J1105" s="124">
        <v>52</v>
      </c>
      <c r="K1105" s="124">
        <v>13</v>
      </c>
      <c r="L1105" s="124"/>
      <c r="M1105" s="124">
        <v>13</v>
      </c>
      <c r="N1105" s="129"/>
      <c r="O1105" s="129"/>
      <c r="P1105" s="129"/>
      <c r="Q1105" s="129"/>
      <c r="R1105" s="129"/>
      <c r="S1105" s="129"/>
      <c r="T1105" s="129"/>
      <c r="U1105" s="129"/>
      <c r="V1105" s="129"/>
      <c r="W1105" s="107"/>
      <c r="X1105" s="105"/>
      <c r="Y1105" s="92">
        <f t="shared" si="102"/>
        <v>0</v>
      </c>
      <c r="Z1105" s="92">
        <f t="shared" si="103"/>
        <v>0</v>
      </c>
      <c r="AA1105" s="92">
        <f t="shared" si="104"/>
        <v>0</v>
      </c>
      <c r="AB1105" s="92">
        <f t="shared" si="105"/>
        <v>0</v>
      </c>
      <c r="AC1105" s="92"/>
      <c r="AD1105" s="92">
        <v>0</v>
      </c>
      <c r="AE1105" s="92">
        <f t="shared" si="106"/>
        <v>0</v>
      </c>
      <c r="AF1105" s="93">
        <v>0</v>
      </c>
      <c r="AG1105" s="105"/>
      <c r="AH1105" s="108"/>
      <c r="AI1105" s="102" t="s">
        <v>4346</v>
      </c>
      <c r="AJ1105" s="96" t="s">
        <v>4347</v>
      </c>
      <c r="AK1105" s="309"/>
      <c r="AL1105" s="105" t="s">
        <v>2823</v>
      </c>
      <c r="AM1105" s="128" t="s">
        <v>4426</v>
      </c>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18"/>
      <c r="CO1105" s="119"/>
      <c r="CP1105" s="118"/>
      <c r="CQ1105" s="119"/>
      <c r="CR1105" s="118"/>
      <c r="CS1105" s="119"/>
      <c r="CT1105" s="113"/>
      <c r="CU1105" s="118"/>
      <c r="CV1105" s="99">
        <f t="shared" si="107"/>
        <v>0</v>
      </c>
      <c r="CW1105" s="118"/>
      <c r="CX1105" s="119"/>
      <c r="CY1105" s="119"/>
      <c r="CZ1105" s="119"/>
      <c r="DA1105" s="118"/>
      <c r="DB1105" s="119"/>
      <c r="DC1105" s="111"/>
      <c r="DD1105" s="119"/>
      <c r="DE1105" s="111"/>
      <c r="DF1105" s="46"/>
    </row>
    <row r="1106" spans="1:110" s="42" customFormat="1" ht="22.5" x14ac:dyDescent="0.2">
      <c r="A1106" s="89">
        <v>40677</v>
      </c>
      <c r="B1106" s="90" t="s">
        <v>4350</v>
      </c>
      <c r="C1106" s="90" t="s">
        <v>2203</v>
      </c>
      <c r="D1106" s="90" t="s">
        <v>2362</v>
      </c>
      <c r="E1106" s="90" t="str">
        <f>VLOOKUP(B1106&amp;C1106,Divipola!$C$2:$F$1138,4,FALSE)</f>
        <v>63111</v>
      </c>
      <c r="F1106" s="90"/>
      <c r="G1106" s="124"/>
      <c r="H1106" s="124"/>
      <c r="I1106" s="308"/>
      <c r="J1106" s="124">
        <v>10</v>
      </c>
      <c r="K1106" s="124">
        <v>2</v>
      </c>
      <c r="L1106" s="124"/>
      <c r="M1106" s="124">
        <v>2</v>
      </c>
      <c r="N1106" s="129"/>
      <c r="O1106" s="129"/>
      <c r="P1106" s="129"/>
      <c r="Q1106" s="129"/>
      <c r="R1106" s="129"/>
      <c r="S1106" s="129"/>
      <c r="T1106" s="129"/>
      <c r="U1106" s="129"/>
      <c r="V1106" s="129"/>
      <c r="W1106" s="107"/>
      <c r="X1106" s="105"/>
      <c r="Y1106" s="92">
        <f t="shared" si="102"/>
        <v>0</v>
      </c>
      <c r="Z1106" s="92">
        <f t="shared" si="103"/>
        <v>0</v>
      </c>
      <c r="AA1106" s="92">
        <f t="shared" si="104"/>
        <v>0</v>
      </c>
      <c r="AB1106" s="92">
        <f t="shared" si="105"/>
        <v>0</v>
      </c>
      <c r="AC1106" s="92"/>
      <c r="AD1106" s="92">
        <v>0</v>
      </c>
      <c r="AE1106" s="92">
        <f t="shared" si="106"/>
        <v>0</v>
      </c>
      <c r="AF1106" s="93">
        <v>0</v>
      </c>
      <c r="AG1106" s="105"/>
      <c r="AH1106" s="108"/>
      <c r="AI1106" s="109" t="s">
        <v>4336</v>
      </c>
      <c r="AJ1106" s="110" t="s">
        <v>4337</v>
      </c>
      <c r="AK1106" s="309"/>
      <c r="AL1106" s="310"/>
      <c r="AM1106" s="128" t="s">
        <v>4427</v>
      </c>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18"/>
      <c r="CO1106" s="119"/>
      <c r="CP1106" s="118"/>
      <c r="CQ1106" s="119"/>
      <c r="CR1106" s="118"/>
      <c r="CS1106" s="119"/>
      <c r="CT1106" s="113"/>
      <c r="CU1106" s="118"/>
      <c r="CV1106" s="99">
        <f t="shared" si="107"/>
        <v>0</v>
      </c>
      <c r="CW1106" s="118"/>
      <c r="CX1106" s="119"/>
      <c r="CY1106" s="119"/>
      <c r="CZ1106" s="119"/>
      <c r="DA1106" s="118"/>
      <c r="DB1106" s="119"/>
      <c r="DC1106" s="111"/>
      <c r="DD1106" s="119"/>
      <c r="DE1106" s="111"/>
      <c r="DF1106" s="46"/>
    </row>
    <row r="1107" spans="1:110" s="42" customFormat="1" ht="45" x14ac:dyDescent="0.2">
      <c r="A1107" s="89">
        <v>40677</v>
      </c>
      <c r="B1107" s="90" t="s">
        <v>4350</v>
      </c>
      <c r="C1107" s="90" t="s">
        <v>3535</v>
      </c>
      <c r="D1107" s="90" t="s">
        <v>2362</v>
      </c>
      <c r="E1107" s="90" t="str">
        <f>VLOOKUP(B1107&amp;C1107,Divipola!$C$2:$F$1138,4,FALSE)</f>
        <v>63130</v>
      </c>
      <c r="F1107" s="101"/>
      <c r="G1107" s="101"/>
      <c r="H1107" s="101"/>
      <c r="I1107" s="101"/>
      <c r="J1107" s="101"/>
      <c r="K1107" s="101"/>
      <c r="L1107" s="101"/>
      <c r="M1107" s="101"/>
      <c r="N1107" s="101"/>
      <c r="O1107" s="101"/>
      <c r="P1107" s="101"/>
      <c r="Q1107" s="101"/>
      <c r="R1107" s="101"/>
      <c r="S1107" s="101"/>
      <c r="T1107" s="101"/>
      <c r="U1107" s="91"/>
      <c r="V1107" s="89"/>
      <c r="W1107" s="92"/>
      <c r="X1107" s="92"/>
      <c r="Y1107" s="92">
        <f t="shared" si="102"/>
        <v>0</v>
      </c>
      <c r="Z1107" s="92">
        <f t="shared" si="103"/>
        <v>0</v>
      </c>
      <c r="AA1107" s="92">
        <f t="shared" si="104"/>
        <v>0</v>
      </c>
      <c r="AB1107" s="92">
        <f t="shared" si="105"/>
        <v>0</v>
      </c>
      <c r="AC1107" s="92"/>
      <c r="AD1107" s="92">
        <v>0</v>
      </c>
      <c r="AE1107" s="92">
        <f t="shared" si="106"/>
        <v>0</v>
      </c>
      <c r="AF1107" s="93">
        <v>0</v>
      </c>
      <c r="AG1107" s="89"/>
      <c r="AH1107" s="96"/>
      <c r="AI1107" s="109" t="s">
        <v>4336</v>
      </c>
      <c r="AJ1107" s="110" t="s">
        <v>4337</v>
      </c>
      <c r="AK1107" s="100"/>
      <c r="AL1107" s="89"/>
      <c r="AM1107" s="90" t="s">
        <v>2829</v>
      </c>
      <c r="AN1107" s="90"/>
      <c r="AO1107" s="90"/>
      <c r="AP1107" s="101"/>
      <c r="AQ1107" s="101"/>
      <c r="AR1107" s="101"/>
      <c r="AS1107" s="101"/>
      <c r="AT1107" s="101"/>
      <c r="AU1107" s="101"/>
      <c r="AV1107" s="101"/>
      <c r="AW1107" s="101"/>
      <c r="AX1107" s="101"/>
      <c r="AY1107" s="101"/>
      <c r="AZ1107" s="101"/>
      <c r="BA1107" s="101"/>
      <c r="BB1107" s="101"/>
      <c r="BC1107" s="101"/>
      <c r="BD1107" s="101"/>
      <c r="BE1107" s="101"/>
      <c r="BF1107" s="91"/>
      <c r="BG1107" s="89"/>
      <c r="BH1107" s="92"/>
      <c r="BI1107" s="92"/>
      <c r="BJ1107" s="92"/>
      <c r="BK1107" s="92"/>
      <c r="BL1107" s="92"/>
      <c r="BM1107" s="92"/>
      <c r="BN1107" s="92"/>
      <c r="BO1107" s="93"/>
      <c r="BP1107" s="89"/>
      <c r="BQ1107" s="94"/>
      <c r="BR1107" s="97"/>
      <c r="BS1107" s="89"/>
      <c r="BT1107" s="97"/>
      <c r="BU1107" s="89"/>
      <c r="BV1107" s="100"/>
      <c r="BW1107" s="107"/>
      <c r="BX1107" s="107"/>
      <c r="BY1107" s="107"/>
      <c r="BZ1107" s="107"/>
      <c r="CA1107" s="107"/>
      <c r="CB1107" s="107"/>
      <c r="CC1107" s="107"/>
      <c r="CD1107" s="107"/>
      <c r="CE1107" s="107"/>
      <c r="CF1107" s="107"/>
      <c r="CG1107" s="107"/>
      <c r="CH1107" s="107"/>
      <c r="CI1107" s="107"/>
      <c r="CJ1107" s="107"/>
      <c r="CK1107" s="107"/>
      <c r="CL1107" s="107"/>
      <c r="CM1107" s="107"/>
      <c r="CN1107" s="118"/>
      <c r="CO1107" s="119"/>
      <c r="CP1107" s="118"/>
      <c r="CQ1107" s="119"/>
      <c r="CR1107" s="118"/>
      <c r="CS1107" s="119"/>
      <c r="CT1107" s="113"/>
      <c r="CU1107" s="118"/>
      <c r="CV1107" s="99">
        <f t="shared" si="107"/>
        <v>0</v>
      </c>
      <c r="CW1107" s="118"/>
      <c r="CX1107" s="119"/>
      <c r="CY1107" s="119"/>
      <c r="CZ1107" s="119"/>
      <c r="DA1107" s="118"/>
      <c r="DB1107" s="119"/>
      <c r="DC1107" s="111"/>
      <c r="DD1107" s="119"/>
      <c r="DE1107" s="111"/>
      <c r="DF1107" s="46"/>
    </row>
    <row r="1108" spans="1:110" s="42" customFormat="1" x14ac:dyDescent="0.2">
      <c r="A1108" s="89">
        <v>40677</v>
      </c>
      <c r="B1108" s="90" t="s">
        <v>4350</v>
      </c>
      <c r="C1108" s="90" t="s">
        <v>3349</v>
      </c>
      <c r="D1108" s="90" t="s">
        <v>4264</v>
      </c>
      <c r="E1108" s="90" t="str">
        <f>VLOOKUP(B1108&amp;C1108,Divipola!$C$2:$F$1138,4,FALSE)</f>
        <v>63190</v>
      </c>
      <c r="F1108" s="101"/>
      <c r="G1108" s="101"/>
      <c r="H1108" s="101"/>
      <c r="I1108" s="101"/>
      <c r="J1108" s="101">
        <v>20</v>
      </c>
      <c r="K1108" s="101">
        <v>4</v>
      </c>
      <c r="L1108" s="101"/>
      <c r="M1108" s="101">
        <v>4</v>
      </c>
      <c r="N1108" s="101"/>
      <c r="O1108" s="101"/>
      <c r="P1108" s="101"/>
      <c r="Q1108" s="101"/>
      <c r="R1108" s="101"/>
      <c r="S1108" s="101"/>
      <c r="T1108" s="101"/>
      <c r="U1108" s="91"/>
      <c r="V1108" s="89"/>
      <c r="W1108" s="92"/>
      <c r="X1108" s="92"/>
      <c r="Y1108" s="92">
        <f t="shared" si="102"/>
        <v>0</v>
      </c>
      <c r="Z1108" s="92">
        <f t="shared" si="103"/>
        <v>0</v>
      </c>
      <c r="AA1108" s="92">
        <f t="shared" si="104"/>
        <v>0</v>
      </c>
      <c r="AB1108" s="92">
        <f t="shared" si="105"/>
        <v>0</v>
      </c>
      <c r="AC1108" s="92"/>
      <c r="AD1108" s="92">
        <v>0</v>
      </c>
      <c r="AE1108" s="92">
        <f t="shared" si="106"/>
        <v>0</v>
      </c>
      <c r="AF1108" s="93">
        <v>0</v>
      </c>
      <c r="AG1108" s="97"/>
      <c r="AH1108" s="89"/>
      <c r="AI1108" s="109" t="s">
        <v>4336</v>
      </c>
      <c r="AJ1108" s="110" t="s">
        <v>4337</v>
      </c>
      <c r="AK1108" s="100"/>
      <c r="AL1108" s="89"/>
      <c r="AM1108" s="90" t="s">
        <v>2828</v>
      </c>
      <c r="AN1108" s="90"/>
      <c r="AO1108" s="90"/>
      <c r="AP1108" s="101"/>
      <c r="AQ1108" s="101"/>
      <c r="AR1108" s="101"/>
      <c r="AS1108" s="101"/>
      <c r="AT1108" s="101"/>
      <c r="AU1108" s="101"/>
      <c r="AV1108" s="101"/>
      <c r="AW1108" s="101"/>
      <c r="AX1108" s="101"/>
      <c r="AY1108" s="101"/>
      <c r="AZ1108" s="101"/>
      <c r="BA1108" s="101"/>
      <c r="BB1108" s="101"/>
      <c r="BC1108" s="101"/>
      <c r="BD1108" s="101"/>
      <c r="BE1108" s="101"/>
      <c r="BF1108" s="91"/>
      <c r="BG1108" s="89"/>
      <c r="BH1108" s="92"/>
      <c r="BI1108" s="92"/>
      <c r="BJ1108" s="92"/>
      <c r="BK1108" s="92"/>
      <c r="BL1108" s="92"/>
      <c r="BM1108" s="92"/>
      <c r="BN1108" s="92"/>
      <c r="BO1108" s="93"/>
      <c r="BP1108" s="89"/>
      <c r="BQ1108" s="94"/>
      <c r="BR1108" s="89"/>
      <c r="BS1108" s="96"/>
      <c r="BT1108" s="97"/>
      <c r="BU1108" s="89"/>
      <c r="BV1108" s="100"/>
      <c r="BW1108" s="107"/>
      <c r="BX1108" s="107"/>
      <c r="BY1108" s="107"/>
      <c r="BZ1108" s="107"/>
      <c r="CA1108" s="107"/>
      <c r="CB1108" s="107"/>
      <c r="CC1108" s="107"/>
      <c r="CD1108" s="107"/>
      <c r="CE1108" s="107"/>
      <c r="CF1108" s="107"/>
      <c r="CG1108" s="107"/>
      <c r="CH1108" s="107"/>
      <c r="CI1108" s="107"/>
      <c r="CJ1108" s="107"/>
      <c r="CK1108" s="107"/>
      <c r="CL1108" s="107"/>
      <c r="CM1108" s="107"/>
      <c r="CN1108" s="118"/>
      <c r="CO1108" s="119"/>
      <c r="CP1108" s="118"/>
      <c r="CQ1108" s="119"/>
      <c r="CR1108" s="118"/>
      <c r="CS1108" s="119"/>
      <c r="CT1108" s="113"/>
      <c r="CU1108" s="118"/>
      <c r="CV1108" s="99">
        <f t="shared" si="107"/>
        <v>0</v>
      </c>
      <c r="CW1108" s="118"/>
      <c r="CX1108" s="119"/>
      <c r="CY1108" s="119"/>
      <c r="CZ1108" s="119"/>
      <c r="DA1108" s="118"/>
      <c r="DB1108" s="119"/>
      <c r="DC1108" s="111"/>
      <c r="DD1108" s="119"/>
      <c r="DE1108" s="111"/>
      <c r="DF1108" s="46"/>
    </row>
    <row r="1109" spans="1:110" s="42" customFormat="1" ht="67.5" x14ac:dyDescent="0.2">
      <c r="A1109" s="89">
        <v>40677</v>
      </c>
      <c r="B1109" s="90" t="s">
        <v>4350</v>
      </c>
      <c r="C1109" s="90" t="s">
        <v>4282</v>
      </c>
      <c r="D1109" s="90" t="s">
        <v>4264</v>
      </c>
      <c r="E1109" s="90" t="str">
        <f>VLOOKUP(B1109&amp;C1109,Divipola!$C$2:$F$1138,4,FALSE)</f>
        <v>63212</v>
      </c>
      <c r="F1109" s="101"/>
      <c r="G1109" s="101"/>
      <c r="H1109" s="101"/>
      <c r="I1109" s="101"/>
      <c r="J1109" s="101">
        <f>17*5</f>
        <v>85</v>
      </c>
      <c r="K1109" s="101">
        <v>17</v>
      </c>
      <c r="L1109" s="101"/>
      <c r="M1109" s="101">
        <v>17</v>
      </c>
      <c r="N1109" s="101"/>
      <c r="O1109" s="101"/>
      <c r="P1109" s="101">
        <v>1</v>
      </c>
      <c r="Q1109" s="101"/>
      <c r="R1109" s="101"/>
      <c r="S1109" s="101"/>
      <c r="T1109" s="101"/>
      <c r="U1109" s="91">
        <v>1</v>
      </c>
      <c r="V1109" s="89"/>
      <c r="W1109" s="92"/>
      <c r="X1109" s="92"/>
      <c r="Y1109" s="92">
        <f t="shared" si="102"/>
        <v>6290000</v>
      </c>
      <c r="Z1109" s="92">
        <f t="shared" si="103"/>
        <v>0</v>
      </c>
      <c r="AA1109" s="92">
        <f t="shared" si="104"/>
        <v>0</v>
      </c>
      <c r="AB1109" s="92">
        <f t="shared" si="105"/>
        <v>0</v>
      </c>
      <c r="AC1109" s="92"/>
      <c r="AD1109" s="92">
        <v>0</v>
      </c>
      <c r="AE1109" s="92">
        <f t="shared" si="106"/>
        <v>6290000</v>
      </c>
      <c r="AF1109" s="93">
        <v>0</v>
      </c>
      <c r="AG1109" s="89"/>
      <c r="AH1109" s="96"/>
      <c r="AI1109" s="95" t="s">
        <v>4346</v>
      </c>
      <c r="AJ1109" s="96" t="s">
        <v>4347</v>
      </c>
      <c r="AK1109" s="100"/>
      <c r="AL1109" s="89"/>
      <c r="AM1109" s="90" t="s">
        <v>4143</v>
      </c>
      <c r="AN1109" s="90"/>
      <c r="AO1109" s="90"/>
      <c r="AP1109" s="101"/>
      <c r="AQ1109" s="101"/>
      <c r="AR1109" s="101"/>
      <c r="AS1109" s="101"/>
      <c r="AT1109" s="101"/>
      <c r="AU1109" s="101"/>
      <c r="AV1109" s="101"/>
      <c r="AW1109" s="101"/>
      <c r="AX1109" s="101">
        <v>14</v>
      </c>
      <c r="AY1109" s="101">
        <f>10*389000+4*600000</f>
        <v>6290000</v>
      </c>
      <c r="AZ1109" s="101"/>
      <c r="BA1109" s="101"/>
      <c r="BB1109" s="101"/>
      <c r="BC1109" s="101"/>
      <c r="BD1109" s="101"/>
      <c r="BE1109" s="101"/>
      <c r="BF1109" s="91"/>
      <c r="BG1109" s="89"/>
      <c r="BH1109" s="92"/>
      <c r="BI1109" s="92"/>
      <c r="BJ1109" s="92"/>
      <c r="BK1109" s="92"/>
      <c r="BL1109" s="92"/>
      <c r="BM1109" s="92"/>
      <c r="BN1109" s="92"/>
      <c r="BO1109" s="93"/>
      <c r="BP1109" s="89"/>
      <c r="BQ1109" s="94"/>
      <c r="BR1109" s="89"/>
      <c r="BS1109" s="96"/>
      <c r="BT1109" s="97"/>
      <c r="BU1109" s="89"/>
      <c r="BV1109" s="100"/>
      <c r="BW1109" s="107"/>
      <c r="BX1109" s="107"/>
      <c r="BY1109" s="107"/>
      <c r="BZ1109" s="107"/>
      <c r="CA1109" s="107"/>
      <c r="CB1109" s="107"/>
      <c r="CC1109" s="107"/>
      <c r="CD1109" s="107"/>
      <c r="CE1109" s="107"/>
      <c r="CF1109" s="107"/>
      <c r="CG1109" s="107"/>
      <c r="CH1109" s="107"/>
      <c r="CI1109" s="107"/>
      <c r="CJ1109" s="107"/>
      <c r="CK1109" s="107"/>
      <c r="CL1109" s="107"/>
      <c r="CM1109" s="107"/>
      <c r="CN1109" s="118"/>
      <c r="CO1109" s="119"/>
      <c r="CP1109" s="118"/>
      <c r="CQ1109" s="119"/>
      <c r="CR1109" s="118"/>
      <c r="CS1109" s="119"/>
      <c r="CT1109" s="113"/>
      <c r="CU1109" s="118"/>
      <c r="CV1109" s="99">
        <f t="shared" si="107"/>
        <v>6290000</v>
      </c>
      <c r="CW1109" s="118"/>
      <c r="CX1109" s="119"/>
      <c r="CY1109" s="119"/>
      <c r="CZ1109" s="119"/>
      <c r="DA1109" s="118"/>
      <c r="DB1109" s="119"/>
      <c r="DC1109" s="111"/>
      <c r="DD1109" s="119"/>
      <c r="DE1109" s="111"/>
      <c r="DF1109" s="46"/>
    </row>
    <row r="1110" spans="1:110" s="42" customFormat="1" ht="22.5" x14ac:dyDescent="0.2">
      <c r="A1110" s="89">
        <v>40677</v>
      </c>
      <c r="B1110" s="90" t="s">
        <v>4350</v>
      </c>
      <c r="C1110" s="90" t="s">
        <v>3361</v>
      </c>
      <c r="D1110" s="90" t="s">
        <v>4264</v>
      </c>
      <c r="E1110" s="90" t="str">
        <f>VLOOKUP(B1110&amp;C1110,Divipola!$C$2:$F$1138,4,FALSE)</f>
        <v>63548</v>
      </c>
      <c r="F1110" s="101"/>
      <c r="G1110" s="101"/>
      <c r="H1110" s="101"/>
      <c r="I1110" s="101"/>
      <c r="J1110" s="101">
        <v>55</v>
      </c>
      <c r="K1110" s="101">
        <v>11</v>
      </c>
      <c r="L1110" s="101"/>
      <c r="M1110" s="101">
        <v>11</v>
      </c>
      <c r="N1110" s="101"/>
      <c r="O1110" s="101"/>
      <c r="P1110" s="101"/>
      <c r="Q1110" s="101"/>
      <c r="R1110" s="101"/>
      <c r="S1110" s="101"/>
      <c r="T1110" s="101"/>
      <c r="U1110" s="91"/>
      <c r="V1110" s="89"/>
      <c r="W1110" s="92"/>
      <c r="X1110" s="92"/>
      <c r="Y1110" s="92">
        <f t="shared" si="102"/>
        <v>4701000</v>
      </c>
      <c r="Z1110" s="92">
        <f t="shared" si="103"/>
        <v>0</v>
      </c>
      <c r="AA1110" s="92">
        <f t="shared" si="104"/>
        <v>0</v>
      </c>
      <c r="AB1110" s="92">
        <f t="shared" si="105"/>
        <v>0</v>
      </c>
      <c r="AC1110" s="92"/>
      <c r="AD1110" s="92">
        <v>0</v>
      </c>
      <c r="AE1110" s="92">
        <f t="shared" si="106"/>
        <v>4701000</v>
      </c>
      <c r="AF1110" s="93">
        <v>0</v>
      </c>
      <c r="AG1110" s="89"/>
      <c r="AH1110" s="96"/>
      <c r="AI1110" s="95" t="s">
        <v>4346</v>
      </c>
      <c r="AJ1110" s="96" t="s">
        <v>4347</v>
      </c>
      <c r="AK1110" s="100"/>
      <c r="AL1110" s="89"/>
      <c r="AM1110" s="90" t="s">
        <v>2827</v>
      </c>
      <c r="AN1110" s="90"/>
      <c r="AO1110" s="90"/>
      <c r="AP1110" s="101"/>
      <c r="AQ1110" s="101"/>
      <c r="AR1110" s="101"/>
      <c r="AS1110" s="101"/>
      <c r="AT1110" s="101"/>
      <c r="AU1110" s="101"/>
      <c r="AV1110" s="101"/>
      <c r="AW1110" s="101"/>
      <c r="AX1110" s="101">
        <v>11</v>
      </c>
      <c r="AY1110" s="101">
        <f>9*389000+2*600000</f>
        <v>4701000</v>
      </c>
      <c r="AZ1110" s="101"/>
      <c r="BA1110" s="101"/>
      <c r="BB1110" s="101"/>
      <c r="BC1110" s="101"/>
      <c r="BD1110" s="101"/>
      <c r="BE1110" s="101"/>
      <c r="BF1110" s="91"/>
      <c r="BG1110" s="89"/>
      <c r="BH1110" s="92"/>
      <c r="BI1110" s="92"/>
      <c r="BJ1110" s="92"/>
      <c r="BK1110" s="92"/>
      <c r="BL1110" s="92"/>
      <c r="BM1110" s="92"/>
      <c r="BN1110" s="92"/>
      <c r="BO1110" s="93"/>
      <c r="BP1110" s="89"/>
      <c r="BQ1110" s="94"/>
      <c r="BR1110" s="89"/>
      <c r="BS1110" s="96"/>
      <c r="BT1110" s="97"/>
      <c r="BU1110" s="89"/>
      <c r="BV1110" s="100"/>
      <c r="BW1110" s="107"/>
      <c r="BX1110" s="107"/>
      <c r="BY1110" s="107"/>
      <c r="BZ1110" s="107"/>
      <c r="CA1110" s="107"/>
      <c r="CB1110" s="107"/>
      <c r="CC1110" s="107"/>
      <c r="CD1110" s="107"/>
      <c r="CE1110" s="107"/>
      <c r="CF1110" s="107"/>
      <c r="CG1110" s="107"/>
      <c r="CH1110" s="107"/>
      <c r="CI1110" s="107"/>
      <c r="CJ1110" s="107"/>
      <c r="CK1110" s="107"/>
      <c r="CL1110" s="107"/>
      <c r="CM1110" s="107"/>
      <c r="CN1110" s="118"/>
      <c r="CO1110" s="119"/>
      <c r="CP1110" s="118"/>
      <c r="CQ1110" s="119"/>
      <c r="CR1110" s="118"/>
      <c r="CS1110" s="119"/>
      <c r="CT1110" s="113"/>
      <c r="CU1110" s="118"/>
      <c r="CV1110" s="99">
        <f t="shared" si="107"/>
        <v>4701000</v>
      </c>
      <c r="CW1110" s="118"/>
      <c r="CX1110" s="119"/>
      <c r="CY1110" s="119"/>
      <c r="CZ1110" s="119"/>
      <c r="DA1110" s="118"/>
      <c r="DB1110" s="119"/>
      <c r="DC1110" s="111"/>
      <c r="DD1110" s="119"/>
      <c r="DE1110" s="111"/>
      <c r="DF1110" s="46"/>
    </row>
    <row r="1111" spans="1:110" s="42" customFormat="1" x14ac:dyDescent="0.2">
      <c r="A1111" s="89">
        <v>40677</v>
      </c>
      <c r="B1111" s="90" t="s">
        <v>4350</v>
      </c>
      <c r="C1111" s="90" t="s">
        <v>4333</v>
      </c>
      <c r="D1111" s="90" t="s">
        <v>4264</v>
      </c>
      <c r="E1111" s="90" t="str">
        <f>VLOOKUP(B1111&amp;C1111,Divipola!$C$2:$F$1138,4,FALSE)</f>
        <v>63594</v>
      </c>
      <c r="F1111" s="90"/>
      <c r="G1111" s="124"/>
      <c r="H1111" s="124"/>
      <c r="I1111" s="308"/>
      <c r="J1111" s="124">
        <v>20</v>
      </c>
      <c r="K1111" s="124">
        <v>4</v>
      </c>
      <c r="L1111" s="124"/>
      <c r="M1111" s="124">
        <v>4</v>
      </c>
      <c r="N1111" s="129"/>
      <c r="O1111" s="129"/>
      <c r="P1111" s="129"/>
      <c r="Q1111" s="129"/>
      <c r="R1111" s="129"/>
      <c r="S1111" s="129"/>
      <c r="T1111" s="129"/>
      <c r="U1111" s="129"/>
      <c r="V1111" s="129"/>
      <c r="W1111" s="107"/>
      <c r="X1111" s="105"/>
      <c r="Y1111" s="92">
        <f t="shared" si="102"/>
        <v>0</v>
      </c>
      <c r="Z1111" s="92">
        <f t="shared" si="103"/>
        <v>0</v>
      </c>
      <c r="AA1111" s="92">
        <f t="shared" si="104"/>
        <v>0</v>
      </c>
      <c r="AB1111" s="92">
        <f t="shared" si="105"/>
        <v>0</v>
      </c>
      <c r="AC1111" s="92"/>
      <c r="AD1111" s="92">
        <v>0</v>
      </c>
      <c r="AE1111" s="92">
        <f t="shared" si="106"/>
        <v>0</v>
      </c>
      <c r="AF1111" s="93">
        <v>0</v>
      </c>
      <c r="AG1111" s="105"/>
      <c r="AH1111" s="108"/>
      <c r="AI1111" s="109" t="s">
        <v>4336</v>
      </c>
      <c r="AJ1111" s="110" t="s">
        <v>4337</v>
      </c>
      <c r="AK1111" s="309"/>
      <c r="AL1111" s="310"/>
      <c r="AM1111" s="128" t="s">
        <v>4428</v>
      </c>
      <c r="AN1111" s="107"/>
      <c r="AO1111" s="107"/>
      <c r="AP1111" s="107"/>
      <c r="AQ1111" s="107"/>
      <c r="AR1111" s="107"/>
      <c r="AS1111" s="107"/>
      <c r="AT1111" s="107"/>
      <c r="AU1111" s="107"/>
      <c r="AV1111" s="107"/>
      <c r="AW1111" s="107"/>
      <c r="AX1111" s="107"/>
      <c r="AY1111" s="107"/>
      <c r="AZ1111" s="107"/>
      <c r="BA1111" s="107"/>
      <c r="BB1111" s="107"/>
      <c r="BC1111" s="107"/>
      <c r="BD1111" s="107"/>
      <c r="BE1111" s="107"/>
      <c r="BF1111" s="107"/>
      <c r="BG1111" s="107"/>
      <c r="BH1111" s="107"/>
      <c r="BI1111" s="107"/>
      <c r="BJ1111" s="107"/>
      <c r="BK1111" s="107"/>
      <c r="BL1111" s="107"/>
      <c r="BM1111" s="107"/>
      <c r="BN1111" s="107"/>
      <c r="BO1111" s="107"/>
      <c r="BP1111" s="107"/>
      <c r="BQ1111" s="107"/>
      <c r="BR1111" s="107"/>
      <c r="BS1111" s="107"/>
      <c r="BT1111" s="107"/>
      <c r="BU1111" s="107"/>
      <c r="BV1111" s="107"/>
      <c r="BW1111" s="107"/>
      <c r="BX1111" s="107"/>
      <c r="BY1111" s="107"/>
      <c r="BZ1111" s="107"/>
      <c r="CA1111" s="107"/>
      <c r="CB1111" s="107"/>
      <c r="CC1111" s="107"/>
      <c r="CD1111" s="107"/>
      <c r="CE1111" s="107"/>
      <c r="CF1111" s="107"/>
      <c r="CG1111" s="107"/>
      <c r="CH1111" s="107"/>
      <c r="CI1111" s="107"/>
      <c r="CJ1111" s="107"/>
      <c r="CK1111" s="107"/>
      <c r="CL1111" s="107"/>
      <c r="CM1111" s="107"/>
      <c r="CN1111" s="118"/>
      <c r="CO1111" s="119"/>
      <c r="CP1111" s="118"/>
      <c r="CQ1111" s="119"/>
      <c r="CR1111" s="118"/>
      <c r="CS1111" s="119"/>
      <c r="CT1111" s="113"/>
      <c r="CU1111" s="118"/>
      <c r="CV1111" s="99">
        <f t="shared" si="107"/>
        <v>0</v>
      </c>
      <c r="CW1111" s="118"/>
      <c r="CX1111" s="119"/>
      <c r="CY1111" s="119"/>
      <c r="CZ1111" s="119"/>
      <c r="DA1111" s="118"/>
      <c r="DB1111" s="119"/>
      <c r="DC1111" s="111"/>
      <c r="DD1111" s="119"/>
      <c r="DE1111" s="111"/>
      <c r="DF1111" s="46"/>
    </row>
    <row r="1112" spans="1:110" s="42" customFormat="1" ht="48" x14ac:dyDescent="0.2">
      <c r="A1112" s="89">
        <v>40677</v>
      </c>
      <c r="B1112" s="106" t="s">
        <v>4348</v>
      </c>
      <c r="C1112" s="106" t="s">
        <v>4365</v>
      </c>
      <c r="D1112" s="90" t="s">
        <v>2362</v>
      </c>
      <c r="E1112" s="90" t="str">
        <f>VLOOKUP(B1112&amp;C1112,Divipola!$C$2:$F$1138,4,FALSE)</f>
        <v>66682</v>
      </c>
      <c r="F1112" s="90"/>
      <c r="G1112" s="129"/>
      <c r="H1112" s="129"/>
      <c r="I1112" s="129"/>
      <c r="J1112" s="129">
        <v>200</v>
      </c>
      <c r="K1112" s="129">
        <v>40</v>
      </c>
      <c r="L1112" s="129"/>
      <c r="M1112" s="129">
        <v>40</v>
      </c>
      <c r="N1112" s="129"/>
      <c r="O1112" s="129"/>
      <c r="P1112" s="129"/>
      <c r="Q1112" s="129"/>
      <c r="R1112" s="129"/>
      <c r="S1112" s="129"/>
      <c r="T1112" s="129"/>
      <c r="U1112" s="129"/>
      <c r="V1112" s="129"/>
      <c r="W1112" s="107" t="s">
        <v>356</v>
      </c>
      <c r="X1112" s="105"/>
      <c r="Y1112" s="92">
        <f t="shared" si="102"/>
        <v>0</v>
      </c>
      <c r="Z1112" s="92">
        <f t="shared" si="103"/>
        <v>0</v>
      </c>
      <c r="AA1112" s="92">
        <f t="shared" si="104"/>
        <v>0</v>
      </c>
      <c r="AB1112" s="92">
        <f t="shared" si="105"/>
        <v>0</v>
      </c>
      <c r="AC1112" s="92"/>
      <c r="AD1112" s="92">
        <v>0</v>
      </c>
      <c r="AE1112" s="92">
        <f t="shared" si="106"/>
        <v>0</v>
      </c>
      <c r="AF1112" s="93">
        <v>0</v>
      </c>
      <c r="AG1112" s="105"/>
      <c r="AH1112" s="108"/>
      <c r="AI1112" s="109" t="s">
        <v>4336</v>
      </c>
      <c r="AJ1112" s="110" t="s">
        <v>4337</v>
      </c>
      <c r="AK1112" s="111"/>
      <c r="AL1112" s="105"/>
      <c r="AM1112" s="112" t="s">
        <v>369</v>
      </c>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c r="BJ1112" s="107"/>
      <c r="BK1112" s="107"/>
      <c r="BL1112" s="107"/>
      <c r="BM1112" s="107"/>
      <c r="BN1112" s="107"/>
      <c r="BO1112" s="107"/>
      <c r="BP1112" s="107"/>
      <c r="BQ1112" s="107"/>
      <c r="BR1112" s="107"/>
      <c r="BS1112" s="107"/>
      <c r="BT1112" s="107"/>
      <c r="BU1112" s="107"/>
      <c r="BV1112" s="107"/>
      <c r="BW1112" s="107"/>
      <c r="BX1112" s="107"/>
      <c r="BY1112" s="107"/>
      <c r="BZ1112" s="107"/>
      <c r="CA1112" s="107"/>
      <c r="CB1112" s="107"/>
      <c r="CC1112" s="107"/>
      <c r="CD1112" s="107"/>
      <c r="CE1112" s="107"/>
      <c r="CF1112" s="107"/>
      <c r="CG1112" s="107"/>
      <c r="CH1112" s="107"/>
      <c r="CI1112" s="107"/>
      <c r="CJ1112" s="107"/>
      <c r="CK1112" s="107"/>
      <c r="CL1112" s="107"/>
      <c r="CM1112" s="107"/>
      <c r="CN1112" s="118"/>
      <c r="CO1112" s="119"/>
      <c r="CP1112" s="118"/>
      <c r="CQ1112" s="119"/>
      <c r="CR1112" s="118"/>
      <c r="CS1112" s="119"/>
      <c r="CT1112" s="113"/>
      <c r="CU1112" s="118"/>
      <c r="CV1112" s="99">
        <f t="shared" si="107"/>
        <v>0</v>
      </c>
      <c r="CW1112" s="118"/>
      <c r="CX1112" s="119"/>
      <c r="CY1112" s="119"/>
      <c r="CZ1112" s="119"/>
      <c r="DA1112" s="118"/>
      <c r="DB1112" s="119"/>
      <c r="DC1112" s="111"/>
      <c r="DD1112" s="119"/>
      <c r="DE1112" s="111"/>
      <c r="DF1112" s="46"/>
    </row>
    <row r="1113" spans="1:110" s="42" customFormat="1" ht="45" x14ac:dyDescent="0.2">
      <c r="A1113" s="89">
        <v>40677</v>
      </c>
      <c r="B1113" s="90" t="s">
        <v>2226</v>
      </c>
      <c r="C1113" s="90" t="s">
        <v>970</v>
      </c>
      <c r="D1113" s="90" t="s">
        <v>4264</v>
      </c>
      <c r="E1113" s="90" t="str">
        <f>VLOOKUP(B1113&amp;C1113,Divipola!$C$2:$F$1138,4,FALSE)</f>
        <v>68686</v>
      </c>
      <c r="F1113" s="90"/>
      <c r="G1113" s="308"/>
      <c r="H1113" s="308"/>
      <c r="I1113" s="308"/>
      <c r="J1113" s="124">
        <v>1250</v>
      </c>
      <c r="K1113" s="124">
        <v>250</v>
      </c>
      <c r="L1113" s="124"/>
      <c r="M1113" s="124">
        <v>250</v>
      </c>
      <c r="N1113" s="129"/>
      <c r="O1113" s="129"/>
      <c r="P1113" s="129"/>
      <c r="Q1113" s="129"/>
      <c r="R1113" s="129"/>
      <c r="S1113" s="129"/>
      <c r="T1113" s="129"/>
      <c r="U1113" s="129"/>
      <c r="V1113" s="129"/>
      <c r="W1113" s="107"/>
      <c r="X1113" s="105"/>
      <c r="Y1113" s="92">
        <f t="shared" si="102"/>
        <v>0</v>
      </c>
      <c r="Z1113" s="92">
        <f t="shared" si="103"/>
        <v>0</v>
      </c>
      <c r="AA1113" s="92">
        <f t="shared" si="104"/>
        <v>0</v>
      </c>
      <c r="AB1113" s="92">
        <f t="shared" si="105"/>
        <v>0</v>
      </c>
      <c r="AC1113" s="92"/>
      <c r="AD1113" s="92">
        <v>0</v>
      </c>
      <c r="AE1113" s="92">
        <f t="shared" si="106"/>
        <v>0</v>
      </c>
      <c r="AF1113" s="93">
        <v>0</v>
      </c>
      <c r="AG1113" s="105"/>
      <c r="AH1113" s="108"/>
      <c r="AI1113" s="95" t="s">
        <v>4346</v>
      </c>
      <c r="AJ1113" s="96" t="s">
        <v>4347</v>
      </c>
      <c r="AK1113" s="97"/>
      <c r="AL1113" s="89" t="s">
        <v>1049</v>
      </c>
      <c r="AM1113" s="128" t="s">
        <v>2831</v>
      </c>
      <c r="AN1113" s="90"/>
      <c r="AO1113" s="90"/>
      <c r="AP1113" s="101"/>
      <c r="AQ1113" s="101"/>
      <c r="AR1113" s="101"/>
      <c r="AS1113" s="101"/>
      <c r="AT1113" s="101"/>
      <c r="AU1113" s="101"/>
      <c r="AV1113" s="101"/>
      <c r="AW1113" s="101"/>
      <c r="AX1113" s="101"/>
      <c r="AY1113" s="101"/>
      <c r="AZ1113" s="101"/>
      <c r="BA1113" s="101"/>
      <c r="BB1113" s="101"/>
      <c r="BC1113" s="101"/>
      <c r="BD1113" s="101"/>
      <c r="BE1113" s="101"/>
      <c r="BF1113" s="91"/>
      <c r="BG1113" s="89"/>
      <c r="BH1113" s="92"/>
      <c r="BI1113" s="92"/>
      <c r="BJ1113" s="92"/>
      <c r="BK1113" s="92"/>
      <c r="BL1113" s="92"/>
      <c r="BM1113" s="92"/>
      <c r="BN1113" s="92"/>
      <c r="BO1113" s="93"/>
      <c r="BP1113" s="89"/>
      <c r="BQ1113" s="94"/>
      <c r="BR1113" s="89"/>
      <c r="BS1113" s="96"/>
      <c r="BT1113" s="97"/>
      <c r="BU1113" s="89"/>
      <c r="BV1113" s="100"/>
      <c r="BW1113" s="107"/>
      <c r="BX1113" s="107"/>
      <c r="BY1113" s="107"/>
      <c r="BZ1113" s="107"/>
      <c r="CA1113" s="107"/>
      <c r="CB1113" s="107"/>
      <c r="CC1113" s="107"/>
      <c r="CD1113" s="107"/>
      <c r="CE1113" s="107"/>
      <c r="CF1113" s="107"/>
      <c r="CG1113" s="107"/>
      <c r="CH1113" s="107"/>
      <c r="CI1113" s="107"/>
      <c r="CJ1113" s="107"/>
      <c r="CK1113" s="107"/>
      <c r="CL1113" s="107"/>
      <c r="CM1113" s="107"/>
      <c r="CN1113" s="118"/>
      <c r="CO1113" s="119"/>
      <c r="CP1113" s="118"/>
      <c r="CQ1113" s="119"/>
      <c r="CR1113" s="118"/>
      <c r="CS1113" s="119"/>
      <c r="CT1113" s="113"/>
      <c r="CU1113" s="118"/>
      <c r="CV1113" s="99">
        <f t="shared" si="107"/>
        <v>0</v>
      </c>
      <c r="CW1113" s="118"/>
      <c r="CX1113" s="119"/>
      <c r="CY1113" s="119"/>
      <c r="CZ1113" s="119"/>
      <c r="DA1113" s="118"/>
      <c r="DB1113" s="119"/>
      <c r="DC1113" s="111"/>
      <c r="DD1113" s="119"/>
      <c r="DE1113" s="111"/>
      <c r="DF1113" s="46"/>
    </row>
    <row r="1114" spans="1:110" s="42" customFormat="1" ht="36" x14ac:dyDescent="0.2">
      <c r="A1114" s="89">
        <v>40677</v>
      </c>
      <c r="B1114" s="90" t="s">
        <v>3316</v>
      </c>
      <c r="C1114" s="90" t="s">
        <v>3443</v>
      </c>
      <c r="D1114" s="90" t="s">
        <v>4264</v>
      </c>
      <c r="E1114" s="90" t="str">
        <f>VLOOKUP(B1114&amp;C1114,Divipola!$C$2:$F$1138,4,FALSE)</f>
        <v>73124</v>
      </c>
      <c r="F1114" s="101"/>
      <c r="G1114" s="101"/>
      <c r="H1114" s="101"/>
      <c r="I1114" s="101"/>
      <c r="J1114" s="101">
        <f>80*5</f>
        <v>400</v>
      </c>
      <c r="K1114" s="101">
        <v>80</v>
      </c>
      <c r="L1114" s="101">
        <v>16</v>
      </c>
      <c r="M1114" s="101">
        <f>80-16</f>
        <v>64</v>
      </c>
      <c r="N1114" s="101"/>
      <c r="O1114" s="101">
        <v>4</v>
      </c>
      <c r="P1114" s="101"/>
      <c r="Q1114" s="101"/>
      <c r="R1114" s="101"/>
      <c r="S1114" s="101"/>
      <c r="T1114" s="101"/>
      <c r="U1114" s="91"/>
      <c r="V1114" s="89"/>
      <c r="W1114" s="92"/>
      <c r="X1114" s="92"/>
      <c r="Y1114" s="92">
        <f t="shared" si="102"/>
        <v>0</v>
      </c>
      <c r="Z1114" s="92">
        <f t="shared" si="103"/>
        <v>0</v>
      </c>
      <c r="AA1114" s="92">
        <f t="shared" si="104"/>
        <v>0</v>
      </c>
      <c r="AB1114" s="92">
        <f t="shared" si="105"/>
        <v>0</v>
      </c>
      <c r="AC1114" s="92"/>
      <c r="AD1114" s="92">
        <v>0</v>
      </c>
      <c r="AE1114" s="92">
        <f t="shared" si="106"/>
        <v>0</v>
      </c>
      <c r="AF1114" s="93">
        <v>0</v>
      </c>
      <c r="AG1114" s="89"/>
      <c r="AH1114" s="96"/>
      <c r="AI1114" s="95" t="s">
        <v>4346</v>
      </c>
      <c r="AJ1114" s="96" t="s">
        <v>4347</v>
      </c>
      <c r="AK1114" s="97"/>
      <c r="AL1114" s="89" t="s">
        <v>2798</v>
      </c>
      <c r="AM1114" s="112" t="s">
        <v>2821</v>
      </c>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c r="BG1114" s="107"/>
      <c r="BH1114" s="107"/>
      <c r="BI1114" s="107"/>
      <c r="BJ1114" s="107"/>
      <c r="BK1114" s="107"/>
      <c r="BL1114" s="107"/>
      <c r="BM1114" s="107"/>
      <c r="BN1114" s="107"/>
      <c r="BO1114" s="107"/>
      <c r="BP1114" s="107"/>
      <c r="BQ1114" s="107"/>
      <c r="BR1114" s="107"/>
      <c r="BS1114" s="107"/>
      <c r="BT1114" s="107"/>
      <c r="BU1114" s="107"/>
      <c r="BV1114" s="107"/>
      <c r="BW1114" s="107"/>
      <c r="BX1114" s="107"/>
      <c r="BY1114" s="107"/>
      <c r="BZ1114" s="107"/>
      <c r="CA1114" s="107"/>
      <c r="CB1114" s="107"/>
      <c r="CC1114" s="107"/>
      <c r="CD1114" s="107"/>
      <c r="CE1114" s="107"/>
      <c r="CF1114" s="107"/>
      <c r="CG1114" s="107"/>
      <c r="CH1114" s="107"/>
      <c r="CI1114" s="107"/>
      <c r="CJ1114" s="107"/>
      <c r="CK1114" s="107"/>
      <c r="CL1114" s="107"/>
      <c r="CM1114" s="107"/>
      <c r="CN1114" s="118"/>
      <c r="CO1114" s="119"/>
      <c r="CP1114" s="118"/>
      <c r="CQ1114" s="119"/>
      <c r="CR1114" s="118"/>
      <c r="CS1114" s="119"/>
      <c r="CT1114" s="113"/>
      <c r="CU1114" s="118"/>
      <c r="CV1114" s="99">
        <f t="shared" si="107"/>
        <v>0</v>
      </c>
      <c r="CW1114" s="118"/>
      <c r="CX1114" s="119"/>
      <c r="CY1114" s="119"/>
      <c r="CZ1114" s="119"/>
      <c r="DA1114" s="118"/>
      <c r="DB1114" s="119"/>
      <c r="DC1114" s="111"/>
      <c r="DD1114" s="119"/>
      <c r="DE1114" s="111"/>
      <c r="DF1114" s="46"/>
    </row>
    <row r="1115" spans="1:110" s="42" customFormat="1" x14ac:dyDescent="0.2">
      <c r="A1115" s="89">
        <v>40677</v>
      </c>
      <c r="B1115" s="128" t="s">
        <v>3316</v>
      </c>
      <c r="C1115" s="128" t="s">
        <v>4345</v>
      </c>
      <c r="D1115" s="90" t="s">
        <v>4264</v>
      </c>
      <c r="E1115" s="90">
        <f>VLOOKUP(B1115&amp;C1115,Divipola!$C$2:$F$1138,4,FALSE)</f>
        <v>73</v>
      </c>
      <c r="F1115" s="90"/>
      <c r="G1115" s="129"/>
      <c r="H1115" s="129"/>
      <c r="I1115" s="129"/>
      <c r="J1115" s="129"/>
      <c r="K1115" s="129"/>
      <c r="L1115" s="129"/>
      <c r="M1115" s="129"/>
      <c r="N1115" s="129"/>
      <c r="O1115" s="129"/>
      <c r="P1115" s="129"/>
      <c r="Q1115" s="129"/>
      <c r="R1115" s="129"/>
      <c r="S1115" s="129"/>
      <c r="T1115" s="129"/>
      <c r="U1115" s="129"/>
      <c r="V1115" s="129"/>
      <c r="W1115" s="107"/>
      <c r="X1115" s="105"/>
      <c r="Y1115" s="92">
        <f t="shared" si="102"/>
        <v>328400000</v>
      </c>
      <c r="Z1115" s="92">
        <f t="shared" si="103"/>
        <v>340000000</v>
      </c>
      <c r="AA1115" s="92">
        <f t="shared" si="104"/>
        <v>0</v>
      </c>
      <c r="AB1115" s="92">
        <f t="shared" si="105"/>
        <v>0</v>
      </c>
      <c r="AC1115" s="92"/>
      <c r="AD1115" s="92">
        <v>0</v>
      </c>
      <c r="AE1115" s="92">
        <f t="shared" si="106"/>
        <v>668400000</v>
      </c>
      <c r="AF1115" s="93">
        <v>0</v>
      </c>
      <c r="AG1115" s="105"/>
      <c r="AH1115" s="108"/>
      <c r="AI1115" s="95" t="s">
        <v>4346</v>
      </c>
      <c r="AJ1115" s="96" t="s">
        <v>4347</v>
      </c>
      <c r="AK1115" s="111"/>
      <c r="AL1115" s="105"/>
      <c r="AM1115" s="112"/>
      <c r="AN1115" s="107"/>
      <c r="AO1115" s="107"/>
      <c r="AP1115" s="107"/>
      <c r="AQ1115" s="107"/>
      <c r="AR1115" s="107"/>
      <c r="AS1115" s="107"/>
      <c r="AT1115" s="107"/>
      <c r="AU1115" s="107"/>
      <c r="AV1115" s="107"/>
      <c r="AW1115" s="107"/>
      <c r="AX1115" s="107"/>
      <c r="AY1115" s="107"/>
      <c r="AZ1115" s="107">
        <v>2000</v>
      </c>
      <c r="BA1115" s="107">
        <f>2000*56000</f>
        <v>112000000</v>
      </c>
      <c r="BB1115" s="107"/>
      <c r="BC1115" s="107"/>
      <c r="BD1115" s="107"/>
      <c r="BE1115" s="107"/>
      <c r="BF1115" s="107"/>
      <c r="BG1115" s="107"/>
      <c r="BH1115" s="107"/>
      <c r="BI1115" s="107"/>
      <c r="BJ1115" s="107"/>
      <c r="BK1115" s="107"/>
      <c r="BL1115" s="107"/>
      <c r="BM1115" s="107"/>
      <c r="BN1115" s="107"/>
      <c r="BO1115" s="107"/>
      <c r="BP1115" s="107"/>
      <c r="BQ1115" s="107"/>
      <c r="BR1115" s="107"/>
      <c r="BS1115" s="107"/>
      <c r="BT1115" s="107"/>
      <c r="BU1115" s="107"/>
      <c r="BV1115" s="107"/>
      <c r="BW1115" s="107"/>
      <c r="BX1115" s="107"/>
      <c r="BY1115" s="107"/>
      <c r="BZ1115" s="107"/>
      <c r="CA1115" s="107"/>
      <c r="CB1115" s="107"/>
      <c r="CC1115" s="107"/>
      <c r="CD1115" s="107"/>
      <c r="CE1115" s="107"/>
      <c r="CF1115" s="107"/>
      <c r="CG1115" s="107"/>
      <c r="CH1115" s="107"/>
      <c r="CI1115" s="107"/>
      <c r="CJ1115" s="107">
        <v>3000</v>
      </c>
      <c r="CK1115" s="107">
        <f>3000*21000</f>
        <v>63000000</v>
      </c>
      <c r="CL1115" s="107"/>
      <c r="CM1115" s="107"/>
      <c r="CN1115" s="118"/>
      <c r="CO1115" s="119"/>
      <c r="CP1115" s="118">
        <v>2000</v>
      </c>
      <c r="CQ1115" s="119">
        <f>2000*37000</f>
        <v>74000000</v>
      </c>
      <c r="CR1115" s="118">
        <v>2000</v>
      </c>
      <c r="CS1115" s="119">
        <f>2000*39700</f>
        <v>79400000</v>
      </c>
      <c r="CT1115" s="113"/>
      <c r="CU1115" s="118"/>
      <c r="CV1115" s="99">
        <f t="shared" si="107"/>
        <v>328400000</v>
      </c>
      <c r="CW1115" s="118"/>
      <c r="CX1115" s="119"/>
      <c r="CY1115" s="119">
        <v>4000</v>
      </c>
      <c r="CZ1115" s="119">
        <f>2000*85000+2000*85000</f>
        <v>340000000</v>
      </c>
      <c r="DA1115" s="118"/>
      <c r="DB1115" s="119"/>
      <c r="DC1115" s="111"/>
      <c r="DD1115" s="119"/>
      <c r="DE1115" s="111"/>
      <c r="DF1115" s="46"/>
    </row>
    <row r="1116" spans="1:110" s="42" customFormat="1" ht="22.5" x14ac:dyDescent="0.2">
      <c r="A1116" s="89">
        <v>40677</v>
      </c>
      <c r="B1116" s="90" t="s">
        <v>4244</v>
      </c>
      <c r="C1116" s="90" t="s">
        <v>3393</v>
      </c>
      <c r="D1116" s="90" t="s">
        <v>4264</v>
      </c>
      <c r="E1116" s="90" t="str">
        <f>VLOOKUP(B1116&amp;C1116,Divipola!$C$2:$F$1138,4,FALSE)</f>
        <v>76147</v>
      </c>
      <c r="F1116" s="90"/>
      <c r="G1116" s="124"/>
      <c r="H1116" s="124"/>
      <c r="I1116" s="308"/>
      <c r="J1116" s="124">
        <v>900</v>
      </c>
      <c r="K1116" s="124">
        <v>180</v>
      </c>
      <c r="L1116" s="124"/>
      <c r="M1116" s="124">
        <v>120</v>
      </c>
      <c r="N1116" s="129"/>
      <c r="O1116" s="129"/>
      <c r="P1116" s="129"/>
      <c r="Q1116" s="129"/>
      <c r="R1116" s="129"/>
      <c r="S1116" s="129"/>
      <c r="T1116" s="129"/>
      <c r="U1116" s="129"/>
      <c r="V1116" s="129"/>
      <c r="W1116" s="107"/>
      <c r="X1116" s="105"/>
      <c r="Y1116" s="92">
        <f t="shared" si="102"/>
        <v>44399232</v>
      </c>
      <c r="Z1116" s="92">
        <f t="shared" si="103"/>
        <v>102000000</v>
      </c>
      <c r="AA1116" s="92">
        <f t="shared" si="104"/>
        <v>0</v>
      </c>
      <c r="AB1116" s="92">
        <f t="shared" si="105"/>
        <v>0</v>
      </c>
      <c r="AC1116" s="92"/>
      <c r="AD1116" s="92">
        <v>0</v>
      </c>
      <c r="AE1116" s="92">
        <f t="shared" si="106"/>
        <v>146399232</v>
      </c>
      <c r="AF1116" s="93">
        <v>0</v>
      </c>
      <c r="AG1116" s="105"/>
      <c r="AH1116" s="108"/>
      <c r="AI1116" s="95" t="s">
        <v>4346</v>
      </c>
      <c r="AJ1116" s="96" t="s">
        <v>4347</v>
      </c>
      <c r="AK1116" s="309"/>
      <c r="AL1116" s="310"/>
      <c r="AM1116" s="128" t="s">
        <v>4173</v>
      </c>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c r="BG1116" s="107"/>
      <c r="BH1116" s="107"/>
      <c r="BI1116" s="107"/>
      <c r="BJ1116" s="107"/>
      <c r="BK1116" s="107"/>
      <c r="BL1116" s="107"/>
      <c r="BM1116" s="107"/>
      <c r="BN1116" s="107"/>
      <c r="BO1116" s="107"/>
      <c r="BP1116" s="107"/>
      <c r="BQ1116" s="107"/>
      <c r="BR1116" s="107"/>
      <c r="BS1116" s="107"/>
      <c r="BT1116" s="107"/>
      <c r="BU1116" s="107"/>
      <c r="BV1116" s="107"/>
      <c r="BW1116" s="107"/>
      <c r="BX1116" s="107"/>
      <c r="BY1116" s="107"/>
      <c r="BZ1116" s="107"/>
      <c r="CA1116" s="107"/>
      <c r="CB1116" s="107"/>
      <c r="CC1116" s="107"/>
      <c r="CD1116" s="107"/>
      <c r="CE1116" s="107"/>
      <c r="CF1116" s="107"/>
      <c r="CG1116" s="107"/>
      <c r="CH1116" s="107"/>
      <c r="CI1116" s="107"/>
      <c r="CJ1116" s="107"/>
      <c r="CK1116" s="107"/>
      <c r="CL1116" s="107"/>
      <c r="CM1116" s="107"/>
      <c r="CN1116" s="118"/>
      <c r="CO1116" s="119"/>
      <c r="CP1116" s="118">
        <v>1200</v>
      </c>
      <c r="CQ1116" s="119">
        <f>1200*36999.36</f>
        <v>44399232</v>
      </c>
      <c r="CR1116" s="118"/>
      <c r="CS1116" s="119"/>
      <c r="CT1116" s="113"/>
      <c r="CU1116" s="118"/>
      <c r="CV1116" s="99">
        <f t="shared" si="107"/>
        <v>44399232</v>
      </c>
      <c r="CW1116" s="118"/>
      <c r="CX1116" s="119"/>
      <c r="CY1116" s="119">
        <v>1200</v>
      </c>
      <c r="CZ1116" s="119">
        <f>1200*85000</f>
        <v>102000000</v>
      </c>
      <c r="DA1116" s="118"/>
      <c r="DB1116" s="119"/>
      <c r="DC1116" s="111"/>
      <c r="DD1116" s="119"/>
      <c r="DE1116" s="111"/>
      <c r="DF1116" s="46"/>
    </row>
    <row r="1117" spans="1:110" s="42" customFormat="1" ht="22.5" x14ac:dyDescent="0.2">
      <c r="A1117" s="89">
        <v>40677</v>
      </c>
      <c r="B1117" s="90" t="s">
        <v>4244</v>
      </c>
      <c r="C1117" s="90" t="s">
        <v>4332</v>
      </c>
      <c r="D1117" s="90" t="s">
        <v>2362</v>
      </c>
      <c r="E1117" s="90" t="str">
        <f>VLOOKUP(B1117&amp;C1117,Divipola!$C$2:$F$1138,4,FALSE)</f>
        <v>76306</v>
      </c>
      <c r="F1117" s="90"/>
      <c r="G1117" s="124"/>
      <c r="H1117" s="124"/>
      <c r="I1117" s="308"/>
      <c r="J1117" s="124">
        <v>3000</v>
      </c>
      <c r="K1117" s="124">
        <v>500</v>
      </c>
      <c r="L1117" s="124">
        <v>1</v>
      </c>
      <c r="M1117" s="124">
        <v>499</v>
      </c>
      <c r="N1117" s="129"/>
      <c r="O1117" s="129"/>
      <c r="P1117" s="129"/>
      <c r="Q1117" s="129"/>
      <c r="R1117" s="129"/>
      <c r="S1117" s="129"/>
      <c r="T1117" s="129"/>
      <c r="U1117" s="129"/>
      <c r="V1117" s="129"/>
      <c r="W1117" s="107"/>
      <c r="X1117" s="105"/>
      <c r="Y1117" s="92">
        <f t="shared" si="102"/>
        <v>38350000</v>
      </c>
      <c r="Z1117" s="92">
        <f t="shared" si="103"/>
        <v>42500000</v>
      </c>
      <c r="AA1117" s="92">
        <f t="shared" si="104"/>
        <v>0</v>
      </c>
      <c r="AB1117" s="92">
        <f t="shared" si="105"/>
        <v>0</v>
      </c>
      <c r="AC1117" s="92"/>
      <c r="AD1117" s="92">
        <v>0</v>
      </c>
      <c r="AE1117" s="92">
        <f t="shared" si="106"/>
        <v>80850000</v>
      </c>
      <c r="AF1117" s="93">
        <v>0</v>
      </c>
      <c r="AG1117" s="105"/>
      <c r="AH1117" s="108"/>
      <c r="AI1117" s="95" t="s">
        <v>4346</v>
      </c>
      <c r="AJ1117" s="96" t="s">
        <v>4347</v>
      </c>
      <c r="AK1117" s="309"/>
      <c r="AL1117" s="310"/>
      <c r="AM1117" s="128" t="s">
        <v>2843</v>
      </c>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c r="BJ1117" s="107"/>
      <c r="BK1117" s="107"/>
      <c r="BL1117" s="107"/>
      <c r="BM1117" s="107"/>
      <c r="BN1117" s="107"/>
      <c r="BO1117" s="107"/>
      <c r="BP1117" s="107"/>
      <c r="BQ1117" s="107"/>
      <c r="BR1117" s="107"/>
      <c r="BS1117" s="107"/>
      <c r="BT1117" s="107"/>
      <c r="BU1117" s="107"/>
      <c r="BV1117" s="107"/>
      <c r="BW1117" s="107"/>
      <c r="BX1117" s="107"/>
      <c r="BY1117" s="107"/>
      <c r="BZ1117" s="107"/>
      <c r="CA1117" s="107"/>
      <c r="CB1117" s="107"/>
      <c r="CC1117" s="107"/>
      <c r="CD1117" s="107"/>
      <c r="CE1117" s="107"/>
      <c r="CF1117" s="107"/>
      <c r="CG1117" s="107"/>
      <c r="CH1117" s="107"/>
      <c r="CI1117" s="107"/>
      <c r="CJ1117" s="107"/>
      <c r="CK1117" s="107"/>
      <c r="CL1117" s="107"/>
      <c r="CM1117" s="107"/>
      <c r="CN1117" s="118"/>
      <c r="CO1117" s="119"/>
      <c r="CP1117" s="118">
        <v>500</v>
      </c>
      <c r="CQ1117" s="119">
        <f>500*37000</f>
        <v>18500000</v>
      </c>
      <c r="CR1117" s="118">
        <v>500</v>
      </c>
      <c r="CS1117" s="119">
        <f>500*39700</f>
        <v>19850000</v>
      </c>
      <c r="CT1117" s="113"/>
      <c r="CU1117" s="118"/>
      <c r="CV1117" s="99">
        <f t="shared" si="107"/>
        <v>38350000</v>
      </c>
      <c r="CW1117" s="118"/>
      <c r="CX1117" s="119"/>
      <c r="CY1117" s="119">
        <v>500</v>
      </c>
      <c r="CZ1117" s="119">
        <f>500*85000</f>
        <v>42500000</v>
      </c>
      <c r="DA1117" s="118"/>
      <c r="DB1117" s="119"/>
      <c r="DC1117" s="111"/>
      <c r="DD1117" s="119"/>
      <c r="DE1117" s="111"/>
      <c r="DF1117" s="46"/>
    </row>
    <row r="1118" spans="1:110" s="42" customFormat="1" ht="33.75" x14ac:dyDescent="0.2">
      <c r="A1118" s="89">
        <v>40678</v>
      </c>
      <c r="B1118" s="90" t="s">
        <v>4344</v>
      </c>
      <c r="C1118" s="90" t="s">
        <v>4374</v>
      </c>
      <c r="D1118" s="90" t="s">
        <v>3346</v>
      </c>
      <c r="E1118" s="90" t="str">
        <f>VLOOKUP(B1118&amp;C1118,Divipola!$C$2:$F$1138,4,FALSE)</f>
        <v>25120</v>
      </c>
      <c r="F1118" s="90"/>
      <c r="G1118" s="124"/>
      <c r="H1118" s="124"/>
      <c r="I1118" s="308"/>
      <c r="J1118" s="124">
        <v>50</v>
      </c>
      <c r="K1118" s="124">
        <v>16</v>
      </c>
      <c r="L1118" s="124"/>
      <c r="M1118" s="124">
        <v>16</v>
      </c>
      <c r="N1118" s="129"/>
      <c r="O1118" s="129"/>
      <c r="P1118" s="129"/>
      <c r="Q1118" s="129">
        <v>1</v>
      </c>
      <c r="R1118" s="129"/>
      <c r="S1118" s="129"/>
      <c r="T1118" s="129"/>
      <c r="U1118" s="129"/>
      <c r="V1118" s="129"/>
      <c r="W1118" s="107"/>
      <c r="X1118" s="105"/>
      <c r="Y1118" s="92">
        <f t="shared" ref="Y1118:Y1181" si="108">CV1118</f>
        <v>0</v>
      </c>
      <c r="Z1118" s="92">
        <f t="shared" ref="Z1118:Z1181" si="109">CZ1118</f>
        <v>0</v>
      </c>
      <c r="AA1118" s="92">
        <f t="shared" ref="AA1118:AA1181" si="110">DB1118+DD1118</f>
        <v>0</v>
      </c>
      <c r="AB1118" s="92">
        <f t="shared" ref="AB1118:AB1181" si="111">CX1118</f>
        <v>0</v>
      </c>
      <c r="AC1118" s="92"/>
      <c r="AD1118" s="92">
        <v>0</v>
      </c>
      <c r="AE1118" s="92">
        <f t="shared" ref="AE1118:AE1181" si="112">Y1118+Z1118+AA1118+AB1118+AC1118+AD1118</f>
        <v>0</v>
      </c>
      <c r="AF1118" s="93">
        <v>0</v>
      </c>
      <c r="AG1118" s="105"/>
      <c r="AH1118" s="108"/>
      <c r="AI1118" s="109" t="s">
        <v>4346</v>
      </c>
      <c r="AJ1118" s="110" t="s">
        <v>4347</v>
      </c>
      <c r="AK1118" s="111"/>
      <c r="AL1118" s="105" t="s">
        <v>928</v>
      </c>
      <c r="AM1118" s="128" t="s">
        <v>4429</v>
      </c>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7"/>
      <c r="BQ1118" s="107"/>
      <c r="BR1118" s="107"/>
      <c r="BS1118" s="107"/>
      <c r="BT1118" s="107"/>
      <c r="BU1118" s="107"/>
      <c r="BV1118" s="107"/>
      <c r="BW1118" s="107"/>
      <c r="BX1118" s="107"/>
      <c r="BY1118" s="107"/>
      <c r="BZ1118" s="107"/>
      <c r="CA1118" s="107"/>
      <c r="CB1118" s="107"/>
      <c r="CC1118" s="107"/>
      <c r="CD1118" s="107"/>
      <c r="CE1118" s="107"/>
      <c r="CF1118" s="107"/>
      <c r="CG1118" s="107"/>
      <c r="CH1118" s="107"/>
      <c r="CI1118" s="107"/>
      <c r="CJ1118" s="107"/>
      <c r="CK1118" s="107"/>
      <c r="CL1118" s="107"/>
      <c r="CM1118" s="107"/>
      <c r="CN1118" s="118"/>
      <c r="CO1118" s="119"/>
      <c r="CP1118" s="118"/>
      <c r="CQ1118" s="119"/>
      <c r="CR1118" s="118"/>
      <c r="CS1118" s="119"/>
      <c r="CT1118" s="113"/>
      <c r="CU1118" s="118"/>
      <c r="CV1118" s="99">
        <f t="shared" si="107"/>
        <v>0</v>
      </c>
      <c r="CW1118" s="118"/>
      <c r="CX1118" s="119"/>
      <c r="CY1118" s="119"/>
      <c r="CZ1118" s="119"/>
      <c r="DA1118" s="118"/>
      <c r="DB1118" s="119"/>
      <c r="DC1118" s="111"/>
      <c r="DD1118" s="119"/>
      <c r="DE1118" s="111"/>
      <c r="DF1118" s="46">
        <v>1787</v>
      </c>
    </row>
    <row r="1119" spans="1:110" s="42" customFormat="1" ht="33.75" x14ac:dyDescent="0.2">
      <c r="A1119" s="89">
        <v>40678</v>
      </c>
      <c r="B1119" s="90" t="s">
        <v>4344</v>
      </c>
      <c r="C1119" s="90" t="s">
        <v>3468</v>
      </c>
      <c r="D1119" s="90" t="s">
        <v>3346</v>
      </c>
      <c r="E1119" s="90" t="str">
        <f>VLOOKUP(B1119&amp;C1119,Divipola!$C$2:$F$1138,4,FALSE)</f>
        <v>25524</v>
      </c>
      <c r="F1119" s="90"/>
      <c r="G1119" s="124"/>
      <c r="H1119" s="124"/>
      <c r="I1119" s="308"/>
      <c r="J1119" s="124">
        <v>363</v>
      </c>
      <c r="K1119" s="124">
        <v>90</v>
      </c>
      <c r="L1119" s="124"/>
      <c r="M1119" s="124">
        <v>90</v>
      </c>
      <c r="N1119" s="129"/>
      <c r="O1119" s="129"/>
      <c r="P1119" s="129"/>
      <c r="Q1119" s="129"/>
      <c r="R1119" s="129"/>
      <c r="S1119" s="129"/>
      <c r="T1119" s="129"/>
      <c r="U1119" s="129"/>
      <c r="V1119" s="129"/>
      <c r="W1119" s="107"/>
      <c r="X1119" s="105"/>
      <c r="Y1119" s="92">
        <f t="shared" si="108"/>
        <v>0</v>
      </c>
      <c r="Z1119" s="92">
        <f t="shared" si="109"/>
        <v>0</v>
      </c>
      <c r="AA1119" s="92">
        <f t="shared" si="110"/>
        <v>0</v>
      </c>
      <c r="AB1119" s="92">
        <f t="shared" si="111"/>
        <v>0</v>
      </c>
      <c r="AC1119" s="92"/>
      <c r="AD1119" s="92">
        <v>0</v>
      </c>
      <c r="AE1119" s="92">
        <f t="shared" si="112"/>
        <v>0</v>
      </c>
      <c r="AF1119" s="93">
        <v>0</v>
      </c>
      <c r="AG1119" s="105"/>
      <c r="AH1119" s="108"/>
      <c r="AI1119" s="109" t="s">
        <v>4346</v>
      </c>
      <c r="AJ1119" s="110" t="s">
        <v>4347</v>
      </c>
      <c r="AK1119" s="111"/>
      <c r="AL1119" s="105" t="s">
        <v>928</v>
      </c>
      <c r="AM1119" s="128" t="s">
        <v>4169</v>
      </c>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7"/>
      <c r="BQ1119" s="107"/>
      <c r="BR1119" s="107"/>
      <c r="BS1119" s="107"/>
      <c r="BT1119" s="107"/>
      <c r="BU1119" s="107"/>
      <c r="BV1119" s="107"/>
      <c r="BW1119" s="107"/>
      <c r="BX1119" s="107"/>
      <c r="BY1119" s="107"/>
      <c r="BZ1119" s="107"/>
      <c r="CA1119" s="107"/>
      <c r="CB1119" s="107"/>
      <c r="CC1119" s="107"/>
      <c r="CD1119" s="107"/>
      <c r="CE1119" s="107"/>
      <c r="CF1119" s="107"/>
      <c r="CG1119" s="107"/>
      <c r="CH1119" s="107"/>
      <c r="CI1119" s="107"/>
      <c r="CJ1119" s="107"/>
      <c r="CK1119" s="107"/>
      <c r="CL1119" s="107"/>
      <c r="CM1119" s="107"/>
      <c r="CN1119" s="118"/>
      <c r="CO1119" s="119"/>
      <c r="CP1119" s="118"/>
      <c r="CQ1119" s="119"/>
      <c r="CR1119" s="118"/>
      <c r="CS1119" s="119"/>
      <c r="CT1119" s="113"/>
      <c r="CU1119" s="118"/>
      <c r="CV1119" s="99">
        <f t="shared" si="107"/>
        <v>0</v>
      </c>
      <c r="CW1119" s="118"/>
      <c r="CX1119" s="119"/>
      <c r="CY1119" s="119"/>
      <c r="CZ1119" s="119"/>
      <c r="DA1119" s="118"/>
      <c r="DB1119" s="119"/>
      <c r="DC1119" s="111"/>
      <c r="DD1119" s="119"/>
      <c r="DE1119" s="111"/>
      <c r="DF1119" s="46">
        <v>1788</v>
      </c>
    </row>
    <row r="1120" spans="1:110" s="42" customFormat="1" ht="67.5" x14ac:dyDescent="0.2">
      <c r="A1120" s="89">
        <v>40678</v>
      </c>
      <c r="B1120" s="90" t="s">
        <v>4344</v>
      </c>
      <c r="C1120" s="90" t="s">
        <v>3469</v>
      </c>
      <c r="D1120" s="90" t="s">
        <v>2362</v>
      </c>
      <c r="E1120" s="90" t="str">
        <f>VLOOKUP(B1120&amp;C1120,Divipola!$C$2:$F$1138,4,FALSE)</f>
        <v>25594</v>
      </c>
      <c r="F1120" s="90"/>
      <c r="G1120" s="124"/>
      <c r="H1120" s="124"/>
      <c r="I1120" s="308"/>
      <c r="J1120" s="124">
        <f>15*5</f>
        <v>75</v>
      </c>
      <c r="K1120" s="124">
        <v>15</v>
      </c>
      <c r="L1120" s="124"/>
      <c r="M1120" s="124">
        <v>15</v>
      </c>
      <c r="N1120" s="129"/>
      <c r="O1120" s="129"/>
      <c r="P1120" s="129"/>
      <c r="Q1120" s="129"/>
      <c r="R1120" s="129"/>
      <c r="S1120" s="129"/>
      <c r="T1120" s="129"/>
      <c r="U1120" s="129"/>
      <c r="V1120" s="129"/>
      <c r="W1120" s="107"/>
      <c r="X1120" s="105"/>
      <c r="Y1120" s="92">
        <f t="shared" si="108"/>
        <v>0</v>
      </c>
      <c r="Z1120" s="92">
        <f t="shared" si="109"/>
        <v>0</v>
      </c>
      <c r="AA1120" s="92">
        <f t="shared" si="110"/>
        <v>0</v>
      </c>
      <c r="AB1120" s="92">
        <f t="shared" si="111"/>
        <v>0</v>
      </c>
      <c r="AC1120" s="92"/>
      <c r="AD1120" s="92">
        <v>0</v>
      </c>
      <c r="AE1120" s="92">
        <f t="shared" si="112"/>
        <v>0</v>
      </c>
      <c r="AF1120" s="93">
        <v>0</v>
      </c>
      <c r="AG1120" s="105"/>
      <c r="AH1120" s="108"/>
      <c r="AI1120" s="109" t="s">
        <v>4346</v>
      </c>
      <c r="AJ1120" s="110" t="s">
        <v>4347</v>
      </c>
      <c r="AK1120" s="111"/>
      <c r="AL1120" s="105" t="s">
        <v>928</v>
      </c>
      <c r="AM1120" s="128" t="s">
        <v>4187</v>
      </c>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c r="BJ1120" s="107"/>
      <c r="BK1120" s="107"/>
      <c r="BL1120" s="107"/>
      <c r="BM1120" s="107"/>
      <c r="BN1120" s="107"/>
      <c r="BO1120" s="107"/>
      <c r="BP1120" s="107"/>
      <c r="BQ1120" s="107"/>
      <c r="BR1120" s="107"/>
      <c r="BS1120" s="107"/>
      <c r="BT1120" s="107"/>
      <c r="BU1120" s="107"/>
      <c r="BV1120" s="107"/>
      <c r="BW1120" s="107"/>
      <c r="BX1120" s="107"/>
      <c r="BY1120" s="107"/>
      <c r="BZ1120" s="107"/>
      <c r="CA1120" s="107"/>
      <c r="CB1120" s="107"/>
      <c r="CC1120" s="107"/>
      <c r="CD1120" s="107"/>
      <c r="CE1120" s="107"/>
      <c r="CF1120" s="107"/>
      <c r="CG1120" s="107"/>
      <c r="CH1120" s="107"/>
      <c r="CI1120" s="107"/>
      <c r="CJ1120" s="107"/>
      <c r="CK1120" s="107"/>
      <c r="CL1120" s="107"/>
      <c r="CM1120" s="107"/>
      <c r="CN1120" s="118"/>
      <c r="CO1120" s="119"/>
      <c r="CP1120" s="118"/>
      <c r="CQ1120" s="119"/>
      <c r="CR1120" s="118"/>
      <c r="CS1120" s="119"/>
      <c r="CT1120" s="113"/>
      <c r="CU1120" s="118"/>
      <c r="CV1120" s="99">
        <f t="shared" si="107"/>
        <v>0</v>
      </c>
      <c r="CW1120" s="118"/>
      <c r="CX1120" s="119"/>
      <c r="CY1120" s="119"/>
      <c r="CZ1120" s="119"/>
      <c r="DA1120" s="118"/>
      <c r="DB1120" s="119"/>
      <c r="DC1120" s="111"/>
      <c r="DD1120" s="119"/>
      <c r="DE1120" s="111"/>
      <c r="DF1120" s="46"/>
    </row>
    <row r="1121" spans="1:110" s="42" customFormat="1" ht="36" x14ac:dyDescent="0.2">
      <c r="A1121" s="89">
        <v>40678</v>
      </c>
      <c r="B1121" s="106" t="s">
        <v>4344</v>
      </c>
      <c r="C1121" s="106" t="s">
        <v>3336</v>
      </c>
      <c r="D1121" s="90" t="s">
        <v>4264</v>
      </c>
      <c r="E1121" s="90" t="str">
        <f>VLOOKUP(B1121&amp;C1121,Divipola!$C$2:$F$1138,4,FALSE)</f>
        <v>25718</v>
      </c>
      <c r="F1121" s="90"/>
      <c r="G1121" s="129">
        <v>1</v>
      </c>
      <c r="H1121" s="129"/>
      <c r="I1121" s="129"/>
      <c r="J1121" s="129"/>
      <c r="K1121" s="129"/>
      <c r="L1121" s="129"/>
      <c r="M1121" s="129"/>
      <c r="N1121" s="129"/>
      <c r="O1121" s="129"/>
      <c r="P1121" s="129"/>
      <c r="Q1121" s="129"/>
      <c r="R1121" s="129"/>
      <c r="S1121" s="129"/>
      <c r="T1121" s="129"/>
      <c r="U1121" s="129"/>
      <c r="V1121" s="129"/>
      <c r="W1121" s="107"/>
      <c r="X1121" s="105"/>
      <c r="Y1121" s="92">
        <f t="shared" si="108"/>
        <v>0</v>
      </c>
      <c r="Z1121" s="92">
        <f t="shared" si="109"/>
        <v>0</v>
      </c>
      <c r="AA1121" s="92">
        <f t="shared" si="110"/>
        <v>0</v>
      </c>
      <c r="AB1121" s="92">
        <f t="shared" si="111"/>
        <v>0</v>
      </c>
      <c r="AC1121" s="92"/>
      <c r="AD1121" s="92">
        <v>0</v>
      </c>
      <c r="AE1121" s="92">
        <f t="shared" si="112"/>
        <v>0</v>
      </c>
      <c r="AF1121" s="93">
        <v>0</v>
      </c>
      <c r="AG1121" s="105"/>
      <c r="AH1121" s="108"/>
      <c r="AI1121" s="102" t="s">
        <v>4336</v>
      </c>
      <c r="AJ1121" s="96" t="s">
        <v>4337</v>
      </c>
      <c r="AK1121" s="111"/>
      <c r="AL1121" s="105"/>
      <c r="AM1121" s="112" t="s">
        <v>2675</v>
      </c>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c r="BJ1121" s="107"/>
      <c r="BK1121" s="107"/>
      <c r="BL1121" s="107"/>
      <c r="BM1121" s="107"/>
      <c r="BN1121" s="107"/>
      <c r="BO1121" s="107"/>
      <c r="BP1121" s="107"/>
      <c r="BQ1121" s="107"/>
      <c r="BR1121" s="107"/>
      <c r="BS1121" s="107"/>
      <c r="BT1121" s="107"/>
      <c r="BU1121" s="107"/>
      <c r="BV1121" s="107"/>
      <c r="BW1121" s="107"/>
      <c r="BX1121" s="107"/>
      <c r="BY1121" s="107"/>
      <c r="BZ1121" s="107"/>
      <c r="CA1121" s="107"/>
      <c r="CB1121" s="107"/>
      <c r="CC1121" s="107"/>
      <c r="CD1121" s="107"/>
      <c r="CE1121" s="107"/>
      <c r="CF1121" s="107"/>
      <c r="CG1121" s="107"/>
      <c r="CH1121" s="107"/>
      <c r="CI1121" s="107"/>
      <c r="CJ1121" s="107"/>
      <c r="CK1121" s="107"/>
      <c r="CL1121" s="107"/>
      <c r="CM1121" s="107"/>
      <c r="CN1121" s="118"/>
      <c r="CO1121" s="119"/>
      <c r="CP1121" s="118"/>
      <c r="CQ1121" s="119"/>
      <c r="CR1121" s="118"/>
      <c r="CS1121" s="119"/>
      <c r="CT1121" s="113"/>
      <c r="CU1121" s="118"/>
      <c r="CV1121" s="99">
        <f t="shared" si="107"/>
        <v>0</v>
      </c>
      <c r="CW1121" s="118"/>
      <c r="CX1121" s="119"/>
      <c r="CY1121" s="119"/>
      <c r="CZ1121" s="119"/>
      <c r="DA1121" s="118"/>
      <c r="DB1121" s="119"/>
      <c r="DC1121" s="111"/>
      <c r="DD1121" s="119"/>
      <c r="DE1121" s="111"/>
      <c r="DF1121" s="46"/>
    </row>
    <row r="1122" spans="1:110" s="42" customFormat="1" ht="67.5" x14ac:dyDescent="0.2">
      <c r="A1122" s="89">
        <v>40678</v>
      </c>
      <c r="B1122" s="90" t="s">
        <v>4221</v>
      </c>
      <c r="C1122" s="90" t="s">
        <v>4299</v>
      </c>
      <c r="D1122" s="90" t="s">
        <v>4264</v>
      </c>
      <c r="E1122" s="90" t="str">
        <f>VLOOKUP(B1122&amp;C1122,Divipola!$C$2:$F$1138,4,FALSE)</f>
        <v>54001</v>
      </c>
      <c r="F1122" s="90"/>
      <c r="G1122" s="308"/>
      <c r="H1122" s="308"/>
      <c r="I1122" s="308"/>
      <c r="J1122" s="124"/>
      <c r="K1122" s="124"/>
      <c r="L1122" s="124"/>
      <c r="M1122" s="124"/>
      <c r="N1122" s="129"/>
      <c r="O1122" s="129"/>
      <c r="P1122" s="129"/>
      <c r="Q1122" s="129"/>
      <c r="R1122" s="129"/>
      <c r="S1122" s="129"/>
      <c r="T1122" s="129"/>
      <c r="U1122" s="129"/>
      <c r="V1122" s="129"/>
      <c r="W1122" s="107"/>
      <c r="X1122" s="105"/>
      <c r="Y1122" s="92">
        <f t="shared" si="108"/>
        <v>0</v>
      </c>
      <c r="Z1122" s="92">
        <f t="shared" si="109"/>
        <v>0</v>
      </c>
      <c r="AA1122" s="92">
        <f t="shared" si="110"/>
        <v>0</v>
      </c>
      <c r="AB1122" s="92">
        <f t="shared" si="111"/>
        <v>0</v>
      </c>
      <c r="AC1122" s="92"/>
      <c r="AD1122" s="92">
        <v>0</v>
      </c>
      <c r="AE1122" s="92">
        <f t="shared" si="112"/>
        <v>0</v>
      </c>
      <c r="AF1122" s="93">
        <v>0</v>
      </c>
      <c r="AG1122" s="105"/>
      <c r="AH1122" s="108"/>
      <c r="AI1122" s="109" t="s">
        <v>4336</v>
      </c>
      <c r="AJ1122" s="110" t="s">
        <v>4337</v>
      </c>
      <c r="AK1122" s="309"/>
      <c r="AL1122" s="310"/>
      <c r="AM1122" s="128" t="s">
        <v>2840</v>
      </c>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c r="BJ1122" s="107"/>
      <c r="BK1122" s="107"/>
      <c r="BL1122" s="107"/>
      <c r="BM1122" s="107"/>
      <c r="BN1122" s="107"/>
      <c r="BO1122" s="107"/>
      <c r="BP1122" s="107"/>
      <c r="BQ1122" s="107"/>
      <c r="BR1122" s="107"/>
      <c r="BS1122" s="107"/>
      <c r="BT1122" s="107"/>
      <c r="BU1122" s="107"/>
      <c r="BV1122" s="107"/>
      <c r="BW1122" s="107"/>
      <c r="BX1122" s="107"/>
      <c r="BY1122" s="107"/>
      <c r="BZ1122" s="107"/>
      <c r="CA1122" s="107"/>
      <c r="CB1122" s="107"/>
      <c r="CC1122" s="107"/>
      <c r="CD1122" s="107"/>
      <c r="CE1122" s="107"/>
      <c r="CF1122" s="107"/>
      <c r="CG1122" s="107"/>
      <c r="CH1122" s="107"/>
      <c r="CI1122" s="107"/>
      <c r="CJ1122" s="107"/>
      <c r="CK1122" s="107"/>
      <c r="CL1122" s="107"/>
      <c r="CM1122" s="107"/>
      <c r="CN1122" s="118"/>
      <c r="CO1122" s="119"/>
      <c r="CP1122" s="118"/>
      <c r="CQ1122" s="119"/>
      <c r="CR1122" s="118"/>
      <c r="CS1122" s="119"/>
      <c r="CT1122" s="113"/>
      <c r="CU1122" s="118"/>
      <c r="CV1122" s="99">
        <f t="shared" si="107"/>
        <v>0</v>
      </c>
      <c r="CW1122" s="118"/>
      <c r="CX1122" s="119"/>
      <c r="CY1122" s="119"/>
      <c r="CZ1122" s="119"/>
      <c r="DA1122" s="118"/>
      <c r="DB1122" s="119"/>
      <c r="DC1122" s="111"/>
      <c r="DD1122" s="119"/>
      <c r="DE1122" s="111"/>
      <c r="DF1122" s="46"/>
    </row>
    <row r="1123" spans="1:110" s="42" customFormat="1" ht="22.5" x14ac:dyDescent="0.2">
      <c r="A1123" s="89">
        <v>40678</v>
      </c>
      <c r="B1123" s="90" t="s">
        <v>4221</v>
      </c>
      <c r="C1123" s="90" t="s">
        <v>2237</v>
      </c>
      <c r="D1123" s="90" t="s">
        <v>2362</v>
      </c>
      <c r="E1123" s="90" t="str">
        <f>VLOOKUP(B1123&amp;C1123,Divipola!$C$2:$F$1138,4,FALSE)</f>
        <v>54261</v>
      </c>
      <c r="F1123" s="90"/>
      <c r="G1123" s="308"/>
      <c r="H1123" s="308"/>
      <c r="I1123" s="308"/>
      <c r="J1123" s="124">
        <v>30</v>
      </c>
      <c r="K1123" s="124">
        <v>6</v>
      </c>
      <c r="L1123" s="124"/>
      <c r="M1123" s="124">
        <v>6</v>
      </c>
      <c r="N1123" s="129">
        <v>1</v>
      </c>
      <c r="O1123" s="129"/>
      <c r="P1123" s="129"/>
      <c r="Q1123" s="129"/>
      <c r="R1123" s="129"/>
      <c r="S1123" s="129"/>
      <c r="T1123" s="129"/>
      <c r="U1123" s="129"/>
      <c r="V1123" s="129"/>
      <c r="W1123" s="107"/>
      <c r="X1123" s="105"/>
      <c r="Y1123" s="92">
        <f t="shared" si="108"/>
        <v>0</v>
      </c>
      <c r="Z1123" s="92">
        <f t="shared" si="109"/>
        <v>0</v>
      </c>
      <c r="AA1123" s="92">
        <f t="shared" si="110"/>
        <v>0</v>
      </c>
      <c r="AB1123" s="92">
        <f t="shared" si="111"/>
        <v>0</v>
      </c>
      <c r="AC1123" s="92"/>
      <c r="AD1123" s="92">
        <v>0</v>
      </c>
      <c r="AE1123" s="92">
        <f t="shared" si="112"/>
        <v>0</v>
      </c>
      <c r="AF1123" s="93">
        <v>0</v>
      </c>
      <c r="AG1123" s="105"/>
      <c r="AH1123" s="108"/>
      <c r="AI1123" s="102" t="s">
        <v>4336</v>
      </c>
      <c r="AJ1123" s="96" t="s">
        <v>4337</v>
      </c>
      <c r="AK1123" s="309"/>
      <c r="AL1123" s="310"/>
      <c r="AM1123" s="128" t="s">
        <v>2839</v>
      </c>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c r="BJ1123" s="107"/>
      <c r="BK1123" s="107"/>
      <c r="BL1123" s="107"/>
      <c r="BM1123" s="107"/>
      <c r="BN1123" s="107"/>
      <c r="BO1123" s="107"/>
      <c r="BP1123" s="107"/>
      <c r="BQ1123" s="107"/>
      <c r="BR1123" s="107"/>
      <c r="BS1123" s="107"/>
      <c r="BT1123" s="107"/>
      <c r="BU1123" s="107"/>
      <c r="BV1123" s="107"/>
      <c r="BW1123" s="107"/>
      <c r="BX1123" s="107"/>
      <c r="BY1123" s="107"/>
      <c r="BZ1123" s="107"/>
      <c r="CA1123" s="107"/>
      <c r="CB1123" s="107"/>
      <c r="CC1123" s="107"/>
      <c r="CD1123" s="107"/>
      <c r="CE1123" s="107"/>
      <c r="CF1123" s="107"/>
      <c r="CG1123" s="107"/>
      <c r="CH1123" s="107"/>
      <c r="CI1123" s="107"/>
      <c r="CJ1123" s="107"/>
      <c r="CK1123" s="107"/>
      <c r="CL1123" s="107"/>
      <c r="CM1123" s="107"/>
      <c r="CN1123" s="118"/>
      <c r="CO1123" s="119"/>
      <c r="CP1123" s="118"/>
      <c r="CQ1123" s="119"/>
      <c r="CR1123" s="118"/>
      <c r="CS1123" s="119"/>
      <c r="CT1123" s="113"/>
      <c r="CU1123" s="118"/>
      <c r="CV1123" s="99">
        <f t="shared" si="107"/>
        <v>0</v>
      </c>
      <c r="CW1123" s="118"/>
      <c r="CX1123" s="119"/>
      <c r="CY1123" s="119"/>
      <c r="CZ1123" s="119"/>
      <c r="DA1123" s="118"/>
      <c r="DB1123" s="119"/>
      <c r="DC1123" s="111"/>
      <c r="DD1123" s="119"/>
      <c r="DE1123" s="111"/>
      <c r="DF1123" s="46"/>
    </row>
    <row r="1124" spans="1:110" s="42" customFormat="1" ht="33.75" x14ac:dyDescent="0.2">
      <c r="A1124" s="89">
        <v>40678</v>
      </c>
      <c r="B1124" s="90" t="s">
        <v>4263</v>
      </c>
      <c r="C1124" s="90" t="s">
        <v>4315</v>
      </c>
      <c r="D1124" s="90" t="s">
        <v>4264</v>
      </c>
      <c r="E1124" s="90" t="str">
        <f>VLOOKUP(B1124&amp;C1124,Divipola!$C$2:$F$1138,4,FALSE)</f>
        <v>86001</v>
      </c>
      <c r="F1124" s="90"/>
      <c r="G1124" s="124"/>
      <c r="H1124" s="124"/>
      <c r="I1124" s="308"/>
      <c r="J1124" s="124">
        <v>35</v>
      </c>
      <c r="K1124" s="124">
        <v>6</v>
      </c>
      <c r="L1124" s="124"/>
      <c r="M1124" s="124">
        <v>6</v>
      </c>
      <c r="N1124" s="129"/>
      <c r="O1124" s="129"/>
      <c r="P1124" s="129"/>
      <c r="Q1124" s="129"/>
      <c r="R1124" s="129"/>
      <c r="S1124" s="129"/>
      <c r="T1124" s="129"/>
      <c r="U1124" s="129"/>
      <c r="V1124" s="129"/>
      <c r="W1124" s="107"/>
      <c r="X1124" s="105"/>
      <c r="Y1124" s="92">
        <f t="shared" si="108"/>
        <v>0</v>
      </c>
      <c r="Z1124" s="92">
        <f t="shared" si="109"/>
        <v>0</v>
      </c>
      <c r="AA1124" s="92">
        <f t="shared" si="110"/>
        <v>0</v>
      </c>
      <c r="AB1124" s="92">
        <f t="shared" si="111"/>
        <v>0</v>
      </c>
      <c r="AC1124" s="92"/>
      <c r="AD1124" s="92">
        <v>0</v>
      </c>
      <c r="AE1124" s="92">
        <f t="shared" si="112"/>
        <v>0</v>
      </c>
      <c r="AF1124" s="93">
        <v>0</v>
      </c>
      <c r="AG1124" s="105"/>
      <c r="AH1124" s="108"/>
      <c r="AI1124" s="109" t="s">
        <v>4336</v>
      </c>
      <c r="AJ1124" s="110" t="s">
        <v>4337</v>
      </c>
      <c r="AK1124" s="309"/>
      <c r="AL1124" s="310"/>
      <c r="AM1124" s="128" t="s">
        <v>4183</v>
      </c>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18"/>
      <c r="CO1124" s="119"/>
      <c r="CP1124" s="118"/>
      <c r="CQ1124" s="119"/>
      <c r="CR1124" s="118"/>
      <c r="CS1124" s="119"/>
      <c r="CT1124" s="113"/>
      <c r="CU1124" s="118"/>
      <c r="CV1124" s="99">
        <f t="shared" si="107"/>
        <v>0</v>
      </c>
      <c r="CW1124" s="118"/>
      <c r="CX1124" s="119"/>
      <c r="CY1124" s="119"/>
      <c r="CZ1124" s="119"/>
      <c r="DA1124" s="118"/>
      <c r="DB1124" s="119"/>
      <c r="DC1124" s="111"/>
      <c r="DD1124" s="119"/>
      <c r="DE1124" s="111"/>
      <c r="DF1124" s="46"/>
    </row>
    <row r="1125" spans="1:110" s="42" customFormat="1" x14ac:dyDescent="0.2">
      <c r="A1125" s="89">
        <v>40678</v>
      </c>
      <c r="B1125" s="106" t="s">
        <v>4348</v>
      </c>
      <c r="C1125" s="106" t="s">
        <v>3302</v>
      </c>
      <c r="D1125" s="90" t="s">
        <v>2362</v>
      </c>
      <c r="E1125" s="90" t="str">
        <f>VLOOKUP(B1125&amp;C1125,Divipola!$C$2:$F$1138,4,FALSE)</f>
        <v>66045</v>
      </c>
      <c r="F1125" s="90"/>
      <c r="G1125" s="279"/>
      <c r="H1125" s="279"/>
      <c r="I1125" s="279"/>
      <c r="J1125" s="129">
        <v>5</v>
      </c>
      <c r="K1125" s="129">
        <v>1</v>
      </c>
      <c r="L1125" s="129"/>
      <c r="M1125" s="129">
        <v>1</v>
      </c>
      <c r="N1125" s="129"/>
      <c r="O1125" s="129"/>
      <c r="P1125" s="129"/>
      <c r="Q1125" s="129"/>
      <c r="R1125" s="129"/>
      <c r="S1125" s="129"/>
      <c r="T1125" s="129"/>
      <c r="U1125" s="129"/>
      <c r="V1125" s="129"/>
      <c r="W1125" s="107"/>
      <c r="X1125" s="105"/>
      <c r="Y1125" s="92">
        <f t="shared" si="108"/>
        <v>0</v>
      </c>
      <c r="Z1125" s="92">
        <f t="shared" si="109"/>
        <v>0</v>
      </c>
      <c r="AA1125" s="92">
        <f t="shared" si="110"/>
        <v>0</v>
      </c>
      <c r="AB1125" s="92">
        <f t="shared" si="111"/>
        <v>0</v>
      </c>
      <c r="AC1125" s="92"/>
      <c r="AD1125" s="92">
        <v>0</v>
      </c>
      <c r="AE1125" s="92">
        <f t="shared" si="112"/>
        <v>0</v>
      </c>
      <c r="AF1125" s="93">
        <v>0</v>
      </c>
      <c r="AG1125" s="105"/>
      <c r="AH1125" s="108"/>
      <c r="AI1125" s="109" t="s">
        <v>4336</v>
      </c>
      <c r="AJ1125" s="110" t="s">
        <v>4337</v>
      </c>
      <c r="AK1125" s="280"/>
      <c r="AL1125" s="281"/>
      <c r="AM1125" s="112" t="s">
        <v>1999</v>
      </c>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18"/>
      <c r="CO1125" s="119"/>
      <c r="CP1125" s="118"/>
      <c r="CQ1125" s="119"/>
      <c r="CR1125" s="118"/>
      <c r="CS1125" s="119"/>
      <c r="CT1125" s="113"/>
      <c r="CU1125" s="118"/>
      <c r="CV1125" s="99">
        <f t="shared" si="107"/>
        <v>0</v>
      </c>
      <c r="CW1125" s="118"/>
      <c r="CX1125" s="119"/>
      <c r="CY1125" s="119"/>
      <c r="CZ1125" s="119"/>
      <c r="DA1125" s="118"/>
      <c r="DB1125" s="119"/>
      <c r="DC1125" s="111"/>
      <c r="DD1125" s="119"/>
      <c r="DE1125" s="111"/>
      <c r="DF1125" s="46"/>
    </row>
    <row r="1126" spans="1:110" s="42" customFormat="1" ht="24" x14ac:dyDescent="0.2">
      <c r="A1126" s="89">
        <v>40678</v>
      </c>
      <c r="B1126" s="106" t="s">
        <v>4348</v>
      </c>
      <c r="C1126" s="106" t="s">
        <v>3338</v>
      </c>
      <c r="D1126" s="90" t="s">
        <v>2362</v>
      </c>
      <c r="E1126" s="90" t="str">
        <f>VLOOKUP(B1126&amp;C1126,Divipola!$C$2:$F$1138,4,FALSE)</f>
        <v>66088</v>
      </c>
      <c r="F1126" s="90"/>
      <c r="G1126" s="129"/>
      <c r="H1126" s="129"/>
      <c r="I1126" s="129"/>
      <c r="J1126" s="129">
        <v>250</v>
      </c>
      <c r="K1126" s="129">
        <v>50</v>
      </c>
      <c r="L1126" s="129"/>
      <c r="M1126" s="129">
        <v>50</v>
      </c>
      <c r="N1126" s="129"/>
      <c r="O1126" s="129"/>
      <c r="P1126" s="129"/>
      <c r="Q1126" s="129">
        <v>1</v>
      </c>
      <c r="R1126" s="129"/>
      <c r="S1126" s="129"/>
      <c r="T1126" s="129"/>
      <c r="U1126" s="129"/>
      <c r="V1126" s="129"/>
      <c r="W1126" s="107"/>
      <c r="X1126" s="105"/>
      <c r="Y1126" s="92">
        <f t="shared" si="108"/>
        <v>0</v>
      </c>
      <c r="Z1126" s="92">
        <f t="shared" si="109"/>
        <v>0</v>
      </c>
      <c r="AA1126" s="92">
        <f t="shared" si="110"/>
        <v>0</v>
      </c>
      <c r="AB1126" s="92">
        <f t="shared" si="111"/>
        <v>0</v>
      </c>
      <c r="AC1126" s="92"/>
      <c r="AD1126" s="92">
        <v>0</v>
      </c>
      <c r="AE1126" s="92">
        <f t="shared" si="112"/>
        <v>0</v>
      </c>
      <c r="AF1126" s="93">
        <v>0</v>
      </c>
      <c r="AG1126" s="105"/>
      <c r="AH1126" s="108"/>
      <c r="AI1126" s="109" t="s">
        <v>4336</v>
      </c>
      <c r="AJ1126" s="110" t="s">
        <v>4337</v>
      </c>
      <c r="AK1126" s="111"/>
      <c r="AL1126" s="105"/>
      <c r="AM1126" s="112" t="s">
        <v>1955</v>
      </c>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18"/>
      <c r="CO1126" s="119"/>
      <c r="CP1126" s="118"/>
      <c r="CQ1126" s="119"/>
      <c r="CR1126" s="118"/>
      <c r="CS1126" s="119"/>
      <c r="CT1126" s="113"/>
      <c r="CU1126" s="118"/>
      <c r="CV1126" s="99">
        <f t="shared" si="107"/>
        <v>0</v>
      </c>
      <c r="CW1126" s="118"/>
      <c r="CX1126" s="119"/>
      <c r="CY1126" s="119"/>
      <c r="CZ1126" s="119"/>
      <c r="DA1126" s="118"/>
      <c r="DB1126" s="119"/>
      <c r="DC1126" s="111"/>
      <c r="DD1126" s="119"/>
      <c r="DE1126" s="111"/>
      <c r="DF1126" s="46"/>
    </row>
    <row r="1127" spans="1:110" s="42" customFormat="1" ht="36" x14ac:dyDescent="0.2">
      <c r="A1127" s="89">
        <v>40678</v>
      </c>
      <c r="B1127" s="90" t="s">
        <v>4348</v>
      </c>
      <c r="C1127" s="90" t="s">
        <v>601</v>
      </c>
      <c r="D1127" s="90" t="s">
        <v>2362</v>
      </c>
      <c r="E1127" s="90" t="str">
        <f>VLOOKUP(B1127&amp;C1127,Divipola!$C$2:$F$1138,4,FALSE)</f>
        <v>66170</v>
      </c>
      <c r="F1127" s="90"/>
      <c r="G1127" s="101"/>
      <c r="H1127" s="101"/>
      <c r="I1127" s="101"/>
      <c r="J1127" s="101">
        <v>55</v>
      </c>
      <c r="K1127" s="101">
        <v>11</v>
      </c>
      <c r="L1127" s="101"/>
      <c r="M1127" s="101">
        <v>10</v>
      </c>
      <c r="N1127" s="101"/>
      <c r="O1127" s="129"/>
      <c r="P1127" s="129"/>
      <c r="Q1127" s="129"/>
      <c r="R1127" s="129"/>
      <c r="S1127" s="129"/>
      <c r="T1127" s="129"/>
      <c r="U1127" s="129"/>
      <c r="V1127" s="129"/>
      <c r="W1127" s="107"/>
      <c r="X1127" s="105"/>
      <c r="Y1127" s="92">
        <f t="shared" si="108"/>
        <v>0</v>
      </c>
      <c r="Z1127" s="92">
        <f t="shared" si="109"/>
        <v>0</v>
      </c>
      <c r="AA1127" s="92">
        <f t="shared" si="110"/>
        <v>0</v>
      </c>
      <c r="AB1127" s="92">
        <f t="shared" si="111"/>
        <v>0</v>
      </c>
      <c r="AC1127" s="92"/>
      <c r="AD1127" s="92">
        <v>0</v>
      </c>
      <c r="AE1127" s="92">
        <f t="shared" si="112"/>
        <v>0</v>
      </c>
      <c r="AF1127" s="93">
        <v>0</v>
      </c>
      <c r="AG1127" s="105"/>
      <c r="AH1127" s="108"/>
      <c r="AI1127" s="109" t="s">
        <v>4336</v>
      </c>
      <c r="AJ1127" s="110" t="s">
        <v>4337</v>
      </c>
      <c r="AK1127" s="280"/>
      <c r="AL1127" s="281"/>
      <c r="AM1127" s="100" t="s">
        <v>1998</v>
      </c>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18"/>
      <c r="CO1127" s="119"/>
      <c r="CP1127" s="118"/>
      <c r="CQ1127" s="119"/>
      <c r="CR1127" s="118"/>
      <c r="CS1127" s="119"/>
      <c r="CT1127" s="113"/>
      <c r="CU1127" s="118"/>
      <c r="CV1127" s="99">
        <f t="shared" si="107"/>
        <v>0</v>
      </c>
      <c r="CW1127" s="118"/>
      <c r="CX1127" s="119"/>
      <c r="CY1127" s="119"/>
      <c r="CZ1127" s="119"/>
      <c r="DA1127" s="118"/>
      <c r="DB1127" s="119"/>
      <c r="DC1127" s="111"/>
      <c r="DD1127" s="119"/>
      <c r="DE1127" s="111"/>
      <c r="DF1127" s="46"/>
    </row>
    <row r="1128" spans="1:110" s="42" customFormat="1" x14ac:dyDescent="0.2">
      <c r="A1128" s="89">
        <v>40678</v>
      </c>
      <c r="B1128" s="106" t="s">
        <v>4348</v>
      </c>
      <c r="C1128" s="106" t="s">
        <v>4313</v>
      </c>
      <c r="D1128" s="90" t="s">
        <v>2362</v>
      </c>
      <c r="E1128" s="90" t="str">
        <f>VLOOKUP(B1128&amp;C1128,Divipola!$C$2:$F$1138,4,FALSE)</f>
        <v>66318</v>
      </c>
      <c r="F1128" s="90"/>
      <c r="G1128" s="129"/>
      <c r="H1128" s="129"/>
      <c r="I1128" s="129"/>
      <c r="J1128" s="129">
        <v>5</v>
      </c>
      <c r="K1128" s="129">
        <v>1</v>
      </c>
      <c r="L1128" s="129"/>
      <c r="M1128" s="129">
        <v>1</v>
      </c>
      <c r="N1128" s="129"/>
      <c r="O1128" s="129"/>
      <c r="P1128" s="129"/>
      <c r="Q1128" s="129"/>
      <c r="R1128" s="129"/>
      <c r="S1128" s="129"/>
      <c r="T1128" s="129"/>
      <c r="U1128" s="129"/>
      <c r="V1128" s="129"/>
      <c r="W1128" s="107"/>
      <c r="X1128" s="105"/>
      <c r="Y1128" s="92">
        <f t="shared" si="108"/>
        <v>0</v>
      </c>
      <c r="Z1128" s="92">
        <f t="shared" si="109"/>
        <v>0</v>
      </c>
      <c r="AA1128" s="92">
        <f t="shared" si="110"/>
        <v>0</v>
      </c>
      <c r="AB1128" s="92">
        <f t="shared" si="111"/>
        <v>0</v>
      </c>
      <c r="AC1128" s="92"/>
      <c r="AD1128" s="92">
        <v>0</v>
      </c>
      <c r="AE1128" s="92">
        <f t="shared" si="112"/>
        <v>0</v>
      </c>
      <c r="AF1128" s="93">
        <v>0</v>
      </c>
      <c r="AG1128" s="105"/>
      <c r="AH1128" s="108"/>
      <c r="AI1128" s="109" t="s">
        <v>4336</v>
      </c>
      <c r="AJ1128" s="110" t="s">
        <v>4337</v>
      </c>
      <c r="AK1128" s="111"/>
      <c r="AL1128" s="105"/>
      <c r="AM1128" s="112" t="s">
        <v>249</v>
      </c>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18"/>
      <c r="CO1128" s="119"/>
      <c r="CP1128" s="118"/>
      <c r="CQ1128" s="119"/>
      <c r="CR1128" s="118"/>
      <c r="CS1128" s="119"/>
      <c r="CT1128" s="113"/>
      <c r="CU1128" s="118"/>
      <c r="CV1128" s="99">
        <f t="shared" si="107"/>
        <v>0</v>
      </c>
      <c r="CW1128" s="118"/>
      <c r="CX1128" s="119"/>
      <c r="CY1128" s="119"/>
      <c r="CZ1128" s="119"/>
      <c r="DA1128" s="118"/>
      <c r="DB1128" s="119"/>
      <c r="DC1128" s="111"/>
      <c r="DD1128" s="119"/>
      <c r="DE1128" s="111"/>
      <c r="DF1128" s="46"/>
    </row>
    <row r="1129" spans="1:110" s="42" customFormat="1" ht="36" x14ac:dyDescent="0.2">
      <c r="A1129" s="89">
        <v>40678</v>
      </c>
      <c r="B1129" s="106" t="s">
        <v>4348</v>
      </c>
      <c r="C1129" s="106" t="s">
        <v>3303</v>
      </c>
      <c r="D1129" s="90" t="s">
        <v>4264</v>
      </c>
      <c r="E1129" s="90" t="str">
        <f>VLOOKUP(B1129&amp;C1129,Divipola!$C$2:$F$1138,4,FALSE)</f>
        <v>66456</v>
      </c>
      <c r="F1129" s="90"/>
      <c r="G1129" s="129"/>
      <c r="H1129" s="129"/>
      <c r="I1129" s="129"/>
      <c r="J1129" s="129"/>
      <c r="K1129" s="129"/>
      <c r="L1129" s="129"/>
      <c r="M1129" s="129"/>
      <c r="N1129" s="129"/>
      <c r="O1129" s="129"/>
      <c r="P1129" s="129"/>
      <c r="Q1129" s="129"/>
      <c r="R1129" s="129"/>
      <c r="S1129" s="129"/>
      <c r="T1129" s="129">
        <v>1</v>
      </c>
      <c r="U1129" s="129"/>
      <c r="V1129" s="129"/>
      <c r="W1129" s="107"/>
      <c r="X1129" s="105"/>
      <c r="Y1129" s="92">
        <f t="shared" si="108"/>
        <v>0</v>
      </c>
      <c r="Z1129" s="92">
        <f t="shared" si="109"/>
        <v>0</v>
      </c>
      <c r="AA1129" s="92">
        <f t="shared" si="110"/>
        <v>0</v>
      </c>
      <c r="AB1129" s="92">
        <f t="shared" si="111"/>
        <v>0</v>
      </c>
      <c r="AC1129" s="92"/>
      <c r="AD1129" s="92">
        <v>0</v>
      </c>
      <c r="AE1129" s="92">
        <f t="shared" si="112"/>
        <v>0</v>
      </c>
      <c r="AF1129" s="93">
        <v>0</v>
      </c>
      <c r="AG1129" s="105"/>
      <c r="AH1129" s="108"/>
      <c r="AI1129" s="109" t="s">
        <v>4336</v>
      </c>
      <c r="AJ1129" s="110" t="s">
        <v>4337</v>
      </c>
      <c r="AK1129" s="111"/>
      <c r="AL1129" s="105"/>
      <c r="AM1129" s="112" t="s">
        <v>368</v>
      </c>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18"/>
      <c r="CO1129" s="119"/>
      <c r="CP1129" s="118"/>
      <c r="CQ1129" s="119"/>
      <c r="CR1129" s="118"/>
      <c r="CS1129" s="119"/>
      <c r="CT1129" s="113"/>
      <c r="CU1129" s="118"/>
      <c r="CV1129" s="99">
        <f t="shared" si="107"/>
        <v>0</v>
      </c>
      <c r="CW1129" s="118"/>
      <c r="CX1129" s="119"/>
      <c r="CY1129" s="119"/>
      <c r="CZ1129" s="119"/>
      <c r="DA1129" s="118"/>
      <c r="DB1129" s="119"/>
      <c r="DC1129" s="111"/>
      <c r="DD1129" s="119"/>
      <c r="DE1129" s="111"/>
      <c r="DF1129" s="46"/>
    </row>
    <row r="1130" spans="1:110" s="42" customFormat="1" x14ac:dyDescent="0.2">
      <c r="A1130" s="89">
        <v>40678</v>
      </c>
      <c r="B1130" s="106" t="s">
        <v>4348</v>
      </c>
      <c r="C1130" s="106" t="s">
        <v>3303</v>
      </c>
      <c r="D1130" s="106" t="s">
        <v>3346</v>
      </c>
      <c r="E1130" s="90" t="str">
        <f>VLOOKUP(B1130&amp;C1130,Divipola!$C$2:$F$1138,4,FALSE)</f>
        <v>66456</v>
      </c>
      <c r="F1130" s="90"/>
      <c r="G1130" s="279"/>
      <c r="H1130" s="279"/>
      <c r="I1130" s="279"/>
      <c r="J1130" s="129">
        <v>5</v>
      </c>
      <c r="K1130" s="129">
        <v>1</v>
      </c>
      <c r="L1130" s="129"/>
      <c r="M1130" s="129">
        <v>1</v>
      </c>
      <c r="N1130" s="129"/>
      <c r="O1130" s="129"/>
      <c r="P1130" s="129"/>
      <c r="Q1130" s="129"/>
      <c r="R1130" s="129"/>
      <c r="S1130" s="129"/>
      <c r="T1130" s="129"/>
      <c r="U1130" s="129"/>
      <c r="V1130" s="129"/>
      <c r="W1130" s="107"/>
      <c r="X1130" s="105"/>
      <c r="Y1130" s="92">
        <f t="shared" si="108"/>
        <v>0</v>
      </c>
      <c r="Z1130" s="92">
        <f t="shared" si="109"/>
        <v>0</v>
      </c>
      <c r="AA1130" s="92">
        <f t="shared" si="110"/>
        <v>0</v>
      </c>
      <c r="AB1130" s="92">
        <f t="shared" si="111"/>
        <v>0</v>
      </c>
      <c r="AC1130" s="92"/>
      <c r="AD1130" s="92">
        <v>0</v>
      </c>
      <c r="AE1130" s="92">
        <f t="shared" si="112"/>
        <v>0</v>
      </c>
      <c r="AF1130" s="93">
        <v>0</v>
      </c>
      <c r="AG1130" s="105"/>
      <c r="AH1130" s="108"/>
      <c r="AI1130" s="109" t="s">
        <v>4336</v>
      </c>
      <c r="AJ1130" s="110" t="s">
        <v>4337</v>
      </c>
      <c r="AK1130" s="280"/>
      <c r="AL1130" s="281"/>
      <c r="AM1130" s="112" t="s">
        <v>2007</v>
      </c>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18"/>
      <c r="CO1130" s="119"/>
      <c r="CP1130" s="118"/>
      <c r="CQ1130" s="119"/>
      <c r="CR1130" s="118"/>
      <c r="CS1130" s="119"/>
      <c r="CT1130" s="113"/>
      <c r="CU1130" s="118"/>
      <c r="CV1130" s="99">
        <f t="shared" si="107"/>
        <v>0</v>
      </c>
      <c r="CW1130" s="118"/>
      <c r="CX1130" s="119"/>
      <c r="CY1130" s="119"/>
      <c r="CZ1130" s="119"/>
      <c r="DA1130" s="118"/>
      <c r="DB1130" s="119"/>
      <c r="DC1130" s="111"/>
      <c r="DD1130" s="119"/>
      <c r="DE1130" s="111"/>
      <c r="DF1130" s="46"/>
    </row>
    <row r="1131" spans="1:110" s="42" customFormat="1" ht="24" x14ac:dyDescent="0.2">
      <c r="A1131" s="89">
        <v>40678</v>
      </c>
      <c r="B1131" s="106" t="s">
        <v>4348</v>
      </c>
      <c r="C1131" s="106" t="s">
        <v>3303</v>
      </c>
      <c r="D1131" s="90" t="s">
        <v>2362</v>
      </c>
      <c r="E1131" s="90" t="str">
        <f>VLOOKUP(B1131&amp;C1131,Divipola!$C$2:$F$1138,4,FALSE)</f>
        <v>66456</v>
      </c>
      <c r="F1131" s="90"/>
      <c r="G1131" s="279"/>
      <c r="H1131" s="279"/>
      <c r="I1131" s="279"/>
      <c r="J1131" s="129">
        <v>45</v>
      </c>
      <c r="K1131" s="129">
        <v>9</v>
      </c>
      <c r="L1131" s="129">
        <v>2</v>
      </c>
      <c r="M1131" s="129">
        <v>7</v>
      </c>
      <c r="N1131" s="129"/>
      <c r="O1131" s="129"/>
      <c r="P1131" s="129"/>
      <c r="Q1131" s="129"/>
      <c r="R1131" s="129"/>
      <c r="S1131" s="129"/>
      <c r="T1131" s="129"/>
      <c r="U1131" s="129"/>
      <c r="V1131" s="129"/>
      <c r="W1131" s="107"/>
      <c r="X1131" s="105"/>
      <c r="Y1131" s="92">
        <f t="shared" si="108"/>
        <v>0</v>
      </c>
      <c r="Z1131" s="92">
        <f t="shared" si="109"/>
        <v>0</v>
      </c>
      <c r="AA1131" s="92">
        <f t="shared" si="110"/>
        <v>0</v>
      </c>
      <c r="AB1131" s="92">
        <f t="shared" si="111"/>
        <v>0</v>
      </c>
      <c r="AC1131" s="92"/>
      <c r="AD1131" s="92">
        <v>0</v>
      </c>
      <c r="AE1131" s="92">
        <f t="shared" si="112"/>
        <v>0</v>
      </c>
      <c r="AF1131" s="93">
        <v>0</v>
      </c>
      <c r="AG1131" s="105"/>
      <c r="AH1131" s="108"/>
      <c r="AI1131" s="109" t="s">
        <v>4336</v>
      </c>
      <c r="AJ1131" s="110" t="s">
        <v>4337</v>
      </c>
      <c r="AK1131" s="280"/>
      <c r="AL1131" s="281"/>
      <c r="AM1131" s="112" t="s">
        <v>2008</v>
      </c>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18"/>
      <c r="CO1131" s="119"/>
      <c r="CP1131" s="118"/>
      <c r="CQ1131" s="119"/>
      <c r="CR1131" s="118"/>
      <c r="CS1131" s="119"/>
      <c r="CT1131" s="113"/>
      <c r="CU1131" s="118"/>
      <c r="CV1131" s="99">
        <f t="shared" si="107"/>
        <v>0</v>
      </c>
      <c r="CW1131" s="118"/>
      <c r="CX1131" s="119"/>
      <c r="CY1131" s="119"/>
      <c r="CZ1131" s="119"/>
      <c r="DA1131" s="118"/>
      <c r="DB1131" s="119"/>
      <c r="DC1131" s="111"/>
      <c r="DD1131" s="119"/>
      <c r="DE1131" s="111"/>
      <c r="DF1131" s="46"/>
    </row>
    <row r="1132" spans="1:110" s="42" customFormat="1" ht="60" x14ac:dyDescent="0.2">
      <c r="A1132" s="89">
        <v>40678</v>
      </c>
      <c r="B1132" s="106" t="s">
        <v>3706</v>
      </c>
      <c r="C1132" s="106" t="s">
        <v>3707</v>
      </c>
      <c r="D1132" s="90" t="s">
        <v>2362</v>
      </c>
      <c r="E1132" s="90" t="str">
        <f>VLOOKUP(B1132&amp;C1132,Divipola!$C$2:$F$1138,4,FALSE)</f>
        <v>99001</v>
      </c>
      <c r="F1132" s="90"/>
      <c r="G1132" s="129"/>
      <c r="H1132" s="129"/>
      <c r="I1132" s="129"/>
      <c r="J1132" s="129"/>
      <c r="K1132" s="129"/>
      <c r="L1132" s="129"/>
      <c r="M1132" s="129"/>
      <c r="N1132" s="129">
        <v>3</v>
      </c>
      <c r="O1132" s="129"/>
      <c r="P1132" s="129"/>
      <c r="Q1132" s="129"/>
      <c r="R1132" s="129"/>
      <c r="S1132" s="129"/>
      <c r="T1132" s="129"/>
      <c r="U1132" s="129"/>
      <c r="V1132" s="129"/>
      <c r="W1132" s="107"/>
      <c r="X1132" s="105"/>
      <c r="Y1132" s="92">
        <f t="shared" si="108"/>
        <v>0</v>
      </c>
      <c r="Z1132" s="92">
        <f t="shared" si="109"/>
        <v>0</v>
      </c>
      <c r="AA1132" s="92">
        <f t="shared" si="110"/>
        <v>0</v>
      </c>
      <c r="AB1132" s="92">
        <f t="shared" si="111"/>
        <v>0</v>
      </c>
      <c r="AC1132" s="92"/>
      <c r="AD1132" s="92">
        <v>0</v>
      </c>
      <c r="AE1132" s="92">
        <f t="shared" si="112"/>
        <v>0</v>
      </c>
      <c r="AF1132" s="93">
        <v>0</v>
      </c>
      <c r="AG1132" s="105"/>
      <c r="AH1132" s="108"/>
      <c r="AI1132" s="109" t="s">
        <v>4336</v>
      </c>
      <c r="AJ1132" s="110" t="s">
        <v>4337</v>
      </c>
      <c r="AK1132" s="111"/>
      <c r="AL1132" s="105"/>
      <c r="AM1132" s="112" t="s">
        <v>2027</v>
      </c>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18"/>
      <c r="CO1132" s="119"/>
      <c r="CP1132" s="118"/>
      <c r="CQ1132" s="119"/>
      <c r="CR1132" s="118"/>
      <c r="CS1132" s="119"/>
      <c r="CT1132" s="113"/>
      <c r="CU1132" s="118"/>
      <c r="CV1132" s="99">
        <f t="shared" si="107"/>
        <v>0</v>
      </c>
      <c r="CW1132" s="118"/>
      <c r="CX1132" s="119"/>
      <c r="CY1132" s="119"/>
      <c r="CZ1132" s="119"/>
      <c r="DA1132" s="118"/>
      <c r="DB1132" s="119"/>
      <c r="DC1132" s="111"/>
      <c r="DD1132" s="119"/>
      <c r="DE1132" s="111"/>
      <c r="DF1132" s="46">
        <v>89</v>
      </c>
    </row>
    <row r="1133" spans="1:110" s="42" customFormat="1" ht="60" x14ac:dyDescent="0.2">
      <c r="A1133" s="89">
        <v>40679</v>
      </c>
      <c r="B1133" s="106" t="s">
        <v>4261</v>
      </c>
      <c r="C1133" s="106" t="s">
        <v>1231</v>
      </c>
      <c r="D1133" s="90" t="s">
        <v>2362</v>
      </c>
      <c r="E1133" s="90" t="str">
        <f>VLOOKUP(B1133&amp;C1133,Divipola!$C$2:$F$1138,4,FALSE)</f>
        <v>15507</v>
      </c>
      <c r="F1133" s="90"/>
      <c r="G1133" s="129"/>
      <c r="H1133" s="129"/>
      <c r="I1133" s="129"/>
      <c r="J1133" s="129">
        <v>180</v>
      </c>
      <c r="K1133" s="129">
        <v>36</v>
      </c>
      <c r="L1133" s="129"/>
      <c r="M1133" s="129">
        <v>35</v>
      </c>
      <c r="N1133" s="129">
        <v>1</v>
      </c>
      <c r="O1133" s="129"/>
      <c r="P1133" s="129"/>
      <c r="Q1133" s="129"/>
      <c r="R1133" s="129">
        <v>1</v>
      </c>
      <c r="S1133" s="129"/>
      <c r="T1133" s="129"/>
      <c r="U1133" s="129"/>
      <c r="V1133" s="129"/>
      <c r="W1133" s="107"/>
      <c r="X1133" s="105"/>
      <c r="Y1133" s="92">
        <f t="shared" si="108"/>
        <v>0</v>
      </c>
      <c r="Z1133" s="92">
        <f t="shared" si="109"/>
        <v>0</v>
      </c>
      <c r="AA1133" s="92">
        <f t="shared" si="110"/>
        <v>0</v>
      </c>
      <c r="AB1133" s="92">
        <f t="shared" si="111"/>
        <v>0</v>
      </c>
      <c r="AC1133" s="92"/>
      <c r="AD1133" s="92">
        <v>20000000</v>
      </c>
      <c r="AE1133" s="92">
        <f t="shared" si="112"/>
        <v>20000000</v>
      </c>
      <c r="AF1133" s="93">
        <v>0</v>
      </c>
      <c r="AG1133" s="105"/>
      <c r="AH1133" s="108"/>
      <c r="AI1133" s="109" t="s">
        <v>4346</v>
      </c>
      <c r="AJ1133" s="110" t="s">
        <v>4347</v>
      </c>
      <c r="AK1133" s="111"/>
      <c r="AL1133" s="105"/>
      <c r="AM1133" s="112" t="s">
        <v>1121</v>
      </c>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18"/>
      <c r="CO1133" s="119"/>
      <c r="CP1133" s="118"/>
      <c r="CQ1133" s="119"/>
      <c r="CR1133" s="118"/>
      <c r="CS1133" s="119"/>
      <c r="CT1133" s="113"/>
      <c r="CU1133" s="118"/>
      <c r="CV1133" s="99">
        <f t="shared" si="107"/>
        <v>0</v>
      </c>
      <c r="CW1133" s="118"/>
      <c r="CX1133" s="119"/>
      <c r="CY1133" s="119"/>
      <c r="CZ1133" s="119"/>
      <c r="DA1133" s="118"/>
      <c r="DB1133" s="119"/>
      <c r="DC1133" s="111"/>
      <c r="DD1133" s="119"/>
      <c r="DE1133" s="111"/>
      <c r="DF1133" s="46"/>
    </row>
    <row r="1134" spans="1:110" s="42" customFormat="1" ht="72" x14ac:dyDescent="0.2">
      <c r="A1134" s="89">
        <v>40679</v>
      </c>
      <c r="B1134" s="106" t="s">
        <v>4261</v>
      </c>
      <c r="C1134" s="106" t="s">
        <v>1255</v>
      </c>
      <c r="D1134" s="90" t="s">
        <v>4264</v>
      </c>
      <c r="E1134" s="90" t="str">
        <f>VLOOKUP(B1134&amp;C1134,Divipola!$C$2:$F$1138,4,FALSE)</f>
        <v>15542</v>
      </c>
      <c r="F1134" s="4"/>
      <c r="G1134" s="274"/>
      <c r="H1134" s="274"/>
      <c r="I1134" s="274"/>
      <c r="J1134" s="129">
        <v>710</v>
      </c>
      <c r="K1134" s="129">
        <v>142</v>
      </c>
      <c r="L1134" s="129">
        <v>4</v>
      </c>
      <c r="M1134" s="129">
        <v>48</v>
      </c>
      <c r="N1134" s="129"/>
      <c r="O1134" s="129"/>
      <c r="P1134" s="208"/>
      <c r="Q1134" s="208"/>
      <c r="R1134" s="208"/>
      <c r="S1134" s="208"/>
      <c r="T1134" s="208"/>
      <c r="U1134" s="208"/>
      <c r="V1134" s="208">
        <v>292</v>
      </c>
      <c r="W1134" s="19"/>
      <c r="X1134" s="17"/>
      <c r="Y1134" s="5">
        <f t="shared" si="108"/>
        <v>0</v>
      </c>
      <c r="Z1134" s="5">
        <f t="shared" si="109"/>
        <v>0</v>
      </c>
      <c r="AA1134" s="5">
        <f t="shared" si="110"/>
        <v>0</v>
      </c>
      <c r="AB1134" s="5">
        <f t="shared" si="111"/>
        <v>0</v>
      </c>
      <c r="AC1134" s="5"/>
      <c r="AD1134" s="5">
        <v>0</v>
      </c>
      <c r="AE1134" s="5">
        <f t="shared" si="112"/>
        <v>0</v>
      </c>
      <c r="AF1134" s="70">
        <v>0</v>
      </c>
      <c r="AG1134" s="17"/>
      <c r="AH1134" s="18"/>
      <c r="AI1134" s="47" t="s">
        <v>4336</v>
      </c>
      <c r="AJ1134" s="73" t="s">
        <v>4337</v>
      </c>
      <c r="AK1134" s="275"/>
      <c r="AL1134" s="276"/>
      <c r="AM1134" s="112" t="s">
        <v>1123</v>
      </c>
      <c r="AN1134" s="19"/>
      <c r="AO1134" s="19"/>
      <c r="AP1134" s="19"/>
      <c r="AQ1134" s="19"/>
      <c r="AR1134" s="19"/>
      <c r="AS1134" s="19"/>
      <c r="AT1134" s="19"/>
      <c r="AU1134" s="19"/>
      <c r="AV1134" s="19"/>
      <c r="AW1134" s="19"/>
      <c r="AX1134" s="107"/>
      <c r="AY1134" s="107"/>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39"/>
      <c r="CO1134" s="138"/>
      <c r="CP1134" s="139"/>
      <c r="CQ1134" s="138"/>
      <c r="CR1134" s="139"/>
      <c r="CS1134" s="138"/>
      <c r="CT1134" s="72"/>
      <c r="CU1134" s="139"/>
      <c r="CV1134" s="99">
        <f t="shared" si="107"/>
        <v>0</v>
      </c>
      <c r="CW1134" s="139"/>
      <c r="CX1134" s="138"/>
      <c r="CY1134" s="138"/>
      <c r="CZ1134" s="138"/>
      <c r="DA1134" s="139"/>
      <c r="DB1134" s="138"/>
      <c r="DC1134" s="45"/>
      <c r="DD1134" s="138"/>
      <c r="DE1134" s="45"/>
      <c r="DF1134" s="46"/>
    </row>
    <row r="1135" spans="1:110" s="42" customFormat="1" ht="45" x14ac:dyDescent="0.2">
      <c r="A1135" s="89">
        <v>40679</v>
      </c>
      <c r="B1135" s="90" t="s">
        <v>4219</v>
      </c>
      <c r="C1135" s="90" t="s">
        <v>2250</v>
      </c>
      <c r="D1135" s="90" t="s">
        <v>2362</v>
      </c>
      <c r="E1135" s="90" t="str">
        <f>VLOOKUP(B1135&amp;C1135,Divipola!$C$2:$F$1138,4,FALSE)</f>
        <v>41797</v>
      </c>
      <c r="F1135" s="90"/>
      <c r="G1135" s="124"/>
      <c r="H1135" s="124"/>
      <c r="I1135" s="308"/>
      <c r="J1135" s="124">
        <v>50</v>
      </c>
      <c r="K1135" s="124">
        <v>10</v>
      </c>
      <c r="L1135" s="124">
        <v>1</v>
      </c>
      <c r="M1135" s="124">
        <v>9</v>
      </c>
      <c r="N1135" s="129"/>
      <c r="O1135" s="129"/>
      <c r="P1135" s="129"/>
      <c r="Q1135" s="129"/>
      <c r="R1135" s="129"/>
      <c r="S1135" s="129"/>
      <c r="T1135" s="129"/>
      <c r="U1135" s="129"/>
      <c r="V1135" s="129"/>
      <c r="W1135" s="107"/>
      <c r="X1135" s="105"/>
      <c r="Y1135" s="92">
        <f t="shared" si="108"/>
        <v>0</v>
      </c>
      <c r="Z1135" s="92">
        <f t="shared" si="109"/>
        <v>0</v>
      </c>
      <c r="AA1135" s="92">
        <f t="shared" si="110"/>
        <v>0</v>
      </c>
      <c r="AB1135" s="92">
        <f t="shared" si="111"/>
        <v>0</v>
      </c>
      <c r="AC1135" s="92"/>
      <c r="AD1135" s="92">
        <v>0</v>
      </c>
      <c r="AE1135" s="92">
        <f t="shared" si="112"/>
        <v>0</v>
      </c>
      <c r="AF1135" s="93">
        <v>0</v>
      </c>
      <c r="AG1135" s="105"/>
      <c r="AH1135" s="108"/>
      <c r="AI1135" s="109" t="s">
        <v>4336</v>
      </c>
      <c r="AJ1135" s="110" t="s">
        <v>4337</v>
      </c>
      <c r="AK1135" s="309"/>
      <c r="AL1135" s="310"/>
      <c r="AM1135" s="128" t="s">
        <v>4171</v>
      </c>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c r="BJ1135" s="107"/>
      <c r="BK1135" s="107"/>
      <c r="BL1135" s="107"/>
      <c r="BM1135" s="107"/>
      <c r="BN1135" s="107"/>
      <c r="BO1135" s="107"/>
      <c r="BP1135" s="107"/>
      <c r="BQ1135" s="107"/>
      <c r="BR1135" s="107"/>
      <c r="BS1135" s="107"/>
      <c r="BT1135" s="107"/>
      <c r="BU1135" s="107"/>
      <c r="BV1135" s="107"/>
      <c r="BW1135" s="107"/>
      <c r="BX1135" s="107"/>
      <c r="BY1135" s="107"/>
      <c r="BZ1135" s="107"/>
      <c r="CA1135" s="107"/>
      <c r="CB1135" s="107"/>
      <c r="CC1135" s="107"/>
      <c r="CD1135" s="107"/>
      <c r="CE1135" s="107"/>
      <c r="CF1135" s="107"/>
      <c r="CG1135" s="107"/>
      <c r="CH1135" s="107"/>
      <c r="CI1135" s="107"/>
      <c r="CJ1135" s="107"/>
      <c r="CK1135" s="107"/>
      <c r="CL1135" s="107"/>
      <c r="CM1135" s="107"/>
      <c r="CN1135" s="118"/>
      <c r="CO1135" s="119"/>
      <c r="CP1135" s="118"/>
      <c r="CQ1135" s="119"/>
      <c r="CR1135" s="118"/>
      <c r="CS1135" s="119"/>
      <c r="CT1135" s="113"/>
      <c r="CU1135" s="118"/>
      <c r="CV1135" s="99">
        <f t="shared" si="107"/>
        <v>0</v>
      </c>
      <c r="CW1135" s="118"/>
      <c r="CX1135" s="119"/>
      <c r="CY1135" s="119"/>
      <c r="CZ1135" s="119"/>
      <c r="DA1135" s="118"/>
      <c r="DB1135" s="119"/>
      <c r="DC1135" s="111"/>
      <c r="DD1135" s="119"/>
      <c r="DE1135" s="111"/>
      <c r="DF1135" s="46"/>
    </row>
    <row r="1136" spans="1:110" s="42" customFormat="1" ht="22.5" x14ac:dyDescent="0.2">
      <c r="A1136" s="89">
        <v>40679</v>
      </c>
      <c r="B1136" s="90" t="s">
        <v>4387</v>
      </c>
      <c r="C1136" s="90" t="s">
        <v>2243</v>
      </c>
      <c r="D1136" s="90" t="s">
        <v>2362</v>
      </c>
      <c r="E1136" s="90" t="str">
        <f>VLOOKUP(B1136&amp;C1136,Divipola!$C$2:$F$1138,4,FALSE)</f>
        <v>52083</v>
      </c>
      <c r="F1136" s="90"/>
      <c r="G1136" s="124"/>
      <c r="H1136" s="124"/>
      <c r="I1136" s="308"/>
      <c r="J1136" s="124"/>
      <c r="K1136" s="124"/>
      <c r="L1136" s="124"/>
      <c r="M1136" s="124"/>
      <c r="N1136" s="129">
        <v>1</v>
      </c>
      <c r="O1136" s="129"/>
      <c r="P1136" s="129"/>
      <c r="Q1136" s="129"/>
      <c r="R1136" s="129"/>
      <c r="S1136" s="129"/>
      <c r="T1136" s="129"/>
      <c r="U1136" s="129"/>
      <c r="V1136" s="129"/>
      <c r="W1136" s="107"/>
      <c r="X1136" s="105"/>
      <c r="Y1136" s="92">
        <f t="shared" si="108"/>
        <v>0</v>
      </c>
      <c r="Z1136" s="92">
        <f t="shared" si="109"/>
        <v>0</v>
      </c>
      <c r="AA1136" s="92">
        <f t="shared" si="110"/>
        <v>0</v>
      </c>
      <c r="AB1136" s="92">
        <f t="shared" si="111"/>
        <v>0</v>
      </c>
      <c r="AC1136" s="92"/>
      <c r="AD1136" s="92">
        <v>0</v>
      </c>
      <c r="AE1136" s="92">
        <f t="shared" si="112"/>
        <v>0</v>
      </c>
      <c r="AF1136" s="93">
        <v>0</v>
      </c>
      <c r="AG1136" s="105"/>
      <c r="AH1136" s="108"/>
      <c r="AI1136" s="109" t="s">
        <v>4336</v>
      </c>
      <c r="AJ1136" s="110" t="s">
        <v>4337</v>
      </c>
      <c r="AK1136" s="111"/>
      <c r="AL1136" s="105" t="s">
        <v>1069</v>
      </c>
      <c r="AM1136" s="128" t="s">
        <v>84</v>
      </c>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18"/>
      <c r="CO1136" s="119"/>
      <c r="CP1136" s="118"/>
      <c r="CQ1136" s="119"/>
      <c r="CR1136" s="118"/>
      <c r="CS1136" s="119"/>
      <c r="CT1136" s="113"/>
      <c r="CU1136" s="118"/>
      <c r="CV1136" s="99">
        <f t="shared" si="107"/>
        <v>0</v>
      </c>
      <c r="CW1136" s="118"/>
      <c r="CX1136" s="119"/>
      <c r="CY1136" s="119"/>
      <c r="CZ1136" s="119"/>
      <c r="DA1136" s="118"/>
      <c r="DB1136" s="119"/>
      <c r="DC1136" s="111"/>
      <c r="DD1136" s="119"/>
      <c r="DE1136" s="111"/>
      <c r="DF1136" s="46"/>
    </row>
    <row r="1137" spans="1:110" s="42" customFormat="1" ht="24" x14ac:dyDescent="0.2">
      <c r="A1137" s="89">
        <v>40679</v>
      </c>
      <c r="B1137" s="106" t="s">
        <v>4387</v>
      </c>
      <c r="C1137" s="106" t="s">
        <v>847</v>
      </c>
      <c r="D1137" s="90" t="s">
        <v>2362</v>
      </c>
      <c r="E1137" s="90" t="str">
        <f>VLOOKUP(B1137&amp;C1137,Divipola!$C$2:$F$1138,4,FALSE)</f>
        <v>52110</v>
      </c>
      <c r="F1137" s="90"/>
      <c r="G1137" s="129"/>
      <c r="H1137" s="129"/>
      <c r="I1137" s="129"/>
      <c r="J1137" s="129">
        <v>5920</v>
      </c>
      <c r="K1137" s="129">
        <v>2667</v>
      </c>
      <c r="L1137" s="129">
        <v>87</v>
      </c>
      <c r="M1137" s="129">
        <v>2470</v>
      </c>
      <c r="N1137" s="129"/>
      <c r="O1137" s="129"/>
      <c r="P1137" s="129"/>
      <c r="Q1137" s="129"/>
      <c r="R1137" s="129"/>
      <c r="S1137" s="129"/>
      <c r="T1137" s="129"/>
      <c r="U1137" s="129"/>
      <c r="V1137" s="129">
        <v>916</v>
      </c>
      <c r="W1137" s="107"/>
      <c r="X1137" s="105"/>
      <c r="Y1137" s="92">
        <f t="shared" si="108"/>
        <v>0</v>
      </c>
      <c r="Z1137" s="92">
        <f t="shared" si="109"/>
        <v>0</v>
      </c>
      <c r="AA1137" s="92">
        <f t="shared" si="110"/>
        <v>0</v>
      </c>
      <c r="AB1137" s="92">
        <f t="shared" si="111"/>
        <v>0</v>
      </c>
      <c r="AC1137" s="92"/>
      <c r="AD1137" s="92">
        <v>0</v>
      </c>
      <c r="AE1137" s="92">
        <f t="shared" si="112"/>
        <v>0</v>
      </c>
      <c r="AF1137" s="93">
        <v>0</v>
      </c>
      <c r="AG1137" s="105"/>
      <c r="AH1137" s="108"/>
      <c r="AI1137" s="109" t="s">
        <v>4336</v>
      </c>
      <c r="AJ1137" s="110" t="s">
        <v>4337</v>
      </c>
      <c r="AK1137" s="111"/>
      <c r="AL1137" s="105" t="s">
        <v>1069</v>
      </c>
      <c r="AM1137" s="112" t="s">
        <v>85</v>
      </c>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18"/>
      <c r="CO1137" s="119"/>
      <c r="CP1137" s="118"/>
      <c r="CQ1137" s="119"/>
      <c r="CR1137" s="118"/>
      <c r="CS1137" s="119"/>
      <c r="CT1137" s="113"/>
      <c r="CU1137" s="118"/>
      <c r="CV1137" s="99">
        <f t="shared" si="107"/>
        <v>0</v>
      </c>
      <c r="CW1137" s="118"/>
      <c r="CX1137" s="119"/>
      <c r="CY1137" s="119"/>
      <c r="CZ1137" s="119"/>
      <c r="DA1137" s="118"/>
      <c r="DB1137" s="119"/>
      <c r="DC1137" s="111"/>
      <c r="DD1137" s="119"/>
      <c r="DE1137" s="111"/>
      <c r="DF1137" s="46"/>
    </row>
    <row r="1138" spans="1:110" s="42" customFormat="1" ht="60" x14ac:dyDescent="0.2">
      <c r="A1138" s="89">
        <v>40679</v>
      </c>
      <c r="B1138" s="106" t="s">
        <v>4387</v>
      </c>
      <c r="C1138" s="106" t="s">
        <v>855</v>
      </c>
      <c r="D1138" s="90" t="s">
        <v>4264</v>
      </c>
      <c r="E1138" s="90" t="str">
        <f>VLOOKUP(B1138&amp;C1138,Divipola!$C$2:$F$1138,4,FALSE)</f>
        <v>52260</v>
      </c>
      <c r="F1138" s="90"/>
      <c r="G1138" s="129"/>
      <c r="H1138" s="129"/>
      <c r="I1138" s="129"/>
      <c r="J1138" s="129">
        <v>1298</v>
      </c>
      <c r="K1138" s="129">
        <v>357</v>
      </c>
      <c r="L1138" s="129">
        <v>109</v>
      </c>
      <c r="M1138" s="129">
        <v>248</v>
      </c>
      <c r="N1138" s="129">
        <v>7</v>
      </c>
      <c r="O1138" s="129"/>
      <c r="P1138" s="129"/>
      <c r="Q1138" s="129"/>
      <c r="R1138" s="129"/>
      <c r="S1138" s="129"/>
      <c r="T1138" s="129">
        <v>2</v>
      </c>
      <c r="U1138" s="129"/>
      <c r="V1138" s="129"/>
      <c r="W1138" s="107"/>
      <c r="X1138" s="105"/>
      <c r="Y1138" s="92">
        <f t="shared" si="108"/>
        <v>0</v>
      </c>
      <c r="Z1138" s="92">
        <f t="shared" si="109"/>
        <v>0</v>
      </c>
      <c r="AA1138" s="92">
        <f t="shared" si="110"/>
        <v>0</v>
      </c>
      <c r="AB1138" s="92">
        <f t="shared" si="111"/>
        <v>0</v>
      </c>
      <c r="AC1138" s="92"/>
      <c r="AD1138" s="92">
        <v>0</v>
      </c>
      <c r="AE1138" s="92">
        <f t="shared" si="112"/>
        <v>0</v>
      </c>
      <c r="AF1138" s="93">
        <v>0</v>
      </c>
      <c r="AG1138" s="105"/>
      <c r="AH1138" s="108"/>
      <c r="AI1138" s="109" t="s">
        <v>4336</v>
      </c>
      <c r="AJ1138" s="110" t="s">
        <v>4337</v>
      </c>
      <c r="AK1138" s="111"/>
      <c r="AL1138" s="105" t="s">
        <v>1069</v>
      </c>
      <c r="AM1138" s="112" t="s">
        <v>86</v>
      </c>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18"/>
      <c r="CO1138" s="119"/>
      <c r="CP1138" s="118"/>
      <c r="CQ1138" s="119"/>
      <c r="CR1138" s="118"/>
      <c r="CS1138" s="119"/>
      <c r="CT1138" s="113"/>
      <c r="CU1138" s="118"/>
      <c r="CV1138" s="99">
        <f t="shared" si="107"/>
        <v>0</v>
      </c>
      <c r="CW1138" s="118"/>
      <c r="CX1138" s="119"/>
      <c r="CY1138" s="119"/>
      <c r="CZ1138" s="119"/>
      <c r="DA1138" s="118"/>
      <c r="DB1138" s="119"/>
      <c r="DC1138" s="111"/>
      <c r="DD1138" s="119"/>
      <c r="DE1138" s="111"/>
      <c r="DF1138" s="46"/>
    </row>
    <row r="1139" spans="1:110" s="42" customFormat="1" ht="33.75" x14ac:dyDescent="0.2">
      <c r="A1139" s="89">
        <v>40679</v>
      </c>
      <c r="B1139" s="90" t="s">
        <v>4387</v>
      </c>
      <c r="C1139" s="90" t="s">
        <v>3470</v>
      </c>
      <c r="D1139" s="90" t="s">
        <v>4264</v>
      </c>
      <c r="E1139" s="90" t="str">
        <f>VLOOKUP(B1139&amp;C1139,Divipola!$C$2:$F$1138,4,FALSE)</f>
        <v>52685</v>
      </c>
      <c r="F1139" s="90"/>
      <c r="G1139" s="124">
        <v>1</v>
      </c>
      <c r="H1139" s="124"/>
      <c r="I1139" s="308"/>
      <c r="J1139" s="124"/>
      <c r="K1139" s="124"/>
      <c r="L1139" s="124"/>
      <c r="M1139" s="124"/>
      <c r="N1139" s="129"/>
      <c r="O1139" s="129"/>
      <c r="P1139" s="129"/>
      <c r="Q1139" s="129"/>
      <c r="R1139" s="129"/>
      <c r="S1139" s="129"/>
      <c r="T1139" s="129"/>
      <c r="U1139" s="129"/>
      <c r="V1139" s="129"/>
      <c r="W1139" s="107"/>
      <c r="X1139" s="105"/>
      <c r="Y1139" s="92">
        <f t="shared" si="108"/>
        <v>0</v>
      </c>
      <c r="Z1139" s="92">
        <f t="shared" si="109"/>
        <v>0</v>
      </c>
      <c r="AA1139" s="92">
        <f t="shared" si="110"/>
        <v>0</v>
      </c>
      <c r="AB1139" s="92">
        <f t="shared" si="111"/>
        <v>0</v>
      </c>
      <c r="AC1139" s="92"/>
      <c r="AD1139" s="92">
        <v>0</v>
      </c>
      <c r="AE1139" s="92">
        <f t="shared" si="112"/>
        <v>0</v>
      </c>
      <c r="AF1139" s="93">
        <v>0</v>
      </c>
      <c r="AG1139" s="105"/>
      <c r="AH1139" s="108"/>
      <c r="AI1139" s="109" t="s">
        <v>4336</v>
      </c>
      <c r="AJ1139" s="110" t="s">
        <v>4337</v>
      </c>
      <c r="AK1139" s="309"/>
      <c r="AL1139" s="310"/>
      <c r="AM1139" s="128" t="s">
        <v>4181</v>
      </c>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18"/>
      <c r="CO1139" s="119"/>
      <c r="CP1139" s="118"/>
      <c r="CQ1139" s="119"/>
      <c r="CR1139" s="118"/>
      <c r="CS1139" s="119"/>
      <c r="CT1139" s="113"/>
      <c r="CU1139" s="118"/>
      <c r="CV1139" s="99">
        <f t="shared" si="107"/>
        <v>0</v>
      </c>
      <c r="CW1139" s="118"/>
      <c r="CX1139" s="119"/>
      <c r="CY1139" s="119"/>
      <c r="CZ1139" s="119"/>
      <c r="DA1139" s="118"/>
      <c r="DB1139" s="119"/>
      <c r="DC1139" s="111"/>
      <c r="DD1139" s="119"/>
      <c r="DE1139" s="111"/>
      <c r="DF1139" s="46"/>
    </row>
    <row r="1140" spans="1:110" s="42" customFormat="1" ht="45" x14ac:dyDescent="0.2">
      <c r="A1140" s="89">
        <v>40679</v>
      </c>
      <c r="B1140" s="90" t="s">
        <v>4221</v>
      </c>
      <c r="C1140" s="90" t="s">
        <v>4372</v>
      </c>
      <c r="D1140" s="90" t="s">
        <v>4264</v>
      </c>
      <c r="E1140" s="90" t="str">
        <f>VLOOKUP(B1140&amp;C1140,Divipola!$C$2:$F$1138,4,FALSE)</f>
        <v>54498</v>
      </c>
      <c r="F1140" s="90"/>
      <c r="G1140" s="124"/>
      <c r="H1140" s="124"/>
      <c r="I1140" s="308"/>
      <c r="J1140" s="124">
        <v>25</v>
      </c>
      <c r="K1140" s="124">
        <v>5</v>
      </c>
      <c r="L1140" s="124"/>
      <c r="M1140" s="124">
        <v>5</v>
      </c>
      <c r="N1140" s="129"/>
      <c r="O1140" s="129"/>
      <c r="P1140" s="129"/>
      <c r="Q1140" s="129"/>
      <c r="R1140" s="129"/>
      <c r="S1140" s="129"/>
      <c r="T1140" s="129"/>
      <c r="U1140" s="129"/>
      <c r="V1140" s="129"/>
      <c r="W1140" s="107"/>
      <c r="X1140" s="105"/>
      <c r="Y1140" s="92">
        <f t="shared" si="108"/>
        <v>0</v>
      </c>
      <c r="Z1140" s="92">
        <f t="shared" si="109"/>
        <v>0</v>
      </c>
      <c r="AA1140" s="92">
        <f t="shared" si="110"/>
        <v>0</v>
      </c>
      <c r="AB1140" s="92">
        <f t="shared" si="111"/>
        <v>0</v>
      </c>
      <c r="AC1140" s="92"/>
      <c r="AD1140" s="92">
        <v>180000000</v>
      </c>
      <c r="AE1140" s="92">
        <f t="shared" si="112"/>
        <v>180000000</v>
      </c>
      <c r="AF1140" s="93">
        <v>0</v>
      </c>
      <c r="AG1140" s="105"/>
      <c r="AH1140" s="108"/>
      <c r="AI1140" s="102" t="s">
        <v>4346</v>
      </c>
      <c r="AJ1140" s="96" t="s">
        <v>4347</v>
      </c>
      <c r="AK1140" s="309"/>
      <c r="AL1140" s="310"/>
      <c r="AM1140" s="128" t="s">
        <v>387</v>
      </c>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18"/>
      <c r="CO1140" s="119"/>
      <c r="CP1140" s="118"/>
      <c r="CQ1140" s="119"/>
      <c r="CR1140" s="118"/>
      <c r="CS1140" s="119"/>
      <c r="CT1140" s="113"/>
      <c r="CU1140" s="118"/>
      <c r="CV1140" s="99">
        <f t="shared" si="107"/>
        <v>0</v>
      </c>
      <c r="CW1140" s="118"/>
      <c r="CX1140" s="119"/>
      <c r="CY1140" s="119"/>
      <c r="CZ1140" s="119"/>
      <c r="DA1140" s="118"/>
      <c r="DB1140" s="119"/>
      <c r="DC1140" s="111"/>
      <c r="DD1140" s="119"/>
      <c r="DE1140" s="111"/>
      <c r="DF1140" s="46"/>
    </row>
    <row r="1141" spans="1:110" s="42" customFormat="1" ht="78.75" x14ac:dyDescent="0.2">
      <c r="A1141" s="89">
        <v>40679</v>
      </c>
      <c r="B1141" s="90" t="s">
        <v>2226</v>
      </c>
      <c r="C1141" s="90" t="s">
        <v>4243</v>
      </c>
      <c r="D1141" s="90" t="s">
        <v>2362</v>
      </c>
      <c r="E1141" s="90" t="str">
        <f>VLOOKUP(B1141&amp;C1141,Divipola!$C$2:$F$1138,4,FALSE)</f>
        <v>68081</v>
      </c>
      <c r="F1141" s="90"/>
      <c r="G1141" s="124">
        <v>2</v>
      </c>
      <c r="H1141" s="124">
        <v>4</v>
      </c>
      <c r="I1141" s="308"/>
      <c r="J1141" s="124">
        <v>20</v>
      </c>
      <c r="K1141" s="124">
        <v>4</v>
      </c>
      <c r="L1141" s="124">
        <v>1</v>
      </c>
      <c r="M1141" s="124">
        <v>3</v>
      </c>
      <c r="N1141" s="129">
        <v>1</v>
      </c>
      <c r="O1141" s="129"/>
      <c r="P1141" s="129"/>
      <c r="Q1141" s="129"/>
      <c r="R1141" s="129"/>
      <c r="S1141" s="129"/>
      <c r="T1141" s="129"/>
      <c r="U1141" s="129"/>
      <c r="V1141" s="129"/>
      <c r="W1141" s="107"/>
      <c r="X1141" s="105"/>
      <c r="Y1141" s="92">
        <f t="shared" si="108"/>
        <v>0</v>
      </c>
      <c r="Z1141" s="92">
        <f t="shared" si="109"/>
        <v>0</v>
      </c>
      <c r="AA1141" s="92">
        <f t="shared" si="110"/>
        <v>0</v>
      </c>
      <c r="AB1141" s="92">
        <f t="shared" si="111"/>
        <v>0</v>
      </c>
      <c r="AC1141" s="92"/>
      <c r="AD1141" s="92">
        <v>0</v>
      </c>
      <c r="AE1141" s="92">
        <f t="shared" si="112"/>
        <v>0</v>
      </c>
      <c r="AF1141" s="93">
        <v>0</v>
      </c>
      <c r="AG1141" s="105"/>
      <c r="AH1141" s="108"/>
      <c r="AI1141" s="95" t="s">
        <v>4346</v>
      </c>
      <c r="AJ1141" s="96" t="s">
        <v>4347</v>
      </c>
      <c r="AK1141" s="97"/>
      <c r="AL1141" s="89" t="s">
        <v>1049</v>
      </c>
      <c r="AM1141" s="128" t="s">
        <v>2844</v>
      </c>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18"/>
      <c r="CO1141" s="119"/>
      <c r="CP1141" s="118"/>
      <c r="CQ1141" s="119"/>
      <c r="CR1141" s="118"/>
      <c r="CS1141" s="119"/>
      <c r="CT1141" s="113"/>
      <c r="CU1141" s="118"/>
      <c r="CV1141" s="99">
        <f t="shared" si="107"/>
        <v>0</v>
      </c>
      <c r="CW1141" s="118"/>
      <c r="CX1141" s="119"/>
      <c r="CY1141" s="119"/>
      <c r="CZ1141" s="119"/>
      <c r="DA1141" s="118"/>
      <c r="DB1141" s="119"/>
      <c r="DC1141" s="111"/>
      <c r="DD1141" s="119"/>
      <c r="DE1141" s="111"/>
      <c r="DF1141" s="46"/>
    </row>
    <row r="1142" spans="1:110" s="42" customFormat="1" ht="22.5" x14ac:dyDescent="0.2">
      <c r="A1142" s="89">
        <v>40679</v>
      </c>
      <c r="B1142" s="90" t="s">
        <v>2204</v>
      </c>
      <c r="C1142" s="90" t="s">
        <v>4274</v>
      </c>
      <c r="D1142" s="90" t="s">
        <v>4264</v>
      </c>
      <c r="E1142" s="90" t="str">
        <f>VLOOKUP(B1142&amp;C1142,Divipola!$C$2:$F$1138,4,FALSE)</f>
        <v>70124</v>
      </c>
      <c r="F1142" s="90"/>
      <c r="G1142" s="124"/>
      <c r="H1142" s="124"/>
      <c r="I1142" s="308"/>
      <c r="J1142" s="124">
        <v>288</v>
      </c>
      <c r="K1142" s="124">
        <v>75</v>
      </c>
      <c r="L1142" s="124">
        <v>1</v>
      </c>
      <c r="M1142" s="124">
        <v>74</v>
      </c>
      <c r="N1142" s="129"/>
      <c r="O1142" s="129"/>
      <c r="P1142" s="129"/>
      <c r="Q1142" s="129"/>
      <c r="R1142" s="129"/>
      <c r="S1142" s="129"/>
      <c r="T1142" s="129"/>
      <c r="U1142" s="129"/>
      <c r="V1142" s="129"/>
      <c r="W1142" s="107"/>
      <c r="X1142" s="105"/>
      <c r="Y1142" s="92">
        <f t="shared" si="108"/>
        <v>0</v>
      </c>
      <c r="Z1142" s="92">
        <f t="shared" si="109"/>
        <v>0</v>
      </c>
      <c r="AA1142" s="92">
        <f t="shared" si="110"/>
        <v>0</v>
      </c>
      <c r="AB1142" s="92">
        <f t="shared" si="111"/>
        <v>0</v>
      </c>
      <c r="AC1142" s="92"/>
      <c r="AD1142" s="92">
        <v>0</v>
      </c>
      <c r="AE1142" s="92">
        <f t="shared" si="112"/>
        <v>0</v>
      </c>
      <c r="AF1142" s="93">
        <v>0</v>
      </c>
      <c r="AG1142" s="105"/>
      <c r="AH1142" s="108"/>
      <c r="AI1142" s="109" t="s">
        <v>4336</v>
      </c>
      <c r="AJ1142" s="110" t="s">
        <v>4337</v>
      </c>
      <c r="AK1142" s="309"/>
      <c r="AL1142" s="310"/>
      <c r="AM1142" s="128" t="s">
        <v>4172</v>
      </c>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18"/>
      <c r="CO1142" s="119"/>
      <c r="CP1142" s="118"/>
      <c r="CQ1142" s="119"/>
      <c r="CR1142" s="118"/>
      <c r="CS1142" s="119"/>
      <c r="CT1142" s="113"/>
      <c r="CU1142" s="118"/>
      <c r="CV1142" s="99">
        <f t="shared" si="107"/>
        <v>0</v>
      </c>
      <c r="CW1142" s="118"/>
      <c r="CX1142" s="119"/>
      <c r="CY1142" s="119"/>
      <c r="CZ1142" s="119"/>
      <c r="DA1142" s="118"/>
      <c r="DB1142" s="119"/>
      <c r="DC1142" s="111"/>
      <c r="DD1142" s="119"/>
      <c r="DE1142" s="111"/>
      <c r="DF1142" s="46"/>
    </row>
    <row r="1143" spans="1:110" s="42" customFormat="1" x14ac:dyDescent="0.2">
      <c r="A1143" s="89">
        <v>40680</v>
      </c>
      <c r="B1143" s="106" t="s">
        <v>3505</v>
      </c>
      <c r="C1143" s="106" t="s">
        <v>3685</v>
      </c>
      <c r="D1143" s="90" t="s">
        <v>4264</v>
      </c>
      <c r="E1143" s="90" t="str">
        <f>VLOOKUP(B1143&amp;C1143,Divipola!$C$2:$F$1138,4,FALSE)</f>
        <v>91540</v>
      </c>
      <c r="F1143" s="90"/>
      <c r="G1143" s="129"/>
      <c r="H1143" s="129"/>
      <c r="I1143" s="129"/>
      <c r="J1143" s="129">
        <f>405*5</f>
        <v>2025</v>
      </c>
      <c r="K1143" s="129">
        <v>405</v>
      </c>
      <c r="L1143" s="129"/>
      <c r="M1143" s="129">
        <v>405</v>
      </c>
      <c r="N1143" s="129"/>
      <c r="O1143" s="129"/>
      <c r="P1143" s="129"/>
      <c r="Q1143" s="129"/>
      <c r="R1143" s="129"/>
      <c r="S1143" s="129"/>
      <c r="T1143" s="129"/>
      <c r="U1143" s="129"/>
      <c r="V1143" s="129"/>
      <c r="W1143" s="107"/>
      <c r="X1143" s="105"/>
      <c r="Y1143" s="92">
        <f t="shared" si="108"/>
        <v>0</v>
      </c>
      <c r="Z1143" s="92">
        <f t="shared" si="109"/>
        <v>0</v>
      </c>
      <c r="AA1143" s="92">
        <f t="shared" si="110"/>
        <v>0</v>
      </c>
      <c r="AB1143" s="92">
        <f t="shared" si="111"/>
        <v>0</v>
      </c>
      <c r="AC1143" s="92"/>
      <c r="AD1143" s="92">
        <v>0</v>
      </c>
      <c r="AE1143" s="92">
        <f t="shared" si="112"/>
        <v>0</v>
      </c>
      <c r="AF1143" s="93">
        <v>0</v>
      </c>
      <c r="AG1143" s="105"/>
      <c r="AH1143" s="108"/>
      <c r="AI1143" s="109" t="s">
        <v>4336</v>
      </c>
      <c r="AJ1143" s="110" t="s">
        <v>4337</v>
      </c>
      <c r="AK1143" s="111"/>
      <c r="AL1143" s="105"/>
      <c r="AM1143" s="112"/>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18"/>
      <c r="CO1143" s="119"/>
      <c r="CP1143" s="118"/>
      <c r="CQ1143" s="119"/>
      <c r="CR1143" s="118"/>
      <c r="CS1143" s="119"/>
      <c r="CT1143" s="113"/>
      <c r="CU1143" s="118"/>
      <c r="CV1143" s="99">
        <f t="shared" si="107"/>
        <v>0</v>
      </c>
      <c r="CW1143" s="118"/>
      <c r="CX1143" s="119"/>
      <c r="CY1143" s="119"/>
      <c r="CZ1143" s="119"/>
      <c r="DA1143" s="118"/>
      <c r="DB1143" s="119"/>
      <c r="DC1143" s="111"/>
      <c r="DD1143" s="119"/>
      <c r="DE1143" s="111"/>
      <c r="DF1143" s="46"/>
    </row>
    <row r="1144" spans="1:110" s="42" customFormat="1" ht="36" x14ac:dyDescent="0.2">
      <c r="A1144" s="89">
        <v>40680</v>
      </c>
      <c r="B1144" s="106" t="s">
        <v>2218</v>
      </c>
      <c r="C1144" s="106" t="s">
        <v>4355</v>
      </c>
      <c r="D1144" s="90" t="s">
        <v>4264</v>
      </c>
      <c r="E1144" s="90" t="str">
        <f>VLOOKUP(B1144&amp;C1144,Divipola!$C$2:$F$1138,4,FALSE)</f>
        <v>05031</v>
      </c>
      <c r="F1144" s="90"/>
      <c r="G1144" s="129"/>
      <c r="H1144" s="129"/>
      <c r="I1144" s="129"/>
      <c r="J1144" s="129">
        <v>2000</v>
      </c>
      <c r="K1144" s="129">
        <v>400</v>
      </c>
      <c r="L1144" s="129"/>
      <c r="M1144" s="129">
        <v>400</v>
      </c>
      <c r="N1144" s="129"/>
      <c r="O1144" s="129"/>
      <c r="P1144" s="129"/>
      <c r="Q1144" s="129"/>
      <c r="R1144" s="129"/>
      <c r="S1144" s="129"/>
      <c r="T1144" s="129"/>
      <c r="U1144" s="129"/>
      <c r="V1144" s="129"/>
      <c r="W1144" s="107"/>
      <c r="X1144" s="105"/>
      <c r="Y1144" s="92">
        <f t="shared" si="108"/>
        <v>0</v>
      </c>
      <c r="Z1144" s="92">
        <f t="shared" si="109"/>
        <v>0</v>
      </c>
      <c r="AA1144" s="92">
        <f t="shared" si="110"/>
        <v>0</v>
      </c>
      <c r="AB1144" s="92">
        <f t="shared" si="111"/>
        <v>0</v>
      </c>
      <c r="AC1144" s="92"/>
      <c r="AD1144" s="92">
        <v>0</v>
      </c>
      <c r="AE1144" s="92">
        <f t="shared" si="112"/>
        <v>0</v>
      </c>
      <c r="AF1144" s="93">
        <v>0</v>
      </c>
      <c r="AG1144" s="105"/>
      <c r="AH1144" s="108"/>
      <c r="AI1144" s="109" t="s">
        <v>4336</v>
      </c>
      <c r="AJ1144" s="110" t="s">
        <v>4337</v>
      </c>
      <c r="AK1144" s="111"/>
      <c r="AL1144" s="105"/>
      <c r="AM1144" s="112" t="s">
        <v>4123</v>
      </c>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c r="BJ1144" s="107"/>
      <c r="BK1144" s="107"/>
      <c r="BL1144" s="107"/>
      <c r="BM1144" s="107"/>
      <c r="BN1144" s="107"/>
      <c r="BO1144" s="107"/>
      <c r="BP1144" s="107"/>
      <c r="BQ1144" s="107"/>
      <c r="BR1144" s="107"/>
      <c r="BS1144" s="107"/>
      <c r="BT1144" s="107"/>
      <c r="BU1144" s="107"/>
      <c r="BV1144" s="107"/>
      <c r="BW1144" s="107"/>
      <c r="BX1144" s="107"/>
      <c r="BY1144" s="107"/>
      <c r="BZ1144" s="107"/>
      <c r="CA1144" s="107"/>
      <c r="CB1144" s="107"/>
      <c r="CC1144" s="107"/>
      <c r="CD1144" s="107"/>
      <c r="CE1144" s="107"/>
      <c r="CF1144" s="107"/>
      <c r="CG1144" s="107"/>
      <c r="CH1144" s="107"/>
      <c r="CI1144" s="107"/>
      <c r="CJ1144" s="107"/>
      <c r="CK1144" s="107"/>
      <c r="CL1144" s="107"/>
      <c r="CM1144" s="107"/>
      <c r="CN1144" s="118"/>
      <c r="CO1144" s="119"/>
      <c r="CP1144" s="118"/>
      <c r="CQ1144" s="119"/>
      <c r="CR1144" s="118"/>
      <c r="CS1144" s="119"/>
      <c r="CT1144" s="113"/>
      <c r="CU1144" s="118"/>
      <c r="CV1144" s="99">
        <f t="shared" si="107"/>
        <v>0</v>
      </c>
      <c r="CW1144" s="118"/>
      <c r="CX1144" s="119"/>
      <c r="CY1144" s="119"/>
      <c r="CZ1144" s="119"/>
      <c r="DA1144" s="118"/>
      <c r="DB1144" s="119"/>
      <c r="DC1144" s="111"/>
      <c r="DD1144" s="119"/>
      <c r="DE1144" s="111"/>
      <c r="DF1144" s="46"/>
    </row>
    <row r="1145" spans="1:110" s="42" customFormat="1" ht="22.5" x14ac:dyDescent="0.2">
      <c r="A1145" s="89">
        <v>40680</v>
      </c>
      <c r="B1145" s="90" t="s">
        <v>1116</v>
      </c>
      <c r="C1145" s="90" t="s">
        <v>1116</v>
      </c>
      <c r="D1145" s="90" t="s">
        <v>2362</v>
      </c>
      <c r="E1145" s="90" t="str">
        <f>VLOOKUP(B1145&amp;C1145,Divipola!$C$2:$F$1138,4,FALSE)</f>
        <v>11001</v>
      </c>
      <c r="F1145" s="90"/>
      <c r="G1145" s="124"/>
      <c r="H1145" s="124"/>
      <c r="I1145" s="308"/>
      <c r="J1145" s="124">
        <v>34</v>
      </c>
      <c r="K1145" s="124">
        <v>7</v>
      </c>
      <c r="L1145" s="124"/>
      <c r="M1145" s="124">
        <v>7</v>
      </c>
      <c r="N1145" s="129"/>
      <c r="O1145" s="129"/>
      <c r="P1145" s="129"/>
      <c r="Q1145" s="129"/>
      <c r="R1145" s="129"/>
      <c r="S1145" s="129"/>
      <c r="T1145" s="129"/>
      <c r="U1145" s="129"/>
      <c r="V1145" s="129"/>
      <c r="W1145" s="107"/>
      <c r="X1145" s="105"/>
      <c r="Y1145" s="92">
        <f t="shared" si="108"/>
        <v>0</v>
      </c>
      <c r="Z1145" s="92">
        <f t="shared" si="109"/>
        <v>0</v>
      </c>
      <c r="AA1145" s="92">
        <f t="shared" si="110"/>
        <v>0</v>
      </c>
      <c r="AB1145" s="92">
        <f t="shared" si="111"/>
        <v>0</v>
      </c>
      <c r="AC1145" s="92"/>
      <c r="AD1145" s="92">
        <v>0</v>
      </c>
      <c r="AE1145" s="92">
        <f t="shared" si="112"/>
        <v>0</v>
      </c>
      <c r="AF1145" s="93">
        <v>0</v>
      </c>
      <c r="AG1145" s="105"/>
      <c r="AH1145" s="108"/>
      <c r="AI1145" s="109" t="s">
        <v>4336</v>
      </c>
      <c r="AJ1145" s="110" t="s">
        <v>4337</v>
      </c>
      <c r="AK1145" s="309"/>
      <c r="AL1145" s="310"/>
      <c r="AM1145" s="128" t="s">
        <v>4182</v>
      </c>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c r="BJ1145" s="107"/>
      <c r="BK1145" s="107"/>
      <c r="BL1145" s="107"/>
      <c r="BM1145" s="107"/>
      <c r="BN1145" s="107"/>
      <c r="BO1145" s="107"/>
      <c r="BP1145" s="107"/>
      <c r="BQ1145" s="107"/>
      <c r="BR1145" s="107"/>
      <c r="BS1145" s="107"/>
      <c r="BT1145" s="107"/>
      <c r="BU1145" s="107"/>
      <c r="BV1145" s="107"/>
      <c r="BW1145" s="107"/>
      <c r="BX1145" s="107"/>
      <c r="BY1145" s="107"/>
      <c r="BZ1145" s="107"/>
      <c r="CA1145" s="107"/>
      <c r="CB1145" s="107"/>
      <c r="CC1145" s="107"/>
      <c r="CD1145" s="107"/>
      <c r="CE1145" s="107"/>
      <c r="CF1145" s="107"/>
      <c r="CG1145" s="107"/>
      <c r="CH1145" s="107"/>
      <c r="CI1145" s="107"/>
      <c r="CJ1145" s="107"/>
      <c r="CK1145" s="107"/>
      <c r="CL1145" s="107"/>
      <c r="CM1145" s="107"/>
      <c r="CN1145" s="118"/>
      <c r="CO1145" s="119"/>
      <c r="CP1145" s="118"/>
      <c r="CQ1145" s="119"/>
      <c r="CR1145" s="118"/>
      <c r="CS1145" s="119"/>
      <c r="CT1145" s="113"/>
      <c r="CU1145" s="118"/>
      <c r="CV1145" s="99">
        <f t="shared" si="107"/>
        <v>0</v>
      </c>
      <c r="CW1145" s="118"/>
      <c r="CX1145" s="119"/>
      <c r="CY1145" s="119"/>
      <c r="CZ1145" s="119"/>
      <c r="DA1145" s="118"/>
      <c r="DB1145" s="119"/>
      <c r="DC1145" s="111"/>
      <c r="DD1145" s="119"/>
      <c r="DE1145" s="111"/>
      <c r="DF1145" s="46"/>
    </row>
    <row r="1146" spans="1:110" s="42" customFormat="1" ht="96" x14ac:dyDescent="0.2">
      <c r="A1146" s="89">
        <v>40680</v>
      </c>
      <c r="B1146" s="4" t="s">
        <v>3358</v>
      </c>
      <c r="C1146" s="4" t="s">
        <v>4253</v>
      </c>
      <c r="D1146" s="90" t="s">
        <v>4264</v>
      </c>
      <c r="E1146" s="90" t="str">
        <f>VLOOKUP(B1146&amp;C1146,Divipola!$C$2:$F$1138,4,FALSE)</f>
        <v>18001</v>
      </c>
      <c r="F1146" s="4"/>
      <c r="G1146" s="208"/>
      <c r="H1146" s="208"/>
      <c r="I1146" s="208"/>
      <c r="J1146" s="208"/>
      <c r="K1146" s="208"/>
      <c r="L1146" s="208"/>
      <c r="M1146" s="208"/>
      <c r="N1146" s="208"/>
      <c r="O1146" s="208"/>
      <c r="P1146" s="208"/>
      <c r="Q1146" s="208"/>
      <c r="R1146" s="208"/>
      <c r="S1146" s="208"/>
      <c r="T1146" s="208"/>
      <c r="U1146" s="208"/>
      <c r="V1146" s="208"/>
      <c r="W1146" s="19"/>
      <c r="X1146" s="17"/>
      <c r="Y1146" s="5">
        <f t="shared" si="108"/>
        <v>0</v>
      </c>
      <c r="Z1146" s="5">
        <f t="shared" si="109"/>
        <v>0</v>
      </c>
      <c r="AA1146" s="5">
        <f t="shared" si="110"/>
        <v>64240000</v>
      </c>
      <c r="AB1146" s="5">
        <f t="shared" si="111"/>
        <v>0</v>
      </c>
      <c r="AC1146" s="5">
        <f>126*261000+52200+40600+736*15080+210*8700+504*4060+1052*4408+50*2800+152*4060+50*133400</f>
        <v>60015256</v>
      </c>
      <c r="AD1146" s="5">
        <v>0</v>
      </c>
      <c r="AE1146" s="5">
        <f t="shared" si="112"/>
        <v>124255256</v>
      </c>
      <c r="AF1146" s="70">
        <v>0</v>
      </c>
      <c r="AG1146" s="17"/>
      <c r="AH1146" s="18"/>
      <c r="AI1146" s="95" t="s">
        <v>4346</v>
      </c>
      <c r="AJ1146" s="96" t="s">
        <v>4347</v>
      </c>
      <c r="AK1146" s="45"/>
      <c r="AL1146" s="17"/>
      <c r="AM1146" s="136" t="s">
        <v>7</v>
      </c>
      <c r="AN1146" s="19"/>
      <c r="AO1146" s="19"/>
      <c r="AP1146" s="19"/>
      <c r="AQ1146" s="19"/>
      <c r="AR1146" s="19"/>
      <c r="AS1146" s="19"/>
      <c r="AT1146" s="19"/>
      <c r="AU1146" s="19"/>
      <c r="AV1146" s="19"/>
      <c r="AW1146" s="19"/>
      <c r="AX1146" s="107"/>
      <c r="AY1146" s="107"/>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39"/>
      <c r="CO1146" s="138"/>
      <c r="CP1146" s="139"/>
      <c r="CQ1146" s="138"/>
      <c r="CR1146" s="139"/>
      <c r="CS1146" s="138"/>
      <c r="CT1146" s="72"/>
      <c r="CU1146" s="139"/>
      <c r="CV1146" s="99">
        <f t="shared" si="107"/>
        <v>0</v>
      </c>
      <c r="CW1146" s="139"/>
      <c r="CX1146" s="138"/>
      <c r="CY1146" s="138"/>
      <c r="CZ1146" s="138"/>
      <c r="DA1146" s="139">
        <v>1940</v>
      </c>
      <c r="DB1146" s="138">
        <f>1940*26000</f>
        <v>50440000</v>
      </c>
      <c r="DC1146" s="45">
        <v>600</v>
      </c>
      <c r="DD1146" s="138">
        <f>600*23000</f>
        <v>13800000</v>
      </c>
      <c r="DE1146" s="45"/>
      <c r="DF1146" s="46"/>
    </row>
    <row r="1147" spans="1:110" s="42" customFormat="1" x14ac:dyDescent="0.2">
      <c r="A1147" s="89">
        <v>40680</v>
      </c>
      <c r="B1147" s="106" t="s">
        <v>4296</v>
      </c>
      <c r="C1147" s="106" t="s">
        <v>3334</v>
      </c>
      <c r="D1147" s="106" t="s">
        <v>3514</v>
      </c>
      <c r="E1147" s="90" t="str">
        <f>VLOOKUP(B1147&amp;C1147,Divipola!$C$2:$F$1138,4,FALSE)</f>
        <v>19130</v>
      </c>
      <c r="F1147" s="90"/>
      <c r="G1147" s="129"/>
      <c r="H1147" s="129"/>
      <c r="I1147" s="129"/>
      <c r="J1147" s="129"/>
      <c r="K1147" s="129"/>
      <c r="L1147" s="129"/>
      <c r="M1147" s="129"/>
      <c r="N1147" s="129"/>
      <c r="O1147" s="129"/>
      <c r="P1147" s="129"/>
      <c r="Q1147" s="129"/>
      <c r="R1147" s="129"/>
      <c r="S1147" s="129"/>
      <c r="T1147" s="129"/>
      <c r="U1147" s="129"/>
      <c r="V1147" s="129"/>
      <c r="W1147" s="107"/>
      <c r="X1147" s="105"/>
      <c r="Y1147" s="92">
        <f t="shared" si="108"/>
        <v>0</v>
      </c>
      <c r="Z1147" s="92">
        <f t="shared" si="109"/>
        <v>0</v>
      </c>
      <c r="AA1147" s="92">
        <f t="shared" si="110"/>
        <v>0</v>
      </c>
      <c r="AB1147" s="92">
        <f t="shared" si="111"/>
        <v>0</v>
      </c>
      <c r="AC1147" s="92"/>
      <c r="AD1147" s="92">
        <v>0</v>
      </c>
      <c r="AE1147" s="92">
        <f t="shared" si="112"/>
        <v>0</v>
      </c>
      <c r="AF1147" s="93">
        <v>0</v>
      </c>
      <c r="AG1147" s="105"/>
      <c r="AH1147" s="108"/>
      <c r="AI1147" s="109" t="s">
        <v>4336</v>
      </c>
      <c r="AJ1147" s="110" t="s">
        <v>4337</v>
      </c>
      <c r="AK1147" s="111"/>
      <c r="AL1147" s="105"/>
      <c r="AM1147" s="112" t="s">
        <v>3530</v>
      </c>
      <c r="AN1147" s="107"/>
      <c r="AO1147" s="107"/>
      <c r="AP1147" s="107"/>
      <c r="AQ1147" s="107"/>
      <c r="AR1147" s="107"/>
      <c r="AS1147" s="107"/>
      <c r="AT1147" s="107"/>
      <c r="AU1147" s="107"/>
      <c r="AV1147" s="107"/>
      <c r="AW1147" s="107"/>
      <c r="AX1147" s="107"/>
      <c r="AY1147" s="107"/>
      <c r="AZ1147" s="107"/>
      <c r="BA1147" s="107"/>
      <c r="BB1147" s="107"/>
      <c r="BC1147" s="107"/>
      <c r="BD1147" s="107"/>
      <c r="BE1147" s="107"/>
      <c r="BF1147" s="107"/>
      <c r="BG1147" s="107"/>
      <c r="BH1147" s="107"/>
      <c r="BI1147" s="107"/>
      <c r="BJ1147" s="107"/>
      <c r="BK1147" s="107"/>
      <c r="BL1147" s="107"/>
      <c r="BM1147" s="107"/>
      <c r="BN1147" s="107"/>
      <c r="BO1147" s="107"/>
      <c r="BP1147" s="107"/>
      <c r="BQ1147" s="107"/>
      <c r="BR1147" s="107"/>
      <c r="BS1147" s="107"/>
      <c r="BT1147" s="107"/>
      <c r="BU1147" s="107"/>
      <c r="BV1147" s="107"/>
      <c r="BW1147" s="107"/>
      <c r="BX1147" s="107"/>
      <c r="BY1147" s="107"/>
      <c r="BZ1147" s="107"/>
      <c r="CA1147" s="107"/>
      <c r="CB1147" s="107"/>
      <c r="CC1147" s="107"/>
      <c r="CD1147" s="107"/>
      <c r="CE1147" s="107"/>
      <c r="CF1147" s="107"/>
      <c r="CG1147" s="107"/>
      <c r="CH1147" s="107"/>
      <c r="CI1147" s="107"/>
      <c r="CJ1147" s="107"/>
      <c r="CK1147" s="107"/>
      <c r="CL1147" s="107"/>
      <c r="CM1147" s="107"/>
      <c r="CN1147" s="118"/>
      <c r="CO1147" s="119"/>
      <c r="CP1147" s="118"/>
      <c r="CQ1147" s="119"/>
      <c r="CR1147" s="118"/>
      <c r="CS1147" s="119"/>
      <c r="CT1147" s="113"/>
      <c r="CU1147" s="118"/>
      <c r="CV1147" s="99">
        <f t="shared" si="107"/>
        <v>0</v>
      </c>
      <c r="CW1147" s="118"/>
      <c r="CX1147" s="119"/>
      <c r="CY1147" s="119"/>
      <c r="CZ1147" s="119"/>
      <c r="DA1147" s="118"/>
      <c r="DB1147" s="119"/>
      <c r="DC1147" s="111"/>
      <c r="DD1147" s="119"/>
      <c r="DE1147" s="111"/>
      <c r="DF1147" s="46"/>
    </row>
    <row r="1148" spans="1:110" s="42" customFormat="1" x14ac:dyDescent="0.2">
      <c r="A1148" s="89">
        <v>40680</v>
      </c>
      <c r="B1148" s="106" t="s">
        <v>4296</v>
      </c>
      <c r="C1148" s="106" t="s">
        <v>3395</v>
      </c>
      <c r="D1148" s="106" t="s">
        <v>3346</v>
      </c>
      <c r="E1148" s="90" t="str">
        <f>VLOOKUP(B1148&amp;C1148,Divipola!$C$2:$F$1138,4,FALSE)</f>
        <v>19548</v>
      </c>
      <c r="F1148" s="90"/>
      <c r="G1148" s="129"/>
      <c r="H1148" s="129"/>
      <c r="I1148" s="129"/>
      <c r="J1148" s="129">
        <v>60</v>
      </c>
      <c r="K1148" s="129">
        <v>15</v>
      </c>
      <c r="L1148" s="129"/>
      <c r="M1148" s="129">
        <v>15</v>
      </c>
      <c r="N1148" s="129"/>
      <c r="O1148" s="129"/>
      <c r="P1148" s="129"/>
      <c r="Q1148" s="129"/>
      <c r="R1148" s="129"/>
      <c r="S1148" s="129"/>
      <c r="T1148" s="129"/>
      <c r="U1148" s="129"/>
      <c r="V1148" s="129"/>
      <c r="W1148" s="107"/>
      <c r="X1148" s="105"/>
      <c r="Y1148" s="92">
        <f t="shared" si="108"/>
        <v>0</v>
      </c>
      <c r="Z1148" s="92">
        <f t="shared" si="109"/>
        <v>0</v>
      </c>
      <c r="AA1148" s="92">
        <f t="shared" si="110"/>
        <v>0</v>
      </c>
      <c r="AB1148" s="92">
        <f t="shared" si="111"/>
        <v>0</v>
      </c>
      <c r="AC1148" s="92"/>
      <c r="AD1148" s="92">
        <v>0</v>
      </c>
      <c r="AE1148" s="92">
        <f t="shared" si="112"/>
        <v>0</v>
      </c>
      <c r="AF1148" s="93">
        <v>0</v>
      </c>
      <c r="AG1148" s="105"/>
      <c r="AH1148" s="108"/>
      <c r="AI1148" s="102" t="s">
        <v>4336</v>
      </c>
      <c r="AJ1148" s="96" t="s">
        <v>4337</v>
      </c>
      <c r="AK1148" s="111"/>
      <c r="AL1148" s="105"/>
      <c r="AM1148" s="112" t="s">
        <v>2676</v>
      </c>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c r="BJ1148" s="107"/>
      <c r="BK1148" s="107"/>
      <c r="BL1148" s="107"/>
      <c r="BM1148" s="107"/>
      <c r="BN1148" s="107"/>
      <c r="BO1148" s="107"/>
      <c r="BP1148" s="107"/>
      <c r="BQ1148" s="107"/>
      <c r="BR1148" s="107"/>
      <c r="BS1148" s="107"/>
      <c r="BT1148" s="107"/>
      <c r="BU1148" s="107"/>
      <c r="BV1148" s="107"/>
      <c r="BW1148" s="107"/>
      <c r="BX1148" s="107"/>
      <c r="BY1148" s="107"/>
      <c r="BZ1148" s="107"/>
      <c r="CA1148" s="107"/>
      <c r="CB1148" s="107"/>
      <c r="CC1148" s="107"/>
      <c r="CD1148" s="107"/>
      <c r="CE1148" s="107"/>
      <c r="CF1148" s="107"/>
      <c r="CG1148" s="107"/>
      <c r="CH1148" s="107"/>
      <c r="CI1148" s="107"/>
      <c r="CJ1148" s="107"/>
      <c r="CK1148" s="107"/>
      <c r="CL1148" s="107"/>
      <c r="CM1148" s="107"/>
      <c r="CN1148" s="118"/>
      <c r="CO1148" s="119"/>
      <c r="CP1148" s="118"/>
      <c r="CQ1148" s="119"/>
      <c r="CR1148" s="118"/>
      <c r="CS1148" s="119"/>
      <c r="CT1148" s="113"/>
      <c r="CU1148" s="118"/>
      <c r="CV1148" s="99">
        <f t="shared" si="107"/>
        <v>0</v>
      </c>
      <c r="CW1148" s="118"/>
      <c r="CX1148" s="119"/>
      <c r="CY1148" s="119"/>
      <c r="CZ1148" s="119"/>
      <c r="DA1148" s="118"/>
      <c r="DB1148" s="119"/>
      <c r="DC1148" s="111"/>
      <c r="DD1148" s="119"/>
      <c r="DE1148" s="111"/>
      <c r="DF1148" s="46"/>
    </row>
    <row r="1149" spans="1:110" s="42" customFormat="1" ht="33.75" x14ac:dyDescent="0.2">
      <c r="A1149" s="89">
        <v>40680</v>
      </c>
      <c r="B1149" s="90" t="s">
        <v>4344</v>
      </c>
      <c r="C1149" s="90" t="s">
        <v>2214</v>
      </c>
      <c r="D1149" s="90" t="s">
        <v>4264</v>
      </c>
      <c r="E1149" s="90" t="str">
        <f>VLOOKUP(B1149&amp;C1149,Divipola!$C$2:$F$1138,4,FALSE)</f>
        <v>25394</v>
      </c>
      <c r="F1149" s="90"/>
      <c r="G1149" s="124"/>
      <c r="H1149" s="124"/>
      <c r="I1149" s="308"/>
      <c r="J1149" s="124">
        <v>40</v>
      </c>
      <c r="K1149" s="124">
        <v>10</v>
      </c>
      <c r="L1149" s="124"/>
      <c r="M1149" s="124">
        <v>10</v>
      </c>
      <c r="N1149" s="129"/>
      <c r="O1149" s="129"/>
      <c r="P1149" s="129"/>
      <c r="Q1149" s="129"/>
      <c r="R1149" s="129"/>
      <c r="S1149" s="129"/>
      <c r="T1149" s="129"/>
      <c r="U1149" s="129"/>
      <c r="V1149" s="129"/>
      <c r="W1149" s="107"/>
      <c r="X1149" s="105"/>
      <c r="Y1149" s="92">
        <f t="shared" si="108"/>
        <v>0</v>
      </c>
      <c r="Z1149" s="92">
        <f t="shared" si="109"/>
        <v>0</v>
      </c>
      <c r="AA1149" s="92">
        <f t="shared" si="110"/>
        <v>0</v>
      </c>
      <c r="AB1149" s="92">
        <f t="shared" si="111"/>
        <v>0</v>
      </c>
      <c r="AC1149" s="92"/>
      <c r="AD1149" s="92">
        <v>0</v>
      </c>
      <c r="AE1149" s="92">
        <f t="shared" si="112"/>
        <v>0</v>
      </c>
      <c r="AF1149" s="93">
        <v>0</v>
      </c>
      <c r="AG1149" s="105"/>
      <c r="AH1149" s="108"/>
      <c r="AI1149" s="109" t="s">
        <v>4346</v>
      </c>
      <c r="AJ1149" s="110" t="s">
        <v>4347</v>
      </c>
      <c r="AK1149" s="111"/>
      <c r="AL1149" s="105" t="s">
        <v>928</v>
      </c>
      <c r="AM1149" s="128" t="s">
        <v>4186</v>
      </c>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c r="BJ1149" s="107"/>
      <c r="BK1149" s="107"/>
      <c r="BL1149" s="107"/>
      <c r="BM1149" s="107"/>
      <c r="BN1149" s="107"/>
      <c r="BO1149" s="107"/>
      <c r="BP1149" s="107"/>
      <c r="BQ1149" s="107"/>
      <c r="BR1149" s="107"/>
      <c r="BS1149" s="107"/>
      <c r="BT1149" s="107"/>
      <c r="BU1149" s="107"/>
      <c r="BV1149" s="107"/>
      <c r="BW1149" s="107"/>
      <c r="BX1149" s="107"/>
      <c r="BY1149" s="107"/>
      <c r="BZ1149" s="107"/>
      <c r="CA1149" s="107"/>
      <c r="CB1149" s="107"/>
      <c r="CC1149" s="107"/>
      <c r="CD1149" s="107"/>
      <c r="CE1149" s="107"/>
      <c r="CF1149" s="107"/>
      <c r="CG1149" s="107"/>
      <c r="CH1149" s="107"/>
      <c r="CI1149" s="107"/>
      <c r="CJ1149" s="107"/>
      <c r="CK1149" s="107"/>
      <c r="CL1149" s="107"/>
      <c r="CM1149" s="107"/>
      <c r="CN1149" s="118"/>
      <c r="CO1149" s="119"/>
      <c r="CP1149" s="118"/>
      <c r="CQ1149" s="119"/>
      <c r="CR1149" s="118"/>
      <c r="CS1149" s="119"/>
      <c r="CT1149" s="113"/>
      <c r="CU1149" s="118"/>
      <c r="CV1149" s="99">
        <f t="shared" si="107"/>
        <v>0</v>
      </c>
      <c r="CW1149" s="118"/>
      <c r="CX1149" s="119"/>
      <c r="CY1149" s="119"/>
      <c r="CZ1149" s="119"/>
      <c r="DA1149" s="118"/>
      <c r="DB1149" s="119"/>
      <c r="DC1149" s="111"/>
      <c r="DD1149" s="119"/>
      <c r="DE1149" s="111"/>
      <c r="DF1149" s="46"/>
    </row>
    <row r="1150" spans="1:110" s="42" customFormat="1" ht="22.5" x14ac:dyDescent="0.2">
      <c r="A1150" s="89">
        <v>40680</v>
      </c>
      <c r="B1150" s="106" t="s">
        <v>4387</v>
      </c>
      <c r="C1150" s="106" t="s">
        <v>3328</v>
      </c>
      <c r="D1150" s="90" t="s">
        <v>2362</v>
      </c>
      <c r="E1150" s="90" t="str">
        <f>VLOOKUP(B1150&amp;C1150,Divipola!$C$2:$F$1138,4,FALSE)</f>
        <v>52051</v>
      </c>
      <c r="F1150" s="90"/>
      <c r="G1150" s="129"/>
      <c r="H1150" s="129"/>
      <c r="I1150" s="129"/>
      <c r="J1150" s="129">
        <v>560</v>
      </c>
      <c r="K1150" s="129">
        <v>140</v>
      </c>
      <c r="L1150" s="129"/>
      <c r="M1150" s="129">
        <v>140</v>
      </c>
      <c r="N1150" s="129"/>
      <c r="O1150" s="129"/>
      <c r="P1150" s="129"/>
      <c r="Q1150" s="129"/>
      <c r="R1150" s="129"/>
      <c r="S1150" s="129"/>
      <c r="T1150" s="129"/>
      <c r="U1150" s="129"/>
      <c r="V1150" s="129"/>
      <c r="W1150" s="107"/>
      <c r="X1150" s="105"/>
      <c r="Y1150" s="92">
        <f t="shared" si="108"/>
        <v>0</v>
      </c>
      <c r="Z1150" s="92">
        <f t="shared" si="109"/>
        <v>0</v>
      </c>
      <c r="AA1150" s="92">
        <f t="shared" si="110"/>
        <v>0</v>
      </c>
      <c r="AB1150" s="92">
        <f t="shared" si="111"/>
        <v>0</v>
      </c>
      <c r="AC1150" s="92"/>
      <c r="AD1150" s="92">
        <v>0</v>
      </c>
      <c r="AE1150" s="92">
        <f t="shared" si="112"/>
        <v>0</v>
      </c>
      <c r="AF1150" s="93">
        <v>0</v>
      </c>
      <c r="AG1150" s="105"/>
      <c r="AH1150" s="108"/>
      <c r="AI1150" s="109" t="s">
        <v>4336</v>
      </c>
      <c r="AJ1150" s="110" t="s">
        <v>4337</v>
      </c>
      <c r="AK1150" s="111"/>
      <c r="AL1150" s="105" t="s">
        <v>1069</v>
      </c>
      <c r="AM1150" s="112"/>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c r="BJ1150" s="107"/>
      <c r="BK1150" s="107"/>
      <c r="BL1150" s="107"/>
      <c r="BM1150" s="107"/>
      <c r="BN1150" s="107"/>
      <c r="BO1150" s="107"/>
      <c r="BP1150" s="107"/>
      <c r="BQ1150" s="107"/>
      <c r="BR1150" s="107"/>
      <c r="BS1150" s="107"/>
      <c r="BT1150" s="107"/>
      <c r="BU1150" s="107"/>
      <c r="BV1150" s="107"/>
      <c r="BW1150" s="107"/>
      <c r="BX1150" s="107"/>
      <c r="BY1150" s="107"/>
      <c r="BZ1150" s="107"/>
      <c r="CA1150" s="107"/>
      <c r="CB1150" s="107"/>
      <c r="CC1150" s="107"/>
      <c r="CD1150" s="107"/>
      <c r="CE1150" s="107"/>
      <c r="CF1150" s="107"/>
      <c r="CG1150" s="107"/>
      <c r="CH1150" s="107"/>
      <c r="CI1150" s="107"/>
      <c r="CJ1150" s="107"/>
      <c r="CK1150" s="107"/>
      <c r="CL1150" s="107"/>
      <c r="CM1150" s="107"/>
      <c r="CN1150" s="118"/>
      <c r="CO1150" s="119"/>
      <c r="CP1150" s="118"/>
      <c r="CQ1150" s="119"/>
      <c r="CR1150" s="118"/>
      <c r="CS1150" s="119"/>
      <c r="CT1150" s="113"/>
      <c r="CU1150" s="118"/>
      <c r="CV1150" s="99">
        <f t="shared" si="107"/>
        <v>0</v>
      </c>
      <c r="CW1150" s="118"/>
      <c r="CX1150" s="119"/>
      <c r="CY1150" s="119"/>
      <c r="CZ1150" s="119"/>
      <c r="DA1150" s="118"/>
      <c r="DB1150" s="119"/>
      <c r="DC1150" s="111"/>
      <c r="DD1150" s="119"/>
      <c r="DE1150" s="111"/>
      <c r="DF1150" s="46"/>
    </row>
    <row r="1151" spans="1:110" s="42" customFormat="1" ht="45" x14ac:dyDescent="0.2">
      <c r="A1151" s="89">
        <v>40680</v>
      </c>
      <c r="B1151" s="90" t="s">
        <v>4221</v>
      </c>
      <c r="C1151" s="90" t="s">
        <v>4301</v>
      </c>
      <c r="D1151" s="90" t="s">
        <v>4264</v>
      </c>
      <c r="E1151" s="90" t="str">
        <f>VLOOKUP(B1151&amp;C1151,Divipola!$C$2:$F$1138,4,FALSE)</f>
        <v>54405</v>
      </c>
      <c r="F1151" s="90"/>
      <c r="G1151" s="124"/>
      <c r="H1151" s="124"/>
      <c r="I1151" s="308"/>
      <c r="J1151" s="124"/>
      <c r="K1151" s="124"/>
      <c r="L1151" s="124"/>
      <c r="M1151" s="124"/>
      <c r="N1151" s="129"/>
      <c r="O1151" s="129"/>
      <c r="P1151" s="129"/>
      <c r="Q1151" s="129"/>
      <c r="R1151" s="129"/>
      <c r="S1151" s="129"/>
      <c r="T1151" s="129"/>
      <c r="U1151" s="129"/>
      <c r="V1151" s="129"/>
      <c r="W1151" s="107"/>
      <c r="X1151" s="105"/>
      <c r="Y1151" s="92">
        <f t="shared" si="108"/>
        <v>0</v>
      </c>
      <c r="Z1151" s="92">
        <f t="shared" si="109"/>
        <v>0</v>
      </c>
      <c r="AA1151" s="92">
        <f t="shared" si="110"/>
        <v>0</v>
      </c>
      <c r="AB1151" s="92">
        <f t="shared" si="111"/>
        <v>0</v>
      </c>
      <c r="AC1151" s="92"/>
      <c r="AD1151" s="92">
        <v>0</v>
      </c>
      <c r="AE1151" s="92">
        <f t="shared" si="112"/>
        <v>0</v>
      </c>
      <c r="AF1151" s="93">
        <v>0</v>
      </c>
      <c r="AG1151" s="105"/>
      <c r="AH1151" s="108"/>
      <c r="AI1151" s="109" t="s">
        <v>4336</v>
      </c>
      <c r="AJ1151" s="110" t="s">
        <v>4337</v>
      </c>
      <c r="AK1151" s="309"/>
      <c r="AL1151" s="310"/>
      <c r="AM1151" s="128" t="s">
        <v>4188</v>
      </c>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c r="BJ1151" s="107"/>
      <c r="BK1151" s="107"/>
      <c r="BL1151" s="107"/>
      <c r="BM1151" s="107"/>
      <c r="BN1151" s="107"/>
      <c r="BO1151" s="107"/>
      <c r="BP1151" s="107"/>
      <c r="BQ1151" s="107"/>
      <c r="BR1151" s="107"/>
      <c r="BS1151" s="107"/>
      <c r="BT1151" s="107"/>
      <c r="BU1151" s="107"/>
      <c r="BV1151" s="107"/>
      <c r="BW1151" s="107"/>
      <c r="BX1151" s="107"/>
      <c r="BY1151" s="107"/>
      <c r="BZ1151" s="107"/>
      <c r="CA1151" s="107"/>
      <c r="CB1151" s="107"/>
      <c r="CC1151" s="107"/>
      <c r="CD1151" s="107"/>
      <c r="CE1151" s="107"/>
      <c r="CF1151" s="107"/>
      <c r="CG1151" s="107"/>
      <c r="CH1151" s="107"/>
      <c r="CI1151" s="107"/>
      <c r="CJ1151" s="107"/>
      <c r="CK1151" s="107"/>
      <c r="CL1151" s="107"/>
      <c r="CM1151" s="107"/>
      <c r="CN1151" s="118"/>
      <c r="CO1151" s="119"/>
      <c r="CP1151" s="118"/>
      <c r="CQ1151" s="119"/>
      <c r="CR1151" s="118"/>
      <c r="CS1151" s="119"/>
      <c r="CT1151" s="113"/>
      <c r="CU1151" s="118"/>
      <c r="CV1151" s="99">
        <f t="shared" si="107"/>
        <v>0</v>
      </c>
      <c r="CW1151" s="118"/>
      <c r="CX1151" s="119"/>
      <c r="CY1151" s="119"/>
      <c r="CZ1151" s="119"/>
      <c r="DA1151" s="118"/>
      <c r="DB1151" s="119"/>
      <c r="DC1151" s="111"/>
      <c r="DD1151" s="119"/>
      <c r="DE1151" s="111"/>
      <c r="DF1151" s="46"/>
    </row>
    <row r="1152" spans="1:110" s="42" customFormat="1" ht="33.75" x14ac:dyDescent="0.2">
      <c r="A1152" s="89">
        <v>40680</v>
      </c>
      <c r="B1152" s="90" t="s">
        <v>4350</v>
      </c>
      <c r="C1152" s="90" t="s">
        <v>858</v>
      </c>
      <c r="D1152" s="90" t="s">
        <v>2362</v>
      </c>
      <c r="E1152" s="90" t="str">
        <f>VLOOKUP(B1152&amp;C1152,Divipola!$C$2:$F$1138,4,FALSE)</f>
        <v>63302</v>
      </c>
      <c r="F1152" s="90"/>
      <c r="G1152" s="124"/>
      <c r="H1152" s="124"/>
      <c r="I1152" s="308"/>
      <c r="J1152" s="124"/>
      <c r="K1152" s="124"/>
      <c r="L1152" s="124"/>
      <c r="M1152" s="124"/>
      <c r="N1152" s="129">
        <v>1</v>
      </c>
      <c r="O1152" s="129"/>
      <c r="P1152" s="129"/>
      <c r="Q1152" s="129"/>
      <c r="R1152" s="129"/>
      <c r="S1152" s="129"/>
      <c r="T1152" s="129"/>
      <c r="U1152" s="129"/>
      <c r="V1152" s="129"/>
      <c r="W1152" s="107"/>
      <c r="X1152" s="105"/>
      <c r="Y1152" s="92">
        <f t="shared" si="108"/>
        <v>0</v>
      </c>
      <c r="Z1152" s="92">
        <f t="shared" si="109"/>
        <v>0</v>
      </c>
      <c r="AA1152" s="92">
        <f t="shared" si="110"/>
        <v>0</v>
      </c>
      <c r="AB1152" s="92">
        <f t="shared" si="111"/>
        <v>0</v>
      </c>
      <c r="AC1152" s="92"/>
      <c r="AD1152" s="92">
        <v>80000000</v>
      </c>
      <c r="AE1152" s="92">
        <f t="shared" si="112"/>
        <v>80000000</v>
      </c>
      <c r="AF1152" s="93">
        <v>0</v>
      </c>
      <c r="AG1152" s="105"/>
      <c r="AH1152" s="108"/>
      <c r="AI1152" s="109" t="s">
        <v>4346</v>
      </c>
      <c r="AJ1152" s="110" t="s">
        <v>4347</v>
      </c>
      <c r="AK1152" s="309"/>
      <c r="AL1152" s="310"/>
      <c r="AM1152" s="128" t="s">
        <v>5628</v>
      </c>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c r="BJ1152" s="107"/>
      <c r="BK1152" s="107"/>
      <c r="BL1152" s="107"/>
      <c r="BM1152" s="107"/>
      <c r="BN1152" s="107"/>
      <c r="BO1152" s="107"/>
      <c r="BP1152" s="107"/>
      <c r="BQ1152" s="107"/>
      <c r="BR1152" s="107"/>
      <c r="BS1152" s="107"/>
      <c r="BT1152" s="107"/>
      <c r="BU1152" s="107"/>
      <c r="BV1152" s="107"/>
      <c r="BW1152" s="107"/>
      <c r="BX1152" s="107"/>
      <c r="BY1152" s="107"/>
      <c r="BZ1152" s="107"/>
      <c r="CA1152" s="107"/>
      <c r="CB1152" s="107"/>
      <c r="CC1152" s="107"/>
      <c r="CD1152" s="107"/>
      <c r="CE1152" s="107"/>
      <c r="CF1152" s="107"/>
      <c r="CG1152" s="107"/>
      <c r="CH1152" s="107"/>
      <c r="CI1152" s="107"/>
      <c r="CJ1152" s="107"/>
      <c r="CK1152" s="107"/>
      <c r="CL1152" s="107"/>
      <c r="CM1152" s="107"/>
      <c r="CN1152" s="118"/>
      <c r="CO1152" s="119"/>
      <c r="CP1152" s="118"/>
      <c r="CQ1152" s="119"/>
      <c r="CR1152" s="118"/>
      <c r="CS1152" s="119"/>
      <c r="CT1152" s="113"/>
      <c r="CU1152" s="118"/>
      <c r="CV1152" s="99">
        <f t="shared" si="107"/>
        <v>0</v>
      </c>
      <c r="CW1152" s="118"/>
      <c r="CX1152" s="119"/>
      <c r="CY1152" s="119"/>
      <c r="CZ1152" s="119"/>
      <c r="DA1152" s="118"/>
      <c r="DB1152" s="119"/>
      <c r="DC1152" s="111"/>
      <c r="DD1152" s="119"/>
      <c r="DE1152" s="111"/>
      <c r="DF1152" s="46"/>
    </row>
    <row r="1153" spans="1:110" s="42" customFormat="1" ht="24" x14ac:dyDescent="0.2">
      <c r="A1153" s="89">
        <v>40680</v>
      </c>
      <c r="B1153" s="106" t="s">
        <v>4348</v>
      </c>
      <c r="C1153" s="106" t="s">
        <v>3303</v>
      </c>
      <c r="D1153" s="90" t="s">
        <v>2362</v>
      </c>
      <c r="E1153" s="90" t="str">
        <f>VLOOKUP(B1153&amp;C1153,Divipola!$C$2:$F$1138,4,FALSE)</f>
        <v>66456</v>
      </c>
      <c r="F1153" s="90"/>
      <c r="G1153" s="129">
        <v>1</v>
      </c>
      <c r="H1153" s="129"/>
      <c r="I1153" s="129"/>
      <c r="J1153" s="129"/>
      <c r="K1153" s="129"/>
      <c r="L1153" s="129"/>
      <c r="M1153" s="129"/>
      <c r="N1153" s="129"/>
      <c r="O1153" s="129"/>
      <c r="P1153" s="129"/>
      <c r="Q1153" s="129"/>
      <c r="R1153" s="129"/>
      <c r="S1153" s="129"/>
      <c r="T1153" s="129"/>
      <c r="U1153" s="129"/>
      <c r="V1153" s="129"/>
      <c r="W1153" s="107"/>
      <c r="X1153" s="105"/>
      <c r="Y1153" s="92">
        <f t="shared" si="108"/>
        <v>0</v>
      </c>
      <c r="Z1153" s="92">
        <f t="shared" si="109"/>
        <v>0</v>
      </c>
      <c r="AA1153" s="92">
        <f t="shared" si="110"/>
        <v>0</v>
      </c>
      <c r="AB1153" s="92">
        <f t="shared" si="111"/>
        <v>0</v>
      </c>
      <c r="AC1153" s="92"/>
      <c r="AD1153" s="92">
        <v>0</v>
      </c>
      <c r="AE1153" s="92">
        <f t="shared" si="112"/>
        <v>0</v>
      </c>
      <c r="AF1153" s="93">
        <v>0</v>
      </c>
      <c r="AG1153" s="105"/>
      <c r="AH1153" s="108"/>
      <c r="AI1153" s="109" t="s">
        <v>4336</v>
      </c>
      <c r="AJ1153" s="110" t="s">
        <v>4337</v>
      </c>
      <c r="AK1153" s="111"/>
      <c r="AL1153" s="105"/>
      <c r="AM1153" s="112" t="s">
        <v>2690</v>
      </c>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c r="BJ1153" s="107"/>
      <c r="BK1153" s="107"/>
      <c r="BL1153" s="107"/>
      <c r="BM1153" s="107"/>
      <c r="BN1153" s="107"/>
      <c r="BO1153" s="107"/>
      <c r="BP1153" s="107"/>
      <c r="BQ1153" s="107"/>
      <c r="BR1153" s="107"/>
      <c r="BS1153" s="107"/>
      <c r="BT1153" s="107"/>
      <c r="BU1153" s="107"/>
      <c r="BV1153" s="107"/>
      <c r="BW1153" s="107"/>
      <c r="BX1153" s="107"/>
      <c r="BY1153" s="107"/>
      <c r="BZ1153" s="107"/>
      <c r="CA1153" s="107"/>
      <c r="CB1153" s="107"/>
      <c r="CC1153" s="107"/>
      <c r="CD1153" s="107"/>
      <c r="CE1153" s="107"/>
      <c r="CF1153" s="107"/>
      <c r="CG1153" s="107"/>
      <c r="CH1153" s="107"/>
      <c r="CI1153" s="107"/>
      <c r="CJ1153" s="107"/>
      <c r="CK1153" s="107"/>
      <c r="CL1153" s="107"/>
      <c r="CM1153" s="107"/>
      <c r="CN1153" s="118"/>
      <c r="CO1153" s="119"/>
      <c r="CP1153" s="118"/>
      <c r="CQ1153" s="119"/>
      <c r="CR1153" s="118"/>
      <c r="CS1153" s="119"/>
      <c r="CT1153" s="113"/>
      <c r="CU1153" s="118"/>
      <c r="CV1153" s="99">
        <f t="shared" si="107"/>
        <v>0</v>
      </c>
      <c r="CW1153" s="118"/>
      <c r="CX1153" s="119"/>
      <c r="CY1153" s="119"/>
      <c r="CZ1153" s="119"/>
      <c r="DA1153" s="118"/>
      <c r="DB1153" s="119"/>
      <c r="DC1153" s="111"/>
      <c r="DD1153" s="119"/>
      <c r="DE1153" s="111"/>
      <c r="DF1153" s="46"/>
    </row>
    <row r="1154" spans="1:110" s="42" customFormat="1" ht="33.75" x14ac:dyDescent="0.2">
      <c r="A1154" s="89">
        <v>40680</v>
      </c>
      <c r="B1154" s="90" t="s">
        <v>2226</v>
      </c>
      <c r="C1154" s="90" t="s">
        <v>4243</v>
      </c>
      <c r="D1154" s="90" t="s">
        <v>4264</v>
      </c>
      <c r="E1154" s="90" t="str">
        <f>VLOOKUP(B1154&amp;C1154,Divipola!$C$2:$F$1138,4,FALSE)</f>
        <v>68081</v>
      </c>
      <c r="F1154" s="90"/>
      <c r="G1154" s="124"/>
      <c r="H1154" s="124"/>
      <c r="I1154" s="308">
        <v>2</v>
      </c>
      <c r="J1154" s="124"/>
      <c r="K1154" s="124"/>
      <c r="L1154" s="124"/>
      <c r="M1154" s="124"/>
      <c r="N1154" s="129"/>
      <c r="O1154" s="129"/>
      <c r="P1154" s="129"/>
      <c r="Q1154" s="129"/>
      <c r="R1154" s="129"/>
      <c r="S1154" s="129"/>
      <c r="T1154" s="129"/>
      <c r="U1154" s="129"/>
      <c r="V1154" s="129"/>
      <c r="W1154" s="107"/>
      <c r="X1154" s="105"/>
      <c r="Y1154" s="92">
        <f t="shared" si="108"/>
        <v>0</v>
      </c>
      <c r="Z1154" s="92">
        <f t="shared" si="109"/>
        <v>0</v>
      </c>
      <c r="AA1154" s="92">
        <f t="shared" si="110"/>
        <v>0</v>
      </c>
      <c r="AB1154" s="92">
        <f t="shared" si="111"/>
        <v>0</v>
      </c>
      <c r="AC1154" s="92"/>
      <c r="AD1154" s="92">
        <v>0</v>
      </c>
      <c r="AE1154" s="92">
        <f t="shared" si="112"/>
        <v>0</v>
      </c>
      <c r="AF1154" s="93">
        <v>0</v>
      </c>
      <c r="AG1154" s="105"/>
      <c r="AH1154" s="108"/>
      <c r="AI1154" s="95" t="s">
        <v>4346</v>
      </c>
      <c r="AJ1154" s="96" t="s">
        <v>4347</v>
      </c>
      <c r="AK1154" s="97"/>
      <c r="AL1154" s="89" t="s">
        <v>1049</v>
      </c>
      <c r="AM1154" s="128" t="s">
        <v>4176</v>
      </c>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c r="BJ1154" s="107"/>
      <c r="BK1154" s="107"/>
      <c r="BL1154" s="107"/>
      <c r="BM1154" s="107"/>
      <c r="BN1154" s="107"/>
      <c r="BO1154" s="107"/>
      <c r="BP1154" s="107"/>
      <c r="BQ1154" s="107"/>
      <c r="BR1154" s="107"/>
      <c r="BS1154" s="107"/>
      <c r="BT1154" s="107"/>
      <c r="BU1154" s="107"/>
      <c r="BV1154" s="107"/>
      <c r="BW1154" s="107"/>
      <c r="BX1154" s="107"/>
      <c r="BY1154" s="107"/>
      <c r="BZ1154" s="107"/>
      <c r="CA1154" s="107"/>
      <c r="CB1154" s="107"/>
      <c r="CC1154" s="107"/>
      <c r="CD1154" s="107"/>
      <c r="CE1154" s="107"/>
      <c r="CF1154" s="107"/>
      <c r="CG1154" s="107"/>
      <c r="CH1154" s="107"/>
      <c r="CI1154" s="107"/>
      <c r="CJ1154" s="107"/>
      <c r="CK1154" s="107"/>
      <c r="CL1154" s="107"/>
      <c r="CM1154" s="107"/>
      <c r="CN1154" s="118"/>
      <c r="CO1154" s="119"/>
      <c r="CP1154" s="118"/>
      <c r="CQ1154" s="119"/>
      <c r="CR1154" s="118"/>
      <c r="CS1154" s="119"/>
      <c r="CT1154" s="113"/>
      <c r="CU1154" s="118"/>
      <c r="CV1154" s="99">
        <f t="shared" si="107"/>
        <v>0</v>
      </c>
      <c r="CW1154" s="118"/>
      <c r="CX1154" s="119"/>
      <c r="CY1154" s="119"/>
      <c r="CZ1154" s="119"/>
      <c r="DA1154" s="118"/>
      <c r="DB1154" s="119"/>
      <c r="DC1154" s="111"/>
      <c r="DD1154" s="119"/>
      <c r="DE1154" s="111"/>
      <c r="DF1154" s="46"/>
    </row>
    <row r="1155" spans="1:110" s="42" customFormat="1" x14ac:dyDescent="0.2">
      <c r="A1155" s="89">
        <v>40680</v>
      </c>
      <c r="B1155" s="90" t="s">
        <v>2226</v>
      </c>
      <c r="C1155" s="90" t="s">
        <v>4232</v>
      </c>
      <c r="D1155" s="90" t="s">
        <v>2362</v>
      </c>
      <c r="E1155" s="90" t="str">
        <f>VLOOKUP(B1155&amp;C1155,Divipola!$C$2:$F$1138,4,FALSE)</f>
        <v>68001</v>
      </c>
      <c r="F1155" s="90"/>
      <c r="G1155" s="124"/>
      <c r="H1155" s="124"/>
      <c r="I1155" s="308"/>
      <c r="J1155" s="124">
        <v>30</v>
      </c>
      <c r="K1155" s="124">
        <v>6</v>
      </c>
      <c r="L1155" s="124">
        <v>6</v>
      </c>
      <c r="M1155" s="124"/>
      <c r="N1155" s="129"/>
      <c r="O1155" s="129"/>
      <c r="P1155" s="129"/>
      <c r="Q1155" s="129"/>
      <c r="R1155" s="129"/>
      <c r="S1155" s="129"/>
      <c r="T1155" s="129"/>
      <c r="U1155" s="129"/>
      <c r="V1155" s="129"/>
      <c r="W1155" s="107"/>
      <c r="X1155" s="105"/>
      <c r="Y1155" s="92">
        <f t="shared" si="108"/>
        <v>0</v>
      </c>
      <c r="Z1155" s="92">
        <f t="shared" si="109"/>
        <v>0</v>
      </c>
      <c r="AA1155" s="92">
        <f t="shared" si="110"/>
        <v>0</v>
      </c>
      <c r="AB1155" s="92">
        <f t="shared" si="111"/>
        <v>0</v>
      </c>
      <c r="AC1155" s="92"/>
      <c r="AD1155" s="92">
        <v>0</v>
      </c>
      <c r="AE1155" s="92">
        <f t="shared" si="112"/>
        <v>0</v>
      </c>
      <c r="AF1155" s="93">
        <v>0</v>
      </c>
      <c r="AG1155" s="105"/>
      <c r="AH1155" s="108"/>
      <c r="AI1155" s="95" t="s">
        <v>4336</v>
      </c>
      <c r="AJ1155" s="96" t="s">
        <v>4337</v>
      </c>
      <c r="AK1155" s="309"/>
      <c r="AL1155" s="310"/>
      <c r="AM1155" s="128" t="s">
        <v>4174</v>
      </c>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c r="BJ1155" s="107"/>
      <c r="BK1155" s="107"/>
      <c r="BL1155" s="107"/>
      <c r="BM1155" s="107"/>
      <c r="BN1155" s="107"/>
      <c r="BO1155" s="107"/>
      <c r="BP1155" s="107"/>
      <c r="BQ1155" s="107"/>
      <c r="BR1155" s="107"/>
      <c r="BS1155" s="107"/>
      <c r="BT1155" s="107"/>
      <c r="BU1155" s="107"/>
      <c r="BV1155" s="107"/>
      <c r="BW1155" s="107"/>
      <c r="BX1155" s="107"/>
      <c r="BY1155" s="107"/>
      <c r="BZ1155" s="107"/>
      <c r="CA1155" s="107"/>
      <c r="CB1155" s="107"/>
      <c r="CC1155" s="107"/>
      <c r="CD1155" s="107"/>
      <c r="CE1155" s="107"/>
      <c r="CF1155" s="107"/>
      <c r="CG1155" s="107"/>
      <c r="CH1155" s="107"/>
      <c r="CI1155" s="107"/>
      <c r="CJ1155" s="107"/>
      <c r="CK1155" s="107"/>
      <c r="CL1155" s="107"/>
      <c r="CM1155" s="107"/>
      <c r="CN1155" s="118"/>
      <c r="CO1155" s="119"/>
      <c r="CP1155" s="118"/>
      <c r="CQ1155" s="119"/>
      <c r="CR1155" s="118"/>
      <c r="CS1155" s="119"/>
      <c r="CT1155" s="113"/>
      <c r="CU1155" s="118"/>
      <c r="CV1155" s="99">
        <f t="shared" ref="CV1155:CV1218" si="113">AO1155+AQ1155+AS1155+AU1155+AW1155+AY1155+BA1155+BC1155+BE1155+BG1155+BI1155+BK1155+BM1155+BO1155+BQ1155+BS1155+BU1155+BW1155+BY1155+CA1155+CC1155+CE1155+CG1155+CI1155+CK1155+CM1155+CO1155+CQ1155+CS1155+CU1155</f>
        <v>0</v>
      </c>
      <c r="CW1155" s="118"/>
      <c r="CX1155" s="119"/>
      <c r="CY1155" s="119"/>
      <c r="CZ1155" s="119"/>
      <c r="DA1155" s="118"/>
      <c r="DB1155" s="119"/>
      <c r="DC1155" s="111"/>
      <c r="DD1155" s="119"/>
      <c r="DE1155" s="111"/>
      <c r="DF1155" s="46"/>
    </row>
    <row r="1156" spans="1:110" s="42" customFormat="1" ht="56.25" x14ac:dyDescent="0.2">
      <c r="A1156" s="89">
        <v>40680</v>
      </c>
      <c r="B1156" s="90" t="s">
        <v>2226</v>
      </c>
      <c r="C1156" s="90" t="s">
        <v>4232</v>
      </c>
      <c r="D1156" s="90" t="s">
        <v>2362</v>
      </c>
      <c r="E1156" s="90" t="str">
        <f>VLOOKUP(B1156&amp;C1156,Divipola!$C$2:$F$1138,4,FALSE)</f>
        <v>68001</v>
      </c>
      <c r="F1156" s="90"/>
      <c r="G1156" s="124"/>
      <c r="H1156" s="124">
        <v>11</v>
      </c>
      <c r="I1156" s="308"/>
      <c r="J1156" s="124"/>
      <c r="K1156" s="124"/>
      <c r="L1156" s="124"/>
      <c r="M1156" s="124"/>
      <c r="N1156" s="129">
        <v>1</v>
      </c>
      <c r="O1156" s="129"/>
      <c r="P1156" s="129"/>
      <c r="Q1156" s="129"/>
      <c r="R1156" s="129"/>
      <c r="S1156" s="129"/>
      <c r="T1156" s="129"/>
      <c r="U1156" s="129"/>
      <c r="V1156" s="129"/>
      <c r="W1156" s="107"/>
      <c r="X1156" s="105"/>
      <c r="Y1156" s="92">
        <f t="shared" si="108"/>
        <v>0</v>
      </c>
      <c r="Z1156" s="92">
        <f t="shared" si="109"/>
        <v>0</v>
      </c>
      <c r="AA1156" s="92">
        <f t="shared" si="110"/>
        <v>0</v>
      </c>
      <c r="AB1156" s="92">
        <f t="shared" si="111"/>
        <v>0</v>
      </c>
      <c r="AC1156" s="92"/>
      <c r="AD1156" s="92">
        <v>0</v>
      </c>
      <c r="AE1156" s="92">
        <f t="shared" si="112"/>
        <v>0</v>
      </c>
      <c r="AF1156" s="93">
        <v>0</v>
      </c>
      <c r="AG1156" s="105"/>
      <c r="AH1156" s="108"/>
      <c r="AI1156" s="95" t="s">
        <v>4336</v>
      </c>
      <c r="AJ1156" s="96" t="s">
        <v>4337</v>
      </c>
      <c r="AK1156" s="309"/>
      <c r="AL1156" s="310"/>
      <c r="AM1156" s="128" t="s">
        <v>4185</v>
      </c>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c r="BJ1156" s="107"/>
      <c r="BK1156" s="107"/>
      <c r="BL1156" s="107"/>
      <c r="BM1156" s="107"/>
      <c r="BN1156" s="107"/>
      <c r="BO1156" s="107"/>
      <c r="BP1156" s="107"/>
      <c r="BQ1156" s="107"/>
      <c r="BR1156" s="107"/>
      <c r="BS1156" s="107"/>
      <c r="BT1156" s="107"/>
      <c r="BU1156" s="107"/>
      <c r="BV1156" s="107"/>
      <c r="BW1156" s="107"/>
      <c r="BX1156" s="107"/>
      <c r="BY1156" s="107"/>
      <c r="BZ1156" s="107"/>
      <c r="CA1156" s="107"/>
      <c r="CB1156" s="107"/>
      <c r="CC1156" s="107"/>
      <c r="CD1156" s="107"/>
      <c r="CE1156" s="107"/>
      <c r="CF1156" s="107"/>
      <c r="CG1156" s="107"/>
      <c r="CH1156" s="107"/>
      <c r="CI1156" s="107"/>
      <c r="CJ1156" s="107"/>
      <c r="CK1156" s="107"/>
      <c r="CL1156" s="107"/>
      <c r="CM1156" s="107"/>
      <c r="CN1156" s="118"/>
      <c r="CO1156" s="119"/>
      <c r="CP1156" s="118"/>
      <c r="CQ1156" s="119"/>
      <c r="CR1156" s="118"/>
      <c r="CS1156" s="119"/>
      <c r="CT1156" s="113"/>
      <c r="CU1156" s="118"/>
      <c r="CV1156" s="99">
        <f t="shared" si="113"/>
        <v>0</v>
      </c>
      <c r="CW1156" s="118"/>
      <c r="CX1156" s="119"/>
      <c r="CY1156" s="119"/>
      <c r="CZ1156" s="119"/>
      <c r="DA1156" s="118"/>
      <c r="DB1156" s="119"/>
      <c r="DC1156" s="111"/>
      <c r="DD1156" s="119"/>
      <c r="DE1156" s="111"/>
      <c r="DF1156" s="46"/>
    </row>
    <row r="1157" spans="1:110" s="42" customFormat="1" ht="45" x14ac:dyDescent="0.2">
      <c r="A1157" s="89">
        <v>40680</v>
      </c>
      <c r="B1157" s="90" t="s">
        <v>2226</v>
      </c>
      <c r="C1157" s="90" t="s">
        <v>3305</v>
      </c>
      <c r="D1157" s="90" t="s">
        <v>4264</v>
      </c>
      <c r="E1157" s="90" t="str">
        <f>VLOOKUP(B1157&amp;C1157,Divipola!$C$2:$F$1138,4,FALSE)</f>
        <v>68190</v>
      </c>
      <c r="F1157" s="90"/>
      <c r="G1157" s="124"/>
      <c r="H1157" s="124">
        <v>2</v>
      </c>
      <c r="I1157" s="308"/>
      <c r="J1157" s="124">
        <f>2067*5</f>
        <v>10335</v>
      </c>
      <c r="K1157" s="124">
        <v>2067</v>
      </c>
      <c r="L1157" s="124"/>
      <c r="M1157" s="124">
        <v>2067</v>
      </c>
      <c r="N1157" s="129"/>
      <c r="O1157" s="129"/>
      <c r="P1157" s="129"/>
      <c r="Q1157" s="129"/>
      <c r="R1157" s="129"/>
      <c r="S1157" s="129"/>
      <c r="T1157" s="129"/>
      <c r="U1157" s="129"/>
      <c r="V1157" s="129"/>
      <c r="W1157" s="107"/>
      <c r="X1157" s="105"/>
      <c r="Y1157" s="92">
        <f t="shared" si="108"/>
        <v>0</v>
      </c>
      <c r="Z1157" s="92">
        <f t="shared" si="109"/>
        <v>0</v>
      </c>
      <c r="AA1157" s="92">
        <f t="shared" si="110"/>
        <v>0</v>
      </c>
      <c r="AB1157" s="92">
        <f t="shared" si="111"/>
        <v>0</v>
      </c>
      <c r="AC1157" s="92"/>
      <c r="AD1157" s="92">
        <v>0</v>
      </c>
      <c r="AE1157" s="92">
        <f t="shared" si="112"/>
        <v>0</v>
      </c>
      <c r="AF1157" s="93">
        <v>0</v>
      </c>
      <c r="AG1157" s="105"/>
      <c r="AH1157" s="108"/>
      <c r="AI1157" s="95" t="s">
        <v>4346</v>
      </c>
      <c r="AJ1157" s="96" t="s">
        <v>4347</v>
      </c>
      <c r="AK1157" s="97"/>
      <c r="AL1157" s="89" t="s">
        <v>1049</v>
      </c>
      <c r="AM1157" s="128" t="s">
        <v>2692</v>
      </c>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c r="BJ1157" s="107"/>
      <c r="BK1157" s="107"/>
      <c r="BL1157" s="107"/>
      <c r="BM1157" s="107"/>
      <c r="BN1157" s="107"/>
      <c r="BO1157" s="107"/>
      <c r="BP1157" s="107"/>
      <c r="BQ1157" s="107"/>
      <c r="BR1157" s="107"/>
      <c r="BS1157" s="107"/>
      <c r="BT1157" s="107"/>
      <c r="BU1157" s="107"/>
      <c r="BV1157" s="107"/>
      <c r="BW1157" s="107"/>
      <c r="BX1157" s="107"/>
      <c r="BY1157" s="107"/>
      <c r="BZ1157" s="107"/>
      <c r="CA1157" s="107"/>
      <c r="CB1157" s="107"/>
      <c r="CC1157" s="107"/>
      <c r="CD1157" s="107"/>
      <c r="CE1157" s="107"/>
      <c r="CF1157" s="107"/>
      <c r="CG1157" s="107"/>
      <c r="CH1157" s="107"/>
      <c r="CI1157" s="107"/>
      <c r="CJ1157" s="107"/>
      <c r="CK1157" s="107"/>
      <c r="CL1157" s="107"/>
      <c r="CM1157" s="107"/>
      <c r="CN1157" s="118"/>
      <c r="CO1157" s="119"/>
      <c r="CP1157" s="118"/>
      <c r="CQ1157" s="119"/>
      <c r="CR1157" s="118"/>
      <c r="CS1157" s="119"/>
      <c r="CT1157" s="113"/>
      <c r="CU1157" s="118"/>
      <c r="CV1157" s="99">
        <f t="shared" si="113"/>
        <v>0</v>
      </c>
      <c r="CW1157" s="118"/>
      <c r="CX1157" s="119"/>
      <c r="CY1157" s="119"/>
      <c r="CZ1157" s="119"/>
      <c r="DA1157" s="118"/>
      <c r="DB1157" s="119"/>
      <c r="DC1157" s="111"/>
      <c r="DD1157" s="119"/>
      <c r="DE1157" s="111"/>
      <c r="DF1157" s="46"/>
    </row>
    <row r="1158" spans="1:110" s="42" customFormat="1" ht="22.5" x14ac:dyDescent="0.2">
      <c r="A1158" s="89">
        <v>40680</v>
      </c>
      <c r="B1158" s="90" t="s">
        <v>2226</v>
      </c>
      <c r="C1158" s="90" t="s">
        <v>4310</v>
      </c>
      <c r="D1158" s="90" t="s">
        <v>4264</v>
      </c>
      <c r="E1158" s="90" t="str">
        <f>VLOOKUP(B1158&amp;C1158,Divipola!$C$2:$F$1138,4,FALSE)</f>
        <v>68250</v>
      </c>
      <c r="F1158" s="90"/>
      <c r="G1158" s="124"/>
      <c r="H1158" s="124"/>
      <c r="I1158" s="308"/>
      <c r="J1158" s="124">
        <v>500</v>
      </c>
      <c r="K1158" s="124">
        <v>100</v>
      </c>
      <c r="L1158" s="124"/>
      <c r="M1158" s="124">
        <v>100</v>
      </c>
      <c r="N1158" s="129"/>
      <c r="O1158" s="129"/>
      <c r="P1158" s="129"/>
      <c r="Q1158" s="129"/>
      <c r="R1158" s="129"/>
      <c r="S1158" s="129"/>
      <c r="T1158" s="129"/>
      <c r="U1158" s="129"/>
      <c r="V1158" s="129"/>
      <c r="W1158" s="107"/>
      <c r="X1158" s="105"/>
      <c r="Y1158" s="92">
        <f t="shared" si="108"/>
        <v>0</v>
      </c>
      <c r="Z1158" s="92">
        <f t="shared" si="109"/>
        <v>0</v>
      </c>
      <c r="AA1158" s="92">
        <f t="shared" si="110"/>
        <v>0</v>
      </c>
      <c r="AB1158" s="92">
        <f t="shared" si="111"/>
        <v>0</v>
      </c>
      <c r="AC1158" s="92"/>
      <c r="AD1158" s="92">
        <v>0</v>
      </c>
      <c r="AE1158" s="92">
        <f t="shared" si="112"/>
        <v>0</v>
      </c>
      <c r="AF1158" s="93">
        <v>0</v>
      </c>
      <c r="AG1158" s="105"/>
      <c r="AH1158" s="108"/>
      <c r="AI1158" s="95" t="s">
        <v>4346</v>
      </c>
      <c r="AJ1158" s="96" t="s">
        <v>4347</v>
      </c>
      <c r="AK1158" s="97"/>
      <c r="AL1158" s="89" t="s">
        <v>1049</v>
      </c>
      <c r="AM1158" s="128" t="s">
        <v>4179</v>
      </c>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c r="BJ1158" s="107"/>
      <c r="BK1158" s="107"/>
      <c r="BL1158" s="107"/>
      <c r="BM1158" s="107"/>
      <c r="BN1158" s="107"/>
      <c r="BO1158" s="107"/>
      <c r="BP1158" s="107"/>
      <c r="BQ1158" s="107"/>
      <c r="BR1158" s="107"/>
      <c r="BS1158" s="107"/>
      <c r="BT1158" s="107"/>
      <c r="BU1158" s="107"/>
      <c r="BV1158" s="107"/>
      <c r="BW1158" s="107"/>
      <c r="BX1158" s="107"/>
      <c r="BY1158" s="107"/>
      <c r="BZ1158" s="107"/>
      <c r="CA1158" s="107"/>
      <c r="CB1158" s="107"/>
      <c r="CC1158" s="107"/>
      <c r="CD1158" s="107"/>
      <c r="CE1158" s="107"/>
      <c r="CF1158" s="107"/>
      <c r="CG1158" s="107"/>
      <c r="CH1158" s="107"/>
      <c r="CI1158" s="107"/>
      <c r="CJ1158" s="107"/>
      <c r="CK1158" s="107"/>
      <c r="CL1158" s="107"/>
      <c r="CM1158" s="107"/>
      <c r="CN1158" s="118"/>
      <c r="CO1158" s="119"/>
      <c r="CP1158" s="118"/>
      <c r="CQ1158" s="119"/>
      <c r="CR1158" s="118"/>
      <c r="CS1158" s="119"/>
      <c r="CT1158" s="113"/>
      <c r="CU1158" s="118"/>
      <c r="CV1158" s="99">
        <f t="shared" si="113"/>
        <v>0</v>
      </c>
      <c r="CW1158" s="118"/>
      <c r="CX1158" s="119"/>
      <c r="CY1158" s="119"/>
      <c r="CZ1158" s="119"/>
      <c r="DA1158" s="118"/>
      <c r="DB1158" s="119"/>
      <c r="DC1158" s="111"/>
      <c r="DD1158" s="119"/>
      <c r="DE1158" s="111"/>
      <c r="DF1158" s="46"/>
    </row>
    <row r="1159" spans="1:110" s="42" customFormat="1" ht="33.75" x14ac:dyDescent="0.2">
      <c r="A1159" s="89">
        <v>40680</v>
      </c>
      <c r="B1159" s="90" t="s">
        <v>2226</v>
      </c>
      <c r="C1159" s="90" t="s">
        <v>3534</v>
      </c>
      <c r="D1159" s="90" t="s">
        <v>2362</v>
      </c>
      <c r="E1159" s="90" t="str">
        <f>VLOOKUP(B1159&amp;C1159,Divipola!$C$2:$F$1138,4,FALSE)</f>
        <v>68276</v>
      </c>
      <c r="F1159" s="90"/>
      <c r="G1159" s="124"/>
      <c r="H1159" s="124"/>
      <c r="I1159" s="308"/>
      <c r="J1159" s="124">
        <v>75</v>
      </c>
      <c r="K1159" s="124">
        <v>15</v>
      </c>
      <c r="L1159" s="124"/>
      <c r="M1159" s="124">
        <v>15</v>
      </c>
      <c r="N1159" s="129"/>
      <c r="O1159" s="129"/>
      <c r="P1159" s="129"/>
      <c r="Q1159" s="129"/>
      <c r="R1159" s="129"/>
      <c r="S1159" s="129"/>
      <c r="T1159" s="129"/>
      <c r="U1159" s="129"/>
      <c r="V1159" s="129"/>
      <c r="W1159" s="107"/>
      <c r="X1159" s="105"/>
      <c r="Y1159" s="92">
        <f t="shared" si="108"/>
        <v>0</v>
      </c>
      <c r="Z1159" s="92">
        <f t="shared" si="109"/>
        <v>0</v>
      </c>
      <c r="AA1159" s="92">
        <f t="shared" si="110"/>
        <v>0</v>
      </c>
      <c r="AB1159" s="92">
        <f t="shared" si="111"/>
        <v>0</v>
      </c>
      <c r="AC1159" s="92"/>
      <c r="AD1159" s="92">
        <v>0</v>
      </c>
      <c r="AE1159" s="92">
        <f t="shared" si="112"/>
        <v>0</v>
      </c>
      <c r="AF1159" s="93">
        <v>0</v>
      </c>
      <c r="AG1159" s="105"/>
      <c r="AH1159" s="108"/>
      <c r="AI1159" s="95" t="s">
        <v>4346</v>
      </c>
      <c r="AJ1159" s="96" t="s">
        <v>4347</v>
      </c>
      <c r="AK1159" s="97"/>
      <c r="AL1159" s="89" t="s">
        <v>1049</v>
      </c>
      <c r="AM1159" s="128" t="s">
        <v>4180</v>
      </c>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c r="BJ1159" s="107"/>
      <c r="BK1159" s="107"/>
      <c r="BL1159" s="107"/>
      <c r="BM1159" s="107"/>
      <c r="BN1159" s="107"/>
      <c r="BO1159" s="107"/>
      <c r="BP1159" s="107"/>
      <c r="BQ1159" s="107"/>
      <c r="BR1159" s="107"/>
      <c r="BS1159" s="107"/>
      <c r="BT1159" s="107"/>
      <c r="BU1159" s="107"/>
      <c r="BV1159" s="107"/>
      <c r="BW1159" s="107"/>
      <c r="BX1159" s="107"/>
      <c r="BY1159" s="107"/>
      <c r="BZ1159" s="107"/>
      <c r="CA1159" s="107"/>
      <c r="CB1159" s="107"/>
      <c r="CC1159" s="107"/>
      <c r="CD1159" s="107"/>
      <c r="CE1159" s="107"/>
      <c r="CF1159" s="107"/>
      <c r="CG1159" s="107"/>
      <c r="CH1159" s="107"/>
      <c r="CI1159" s="107"/>
      <c r="CJ1159" s="107"/>
      <c r="CK1159" s="107"/>
      <c r="CL1159" s="107"/>
      <c r="CM1159" s="107"/>
      <c r="CN1159" s="118"/>
      <c r="CO1159" s="119"/>
      <c r="CP1159" s="118"/>
      <c r="CQ1159" s="119"/>
      <c r="CR1159" s="118"/>
      <c r="CS1159" s="119"/>
      <c r="CT1159" s="113"/>
      <c r="CU1159" s="118"/>
      <c r="CV1159" s="99">
        <f t="shared" si="113"/>
        <v>0</v>
      </c>
      <c r="CW1159" s="118"/>
      <c r="CX1159" s="119"/>
      <c r="CY1159" s="119"/>
      <c r="CZ1159" s="119"/>
      <c r="DA1159" s="118"/>
      <c r="DB1159" s="119"/>
      <c r="DC1159" s="111"/>
      <c r="DD1159" s="119"/>
      <c r="DE1159" s="111"/>
      <c r="DF1159" s="46"/>
    </row>
    <row r="1160" spans="1:110" s="42" customFormat="1" ht="22.5" x14ac:dyDescent="0.2">
      <c r="A1160" s="89">
        <v>40680</v>
      </c>
      <c r="B1160" s="90" t="s">
        <v>2226</v>
      </c>
      <c r="C1160" s="90" t="s">
        <v>800</v>
      </c>
      <c r="D1160" s="90" t="s">
        <v>4264</v>
      </c>
      <c r="E1160" s="90" t="str">
        <f>VLOOKUP(B1160&amp;C1160,Divipola!$C$2:$F$1138,4,FALSE)</f>
        <v>68547</v>
      </c>
      <c r="F1160" s="90"/>
      <c r="G1160" s="124"/>
      <c r="H1160" s="124"/>
      <c r="I1160" s="308"/>
      <c r="J1160" s="124">
        <v>1100</v>
      </c>
      <c r="K1160" s="124">
        <v>220</v>
      </c>
      <c r="L1160" s="124"/>
      <c r="M1160" s="124">
        <v>220</v>
      </c>
      <c r="N1160" s="129"/>
      <c r="O1160" s="129"/>
      <c r="P1160" s="129"/>
      <c r="Q1160" s="129"/>
      <c r="R1160" s="129"/>
      <c r="S1160" s="129"/>
      <c r="T1160" s="129"/>
      <c r="U1160" s="129"/>
      <c r="V1160" s="129"/>
      <c r="W1160" s="107"/>
      <c r="X1160" s="105"/>
      <c r="Y1160" s="92">
        <f t="shared" si="108"/>
        <v>0</v>
      </c>
      <c r="Z1160" s="92">
        <f t="shared" si="109"/>
        <v>0</v>
      </c>
      <c r="AA1160" s="92">
        <f t="shared" si="110"/>
        <v>0</v>
      </c>
      <c r="AB1160" s="92">
        <f t="shared" si="111"/>
        <v>0</v>
      </c>
      <c r="AC1160" s="92"/>
      <c r="AD1160" s="92">
        <v>0</v>
      </c>
      <c r="AE1160" s="92">
        <f t="shared" si="112"/>
        <v>0</v>
      </c>
      <c r="AF1160" s="93">
        <v>0</v>
      </c>
      <c r="AG1160" s="105"/>
      <c r="AH1160" s="108"/>
      <c r="AI1160" s="95" t="s">
        <v>4346</v>
      </c>
      <c r="AJ1160" s="96" t="s">
        <v>4347</v>
      </c>
      <c r="AK1160" s="97"/>
      <c r="AL1160" s="89" t="s">
        <v>1049</v>
      </c>
      <c r="AM1160" s="128" t="s">
        <v>4178</v>
      </c>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c r="BJ1160" s="107"/>
      <c r="BK1160" s="107"/>
      <c r="BL1160" s="107"/>
      <c r="BM1160" s="107"/>
      <c r="BN1160" s="107"/>
      <c r="BO1160" s="107"/>
      <c r="BP1160" s="107"/>
      <c r="BQ1160" s="107"/>
      <c r="BR1160" s="107"/>
      <c r="BS1160" s="107"/>
      <c r="BT1160" s="107"/>
      <c r="BU1160" s="107"/>
      <c r="BV1160" s="107"/>
      <c r="BW1160" s="107"/>
      <c r="BX1160" s="107"/>
      <c r="BY1160" s="107"/>
      <c r="BZ1160" s="107"/>
      <c r="CA1160" s="107"/>
      <c r="CB1160" s="107"/>
      <c r="CC1160" s="107"/>
      <c r="CD1160" s="107"/>
      <c r="CE1160" s="107"/>
      <c r="CF1160" s="107"/>
      <c r="CG1160" s="107"/>
      <c r="CH1160" s="107"/>
      <c r="CI1160" s="107"/>
      <c r="CJ1160" s="107"/>
      <c r="CK1160" s="107"/>
      <c r="CL1160" s="107"/>
      <c r="CM1160" s="107"/>
      <c r="CN1160" s="118"/>
      <c r="CO1160" s="119"/>
      <c r="CP1160" s="118"/>
      <c r="CQ1160" s="119"/>
      <c r="CR1160" s="118"/>
      <c r="CS1160" s="119"/>
      <c r="CT1160" s="113"/>
      <c r="CU1160" s="118"/>
      <c r="CV1160" s="99">
        <f t="shared" si="113"/>
        <v>0</v>
      </c>
      <c r="CW1160" s="118"/>
      <c r="CX1160" s="119"/>
      <c r="CY1160" s="119"/>
      <c r="CZ1160" s="119"/>
      <c r="DA1160" s="118"/>
      <c r="DB1160" s="119"/>
      <c r="DC1160" s="111"/>
      <c r="DD1160" s="119"/>
      <c r="DE1160" s="111"/>
      <c r="DF1160" s="46"/>
    </row>
    <row r="1161" spans="1:110" s="42" customFormat="1" ht="45" x14ac:dyDescent="0.2">
      <c r="A1161" s="89">
        <v>40680</v>
      </c>
      <c r="B1161" s="90" t="s">
        <v>2226</v>
      </c>
      <c r="C1161" s="90" t="s">
        <v>3380</v>
      </c>
      <c r="D1161" s="90" t="s">
        <v>4264</v>
      </c>
      <c r="E1161" s="90" t="str">
        <f>VLOOKUP(B1161&amp;C1161,Divipola!$C$2:$F$1138,4,FALSE)</f>
        <v>68575</v>
      </c>
      <c r="F1161" s="90"/>
      <c r="G1161" s="124"/>
      <c r="H1161" s="124"/>
      <c r="I1161" s="308"/>
      <c r="J1161" s="124"/>
      <c r="K1161" s="124"/>
      <c r="L1161" s="124"/>
      <c r="M1161" s="124"/>
      <c r="N1161" s="129"/>
      <c r="O1161" s="129"/>
      <c r="P1161" s="129"/>
      <c r="Q1161" s="129"/>
      <c r="R1161" s="129"/>
      <c r="S1161" s="129"/>
      <c r="T1161" s="129"/>
      <c r="U1161" s="129"/>
      <c r="V1161" s="129"/>
      <c r="W1161" s="107"/>
      <c r="X1161" s="105"/>
      <c r="Y1161" s="92">
        <f t="shared" si="108"/>
        <v>0</v>
      </c>
      <c r="Z1161" s="92">
        <f t="shared" si="109"/>
        <v>0</v>
      </c>
      <c r="AA1161" s="92">
        <f t="shared" si="110"/>
        <v>0</v>
      </c>
      <c r="AB1161" s="92">
        <f t="shared" si="111"/>
        <v>0</v>
      </c>
      <c r="AC1161" s="92"/>
      <c r="AD1161" s="92">
        <v>0</v>
      </c>
      <c r="AE1161" s="92">
        <f t="shared" si="112"/>
        <v>0</v>
      </c>
      <c r="AF1161" s="93">
        <v>0</v>
      </c>
      <c r="AG1161" s="105"/>
      <c r="AH1161" s="108"/>
      <c r="AI1161" s="95" t="s">
        <v>4346</v>
      </c>
      <c r="AJ1161" s="96" t="s">
        <v>4347</v>
      </c>
      <c r="AK1161" s="97"/>
      <c r="AL1161" s="89" t="s">
        <v>1049</v>
      </c>
      <c r="AM1161" s="128" t="s">
        <v>4177</v>
      </c>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c r="BJ1161" s="107"/>
      <c r="BK1161" s="107"/>
      <c r="BL1161" s="107"/>
      <c r="BM1161" s="107"/>
      <c r="BN1161" s="107"/>
      <c r="BO1161" s="107"/>
      <c r="BP1161" s="107"/>
      <c r="BQ1161" s="107"/>
      <c r="BR1161" s="107"/>
      <c r="BS1161" s="107"/>
      <c r="BT1161" s="107"/>
      <c r="BU1161" s="107"/>
      <c r="BV1161" s="107"/>
      <c r="BW1161" s="107"/>
      <c r="BX1161" s="107"/>
      <c r="BY1161" s="107"/>
      <c r="BZ1161" s="107"/>
      <c r="CA1161" s="107"/>
      <c r="CB1161" s="107"/>
      <c r="CC1161" s="107"/>
      <c r="CD1161" s="107"/>
      <c r="CE1161" s="107"/>
      <c r="CF1161" s="107"/>
      <c r="CG1161" s="107"/>
      <c r="CH1161" s="107"/>
      <c r="CI1161" s="107"/>
      <c r="CJ1161" s="107"/>
      <c r="CK1161" s="107"/>
      <c r="CL1161" s="107"/>
      <c r="CM1161" s="107"/>
      <c r="CN1161" s="118"/>
      <c r="CO1161" s="119"/>
      <c r="CP1161" s="118"/>
      <c r="CQ1161" s="119"/>
      <c r="CR1161" s="118"/>
      <c r="CS1161" s="119"/>
      <c r="CT1161" s="113"/>
      <c r="CU1161" s="118"/>
      <c r="CV1161" s="99">
        <f t="shared" si="113"/>
        <v>0</v>
      </c>
      <c r="CW1161" s="118"/>
      <c r="CX1161" s="119"/>
      <c r="CY1161" s="119"/>
      <c r="CZ1161" s="119"/>
      <c r="DA1161" s="118"/>
      <c r="DB1161" s="119"/>
      <c r="DC1161" s="111"/>
      <c r="DD1161" s="119"/>
      <c r="DE1161" s="111"/>
      <c r="DF1161" s="46"/>
    </row>
    <row r="1162" spans="1:110" s="42" customFormat="1" ht="45" x14ac:dyDescent="0.2">
      <c r="A1162" s="89">
        <v>40680</v>
      </c>
      <c r="B1162" s="90" t="s">
        <v>4244</v>
      </c>
      <c r="C1162" s="90" t="s">
        <v>2768</v>
      </c>
      <c r="D1162" s="90" t="s">
        <v>2865</v>
      </c>
      <c r="E1162" s="90" t="str">
        <f>VLOOKUP(B1162&amp;C1162,Divipola!$C$2:$F$1138,4,FALSE)</f>
        <v>76001</v>
      </c>
      <c r="F1162" s="90"/>
      <c r="G1162" s="124"/>
      <c r="H1162" s="124"/>
      <c r="I1162" s="308"/>
      <c r="J1162" s="124">
        <v>8</v>
      </c>
      <c r="K1162" s="124"/>
      <c r="L1162" s="124"/>
      <c r="M1162" s="124"/>
      <c r="N1162" s="129"/>
      <c r="O1162" s="129"/>
      <c r="P1162" s="129"/>
      <c r="Q1162" s="129"/>
      <c r="R1162" s="129"/>
      <c r="S1162" s="129"/>
      <c r="T1162" s="129"/>
      <c r="U1162" s="129"/>
      <c r="V1162" s="129"/>
      <c r="W1162" s="107"/>
      <c r="X1162" s="105"/>
      <c r="Y1162" s="92">
        <f t="shared" si="108"/>
        <v>0</v>
      </c>
      <c r="Z1162" s="92">
        <f t="shared" si="109"/>
        <v>0</v>
      </c>
      <c r="AA1162" s="92">
        <f t="shared" si="110"/>
        <v>0</v>
      </c>
      <c r="AB1162" s="92">
        <f t="shared" si="111"/>
        <v>0</v>
      </c>
      <c r="AC1162" s="92"/>
      <c r="AD1162" s="92">
        <v>0</v>
      </c>
      <c r="AE1162" s="92">
        <f t="shared" si="112"/>
        <v>0</v>
      </c>
      <c r="AF1162" s="93">
        <v>0</v>
      </c>
      <c r="AG1162" s="105"/>
      <c r="AH1162" s="108"/>
      <c r="AI1162" s="109" t="s">
        <v>4336</v>
      </c>
      <c r="AJ1162" s="110" t="s">
        <v>4337</v>
      </c>
      <c r="AK1162" s="309"/>
      <c r="AL1162" s="310"/>
      <c r="AM1162" s="128" t="s">
        <v>4175</v>
      </c>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c r="BJ1162" s="107"/>
      <c r="BK1162" s="107"/>
      <c r="BL1162" s="107"/>
      <c r="BM1162" s="107"/>
      <c r="BN1162" s="107"/>
      <c r="BO1162" s="107"/>
      <c r="BP1162" s="107"/>
      <c r="BQ1162" s="107"/>
      <c r="BR1162" s="107"/>
      <c r="BS1162" s="107"/>
      <c r="BT1162" s="107"/>
      <c r="BU1162" s="107"/>
      <c r="BV1162" s="107"/>
      <c r="BW1162" s="107"/>
      <c r="BX1162" s="107"/>
      <c r="BY1162" s="107"/>
      <c r="BZ1162" s="107"/>
      <c r="CA1162" s="107"/>
      <c r="CB1162" s="107"/>
      <c r="CC1162" s="107"/>
      <c r="CD1162" s="107"/>
      <c r="CE1162" s="107"/>
      <c r="CF1162" s="107"/>
      <c r="CG1162" s="107"/>
      <c r="CH1162" s="107"/>
      <c r="CI1162" s="107"/>
      <c r="CJ1162" s="107"/>
      <c r="CK1162" s="107"/>
      <c r="CL1162" s="107"/>
      <c r="CM1162" s="107"/>
      <c r="CN1162" s="118"/>
      <c r="CO1162" s="119"/>
      <c r="CP1162" s="118"/>
      <c r="CQ1162" s="119"/>
      <c r="CR1162" s="118"/>
      <c r="CS1162" s="119"/>
      <c r="CT1162" s="113"/>
      <c r="CU1162" s="118"/>
      <c r="CV1162" s="99">
        <f t="shared" si="113"/>
        <v>0</v>
      </c>
      <c r="CW1162" s="118"/>
      <c r="CX1162" s="119"/>
      <c r="CY1162" s="119"/>
      <c r="CZ1162" s="119"/>
      <c r="DA1162" s="118"/>
      <c r="DB1162" s="119"/>
      <c r="DC1162" s="111"/>
      <c r="DD1162" s="119"/>
      <c r="DE1162" s="111"/>
      <c r="DF1162" s="46"/>
    </row>
    <row r="1163" spans="1:110" s="42" customFormat="1" ht="60" x14ac:dyDescent="0.2">
      <c r="A1163" s="89">
        <v>40681</v>
      </c>
      <c r="B1163" s="106" t="s">
        <v>3301</v>
      </c>
      <c r="C1163" s="106" t="s">
        <v>2255</v>
      </c>
      <c r="D1163" s="90" t="s">
        <v>4264</v>
      </c>
      <c r="E1163" s="90" t="str">
        <f>VLOOKUP(B1163&amp;C1163,Divipola!$C$2:$F$1138,4,FALSE)</f>
        <v>81065</v>
      </c>
      <c r="F1163" s="90"/>
      <c r="G1163" s="129"/>
      <c r="H1163" s="129"/>
      <c r="I1163" s="129"/>
      <c r="J1163" s="129">
        <v>3915</v>
      </c>
      <c r="K1163" s="129">
        <v>803</v>
      </c>
      <c r="L1163" s="129"/>
      <c r="M1163" s="129">
        <v>803</v>
      </c>
      <c r="N1163" s="129"/>
      <c r="O1163" s="129"/>
      <c r="P1163" s="129"/>
      <c r="Q1163" s="129"/>
      <c r="R1163" s="129"/>
      <c r="S1163" s="129"/>
      <c r="T1163" s="129"/>
      <c r="U1163" s="129"/>
      <c r="V1163" s="129"/>
      <c r="W1163" s="107"/>
      <c r="X1163" s="105"/>
      <c r="Y1163" s="92">
        <f t="shared" si="108"/>
        <v>0</v>
      </c>
      <c r="Z1163" s="92">
        <f t="shared" si="109"/>
        <v>0</v>
      </c>
      <c r="AA1163" s="92">
        <f t="shared" si="110"/>
        <v>0</v>
      </c>
      <c r="AB1163" s="92">
        <f t="shared" si="111"/>
        <v>0</v>
      </c>
      <c r="AC1163" s="92"/>
      <c r="AD1163" s="92">
        <v>0</v>
      </c>
      <c r="AE1163" s="92">
        <f t="shared" si="112"/>
        <v>0</v>
      </c>
      <c r="AF1163" s="93">
        <v>0</v>
      </c>
      <c r="AG1163" s="105"/>
      <c r="AH1163" s="108"/>
      <c r="AI1163" s="95" t="s">
        <v>4346</v>
      </c>
      <c r="AJ1163" s="96" t="s">
        <v>4347</v>
      </c>
      <c r="AK1163" s="97"/>
      <c r="AL1163" s="89" t="s">
        <v>2798</v>
      </c>
      <c r="AM1163" s="112" t="s">
        <v>920</v>
      </c>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c r="BJ1163" s="107"/>
      <c r="BK1163" s="107"/>
      <c r="BL1163" s="107"/>
      <c r="BM1163" s="107"/>
      <c r="BN1163" s="107"/>
      <c r="BO1163" s="107"/>
      <c r="BP1163" s="107"/>
      <c r="BQ1163" s="107"/>
      <c r="BR1163" s="107"/>
      <c r="BS1163" s="107"/>
      <c r="BT1163" s="107"/>
      <c r="BU1163" s="107"/>
      <c r="BV1163" s="107"/>
      <c r="BW1163" s="107"/>
      <c r="BX1163" s="107"/>
      <c r="BY1163" s="107"/>
      <c r="BZ1163" s="107"/>
      <c r="CA1163" s="107"/>
      <c r="CB1163" s="107"/>
      <c r="CC1163" s="107"/>
      <c r="CD1163" s="107"/>
      <c r="CE1163" s="107"/>
      <c r="CF1163" s="107"/>
      <c r="CG1163" s="107"/>
      <c r="CH1163" s="107"/>
      <c r="CI1163" s="107"/>
      <c r="CJ1163" s="107"/>
      <c r="CK1163" s="107"/>
      <c r="CL1163" s="107"/>
      <c r="CM1163" s="107"/>
      <c r="CN1163" s="118"/>
      <c r="CO1163" s="119"/>
      <c r="CP1163" s="118"/>
      <c r="CQ1163" s="119"/>
      <c r="CR1163" s="118"/>
      <c r="CS1163" s="119"/>
      <c r="CT1163" s="113"/>
      <c r="CU1163" s="118"/>
      <c r="CV1163" s="99">
        <f t="shared" si="113"/>
        <v>0</v>
      </c>
      <c r="CW1163" s="118"/>
      <c r="CX1163" s="119"/>
      <c r="CY1163" s="119"/>
      <c r="CZ1163" s="119"/>
      <c r="DA1163" s="118"/>
      <c r="DB1163" s="119"/>
      <c r="DC1163" s="111"/>
      <c r="DD1163" s="119"/>
      <c r="DE1163" s="111"/>
      <c r="DF1163" s="46"/>
    </row>
    <row r="1164" spans="1:110" s="42" customFormat="1" ht="108" x14ac:dyDescent="0.2">
      <c r="A1164" s="89">
        <v>40681</v>
      </c>
      <c r="B1164" s="106" t="s">
        <v>3301</v>
      </c>
      <c r="C1164" s="106" t="s">
        <v>2769</v>
      </c>
      <c r="D1164" s="90" t="s">
        <v>4264</v>
      </c>
      <c r="E1164" s="90" t="str">
        <f>VLOOKUP(B1164&amp;C1164,Divipola!$C$2:$F$1138,4,FALSE)</f>
        <v>81300</v>
      </c>
      <c r="F1164" s="90"/>
      <c r="G1164" s="129"/>
      <c r="H1164" s="129"/>
      <c r="I1164" s="129"/>
      <c r="J1164" s="129">
        <v>567</v>
      </c>
      <c r="K1164" s="129">
        <v>107</v>
      </c>
      <c r="L1164" s="129">
        <v>6</v>
      </c>
      <c r="M1164" s="129">
        <v>1</v>
      </c>
      <c r="N1164" s="129"/>
      <c r="O1164" s="129"/>
      <c r="P1164" s="129"/>
      <c r="Q1164" s="129"/>
      <c r="R1164" s="129"/>
      <c r="S1164" s="129"/>
      <c r="T1164" s="129"/>
      <c r="U1164" s="129"/>
      <c r="V1164" s="129"/>
      <c r="W1164" s="107"/>
      <c r="X1164" s="105"/>
      <c r="Y1164" s="117">
        <f t="shared" si="108"/>
        <v>0</v>
      </c>
      <c r="Z1164" s="117">
        <f t="shared" si="109"/>
        <v>0</v>
      </c>
      <c r="AA1164" s="117">
        <f t="shared" si="110"/>
        <v>0</v>
      </c>
      <c r="AB1164" s="117">
        <f t="shared" si="111"/>
        <v>0</v>
      </c>
      <c r="AC1164" s="117"/>
      <c r="AD1164" s="117">
        <v>0</v>
      </c>
      <c r="AE1164" s="92">
        <f t="shared" si="112"/>
        <v>0</v>
      </c>
      <c r="AF1164" s="93">
        <v>0</v>
      </c>
      <c r="AG1164" s="105"/>
      <c r="AH1164" s="108"/>
      <c r="AI1164" s="95" t="s">
        <v>4346</v>
      </c>
      <c r="AJ1164" s="96" t="s">
        <v>4347</v>
      </c>
      <c r="AK1164" s="97"/>
      <c r="AL1164" s="89" t="s">
        <v>2798</v>
      </c>
      <c r="AM1164" s="112" t="s">
        <v>921</v>
      </c>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c r="BJ1164" s="107"/>
      <c r="BK1164" s="107"/>
      <c r="BL1164" s="107"/>
      <c r="BM1164" s="107"/>
      <c r="BN1164" s="107"/>
      <c r="BO1164" s="107"/>
      <c r="BP1164" s="107"/>
      <c r="BQ1164" s="107"/>
      <c r="BR1164" s="107"/>
      <c r="BS1164" s="107"/>
      <c r="BT1164" s="107"/>
      <c r="BU1164" s="107"/>
      <c r="BV1164" s="107"/>
      <c r="BW1164" s="107"/>
      <c r="BX1164" s="107"/>
      <c r="BY1164" s="107"/>
      <c r="BZ1164" s="107"/>
      <c r="CA1164" s="107"/>
      <c r="CB1164" s="107"/>
      <c r="CC1164" s="107"/>
      <c r="CD1164" s="107"/>
      <c r="CE1164" s="107"/>
      <c r="CF1164" s="107"/>
      <c r="CG1164" s="107"/>
      <c r="CH1164" s="107"/>
      <c r="CI1164" s="107"/>
      <c r="CJ1164" s="107"/>
      <c r="CK1164" s="107"/>
      <c r="CL1164" s="107"/>
      <c r="CM1164" s="107"/>
      <c r="CN1164" s="118"/>
      <c r="CO1164" s="119"/>
      <c r="CP1164" s="118"/>
      <c r="CQ1164" s="119"/>
      <c r="CR1164" s="118"/>
      <c r="CS1164" s="119"/>
      <c r="CT1164" s="113"/>
      <c r="CU1164" s="118"/>
      <c r="CV1164" s="99">
        <f t="shared" si="113"/>
        <v>0</v>
      </c>
      <c r="CW1164" s="118"/>
      <c r="CX1164" s="119"/>
      <c r="CY1164" s="119"/>
      <c r="CZ1164" s="119"/>
      <c r="DA1164" s="118"/>
      <c r="DB1164" s="119"/>
      <c r="DC1164" s="111"/>
      <c r="DD1164" s="119"/>
      <c r="DE1164" s="111"/>
      <c r="DF1164" s="46"/>
    </row>
    <row r="1165" spans="1:110" s="42" customFormat="1" ht="72" x14ac:dyDescent="0.2">
      <c r="A1165" s="89">
        <v>40681</v>
      </c>
      <c r="B1165" s="106" t="s">
        <v>3301</v>
      </c>
      <c r="C1165" s="106" t="s">
        <v>4229</v>
      </c>
      <c r="D1165" s="90" t="s">
        <v>4264</v>
      </c>
      <c r="E1165" s="90" t="str">
        <f>VLOOKUP(B1165&amp;C1165,Divipola!$C$2:$F$1138,4,FALSE)</f>
        <v>81794</v>
      </c>
      <c r="F1165" s="90"/>
      <c r="G1165" s="129"/>
      <c r="H1165" s="129"/>
      <c r="I1165" s="129"/>
      <c r="J1165" s="129">
        <f>1270*5</f>
        <v>6350</v>
      </c>
      <c r="K1165" s="129">
        <v>1270</v>
      </c>
      <c r="L1165" s="129"/>
      <c r="M1165" s="129">
        <v>1270</v>
      </c>
      <c r="N1165" s="129"/>
      <c r="O1165" s="129"/>
      <c r="P1165" s="129"/>
      <c r="Q1165" s="129"/>
      <c r="R1165" s="129"/>
      <c r="S1165" s="129"/>
      <c r="T1165" s="129"/>
      <c r="U1165" s="129"/>
      <c r="V1165" s="129"/>
      <c r="W1165" s="107"/>
      <c r="X1165" s="105"/>
      <c r="Y1165" s="92">
        <f t="shared" si="108"/>
        <v>0</v>
      </c>
      <c r="Z1165" s="92">
        <f t="shared" si="109"/>
        <v>0</v>
      </c>
      <c r="AA1165" s="92">
        <f t="shared" si="110"/>
        <v>0</v>
      </c>
      <c r="AB1165" s="92">
        <f t="shared" si="111"/>
        <v>0</v>
      </c>
      <c r="AC1165" s="92"/>
      <c r="AD1165" s="92">
        <v>0</v>
      </c>
      <c r="AE1165" s="92">
        <f t="shared" si="112"/>
        <v>0</v>
      </c>
      <c r="AF1165" s="93">
        <v>0</v>
      </c>
      <c r="AG1165" s="105"/>
      <c r="AH1165" s="108"/>
      <c r="AI1165" s="102" t="s">
        <v>4346</v>
      </c>
      <c r="AJ1165" s="96" t="s">
        <v>4347</v>
      </c>
      <c r="AK1165" s="111"/>
      <c r="AL1165" s="105" t="s">
        <v>931</v>
      </c>
      <c r="AM1165" s="112" t="s">
        <v>2691</v>
      </c>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c r="BJ1165" s="107"/>
      <c r="BK1165" s="107"/>
      <c r="BL1165" s="107"/>
      <c r="BM1165" s="107"/>
      <c r="BN1165" s="107"/>
      <c r="BO1165" s="107"/>
      <c r="BP1165" s="107"/>
      <c r="BQ1165" s="107"/>
      <c r="BR1165" s="107"/>
      <c r="BS1165" s="107"/>
      <c r="BT1165" s="107"/>
      <c r="BU1165" s="107"/>
      <c r="BV1165" s="107"/>
      <c r="BW1165" s="107"/>
      <c r="BX1165" s="107"/>
      <c r="BY1165" s="107"/>
      <c r="BZ1165" s="107"/>
      <c r="CA1165" s="107"/>
      <c r="CB1165" s="107"/>
      <c r="CC1165" s="107"/>
      <c r="CD1165" s="107"/>
      <c r="CE1165" s="107"/>
      <c r="CF1165" s="107"/>
      <c r="CG1165" s="107"/>
      <c r="CH1165" s="107"/>
      <c r="CI1165" s="107"/>
      <c r="CJ1165" s="107"/>
      <c r="CK1165" s="107"/>
      <c r="CL1165" s="107"/>
      <c r="CM1165" s="107"/>
      <c r="CN1165" s="118"/>
      <c r="CO1165" s="119"/>
      <c r="CP1165" s="118"/>
      <c r="CQ1165" s="119"/>
      <c r="CR1165" s="118"/>
      <c r="CS1165" s="119"/>
      <c r="CT1165" s="113"/>
      <c r="CU1165" s="118"/>
      <c r="CV1165" s="99">
        <f t="shared" si="113"/>
        <v>0</v>
      </c>
      <c r="CW1165" s="118"/>
      <c r="CX1165" s="119"/>
      <c r="CY1165" s="119"/>
      <c r="CZ1165" s="119"/>
      <c r="DA1165" s="118"/>
      <c r="DB1165" s="119"/>
      <c r="DC1165" s="111"/>
      <c r="DD1165" s="119"/>
      <c r="DE1165" s="111"/>
      <c r="DF1165" s="46"/>
    </row>
    <row r="1166" spans="1:110" s="42" customFormat="1" ht="24" x14ac:dyDescent="0.2">
      <c r="A1166" s="89">
        <v>40681</v>
      </c>
      <c r="B1166" s="106" t="s">
        <v>4261</v>
      </c>
      <c r="C1166" s="106" t="s">
        <v>2238</v>
      </c>
      <c r="D1166" s="90" t="s">
        <v>2362</v>
      </c>
      <c r="E1166" s="90" t="str">
        <f>VLOOKUP(B1166&amp;C1166,Divipola!$C$2:$F$1138,4,FALSE)</f>
        <v>15442</v>
      </c>
      <c r="F1166" s="90"/>
      <c r="G1166" s="129">
        <v>2</v>
      </c>
      <c r="H1166" s="129">
        <v>3</v>
      </c>
      <c r="I1166" s="129"/>
      <c r="J1166" s="129"/>
      <c r="K1166" s="129"/>
      <c r="L1166" s="129"/>
      <c r="M1166" s="129"/>
      <c r="N1166" s="129"/>
      <c r="O1166" s="129"/>
      <c r="P1166" s="129"/>
      <c r="Q1166" s="129"/>
      <c r="R1166" s="129"/>
      <c r="S1166" s="129"/>
      <c r="T1166" s="129"/>
      <c r="U1166" s="129"/>
      <c r="V1166" s="129"/>
      <c r="W1166" s="107"/>
      <c r="X1166" s="105"/>
      <c r="Y1166" s="92">
        <f t="shared" si="108"/>
        <v>0</v>
      </c>
      <c r="Z1166" s="92">
        <f t="shared" si="109"/>
        <v>0</v>
      </c>
      <c r="AA1166" s="92">
        <f t="shared" si="110"/>
        <v>0</v>
      </c>
      <c r="AB1166" s="92">
        <f t="shared" si="111"/>
        <v>0</v>
      </c>
      <c r="AC1166" s="92"/>
      <c r="AD1166" s="92">
        <v>0</v>
      </c>
      <c r="AE1166" s="92">
        <f t="shared" si="112"/>
        <v>0</v>
      </c>
      <c r="AF1166" s="93">
        <v>0</v>
      </c>
      <c r="AG1166" s="105"/>
      <c r="AH1166" s="108"/>
      <c r="AI1166" s="102" t="s">
        <v>4346</v>
      </c>
      <c r="AJ1166" s="96" t="s">
        <v>4347</v>
      </c>
      <c r="AK1166" s="97"/>
      <c r="AL1166" s="89" t="s">
        <v>1049</v>
      </c>
      <c r="AM1166" s="112" t="s">
        <v>2685</v>
      </c>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c r="BJ1166" s="107"/>
      <c r="BK1166" s="107"/>
      <c r="BL1166" s="107"/>
      <c r="BM1166" s="107"/>
      <c r="BN1166" s="107"/>
      <c r="BO1166" s="107"/>
      <c r="BP1166" s="107"/>
      <c r="BQ1166" s="107"/>
      <c r="BR1166" s="107"/>
      <c r="BS1166" s="107"/>
      <c r="BT1166" s="107"/>
      <c r="BU1166" s="107"/>
      <c r="BV1166" s="107"/>
      <c r="BW1166" s="107"/>
      <c r="BX1166" s="107"/>
      <c r="BY1166" s="107"/>
      <c r="BZ1166" s="107"/>
      <c r="CA1166" s="107"/>
      <c r="CB1166" s="107"/>
      <c r="CC1166" s="107"/>
      <c r="CD1166" s="107"/>
      <c r="CE1166" s="107"/>
      <c r="CF1166" s="107"/>
      <c r="CG1166" s="107"/>
      <c r="CH1166" s="107"/>
      <c r="CI1166" s="107"/>
      <c r="CJ1166" s="107"/>
      <c r="CK1166" s="107"/>
      <c r="CL1166" s="107"/>
      <c r="CM1166" s="107"/>
      <c r="CN1166" s="118"/>
      <c r="CO1166" s="119"/>
      <c r="CP1166" s="118"/>
      <c r="CQ1166" s="119"/>
      <c r="CR1166" s="118"/>
      <c r="CS1166" s="119"/>
      <c r="CT1166" s="113"/>
      <c r="CU1166" s="118"/>
      <c r="CV1166" s="99">
        <f t="shared" si="113"/>
        <v>0</v>
      </c>
      <c r="CW1166" s="118"/>
      <c r="CX1166" s="119"/>
      <c r="CY1166" s="119"/>
      <c r="CZ1166" s="119"/>
      <c r="DA1166" s="118"/>
      <c r="DB1166" s="119"/>
      <c r="DC1166" s="111"/>
      <c r="DD1166" s="119"/>
      <c r="DE1166" s="111"/>
      <c r="DF1166" s="46">
        <v>1797</v>
      </c>
    </row>
    <row r="1167" spans="1:110" s="42" customFormat="1" ht="36" x14ac:dyDescent="0.2">
      <c r="A1167" s="89">
        <v>40681</v>
      </c>
      <c r="B1167" s="106" t="s">
        <v>4261</v>
      </c>
      <c r="C1167" s="106" t="s">
        <v>4303</v>
      </c>
      <c r="D1167" s="106" t="s">
        <v>2860</v>
      </c>
      <c r="E1167" s="90" t="str">
        <f>VLOOKUP(B1167&amp;C1167,Divipola!$C$2:$F$1138,4,FALSE)</f>
        <v>15480</v>
      </c>
      <c r="F1167" s="90"/>
      <c r="G1167" s="129"/>
      <c r="H1167" s="129"/>
      <c r="I1167" s="129"/>
      <c r="J1167" s="129">
        <v>1400</v>
      </c>
      <c r="K1167" s="129">
        <v>280</v>
      </c>
      <c r="L1167" s="129"/>
      <c r="M1167" s="129">
        <v>280</v>
      </c>
      <c r="N1167" s="129">
        <v>1</v>
      </c>
      <c r="O1167" s="129">
        <v>1</v>
      </c>
      <c r="P1167" s="129"/>
      <c r="Q1167" s="129"/>
      <c r="R1167" s="129"/>
      <c r="S1167" s="129"/>
      <c r="T1167" s="129"/>
      <c r="U1167" s="129"/>
      <c r="V1167" s="129"/>
      <c r="W1167" s="107"/>
      <c r="X1167" s="105"/>
      <c r="Y1167" s="92">
        <f t="shared" si="108"/>
        <v>0</v>
      </c>
      <c r="Z1167" s="92">
        <f t="shared" si="109"/>
        <v>0</v>
      </c>
      <c r="AA1167" s="92">
        <f t="shared" si="110"/>
        <v>0</v>
      </c>
      <c r="AB1167" s="92">
        <f t="shared" si="111"/>
        <v>0</v>
      </c>
      <c r="AC1167" s="92"/>
      <c r="AD1167" s="92">
        <v>0</v>
      </c>
      <c r="AE1167" s="92">
        <f t="shared" si="112"/>
        <v>0</v>
      </c>
      <c r="AF1167" s="93">
        <v>0</v>
      </c>
      <c r="AG1167" s="105"/>
      <c r="AH1167" s="108"/>
      <c r="AI1167" s="102" t="s">
        <v>4346</v>
      </c>
      <c r="AJ1167" s="96" t="s">
        <v>4347</v>
      </c>
      <c r="AK1167" s="97"/>
      <c r="AL1167" s="89" t="s">
        <v>1049</v>
      </c>
      <c r="AM1167" s="112" t="s">
        <v>4122</v>
      </c>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c r="BJ1167" s="107"/>
      <c r="BK1167" s="107"/>
      <c r="BL1167" s="107"/>
      <c r="BM1167" s="107"/>
      <c r="BN1167" s="107"/>
      <c r="BO1167" s="107"/>
      <c r="BP1167" s="107"/>
      <c r="BQ1167" s="107"/>
      <c r="BR1167" s="107"/>
      <c r="BS1167" s="107"/>
      <c r="BT1167" s="107"/>
      <c r="BU1167" s="107"/>
      <c r="BV1167" s="107"/>
      <c r="BW1167" s="107"/>
      <c r="BX1167" s="107"/>
      <c r="BY1167" s="107"/>
      <c r="BZ1167" s="107"/>
      <c r="CA1167" s="107"/>
      <c r="CB1167" s="107"/>
      <c r="CC1167" s="107"/>
      <c r="CD1167" s="107"/>
      <c r="CE1167" s="107"/>
      <c r="CF1167" s="107"/>
      <c r="CG1167" s="107"/>
      <c r="CH1167" s="107"/>
      <c r="CI1167" s="107"/>
      <c r="CJ1167" s="107"/>
      <c r="CK1167" s="107"/>
      <c r="CL1167" s="107"/>
      <c r="CM1167" s="107"/>
      <c r="CN1167" s="118"/>
      <c r="CO1167" s="119"/>
      <c r="CP1167" s="118"/>
      <c r="CQ1167" s="119"/>
      <c r="CR1167" s="118"/>
      <c r="CS1167" s="119"/>
      <c r="CT1167" s="113"/>
      <c r="CU1167" s="118"/>
      <c r="CV1167" s="99">
        <f t="shared" si="113"/>
        <v>0</v>
      </c>
      <c r="CW1167" s="118"/>
      <c r="CX1167" s="119"/>
      <c r="CY1167" s="119"/>
      <c r="CZ1167" s="119"/>
      <c r="DA1167" s="118"/>
      <c r="DB1167" s="119"/>
      <c r="DC1167" s="111"/>
      <c r="DD1167" s="119"/>
      <c r="DE1167" s="111"/>
      <c r="DF1167" s="46"/>
    </row>
    <row r="1168" spans="1:110" s="42" customFormat="1" ht="24" x14ac:dyDescent="0.2">
      <c r="A1168" s="89">
        <v>40681</v>
      </c>
      <c r="B1168" s="106" t="s">
        <v>4261</v>
      </c>
      <c r="C1168" s="106" t="s">
        <v>1234</v>
      </c>
      <c r="D1168" s="90" t="s">
        <v>2362</v>
      </c>
      <c r="E1168" s="90" t="str">
        <f>VLOOKUP(B1168&amp;C1168,Divipola!$C$2:$F$1138,4,FALSE)</f>
        <v>15511</v>
      </c>
      <c r="F1168" s="90"/>
      <c r="G1168" s="129"/>
      <c r="H1168" s="129"/>
      <c r="I1168" s="129"/>
      <c r="J1168" s="129"/>
      <c r="K1168" s="129"/>
      <c r="L1168" s="129"/>
      <c r="M1168" s="129"/>
      <c r="N1168" s="129"/>
      <c r="O1168" s="129"/>
      <c r="P1168" s="129"/>
      <c r="Q1168" s="129"/>
      <c r="R1168" s="129"/>
      <c r="S1168" s="129"/>
      <c r="T1168" s="129"/>
      <c r="U1168" s="129"/>
      <c r="V1168" s="129"/>
      <c r="W1168" s="107"/>
      <c r="X1168" s="105"/>
      <c r="Y1168" s="92">
        <f t="shared" si="108"/>
        <v>0</v>
      </c>
      <c r="Z1168" s="92">
        <f t="shared" si="109"/>
        <v>0</v>
      </c>
      <c r="AA1168" s="92">
        <f t="shared" si="110"/>
        <v>0</v>
      </c>
      <c r="AB1168" s="92">
        <f t="shared" si="111"/>
        <v>0</v>
      </c>
      <c r="AC1168" s="92"/>
      <c r="AD1168" s="92">
        <v>10000000</v>
      </c>
      <c r="AE1168" s="92">
        <f t="shared" si="112"/>
        <v>10000000</v>
      </c>
      <c r="AF1168" s="93">
        <v>0</v>
      </c>
      <c r="AG1168" s="105"/>
      <c r="AH1168" s="108"/>
      <c r="AI1168" s="109" t="s">
        <v>4346</v>
      </c>
      <c r="AJ1168" s="110" t="s">
        <v>4347</v>
      </c>
      <c r="AK1168" s="111"/>
      <c r="AL1168" s="105"/>
      <c r="AM1168" s="112" t="s">
        <v>2110</v>
      </c>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7"/>
      <c r="BL1168" s="107"/>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7"/>
      <c r="CG1168" s="107"/>
      <c r="CH1168" s="107"/>
      <c r="CI1168" s="107"/>
      <c r="CJ1168" s="107"/>
      <c r="CK1168" s="107"/>
      <c r="CL1168" s="107"/>
      <c r="CM1168" s="107"/>
      <c r="CN1168" s="118"/>
      <c r="CO1168" s="119"/>
      <c r="CP1168" s="118"/>
      <c r="CQ1168" s="119"/>
      <c r="CR1168" s="118"/>
      <c r="CS1168" s="119"/>
      <c r="CT1168" s="113"/>
      <c r="CU1168" s="118"/>
      <c r="CV1168" s="99">
        <f t="shared" si="113"/>
        <v>0</v>
      </c>
      <c r="CW1168" s="118"/>
      <c r="CX1168" s="119"/>
      <c r="CY1168" s="119"/>
      <c r="CZ1168" s="119"/>
      <c r="DA1168" s="118"/>
      <c r="DB1168" s="119"/>
      <c r="DC1168" s="111"/>
      <c r="DD1168" s="119"/>
      <c r="DE1168" s="111"/>
      <c r="DF1168" s="46"/>
    </row>
    <row r="1169" spans="1:110" s="42" customFormat="1" ht="36" x14ac:dyDescent="0.2">
      <c r="A1169" s="89">
        <v>40681</v>
      </c>
      <c r="B1169" s="106" t="s">
        <v>4296</v>
      </c>
      <c r="C1169" s="106" t="s">
        <v>3352</v>
      </c>
      <c r="D1169" s="90" t="s">
        <v>4264</v>
      </c>
      <c r="E1169" s="90" t="str">
        <f>VLOOKUP(B1169&amp;C1169,Divipola!$C$2:$F$1138,4,FALSE)</f>
        <v>19532</v>
      </c>
      <c r="F1169" s="90"/>
      <c r="G1169" s="129"/>
      <c r="H1169" s="129"/>
      <c r="I1169" s="129"/>
      <c r="J1169" s="129">
        <v>120</v>
      </c>
      <c r="K1169" s="129">
        <v>30</v>
      </c>
      <c r="L1169" s="129"/>
      <c r="M1169" s="129">
        <v>30</v>
      </c>
      <c r="N1169" s="129"/>
      <c r="O1169" s="129"/>
      <c r="P1169" s="129"/>
      <c r="Q1169" s="129"/>
      <c r="R1169" s="129"/>
      <c r="S1169" s="129"/>
      <c r="T1169" s="129"/>
      <c r="U1169" s="129"/>
      <c r="V1169" s="129"/>
      <c r="W1169" s="107"/>
      <c r="X1169" s="105"/>
      <c r="Y1169" s="92">
        <f t="shared" si="108"/>
        <v>0</v>
      </c>
      <c r="Z1169" s="92">
        <f t="shared" si="109"/>
        <v>0</v>
      </c>
      <c r="AA1169" s="92">
        <f t="shared" si="110"/>
        <v>0</v>
      </c>
      <c r="AB1169" s="92">
        <f t="shared" si="111"/>
        <v>0</v>
      </c>
      <c r="AC1169" s="92"/>
      <c r="AD1169" s="92">
        <v>0</v>
      </c>
      <c r="AE1169" s="92">
        <f t="shared" si="112"/>
        <v>0</v>
      </c>
      <c r="AF1169" s="93">
        <v>0</v>
      </c>
      <c r="AG1169" s="105"/>
      <c r="AH1169" s="108"/>
      <c r="AI1169" s="102" t="s">
        <v>4336</v>
      </c>
      <c r="AJ1169" s="96" t="s">
        <v>4337</v>
      </c>
      <c r="AK1169" s="111"/>
      <c r="AL1169" s="105"/>
      <c r="AM1169" s="112" t="s">
        <v>2677</v>
      </c>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c r="BJ1169" s="107"/>
      <c r="BK1169" s="107"/>
      <c r="BL1169" s="107"/>
      <c r="BM1169" s="107"/>
      <c r="BN1169" s="107"/>
      <c r="BO1169" s="107"/>
      <c r="BP1169" s="107"/>
      <c r="BQ1169" s="107"/>
      <c r="BR1169" s="107"/>
      <c r="BS1169" s="107"/>
      <c r="BT1169" s="107"/>
      <c r="BU1169" s="107"/>
      <c r="BV1169" s="107"/>
      <c r="BW1169" s="107"/>
      <c r="BX1169" s="107"/>
      <c r="BY1169" s="107"/>
      <c r="BZ1169" s="107"/>
      <c r="CA1169" s="107"/>
      <c r="CB1169" s="107"/>
      <c r="CC1169" s="107"/>
      <c r="CD1169" s="107"/>
      <c r="CE1169" s="107"/>
      <c r="CF1169" s="107"/>
      <c r="CG1169" s="107"/>
      <c r="CH1169" s="107"/>
      <c r="CI1169" s="107"/>
      <c r="CJ1169" s="107"/>
      <c r="CK1169" s="107"/>
      <c r="CL1169" s="107"/>
      <c r="CM1169" s="107"/>
      <c r="CN1169" s="118"/>
      <c r="CO1169" s="119"/>
      <c r="CP1169" s="118"/>
      <c r="CQ1169" s="119"/>
      <c r="CR1169" s="118"/>
      <c r="CS1169" s="119"/>
      <c r="CT1169" s="113"/>
      <c r="CU1169" s="118"/>
      <c r="CV1169" s="99">
        <f t="shared" si="113"/>
        <v>0</v>
      </c>
      <c r="CW1169" s="118"/>
      <c r="CX1169" s="119"/>
      <c r="CY1169" s="119"/>
      <c r="CZ1169" s="119"/>
      <c r="DA1169" s="118"/>
      <c r="DB1169" s="119"/>
      <c r="DC1169" s="111"/>
      <c r="DD1169" s="119"/>
      <c r="DE1169" s="111"/>
      <c r="DF1169" s="46"/>
    </row>
    <row r="1170" spans="1:110" s="42" customFormat="1" ht="36" x14ac:dyDescent="0.2">
      <c r="A1170" s="89">
        <v>40681</v>
      </c>
      <c r="B1170" s="90" t="s">
        <v>2225</v>
      </c>
      <c r="C1170" s="90" t="s">
        <v>1859</v>
      </c>
      <c r="D1170" s="90" t="s">
        <v>4264</v>
      </c>
      <c r="E1170" s="90" t="str">
        <f>VLOOKUP(B1170&amp;C1170,Divipola!$C$2:$F$1138,4,FALSE)</f>
        <v>27075</v>
      </c>
      <c r="F1170" s="90"/>
      <c r="G1170" s="279"/>
      <c r="H1170" s="279"/>
      <c r="I1170" s="279"/>
      <c r="J1170" s="101">
        <v>434</v>
      </c>
      <c r="K1170" s="101">
        <v>95</v>
      </c>
      <c r="L1170" s="101">
        <v>1</v>
      </c>
      <c r="M1170" s="101">
        <v>96</v>
      </c>
      <c r="N1170" s="129"/>
      <c r="O1170" s="129"/>
      <c r="P1170" s="129"/>
      <c r="Q1170" s="129"/>
      <c r="R1170" s="129"/>
      <c r="S1170" s="129"/>
      <c r="T1170" s="129"/>
      <c r="U1170" s="129"/>
      <c r="V1170" s="129"/>
      <c r="W1170" s="107"/>
      <c r="X1170" s="105"/>
      <c r="Y1170" s="92">
        <f t="shared" si="108"/>
        <v>0</v>
      </c>
      <c r="Z1170" s="92">
        <f t="shared" si="109"/>
        <v>0</v>
      </c>
      <c r="AA1170" s="92">
        <f t="shared" si="110"/>
        <v>0</v>
      </c>
      <c r="AB1170" s="92">
        <f t="shared" si="111"/>
        <v>0</v>
      </c>
      <c r="AC1170" s="92"/>
      <c r="AD1170" s="92">
        <v>0</v>
      </c>
      <c r="AE1170" s="92">
        <f t="shared" si="112"/>
        <v>0</v>
      </c>
      <c r="AF1170" s="93">
        <v>0</v>
      </c>
      <c r="AG1170" s="105"/>
      <c r="AH1170" s="108"/>
      <c r="AI1170" s="109" t="s">
        <v>4336</v>
      </c>
      <c r="AJ1170" s="110" t="s">
        <v>4337</v>
      </c>
      <c r="AK1170" s="280"/>
      <c r="AL1170" s="281"/>
      <c r="AM1170" s="100" t="s">
        <v>1987</v>
      </c>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c r="BJ1170" s="107"/>
      <c r="BK1170" s="107"/>
      <c r="BL1170" s="107"/>
      <c r="BM1170" s="107"/>
      <c r="BN1170" s="107"/>
      <c r="BO1170" s="107"/>
      <c r="BP1170" s="107"/>
      <c r="BQ1170" s="107"/>
      <c r="BR1170" s="107"/>
      <c r="BS1170" s="107"/>
      <c r="BT1170" s="107"/>
      <c r="BU1170" s="107"/>
      <c r="BV1170" s="107"/>
      <c r="BW1170" s="107"/>
      <c r="BX1170" s="107"/>
      <c r="BY1170" s="107"/>
      <c r="BZ1170" s="107"/>
      <c r="CA1170" s="107"/>
      <c r="CB1170" s="107"/>
      <c r="CC1170" s="107"/>
      <c r="CD1170" s="107"/>
      <c r="CE1170" s="107"/>
      <c r="CF1170" s="107"/>
      <c r="CG1170" s="107"/>
      <c r="CH1170" s="107"/>
      <c r="CI1170" s="107"/>
      <c r="CJ1170" s="107"/>
      <c r="CK1170" s="107"/>
      <c r="CL1170" s="107"/>
      <c r="CM1170" s="107"/>
      <c r="CN1170" s="118"/>
      <c r="CO1170" s="119"/>
      <c r="CP1170" s="118"/>
      <c r="CQ1170" s="119"/>
      <c r="CR1170" s="118"/>
      <c r="CS1170" s="119"/>
      <c r="CT1170" s="113"/>
      <c r="CU1170" s="118"/>
      <c r="CV1170" s="99">
        <f t="shared" si="113"/>
        <v>0</v>
      </c>
      <c r="CW1170" s="118"/>
      <c r="CX1170" s="119"/>
      <c r="CY1170" s="119"/>
      <c r="CZ1170" s="119"/>
      <c r="DA1170" s="118"/>
      <c r="DB1170" s="119"/>
      <c r="DC1170" s="111"/>
      <c r="DD1170" s="119"/>
      <c r="DE1170" s="111"/>
      <c r="DF1170" s="46"/>
    </row>
    <row r="1171" spans="1:110" s="42" customFormat="1" ht="24" x14ac:dyDescent="0.2">
      <c r="A1171" s="89">
        <v>40681</v>
      </c>
      <c r="B1171" s="106" t="s">
        <v>4344</v>
      </c>
      <c r="C1171" s="106" t="s">
        <v>3350</v>
      </c>
      <c r="D1171" s="90" t="s">
        <v>4264</v>
      </c>
      <c r="E1171" s="90" t="str">
        <f>VLOOKUP(B1171&amp;C1171,Divipola!$C$2:$F$1138,4,FALSE)</f>
        <v>25489</v>
      </c>
      <c r="F1171" s="90"/>
      <c r="G1171" s="129"/>
      <c r="H1171" s="129"/>
      <c r="I1171" s="129"/>
      <c r="J1171" s="129">
        <v>165</v>
      </c>
      <c r="K1171" s="129">
        <v>30</v>
      </c>
      <c r="L1171" s="129">
        <v>6</v>
      </c>
      <c r="M1171" s="129">
        <v>24</v>
      </c>
      <c r="N1171" s="129"/>
      <c r="O1171" s="129"/>
      <c r="P1171" s="129"/>
      <c r="Q1171" s="129"/>
      <c r="R1171" s="129"/>
      <c r="S1171" s="129"/>
      <c r="T1171" s="129"/>
      <c r="U1171" s="129"/>
      <c r="V1171" s="129"/>
      <c r="W1171" s="107"/>
      <c r="X1171" s="105"/>
      <c r="Y1171" s="92">
        <f t="shared" si="108"/>
        <v>0</v>
      </c>
      <c r="Z1171" s="92">
        <f t="shared" si="109"/>
        <v>0</v>
      </c>
      <c r="AA1171" s="92">
        <f t="shared" si="110"/>
        <v>0</v>
      </c>
      <c r="AB1171" s="92">
        <f t="shared" si="111"/>
        <v>0</v>
      </c>
      <c r="AC1171" s="92"/>
      <c r="AD1171" s="92">
        <v>0</v>
      </c>
      <c r="AE1171" s="92">
        <f t="shared" si="112"/>
        <v>0</v>
      </c>
      <c r="AF1171" s="93">
        <v>0</v>
      </c>
      <c r="AG1171" s="105"/>
      <c r="AH1171" s="108"/>
      <c r="AI1171" s="109" t="s">
        <v>4346</v>
      </c>
      <c r="AJ1171" s="110" t="s">
        <v>4347</v>
      </c>
      <c r="AK1171" s="111"/>
      <c r="AL1171" s="105" t="s">
        <v>928</v>
      </c>
      <c r="AM1171" s="112" t="s">
        <v>2673</v>
      </c>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c r="BJ1171" s="107"/>
      <c r="BK1171" s="107"/>
      <c r="BL1171" s="107"/>
      <c r="BM1171" s="107"/>
      <c r="BN1171" s="107"/>
      <c r="BO1171" s="107"/>
      <c r="BP1171" s="107"/>
      <c r="BQ1171" s="107"/>
      <c r="BR1171" s="107"/>
      <c r="BS1171" s="107"/>
      <c r="BT1171" s="107"/>
      <c r="BU1171" s="107"/>
      <c r="BV1171" s="107"/>
      <c r="BW1171" s="107"/>
      <c r="BX1171" s="107"/>
      <c r="BY1171" s="107"/>
      <c r="BZ1171" s="107"/>
      <c r="CA1171" s="107"/>
      <c r="CB1171" s="107"/>
      <c r="CC1171" s="107"/>
      <c r="CD1171" s="107"/>
      <c r="CE1171" s="107"/>
      <c r="CF1171" s="107"/>
      <c r="CG1171" s="107"/>
      <c r="CH1171" s="107"/>
      <c r="CI1171" s="107"/>
      <c r="CJ1171" s="107"/>
      <c r="CK1171" s="107"/>
      <c r="CL1171" s="107"/>
      <c r="CM1171" s="107"/>
      <c r="CN1171" s="118"/>
      <c r="CO1171" s="119"/>
      <c r="CP1171" s="118"/>
      <c r="CQ1171" s="119"/>
      <c r="CR1171" s="118"/>
      <c r="CS1171" s="119"/>
      <c r="CT1171" s="113"/>
      <c r="CU1171" s="118"/>
      <c r="CV1171" s="99">
        <f t="shared" si="113"/>
        <v>0</v>
      </c>
      <c r="CW1171" s="118"/>
      <c r="CX1171" s="119"/>
      <c r="CY1171" s="119"/>
      <c r="CZ1171" s="119"/>
      <c r="DA1171" s="118"/>
      <c r="DB1171" s="119"/>
      <c r="DC1171" s="111"/>
      <c r="DD1171" s="119"/>
      <c r="DE1171" s="111"/>
      <c r="DF1171" s="46"/>
    </row>
    <row r="1172" spans="1:110" s="42" customFormat="1" ht="24" x14ac:dyDescent="0.2">
      <c r="A1172" s="89">
        <v>40681</v>
      </c>
      <c r="B1172" s="106" t="s">
        <v>4344</v>
      </c>
      <c r="C1172" s="106" t="s">
        <v>3472</v>
      </c>
      <c r="D1172" s="90" t="s">
        <v>4264</v>
      </c>
      <c r="E1172" s="90" t="str">
        <f>VLOOKUP(B1172&amp;C1172,Divipola!$C$2:$F$1138,4,FALSE)</f>
        <v>25875</v>
      </c>
      <c r="F1172" s="90"/>
      <c r="G1172" s="129"/>
      <c r="H1172" s="129"/>
      <c r="I1172" s="129"/>
      <c r="J1172" s="129">
        <v>15</v>
      </c>
      <c r="K1172" s="129">
        <v>3</v>
      </c>
      <c r="L1172" s="129">
        <v>1</v>
      </c>
      <c r="M1172" s="129">
        <v>1</v>
      </c>
      <c r="N1172" s="129"/>
      <c r="O1172" s="129"/>
      <c r="P1172" s="129"/>
      <c r="Q1172" s="129"/>
      <c r="R1172" s="129"/>
      <c r="S1172" s="129"/>
      <c r="T1172" s="129"/>
      <c r="U1172" s="129"/>
      <c r="V1172" s="129"/>
      <c r="W1172" s="107"/>
      <c r="X1172" s="105"/>
      <c r="Y1172" s="92">
        <f t="shared" si="108"/>
        <v>0</v>
      </c>
      <c r="Z1172" s="92">
        <f t="shared" si="109"/>
        <v>0</v>
      </c>
      <c r="AA1172" s="92">
        <f t="shared" si="110"/>
        <v>0</v>
      </c>
      <c r="AB1172" s="92">
        <f t="shared" si="111"/>
        <v>0</v>
      </c>
      <c r="AC1172" s="92"/>
      <c r="AD1172" s="92">
        <v>0</v>
      </c>
      <c r="AE1172" s="92">
        <f t="shared" si="112"/>
        <v>0</v>
      </c>
      <c r="AF1172" s="93">
        <v>0</v>
      </c>
      <c r="AG1172" s="105"/>
      <c r="AH1172" s="108"/>
      <c r="AI1172" s="109" t="s">
        <v>4346</v>
      </c>
      <c r="AJ1172" s="110" t="s">
        <v>4347</v>
      </c>
      <c r="AK1172" s="111"/>
      <c r="AL1172" s="105" t="s">
        <v>928</v>
      </c>
      <c r="AM1172" s="112" t="s">
        <v>2672</v>
      </c>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7"/>
      <c r="BL1172" s="107"/>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7"/>
      <c r="CG1172" s="107"/>
      <c r="CH1172" s="107"/>
      <c r="CI1172" s="107"/>
      <c r="CJ1172" s="107"/>
      <c r="CK1172" s="107"/>
      <c r="CL1172" s="107"/>
      <c r="CM1172" s="107"/>
      <c r="CN1172" s="118"/>
      <c r="CO1172" s="119"/>
      <c r="CP1172" s="118"/>
      <c r="CQ1172" s="119"/>
      <c r="CR1172" s="118"/>
      <c r="CS1172" s="119"/>
      <c r="CT1172" s="113"/>
      <c r="CU1172" s="118"/>
      <c r="CV1172" s="99">
        <f t="shared" si="113"/>
        <v>0</v>
      </c>
      <c r="CW1172" s="118"/>
      <c r="CX1172" s="119"/>
      <c r="CY1172" s="119"/>
      <c r="CZ1172" s="119"/>
      <c r="DA1172" s="118"/>
      <c r="DB1172" s="119"/>
      <c r="DC1172" s="111"/>
      <c r="DD1172" s="119"/>
      <c r="DE1172" s="111"/>
      <c r="DF1172" s="46"/>
    </row>
    <row r="1173" spans="1:110" s="42" customFormat="1" ht="36" x14ac:dyDescent="0.2">
      <c r="A1173" s="89">
        <v>40681</v>
      </c>
      <c r="B1173" s="106" t="s">
        <v>4344</v>
      </c>
      <c r="C1173" s="106" t="s">
        <v>3473</v>
      </c>
      <c r="D1173" s="90" t="s">
        <v>2362</v>
      </c>
      <c r="E1173" s="90" t="str">
        <f>VLOOKUP(B1173&amp;C1173,Divipola!$C$2:$F$1138,4,FALSE)</f>
        <v>25878</v>
      </c>
      <c r="F1173" s="90"/>
      <c r="G1173" s="129"/>
      <c r="H1173" s="129"/>
      <c r="I1173" s="129"/>
      <c r="J1173" s="129">
        <v>460</v>
      </c>
      <c r="K1173" s="129">
        <v>92</v>
      </c>
      <c r="L1173" s="129"/>
      <c r="M1173" s="129">
        <v>92</v>
      </c>
      <c r="N1173" s="129"/>
      <c r="O1173" s="129"/>
      <c r="P1173" s="129"/>
      <c r="Q1173" s="129"/>
      <c r="R1173" s="129"/>
      <c r="S1173" s="129"/>
      <c r="T1173" s="129"/>
      <c r="U1173" s="129"/>
      <c r="V1173" s="129"/>
      <c r="W1173" s="107"/>
      <c r="X1173" s="105"/>
      <c r="Y1173" s="92">
        <f t="shared" si="108"/>
        <v>0</v>
      </c>
      <c r="Z1173" s="92">
        <f t="shared" si="109"/>
        <v>0</v>
      </c>
      <c r="AA1173" s="92">
        <f t="shared" si="110"/>
        <v>0</v>
      </c>
      <c r="AB1173" s="92">
        <f t="shared" si="111"/>
        <v>0</v>
      </c>
      <c r="AC1173" s="92"/>
      <c r="AD1173" s="92">
        <v>0</v>
      </c>
      <c r="AE1173" s="92">
        <f t="shared" si="112"/>
        <v>0</v>
      </c>
      <c r="AF1173" s="93">
        <v>0</v>
      </c>
      <c r="AG1173" s="105"/>
      <c r="AH1173" s="108"/>
      <c r="AI1173" s="109" t="s">
        <v>4346</v>
      </c>
      <c r="AJ1173" s="110" t="s">
        <v>4347</v>
      </c>
      <c r="AK1173" s="111"/>
      <c r="AL1173" s="105" t="s">
        <v>928</v>
      </c>
      <c r="AM1173" s="112" t="s">
        <v>2674</v>
      </c>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7"/>
      <c r="BL1173" s="107"/>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7"/>
      <c r="CG1173" s="107"/>
      <c r="CH1173" s="107"/>
      <c r="CI1173" s="107"/>
      <c r="CJ1173" s="107"/>
      <c r="CK1173" s="107"/>
      <c r="CL1173" s="107"/>
      <c r="CM1173" s="107"/>
      <c r="CN1173" s="118"/>
      <c r="CO1173" s="119"/>
      <c r="CP1173" s="118"/>
      <c r="CQ1173" s="119"/>
      <c r="CR1173" s="118"/>
      <c r="CS1173" s="119"/>
      <c r="CT1173" s="113"/>
      <c r="CU1173" s="118"/>
      <c r="CV1173" s="99">
        <f t="shared" si="113"/>
        <v>0</v>
      </c>
      <c r="CW1173" s="118"/>
      <c r="CX1173" s="119"/>
      <c r="CY1173" s="119"/>
      <c r="CZ1173" s="119"/>
      <c r="DA1173" s="118"/>
      <c r="DB1173" s="119"/>
      <c r="DC1173" s="111"/>
      <c r="DD1173" s="119"/>
      <c r="DE1173" s="111"/>
      <c r="DF1173" s="46"/>
    </row>
    <row r="1174" spans="1:110" s="42" customFormat="1" ht="36" x14ac:dyDescent="0.2">
      <c r="A1174" s="89">
        <v>40681</v>
      </c>
      <c r="B1174" s="106" t="s">
        <v>4219</v>
      </c>
      <c r="C1174" s="106" t="s">
        <v>3376</v>
      </c>
      <c r="D1174" s="90" t="s">
        <v>2362</v>
      </c>
      <c r="E1174" s="90" t="str">
        <f>VLOOKUP(B1174&amp;C1174,Divipola!$C$2:$F$1138,4,FALSE)</f>
        <v>41615</v>
      </c>
      <c r="F1174" s="90"/>
      <c r="G1174" s="129"/>
      <c r="H1174" s="129"/>
      <c r="I1174" s="129"/>
      <c r="J1174" s="129">
        <v>5</v>
      </c>
      <c r="K1174" s="129">
        <v>1</v>
      </c>
      <c r="L1174" s="129">
        <v>1</v>
      </c>
      <c r="M1174" s="129"/>
      <c r="N1174" s="129">
        <v>3</v>
      </c>
      <c r="O1174" s="129"/>
      <c r="P1174" s="129"/>
      <c r="Q1174" s="129"/>
      <c r="R1174" s="129"/>
      <c r="S1174" s="129"/>
      <c r="T1174" s="129"/>
      <c r="U1174" s="129"/>
      <c r="V1174" s="129"/>
      <c r="W1174" s="107"/>
      <c r="X1174" s="105"/>
      <c r="Y1174" s="92">
        <f t="shared" si="108"/>
        <v>0</v>
      </c>
      <c r="Z1174" s="92">
        <f t="shared" si="109"/>
        <v>0</v>
      </c>
      <c r="AA1174" s="92">
        <f t="shared" si="110"/>
        <v>0</v>
      </c>
      <c r="AB1174" s="92">
        <f t="shared" si="111"/>
        <v>0</v>
      </c>
      <c r="AC1174" s="92"/>
      <c r="AD1174" s="92">
        <v>0</v>
      </c>
      <c r="AE1174" s="92">
        <f t="shared" si="112"/>
        <v>0</v>
      </c>
      <c r="AF1174" s="93">
        <v>0</v>
      </c>
      <c r="AG1174" s="105"/>
      <c r="AH1174" s="108"/>
      <c r="AI1174" s="109" t="s">
        <v>4336</v>
      </c>
      <c r="AJ1174" s="110" t="s">
        <v>4337</v>
      </c>
      <c r="AK1174" s="111"/>
      <c r="AL1174" s="105"/>
      <c r="AM1174" s="112" t="s">
        <v>2680</v>
      </c>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c r="BJ1174" s="107"/>
      <c r="BK1174" s="107"/>
      <c r="BL1174" s="107"/>
      <c r="BM1174" s="107"/>
      <c r="BN1174" s="107"/>
      <c r="BO1174" s="107"/>
      <c r="BP1174" s="107"/>
      <c r="BQ1174" s="107"/>
      <c r="BR1174" s="107"/>
      <c r="BS1174" s="107"/>
      <c r="BT1174" s="107"/>
      <c r="BU1174" s="107"/>
      <c r="BV1174" s="107"/>
      <c r="BW1174" s="107"/>
      <c r="BX1174" s="107"/>
      <c r="BY1174" s="107"/>
      <c r="BZ1174" s="107"/>
      <c r="CA1174" s="107"/>
      <c r="CB1174" s="107"/>
      <c r="CC1174" s="107"/>
      <c r="CD1174" s="107"/>
      <c r="CE1174" s="107"/>
      <c r="CF1174" s="107"/>
      <c r="CG1174" s="107"/>
      <c r="CH1174" s="107"/>
      <c r="CI1174" s="107"/>
      <c r="CJ1174" s="107"/>
      <c r="CK1174" s="107"/>
      <c r="CL1174" s="107"/>
      <c r="CM1174" s="107"/>
      <c r="CN1174" s="118"/>
      <c r="CO1174" s="119"/>
      <c r="CP1174" s="118"/>
      <c r="CQ1174" s="119"/>
      <c r="CR1174" s="118"/>
      <c r="CS1174" s="119"/>
      <c r="CT1174" s="113"/>
      <c r="CU1174" s="118"/>
      <c r="CV1174" s="99">
        <f t="shared" si="113"/>
        <v>0</v>
      </c>
      <c r="CW1174" s="118"/>
      <c r="CX1174" s="119"/>
      <c r="CY1174" s="119"/>
      <c r="CZ1174" s="119"/>
      <c r="DA1174" s="118"/>
      <c r="DB1174" s="119"/>
      <c r="DC1174" s="111"/>
      <c r="DD1174" s="119"/>
      <c r="DE1174" s="111"/>
      <c r="DF1174" s="46"/>
    </row>
    <row r="1175" spans="1:110" s="42" customFormat="1" ht="60" x14ac:dyDescent="0.2">
      <c r="A1175" s="89">
        <v>40681</v>
      </c>
      <c r="B1175" s="106" t="s">
        <v>874</v>
      </c>
      <c r="C1175" s="106" t="s">
        <v>710</v>
      </c>
      <c r="D1175" s="90" t="s">
        <v>4264</v>
      </c>
      <c r="E1175" s="90" t="str">
        <f>VLOOKUP(B1175&amp;C1175,Divipola!$C$2:$F$1138,4,FALSE)</f>
        <v>44090</v>
      </c>
      <c r="F1175" s="90"/>
      <c r="G1175" s="129"/>
      <c r="H1175" s="129"/>
      <c r="I1175" s="129"/>
      <c r="J1175" s="129">
        <v>680</v>
      </c>
      <c r="K1175" s="129">
        <v>136</v>
      </c>
      <c r="L1175" s="129"/>
      <c r="M1175" s="129">
        <v>136</v>
      </c>
      <c r="N1175" s="129"/>
      <c r="O1175" s="129"/>
      <c r="P1175" s="129"/>
      <c r="Q1175" s="129"/>
      <c r="R1175" s="129"/>
      <c r="S1175" s="129"/>
      <c r="T1175" s="129"/>
      <c r="U1175" s="129"/>
      <c r="V1175" s="129"/>
      <c r="W1175" s="107"/>
      <c r="X1175" s="105"/>
      <c r="Y1175" s="92">
        <f t="shared" si="108"/>
        <v>0</v>
      </c>
      <c r="Z1175" s="92">
        <f t="shared" si="109"/>
        <v>0</v>
      </c>
      <c r="AA1175" s="92">
        <f t="shared" si="110"/>
        <v>0</v>
      </c>
      <c r="AB1175" s="92">
        <f t="shared" si="111"/>
        <v>0</v>
      </c>
      <c r="AC1175" s="92"/>
      <c r="AD1175" s="92">
        <v>0</v>
      </c>
      <c r="AE1175" s="92">
        <f t="shared" si="112"/>
        <v>0</v>
      </c>
      <c r="AF1175" s="93">
        <v>0</v>
      </c>
      <c r="AG1175" s="105"/>
      <c r="AH1175" s="108"/>
      <c r="AI1175" s="109" t="s">
        <v>4336</v>
      </c>
      <c r="AJ1175" s="110" t="s">
        <v>4337</v>
      </c>
      <c r="AK1175" s="111"/>
      <c r="AL1175" s="105"/>
      <c r="AM1175" s="112" t="s">
        <v>371</v>
      </c>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c r="BJ1175" s="107"/>
      <c r="BK1175" s="107"/>
      <c r="BL1175" s="107"/>
      <c r="BM1175" s="107"/>
      <c r="BN1175" s="107"/>
      <c r="BO1175" s="107"/>
      <c r="BP1175" s="107"/>
      <c r="BQ1175" s="107"/>
      <c r="BR1175" s="107"/>
      <c r="BS1175" s="107"/>
      <c r="BT1175" s="107"/>
      <c r="BU1175" s="107"/>
      <c r="BV1175" s="107"/>
      <c r="BW1175" s="107"/>
      <c r="BX1175" s="107"/>
      <c r="BY1175" s="107"/>
      <c r="BZ1175" s="107"/>
      <c r="CA1175" s="107"/>
      <c r="CB1175" s="107"/>
      <c r="CC1175" s="107"/>
      <c r="CD1175" s="107"/>
      <c r="CE1175" s="107"/>
      <c r="CF1175" s="107"/>
      <c r="CG1175" s="107"/>
      <c r="CH1175" s="107"/>
      <c r="CI1175" s="107"/>
      <c r="CJ1175" s="107"/>
      <c r="CK1175" s="107"/>
      <c r="CL1175" s="107"/>
      <c r="CM1175" s="107"/>
      <c r="CN1175" s="118"/>
      <c r="CO1175" s="119"/>
      <c r="CP1175" s="118"/>
      <c r="CQ1175" s="119"/>
      <c r="CR1175" s="118"/>
      <c r="CS1175" s="119"/>
      <c r="CT1175" s="113"/>
      <c r="CU1175" s="118"/>
      <c r="CV1175" s="99">
        <f t="shared" si="113"/>
        <v>0</v>
      </c>
      <c r="CW1175" s="118"/>
      <c r="CX1175" s="119"/>
      <c r="CY1175" s="119"/>
      <c r="CZ1175" s="119"/>
      <c r="DA1175" s="118"/>
      <c r="DB1175" s="119"/>
      <c r="DC1175" s="111"/>
      <c r="DD1175" s="119"/>
      <c r="DE1175" s="111"/>
      <c r="DF1175" s="46"/>
    </row>
    <row r="1176" spans="1:110" s="42" customFormat="1" ht="36" x14ac:dyDescent="0.2">
      <c r="A1176" s="89">
        <v>40681</v>
      </c>
      <c r="B1176" s="106" t="s">
        <v>874</v>
      </c>
      <c r="C1176" s="106" t="s">
        <v>3541</v>
      </c>
      <c r="D1176" s="90" t="s">
        <v>4264</v>
      </c>
      <c r="E1176" s="90" t="str">
        <f>VLOOKUP(B1176&amp;C1176,Divipola!$C$2:$F$1138,4,FALSE)</f>
        <v>44001</v>
      </c>
      <c r="F1176" s="90"/>
      <c r="G1176" s="129"/>
      <c r="H1176" s="129"/>
      <c r="I1176" s="129"/>
      <c r="J1176" s="129">
        <v>1335</v>
      </c>
      <c r="K1176" s="129">
        <v>267</v>
      </c>
      <c r="L1176" s="129"/>
      <c r="M1176" s="129">
        <v>267</v>
      </c>
      <c r="N1176" s="129"/>
      <c r="O1176" s="129"/>
      <c r="P1176" s="129"/>
      <c r="Q1176" s="129"/>
      <c r="R1176" s="129"/>
      <c r="S1176" s="129"/>
      <c r="T1176" s="129"/>
      <c r="U1176" s="129"/>
      <c r="V1176" s="129"/>
      <c r="W1176" s="107"/>
      <c r="X1176" s="105"/>
      <c r="Y1176" s="92">
        <f t="shared" si="108"/>
        <v>0</v>
      </c>
      <c r="Z1176" s="92">
        <f t="shared" si="109"/>
        <v>0</v>
      </c>
      <c r="AA1176" s="92">
        <f t="shared" si="110"/>
        <v>0</v>
      </c>
      <c r="AB1176" s="92">
        <f t="shared" si="111"/>
        <v>0</v>
      </c>
      <c r="AC1176" s="92"/>
      <c r="AD1176" s="92">
        <v>0</v>
      </c>
      <c r="AE1176" s="92">
        <f t="shared" si="112"/>
        <v>0</v>
      </c>
      <c r="AF1176" s="93">
        <v>0</v>
      </c>
      <c r="AG1176" s="105"/>
      <c r="AH1176" s="108"/>
      <c r="AI1176" s="109" t="s">
        <v>4336</v>
      </c>
      <c r="AJ1176" s="110" t="s">
        <v>4337</v>
      </c>
      <c r="AK1176" s="111"/>
      <c r="AL1176" s="105"/>
      <c r="AM1176" s="112" t="s">
        <v>2681</v>
      </c>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c r="BJ1176" s="107"/>
      <c r="BK1176" s="107"/>
      <c r="BL1176" s="107"/>
      <c r="BM1176" s="107"/>
      <c r="BN1176" s="107"/>
      <c r="BO1176" s="107"/>
      <c r="BP1176" s="107"/>
      <c r="BQ1176" s="107"/>
      <c r="BR1176" s="107"/>
      <c r="BS1176" s="107"/>
      <c r="BT1176" s="107"/>
      <c r="BU1176" s="107"/>
      <c r="BV1176" s="107"/>
      <c r="BW1176" s="107"/>
      <c r="BX1176" s="107"/>
      <c r="BY1176" s="107"/>
      <c r="BZ1176" s="107"/>
      <c r="CA1176" s="107"/>
      <c r="CB1176" s="107"/>
      <c r="CC1176" s="107"/>
      <c r="CD1176" s="107"/>
      <c r="CE1176" s="107"/>
      <c r="CF1176" s="107"/>
      <c r="CG1176" s="107"/>
      <c r="CH1176" s="107"/>
      <c r="CI1176" s="107"/>
      <c r="CJ1176" s="107"/>
      <c r="CK1176" s="107"/>
      <c r="CL1176" s="107"/>
      <c r="CM1176" s="107"/>
      <c r="CN1176" s="118"/>
      <c r="CO1176" s="119"/>
      <c r="CP1176" s="118"/>
      <c r="CQ1176" s="119"/>
      <c r="CR1176" s="118"/>
      <c r="CS1176" s="119"/>
      <c r="CT1176" s="113"/>
      <c r="CU1176" s="118"/>
      <c r="CV1176" s="99">
        <f t="shared" si="113"/>
        <v>0</v>
      </c>
      <c r="CW1176" s="118"/>
      <c r="CX1176" s="119"/>
      <c r="CY1176" s="119"/>
      <c r="CZ1176" s="119"/>
      <c r="DA1176" s="118"/>
      <c r="DB1176" s="119"/>
      <c r="DC1176" s="111"/>
      <c r="DD1176" s="119"/>
      <c r="DE1176" s="111"/>
      <c r="DF1176" s="46"/>
    </row>
    <row r="1177" spans="1:110" s="42" customFormat="1" ht="72" x14ac:dyDescent="0.2">
      <c r="A1177" s="89">
        <v>40681</v>
      </c>
      <c r="B1177" s="106" t="s">
        <v>860</v>
      </c>
      <c r="C1177" s="106" t="s">
        <v>407</v>
      </c>
      <c r="D1177" s="90" t="s">
        <v>4264</v>
      </c>
      <c r="E1177" s="90" t="str">
        <f>VLOOKUP(B1177&amp;C1177,Divipola!$C$2:$F$1138,4,FALSE)</f>
        <v>50350</v>
      </c>
      <c r="F1177" s="90"/>
      <c r="G1177" s="129"/>
      <c r="H1177" s="129"/>
      <c r="I1177" s="129"/>
      <c r="J1177" s="129">
        <v>1250</v>
      </c>
      <c r="K1177" s="129">
        <v>250</v>
      </c>
      <c r="L1177" s="129"/>
      <c r="M1177" s="129">
        <v>250</v>
      </c>
      <c r="N1177" s="129"/>
      <c r="O1177" s="129"/>
      <c r="P1177" s="129"/>
      <c r="Q1177" s="129"/>
      <c r="R1177" s="129"/>
      <c r="S1177" s="129"/>
      <c r="T1177" s="129"/>
      <c r="U1177" s="129"/>
      <c r="V1177" s="129"/>
      <c r="W1177" s="107"/>
      <c r="X1177" s="105"/>
      <c r="Y1177" s="92">
        <f t="shared" si="108"/>
        <v>0</v>
      </c>
      <c r="Z1177" s="92">
        <f t="shared" si="109"/>
        <v>0</v>
      </c>
      <c r="AA1177" s="92">
        <f t="shared" si="110"/>
        <v>0</v>
      </c>
      <c r="AB1177" s="92">
        <f t="shared" si="111"/>
        <v>0</v>
      </c>
      <c r="AC1177" s="92"/>
      <c r="AD1177" s="92">
        <v>0</v>
      </c>
      <c r="AE1177" s="92">
        <f t="shared" si="112"/>
        <v>0</v>
      </c>
      <c r="AF1177" s="93">
        <v>0</v>
      </c>
      <c r="AG1177" s="105"/>
      <c r="AH1177" s="108"/>
      <c r="AI1177" s="102" t="s">
        <v>4346</v>
      </c>
      <c r="AJ1177" s="96" t="s">
        <v>4347</v>
      </c>
      <c r="AK1177" s="111"/>
      <c r="AL1177" s="89" t="s">
        <v>2798</v>
      </c>
      <c r="AM1177" s="112" t="s">
        <v>2688</v>
      </c>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c r="BJ1177" s="107"/>
      <c r="BK1177" s="107"/>
      <c r="BL1177" s="107"/>
      <c r="BM1177" s="107"/>
      <c r="BN1177" s="107"/>
      <c r="BO1177" s="107"/>
      <c r="BP1177" s="107"/>
      <c r="BQ1177" s="107"/>
      <c r="BR1177" s="107"/>
      <c r="BS1177" s="107"/>
      <c r="BT1177" s="107"/>
      <c r="BU1177" s="107"/>
      <c r="BV1177" s="107"/>
      <c r="BW1177" s="107"/>
      <c r="BX1177" s="107"/>
      <c r="BY1177" s="107"/>
      <c r="BZ1177" s="107"/>
      <c r="CA1177" s="107"/>
      <c r="CB1177" s="107"/>
      <c r="CC1177" s="107"/>
      <c r="CD1177" s="107"/>
      <c r="CE1177" s="107"/>
      <c r="CF1177" s="107"/>
      <c r="CG1177" s="107"/>
      <c r="CH1177" s="107"/>
      <c r="CI1177" s="107"/>
      <c r="CJ1177" s="107"/>
      <c r="CK1177" s="107"/>
      <c r="CL1177" s="107"/>
      <c r="CM1177" s="107"/>
      <c r="CN1177" s="118"/>
      <c r="CO1177" s="119"/>
      <c r="CP1177" s="118"/>
      <c r="CQ1177" s="119"/>
      <c r="CR1177" s="118"/>
      <c r="CS1177" s="119"/>
      <c r="CT1177" s="113"/>
      <c r="CU1177" s="118"/>
      <c r="CV1177" s="99">
        <f t="shared" si="113"/>
        <v>0</v>
      </c>
      <c r="CW1177" s="118"/>
      <c r="CX1177" s="119"/>
      <c r="CY1177" s="119"/>
      <c r="CZ1177" s="119"/>
      <c r="DA1177" s="118"/>
      <c r="DB1177" s="119"/>
      <c r="DC1177" s="111"/>
      <c r="DD1177" s="119"/>
      <c r="DE1177" s="111"/>
      <c r="DF1177" s="46"/>
    </row>
    <row r="1178" spans="1:110" s="42" customFormat="1" ht="24" x14ac:dyDescent="0.2">
      <c r="A1178" s="89">
        <v>40681</v>
      </c>
      <c r="B1178" s="106" t="s">
        <v>860</v>
      </c>
      <c r="C1178" s="106" t="s">
        <v>2859</v>
      </c>
      <c r="D1178" s="106" t="s">
        <v>3346</v>
      </c>
      <c r="E1178" s="90" t="str">
        <f>VLOOKUP(B1178&amp;C1178,Divipola!$C$2:$F$1138,4,FALSE)</f>
        <v>50001</v>
      </c>
      <c r="F1178" s="90"/>
      <c r="G1178" s="129"/>
      <c r="H1178" s="129"/>
      <c r="I1178" s="129"/>
      <c r="J1178" s="129">
        <v>5</v>
      </c>
      <c r="K1178" s="129">
        <v>1</v>
      </c>
      <c r="L1178" s="129"/>
      <c r="M1178" s="129">
        <v>1</v>
      </c>
      <c r="N1178" s="129"/>
      <c r="O1178" s="129"/>
      <c r="P1178" s="129"/>
      <c r="Q1178" s="129"/>
      <c r="R1178" s="129"/>
      <c r="S1178" s="129"/>
      <c r="T1178" s="129"/>
      <c r="U1178" s="129"/>
      <c r="V1178" s="129"/>
      <c r="W1178" s="107"/>
      <c r="X1178" s="105"/>
      <c r="Y1178" s="92">
        <f t="shared" si="108"/>
        <v>0</v>
      </c>
      <c r="Z1178" s="92">
        <f t="shared" si="109"/>
        <v>0</v>
      </c>
      <c r="AA1178" s="92">
        <f t="shared" si="110"/>
        <v>0</v>
      </c>
      <c r="AB1178" s="92">
        <f t="shared" si="111"/>
        <v>0</v>
      </c>
      <c r="AC1178" s="92"/>
      <c r="AD1178" s="92">
        <v>0</v>
      </c>
      <c r="AE1178" s="92">
        <f t="shared" si="112"/>
        <v>0</v>
      </c>
      <c r="AF1178" s="93">
        <v>0</v>
      </c>
      <c r="AG1178" s="105"/>
      <c r="AH1178" s="108"/>
      <c r="AI1178" s="102" t="s">
        <v>4336</v>
      </c>
      <c r="AJ1178" s="96" t="s">
        <v>4337</v>
      </c>
      <c r="AK1178" s="111"/>
      <c r="AL1178" s="105"/>
      <c r="AM1178" s="112" t="s">
        <v>2679</v>
      </c>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c r="BJ1178" s="107"/>
      <c r="BK1178" s="107"/>
      <c r="BL1178" s="107"/>
      <c r="BM1178" s="107"/>
      <c r="BN1178" s="107"/>
      <c r="BO1178" s="107"/>
      <c r="BP1178" s="107"/>
      <c r="BQ1178" s="107"/>
      <c r="BR1178" s="107"/>
      <c r="BS1178" s="107"/>
      <c r="BT1178" s="107"/>
      <c r="BU1178" s="107"/>
      <c r="BV1178" s="107"/>
      <c r="BW1178" s="107"/>
      <c r="BX1178" s="107"/>
      <c r="BY1178" s="107"/>
      <c r="BZ1178" s="107"/>
      <c r="CA1178" s="107"/>
      <c r="CB1178" s="107"/>
      <c r="CC1178" s="107"/>
      <c r="CD1178" s="107"/>
      <c r="CE1178" s="107"/>
      <c r="CF1178" s="107"/>
      <c r="CG1178" s="107"/>
      <c r="CH1178" s="107"/>
      <c r="CI1178" s="107"/>
      <c r="CJ1178" s="107"/>
      <c r="CK1178" s="107"/>
      <c r="CL1178" s="107"/>
      <c r="CM1178" s="107"/>
      <c r="CN1178" s="118"/>
      <c r="CO1178" s="119"/>
      <c r="CP1178" s="118"/>
      <c r="CQ1178" s="119"/>
      <c r="CR1178" s="118"/>
      <c r="CS1178" s="119"/>
      <c r="CT1178" s="113"/>
      <c r="CU1178" s="118"/>
      <c r="CV1178" s="99">
        <f t="shared" si="113"/>
        <v>0</v>
      </c>
      <c r="CW1178" s="118"/>
      <c r="CX1178" s="119"/>
      <c r="CY1178" s="119"/>
      <c r="CZ1178" s="119"/>
      <c r="DA1178" s="118"/>
      <c r="DB1178" s="119"/>
      <c r="DC1178" s="111"/>
      <c r="DD1178" s="119"/>
      <c r="DE1178" s="111"/>
      <c r="DF1178" s="46"/>
    </row>
    <row r="1179" spans="1:110" s="42" customFormat="1" ht="24" x14ac:dyDescent="0.2">
      <c r="A1179" s="89">
        <v>40681</v>
      </c>
      <c r="B1179" s="106" t="s">
        <v>4387</v>
      </c>
      <c r="C1179" s="106" t="s">
        <v>4279</v>
      </c>
      <c r="D1179" s="90" t="s">
        <v>4264</v>
      </c>
      <c r="E1179" s="90" t="str">
        <f>VLOOKUP(B1179&amp;C1179,Divipola!$C$2:$F$1138,4,FALSE)</f>
        <v>52079</v>
      </c>
      <c r="F1179" s="90"/>
      <c r="G1179" s="129"/>
      <c r="H1179" s="129"/>
      <c r="I1179" s="129"/>
      <c r="J1179" s="129">
        <f>2009*5</f>
        <v>10045</v>
      </c>
      <c r="K1179" s="129">
        <v>2009</v>
      </c>
      <c r="L1179" s="129"/>
      <c r="M1179" s="129"/>
      <c r="N1179" s="129"/>
      <c r="O1179" s="129"/>
      <c r="P1179" s="129"/>
      <c r="Q1179" s="129"/>
      <c r="R1179" s="129"/>
      <c r="S1179" s="129"/>
      <c r="T1179" s="129"/>
      <c r="U1179" s="129"/>
      <c r="V1179" s="129"/>
      <c r="W1179" s="107"/>
      <c r="X1179" s="105"/>
      <c r="Y1179" s="92">
        <f t="shared" si="108"/>
        <v>74333000</v>
      </c>
      <c r="Z1179" s="92">
        <f t="shared" si="109"/>
        <v>170765000</v>
      </c>
      <c r="AA1179" s="92">
        <f t="shared" si="110"/>
        <v>0</v>
      </c>
      <c r="AB1179" s="92">
        <f t="shared" si="111"/>
        <v>0</v>
      </c>
      <c r="AC1179" s="92"/>
      <c r="AD1179" s="92">
        <v>0</v>
      </c>
      <c r="AE1179" s="92">
        <f t="shared" si="112"/>
        <v>245098000</v>
      </c>
      <c r="AF1179" s="93">
        <v>0</v>
      </c>
      <c r="AG1179" s="105"/>
      <c r="AH1179" s="108"/>
      <c r="AI1179" s="109" t="s">
        <v>4346</v>
      </c>
      <c r="AJ1179" s="110" t="s">
        <v>4347</v>
      </c>
      <c r="AK1179" s="111"/>
      <c r="AL1179" s="105" t="s">
        <v>1069</v>
      </c>
      <c r="AM1179" s="112" t="s">
        <v>89</v>
      </c>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c r="BJ1179" s="107"/>
      <c r="BK1179" s="107"/>
      <c r="BL1179" s="107"/>
      <c r="BM1179" s="107"/>
      <c r="BN1179" s="107"/>
      <c r="BO1179" s="107"/>
      <c r="BP1179" s="107"/>
      <c r="BQ1179" s="107"/>
      <c r="BR1179" s="107"/>
      <c r="BS1179" s="107"/>
      <c r="BT1179" s="107"/>
      <c r="BU1179" s="107"/>
      <c r="BV1179" s="107"/>
      <c r="BW1179" s="107"/>
      <c r="BX1179" s="107"/>
      <c r="BY1179" s="107"/>
      <c r="BZ1179" s="107"/>
      <c r="CA1179" s="107"/>
      <c r="CB1179" s="107"/>
      <c r="CC1179" s="107"/>
      <c r="CD1179" s="107"/>
      <c r="CE1179" s="107"/>
      <c r="CF1179" s="107"/>
      <c r="CG1179" s="107"/>
      <c r="CH1179" s="107"/>
      <c r="CI1179" s="107"/>
      <c r="CJ1179" s="107"/>
      <c r="CK1179" s="107"/>
      <c r="CL1179" s="107"/>
      <c r="CM1179" s="107"/>
      <c r="CN1179" s="118"/>
      <c r="CO1179" s="119"/>
      <c r="CP1179" s="118">
        <v>2009</v>
      </c>
      <c r="CQ1179" s="119">
        <f>2009*37000</f>
        <v>74333000</v>
      </c>
      <c r="CR1179" s="118"/>
      <c r="CS1179" s="119"/>
      <c r="CT1179" s="113"/>
      <c r="CU1179" s="118"/>
      <c r="CV1179" s="99">
        <f t="shared" si="113"/>
        <v>74333000</v>
      </c>
      <c r="CW1179" s="118"/>
      <c r="CX1179" s="119"/>
      <c r="CY1179" s="119">
        <v>2009</v>
      </c>
      <c r="CZ1179" s="119">
        <f>2009*85000</f>
        <v>170765000</v>
      </c>
      <c r="DA1179" s="118"/>
      <c r="DB1179" s="119"/>
      <c r="DC1179" s="111"/>
      <c r="DD1179" s="119"/>
      <c r="DE1179" s="111"/>
      <c r="DF1179" s="46"/>
    </row>
    <row r="1180" spans="1:110" s="42" customFormat="1" ht="48" x14ac:dyDescent="0.2">
      <c r="A1180" s="89">
        <v>40681</v>
      </c>
      <c r="B1180" s="106" t="s">
        <v>4387</v>
      </c>
      <c r="C1180" s="106" t="s">
        <v>69</v>
      </c>
      <c r="D1180" s="90" t="s">
        <v>2362</v>
      </c>
      <c r="E1180" s="90" t="str">
        <f>VLOOKUP(B1180&amp;C1180,Divipola!$C$2:$F$1138,4,FALSE)</f>
        <v>52207</v>
      </c>
      <c r="F1180" s="90"/>
      <c r="G1180" s="129"/>
      <c r="H1180" s="129"/>
      <c r="I1180" s="129"/>
      <c r="J1180" s="129"/>
      <c r="K1180" s="129"/>
      <c r="L1180" s="129"/>
      <c r="M1180" s="129"/>
      <c r="N1180" s="129">
        <v>1</v>
      </c>
      <c r="O1180" s="129"/>
      <c r="P1180" s="129"/>
      <c r="Q1180" s="129"/>
      <c r="R1180" s="129"/>
      <c r="S1180" s="129"/>
      <c r="T1180" s="129"/>
      <c r="U1180" s="129"/>
      <c r="V1180" s="129"/>
      <c r="W1180" s="107"/>
      <c r="X1180" s="105"/>
      <c r="Y1180" s="92">
        <f t="shared" si="108"/>
        <v>0</v>
      </c>
      <c r="Z1180" s="92">
        <f t="shared" si="109"/>
        <v>0</v>
      </c>
      <c r="AA1180" s="92">
        <f t="shared" si="110"/>
        <v>0</v>
      </c>
      <c r="AB1180" s="92">
        <f t="shared" si="111"/>
        <v>0</v>
      </c>
      <c r="AC1180" s="92"/>
      <c r="AD1180" s="92">
        <v>0</v>
      </c>
      <c r="AE1180" s="92">
        <f t="shared" si="112"/>
        <v>0</v>
      </c>
      <c r="AF1180" s="93">
        <v>0</v>
      </c>
      <c r="AG1180" s="105"/>
      <c r="AH1180" s="108"/>
      <c r="AI1180" s="109" t="s">
        <v>4336</v>
      </c>
      <c r="AJ1180" s="110" t="s">
        <v>4337</v>
      </c>
      <c r="AK1180" s="111"/>
      <c r="AL1180" s="105"/>
      <c r="AM1180" s="112" t="s">
        <v>2678</v>
      </c>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c r="BJ1180" s="107"/>
      <c r="BK1180" s="107"/>
      <c r="BL1180" s="107"/>
      <c r="BM1180" s="107"/>
      <c r="BN1180" s="107"/>
      <c r="BO1180" s="107"/>
      <c r="BP1180" s="107"/>
      <c r="BQ1180" s="107"/>
      <c r="BR1180" s="107"/>
      <c r="BS1180" s="107"/>
      <c r="BT1180" s="107"/>
      <c r="BU1180" s="107"/>
      <c r="BV1180" s="107"/>
      <c r="BW1180" s="107"/>
      <c r="BX1180" s="107"/>
      <c r="BY1180" s="107"/>
      <c r="BZ1180" s="107"/>
      <c r="CA1180" s="107"/>
      <c r="CB1180" s="107"/>
      <c r="CC1180" s="107"/>
      <c r="CD1180" s="107"/>
      <c r="CE1180" s="107"/>
      <c r="CF1180" s="107"/>
      <c r="CG1180" s="107"/>
      <c r="CH1180" s="107"/>
      <c r="CI1180" s="107"/>
      <c r="CJ1180" s="107"/>
      <c r="CK1180" s="107"/>
      <c r="CL1180" s="107"/>
      <c r="CM1180" s="107"/>
      <c r="CN1180" s="118"/>
      <c r="CO1180" s="119"/>
      <c r="CP1180" s="118"/>
      <c r="CQ1180" s="119"/>
      <c r="CR1180" s="118"/>
      <c r="CS1180" s="119"/>
      <c r="CT1180" s="113"/>
      <c r="CU1180" s="118"/>
      <c r="CV1180" s="99">
        <f t="shared" si="113"/>
        <v>0</v>
      </c>
      <c r="CW1180" s="118"/>
      <c r="CX1180" s="119"/>
      <c r="CY1180" s="119"/>
      <c r="CZ1180" s="119"/>
      <c r="DA1180" s="118"/>
      <c r="DB1180" s="119"/>
      <c r="DC1180" s="111"/>
      <c r="DD1180" s="119"/>
      <c r="DE1180" s="111"/>
      <c r="DF1180" s="46"/>
    </row>
    <row r="1181" spans="1:110" s="42" customFormat="1" ht="22.5" x14ac:dyDescent="0.2">
      <c r="A1181" s="89">
        <v>40681</v>
      </c>
      <c r="B1181" s="106" t="s">
        <v>4387</v>
      </c>
      <c r="C1181" s="106" t="s">
        <v>966</v>
      </c>
      <c r="D1181" s="90" t="s">
        <v>4264</v>
      </c>
      <c r="E1181" s="90" t="str">
        <f>VLOOKUP(B1181&amp;C1181,Divipola!$C$2:$F$1138,4,FALSE)</f>
        <v>52520</v>
      </c>
      <c r="F1181" s="90"/>
      <c r="G1181" s="129"/>
      <c r="H1181" s="129"/>
      <c r="I1181" s="129"/>
      <c r="J1181" s="129">
        <v>1507</v>
      </c>
      <c r="K1181" s="129">
        <v>355</v>
      </c>
      <c r="L1181" s="129"/>
      <c r="M1181" s="129">
        <v>355</v>
      </c>
      <c r="N1181" s="129"/>
      <c r="O1181" s="129"/>
      <c r="P1181" s="129"/>
      <c r="Q1181" s="129"/>
      <c r="R1181" s="129"/>
      <c r="S1181" s="129"/>
      <c r="T1181" s="129"/>
      <c r="U1181" s="129"/>
      <c r="V1181" s="129">
        <v>1236</v>
      </c>
      <c r="W1181" s="107"/>
      <c r="X1181" s="105"/>
      <c r="Y1181" s="92">
        <f t="shared" si="108"/>
        <v>0</v>
      </c>
      <c r="Z1181" s="92">
        <f t="shared" si="109"/>
        <v>0</v>
      </c>
      <c r="AA1181" s="92">
        <f t="shared" si="110"/>
        <v>0</v>
      </c>
      <c r="AB1181" s="92">
        <f t="shared" si="111"/>
        <v>0</v>
      </c>
      <c r="AC1181" s="92"/>
      <c r="AD1181" s="92">
        <v>0</v>
      </c>
      <c r="AE1181" s="92">
        <f t="shared" si="112"/>
        <v>0</v>
      </c>
      <c r="AF1181" s="93">
        <v>0</v>
      </c>
      <c r="AG1181" s="105"/>
      <c r="AH1181" s="108"/>
      <c r="AI1181" s="109" t="s">
        <v>4336</v>
      </c>
      <c r="AJ1181" s="110" t="s">
        <v>4337</v>
      </c>
      <c r="AK1181" s="111"/>
      <c r="AL1181" s="105" t="s">
        <v>1069</v>
      </c>
      <c r="AM1181" s="112" t="s">
        <v>88</v>
      </c>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c r="BJ1181" s="107"/>
      <c r="BK1181" s="107"/>
      <c r="BL1181" s="107"/>
      <c r="BM1181" s="107"/>
      <c r="BN1181" s="107"/>
      <c r="BO1181" s="107"/>
      <c r="BP1181" s="107"/>
      <c r="BQ1181" s="107"/>
      <c r="BR1181" s="107"/>
      <c r="BS1181" s="107"/>
      <c r="BT1181" s="107"/>
      <c r="BU1181" s="107"/>
      <c r="BV1181" s="107"/>
      <c r="BW1181" s="107"/>
      <c r="BX1181" s="107"/>
      <c r="BY1181" s="107"/>
      <c r="BZ1181" s="107"/>
      <c r="CA1181" s="107"/>
      <c r="CB1181" s="107"/>
      <c r="CC1181" s="107"/>
      <c r="CD1181" s="107"/>
      <c r="CE1181" s="107"/>
      <c r="CF1181" s="107"/>
      <c r="CG1181" s="107"/>
      <c r="CH1181" s="107"/>
      <c r="CI1181" s="107"/>
      <c r="CJ1181" s="107"/>
      <c r="CK1181" s="107"/>
      <c r="CL1181" s="107"/>
      <c r="CM1181" s="107"/>
      <c r="CN1181" s="118"/>
      <c r="CO1181" s="119"/>
      <c r="CP1181" s="118"/>
      <c r="CQ1181" s="119"/>
      <c r="CR1181" s="118"/>
      <c r="CS1181" s="119"/>
      <c r="CT1181" s="113"/>
      <c r="CU1181" s="118"/>
      <c r="CV1181" s="99">
        <f t="shared" si="113"/>
        <v>0</v>
      </c>
      <c r="CW1181" s="118"/>
      <c r="CX1181" s="119"/>
      <c r="CY1181" s="119"/>
      <c r="CZ1181" s="119"/>
      <c r="DA1181" s="118"/>
      <c r="DB1181" s="119"/>
      <c r="DC1181" s="111"/>
      <c r="DD1181" s="119"/>
      <c r="DE1181" s="111"/>
      <c r="DF1181" s="46"/>
    </row>
    <row r="1182" spans="1:110" s="42" customFormat="1" ht="24" x14ac:dyDescent="0.2">
      <c r="A1182" s="89">
        <v>40681</v>
      </c>
      <c r="B1182" s="106" t="s">
        <v>4387</v>
      </c>
      <c r="C1182" s="106" t="s">
        <v>2224</v>
      </c>
      <c r="D1182" s="90" t="s">
        <v>2362</v>
      </c>
      <c r="E1182" s="90" t="str">
        <f>VLOOKUP(B1182&amp;C1182,Divipola!$C$2:$F$1138,4,FALSE)</f>
        <v>52565</v>
      </c>
      <c r="F1182" s="90"/>
      <c r="G1182" s="129"/>
      <c r="H1182" s="129"/>
      <c r="I1182" s="129"/>
      <c r="J1182" s="129">
        <v>165</v>
      </c>
      <c r="K1182" s="129">
        <v>33</v>
      </c>
      <c r="L1182" s="129">
        <v>3</v>
      </c>
      <c r="M1182" s="129">
        <v>30</v>
      </c>
      <c r="N1182" s="129"/>
      <c r="O1182" s="129"/>
      <c r="P1182" s="129"/>
      <c r="Q1182" s="129"/>
      <c r="R1182" s="129"/>
      <c r="S1182" s="129"/>
      <c r="T1182" s="129"/>
      <c r="U1182" s="129"/>
      <c r="V1182" s="129"/>
      <c r="W1182" s="107"/>
      <c r="X1182" s="105"/>
      <c r="Y1182" s="92">
        <f t="shared" ref="Y1182:Y1245" si="114">CV1182</f>
        <v>0</v>
      </c>
      <c r="Z1182" s="92">
        <f t="shared" ref="Z1182:Z1245" si="115">CZ1182</f>
        <v>0</v>
      </c>
      <c r="AA1182" s="92">
        <f t="shared" ref="AA1182:AA1245" si="116">DB1182+DD1182</f>
        <v>0</v>
      </c>
      <c r="AB1182" s="92">
        <f t="shared" ref="AB1182:AB1245" si="117">CX1182</f>
        <v>0</v>
      </c>
      <c r="AC1182" s="92"/>
      <c r="AD1182" s="92">
        <v>0</v>
      </c>
      <c r="AE1182" s="92">
        <f t="shared" ref="AE1182:AE1245" si="118">Y1182+Z1182+AA1182+AB1182+AC1182+AD1182</f>
        <v>0</v>
      </c>
      <c r="AF1182" s="93">
        <v>0</v>
      </c>
      <c r="AG1182" s="105"/>
      <c r="AH1182" s="108"/>
      <c r="AI1182" s="109" t="s">
        <v>4336</v>
      </c>
      <c r="AJ1182" s="110" t="s">
        <v>4337</v>
      </c>
      <c r="AK1182" s="111"/>
      <c r="AL1182" s="105"/>
      <c r="AM1182" s="112" t="s">
        <v>2683</v>
      </c>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c r="BJ1182" s="107"/>
      <c r="BK1182" s="107"/>
      <c r="BL1182" s="107"/>
      <c r="BM1182" s="107"/>
      <c r="BN1182" s="107"/>
      <c r="BO1182" s="107"/>
      <c r="BP1182" s="107"/>
      <c r="BQ1182" s="107"/>
      <c r="BR1182" s="107"/>
      <c r="BS1182" s="107"/>
      <c r="BT1182" s="107"/>
      <c r="BU1182" s="107"/>
      <c r="BV1182" s="107"/>
      <c r="BW1182" s="107"/>
      <c r="BX1182" s="107"/>
      <c r="BY1182" s="107"/>
      <c r="BZ1182" s="107"/>
      <c r="CA1182" s="107"/>
      <c r="CB1182" s="107"/>
      <c r="CC1182" s="107"/>
      <c r="CD1182" s="107"/>
      <c r="CE1182" s="107"/>
      <c r="CF1182" s="107"/>
      <c r="CG1182" s="107"/>
      <c r="CH1182" s="107"/>
      <c r="CI1182" s="107"/>
      <c r="CJ1182" s="107"/>
      <c r="CK1182" s="107"/>
      <c r="CL1182" s="107"/>
      <c r="CM1182" s="107"/>
      <c r="CN1182" s="118"/>
      <c r="CO1182" s="119"/>
      <c r="CP1182" s="118"/>
      <c r="CQ1182" s="119"/>
      <c r="CR1182" s="118"/>
      <c r="CS1182" s="119"/>
      <c r="CT1182" s="113"/>
      <c r="CU1182" s="118"/>
      <c r="CV1182" s="99">
        <f t="shared" si="113"/>
        <v>0</v>
      </c>
      <c r="CW1182" s="118"/>
      <c r="CX1182" s="119"/>
      <c r="CY1182" s="119"/>
      <c r="CZ1182" s="119"/>
      <c r="DA1182" s="118"/>
      <c r="DB1182" s="119"/>
      <c r="DC1182" s="111"/>
      <c r="DD1182" s="119"/>
      <c r="DE1182" s="111"/>
      <c r="DF1182" s="46"/>
    </row>
    <row r="1183" spans="1:110" s="42" customFormat="1" ht="24" x14ac:dyDescent="0.2">
      <c r="A1183" s="89">
        <v>40681</v>
      </c>
      <c r="B1183" s="106" t="s">
        <v>4387</v>
      </c>
      <c r="C1183" s="106" t="s">
        <v>4254</v>
      </c>
      <c r="D1183" s="90" t="s">
        <v>4264</v>
      </c>
      <c r="E1183" s="90" t="str">
        <f>VLOOKUP(B1183&amp;C1183,Divipola!$C$2:$F$1138,4,FALSE)</f>
        <v>52696</v>
      </c>
      <c r="F1183" s="90"/>
      <c r="G1183" s="129"/>
      <c r="H1183" s="129"/>
      <c r="I1183" s="129"/>
      <c r="J1183" s="129">
        <v>105</v>
      </c>
      <c r="K1183" s="129">
        <v>21</v>
      </c>
      <c r="L1183" s="129"/>
      <c r="M1183" s="129">
        <v>21</v>
      </c>
      <c r="N1183" s="129"/>
      <c r="O1183" s="129"/>
      <c r="P1183" s="129"/>
      <c r="Q1183" s="129"/>
      <c r="R1183" s="129"/>
      <c r="S1183" s="129"/>
      <c r="T1183" s="129"/>
      <c r="U1183" s="129"/>
      <c r="V1183" s="129"/>
      <c r="W1183" s="107"/>
      <c r="X1183" s="105"/>
      <c r="Y1183" s="92">
        <f t="shared" si="114"/>
        <v>0</v>
      </c>
      <c r="Z1183" s="92">
        <f t="shared" si="115"/>
        <v>0</v>
      </c>
      <c r="AA1183" s="92">
        <f t="shared" si="116"/>
        <v>0</v>
      </c>
      <c r="AB1183" s="92">
        <f t="shared" si="117"/>
        <v>0</v>
      </c>
      <c r="AC1183" s="92"/>
      <c r="AD1183" s="92">
        <v>0</v>
      </c>
      <c r="AE1183" s="92">
        <f t="shared" si="118"/>
        <v>0</v>
      </c>
      <c r="AF1183" s="93">
        <v>0</v>
      </c>
      <c r="AG1183" s="105"/>
      <c r="AH1183" s="108"/>
      <c r="AI1183" s="109" t="s">
        <v>4336</v>
      </c>
      <c r="AJ1183" s="110" t="s">
        <v>4337</v>
      </c>
      <c r="AK1183" s="111"/>
      <c r="AL1183" s="105"/>
      <c r="AM1183" s="112" t="s">
        <v>2684</v>
      </c>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c r="BJ1183" s="107"/>
      <c r="BK1183" s="107"/>
      <c r="BL1183" s="107"/>
      <c r="BM1183" s="107"/>
      <c r="BN1183" s="107"/>
      <c r="BO1183" s="107"/>
      <c r="BP1183" s="107"/>
      <c r="BQ1183" s="107"/>
      <c r="BR1183" s="107"/>
      <c r="BS1183" s="107"/>
      <c r="BT1183" s="107"/>
      <c r="BU1183" s="107"/>
      <c r="BV1183" s="107"/>
      <c r="BW1183" s="107"/>
      <c r="BX1183" s="107"/>
      <c r="BY1183" s="107"/>
      <c r="BZ1183" s="107"/>
      <c r="CA1183" s="107"/>
      <c r="CB1183" s="107"/>
      <c r="CC1183" s="107"/>
      <c r="CD1183" s="107"/>
      <c r="CE1183" s="107"/>
      <c r="CF1183" s="107"/>
      <c r="CG1183" s="107"/>
      <c r="CH1183" s="107"/>
      <c r="CI1183" s="107"/>
      <c r="CJ1183" s="107"/>
      <c r="CK1183" s="107"/>
      <c r="CL1183" s="107"/>
      <c r="CM1183" s="107"/>
      <c r="CN1183" s="118"/>
      <c r="CO1183" s="119"/>
      <c r="CP1183" s="118"/>
      <c r="CQ1183" s="119"/>
      <c r="CR1183" s="118"/>
      <c r="CS1183" s="119"/>
      <c r="CT1183" s="113"/>
      <c r="CU1183" s="118"/>
      <c r="CV1183" s="99">
        <f t="shared" si="113"/>
        <v>0</v>
      </c>
      <c r="CW1183" s="118"/>
      <c r="CX1183" s="119"/>
      <c r="CY1183" s="119"/>
      <c r="CZ1183" s="119"/>
      <c r="DA1183" s="118"/>
      <c r="DB1183" s="119"/>
      <c r="DC1183" s="111"/>
      <c r="DD1183" s="119"/>
      <c r="DE1183" s="111"/>
      <c r="DF1183" s="46"/>
    </row>
    <row r="1184" spans="1:110" s="42" customFormat="1" ht="22.5" x14ac:dyDescent="0.2">
      <c r="A1184" s="89">
        <v>40681</v>
      </c>
      <c r="B1184" s="106" t="s">
        <v>4387</v>
      </c>
      <c r="C1184" s="106" t="s">
        <v>4205</v>
      </c>
      <c r="D1184" s="90" t="s">
        <v>4264</v>
      </c>
      <c r="E1184" s="90" t="str">
        <f>VLOOKUP(B1184&amp;C1184,Divipola!$C$2:$F$1138,4,FALSE)</f>
        <v>52885</v>
      </c>
      <c r="F1184" s="90"/>
      <c r="G1184" s="129"/>
      <c r="H1184" s="129"/>
      <c r="I1184" s="129"/>
      <c r="J1184" s="129">
        <v>264</v>
      </c>
      <c r="K1184" s="129">
        <v>66</v>
      </c>
      <c r="L1184" s="129"/>
      <c r="M1184" s="129">
        <v>66</v>
      </c>
      <c r="N1184" s="129"/>
      <c r="O1184" s="129"/>
      <c r="P1184" s="129"/>
      <c r="Q1184" s="129"/>
      <c r="R1184" s="129">
        <v>1</v>
      </c>
      <c r="S1184" s="129"/>
      <c r="T1184" s="129"/>
      <c r="U1184" s="129"/>
      <c r="V1184" s="129"/>
      <c r="W1184" s="107"/>
      <c r="X1184" s="105"/>
      <c r="Y1184" s="92">
        <f t="shared" si="114"/>
        <v>0</v>
      </c>
      <c r="Z1184" s="92">
        <f t="shared" si="115"/>
        <v>0</v>
      </c>
      <c r="AA1184" s="92">
        <f t="shared" si="116"/>
        <v>0</v>
      </c>
      <c r="AB1184" s="92">
        <f t="shared" si="117"/>
        <v>0</v>
      </c>
      <c r="AC1184" s="92"/>
      <c r="AD1184" s="92">
        <v>0</v>
      </c>
      <c r="AE1184" s="92">
        <f t="shared" si="118"/>
        <v>0</v>
      </c>
      <c r="AF1184" s="93">
        <v>0</v>
      </c>
      <c r="AG1184" s="105"/>
      <c r="AH1184" s="108"/>
      <c r="AI1184" s="109" t="s">
        <v>4336</v>
      </c>
      <c r="AJ1184" s="110" t="s">
        <v>4337</v>
      </c>
      <c r="AK1184" s="111"/>
      <c r="AL1184" s="105" t="s">
        <v>1069</v>
      </c>
      <c r="AM1184" s="112" t="s">
        <v>87</v>
      </c>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c r="BJ1184" s="107"/>
      <c r="BK1184" s="107"/>
      <c r="BL1184" s="107"/>
      <c r="BM1184" s="107"/>
      <c r="BN1184" s="107"/>
      <c r="BO1184" s="107"/>
      <c r="BP1184" s="107"/>
      <c r="BQ1184" s="107"/>
      <c r="BR1184" s="107"/>
      <c r="BS1184" s="107"/>
      <c r="BT1184" s="107"/>
      <c r="BU1184" s="107"/>
      <c r="BV1184" s="107"/>
      <c r="BW1184" s="107"/>
      <c r="BX1184" s="107"/>
      <c r="BY1184" s="107"/>
      <c r="BZ1184" s="107"/>
      <c r="CA1184" s="107"/>
      <c r="CB1184" s="107"/>
      <c r="CC1184" s="107"/>
      <c r="CD1184" s="107"/>
      <c r="CE1184" s="107"/>
      <c r="CF1184" s="107"/>
      <c r="CG1184" s="107"/>
      <c r="CH1184" s="107"/>
      <c r="CI1184" s="107"/>
      <c r="CJ1184" s="107"/>
      <c r="CK1184" s="107"/>
      <c r="CL1184" s="107"/>
      <c r="CM1184" s="107"/>
      <c r="CN1184" s="118"/>
      <c r="CO1184" s="119"/>
      <c r="CP1184" s="118"/>
      <c r="CQ1184" s="119"/>
      <c r="CR1184" s="118"/>
      <c r="CS1184" s="119"/>
      <c r="CT1184" s="113"/>
      <c r="CU1184" s="118"/>
      <c r="CV1184" s="99">
        <f t="shared" si="113"/>
        <v>0</v>
      </c>
      <c r="CW1184" s="118"/>
      <c r="CX1184" s="119"/>
      <c r="CY1184" s="119"/>
      <c r="CZ1184" s="119"/>
      <c r="DA1184" s="118"/>
      <c r="DB1184" s="119"/>
      <c r="DC1184" s="111"/>
      <c r="DD1184" s="119"/>
      <c r="DE1184" s="111"/>
      <c r="DF1184" s="46"/>
    </row>
    <row r="1185" spans="1:110" s="42" customFormat="1" ht="22.5" x14ac:dyDescent="0.2">
      <c r="A1185" s="89">
        <v>40681</v>
      </c>
      <c r="B1185" s="106" t="s">
        <v>4221</v>
      </c>
      <c r="C1185" s="106" t="s">
        <v>4301</v>
      </c>
      <c r="D1185" s="90" t="s">
        <v>2362</v>
      </c>
      <c r="E1185" s="90" t="str">
        <f>VLOOKUP(B1185&amp;C1185,Divipola!$C$2:$F$1138,4,FALSE)</f>
        <v>54405</v>
      </c>
      <c r="F1185" s="90"/>
      <c r="G1185" s="129"/>
      <c r="H1185" s="129"/>
      <c r="I1185" s="129"/>
      <c r="J1185" s="129">
        <v>30</v>
      </c>
      <c r="K1185" s="129">
        <v>6</v>
      </c>
      <c r="L1185" s="129">
        <v>1</v>
      </c>
      <c r="M1185" s="129">
        <v>5</v>
      </c>
      <c r="N1185" s="129"/>
      <c r="O1185" s="129"/>
      <c r="P1185" s="129"/>
      <c r="Q1185" s="129"/>
      <c r="R1185" s="129"/>
      <c r="S1185" s="129"/>
      <c r="T1185" s="129"/>
      <c r="U1185" s="129"/>
      <c r="V1185" s="129"/>
      <c r="W1185" s="107"/>
      <c r="X1185" s="105"/>
      <c r="Y1185" s="92">
        <f t="shared" si="114"/>
        <v>0</v>
      </c>
      <c r="Z1185" s="92">
        <f t="shared" si="115"/>
        <v>0</v>
      </c>
      <c r="AA1185" s="92">
        <f t="shared" si="116"/>
        <v>0</v>
      </c>
      <c r="AB1185" s="92">
        <f t="shared" si="117"/>
        <v>0</v>
      </c>
      <c r="AC1185" s="92"/>
      <c r="AD1185" s="92">
        <v>0</v>
      </c>
      <c r="AE1185" s="92">
        <f t="shared" si="118"/>
        <v>0</v>
      </c>
      <c r="AF1185" s="93">
        <v>0</v>
      </c>
      <c r="AG1185" s="105"/>
      <c r="AH1185" s="108"/>
      <c r="AI1185" s="102" t="s">
        <v>4336</v>
      </c>
      <c r="AJ1185" s="96" t="s">
        <v>4337</v>
      </c>
      <c r="AK1185" s="111"/>
      <c r="AL1185" s="105"/>
      <c r="AM1185" s="112" t="s">
        <v>4124</v>
      </c>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c r="BJ1185" s="107"/>
      <c r="BK1185" s="107"/>
      <c r="BL1185" s="107"/>
      <c r="BM1185" s="107"/>
      <c r="BN1185" s="107"/>
      <c r="BO1185" s="107"/>
      <c r="BP1185" s="107"/>
      <c r="BQ1185" s="107"/>
      <c r="BR1185" s="107"/>
      <c r="BS1185" s="107"/>
      <c r="BT1185" s="107"/>
      <c r="BU1185" s="107"/>
      <c r="BV1185" s="107"/>
      <c r="BW1185" s="107"/>
      <c r="BX1185" s="107"/>
      <c r="BY1185" s="107"/>
      <c r="BZ1185" s="107"/>
      <c r="CA1185" s="107"/>
      <c r="CB1185" s="107"/>
      <c r="CC1185" s="107"/>
      <c r="CD1185" s="107"/>
      <c r="CE1185" s="107"/>
      <c r="CF1185" s="107"/>
      <c r="CG1185" s="107"/>
      <c r="CH1185" s="107"/>
      <c r="CI1185" s="107"/>
      <c r="CJ1185" s="107"/>
      <c r="CK1185" s="107"/>
      <c r="CL1185" s="107"/>
      <c r="CM1185" s="107"/>
      <c r="CN1185" s="118"/>
      <c r="CO1185" s="119"/>
      <c r="CP1185" s="118"/>
      <c r="CQ1185" s="119"/>
      <c r="CR1185" s="118"/>
      <c r="CS1185" s="119"/>
      <c r="CT1185" s="113"/>
      <c r="CU1185" s="118"/>
      <c r="CV1185" s="99">
        <f t="shared" si="113"/>
        <v>0</v>
      </c>
      <c r="CW1185" s="118"/>
      <c r="CX1185" s="119"/>
      <c r="CY1185" s="119"/>
      <c r="CZ1185" s="119"/>
      <c r="DA1185" s="118"/>
      <c r="DB1185" s="119"/>
      <c r="DC1185" s="111"/>
      <c r="DD1185" s="119"/>
      <c r="DE1185" s="111"/>
      <c r="DF1185" s="46"/>
    </row>
    <row r="1186" spans="1:110" s="42" customFormat="1" ht="60" x14ac:dyDescent="0.2">
      <c r="A1186" s="89">
        <v>40681</v>
      </c>
      <c r="B1186" s="106" t="s">
        <v>4221</v>
      </c>
      <c r="C1186" s="106" t="s">
        <v>4300</v>
      </c>
      <c r="D1186" s="90" t="s">
        <v>4264</v>
      </c>
      <c r="E1186" s="90" t="str">
        <f>VLOOKUP(B1186&amp;C1186,Divipola!$C$2:$F$1138,4,FALSE)</f>
        <v>54874</v>
      </c>
      <c r="F1186" s="90"/>
      <c r="G1186" s="129"/>
      <c r="H1186" s="129"/>
      <c r="I1186" s="129"/>
      <c r="J1186" s="129">
        <v>250</v>
      </c>
      <c r="K1186" s="129">
        <v>50</v>
      </c>
      <c r="L1186" s="129"/>
      <c r="M1186" s="129">
        <v>50</v>
      </c>
      <c r="N1186" s="129"/>
      <c r="O1186" s="129"/>
      <c r="P1186" s="129"/>
      <c r="Q1186" s="129"/>
      <c r="R1186" s="129"/>
      <c r="S1186" s="129"/>
      <c r="T1186" s="129"/>
      <c r="U1186" s="129"/>
      <c r="V1186" s="129"/>
      <c r="W1186" s="107"/>
      <c r="X1186" s="105"/>
      <c r="Y1186" s="92">
        <f t="shared" si="114"/>
        <v>0</v>
      </c>
      <c r="Z1186" s="92">
        <f t="shared" si="115"/>
        <v>0</v>
      </c>
      <c r="AA1186" s="92">
        <f t="shared" si="116"/>
        <v>0</v>
      </c>
      <c r="AB1186" s="92">
        <f t="shared" si="117"/>
        <v>0</v>
      </c>
      <c r="AC1186" s="92"/>
      <c r="AD1186" s="92">
        <v>0</v>
      </c>
      <c r="AE1186" s="92">
        <f t="shared" si="118"/>
        <v>0</v>
      </c>
      <c r="AF1186" s="93">
        <v>0</v>
      </c>
      <c r="AG1186" s="105"/>
      <c r="AH1186" s="108"/>
      <c r="AI1186" s="102" t="s">
        <v>4336</v>
      </c>
      <c r="AJ1186" s="96" t="s">
        <v>4337</v>
      </c>
      <c r="AK1186" s="111"/>
      <c r="AL1186" s="105"/>
      <c r="AM1186" s="112" t="s">
        <v>2682</v>
      </c>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c r="BJ1186" s="107"/>
      <c r="BK1186" s="107"/>
      <c r="BL1186" s="107"/>
      <c r="BM1186" s="107"/>
      <c r="BN1186" s="107"/>
      <c r="BO1186" s="107"/>
      <c r="BP1186" s="107"/>
      <c r="BQ1186" s="107"/>
      <c r="BR1186" s="107"/>
      <c r="BS1186" s="107"/>
      <c r="BT1186" s="107"/>
      <c r="BU1186" s="107"/>
      <c r="BV1186" s="107"/>
      <c r="BW1186" s="107"/>
      <c r="BX1186" s="107"/>
      <c r="BY1186" s="107"/>
      <c r="BZ1186" s="107"/>
      <c r="CA1186" s="107"/>
      <c r="CB1186" s="107"/>
      <c r="CC1186" s="107"/>
      <c r="CD1186" s="107"/>
      <c r="CE1186" s="107"/>
      <c r="CF1186" s="107"/>
      <c r="CG1186" s="107"/>
      <c r="CH1186" s="107"/>
      <c r="CI1186" s="107"/>
      <c r="CJ1186" s="107"/>
      <c r="CK1186" s="107"/>
      <c r="CL1186" s="107"/>
      <c r="CM1186" s="107"/>
      <c r="CN1186" s="118"/>
      <c r="CO1186" s="119"/>
      <c r="CP1186" s="118"/>
      <c r="CQ1186" s="119"/>
      <c r="CR1186" s="118"/>
      <c r="CS1186" s="119"/>
      <c r="CT1186" s="113"/>
      <c r="CU1186" s="118"/>
      <c r="CV1186" s="99">
        <f t="shared" si="113"/>
        <v>0</v>
      </c>
      <c r="CW1186" s="118"/>
      <c r="CX1186" s="119"/>
      <c r="CY1186" s="119"/>
      <c r="CZ1186" s="119"/>
      <c r="DA1186" s="118"/>
      <c r="DB1186" s="119"/>
      <c r="DC1186" s="111"/>
      <c r="DD1186" s="119"/>
      <c r="DE1186" s="111"/>
      <c r="DF1186" s="46"/>
    </row>
    <row r="1187" spans="1:110" s="42" customFormat="1" x14ac:dyDescent="0.2">
      <c r="A1187" s="89">
        <v>40681</v>
      </c>
      <c r="B1187" s="106" t="s">
        <v>2226</v>
      </c>
      <c r="C1187" s="106" t="s">
        <v>4232</v>
      </c>
      <c r="D1187" s="90" t="s">
        <v>2362</v>
      </c>
      <c r="E1187" s="90" t="str">
        <f>VLOOKUP(B1187&amp;C1187,Divipola!$C$2:$F$1138,4,FALSE)</f>
        <v>68001</v>
      </c>
      <c r="F1187" s="90"/>
      <c r="G1187" s="129"/>
      <c r="H1187" s="129"/>
      <c r="I1187" s="129"/>
      <c r="J1187" s="129">
        <v>17</v>
      </c>
      <c r="K1187" s="129">
        <v>3</v>
      </c>
      <c r="L1187" s="129"/>
      <c r="M1187" s="129">
        <v>3</v>
      </c>
      <c r="N1187" s="129"/>
      <c r="O1187" s="129"/>
      <c r="P1187" s="129"/>
      <c r="Q1187" s="129"/>
      <c r="R1187" s="129"/>
      <c r="S1187" s="129"/>
      <c r="T1187" s="129"/>
      <c r="U1187" s="129"/>
      <c r="V1187" s="129"/>
      <c r="W1187" s="107"/>
      <c r="X1187" s="105"/>
      <c r="Y1187" s="92">
        <f t="shared" si="114"/>
        <v>0</v>
      </c>
      <c r="Z1187" s="92">
        <f t="shared" si="115"/>
        <v>0</v>
      </c>
      <c r="AA1187" s="92">
        <f t="shared" si="116"/>
        <v>0</v>
      </c>
      <c r="AB1187" s="92">
        <f t="shared" si="117"/>
        <v>0</v>
      </c>
      <c r="AC1187" s="92"/>
      <c r="AD1187" s="92">
        <v>0</v>
      </c>
      <c r="AE1187" s="92">
        <f t="shared" si="118"/>
        <v>0</v>
      </c>
      <c r="AF1187" s="93">
        <v>0</v>
      </c>
      <c r="AG1187" s="105"/>
      <c r="AH1187" s="108"/>
      <c r="AI1187" s="95" t="s">
        <v>4336</v>
      </c>
      <c r="AJ1187" s="96" t="s">
        <v>4337</v>
      </c>
      <c r="AK1187" s="111"/>
      <c r="AL1187" s="105"/>
      <c r="AM1187" s="112" t="s">
        <v>999</v>
      </c>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c r="BJ1187" s="107"/>
      <c r="BK1187" s="107"/>
      <c r="BL1187" s="107"/>
      <c r="BM1187" s="107"/>
      <c r="BN1187" s="107"/>
      <c r="BO1187" s="107"/>
      <c r="BP1187" s="107"/>
      <c r="BQ1187" s="107"/>
      <c r="BR1187" s="107"/>
      <c r="BS1187" s="107"/>
      <c r="BT1187" s="107"/>
      <c r="BU1187" s="107"/>
      <c r="BV1187" s="107"/>
      <c r="BW1187" s="107"/>
      <c r="BX1187" s="107"/>
      <c r="BY1187" s="107"/>
      <c r="BZ1187" s="107"/>
      <c r="CA1187" s="107"/>
      <c r="CB1187" s="107"/>
      <c r="CC1187" s="107"/>
      <c r="CD1187" s="107"/>
      <c r="CE1187" s="107"/>
      <c r="CF1187" s="107"/>
      <c r="CG1187" s="107"/>
      <c r="CH1187" s="107"/>
      <c r="CI1187" s="107"/>
      <c r="CJ1187" s="107"/>
      <c r="CK1187" s="107"/>
      <c r="CL1187" s="107"/>
      <c r="CM1187" s="107"/>
      <c r="CN1187" s="118"/>
      <c r="CO1187" s="119"/>
      <c r="CP1187" s="118"/>
      <c r="CQ1187" s="119"/>
      <c r="CR1187" s="118"/>
      <c r="CS1187" s="119"/>
      <c r="CT1187" s="113"/>
      <c r="CU1187" s="118"/>
      <c r="CV1187" s="99">
        <f t="shared" si="113"/>
        <v>0</v>
      </c>
      <c r="CW1187" s="118"/>
      <c r="CX1187" s="119"/>
      <c r="CY1187" s="119"/>
      <c r="CZ1187" s="119"/>
      <c r="DA1187" s="118"/>
      <c r="DB1187" s="119"/>
      <c r="DC1187" s="111"/>
      <c r="DD1187" s="119"/>
      <c r="DE1187" s="111"/>
      <c r="DF1187" s="46"/>
    </row>
    <row r="1188" spans="1:110" s="42" customFormat="1" ht="56.25" x14ac:dyDescent="0.2">
      <c r="A1188" s="89">
        <v>40681</v>
      </c>
      <c r="B1188" s="90" t="s">
        <v>2226</v>
      </c>
      <c r="C1188" s="90" t="s">
        <v>3453</v>
      </c>
      <c r="D1188" s="90" t="s">
        <v>2860</v>
      </c>
      <c r="E1188" s="90" t="str">
        <f>VLOOKUP(B1188&amp;C1188,Divipola!$C$2:$F$1138,4,FALSE)</f>
        <v>68689</v>
      </c>
      <c r="F1188" s="90"/>
      <c r="G1188" s="124">
        <v>11</v>
      </c>
      <c r="H1188" s="124">
        <v>19</v>
      </c>
      <c r="I1188" s="311">
        <v>1</v>
      </c>
      <c r="J1188" s="124">
        <v>1335</v>
      </c>
      <c r="K1188" s="124">
        <v>267</v>
      </c>
      <c r="L1188" s="124">
        <v>17</v>
      </c>
      <c r="M1188" s="124">
        <f>267-17</f>
        <v>250</v>
      </c>
      <c r="N1188" s="129"/>
      <c r="O1188" s="129">
        <v>2</v>
      </c>
      <c r="P1188" s="129"/>
      <c r="Q1188" s="129"/>
      <c r="R1188" s="129"/>
      <c r="S1188" s="129"/>
      <c r="T1188" s="129"/>
      <c r="U1188" s="129"/>
      <c r="V1188" s="129"/>
      <c r="W1188" s="107"/>
      <c r="X1188" s="105"/>
      <c r="Y1188" s="92">
        <f t="shared" si="114"/>
        <v>85918000</v>
      </c>
      <c r="Z1188" s="92">
        <f t="shared" si="115"/>
        <v>28900000</v>
      </c>
      <c r="AA1188" s="92">
        <f t="shared" si="116"/>
        <v>0</v>
      </c>
      <c r="AB1188" s="92">
        <f t="shared" si="117"/>
        <v>0</v>
      </c>
      <c r="AC1188" s="123"/>
      <c r="AD1188" s="92">
        <v>0</v>
      </c>
      <c r="AE1188" s="92">
        <f t="shared" si="118"/>
        <v>114818000</v>
      </c>
      <c r="AF1188" s="93">
        <v>0</v>
      </c>
      <c r="AG1188" s="105"/>
      <c r="AH1188" s="108"/>
      <c r="AI1188" s="95" t="s">
        <v>4346</v>
      </c>
      <c r="AJ1188" s="96" t="s">
        <v>4347</v>
      </c>
      <c r="AK1188" s="309"/>
      <c r="AL1188" s="310"/>
      <c r="AM1188" s="128" t="s">
        <v>1945</v>
      </c>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c r="BJ1188" s="107">
        <v>340</v>
      </c>
      <c r="BK1188" s="107">
        <f>340*60000</f>
        <v>20400000</v>
      </c>
      <c r="BL1188" s="107"/>
      <c r="BM1188" s="107"/>
      <c r="BN1188" s="107"/>
      <c r="BO1188" s="107"/>
      <c r="BP1188" s="107"/>
      <c r="BQ1188" s="107"/>
      <c r="BR1188" s="107"/>
      <c r="BS1188" s="107"/>
      <c r="BT1188" s="107"/>
      <c r="BU1188" s="107"/>
      <c r="BV1188" s="107"/>
      <c r="BW1188" s="107"/>
      <c r="BX1188" s="107"/>
      <c r="BY1188" s="107"/>
      <c r="BZ1188" s="107"/>
      <c r="CA1188" s="107"/>
      <c r="CB1188" s="107"/>
      <c r="CC1188" s="107"/>
      <c r="CD1188" s="107"/>
      <c r="CE1188" s="107"/>
      <c r="CF1188" s="107"/>
      <c r="CG1188" s="107"/>
      <c r="CH1188" s="107"/>
      <c r="CI1188" s="107"/>
      <c r="CJ1188" s="107">
        <f>680+680</f>
        <v>1360</v>
      </c>
      <c r="CK1188" s="107">
        <f>680*21500+680*18000</f>
        <v>26860000</v>
      </c>
      <c r="CL1188" s="107"/>
      <c r="CM1188" s="107"/>
      <c r="CN1188" s="118"/>
      <c r="CO1188" s="119"/>
      <c r="CP1188" s="118">
        <v>680</v>
      </c>
      <c r="CQ1188" s="119">
        <f>680*37000</f>
        <v>25160000</v>
      </c>
      <c r="CR1188" s="118">
        <v>340</v>
      </c>
      <c r="CS1188" s="119">
        <f>340*39700</f>
        <v>13498000</v>
      </c>
      <c r="CT1188" s="113"/>
      <c r="CU1188" s="118"/>
      <c r="CV1188" s="99">
        <f t="shared" si="113"/>
        <v>85918000</v>
      </c>
      <c r="CW1188" s="118"/>
      <c r="CX1188" s="119"/>
      <c r="CY1188" s="119">
        <v>340</v>
      </c>
      <c r="CZ1188" s="119">
        <f>340*85000</f>
        <v>28900000</v>
      </c>
      <c r="DA1188" s="118"/>
      <c r="DB1188" s="119"/>
      <c r="DC1188" s="111"/>
      <c r="DD1188" s="119"/>
      <c r="DE1188" s="111"/>
      <c r="DF1188" s="46"/>
    </row>
    <row r="1189" spans="1:110" s="42" customFormat="1" x14ac:dyDescent="0.2">
      <c r="A1189" s="89">
        <v>40682</v>
      </c>
      <c r="B1189" s="90" t="s">
        <v>4326</v>
      </c>
      <c r="C1189" s="90" t="s">
        <v>4338</v>
      </c>
      <c r="D1189" s="90" t="s">
        <v>4264</v>
      </c>
      <c r="E1189" s="90" t="str">
        <f>VLOOKUP(B1189&amp;C1189,Divipola!$C$2:$F$1138,4,FALSE)</f>
        <v>08001</v>
      </c>
      <c r="F1189" s="90"/>
      <c r="G1189" s="129"/>
      <c r="H1189" s="129"/>
      <c r="I1189" s="129"/>
      <c r="J1189" s="129"/>
      <c r="K1189" s="129"/>
      <c r="L1189" s="129"/>
      <c r="M1189" s="129"/>
      <c r="N1189" s="129"/>
      <c r="O1189" s="129"/>
      <c r="P1189" s="129"/>
      <c r="Q1189" s="129"/>
      <c r="R1189" s="129"/>
      <c r="S1189" s="129"/>
      <c r="T1189" s="129"/>
      <c r="U1189" s="129"/>
      <c r="V1189" s="129"/>
      <c r="W1189" s="107"/>
      <c r="X1189" s="105"/>
      <c r="Y1189" s="92">
        <f t="shared" si="114"/>
        <v>126539289.59999999</v>
      </c>
      <c r="Z1189" s="92">
        <f t="shared" si="115"/>
        <v>96900000</v>
      </c>
      <c r="AA1189" s="92">
        <f t="shared" si="116"/>
        <v>42571520</v>
      </c>
      <c r="AB1189" s="92">
        <f t="shared" si="117"/>
        <v>179916000</v>
      </c>
      <c r="AC1189" s="92"/>
      <c r="AD1189" s="92">
        <v>0</v>
      </c>
      <c r="AE1189" s="92">
        <f t="shared" si="118"/>
        <v>445926809.60000002</v>
      </c>
      <c r="AF1189" s="93">
        <v>0</v>
      </c>
      <c r="AG1189" s="105"/>
      <c r="AH1189" s="108"/>
      <c r="AI1189" s="95" t="s">
        <v>4346</v>
      </c>
      <c r="AJ1189" s="96" t="s">
        <v>4347</v>
      </c>
      <c r="AK1189" s="111"/>
      <c r="AL1189" s="105"/>
      <c r="AM1189" s="112"/>
      <c r="AN1189" s="107"/>
      <c r="AO1189" s="107"/>
      <c r="AP1189" s="107"/>
      <c r="AQ1189" s="107"/>
      <c r="AR1189" s="107"/>
      <c r="AS1189" s="107"/>
      <c r="AT1189" s="107"/>
      <c r="AU1189" s="107"/>
      <c r="AV1189" s="107"/>
      <c r="AW1189" s="107"/>
      <c r="AX1189" s="107"/>
      <c r="AY1189" s="107"/>
      <c r="AZ1189" s="107">
        <v>1200</v>
      </c>
      <c r="BA1189" s="107">
        <f>1200*56000</f>
        <v>67200000</v>
      </c>
      <c r="BB1189" s="107"/>
      <c r="BC1189" s="107"/>
      <c r="BD1189" s="107"/>
      <c r="BE1189" s="107"/>
      <c r="BF1189" s="107"/>
      <c r="BG1189" s="107"/>
      <c r="BH1189" s="107"/>
      <c r="BI1189" s="107"/>
      <c r="BJ1189" s="107"/>
      <c r="BK1189" s="107"/>
      <c r="BL1189" s="107"/>
      <c r="BM1189" s="107"/>
      <c r="BN1189" s="107"/>
      <c r="BO1189" s="107"/>
      <c r="BP1189" s="107"/>
      <c r="BQ1189" s="107"/>
      <c r="BR1189" s="107"/>
      <c r="BS1189" s="107"/>
      <c r="BT1189" s="107"/>
      <c r="BU1189" s="107"/>
      <c r="BV1189" s="107"/>
      <c r="BW1189" s="107"/>
      <c r="BX1189" s="107"/>
      <c r="BY1189" s="107"/>
      <c r="BZ1189" s="107"/>
      <c r="CA1189" s="107"/>
      <c r="CB1189" s="107"/>
      <c r="CC1189" s="107"/>
      <c r="CD1189" s="107"/>
      <c r="CE1189" s="107"/>
      <c r="CF1189" s="107"/>
      <c r="CG1189" s="107"/>
      <c r="CH1189" s="107"/>
      <c r="CI1189" s="107"/>
      <c r="CJ1189" s="107"/>
      <c r="CK1189" s="107"/>
      <c r="CL1189" s="118"/>
      <c r="CM1189" s="119"/>
      <c r="CN1189" s="118"/>
      <c r="CO1189" s="119"/>
      <c r="CP1189" s="118">
        <v>960</v>
      </c>
      <c r="CQ1189" s="119">
        <f>960*36999.36</f>
        <v>35519385.600000001</v>
      </c>
      <c r="CR1189" s="118">
        <v>600</v>
      </c>
      <c r="CS1189" s="118">
        <f>600*39699.84</f>
        <v>23819903.999999996</v>
      </c>
      <c r="CT1189" s="113"/>
      <c r="CU1189" s="118"/>
      <c r="CV1189" s="99">
        <f t="shared" si="113"/>
        <v>126539289.59999999</v>
      </c>
      <c r="CW1189" s="119">
        <v>200000</v>
      </c>
      <c r="CX1189" s="119">
        <f>100000*899+100000*900.16</f>
        <v>179916000</v>
      </c>
      <c r="CY1189" s="118">
        <v>1140</v>
      </c>
      <c r="CZ1189" s="119">
        <f>1140*85000</f>
        <v>96900000</v>
      </c>
      <c r="DA1189" s="111"/>
      <c r="DB1189" s="119"/>
      <c r="DC1189" s="111">
        <v>1000</v>
      </c>
      <c r="DD1189" s="119">
        <f>500*32000+500*36000+200*32000+6240*348</f>
        <v>42571520</v>
      </c>
      <c r="DE1189" s="111"/>
      <c r="DF1189" s="46"/>
    </row>
    <row r="1190" spans="1:110" s="42" customFormat="1" ht="36" x14ac:dyDescent="0.2">
      <c r="A1190" s="89">
        <v>40682</v>
      </c>
      <c r="B1190" s="90" t="s">
        <v>1116</v>
      </c>
      <c r="C1190" s="90" t="s">
        <v>1116</v>
      </c>
      <c r="D1190" s="90" t="s">
        <v>2362</v>
      </c>
      <c r="E1190" s="90" t="str">
        <f>VLOOKUP(B1190&amp;C1190,Divipola!$C$2:$F$1138,4,FALSE)</f>
        <v>11001</v>
      </c>
      <c r="F1190" s="90"/>
      <c r="G1190" s="129"/>
      <c r="H1190" s="129"/>
      <c r="I1190" s="129"/>
      <c r="J1190" s="129">
        <v>55</v>
      </c>
      <c r="K1190" s="129">
        <v>11</v>
      </c>
      <c r="L1190" s="129">
        <v>1</v>
      </c>
      <c r="M1190" s="129">
        <v>10</v>
      </c>
      <c r="N1190" s="129"/>
      <c r="O1190" s="129"/>
      <c r="P1190" s="129"/>
      <c r="Q1190" s="129"/>
      <c r="R1190" s="129"/>
      <c r="S1190" s="129"/>
      <c r="T1190" s="129"/>
      <c r="U1190" s="129"/>
      <c r="V1190" s="129"/>
      <c r="W1190" s="107"/>
      <c r="X1190" s="105"/>
      <c r="Y1190" s="92">
        <f t="shared" si="114"/>
        <v>0</v>
      </c>
      <c r="Z1190" s="92">
        <f t="shared" si="115"/>
        <v>0</v>
      </c>
      <c r="AA1190" s="92">
        <f t="shared" si="116"/>
        <v>0</v>
      </c>
      <c r="AB1190" s="92">
        <f t="shared" si="117"/>
        <v>0</v>
      </c>
      <c r="AC1190" s="92"/>
      <c r="AD1190" s="92">
        <v>0</v>
      </c>
      <c r="AE1190" s="92">
        <f t="shared" si="118"/>
        <v>0</v>
      </c>
      <c r="AF1190" s="93">
        <v>0</v>
      </c>
      <c r="AG1190" s="105"/>
      <c r="AH1190" s="108"/>
      <c r="AI1190" s="109" t="s">
        <v>4336</v>
      </c>
      <c r="AJ1190" s="110" t="s">
        <v>4337</v>
      </c>
      <c r="AK1190" s="111"/>
      <c r="AL1190" s="105"/>
      <c r="AM1190" s="112" t="s">
        <v>357</v>
      </c>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c r="BG1190" s="107"/>
      <c r="BH1190" s="107"/>
      <c r="BI1190" s="107"/>
      <c r="BJ1190" s="107"/>
      <c r="BK1190" s="107"/>
      <c r="BL1190" s="107"/>
      <c r="BM1190" s="107"/>
      <c r="BN1190" s="107"/>
      <c r="BO1190" s="107"/>
      <c r="BP1190" s="107"/>
      <c r="BQ1190" s="107"/>
      <c r="BR1190" s="107"/>
      <c r="BS1190" s="107"/>
      <c r="BT1190" s="107"/>
      <c r="BU1190" s="107"/>
      <c r="BV1190" s="107"/>
      <c r="BW1190" s="107"/>
      <c r="BX1190" s="107"/>
      <c r="BY1190" s="107"/>
      <c r="BZ1190" s="107"/>
      <c r="CA1190" s="107"/>
      <c r="CB1190" s="107"/>
      <c r="CC1190" s="107"/>
      <c r="CD1190" s="107"/>
      <c r="CE1190" s="107"/>
      <c r="CF1190" s="107"/>
      <c r="CG1190" s="107"/>
      <c r="CH1190" s="107"/>
      <c r="CI1190" s="107"/>
      <c r="CJ1190" s="107"/>
      <c r="CK1190" s="107"/>
      <c r="CL1190" s="107"/>
      <c r="CM1190" s="107"/>
      <c r="CN1190" s="118"/>
      <c r="CO1190" s="119"/>
      <c r="CP1190" s="118"/>
      <c r="CQ1190" s="119"/>
      <c r="CR1190" s="118"/>
      <c r="CS1190" s="119"/>
      <c r="CT1190" s="113"/>
      <c r="CU1190" s="118"/>
      <c r="CV1190" s="99">
        <f t="shared" si="113"/>
        <v>0</v>
      </c>
      <c r="CW1190" s="118"/>
      <c r="CX1190" s="119"/>
      <c r="CY1190" s="119"/>
      <c r="CZ1190" s="119"/>
      <c r="DA1190" s="118"/>
      <c r="DB1190" s="119"/>
      <c r="DC1190" s="111"/>
      <c r="DD1190" s="119"/>
      <c r="DE1190" s="111"/>
      <c r="DF1190" s="46"/>
    </row>
    <row r="1191" spans="1:110" s="42" customFormat="1" ht="60" x14ac:dyDescent="0.2">
      <c r="A1191" s="89">
        <v>40682</v>
      </c>
      <c r="B1191" s="106" t="s">
        <v>4261</v>
      </c>
      <c r="C1191" s="106" t="s">
        <v>2861</v>
      </c>
      <c r="D1191" s="90" t="s">
        <v>4264</v>
      </c>
      <c r="E1191" s="90" t="str">
        <f>VLOOKUP(B1191&amp;C1191,Divipola!$C$2:$F$1138,4,FALSE)</f>
        <v>15176</v>
      </c>
      <c r="F1191" s="90"/>
      <c r="G1191" s="129"/>
      <c r="H1191" s="129"/>
      <c r="I1191" s="129"/>
      <c r="J1191" s="129">
        <v>200</v>
      </c>
      <c r="K1191" s="129">
        <v>40</v>
      </c>
      <c r="L1191" s="129"/>
      <c r="M1191" s="129">
        <v>40</v>
      </c>
      <c r="N1191" s="129"/>
      <c r="O1191" s="129"/>
      <c r="P1191" s="129"/>
      <c r="Q1191" s="129"/>
      <c r="R1191" s="129"/>
      <c r="S1191" s="129"/>
      <c r="T1191" s="129"/>
      <c r="U1191" s="129"/>
      <c r="V1191" s="129"/>
      <c r="W1191" s="107"/>
      <c r="X1191" s="105"/>
      <c r="Y1191" s="92">
        <f t="shared" si="114"/>
        <v>0</v>
      </c>
      <c r="Z1191" s="92">
        <f t="shared" si="115"/>
        <v>0</v>
      </c>
      <c r="AA1191" s="92">
        <f t="shared" si="116"/>
        <v>0</v>
      </c>
      <c r="AB1191" s="92">
        <f t="shared" si="117"/>
        <v>0</v>
      </c>
      <c r="AC1191" s="92"/>
      <c r="AD1191" s="92">
        <v>0</v>
      </c>
      <c r="AE1191" s="92">
        <f t="shared" si="118"/>
        <v>0</v>
      </c>
      <c r="AF1191" s="93">
        <v>0</v>
      </c>
      <c r="AG1191" s="105"/>
      <c r="AH1191" s="108"/>
      <c r="AI1191" s="102" t="s">
        <v>4346</v>
      </c>
      <c r="AJ1191" s="96" t="s">
        <v>4347</v>
      </c>
      <c r="AK1191" s="97"/>
      <c r="AL1191" s="89" t="s">
        <v>1049</v>
      </c>
      <c r="AM1191" s="112" t="s">
        <v>1105</v>
      </c>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c r="BJ1191" s="107"/>
      <c r="BK1191" s="107"/>
      <c r="BL1191" s="107"/>
      <c r="BM1191" s="107"/>
      <c r="BN1191" s="107"/>
      <c r="BO1191" s="107"/>
      <c r="BP1191" s="107"/>
      <c r="BQ1191" s="107"/>
      <c r="BR1191" s="107"/>
      <c r="BS1191" s="107"/>
      <c r="BT1191" s="107"/>
      <c r="BU1191" s="107"/>
      <c r="BV1191" s="107"/>
      <c r="BW1191" s="107"/>
      <c r="BX1191" s="107"/>
      <c r="BY1191" s="107"/>
      <c r="BZ1191" s="107"/>
      <c r="CA1191" s="107"/>
      <c r="CB1191" s="107"/>
      <c r="CC1191" s="107"/>
      <c r="CD1191" s="107"/>
      <c r="CE1191" s="107"/>
      <c r="CF1191" s="107"/>
      <c r="CG1191" s="107"/>
      <c r="CH1191" s="107"/>
      <c r="CI1191" s="107"/>
      <c r="CJ1191" s="107"/>
      <c r="CK1191" s="107"/>
      <c r="CL1191" s="107"/>
      <c r="CM1191" s="107"/>
      <c r="CN1191" s="118"/>
      <c r="CO1191" s="119"/>
      <c r="CP1191" s="118"/>
      <c r="CQ1191" s="119"/>
      <c r="CR1191" s="118"/>
      <c r="CS1191" s="119"/>
      <c r="CT1191" s="113"/>
      <c r="CU1191" s="118"/>
      <c r="CV1191" s="99">
        <f t="shared" si="113"/>
        <v>0</v>
      </c>
      <c r="CW1191" s="118"/>
      <c r="CX1191" s="119"/>
      <c r="CY1191" s="119"/>
      <c r="CZ1191" s="119"/>
      <c r="DA1191" s="118"/>
      <c r="DB1191" s="119"/>
      <c r="DC1191" s="111"/>
      <c r="DD1191" s="119"/>
      <c r="DE1191" s="111"/>
      <c r="DF1191" s="46"/>
    </row>
    <row r="1192" spans="1:110" s="42" customFormat="1" x14ac:dyDescent="0.2">
      <c r="A1192" s="89">
        <v>40682</v>
      </c>
      <c r="B1192" s="106" t="s">
        <v>3358</v>
      </c>
      <c r="C1192" s="106" t="s">
        <v>1436</v>
      </c>
      <c r="D1192" s="90" t="s">
        <v>4264</v>
      </c>
      <c r="E1192" s="90" t="str">
        <f>VLOOKUP(B1192&amp;C1192,Divipola!$C$2:$F$1138,4,FALSE)</f>
        <v>18247</v>
      </c>
      <c r="F1192" s="90"/>
      <c r="G1192" s="129"/>
      <c r="H1192" s="129"/>
      <c r="I1192" s="129"/>
      <c r="J1192" s="129">
        <f>12*5</f>
        <v>60</v>
      </c>
      <c r="K1192" s="129">
        <v>12</v>
      </c>
      <c r="L1192" s="129"/>
      <c r="M1192" s="129">
        <v>12</v>
      </c>
      <c r="N1192" s="129"/>
      <c r="O1192" s="129"/>
      <c r="P1192" s="129"/>
      <c r="Q1192" s="129"/>
      <c r="R1192" s="129"/>
      <c r="S1192" s="129"/>
      <c r="T1192" s="129"/>
      <c r="U1192" s="129"/>
      <c r="V1192" s="129"/>
      <c r="W1192" s="107"/>
      <c r="X1192" s="105"/>
      <c r="Y1192" s="92">
        <f t="shared" si="114"/>
        <v>1007982</v>
      </c>
      <c r="Z1192" s="92">
        <f t="shared" si="115"/>
        <v>935000</v>
      </c>
      <c r="AA1192" s="92">
        <f t="shared" si="116"/>
        <v>9844840</v>
      </c>
      <c r="AB1192" s="92">
        <f t="shared" si="117"/>
        <v>0</v>
      </c>
      <c r="AC1192" s="92"/>
      <c r="AD1192" s="92">
        <v>0</v>
      </c>
      <c r="AE1192" s="92">
        <f t="shared" si="118"/>
        <v>11787822</v>
      </c>
      <c r="AF1192" s="93">
        <v>0</v>
      </c>
      <c r="AG1192" s="105"/>
      <c r="AH1192" s="108"/>
      <c r="AI1192" s="95" t="s">
        <v>4346</v>
      </c>
      <c r="AJ1192" s="96" t="s">
        <v>4347</v>
      </c>
      <c r="AK1192" s="111"/>
      <c r="AL1192" s="105"/>
      <c r="AM1192" s="112" t="s">
        <v>3452</v>
      </c>
      <c r="AN1192" s="107"/>
      <c r="AO1192" s="107"/>
      <c r="AP1192" s="107"/>
      <c r="AQ1192" s="107"/>
      <c r="AR1192" s="107"/>
      <c r="AS1192" s="107"/>
      <c r="AT1192" s="107"/>
      <c r="AU1192" s="107"/>
      <c r="AV1192" s="107"/>
      <c r="AW1192" s="107"/>
      <c r="AX1192" s="107"/>
      <c r="AY1192" s="107"/>
      <c r="AZ1192" s="107">
        <v>18</v>
      </c>
      <c r="BA1192" s="107">
        <f>18*55999</f>
        <v>1007982</v>
      </c>
      <c r="BB1192" s="107"/>
      <c r="BC1192" s="107"/>
      <c r="BD1192" s="107"/>
      <c r="BE1192" s="107"/>
      <c r="BF1192" s="107"/>
      <c r="BG1192" s="107"/>
      <c r="BH1192" s="107"/>
      <c r="BI1192" s="107"/>
      <c r="BJ1192" s="107"/>
      <c r="BK1192" s="107"/>
      <c r="BL1192" s="107"/>
      <c r="BM1192" s="107"/>
      <c r="BN1192" s="107"/>
      <c r="BO1192" s="107"/>
      <c r="BP1192" s="107"/>
      <c r="BQ1192" s="107"/>
      <c r="BR1192" s="107"/>
      <c r="BS1192" s="107"/>
      <c r="BT1192" s="107"/>
      <c r="BU1192" s="107"/>
      <c r="BV1192" s="107"/>
      <c r="BW1192" s="107"/>
      <c r="BX1192" s="107"/>
      <c r="BY1192" s="107"/>
      <c r="BZ1192" s="107"/>
      <c r="CA1192" s="107"/>
      <c r="CB1192" s="107"/>
      <c r="CC1192" s="107"/>
      <c r="CD1192" s="107"/>
      <c r="CE1192" s="107"/>
      <c r="CF1192" s="107"/>
      <c r="CG1192" s="107"/>
      <c r="CH1192" s="107"/>
      <c r="CI1192" s="107"/>
      <c r="CJ1192" s="107"/>
      <c r="CK1192" s="107"/>
      <c r="CL1192" s="107"/>
      <c r="CM1192" s="107"/>
      <c r="CN1192" s="118"/>
      <c r="CO1192" s="119"/>
      <c r="CP1192" s="118"/>
      <c r="CQ1192" s="119"/>
      <c r="CR1192" s="118"/>
      <c r="CS1192" s="119"/>
      <c r="CT1192" s="113"/>
      <c r="CU1192" s="118"/>
      <c r="CV1192" s="99">
        <f t="shared" si="113"/>
        <v>1007982</v>
      </c>
      <c r="CW1192" s="118"/>
      <c r="CX1192" s="119"/>
      <c r="CY1192" s="119">
        <v>11</v>
      </c>
      <c r="CZ1192" s="119">
        <f>11*85000</f>
        <v>935000</v>
      </c>
      <c r="DA1192" s="118">
        <v>47</v>
      </c>
      <c r="DB1192" s="119">
        <f>47*25000</f>
        <v>1175000</v>
      </c>
      <c r="DC1192" s="111">
        <v>505</v>
      </c>
      <c r="DD1192" s="119">
        <f>505*17168</f>
        <v>8669840</v>
      </c>
      <c r="DE1192" s="111"/>
      <c r="DF1192" s="46"/>
    </row>
    <row r="1193" spans="1:110" s="42" customFormat="1" ht="22.5" x14ac:dyDescent="0.2">
      <c r="A1193" s="89">
        <v>40682</v>
      </c>
      <c r="B1193" s="106" t="s">
        <v>3358</v>
      </c>
      <c r="C1193" s="106" t="s">
        <v>1452</v>
      </c>
      <c r="D1193" s="90" t="s">
        <v>4264</v>
      </c>
      <c r="E1193" s="90" t="str">
        <f>VLOOKUP(B1193&amp;C1193,Divipola!$C$2:$F$1138,4,FALSE)</f>
        <v>18610</v>
      </c>
      <c r="F1193" s="90"/>
      <c r="G1193" s="129"/>
      <c r="H1193" s="129"/>
      <c r="I1193" s="129"/>
      <c r="J1193" s="129">
        <f>18*5</f>
        <v>90</v>
      </c>
      <c r="K1193" s="129">
        <v>18</v>
      </c>
      <c r="L1193" s="129"/>
      <c r="M1193" s="129">
        <v>18</v>
      </c>
      <c r="N1193" s="129"/>
      <c r="O1193" s="129"/>
      <c r="P1193" s="129"/>
      <c r="Q1193" s="129"/>
      <c r="R1193" s="129"/>
      <c r="S1193" s="129"/>
      <c r="T1193" s="129"/>
      <c r="U1193" s="129"/>
      <c r="V1193" s="129"/>
      <c r="W1193" s="107"/>
      <c r="X1193" s="105"/>
      <c r="Y1193" s="92">
        <f t="shared" si="114"/>
        <v>3788575</v>
      </c>
      <c r="Z1193" s="92">
        <f t="shared" si="115"/>
        <v>1530000</v>
      </c>
      <c r="AA1193" s="92">
        <f t="shared" si="116"/>
        <v>6523840</v>
      </c>
      <c r="AB1193" s="92">
        <f t="shared" si="117"/>
        <v>0</v>
      </c>
      <c r="AC1193" s="92"/>
      <c r="AD1193" s="92">
        <v>0</v>
      </c>
      <c r="AE1193" s="92">
        <f t="shared" si="118"/>
        <v>11842415</v>
      </c>
      <c r="AF1193" s="93">
        <v>0</v>
      </c>
      <c r="AG1193" s="105"/>
      <c r="AH1193" s="108"/>
      <c r="AI1193" s="95" t="s">
        <v>4346</v>
      </c>
      <c r="AJ1193" s="96" t="s">
        <v>4347</v>
      </c>
      <c r="AK1193" s="111"/>
      <c r="AL1193" s="105"/>
      <c r="AM1193" s="112" t="s">
        <v>3452</v>
      </c>
      <c r="AN1193" s="107"/>
      <c r="AO1193" s="107"/>
      <c r="AP1193" s="107"/>
      <c r="AQ1193" s="107"/>
      <c r="AR1193" s="107"/>
      <c r="AS1193" s="107"/>
      <c r="AT1193" s="107"/>
      <c r="AU1193" s="107"/>
      <c r="AV1193" s="107"/>
      <c r="AW1193" s="107"/>
      <c r="AX1193" s="107"/>
      <c r="AY1193" s="107"/>
      <c r="AZ1193" s="107">
        <v>43</v>
      </c>
      <c r="BA1193" s="107">
        <f>43*55999</f>
        <v>2407957</v>
      </c>
      <c r="BB1193" s="107"/>
      <c r="BC1193" s="107"/>
      <c r="BD1193" s="107"/>
      <c r="BE1193" s="107"/>
      <c r="BF1193" s="107"/>
      <c r="BG1193" s="107"/>
      <c r="BH1193" s="107"/>
      <c r="BI1193" s="107"/>
      <c r="BJ1193" s="107"/>
      <c r="BK1193" s="107"/>
      <c r="BL1193" s="107"/>
      <c r="BM1193" s="107"/>
      <c r="BN1193" s="107"/>
      <c r="BO1193" s="107"/>
      <c r="BP1193" s="107"/>
      <c r="BQ1193" s="107"/>
      <c r="BR1193" s="107"/>
      <c r="BS1193" s="107"/>
      <c r="BT1193" s="107"/>
      <c r="BU1193" s="107"/>
      <c r="BV1193" s="107"/>
      <c r="BW1193" s="107"/>
      <c r="BX1193" s="107"/>
      <c r="BY1193" s="107"/>
      <c r="BZ1193" s="107"/>
      <c r="CA1193" s="107"/>
      <c r="CB1193" s="107"/>
      <c r="CC1193" s="107"/>
      <c r="CD1193" s="107"/>
      <c r="CE1193" s="107"/>
      <c r="CF1193" s="107"/>
      <c r="CG1193" s="107"/>
      <c r="CH1193" s="107"/>
      <c r="CI1193" s="107"/>
      <c r="CJ1193" s="107"/>
      <c r="CK1193" s="107"/>
      <c r="CL1193" s="107"/>
      <c r="CM1193" s="107"/>
      <c r="CN1193" s="118"/>
      <c r="CO1193" s="119"/>
      <c r="CP1193" s="118">
        <v>18</v>
      </c>
      <c r="CQ1193" s="119">
        <f>18*37001</f>
        <v>666018</v>
      </c>
      <c r="CR1193" s="118">
        <v>18</v>
      </c>
      <c r="CS1193" s="119">
        <f>18*39700</f>
        <v>714600</v>
      </c>
      <c r="CT1193" s="113"/>
      <c r="CU1193" s="118"/>
      <c r="CV1193" s="99">
        <f t="shared" si="113"/>
        <v>3788575</v>
      </c>
      <c r="CW1193" s="118"/>
      <c r="CX1193" s="119"/>
      <c r="CY1193" s="119">
        <v>18</v>
      </c>
      <c r="CZ1193" s="119">
        <f>18*85000</f>
        <v>1530000</v>
      </c>
      <c r="DA1193" s="118"/>
      <c r="DB1193" s="119"/>
      <c r="DC1193" s="111">
        <v>380</v>
      </c>
      <c r="DD1193" s="119">
        <f>380*17168</f>
        <v>6523840</v>
      </c>
      <c r="DE1193" s="111"/>
      <c r="DF1193" s="46"/>
    </row>
    <row r="1194" spans="1:110" s="42" customFormat="1" ht="36" x14ac:dyDescent="0.2">
      <c r="A1194" s="89">
        <v>40682</v>
      </c>
      <c r="B1194" s="106" t="s">
        <v>4353</v>
      </c>
      <c r="C1194" s="106" t="s">
        <v>4011</v>
      </c>
      <c r="D1194" s="90" t="s">
        <v>2362</v>
      </c>
      <c r="E1194" s="90" t="str">
        <f>VLOOKUP(B1194&amp;C1194,Divipola!$C$2:$F$1138,4,FALSE)</f>
        <v>85300</v>
      </c>
      <c r="F1194" s="90"/>
      <c r="G1194" s="129"/>
      <c r="H1194" s="129"/>
      <c r="I1194" s="129"/>
      <c r="J1194" s="129"/>
      <c r="K1194" s="129"/>
      <c r="L1194" s="129"/>
      <c r="M1194" s="129"/>
      <c r="N1194" s="129">
        <v>4</v>
      </c>
      <c r="O1194" s="129"/>
      <c r="P1194" s="129"/>
      <c r="Q1194" s="129"/>
      <c r="R1194" s="129"/>
      <c r="S1194" s="129"/>
      <c r="T1194" s="129"/>
      <c r="U1194" s="129"/>
      <c r="V1194" s="129"/>
      <c r="W1194" s="107"/>
      <c r="X1194" s="105"/>
      <c r="Y1194" s="92">
        <f t="shared" si="114"/>
        <v>0</v>
      </c>
      <c r="Z1194" s="92">
        <f t="shared" si="115"/>
        <v>0</v>
      </c>
      <c r="AA1194" s="92">
        <f t="shared" si="116"/>
        <v>0</v>
      </c>
      <c r="AB1194" s="92">
        <f t="shared" si="117"/>
        <v>0</v>
      </c>
      <c r="AC1194" s="92"/>
      <c r="AD1194" s="92">
        <v>30000000</v>
      </c>
      <c r="AE1194" s="92">
        <f t="shared" si="118"/>
        <v>30000000</v>
      </c>
      <c r="AF1194" s="93">
        <v>0</v>
      </c>
      <c r="AG1194" s="105"/>
      <c r="AH1194" s="108"/>
      <c r="AI1194" s="102" t="s">
        <v>4346</v>
      </c>
      <c r="AJ1194" s="96" t="s">
        <v>4347</v>
      </c>
      <c r="AK1194" s="111"/>
      <c r="AL1194" s="105"/>
      <c r="AM1194" s="112" t="s">
        <v>924</v>
      </c>
      <c r="AN1194" s="107"/>
      <c r="AO1194" s="107"/>
      <c r="AP1194" s="107"/>
      <c r="AQ1194" s="107"/>
      <c r="AR1194" s="107"/>
      <c r="AS1194" s="107"/>
      <c r="AT1194" s="107"/>
      <c r="AU1194" s="107"/>
      <c r="AV1194" s="107"/>
      <c r="AW1194" s="107"/>
      <c r="AX1194" s="107"/>
      <c r="AY1194" s="107"/>
      <c r="AZ1194" s="107"/>
      <c r="BA1194" s="107"/>
      <c r="BB1194" s="107"/>
      <c r="BC1194" s="107"/>
      <c r="BD1194" s="107"/>
      <c r="BE1194" s="107"/>
      <c r="BF1194" s="107"/>
      <c r="BG1194" s="107"/>
      <c r="BH1194" s="107"/>
      <c r="BI1194" s="107"/>
      <c r="BJ1194" s="107"/>
      <c r="BK1194" s="107"/>
      <c r="BL1194" s="107"/>
      <c r="BM1194" s="107"/>
      <c r="BN1194" s="107"/>
      <c r="BO1194" s="107"/>
      <c r="BP1194" s="107"/>
      <c r="BQ1194" s="107"/>
      <c r="BR1194" s="107"/>
      <c r="BS1194" s="107"/>
      <c r="BT1194" s="107"/>
      <c r="BU1194" s="107"/>
      <c r="BV1194" s="107"/>
      <c r="BW1194" s="107"/>
      <c r="BX1194" s="107"/>
      <c r="BY1194" s="107"/>
      <c r="BZ1194" s="107"/>
      <c r="CA1194" s="107"/>
      <c r="CB1194" s="107"/>
      <c r="CC1194" s="107"/>
      <c r="CD1194" s="107"/>
      <c r="CE1194" s="107"/>
      <c r="CF1194" s="107"/>
      <c r="CG1194" s="107"/>
      <c r="CH1194" s="107"/>
      <c r="CI1194" s="107"/>
      <c r="CJ1194" s="107"/>
      <c r="CK1194" s="107"/>
      <c r="CL1194" s="107"/>
      <c r="CM1194" s="107"/>
      <c r="CN1194" s="118"/>
      <c r="CO1194" s="119"/>
      <c r="CP1194" s="118"/>
      <c r="CQ1194" s="119"/>
      <c r="CR1194" s="118"/>
      <c r="CS1194" s="119"/>
      <c r="CT1194" s="113"/>
      <c r="CU1194" s="118"/>
      <c r="CV1194" s="99">
        <f t="shared" si="113"/>
        <v>0</v>
      </c>
      <c r="CW1194" s="118"/>
      <c r="CX1194" s="119"/>
      <c r="CY1194" s="119"/>
      <c r="CZ1194" s="119"/>
      <c r="DA1194" s="118"/>
      <c r="DB1194" s="119"/>
      <c r="DC1194" s="111"/>
      <c r="DD1194" s="119"/>
      <c r="DE1194" s="111"/>
      <c r="DF1194" s="46"/>
    </row>
    <row r="1195" spans="1:110" s="42" customFormat="1" ht="36" x14ac:dyDescent="0.2">
      <c r="A1195" s="89">
        <v>40682</v>
      </c>
      <c r="B1195" s="106" t="s">
        <v>4344</v>
      </c>
      <c r="C1195" s="106" t="s">
        <v>4273</v>
      </c>
      <c r="D1195" s="90" t="s">
        <v>4264</v>
      </c>
      <c r="E1195" s="90" t="str">
        <f>VLOOKUP(B1195&amp;C1195,Divipola!$C$2:$F$1138,4,FALSE)</f>
        <v>25745</v>
      </c>
      <c r="F1195" s="90"/>
      <c r="G1195" s="129"/>
      <c r="H1195" s="129"/>
      <c r="I1195" s="129"/>
      <c r="J1195" s="129">
        <v>937</v>
      </c>
      <c r="K1195" s="129">
        <v>230</v>
      </c>
      <c r="L1195" s="129"/>
      <c r="M1195" s="129">
        <v>230</v>
      </c>
      <c r="N1195" s="129"/>
      <c r="O1195" s="129"/>
      <c r="P1195" s="129"/>
      <c r="Q1195" s="129"/>
      <c r="R1195" s="129"/>
      <c r="S1195" s="129"/>
      <c r="T1195" s="129"/>
      <c r="U1195" s="129"/>
      <c r="V1195" s="129"/>
      <c r="W1195" s="107" t="s">
        <v>3337</v>
      </c>
      <c r="X1195" s="105"/>
      <c r="Y1195" s="92">
        <f t="shared" si="114"/>
        <v>0</v>
      </c>
      <c r="Z1195" s="92">
        <f t="shared" si="115"/>
        <v>0</v>
      </c>
      <c r="AA1195" s="92">
        <f t="shared" si="116"/>
        <v>0</v>
      </c>
      <c r="AB1195" s="92">
        <f t="shared" si="117"/>
        <v>0</v>
      </c>
      <c r="AC1195" s="92"/>
      <c r="AD1195" s="92">
        <v>0</v>
      </c>
      <c r="AE1195" s="92">
        <f t="shared" si="118"/>
        <v>0</v>
      </c>
      <c r="AF1195" s="93">
        <v>0</v>
      </c>
      <c r="AG1195" s="105"/>
      <c r="AH1195" s="108"/>
      <c r="AI1195" s="109" t="s">
        <v>4346</v>
      </c>
      <c r="AJ1195" s="110" t="s">
        <v>4347</v>
      </c>
      <c r="AK1195" s="111"/>
      <c r="AL1195" s="105" t="s">
        <v>928</v>
      </c>
      <c r="AM1195" s="112" t="s">
        <v>361</v>
      </c>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c r="BJ1195" s="107"/>
      <c r="BK1195" s="107"/>
      <c r="BL1195" s="107"/>
      <c r="BM1195" s="107"/>
      <c r="BN1195" s="107"/>
      <c r="BO1195" s="107"/>
      <c r="BP1195" s="107"/>
      <c r="BQ1195" s="107"/>
      <c r="BR1195" s="107"/>
      <c r="BS1195" s="107"/>
      <c r="BT1195" s="107"/>
      <c r="BU1195" s="107"/>
      <c r="BV1195" s="107"/>
      <c r="BW1195" s="107"/>
      <c r="BX1195" s="107"/>
      <c r="BY1195" s="107"/>
      <c r="BZ1195" s="107"/>
      <c r="CA1195" s="107"/>
      <c r="CB1195" s="107"/>
      <c r="CC1195" s="107"/>
      <c r="CD1195" s="107"/>
      <c r="CE1195" s="107"/>
      <c r="CF1195" s="107"/>
      <c r="CG1195" s="107"/>
      <c r="CH1195" s="107"/>
      <c r="CI1195" s="107"/>
      <c r="CJ1195" s="107"/>
      <c r="CK1195" s="107"/>
      <c r="CL1195" s="107"/>
      <c r="CM1195" s="107"/>
      <c r="CN1195" s="118"/>
      <c r="CO1195" s="119"/>
      <c r="CP1195" s="118"/>
      <c r="CQ1195" s="119"/>
      <c r="CR1195" s="118"/>
      <c r="CS1195" s="119"/>
      <c r="CT1195" s="113"/>
      <c r="CU1195" s="118"/>
      <c r="CV1195" s="99">
        <f t="shared" si="113"/>
        <v>0</v>
      </c>
      <c r="CW1195" s="118"/>
      <c r="CX1195" s="119"/>
      <c r="CY1195" s="119"/>
      <c r="CZ1195" s="119"/>
      <c r="DA1195" s="118"/>
      <c r="DB1195" s="119"/>
      <c r="DC1195" s="111"/>
      <c r="DD1195" s="119"/>
      <c r="DE1195" s="111"/>
      <c r="DF1195" s="46"/>
    </row>
    <row r="1196" spans="1:110" s="42" customFormat="1" ht="56.25" x14ac:dyDescent="0.2">
      <c r="A1196" s="89">
        <v>40682</v>
      </c>
      <c r="B1196" s="106" t="s">
        <v>4344</v>
      </c>
      <c r="C1196" s="106" t="s">
        <v>4223</v>
      </c>
      <c r="D1196" s="90" t="s">
        <v>4264</v>
      </c>
      <c r="E1196" s="90" t="str">
        <f>VLOOKUP(B1196&amp;C1196,Divipola!$C$2:$F$1138,4,FALSE)</f>
        <v>25815</v>
      </c>
      <c r="F1196" s="90"/>
      <c r="G1196" s="129"/>
      <c r="H1196" s="129"/>
      <c r="I1196" s="129"/>
      <c r="J1196" s="129">
        <v>20</v>
      </c>
      <c r="K1196" s="129">
        <v>9</v>
      </c>
      <c r="L1196" s="129">
        <v>2</v>
      </c>
      <c r="M1196" s="129">
        <v>7</v>
      </c>
      <c r="N1196" s="129"/>
      <c r="O1196" s="129"/>
      <c r="P1196" s="129"/>
      <c r="Q1196" s="129"/>
      <c r="R1196" s="129"/>
      <c r="S1196" s="129"/>
      <c r="T1196" s="129"/>
      <c r="U1196" s="129"/>
      <c r="V1196" s="129"/>
      <c r="W1196" s="107" t="s">
        <v>359</v>
      </c>
      <c r="X1196" s="105"/>
      <c r="Y1196" s="92">
        <f t="shared" si="114"/>
        <v>0</v>
      </c>
      <c r="Z1196" s="92">
        <f t="shared" si="115"/>
        <v>0</v>
      </c>
      <c r="AA1196" s="92">
        <f t="shared" si="116"/>
        <v>0</v>
      </c>
      <c r="AB1196" s="92">
        <f t="shared" si="117"/>
        <v>0</v>
      </c>
      <c r="AC1196" s="92"/>
      <c r="AD1196" s="92">
        <v>0</v>
      </c>
      <c r="AE1196" s="92">
        <f t="shared" si="118"/>
        <v>0</v>
      </c>
      <c r="AF1196" s="93">
        <v>0</v>
      </c>
      <c r="AG1196" s="105"/>
      <c r="AH1196" s="108"/>
      <c r="AI1196" s="109" t="s">
        <v>4346</v>
      </c>
      <c r="AJ1196" s="110" t="s">
        <v>4347</v>
      </c>
      <c r="AK1196" s="111"/>
      <c r="AL1196" s="105" t="s">
        <v>928</v>
      </c>
      <c r="AM1196" s="112" t="s">
        <v>362</v>
      </c>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c r="BJ1196" s="107"/>
      <c r="BK1196" s="107"/>
      <c r="BL1196" s="107"/>
      <c r="BM1196" s="107"/>
      <c r="BN1196" s="107"/>
      <c r="BO1196" s="107"/>
      <c r="BP1196" s="107"/>
      <c r="BQ1196" s="107"/>
      <c r="BR1196" s="107"/>
      <c r="BS1196" s="107"/>
      <c r="BT1196" s="107"/>
      <c r="BU1196" s="107"/>
      <c r="BV1196" s="107"/>
      <c r="BW1196" s="107"/>
      <c r="BX1196" s="107"/>
      <c r="BY1196" s="107"/>
      <c r="BZ1196" s="107"/>
      <c r="CA1196" s="107"/>
      <c r="CB1196" s="107"/>
      <c r="CC1196" s="107"/>
      <c r="CD1196" s="107"/>
      <c r="CE1196" s="107"/>
      <c r="CF1196" s="107"/>
      <c r="CG1196" s="107"/>
      <c r="CH1196" s="107"/>
      <c r="CI1196" s="107"/>
      <c r="CJ1196" s="107"/>
      <c r="CK1196" s="107"/>
      <c r="CL1196" s="107"/>
      <c r="CM1196" s="107"/>
      <c r="CN1196" s="118"/>
      <c r="CO1196" s="119"/>
      <c r="CP1196" s="118"/>
      <c r="CQ1196" s="119"/>
      <c r="CR1196" s="118"/>
      <c r="CS1196" s="119"/>
      <c r="CT1196" s="113"/>
      <c r="CU1196" s="118"/>
      <c r="CV1196" s="99">
        <f t="shared" si="113"/>
        <v>0</v>
      </c>
      <c r="CW1196" s="118"/>
      <c r="CX1196" s="119"/>
      <c r="CY1196" s="119"/>
      <c r="CZ1196" s="119"/>
      <c r="DA1196" s="118"/>
      <c r="DB1196" s="119"/>
      <c r="DC1196" s="111"/>
      <c r="DD1196" s="119"/>
      <c r="DE1196" s="111"/>
      <c r="DF1196" s="46"/>
    </row>
    <row r="1197" spans="1:110" s="42" customFormat="1" ht="48" x14ac:dyDescent="0.2">
      <c r="A1197" s="89">
        <v>40682</v>
      </c>
      <c r="B1197" s="106" t="s">
        <v>860</v>
      </c>
      <c r="C1197" s="106" t="s">
        <v>4345</v>
      </c>
      <c r="D1197" s="90" t="s">
        <v>4264</v>
      </c>
      <c r="E1197" s="90">
        <f>VLOOKUP(B1197&amp;C1197,Divipola!$C$2:$F$1138,4,FALSE)</f>
        <v>50</v>
      </c>
      <c r="F1197" s="90"/>
      <c r="G1197" s="129"/>
      <c r="H1197" s="129"/>
      <c r="I1197" s="129"/>
      <c r="J1197" s="129"/>
      <c r="K1197" s="129"/>
      <c r="L1197" s="129"/>
      <c r="M1197" s="129"/>
      <c r="N1197" s="129"/>
      <c r="O1197" s="129"/>
      <c r="P1197" s="129"/>
      <c r="Q1197" s="129"/>
      <c r="R1197" s="129"/>
      <c r="S1197" s="129"/>
      <c r="T1197" s="129"/>
      <c r="U1197" s="129"/>
      <c r="V1197" s="129"/>
      <c r="W1197" s="107"/>
      <c r="X1197" s="105"/>
      <c r="Y1197" s="92">
        <f t="shared" si="114"/>
        <v>427277498.88</v>
      </c>
      <c r="Z1197" s="92">
        <f t="shared" si="115"/>
        <v>225760000</v>
      </c>
      <c r="AA1197" s="92">
        <f t="shared" si="116"/>
        <v>167500000</v>
      </c>
      <c r="AB1197" s="92">
        <f t="shared" si="117"/>
        <v>0</v>
      </c>
      <c r="AC1197" s="92">
        <v>14400000</v>
      </c>
      <c r="AD1197" s="5">
        <v>0</v>
      </c>
      <c r="AE1197" s="92">
        <f t="shared" si="118"/>
        <v>834937498.88</v>
      </c>
      <c r="AF1197" s="93">
        <v>0</v>
      </c>
      <c r="AG1197" s="105"/>
      <c r="AH1197" s="108"/>
      <c r="AI1197" s="102" t="s">
        <v>4346</v>
      </c>
      <c r="AJ1197" s="96" t="s">
        <v>4347</v>
      </c>
      <c r="AK1197" s="111"/>
      <c r="AL1197" s="105" t="s">
        <v>2823</v>
      </c>
      <c r="AM1197" s="112" t="s">
        <v>4131</v>
      </c>
      <c r="AN1197" s="107"/>
      <c r="AO1197" s="107"/>
      <c r="AP1197" s="107"/>
      <c r="AQ1197" s="107"/>
      <c r="AR1197" s="107"/>
      <c r="AS1197" s="107"/>
      <c r="AT1197" s="107"/>
      <c r="AU1197" s="107"/>
      <c r="AV1197" s="107"/>
      <c r="AW1197" s="107"/>
      <c r="AX1197" s="107">
        <v>100</v>
      </c>
      <c r="AY1197" s="107">
        <f>10*400000+70*450000+20*600000</f>
        <v>47500000</v>
      </c>
      <c r="AZ1197" s="107">
        <v>1000</v>
      </c>
      <c r="BA1197" s="107">
        <f>1000*56000</f>
        <v>56000000</v>
      </c>
      <c r="BB1197" s="107"/>
      <c r="BC1197" s="107"/>
      <c r="BD1197" s="107"/>
      <c r="BE1197" s="107"/>
      <c r="BF1197" s="107"/>
      <c r="BG1197" s="107"/>
      <c r="BH1197" s="107"/>
      <c r="BI1197" s="107"/>
      <c r="BJ1197" s="107"/>
      <c r="BK1197" s="107"/>
      <c r="BL1197" s="107"/>
      <c r="BM1197" s="107"/>
      <c r="BN1197" s="107"/>
      <c r="BO1197" s="107"/>
      <c r="BP1197" s="107"/>
      <c r="BQ1197" s="107"/>
      <c r="BR1197" s="107"/>
      <c r="BS1197" s="107"/>
      <c r="BT1197" s="107"/>
      <c r="BU1197" s="107"/>
      <c r="BV1197" s="107"/>
      <c r="BW1197" s="107"/>
      <c r="BX1197" s="107"/>
      <c r="BY1197" s="107"/>
      <c r="BZ1197" s="107">
        <v>30</v>
      </c>
      <c r="CA1197" s="107">
        <f>30*500000</f>
        <v>15000000</v>
      </c>
      <c r="CB1197" s="107"/>
      <c r="CC1197" s="107"/>
      <c r="CD1197" s="107"/>
      <c r="CE1197" s="107"/>
      <c r="CF1197" s="107"/>
      <c r="CG1197" s="107"/>
      <c r="CH1197" s="107"/>
      <c r="CI1197" s="107"/>
      <c r="CJ1197" s="107">
        <v>5000</v>
      </c>
      <c r="CK1197" s="107">
        <f>2500*21000+2500*20996</f>
        <v>104990000</v>
      </c>
      <c r="CL1197" s="107"/>
      <c r="CM1197" s="107"/>
      <c r="CN1197" s="118"/>
      <c r="CO1197" s="119"/>
      <c r="CP1197" s="118">
        <v>2658</v>
      </c>
      <c r="CQ1197" s="119">
        <f>2658*36999.36</f>
        <v>98344298.879999995</v>
      </c>
      <c r="CR1197" s="118">
        <v>2656</v>
      </c>
      <c r="CS1197" s="119">
        <f>2656*39700</f>
        <v>105443200</v>
      </c>
      <c r="CT1197" s="113"/>
      <c r="CU1197" s="118"/>
      <c r="CV1197" s="99">
        <f t="shared" si="113"/>
        <v>427277498.88</v>
      </c>
      <c r="CW1197" s="118"/>
      <c r="CX1197" s="119"/>
      <c r="CY1197" s="119">
        <v>2656</v>
      </c>
      <c r="CZ1197" s="119">
        <f>2656*85000</f>
        <v>225760000</v>
      </c>
      <c r="DA1197" s="118"/>
      <c r="DB1197" s="119"/>
      <c r="DC1197" s="111">
        <v>5000</v>
      </c>
      <c r="DD1197" s="119">
        <f>5000*33500</f>
        <v>167500000</v>
      </c>
      <c r="DE1197" s="111"/>
      <c r="DF1197" s="46"/>
    </row>
    <row r="1198" spans="1:110" s="42" customFormat="1" ht="84" x14ac:dyDescent="0.2">
      <c r="A1198" s="89">
        <v>40682</v>
      </c>
      <c r="B1198" s="106" t="s">
        <v>860</v>
      </c>
      <c r="C1198" s="106" t="s">
        <v>861</v>
      </c>
      <c r="D1198" s="90" t="s">
        <v>4264</v>
      </c>
      <c r="E1198" s="90" t="str">
        <f>VLOOKUP(B1198&amp;C1198,Divipola!$C$2:$F$1138,4,FALSE)</f>
        <v>50251</v>
      </c>
      <c r="F1198" s="90"/>
      <c r="G1198" s="129"/>
      <c r="H1198" s="129"/>
      <c r="I1198" s="129"/>
      <c r="J1198" s="129">
        <v>2500</v>
      </c>
      <c r="K1198" s="129">
        <v>500</v>
      </c>
      <c r="L1198" s="129"/>
      <c r="M1198" s="129">
        <v>500</v>
      </c>
      <c r="N1198" s="129"/>
      <c r="O1198" s="129"/>
      <c r="P1198" s="129"/>
      <c r="Q1198" s="129"/>
      <c r="R1198" s="129"/>
      <c r="S1198" s="129"/>
      <c r="T1198" s="129"/>
      <c r="U1198" s="129"/>
      <c r="V1198" s="129"/>
      <c r="W1198" s="107"/>
      <c r="X1198" s="105"/>
      <c r="Y1198" s="92">
        <f t="shared" si="114"/>
        <v>0</v>
      </c>
      <c r="Z1198" s="92">
        <f t="shared" si="115"/>
        <v>0</v>
      </c>
      <c r="AA1198" s="92">
        <f t="shared" si="116"/>
        <v>0</v>
      </c>
      <c r="AB1198" s="92">
        <f t="shared" si="117"/>
        <v>0</v>
      </c>
      <c r="AC1198" s="92"/>
      <c r="AD1198" s="92">
        <v>0</v>
      </c>
      <c r="AE1198" s="92">
        <f t="shared" si="118"/>
        <v>0</v>
      </c>
      <c r="AF1198" s="93">
        <v>0</v>
      </c>
      <c r="AG1198" s="105"/>
      <c r="AH1198" s="108"/>
      <c r="AI1198" s="102" t="s">
        <v>4346</v>
      </c>
      <c r="AJ1198" s="96" t="s">
        <v>4347</v>
      </c>
      <c r="AK1198" s="111"/>
      <c r="AL1198" s="105" t="s">
        <v>2823</v>
      </c>
      <c r="AM1198" s="112" t="s">
        <v>2689</v>
      </c>
      <c r="AN1198" s="107"/>
      <c r="AO1198" s="107"/>
      <c r="AP1198" s="107"/>
      <c r="AQ1198" s="107"/>
      <c r="AR1198" s="107"/>
      <c r="AS1198" s="107"/>
      <c r="AT1198" s="107"/>
      <c r="AU1198" s="107"/>
      <c r="AV1198" s="107"/>
      <c r="AW1198" s="107"/>
      <c r="AX1198" s="107"/>
      <c r="AY1198" s="107"/>
      <c r="AZ1198" s="107"/>
      <c r="BA1198" s="107"/>
      <c r="BB1198" s="107"/>
      <c r="BC1198" s="107"/>
      <c r="BD1198" s="107"/>
      <c r="BE1198" s="107"/>
      <c r="BF1198" s="107"/>
      <c r="BG1198" s="107"/>
      <c r="BH1198" s="107"/>
      <c r="BI1198" s="107"/>
      <c r="BJ1198" s="107"/>
      <c r="BK1198" s="107"/>
      <c r="BL1198" s="107"/>
      <c r="BM1198" s="107"/>
      <c r="BN1198" s="107"/>
      <c r="BO1198" s="107"/>
      <c r="BP1198" s="107"/>
      <c r="BQ1198" s="107"/>
      <c r="BR1198" s="107"/>
      <c r="BS1198" s="107"/>
      <c r="BT1198" s="107"/>
      <c r="BU1198" s="107"/>
      <c r="BV1198" s="107"/>
      <c r="BW1198" s="107"/>
      <c r="BX1198" s="107"/>
      <c r="BY1198" s="107"/>
      <c r="BZ1198" s="107"/>
      <c r="CA1198" s="107"/>
      <c r="CB1198" s="107"/>
      <c r="CC1198" s="107"/>
      <c r="CD1198" s="107"/>
      <c r="CE1198" s="107"/>
      <c r="CF1198" s="107"/>
      <c r="CG1198" s="107"/>
      <c r="CH1198" s="107"/>
      <c r="CI1198" s="107"/>
      <c r="CJ1198" s="107"/>
      <c r="CK1198" s="107"/>
      <c r="CL1198" s="107"/>
      <c r="CM1198" s="107"/>
      <c r="CN1198" s="118"/>
      <c r="CO1198" s="119"/>
      <c r="CP1198" s="118"/>
      <c r="CQ1198" s="119"/>
      <c r="CR1198" s="118"/>
      <c r="CS1198" s="119"/>
      <c r="CT1198" s="113"/>
      <c r="CU1198" s="118"/>
      <c r="CV1198" s="99">
        <f t="shared" si="113"/>
        <v>0</v>
      </c>
      <c r="CW1198" s="118"/>
      <c r="CX1198" s="119"/>
      <c r="CY1198" s="119"/>
      <c r="CZ1198" s="119"/>
      <c r="DA1198" s="118"/>
      <c r="DB1198" s="119"/>
      <c r="DC1198" s="111"/>
      <c r="DD1198" s="119"/>
      <c r="DE1198" s="111"/>
      <c r="DF1198" s="46"/>
    </row>
    <row r="1199" spans="1:110" s="42" customFormat="1" x14ac:dyDescent="0.2">
      <c r="A1199" s="89">
        <v>40683</v>
      </c>
      <c r="B1199" s="106" t="s">
        <v>4352</v>
      </c>
      <c r="C1199" s="106" t="s">
        <v>4329</v>
      </c>
      <c r="D1199" s="90" t="s">
        <v>4264</v>
      </c>
      <c r="E1199" s="90" t="str">
        <f>VLOOKUP(B1199&amp;C1199,Divipola!$C$2:$F$1138,4,FALSE)</f>
        <v>13430</v>
      </c>
      <c r="F1199" s="90"/>
      <c r="G1199" s="129"/>
      <c r="H1199" s="129"/>
      <c r="I1199" s="129"/>
      <c r="J1199" s="129"/>
      <c r="K1199" s="129"/>
      <c r="L1199" s="129"/>
      <c r="M1199" s="129"/>
      <c r="N1199" s="129"/>
      <c r="O1199" s="129"/>
      <c r="P1199" s="129"/>
      <c r="Q1199" s="129"/>
      <c r="R1199" s="129"/>
      <c r="S1199" s="129"/>
      <c r="T1199" s="129"/>
      <c r="U1199" s="129"/>
      <c r="V1199" s="129"/>
      <c r="W1199" s="107"/>
      <c r="X1199" s="105"/>
      <c r="Y1199" s="92">
        <f t="shared" si="114"/>
        <v>111000000</v>
      </c>
      <c r="Z1199" s="92">
        <f t="shared" si="115"/>
        <v>255000000</v>
      </c>
      <c r="AA1199" s="92">
        <f t="shared" si="116"/>
        <v>0</v>
      </c>
      <c r="AB1199" s="92">
        <f t="shared" si="117"/>
        <v>0</v>
      </c>
      <c r="AC1199" s="92"/>
      <c r="AD1199" s="92">
        <v>0</v>
      </c>
      <c r="AE1199" s="92">
        <f t="shared" si="118"/>
        <v>366000000</v>
      </c>
      <c r="AF1199" s="93">
        <v>0</v>
      </c>
      <c r="AG1199" s="105"/>
      <c r="AH1199" s="108"/>
      <c r="AI1199" s="95" t="s">
        <v>4346</v>
      </c>
      <c r="AJ1199" s="96" t="s">
        <v>4347</v>
      </c>
      <c r="AK1199" s="111"/>
      <c r="AL1199" s="105"/>
      <c r="AM1199" s="112" t="s">
        <v>3530</v>
      </c>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c r="BJ1199" s="107"/>
      <c r="BK1199" s="107"/>
      <c r="BL1199" s="107"/>
      <c r="BM1199" s="107"/>
      <c r="BN1199" s="107"/>
      <c r="BO1199" s="107"/>
      <c r="BP1199" s="107"/>
      <c r="BQ1199" s="107"/>
      <c r="BR1199" s="107"/>
      <c r="BS1199" s="107"/>
      <c r="BT1199" s="107"/>
      <c r="BU1199" s="107"/>
      <c r="BV1199" s="107"/>
      <c r="BW1199" s="107"/>
      <c r="BX1199" s="107"/>
      <c r="BY1199" s="107"/>
      <c r="BZ1199" s="107"/>
      <c r="CA1199" s="107"/>
      <c r="CB1199" s="107"/>
      <c r="CC1199" s="107"/>
      <c r="CD1199" s="107"/>
      <c r="CE1199" s="107"/>
      <c r="CF1199" s="107"/>
      <c r="CG1199" s="107"/>
      <c r="CH1199" s="107"/>
      <c r="CI1199" s="107"/>
      <c r="CJ1199" s="107"/>
      <c r="CK1199" s="107"/>
      <c r="CL1199" s="107"/>
      <c r="CM1199" s="107"/>
      <c r="CN1199" s="118"/>
      <c r="CO1199" s="119"/>
      <c r="CP1199" s="114">
        <v>3000</v>
      </c>
      <c r="CQ1199" s="115">
        <f>3000*37000</f>
        <v>111000000</v>
      </c>
      <c r="CR1199" s="118"/>
      <c r="CS1199" s="119"/>
      <c r="CT1199" s="113"/>
      <c r="CU1199" s="118"/>
      <c r="CV1199" s="99">
        <f t="shared" si="113"/>
        <v>111000000</v>
      </c>
      <c r="CW1199" s="118"/>
      <c r="CX1199" s="119"/>
      <c r="CY1199" s="114">
        <v>3000</v>
      </c>
      <c r="CZ1199" s="115">
        <f>3000*85000</f>
        <v>255000000</v>
      </c>
      <c r="DA1199" s="118"/>
      <c r="DB1199" s="119"/>
      <c r="DC1199" s="111"/>
      <c r="DD1199" s="119"/>
      <c r="DE1199" s="111"/>
      <c r="DF1199" s="46"/>
    </row>
    <row r="1200" spans="1:110" s="42" customFormat="1" ht="22.5" x14ac:dyDescent="0.2">
      <c r="A1200" s="89">
        <v>40683</v>
      </c>
      <c r="B1200" s="106" t="s">
        <v>4352</v>
      </c>
      <c r="C1200" s="106" t="s">
        <v>2552</v>
      </c>
      <c r="D1200" s="90" t="s">
        <v>4264</v>
      </c>
      <c r="E1200" s="90" t="str">
        <f>VLOOKUP(B1200&amp;C1200,Divipola!$C$2:$F$1138,4,FALSE)</f>
        <v>13688</v>
      </c>
      <c r="F1200" s="90"/>
      <c r="G1200" s="129"/>
      <c r="H1200" s="129"/>
      <c r="I1200" s="129"/>
      <c r="J1200" s="129"/>
      <c r="K1200" s="129"/>
      <c r="L1200" s="129"/>
      <c r="M1200" s="129"/>
      <c r="N1200" s="129"/>
      <c r="O1200" s="129"/>
      <c r="P1200" s="129"/>
      <c r="Q1200" s="129"/>
      <c r="R1200" s="129"/>
      <c r="S1200" s="129"/>
      <c r="T1200" s="129"/>
      <c r="U1200" s="129"/>
      <c r="V1200" s="129"/>
      <c r="W1200" s="107"/>
      <c r="X1200" s="105"/>
      <c r="Y1200" s="92">
        <f t="shared" si="114"/>
        <v>56277000</v>
      </c>
      <c r="Z1200" s="92">
        <f t="shared" si="115"/>
        <v>129285000</v>
      </c>
      <c r="AA1200" s="92">
        <f t="shared" si="116"/>
        <v>0</v>
      </c>
      <c r="AB1200" s="92">
        <f t="shared" si="117"/>
        <v>0</v>
      </c>
      <c r="AC1200" s="92"/>
      <c r="AD1200" s="92">
        <v>0</v>
      </c>
      <c r="AE1200" s="92">
        <f t="shared" si="118"/>
        <v>185562000</v>
      </c>
      <c r="AF1200" s="93">
        <v>0</v>
      </c>
      <c r="AG1200" s="105"/>
      <c r="AH1200" s="108"/>
      <c r="AI1200" s="109" t="s">
        <v>4346</v>
      </c>
      <c r="AJ1200" s="110" t="s">
        <v>4347</v>
      </c>
      <c r="AK1200" s="111"/>
      <c r="AL1200" s="105"/>
      <c r="AM1200" s="112" t="s">
        <v>3530</v>
      </c>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c r="BJ1200" s="107"/>
      <c r="BK1200" s="107"/>
      <c r="BL1200" s="107"/>
      <c r="BM1200" s="107"/>
      <c r="BN1200" s="107"/>
      <c r="BO1200" s="107"/>
      <c r="BP1200" s="107"/>
      <c r="BQ1200" s="107"/>
      <c r="BR1200" s="107"/>
      <c r="BS1200" s="107"/>
      <c r="BT1200" s="107"/>
      <c r="BU1200" s="107"/>
      <c r="BV1200" s="107"/>
      <c r="BW1200" s="107"/>
      <c r="BX1200" s="107"/>
      <c r="BY1200" s="107"/>
      <c r="BZ1200" s="107"/>
      <c r="CA1200" s="107"/>
      <c r="CB1200" s="107"/>
      <c r="CC1200" s="107"/>
      <c r="CD1200" s="107"/>
      <c r="CE1200" s="107"/>
      <c r="CF1200" s="107"/>
      <c r="CG1200" s="107"/>
      <c r="CH1200" s="107"/>
      <c r="CI1200" s="107"/>
      <c r="CJ1200" s="107"/>
      <c r="CK1200" s="107"/>
      <c r="CL1200" s="107"/>
      <c r="CM1200" s="107"/>
      <c r="CN1200" s="118"/>
      <c r="CO1200" s="119"/>
      <c r="CP1200" s="118">
        <v>1521</v>
      </c>
      <c r="CQ1200" s="119">
        <f>1521*37000</f>
        <v>56277000</v>
      </c>
      <c r="CR1200" s="118"/>
      <c r="CS1200" s="119"/>
      <c r="CT1200" s="113"/>
      <c r="CU1200" s="118"/>
      <c r="CV1200" s="99">
        <f t="shared" si="113"/>
        <v>56277000</v>
      </c>
      <c r="CW1200" s="118"/>
      <c r="CX1200" s="119"/>
      <c r="CY1200" s="119">
        <v>1521</v>
      </c>
      <c r="CZ1200" s="119">
        <f>1521*85000</f>
        <v>129285000</v>
      </c>
      <c r="DA1200" s="118"/>
      <c r="DB1200" s="119"/>
      <c r="DC1200" s="111"/>
      <c r="DD1200" s="119"/>
      <c r="DE1200" s="111"/>
      <c r="DF1200" s="46"/>
    </row>
    <row r="1201" spans="1:110" s="42" customFormat="1" ht="36" x14ac:dyDescent="0.2">
      <c r="A1201" s="89">
        <v>40683</v>
      </c>
      <c r="B1201" s="106" t="s">
        <v>4261</v>
      </c>
      <c r="C1201" s="106" t="s">
        <v>2620</v>
      </c>
      <c r="D1201" s="90" t="s">
        <v>4264</v>
      </c>
      <c r="E1201" s="90" t="str">
        <f>VLOOKUP(B1201&amp;C1201,Divipola!$C$2:$F$1138,4,FALSE)</f>
        <v>15183</v>
      </c>
      <c r="F1201" s="90"/>
      <c r="G1201" s="129"/>
      <c r="H1201" s="129"/>
      <c r="I1201" s="129"/>
      <c r="J1201" s="129">
        <v>540</v>
      </c>
      <c r="K1201" s="129">
        <v>108</v>
      </c>
      <c r="L1201" s="129"/>
      <c r="M1201" s="129">
        <v>108</v>
      </c>
      <c r="N1201" s="129">
        <v>3</v>
      </c>
      <c r="O1201" s="129"/>
      <c r="P1201" s="129"/>
      <c r="Q1201" s="129"/>
      <c r="R1201" s="129"/>
      <c r="S1201" s="129"/>
      <c r="T1201" s="129"/>
      <c r="U1201" s="129"/>
      <c r="V1201" s="129"/>
      <c r="W1201" s="107"/>
      <c r="X1201" s="105"/>
      <c r="Y1201" s="92">
        <f t="shared" si="114"/>
        <v>0</v>
      </c>
      <c r="Z1201" s="92">
        <f t="shared" si="115"/>
        <v>0</v>
      </c>
      <c r="AA1201" s="92">
        <f t="shared" si="116"/>
        <v>0</v>
      </c>
      <c r="AB1201" s="92">
        <f t="shared" si="117"/>
        <v>0</v>
      </c>
      <c r="AC1201" s="92"/>
      <c r="AD1201" s="92">
        <v>30000000</v>
      </c>
      <c r="AE1201" s="92">
        <f t="shared" si="118"/>
        <v>30000000</v>
      </c>
      <c r="AF1201" s="93">
        <v>0</v>
      </c>
      <c r="AG1201" s="105"/>
      <c r="AH1201" s="108"/>
      <c r="AI1201" s="109" t="s">
        <v>4346</v>
      </c>
      <c r="AJ1201" s="110" t="s">
        <v>4347</v>
      </c>
      <c r="AK1201" s="111"/>
      <c r="AL1201" s="105"/>
      <c r="AM1201" s="112" t="s">
        <v>924</v>
      </c>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c r="BJ1201" s="107"/>
      <c r="BK1201" s="107"/>
      <c r="BL1201" s="107"/>
      <c r="BM1201" s="107"/>
      <c r="BN1201" s="107"/>
      <c r="BO1201" s="107"/>
      <c r="BP1201" s="107"/>
      <c r="BQ1201" s="107"/>
      <c r="BR1201" s="107"/>
      <c r="BS1201" s="107"/>
      <c r="BT1201" s="107"/>
      <c r="BU1201" s="107"/>
      <c r="BV1201" s="107"/>
      <c r="BW1201" s="107"/>
      <c r="BX1201" s="107"/>
      <c r="BY1201" s="107"/>
      <c r="BZ1201" s="107"/>
      <c r="CA1201" s="107"/>
      <c r="CB1201" s="107"/>
      <c r="CC1201" s="107"/>
      <c r="CD1201" s="107"/>
      <c r="CE1201" s="107"/>
      <c r="CF1201" s="107"/>
      <c r="CG1201" s="107"/>
      <c r="CH1201" s="107"/>
      <c r="CI1201" s="107"/>
      <c r="CJ1201" s="107"/>
      <c r="CK1201" s="107"/>
      <c r="CL1201" s="107"/>
      <c r="CM1201" s="107"/>
      <c r="CN1201" s="118"/>
      <c r="CO1201" s="119"/>
      <c r="CP1201" s="118"/>
      <c r="CQ1201" s="119"/>
      <c r="CR1201" s="118"/>
      <c r="CS1201" s="119"/>
      <c r="CT1201" s="113"/>
      <c r="CU1201" s="118"/>
      <c r="CV1201" s="99">
        <f t="shared" si="113"/>
        <v>0</v>
      </c>
      <c r="CW1201" s="118"/>
      <c r="CX1201" s="119"/>
      <c r="CY1201" s="119"/>
      <c r="CZ1201" s="119"/>
      <c r="DA1201" s="118"/>
      <c r="DB1201" s="119"/>
      <c r="DC1201" s="111"/>
      <c r="DD1201" s="119"/>
      <c r="DE1201" s="111"/>
      <c r="DF1201" s="46"/>
    </row>
    <row r="1202" spans="1:110" s="42" customFormat="1" ht="60" x14ac:dyDescent="0.2">
      <c r="A1202" s="89">
        <v>40683</v>
      </c>
      <c r="B1202" s="106" t="s">
        <v>4261</v>
      </c>
      <c r="C1202" s="106" t="s">
        <v>4345</v>
      </c>
      <c r="D1202" s="90" t="s">
        <v>4264</v>
      </c>
      <c r="E1202" s="90">
        <f>VLOOKUP(B1202&amp;C1202,Divipola!$C$2:$F$1138,4,FALSE)</f>
        <v>15</v>
      </c>
      <c r="F1202" s="90"/>
      <c r="G1202" s="129"/>
      <c r="H1202" s="129"/>
      <c r="I1202" s="129"/>
      <c r="J1202" s="129"/>
      <c r="K1202" s="129"/>
      <c r="L1202" s="129"/>
      <c r="M1202" s="129"/>
      <c r="N1202" s="129"/>
      <c r="O1202" s="129"/>
      <c r="P1202" s="129"/>
      <c r="Q1202" s="129"/>
      <c r="R1202" s="129"/>
      <c r="S1202" s="129"/>
      <c r="T1202" s="129"/>
      <c r="U1202" s="129"/>
      <c r="V1202" s="129"/>
      <c r="W1202" s="107"/>
      <c r="X1202" s="105"/>
      <c r="Y1202" s="92">
        <f t="shared" si="114"/>
        <v>0</v>
      </c>
      <c r="Z1202" s="92">
        <f t="shared" si="115"/>
        <v>0</v>
      </c>
      <c r="AA1202" s="92">
        <f t="shared" si="116"/>
        <v>0</v>
      </c>
      <c r="AB1202" s="92">
        <f t="shared" si="117"/>
        <v>0</v>
      </c>
      <c r="AC1202" s="92">
        <f>10*265524+120*80625+4*67280+139432+2*59334+2*44324</f>
        <v>12946108</v>
      </c>
      <c r="AD1202" s="92">
        <v>0</v>
      </c>
      <c r="AE1202" s="92">
        <f t="shared" si="118"/>
        <v>12946108</v>
      </c>
      <c r="AF1202" s="93">
        <v>0</v>
      </c>
      <c r="AG1202" s="105"/>
      <c r="AH1202" s="108"/>
      <c r="AI1202" s="109" t="s">
        <v>4346</v>
      </c>
      <c r="AJ1202" s="110" t="s">
        <v>4347</v>
      </c>
      <c r="AK1202" s="111"/>
      <c r="AL1202" s="105"/>
      <c r="AM1202" s="130" t="s">
        <v>2845</v>
      </c>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7"/>
      <c r="BL1202" s="107"/>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7"/>
      <c r="CG1202" s="107"/>
      <c r="CH1202" s="107"/>
      <c r="CI1202" s="107"/>
      <c r="CJ1202" s="107"/>
      <c r="CK1202" s="107"/>
      <c r="CL1202" s="107"/>
      <c r="CM1202" s="107"/>
      <c r="CN1202" s="118"/>
      <c r="CO1202" s="119"/>
      <c r="CP1202" s="118"/>
      <c r="CQ1202" s="119"/>
      <c r="CR1202" s="118"/>
      <c r="CS1202" s="119"/>
      <c r="CT1202" s="113"/>
      <c r="CU1202" s="118"/>
      <c r="CV1202" s="99">
        <f t="shared" si="113"/>
        <v>0</v>
      </c>
      <c r="CW1202" s="118"/>
      <c r="CX1202" s="119"/>
      <c r="CY1202" s="119"/>
      <c r="CZ1202" s="119"/>
      <c r="DA1202" s="118"/>
      <c r="DB1202" s="119"/>
      <c r="DC1202" s="111"/>
      <c r="DD1202" s="119"/>
      <c r="DE1202" s="111"/>
      <c r="DF1202" s="46"/>
    </row>
    <row r="1203" spans="1:110" s="42" customFormat="1" ht="36" x14ac:dyDescent="0.2">
      <c r="A1203" s="89">
        <v>40683</v>
      </c>
      <c r="B1203" s="90" t="s">
        <v>4261</v>
      </c>
      <c r="C1203" s="90" t="s">
        <v>2657</v>
      </c>
      <c r="D1203" s="90" t="s">
        <v>2362</v>
      </c>
      <c r="E1203" s="90" t="str">
        <f>VLOOKUP(B1203&amp;C1203,Divipola!$C$2:$F$1138,4,FALSE)</f>
        <v>15244</v>
      </c>
      <c r="F1203" s="4"/>
      <c r="G1203" s="274"/>
      <c r="H1203" s="274"/>
      <c r="I1203" s="274"/>
      <c r="J1203" s="101">
        <v>470</v>
      </c>
      <c r="K1203" s="101">
        <v>94</v>
      </c>
      <c r="L1203" s="101"/>
      <c r="M1203" s="101">
        <v>94</v>
      </c>
      <c r="N1203" s="208"/>
      <c r="O1203" s="208"/>
      <c r="P1203" s="208"/>
      <c r="Q1203" s="208"/>
      <c r="R1203" s="208"/>
      <c r="S1203" s="208"/>
      <c r="T1203" s="208"/>
      <c r="U1203" s="208"/>
      <c r="V1203" s="208"/>
      <c r="W1203" s="19"/>
      <c r="X1203" s="17"/>
      <c r="Y1203" s="5">
        <f t="shared" si="114"/>
        <v>0</v>
      </c>
      <c r="Z1203" s="5">
        <f t="shared" si="115"/>
        <v>0</v>
      </c>
      <c r="AA1203" s="5">
        <f t="shared" si="116"/>
        <v>0</v>
      </c>
      <c r="AB1203" s="5">
        <f t="shared" si="117"/>
        <v>0</v>
      </c>
      <c r="AC1203" s="5"/>
      <c r="AD1203" s="5">
        <v>0</v>
      </c>
      <c r="AE1203" s="5">
        <f t="shared" si="118"/>
        <v>0</v>
      </c>
      <c r="AF1203" s="70">
        <v>0</v>
      </c>
      <c r="AG1203" s="17"/>
      <c r="AH1203" s="18"/>
      <c r="AI1203" s="47" t="s">
        <v>4346</v>
      </c>
      <c r="AJ1203" s="73" t="s">
        <v>4347</v>
      </c>
      <c r="AK1203" s="275"/>
      <c r="AL1203" s="89" t="s">
        <v>2798</v>
      </c>
      <c r="AM1203" s="100" t="s">
        <v>1077</v>
      </c>
      <c r="AN1203" s="19"/>
      <c r="AO1203" s="19"/>
      <c r="AP1203" s="19"/>
      <c r="AQ1203" s="19"/>
      <c r="AR1203" s="19"/>
      <c r="AS1203" s="19"/>
      <c r="AT1203" s="19"/>
      <c r="AU1203" s="19"/>
      <c r="AV1203" s="19"/>
      <c r="AW1203" s="19"/>
      <c r="AX1203" s="107"/>
      <c r="AY1203" s="107"/>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19"/>
      <c r="BX1203" s="19"/>
      <c r="BY1203" s="19"/>
      <c r="BZ1203" s="19"/>
      <c r="CA1203" s="19"/>
      <c r="CB1203" s="19"/>
      <c r="CC1203" s="19"/>
      <c r="CD1203" s="19"/>
      <c r="CE1203" s="19"/>
      <c r="CF1203" s="19"/>
      <c r="CG1203" s="19"/>
      <c r="CH1203" s="19"/>
      <c r="CI1203" s="19"/>
      <c r="CJ1203" s="19"/>
      <c r="CK1203" s="19"/>
      <c r="CL1203" s="19"/>
      <c r="CM1203" s="19"/>
      <c r="CN1203" s="139"/>
      <c r="CO1203" s="138"/>
      <c r="CP1203" s="139"/>
      <c r="CQ1203" s="138"/>
      <c r="CR1203" s="139"/>
      <c r="CS1203" s="138"/>
      <c r="CT1203" s="72"/>
      <c r="CU1203" s="139"/>
      <c r="CV1203" s="99">
        <f t="shared" si="113"/>
        <v>0</v>
      </c>
      <c r="CW1203" s="139"/>
      <c r="CX1203" s="138"/>
      <c r="CY1203" s="138"/>
      <c r="CZ1203" s="138"/>
      <c r="DA1203" s="139"/>
      <c r="DB1203" s="138"/>
      <c r="DC1203" s="45"/>
      <c r="DD1203" s="138"/>
      <c r="DE1203" s="45"/>
      <c r="DF1203" s="46"/>
    </row>
    <row r="1204" spans="1:110" s="42" customFormat="1" ht="36" x14ac:dyDescent="0.2">
      <c r="A1204" s="89">
        <v>40683</v>
      </c>
      <c r="B1204" s="90" t="s">
        <v>4261</v>
      </c>
      <c r="C1204" s="90" t="s">
        <v>1280</v>
      </c>
      <c r="D1204" s="90" t="s">
        <v>4264</v>
      </c>
      <c r="E1204" s="90" t="str">
        <f>VLOOKUP(B1204&amp;C1204,Divipola!$C$2:$F$1138,4,FALSE)</f>
        <v>15667</v>
      </c>
      <c r="F1204" s="4"/>
      <c r="G1204" s="274"/>
      <c r="H1204" s="274"/>
      <c r="I1204" s="274"/>
      <c r="J1204" s="101">
        <v>165</v>
      </c>
      <c r="K1204" s="101">
        <v>33</v>
      </c>
      <c r="L1204" s="101"/>
      <c r="M1204" s="101">
        <v>33</v>
      </c>
      <c r="N1204" s="208"/>
      <c r="O1204" s="208"/>
      <c r="P1204" s="208"/>
      <c r="Q1204" s="208"/>
      <c r="R1204" s="208"/>
      <c r="S1204" s="208"/>
      <c r="T1204" s="208"/>
      <c r="U1204" s="208"/>
      <c r="V1204" s="208"/>
      <c r="W1204" s="19"/>
      <c r="X1204" s="17"/>
      <c r="Y1204" s="5">
        <f t="shared" si="114"/>
        <v>0</v>
      </c>
      <c r="Z1204" s="5">
        <f t="shared" si="115"/>
        <v>0</v>
      </c>
      <c r="AA1204" s="5">
        <f t="shared" si="116"/>
        <v>0</v>
      </c>
      <c r="AB1204" s="5">
        <f t="shared" si="117"/>
        <v>0</v>
      </c>
      <c r="AC1204" s="143">
        <f>120*435000</f>
        <v>52200000</v>
      </c>
      <c r="AD1204" s="5">
        <v>0</v>
      </c>
      <c r="AE1204" s="5">
        <f t="shared" si="118"/>
        <v>52200000</v>
      </c>
      <c r="AF1204" s="70">
        <v>0</v>
      </c>
      <c r="AG1204" s="17"/>
      <c r="AH1204" s="18"/>
      <c r="AI1204" s="47" t="s">
        <v>4346</v>
      </c>
      <c r="AJ1204" s="73" t="s">
        <v>4347</v>
      </c>
      <c r="AK1204" s="275"/>
      <c r="AL1204" s="89" t="s">
        <v>2798</v>
      </c>
      <c r="AM1204" s="100" t="s">
        <v>2292</v>
      </c>
      <c r="AN1204" s="19"/>
      <c r="AO1204" s="19"/>
      <c r="AP1204" s="19"/>
      <c r="AQ1204" s="19"/>
      <c r="AR1204" s="19"/>
      <c r="AS1204" s="19"/>
      <c r="AT1204" s="19"/>
      <c r="AU1204" s="19"/>
      <c r="AV1204" s="19"/>
      <c r="AW1204" s="19"/>
      <c r="AX1204" s="107"/>
      <c r="AY1204" s="107"/>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39"/>
      <c r="CO1204" s="138"/>
      <c r="CP1204" s="139"/>
      <c r="CQ1204" s="138"/>
      <c r="CR1204" s="139"/>
      <c r="CS1204" s="138"/>
      <c r="CT1204" s="72"/>
      <c r="CU1204" s="139"/>
      <c r="CV1204" s="99">
        <f t="shared" si="113"/>
        <v>0</v>
      </c>
      <c r="CW1204" s="139"/>
      <c r="CX1204" s="138"/>
      <c r="CY1204" s="138"/>
      <c r="CZ1204" s="138"/>
      <c r="DA1204" s="139"/>
      <c r="DB1204" s="138"/>
      <c r="DC1204" s="45"/>
      <c r="DD1204" s="138"/>
      <c r="DE1204" s="45"/>
      <c r="DF1204" s="46"/>
    </row>
    <row r="1205" spans="1:110" s="42" customFormat="1" ht="84" x14ac:dyDescent="0.2">
      <c r="A1205" s="89">
        <v>40683</v>
      </c>
      <c r="B1205" s="106" t="s">
        <v>4353</v>
      </c>
      <c r="C1205" s="106" t="s">
        <v>1972</v>
      </c>
      <c r="D1205" s="90" t="s">
        <v>4264</v>
      </c>
      <c r="E1205" s="90" t="str">
        <f>VLOOKUP(B1205&amp;C1205,Divipola!$C$2:$F$1138,4,FALSE)</f>
        <v>85315</v>
      </c>
      <c r="F1205" s="90"/>
      <c r="G1205" s="129">
        <v>1</v>
      </c>
      <c r="H1205" s="129"/>
      <c r="I1205" s="129">
        <v>1</v>
      </c>
      <c r="J1205" s="129"/>
      <c r="K1205" s="129"/>
      <c r="L1205" s="129"/>
      <c r="M1205" s="129"/>
      <c r="N1205" s="129"/>
      <c r="O1205" s="129"/>
      <c r="P1205" s="129"/>
      <c r="Q1205" s="129"/>
      <c r="R1205" s="129"/>
      <c r="S1205" s="129"/>
      <c r="T1205" s="129"/>
      <c r="U1205" s="129"/>
      <c r="V1205" s="129"/>
      <c r="W1205" s="107"/>
      <c r="X1205" s="105"/>
      <c r="Y1205" s="92">
        <f t="shared" si="114"/>
        <v>0</v>
      </c>
      <c r="Z1205" s="92">
        <f t="shared" si="115"/>
        <v>0</v>
      </c>
      <c r="AA1205" s="92">
        <f t="shared" si="116"/>
        <v>0</v>
      </c>
      <c r="AB1205" s="92">
        <f t="shared" si="117"/>
        <v>0</v>
      </c>
      <c r="AC1205" s="92"/>
      <c r="AD1205" s="92">
        <v>0</v>
      </c>
      <c r="AE1205" s="92">
        <f t="shared" si="118"/>
        <v>0</v>
      </c>
      <c r="AF1205" s="93">
        <v>0</v>
      </c>
      <c r="AG1205" s="105"/>
      <c r="AH1205" s="108"/>
      <c r="AI1205" s="109" t="s">
        <v>4336</v>
      </c>
      <c r="AJ1205" s="110" t="s">
        <v>4337</v>
      </c>
      <c r="AK1205" s="111"/>
      <c r="AL1205" s="105"/>
      <c r="AM1205" s="112" t="s">
        <v>4146</v>
      </c>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c r="BG1205" s="107"/>
      <c r="BH1205" s="107"/>
      <c r="BI1205" s="107"/>
      <c r="BJ1205" s="107"/>
      <c r="BK1205" s="107"/>
      <c r="BL1205" s="107"/>
      <c r="BM1205" s="107"/>
      <c r="BN1205" s="107"/>
      <c r="BO1205" s="107"/>
      <c r="BP1205" s="107"/>
      <c r="BQ1205" s="107"/>
      <c r="BR1205" s="107"/>
      <c r="BS1205" s="107"/>
      <c r="BT1205" s="107"/>
      <c r="BU1205" s="107"/>
      <c r="BV1205" s="107"/>
      <c r="BW1205" s="107"/>
      <c r="BX1205" s="107"/>
      <c r="BY1205" s="107"/>
      <c r="BZ1205" s="107"/>
      <c r="CA1205" s="107"/>
      <c r="CB1205" s="107"/>
      <c r="CC1205" s="107"/>
      <c r="CD1205" s="107"/>
      <c r="CE1205" s="107"/>
      <c r="CF1205" s="107"/>
      <c r="CG1205" s="107"/>
      <c r="CH1205" s="107"/>
      <c r="CI1205" s="107"/>
      <c r="CJ1205" s="107"/>
      <c r="CK1205" s="107"/>
      <c r="CL1205" s="118"/>
      <c r="CM1205" s="119"/>
      <c r="CN1205" s="118"/>
      <c r="CO1205" s="119"/>
      <c r="CP1205" s="118"/>
      <c r="CQ1205" s="119"/>
      <c r="CR1205" s="113"/>
      <c r="CS1205" s="118"/>
      <c r="CT1205" s="113"/>
      <c r="CU1205" s="118"/>
      <c r="CV1205" s="99">
        <f t="shared" si="113"/>
        <v>0</v>
      </c>
      <c r="CW1205" s="119"/>
      <c r="CX1205" s="119"/>
      <c r="CY1205" s="118"/>
      <c r="CZ1205" s="119"/>
      <c r="DA1205" s="111"/>
      <c r="DB1205" s="119"/>
      <c r="DC1205" s="111"/>
      <c r="DD1205" s="119"/>
      <c r="DE1205" s="111"/>
      <c r="DF1205" s="46"/>
    </row>
    <row r="1206" spans="1:110" s="42" customFormat="1" ht="48" x14ac:dyDescent="0.2">
      <c r="A1206" s="89">
        <v>40683</v>
      </c>
      <c r="B1206" s="106" t="s">
        <v>4344</v>
      </c>
      <c r="C1206" s="106" t="s">
        <v>4224</v>
      </c>
      <c r="D1206" s="90" t="s">
        <v>4264</v>
      </c>
      <c r="E1206" s="90" t="str">
        <f>VLOOKUP(B1206&amp;C1206,Divipola!$C$2:$F$1138,4,FALSE)</f>
        <v>25599</v>
      </c>
      <c r="F1206" s="90"/>
      <c r="G1206" s="129"/>
      <c r="H1206" s="129"/>
      <c r="I1206" s="129"/>
      <c r="J1206" s="129">
        <v>112</v>
      </c>
      <c r="K1206" s="129">
        <v>25</v>
      </c>
      <c r="L1206" s="129"/>
      <c r="M1206" s="129">
        <v>25</v>
      </c>
      <c r="N1206" s="129"/>
      <c r="O1206" s="129"/>
      <c r="P1206" s="129"/>
      <c r="Q1206" s="129"/>
      <c r="R1206" s="129"/>
      <c r="S1206" s="129">
        <v>1</v>
      </c>
      <c r="T1206" s="129">
        <v>1</v>
      </c>
      <c r="U1206" s="129"/>
      <c r="V1206" s="129"/>
      <c r="W1206" s="107"/>
      <c r="X1206" s="105"/>
      <c r="Y1206" s="92">
        <f t="shared" si="114"/>
        <v>0</v>
      </c>
      <c r="Z1206" s="92">
        <f t="shared" si="115"/>
        <v>0</v>
      </c>
      <c r="AA1206" s="92">
        <f t="shared" si="116"/>
        <v>0</v>
      </c>
      <c r="AB1206" s="92">
        <f t="shared" si="117"/>
        <v>0</v>
      </c>
      <c r="AC1206" s="92"/>
      <c r="AD1206" s="92">
        <v>0</v>
      </c>
      <c r="AE1206" s="92">
        <f t="shared" si="118"/>
        <v>0</v>
      </c>
      <c r="AF1206" s="93">
        <v>0</v>
      </c>
      <c r="AG1206" s="105"/>
      <c r="AH1206" s="108"/>
      <c r="AI1206" s="109" t="s">
        <v>4346</v>
      </c>
      <c r="AJ1206" s="110" t="s">
        <v>4347</v>
      </c>
      <c r="AK1206" s="111"/>
      <c r="AL1206" s="105" t="s">
        <v>928</v>
      </c>
      <c r="AM1206" s="112" t="s">
        <v>363</v>
      </c>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c r="BJ1206" s="107"/>
      <c r="BK1206" s="107"/>
      <c r="BL1206" s="107"/>
      <c r="BM1206" s="107"/>
      <c r="BN1206" s="107"/>
      <c r="BO1206" s="107"/>
      <c r="BP1206" s="107"/>
      <c r="BQ1206" s="107"/>
      <c r="BR1206" s="107"/>
      <c r="BS1206" s="107"/>
      <c r="BT1206" s="107"/>
      <c r="BU1206" s="107"/>
      <c r="BV1206" s="107"/>
      <c r="BW1206" s="107"/>
      <c r="BX1206" s="107"/>
      <c r="BY1206" s="107"/>
      <c r="BZ1206" s="107"/>
      <c r="CA1206" s="107"/>
      <c r="CB1206" s="107"/>
      <c r="CC1206" s="107"/>
      <c r="CD1206" s="107"/>
      <c r="CE1206" s="107"/>
      <c r="CF1206" s="107"/>
      <c r="CG1206" s="107"/>
      <c r="CH1206" s="107"/>
      <c r="CI1206" s="107"/>
      <c r="CJ1206" s="107"/>
      <c r="CK1206" s="107"/>
      <c r="CL1206" s="107"/>
      <c r="CM1206" s="107"/>
      <c r="CN1206" s="118"/>
      <c r="CO1206" s="119"/>
      <c r="CP1206" s="118"/>
      <c r="CQ1206" s="119"/>
      <c r="CR1206" s="118"/>
      <c r="CS1206" s="119"/>
      <c r="CT1206" s="113"/>
      <c r="CU1206" s="118"/>
      <c r="CV1206" s="99">
        <f t="shared" si="113"/>
        <v>0</v>
      </c>
      <c r="CW1206" s="118"/>
      <c r="CX1206" s="119"/>
      <c r="CY1206" s="119"/>
      <c r="CZ1206" s="119"/>
      <c r="DA1206" s="118"/>
      <c r="DB1206" s="119"/>
      <c r="DC1206" s="111"/>
      <c r="DD1206" s="119"/>
      <c r="DE1206" s="111"/>
      <c r="DF1206" s="46"/>
    </row>
    <row r="1207" spans="1:110" s="42" customFormat="1" ht="24" x14ac:dyDescent="0.2">
      <c r="A1207" s="89">
        <v>40683</v>
      </c>
      <c r="B1207" s="106" t="s">
        <v>4219</v>
      </c>
      <c r="C1207" s="106" t="s">
        <v>796</v>
      </c>
      <c r="D1207" s="106" t="s">
        <v>4298</v>
      </c>
      <c r="E1207" s="90" t="str">
        <f>VLOOKUP(B1207&amp;C1207,Divipola!$C$2:$F$1138,4,FALSE)</f>
        <v>41006</v>
      </c>
      <c r="F1207" s="90"/>
      <c r="G1207" s="129"/>
      <c r="H1207" s="129"/>
      <c r="I1207" s="129"/>
      <c r="J1207" s="129">
        <v>23</v>
      </c>
      <c r="K1207" s="129">
        <v>4</v>
      </c>
      <c r="L1207" s="129">
        <v>2</v>
      </c>
      <c r="M1207" s="129">
        <v>2</v>
      </c>
      <c r="N1207" s="129"/>
      <c r="O1207" s="129"/>
      <c r="P1207" s="129"/>
      <c r="Q1207" s="129"/>
      <c r="R1207" s="129"/>
      <c r="S1207" s="129"/>
      <c r="T1207" s="129"/>
      <c r="U1207" s="129"/>
      <c r="V1207" s="129"/>
      <c r="W1207" s="107"/>
      <c r="X1207" s="105"/>
      <c r="Y1207" s="92">
        <f t="shared" si="114"/>
        <v>0</v>
      </c>
      <c r="Z1207" s="92">
        <f t="shared" si="115"/>
        <v>0</v>
      </c>
      <c r="AA1207" s="92">
        <f t="shared" si="116"/>
        <v>0</v>
      </c>
      <c r="AB1207" s="92">
        <f t="shared" si="117"/>
        <v>0</v>
      </c>
      <c r="AC1207" s="92"/>
      <c r="AD1207" s="92">
        <v>0</v>
      </c>
      <c r="AE1207" s="92">
        <f t="shared" si="118"/>
        <v>0</v>
      </c>
      <c r="AF1207" s="93">
        <v>0</v>
      </c>
      <c r="AG1207" s="105"/>
      <c r="AH1207" s="108"/>
      <c r="AI1207" s="109" t="s">
        <v>4336</v>
      </c>
      <c r="AJ1207" s="110" t="s">
        <v>4337</v>
      </c>
      <c r="AK1207" s="111"/>
      <c r="AL1207" s="105"/>
      <c r="AM1207" s="112" t="s">
        <v>366</v>
      </c>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c r="BJ1207" s="107"/>
      <c r="BK1207" s="107"/>
      <c r="BL1207" s="107"/>
      <c r="BM1207" s="107"/>
      <c r="BN1207" s="107"/>
      <c r="BO1207" s="107"/>
      <c r="BP1207" s="107"/>
      <c r="BQ1207" s="107"/>
      <c r="BR1207" s="107"/>
      <c r="BS1207" s="107"/>
      <c r="BT1207" s="107"/>
      <c r="BU1207" s="107"/>
      <c r="BV1207" s="107"/>
      <c r="BW1207" s="107"/>
      <c r="BX1207" s="107"/>
      <c r="BY1207" s="107"/>
      <c r="BZ1207" s="107"/>
      <c r="CA1207" s="107"/>
      <c r="CB1207" s="107"/>
      <c r="CC1207" s="107"/>
      <c r="CD1207" s="107"/>
      <c r="CE1207" s="107"/>
      <c r="CF1207" s="107"/>
      <c r="CG1207" s="107"/>
      <c r="CH1207" s="107"/>
      <c r="CI1207" s="107"/>
      <c r="CJ1207" s="107"/>
      <c r="CK1207" s="107"/>
      <c r="CL1207" s="107"/>
      <c r="CM1207" s="107"/>
      <c r="CN1207" s="118"/>
      <c r="CO1207" s="119"/>
      <c r="CP1207" s="118"/>
      <c r="CQ1207" s="119"/>
      <c r="CR1207" s="118"/>
      <c r="CS1207" s="119"/>
      <c r="CT1207" s="113"/>
      <c r="CU1207" s="118"/>
      <c r="CV1207" s="99">
        <f t="shared" si="113"/>
        <v>0</v>
      </c>
      <c r="CW1207" s="118"/>
      <c r="CX1207" s="119"/>
      <c r="CY1207" s="119"/>
      <c r="CZ1207" s="119"/>
      <c r="DA1207" s="118"/>
      <c r="DB1207" s="119"/>
      <c r="DC1207" s="111"/>
      <c r="DD1207" s="119"/>
      <c r="DE1207" s="111"/>
      <c r="DF1207" s="46"/>
    </row>
    <row r="1208" spans="1:110" s="42" customFormat="1" ht="24" x14ac:dyDescent="0.2">
      <c r="A1208" s="89">
        <v>40683</v>
      </c>
      <c r="B1208" s="106" t="s">
        <v>4308</v>
      </c>
      <c r="C1208" s="106" t="s">
        <v>737</v>
      </c>
      <c r="D1208" s="90" t="s">
        <v>4264</v>
      </c>
      <c r="E1208" s="90" t="str">
        <f>VLOOKUP(B1208&amp;C1208,Divipola!$C$2:$F$1138,4,FALSE)</f>
        <v>47030</v>
      </c>
      <c r="F1208" s="90"/>
      <c r="G1208" s="129"/>
      <c r="H1208" s="129"/>
      <c r="I1208" s="129"/>
      <c r="J1208" s="129">
        <f>87*5</f>
        <v>435</v>
      </c>
      <c r="K1208" s="129">
        <v>87</v>
      </c>
      <c r="L1208" s="129"/>
      <c r="M1208" s="129"/>
      <c r="N1208" s="129"/>
      <c r="O1208" s="129"/>
      <c r="P1208" s="129"/>
      <c r="Q1208" s="129"/>
      <c r="R1208" s="129"/>
      <c r="S1208" s="129"/>
      <c r="T1208" s="129"/>
      <c r="U1208" s="129"/>
      <c r="V1208" s="129"/>
      <c r="W1208" s="107"/>
      <c r="X1208" s="105"/>
      <c r="Y1208" s="92">
        <f t="shared" si="114"/>
        <v>0</v>
      </c>
      <c r="Z1208" s="92">
        <f t="shared" si="115"/>
        <v>0</v>
      </c>
      <c r="AA1208" s="92">
        <f t="shared" si="116"/>
        <v>0</v>
      </c>
      <c r="AB1208" s="92">
        <f t="shared" si="117"/>
        <v>0</v>
      </c>
      <c r="AC1208" s="92"/>
      <c r="AD1208" s="92">
        <v>0</v>
      </c>
      <c r="AE1208" s="92">
        <f t="shared" si="118"/>
        <v>0</v>
      </c>
      <c r="AF1208" s="93">
        <v>0</v>
      </c>
      <c r="AG1208" s="105"/>
      <c r="AH1208" s="108"/>
      <c r="AI1208" s="109" t="s">
        <v>4336</v>
      </c>
      <c r="AJ1208" s="110" t="s">
        <v>4337</v>
      </c>
      <c r="AK1208" s="111"/>
      <c r="AL1208" s="105"/>
      <c r="AM1208" s="112" t="s">
        <v>2364</v>
      </c>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c r="BJ1208" s="107"/>
      <c r="BK1208" s="107"/>
      <c r="BL1208" s="107"/>
      <c r="BM1208" s="107"/>
      <c r="BN1208" s="107"/>
      <c r="BO1208" s="107"/>
      <c r="BP1208" s="107"/>
      <c r="BQ1208" s="107"/>
      <c r="BR1208" s="107"/>
      <c r="BS1208" s="107"/>
      <c r="BT1208" s="107"/>
      <c r="BU1208" s="107"/>
      <c r="BV1208" s="107"/>
      <c r="BW1208" s="107"/>
      <c r="BX1208" s="107"/>
      <c r="BY1208" s="107"/>
      <c r="BZ1208" s="107"/>
      <c r="CA1208" s="107"/>
      <c r="CB1208" s="107"/>
      <c r="CC1208" s="107"/>
      <c r="CD1208" s="107"/>
      <c r="CE1208" s="107"/>
      <c r="CF1208" s="107"/>
      <c r="CG1208" s="107"/>
      <c r="CH1208" s="107"/>
      <c r="CI1208" s="107"/>
      <c r="CJ1208" s="107"/>
      <c r="CK1208" s="107"/>
      <c r="CL1208" s="107"/>
      <c r="CM1208" s="107"/>
      <c r="CN1208" s="118"/>
      <c r="CO1208" s="119"/>
      <c r="CP1208" s="118"/>
      <c r="CQ1208" s="119"/>
      <c r="CR1208" s="118"/>
      <c r="CS1208" s="119"/>
      <c r="CT1208" s="113"/>
      <c r="CU1208" s="118"/>
      <c r="CV1208" s="99">
        <f t="shared" si="113"/>
        <v>0</v>
      </c>
      <c r="CW1208" s="118"/>
      <c r="CX1208" s="119"/>
      <c r="CY1208" s="119"/>
      <c r="CZ1208" s="119"/>
      <c r="DA1208" s="118"/>
      <c r="DB1208" s="119"/>
      <c r="DC1208" s="111"/>
      <c r="DD1208" s="119"/>
      <c r="DE1208" s="111"/>
      <c r="DF1208" s="46"/>
    </row>
    <row r="1209" spans="1:110" s="42" customFormat="1" ht="24" x14ac:dyDescent="0.2">
      <c r="A1209" s="89">
        <v>40683</v>
      </c>
      <c r="B1209" s="106" t="s">
        <v>4308</v>
      </c>
      <c r="C1209" s="106" t="s">
        <v>739</v>
      </c>
      <c r="D1209" s="90" t="s">
        <v>4264</v>
      </c>
      <c r="E1209" s="90" t="str">
        <f>VLOOKUP(B1209&amp;C1209,Divipola!$C$2:$F$1138,4,FALSE)</f>
        <v>47053</v>
      </c>
      <c r="F1209" s="90"/>
      <c r="G1209" s="129"/>
      <c r="H1209" s="129"/>
      <c r="I1209" s="129"/>
      <c r="J1209" s="129">
        <f>921*5</f>
        <v>4605</v>
      </c>
      <c r="K1209" s="129">
        <v>921</v>
      </c>
      <c r="L1209" s="129"/>
      <c r="M1209" s="129"/>
      <c r="N1209" s="129"/>
      <c r="O1209" s="129"/>
      <c r="P1209" s="129"/>
      <c r="Q1209" s="129"/>
      <c r="R1209" s="129"/>
      <c r="S1209" s="129"/>
      <c r="T1209" s="129"/>
      <c r="U1209" s="129"/>
      <c r="V1209" s="129"/>
      <c r="W1209" s="107"/>
      <c r="X1209" s="105"/>
      <c r="Y1209" s="92">
        <f t="shared" si="114"/>
        <v>0</v>
      </c>
      <c r="Z1209" s="92">
        <f t="shared" si="115"/>
        <v>0</v>
      </c>
      <c r="AA1209" s="92">
        <f t="shared" si="116"/>
        <v>0</v>
      </c>
      <c r="AB1209" s="92">
        <f t="shared" si="117"/>
        <v>0</v>
      </c>
      <c r="AC1209" s="92"/>
      <c r="AD1209" s="92">
        <v>0</v>
      </c>
      <c r="AE1209" s="92">
        <f t="shared" si="118"/>
        <v>0</v>
      </c>
      <c r="AF1209" s="93">
        <v>0</v>
      </c>
      <c r="AG1209" s="105"/>
      <c r="AH1209" s="108"/>
      <c r="AI1209" s="109" t="s">
        <v>4336</v>
      </c>
      <c r="AJ1209" s="110" t="s">
        <v>4337</v>
      </c>
      <c r="AK1209" s="111"/>
      <c r="AL1209" s="105"/>
      <c r="AM1209" s="112" t="s">
        <v>2364</v>
      </c>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c r="BJ1209" s="107"/>
      <c r="BK1209" s="107"/>
      <c r="BL1209" s="107"/>
      <c r="BM1209" s="107"/>
      <c r="BN1209" s="107"/>
      <c r="BO1209" s="107"/>
      <c r="BP1209" s="107"/>
      <c r="BQ1209" s="107"/>
      <c r="BR1209" s="107"/>
      <c r="BS1209" s="107"/>
      <c r="BT1209" s="107"/>
      <c r="BU1209" s="107"/>
      <c r="BV1209" s="107"/>
      <c r="BW1209" s="107"/>
      <c r="BX1209" s="107"/>
      <c r="BY1209" s="107"/>
      <c r="BZ1209" s="107"/>
      <c r="CA1209" s="107"/>
      <c r="CB1209" s="107"/>
      <c r="CC1209" s="107"/>
      <c r="CD1209" s="107"/>
      <c r="CE1209" s="107"/>
      <c r="CF1209" s="107"/>
      <c r="CG1209" s="107"/>
      <c r="CH1209" s="107"/>
      <c r="CI1209" s="107"/>
      <c r="CJ1209" s="107"/>
      <c r="CK1209" s="107"/>
      <c r="CL1209" s="107"/>
      <c r="CM1209" s="107"/>
      <c r="CN1209" s="118"/>
      <c r="CO1209" s="119"/>
      <c r="CP1209" s="118"/>
      <c r="CQ1209" s="119"/>
      <c r="CR1209" s="118"/>
      <c r="CS1209" s="119"/>
      <c r="CT1209" s="113"/>
      <c r="CU1209" s="118"/>
      <c r="CV1209" s="99">
        <f t="shared" si="113"/>
        <v>0</v>
      </c>
      <c r="CW1209" s="118"/>
      <c r="CX1209" s="119"/>
      <c r="CY1209" s="119"/>
      <c r="CZ1209" s="119"/>
      <c r="DA1209" s="118"/>
      <c r="DB1209" s="119"/>
      <c r="DC1209" s="111"/>
      <c r="DD1209" s="119"/>
      <c r="DE1209" s="111"/>
      <c r="DF1209" s="46"/>
    </row>
    <row r="1210" spans="1:110" s="42" customFormat="1" ht="24" x14ac:dyDescent="0.2">
      <c r="A1210" s="89">
        <v>40683</v>
      </c>
      <c r="B1210" s="106" t="s">
        <v>4308</v>
      </c>
      <c r="C1210" s="106" t="s">
        <v>742</v>
      </c>
      <c r="D1210" s="90" t="s">
        <v>4264</v>
      </c>
      <c r="E1210" s="90" t="str">
        <f>VLOOKUP(B1210&amp;C1210,Divipola!$C$2:$F$1138,4,FALSE)</f>
        <v>47058</v>
      </c>
      <c r="F1210" s="90"/>
      <c r="G1210" s="129"/>
      <c r="H1210" s="129"/>
      <c r="I1210" s="129"/>
      <c r="J1210" s="129">
        <f>107*5</f>
        <v>535</v>
      </c>
      <c r="K1210" s="129">
        <v>107</v>
      </c>
      <c r="L1210" s="129"/>
      <c r="M1210" s="129"/>
      <c r="N1210" s="129"/>
      <c r="O1210" s="129"/>
      <c r="P1210" s="129"/>
      <c r="Q1210" s="129"/>
      <c r="R1210" s="129"/>
      <c r="S1210" s="129"/>
      <c r="T1210" s="129"/>
      <c r="U1210" s="129"/>
      <c r="V1210" s="129"/>
      <c r="W1210" s="107"/>
      <c r="X1210" s="105"/>
      <c r="Y1210" s="92">
        <f t="shared" si="114"/>
        <v>0</v>
      </c>
      <c r="Z1210" s="92">
        <f t="shared" si="115"/>
        <v>0</v>
      </c>
      <c r="AA1210" s="92">
        <f t="shared" si="116"/>
        <v>0</v>
      </c>
      <c r="AB1210" s="92">
        <f t="shared" si="117"/>
        <v>0</v>
      </c>
      <c r="AC1210" s="92"/>
      <c r="AD1210" s="92">
        <v>0</v>
      </c>
      <c r="AE1210" s="92">
        <f t="shared" si="118"/>
        <v>0</v>
      </c>
      <c r="AF1210" s="93">
        <v>0</v>
      </c>
      <c r="AG1210" s="105"/>
      <c r="AH1210" s="108"/>
      <c r="AI1210" s="109" t="s">
        <v>4336</v>
      </c>
      <c r="AJ1210" s="110" t="s">
        <v>4337</v>
      </c>
      <c r="AK1210" s="111"/>
      <c r="AL1210" s="105"/>
      <c r="AM1210" s="112" t="s">
        <v>2364</v>
      </c>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c r="BJ1210" s="107"/>
      <c r="BK1210" s="107"/>
      <c r="BL1210" s="107"/>
      <c r="BM1210" s="107"/>
      <c r="BN1210" s="107"/>
      <c r="BO1210" s="107"/>
      <c r="BP1210" s="107"/>
      <c r="BQ1210" s="107"/>
      <c r="BR1210" s="107"/>
      <c r="BS1210" s="107"/>
      <c r="BT1210" s="107"/>
      <c r="BU1210" s="107"/>
      <c r="BV1210" s="107"/>
      <c r="BW1210" s="107"/>
      <c r="BX1210" s="107"/>
      <c r="BY1210" s="107"/>
      <c r="BZ1210" s="107"/>
      <c r="CA1210" s="107"/>
      <c r="CB1210" s="107"/>
      <c r="CC1210" s="107"/>
      <c r="CD1210" s="107"/>
      <c r="CE1210" s="107"/>
      <c r="CF1210" s="107"/>
      <c r="CG1210" s="107"/>
      <c r="CH1210" s="107"/>
      <c r="CI1210" s="107"/>
      <c r="CJ1210" s="107"/>
      <c r="CK1210" s="107"/>
      <c r="CL1210" s="107"/>
      <c r="CM1210" s="107"/>
      <c r="CN1210" s="118"/>
      <c r="CO1210" s="119"/>
      <c r="CP1210" s="118"/>
      <c r="CQ1210" s="119"/>
      <c r="CR1210" s="118"/>
      <c r="CS1210" s="119"/>
      <c r="CT1210" s="113"/>
      <c r="CU1210" s="118"/>
      <c r="CV1210" s="99">
        <f t="shared" si="113"/>
        <v>0</v>
      </c>
      <c r="CW1210" s="118"/>
      <c r="CX1210" s="119"/>
      <c r="CY1210" s="119"/>
      <c r="CZ1210" s="119"/>
      <c r="DA1210" s="118"/>
      <c r="DB1210" s="119"/>
      <c r="DC1210" s="111"/>
      <c r="DD1210" s="119"/>
      <c r="DE1210" s="111"/>
      <c r="DF1210" s="46"/>
    </row>
    <row r="1211" spans="1:110" s="42" customFormat="1" ht="24" x14ac:dyDescent="0.2">
      <c r="A1211" s="89">
        <v>40683</v>
      </c>
      <c r="B1211" s="106" t="s">
        <v>4308</v>
      </c>
      <c r="C1211" s="106" t="s">
        <v>750</v>
      </c>
      <c r="D1211" s="90" t="s">
        <v>4264</v>
      </c>
      <c r="E1211" s="90" t="str">
        <f>VLOOKUP(B1211&amp;C1211,Divipola!$C$2:$F$1138,4,FALSE)</f>
        <v>47189</v>
      </c>
      <c r="F1211" s="90"/>
      <c r="G1211" s="129"/>
      <c r="H1211" s="129"/>
      <c r="I1211" s="129"/>
      <c r="J1211" s="129">
        <f>76*5</f>
        <v>380</v>
      </c>
      <c r="K1211" s="129">
        <v>76</v>
      </c>
      <c r="L1211" s="129"/>
      <c r="M1211" s="129"/>
      <c r="N1211" s="129"/>
      <c r="O1211" s="129"/>
      <c r="P1211" s="129"/>
      <c r="Q1211" s="129"/>
      <c r="R1211" s="129"/>
      <c r="S1211" s="129"/>
      <c r="T1211" s="129"/>
      <c r="U1211" s="129"/>
      <c r="V1211" s="129"/>
      <c r="W1211" s="107"/>
      <c r="X1211" s="105"/>
      <c r="Y1211" s="92">
        <f t="shared" si="114"/>
        <v>0</v>
      </c>
      <c r="Z1211" s="92">
        <f t="shared" si="115"/>
        <v>0</v>
      </c>
      <c r="AA1211" s="92">
        <f t="shared" si="116"/>
        <v>0</v>
      </c>
      <c r="AB1211" s="92">
        <f t="shared" si="117"/>
        <v>0</v>
      </c>
      <c r="AC1211" s="92"/>
      <c r="AD1211" s="92">
        <v>0</v>
      </c>
      <c r="AE1211" s="92">
        <f t="shared" si="118"/>
        <v>0</v>
      </c>
      <c r="AF1211" s="93">
        <v>0</v>
      </c>
      <c r="AG1211" s="105"/>
      <c r="AH1211" s="108"/>
      <c r="AI1211" s="109" t="s">
        <v>4336</v>
      </c>
      <c r="AJ1211" s="110" t="s">
        <v>4337</v>
      </c>
      <c r="AK1211" s="111"/>
      <c r="AL1211" s="105"/>
      <c r="AM1211" s="112" t="s">
        <v>2364</v>
      </c>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BM1211" s="107"/>
      <c r="BN1211" s="107"/>
      <c r="BO1211" s="107"/>
      <c r="BP1211" s="107"/>
      <c r="BQ1211" s="107"/>
      <c r="BR1211" s="107"/>
      <c r="BS1211" s="107"/>
      <c r="BT1211" s="107"/>
      <c r="BU1211" s="107"/>
      <c r="BV1211" s="107"/>
      <c r="BW1211" s="107"/>
      <c r="BX1211" s="107"/>
      <c r="BY1211" s="107"/>
      <c r="BZ1211" s="107"/>
      <c r="CA1211" s="107"/>
      <c r="CB1211" s="107"/>
      <c r="CC1211" s="107"/>
      <c r="CD1211" s="107"/>
      <c r="CE1211" s="107"/>
      <c r="CF1211" s="107"/>
      <c r="CG1211" s="107"/>
      <c r="CH1211" s="107"/>
      <c r="CI1211" s="107"/>
      <c r="CJ1211" s="107"/>
      <c r="CK1211" s="107"/>
      <c r="CL1211" s="107"/>
      <c r="CM1211" s="107"/>
      <c r="CN1211" s="118"/>
      <c r="CO1211" s="119"/>
      <c r="CP1211" s="118"/>
      <c r="CQ1211" s="119"/>
      <c r="CR1211" s="118"/>
      <c r="CS1211" s="119"/>
      <c r="CT1211" s="113"/>
      <c r="CU1211" s="118"/>
      <c r="CV1211" s="99">
        <f t="shared" si="113"/>
        <v>0</v>
      </c>
      <c r="CW1211" s="118"/>
      <c r="CX1211" s="119"/>
      <c r="CY1211" s="119"/>
      <c r="CZ1211" s="119"/>
      <c r="DA1211" s="118"/>
      <c r="DB1211" s="119"/>
      <c r="DC1211" s="111"/>
      <c r="DD1211" s="119"/>
      <c r="DE1211" s="111"/>
      <c r="DF1211" s="46"/>
    </row>
    <row r="1212" spans="1:110" s="42" customFormat="1" ht="24" x14ac:dyDescent="0.2">
      <c r="A1212" s="89">
        <v>40683</v>
      </c>
      <c r="B1212" s="106" t="s">
        <v>4308</v>
      </c>
      <c r="C1212" s="106" t="s">
        <v>758</v>
      </c>
      <c r="D1212" s="90" t="s">
        <v>4264</v>
      </c>
      <c r="E1212" s="90" t="str">
        <f>VLOOKUP(B1212&amp;C1212,Divipola!$C$2:$F$1138,4,FALSE)</f>
        <v>47288</v>
      </c>
      <c r="F1212" s="90"/>
      <c r="G1212" s="129"/>
      <c r="H1212" s="129"/>
      <c r="I1212" s="129"/>
      <c r="J1212" s="129">
        <f>273*5</f>
        <v>1365</v>
      </c>
      <c r="K1212" s="129">
        <v>273</v>
      </c>
      <c r="L1212" s="129"/>
      <c r="M1212" s="129"/>
      <c r="N1212" s="129"/>
      <c r="O1212" s="129"/>
      <c r="P1212" s="129"/>
      <c r="Q1212" s="129"/>
      <c r="R1212" s="129"/>
      <c r="S1212" s="129"/>
      <c r="T1212" s="129"/>
      <c r="U1212" s="129"/>
      <c r="V1212" s="129"/>
      <c r="W1212" s="107"/>
      <c r="X1212" s="105"/>
      <c r="Y1212" s="92">
        <f t="shared" si="114"/>
        <v>0</v>
      </c>
      <c r="Z1212" s="92">
        <f t="shared" si="115"/>
        <v>0</v>
      </c>
      <c r="AA1212" s="92">
        <f t="shared" si="116"/>
        <v>0</v>
      </c>
      <c r="AB1212" s="92">
        <f t="shared" si="117"/>
        <v>0</v>
      </c>
      <c r="AC1212" s="92"/>
      <c r="AD1212" s="92">
        <v>0</v>
      </c>
      <c r="AE1212" s="92">
        <f t="shared" si="118"/>
        <v>0</v>
      </c>
      <c r="AF1212" s="93">
        <v>0</v>
      </c>
      <c r="AG1212" s="105"/>
      <c r="AH1212" s="108"/>
      <c r="AI1212" s="109" t="s">
        <v>4336</v>
      </c>
      <c r="AJ1212" s="110" t="s">
        <v>4337</v>
      </c>
      <c r="AK1212" s="111"/>
      <c r="AL1212" s="105"/>
      <c r="AM1212" s="112" t="s">
        <v>2364</v>
      </c>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7"/>
      <c r="CG1212" s="107"/>
      <c r="CH1212" s="107"/>
      <c r="CI1212" s="107"/>
      <c r="CJ1212" s="107"/>
      <c r="CK1212" s="107"/>
      <c r="CL1212" s="107"/>
      <c r="CM1212" s="107"/>
      <c r="CN1212" s="118"/>
      <c r="CO1212" s="119"/>
      <c r="CP1212" s="118"/>
      <c r="CQ1212" s="119"/>
      <c r="CR1212" s="118"/>
      <c r="CS1212" s="119"/>
      <c r="CT1212" s="113"/>
      <c r="CU1212" s="118"/>
      <c r="CV1212" s="99">
        <f t="shared" si="113"/>
        <v>0</v>
      </c>
      <c r="CW1212" s="118"/>
      <c r="CX1212" s="119"/>
      <c r="CY1212" s="119"/>
      <c r="CZ1212" s="119"/>
      <c r="DA1212" s="118"/>
      <c r="DB1212" s="119"/>
      <c r="DC1212" s="111"/>
      <c r="DD1212" s="119"/>
      <c r="DE1212" s="111"/>
      <c r="DF1212" s="46"/>
    </row>
    <row r="1213" spans="1:110" s="42" customFormat="1" ht="24" x14ac:dyDescent="0.2">
      <c r="A1213" s="89">
        <v>40683</v>
      </c>
      <c r="B1213" s="106" t="s">
        <v>4308</v>
      </c>
      <c r="C1213" s="106" t="s">
        <v>762</v>
      </c>
      <c r="D1213" s="90" t="s">
        <v>4264</v>
      </c>
      <c r="E1213" s="90" t="str">
        <f>VLOOKUP(B1213&amp;C1213,Divipola!$C$2:$F$1138,4,FALSE)</f>
        <v>47460</v>
      </c>
      <c r="F1213" s="90"/>
      <c r="G1213" s="129"/>
      <c r="H1213" s="129"/>
      <c r="I1213" s="129"/>
      <c r="J1213" s="129">
        <f>29*5</f>
        <v>145</v>
      </c>
      <c r="K1213" s="129">
        <v>29</v>
      </c>
      <c r="L1213" s="129"/>
      <c r="M1213" s="129"/>
      <c r="N1213" s="129"/>
      <c r="O1213" s="129"/>
      <c r="P1213" s="129"/>
      <c r="Q1213" s="129"/>
      <c r="R1213" s="129"/>
      <c r="S1213" s="129"/>
      <c r="T1213" s="129"/>
      <c r="U1213" s="129"/>
      <c r="V1213" s="129"/>
      <c r="W1213" s="107"/>
      <c r="X1213" s="105"/>
      <c r="Y1213" s="92">
        <f t="shared" si="114"/>
        <v>0</v>
      </c>
      <c r="Z1213" s="92">
        <f t="shared" si="115"/>
        <v>0</v>
      </c>
      <c r="AA1213" s="92">
        <f t="shared" si="116"/>
        <v>0</v>
      </c>
      <c r="AB1213" s="92">
        <f t="shared" si="117"/>
        <v>0</v>
      </c>
      <c r="AC1213" s="92"/>
      <c r="AD1213" s="92">
        <v>0</v>
      </c>
      <c r="AE1213" s="92">
        <f t="shared" si="118"/>
        <v>0</v>
      </c>
      <c r="AF1213" s="93">
        <v>0</v>
      </c>
      <c r="AG1213" s="105"/>
      <c r="AH1213" s="108"/>
      <c r="AI1213" s="109" t="s">
        <v>4336</v>
      </c>
      <c r="AJ1213" s="110" t="s">
        <v>4337</v>
      </c>
      <c r="AK1213" s="111"/>
      <c r="AL1213" s="105"/>
      <c r="AM1213" s="112" t="s">
        <v>2364</v>
      </c>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c r="BJ1213" s="107"/>
      <c r="BK1213" s="107"/>
      <c r="BL1213" s="107"/>
      <c r="BM1213" s="107"/>
      <c r="BN1213" s="107"/>
      <c r="BO1213" s="107"/>
      <c r="BP1213" s="107"/>
      <c r="BQ1213" s="107"/>
      <c r="BR1213" s="107"/>
      <c r="BS1213" s="107"/>
      <c r="BT1213" s="107"/>
      <c r="BU1213" s="107"/>
      <c r="BV1213" s="107"/>
      <c r="BW1213" s="107"/>
      <c r="BX1213" s="107"/>
      <c r="BY1213" s="107"/>
      <c r="BZ1213" s="107"/>
      <c r="CA1213" s="107"/>
      <c r="CB1213" s="107"/>
      <c r="CC1213" s="107"/>
      <c r="CD1213" s="107"/>
      <c r="CE1213" s="107"/>
      <c r="CF1213" s="107"/>
      <c r="CG1213" s="107"/>
      <c r="CH1213" s="107"/>
      <c r="CI1213" s="107"/>
      <c r="CJ1213" s="107"/>
      <c r="CK1213" s="107"/>
      <c r="CL1213" s="107"/>
      <c r="CM1213" s="107"/>
      <c r="CN1213" s="118"/>
      <c r="CO1213" s="119"/>
      <c r="CP1213" s="118"/>
      <c r="CQ1213" s="119"/>
      <c r="CR1213" s="118"/>
      <c r="CS1213" s="119"/>
      <c r="CT1213" s="113"/>
      <c r="CU1213" s="118"/>
      <c r="CV1213" s="99">
        <f t="shared" si="113"/>
        <v>0</v>
      </c>
      <c r="CW1213" s="118"/>
      <c r="CX1213" s="119"/>
      <c r="CY1213" s="119"/>
      <c r="CZ1213" s="119"/>
      <c r="DA1213" s="118"/>
      <c r="DB1213" s="119"/>
      <c r="DC1213" s="111"/>
      <c r="DD1213" s="119"/>
      <c r="DE1213" s="111"/>
      <c r="DF1213" s="46"/>
    </row>
    <row r="1214" spans="1:110" s="42" customFormat="1" ht="24" x14ac:dyDescent="0.2">
      <c r="A1214" s="89">
        <v>40683</v>
      </c>
      <c r="B1214" s="106" t="s">
        <v>4308</v>
      </c>
      <c r="C1214" s="106" t="s">
        <v>764</v>
      </c>
      <c r="D1214" s="90" t="s">
        <v>4264</v>
      </c>
      <c r="E1214" s="90" t="str">
        <f>VLOOKUP(B1214&amp;C1214,Divipola!$C$2:$F$1138,4,FALSE)</f>
        <v>47541</v>
      </c>
      <c r="F1214" s="90"/>
      <c r="G1214" s="129"/>
      <c r="H1214" s="129"/>
      <c r="I1214" s="129"/>
      <c r="J1214" s="129">
        <f>129*5</f>
        <v>645</v>
      </c>
      <c r="K1214" s="129">
        <v>129</v>
      </c>
      <c r="L1214" s="129"/>
      <c r="M1214" s="129"/>
      <c r="N1214" s="129"/>
      <c r="O1214" s="129"/>
      <c r="P1214" s="129"/>
      <c r="Q1214" s="129"/>
      <c r="R1214" s="129"/>
      <c r="S1214" s="129"/>
      <c r="T1214" s="129"/>
      <c r="U1214" s="129"/>
      <c r="V1214" s="129"/>
      <c r="W1214" s="107"/>
      <c r="X1214" s="105"/>
      <c r="Y1214" s="92">
        <f t="shared" si="114"/>
        <v>0</v>
      </c>
      <c r="Z1214" s="92">
        <f t="shared" si="115"/>
        <v>0</v>
      </c>
      <c r="AA1214" s="92">
        <f t="shared" si="116"/>
        <v>0</v>
      </c>
      <c r="AB1214" s="92">
        <f t="shared" si="117"/>
        <v>0</v>
      </c>
      <c r="AC1214" s="92"/>
      <c r="AD1214" s="92">
        <v>0</v>
      </c>
      <c r="AE1214" s="92">
        <f t="shared" si="118"/>
        <v>0</v>
      </c>
      <c r="AF1214" s="93">
        <v>0</v>
      </c>
      <c r="AG1214" s="105"/>
      <c r="AH1214" s="108"/>
      <c r="AI1214" s="109" t="s">
        <v>4336</v>
      </c>
      <c r="AJ1214" s="110" t="s">
        <v>4337</v>
      </c>
      <c r="AK1214" s="111"/>
      <c r="AL1214" s="105"/>
      <c r="AM1214" s="112" t="s">
        <v>2364</v>
      </c>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c r="BJ1214" s="107"/>
      <c r="BK1214" s="107"/>
      <c r="BL1214" s="107"/>
      <c r="BM1214" s="107"/>
      <c r="BN1214" s="107"/>
      <c r="BO1214" s="107"/>
      <c r="BP1214" s="107"/>
      <c r="BQ1214" s="107"/>
      <c r="BR1214" s="107"/>
      <c r="BS1214" s="107"/>
      <c r="BT1214" s="107"/>
      <c r="BU1214" s="107"/>
      <c r="BV1214" s="107"/>
      <c r="BW1214" s="107"/>
      <c r="BX1214" s="107"/>
      <c r="BY1214" s="107"/>
      <c r="BZ1214" s="107"/>
      <c r="CA1214" s="107"/>
      <c r="CB1214" s="107"/>
      <c r="CC1214" s="107"/>
      <c r="CD1214" s="107"/>
      <c r="CE1214" s="107"/>
      <c r="CF1214" s="107"/>
      <c r="CG1214" s="107"/>
      <c r="CH1214" s="107"/>
      <c r="CI1214" s="107"/>
      <c r="CJ1214" s="107"/>
      <c r="CK1214" s="107"/>
      <c r="CL1214" s="107"/>
      <c r="CM1214" s="107"/>
      <c r="CN1214" s="118"/>
      <c r="CO1214" s="119"/>
      <c r="CP1214" s="118"/>
      <c r="CQ1214" s="119"/>
      <c r="CR1214" s="118"/>
      <c r="CS1214" s="119"/>
      <c r="CT1214" s="113"/>
      <c r="CU1214" s="118"/>
      <c r="CV1214" s="99">
        <f t="shared" si="113"/>
        <v>0</v>
      </c>
      <c r="CW1214" s="118"/>
      <c r="CX1214" s="119"/>
      <c r="CY1214" s="119"/>
      <c r="CZ1214" s="119"/>
      <c r="DA1214" s="118"/>
      <c r="DB1214" s="119"/>
      <c r="DC1214" s="111"/>
      <c r="DD1214" s="119"/>
      <c r="DE1214" s="111"/>
      <c r="DF1214" s="46"/>
    </row>
    <row r="1215" spans="1:110" s="42" customFormat="1" ht="24" x14ac:dyDescent="0.2">
      <c r="A1215" s="89">
        <v>40683</v>
      </c>
      <c r="B1215" s="106" t="s">
        <v>4308</v>
      </c>
      <c r="C1215" s="106" t="s">
        <v>769</v>
      </c>
      <c r="D1215" s="90" t="s">
        <v>4264</v>
      </c>
      <c r="E1215" s="90" t="str">
        <f>VLOOKUP(B1215&amp;C1215,Divipola!$C$2:$F$1138,4,FALSE)</f>
        <v>47551</v>
      </c>
      <c r="F1215" s="90"/>
      <c r="G1215" s="129"/>
      <c r="H1215" s="129"/>
      <c r="I1215" s="129"/>
      <c r="J1215" s="129">
        <f>331*5</f>
        <v>1655</v>
      </c>
      <c r="K1215" s="129">
        <v>331</v>
      </c>
      <c r="L1215" s="129"/>
      <c r="M1215" s="129"/>
      <c r="N1215" s="129"/>
      <c r="O1215" s="129"/>
      <c r="P1215" s="129"/>
      <c r="Q1215" s="129"/>
      <c r="R1215" s="129"/>
      <c r="S1215" s="129"/>
      <c r="T1215" s="129"/>
      <c r="U1215" s="129"/>
      <c r="V1215" s="129"/>
      <c r="W1215" s="107"/>
      <c r="X1215" s="105"/>
      <c r="Y1215" s="92">
        <f t="shared" si="114"/>
        <v>0</v>
      </c>
      <c r="Z1215" s="92">
        <f t="shared" si="115"/>
        <v>0</v>
      </c>
      <c r="AA1215" s="92">
        <f t="shared" si="116"/>
        <v>0</v>
      </c>
      <c r="AB1215" s="92">
        <f t="shared" si="117"/>
        <v>0</v>
      </c>
      <c r="AC1215" s="92"/>
      <c r="AD1215" s="92">
        <v>0</v>
      </c>
      <c r="AE1215" s="92">
        <f t="shared" si="118"/>
        <v>0</v>
      </c>
      <c r="AF1215" s="93">
        <v>0</v>
      </c>
      <c r="AG1215" s="105"/>
      <c r="AH1215" s="108"/>
      <c r="AI1215" s="109" t="s">
        <v>4336</v>
      </c>
      <c r="AJ1215" s="110" t="s">
        <v>4337</v>
      </c>
      <c r="AK1215" s="111"/>
      <c r="AL1215" s="105"/>
      <c r="AM1215" s="112" t="s">
        <v>2364</v>
      </c>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c r="BJ1215" s="107"/>
      <c r="BK1215" s="107"/>
      <c r="BL1215" s="107"/>
      <c r="BM1215" s="107"/>
      <c r="BN1215" s="107"/>
      <c r="BO1215" s="107"/>
      <c r="BP1215" s="107"/>
      <c r="BQ1215" s="107"/>
      <c r="BR1215" s="107"/>
      <c r="BS1215" s="107"/>
      <c r="BT1215" s="107"/>
      <c r="BU1215" s="107"/>
      <c r="BV1215" s="107"/>
      <c r="BW1215" s="107"/>
      <c r="BX1215" s="107"/>
      <c r="BY1215" s="107"/>
      <c r="BZ1215" s="107"/>
      <c r="CA1215" s="107"/>
      <c r="CB1215" s="107"/>
      <c r="CC1215" s="107"/>
      <c r="CD1215" s="107"/>
      <c r="CE1215" s="107"/>
      <c r="CF1215" s="107"/>
      <c r="CG1215" s="107"/>
      <c r="CH1215" s="107"/>
      <c r="CI1215" s="107"/>
      <c r="CJ1215" s="107"/>
      <c r="CK1215" s="107"/>
      <c r="CL1215" s="107"/>
      <c r="CM1215" s="107"/>
      <c r="CN1215" s="118"/>
      <c r="CO1215" s="119"/>
      <c r="CP1215" s="118"/>
      <c r="CQ1215" s="119"/>
      <c r="CR1215" s="118"/>
      <c r="CS1215" s="119"/>
      <c r="CT1215" s="113"/>
      <c r="CU1215" s="118"/>
      <c r="CV1215" s="99">
        <f t="shared" si="113"/>
        <v>0</v>
      </c>
      <c r="CW1215" s="118"/>
      <c r="CX1215" s="119"/>
      <c r="CY1215" s="119"/>
      <c r="CZ1215" s="119"/>
      <c r="DA1215" s="118"/>
      <c r="DB1215" s="119"/>
      <c r="DC1215" s="111"/>
      <c r="DD1215" s="119"/>
      <c r="DE1215" s="111"/>
      <c r="DF1215" s="46"/>
    </row>
    <row r="1216" spans="1:110" s="42" customFormat="1" ht="84" x14ac:dyDescent="0.2">
      <c r="A1216" s="89">
        <v>40683</v>
      </c>
      <c r="B1216" s="106" t="s">
        <v>4308</v>
      </c>
      <c r="C1216" s="106" t="s">
        <v>771</v>
      </c>
      <c r="D1216" s="90" t="s">
        <v>4264</v>
      </c>
      <c r="E1216" s="90" t="str">
        <f>VLOOKUP(B1216&amp;C1216,Divipola!$C$2:$F$1138,4,FALSE)</f>
        <v>47555</v>
      </c>
      <c r="F1216" s="90"/>
      <c r="G1216" s="129"/>
      <c r="H1216" s="129"/>
      <c r="I1216" s="129"/>
      <c r="J1216" s="129">
        <f>1285*5</f>
        <v>6425</v>
      </c>
      <c r="K1216" s="129">
        <v>1285</v>
      </c>
      <c r="L1216" s="129"/>
      <c r="M1216" s="129"/>
      <c r="N1216" s="129"/>
      <c r="O1216" s="129"/>
      <c r="P1216" s="129"/>
      <c r="Q1216" s="129"/>
      <c r="R1216" s="129"/>
      <c r="S1216" s="129"/>
      <c r="T1216" s="129"/>
      <c r="U1216" s="129"/>
      <c r="V1216" s="129"/>
      <c r="W1216" s="107"/>
      <c r="X1216" s="105"/>
      <c r="Y1216" s="92">
        <f t="shared" si="114"/>
        <v>0</v>
      </c>
      <c r="Z1216" s="92">
        <f t="shared" si="115"/>
        <v>0</v>
      </c>
      <c r="AA1216" s="92">
        <f t="shared" si="116"/>
        <v>0</v>
      </c>
      <c r="AB1216" s="92">
        <f t="shared" si="117"/>
        <v>0</v>
      </c>
      <c r="AC1216" s="92"/>
      <c r="AD1216" s="92">
        <v>0</v>
      </c>
      <c r="AE1216" s="92">
        <f t="shared" si="118"/>
        <v>0</v>
      </c>
      <c r="AF1216" s="93">
        <v>0</v>
      </c>
      <c r="AG1216" s="105"/>
      <c r="AH1216" s="108"/>
      <c r="AI1216" s="109" t="s">
        <v>4336</v>
      </c>
      <c r="AJ1216" s="110" t="s">
        <v>4337</v>
      </c>
      <c r="AK1216" s="111"/>
      <c r="AL1216" s="105"/>
      <c r="AM1216" s="112" t="s">
        <v>3436</v>
      </c>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7"/>
      <c r="BL1216" s="107"/>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7"/>
      <c r="CG1216" s="107"/>
      <c r="CH1216" s="107"/>
      <c r="CI1216" s="107"/>
      <c r="CJ1216" s="107"/>
      <c r="CK1216" s="107"/>
      <c r="CL1216" s="107"/>
      <c r="CM1216" s="107"/>
      <c r="CN1216" s="118"/>
      <c r="CO1216" s="119"/>
      <c r="CP1216" s="118"/>
      <c r="CQ1216" s="119"/>
      <c r="CR1216" s="118"/>
      <c r="CS1216" s="119"/>
      <c r="CT1216" s="113"/>
      <c r="CU1216" s="118"/>
      <c r="CV1216" s="99">
        <f t="shared" si="113"/>
        <v>0</v>
      </c>
      <c r="CW1216" s="118"/>
      <c r="CX1216" s="119"/>
      <c r="CY1216" s="119"/>
      <c r="CZ1216" s="119"/>
      <c r="DA1216" s="118"/>
      <c r="DB1216" s="119"/>
      <c r="DC1216" s="111"/>
      <c r="DD1216" s="119"/>
      <c r="DE1216" s="111"/>
      <c r="DF1216" s="46"/>
    </row>
    <row r="1217" spans="1:110" s="42" customFormat="1" ht="24" x14ac:dyDescent="0.2">
      <c r="A1217" s="89">
        <v>40683</v>
      </c>
      <c r="B1217" s="106" t="s">
        <v>4308</v>
      </c>
      <c r="C1217" s="106" t="s">
        <v>773</v>
      </c>
      <c r="D1217" s="90" t="s">
        <v>3346</v>
      </c>
      <c r="E1217" s="90" t="str">
        <f>VLOOKUP(B1217&amp;C1217,Divipola!$C$2:$F$1138,4,FALSE)</f>
        <v>47570</v>
      </c>
      <c r="F1217" s="90"/>
      <c r="G1217" s="129"/>
      <c r="H1217" s="129"/>
      <c r="I1217" s="129"/>
      <c r="J1217" s="129">
        <f>111*5</f>
        <v>555</v>
      </c>
      <c r="K1217" s="129">
        <v>111</v>
      </c>
      <c r="L1217" s="129"/>
      <c r="M1217" s="129">
        <v>111</v>
      </c>
      <c r="N1217" s="129"/>
      <c r="O1217" s="129"/>
      <c r="P1217" s="129"/>
      <c r="Q1217" s="129"/>
      <c r="R1217" s="129"/>
      <c r="S1217" s="129"/>
      <c r="T1217" s="129"/>
      <c r="U1217" s="129"/>
      <c r="V1217" s="129"/>
      <c r="W1217" s="107"/>
      <c r="X1217" s="105"/>
      <c r="Y1217" s="92">
        <f t="shared" si="114"/>
        <v>0</v>
      </c>
      <c r="Z1217" s="92">
        <f t="shared" si="115"/>
        <v>0</v>
      </c>
      <c r="AA1217" s="92">
        <f t="shared" si="116"/>
        <v>21442047.84</v>
      </c>
      <c r="AB1217" s="92">
        <f t="shared" si="117"/>
        <v>0</v>
      </c>
      <c r="AC1217" s="92"/>
      <c r="AD1217" s="92">
        <v>0</v>
      </c>
      <c r="AE1217" s="92">
        <f t="shared" si="118"/>
        <v>21442047.84</v>
      </c>
      <c r="AF1217" s="93">
        <v>0</v>
      </c>
      <c r="AG1217" s="105"/>
      <c r="AH1217" s="108"/>
      <c r="AI1217" s="109" t="s">
        <v>4346</v>
      </c>
      <c r="AJ1217" s="110" t="s">
        <v>4347</v>
      </c>
      <c r="AK1217" s="111"/>
      <c r="AL1217" s="105"/>
      <c r="AM1217" s="112" t="s">
        <v>2364</v>
      </c>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c r="BJ1217" s="107"/>
      <c r="BK1217" s="107"/>
      <c r="BL1217" s="107"/>
      <c r="BM1217" s="107"/>
      <c r="BN1217" s="107"/>
      <c r="BO1217" s="107"/>
      <c r="BP1217" s="107"/>
      <c r="BQ1217" s="107"/>
      <c r="BR1217" s="107"/>
      <c r="BS1217" s="107"/>
      <c r="BT1217" s="107"/>
      <c r="BU1217" s="107"/>
      <c r="BV1217" s="107"/>
      <c r="BW1217" s="107"/>
      <c r="BX1217" s="107"/>
      <c r="BY1217" s="107"/>
      <c r="BZ1217" s="107"/>
      <c r="CA1217" s="107"/>
      <c r="CB1217" s="107"/>
      <c r="CC1217" s="107"/>
      <c r="CD1217" s="107"/>
      <c r="CE1217" s="107"/>
      <c r="CF1217" s="107"/>
      <c r="CG1217" s="107"/>
      <c r="CH1217" s="107"/>
      <c r="CI1217" s="107"/>
      <c r="CJ1217" s="107"/>
      <c r="CK1217" s="107"/>
      <c r="CL1217" s="107"/>
      <c r="CM1217" s="107"/>
      <c r="CN1217" s="118"/>
      <c r="CO1217" s="119"/>
      <c r="CP1217" s="118"/>
      <c r="CQ1217" s="119"/>
      <c r="CR1217" s="118"/>
      <c r="CS1217" s="119"/>
      <c r="CT1217" s="113"/>
      <c r="CU1217" s="118"/>
      <c r="CV1217" s="99">
        <f t="shared" si="113"/>
        <v>0</v>
      </c>
      <c r="CW1217" s="118"/>
      <c r="CX1217" s="119"/>
      <c r="CY1217" s="119"/>
      <c r="CZ1217" s="119"/>
      <c r="DA1217" s="118"/>
      <c r="DB1217" s="119"/>
      <c r="DC1217" s="111">
        <v>602</v>
      </c>
      <c r="DD1217" s="119">
        <f>432*40391.2+66*29348+14*19564.56+80*19464.8+10*22499.36</f>
        <v>21442047.84</v>
      </c>
      <c r="DE1217" s="111"/>
      <c r="DF1217" s="46"/>
    </row>
    <row r="1218" spans="1:110" s="42" customFormat="1" ht="24" x14ac:dyDescent="0.2">
      <c r="A1218" s="89">
        <v>40683</v>
      </c>
      <c r="B1218" s="106" t="s">
        <v>4308</v>
      </c>
      <c r="C1218" s="106" t="s">
        <v>787</v>
      </c>
      <c r="D1218" s="90" t="s">
        <v>4264</v>
      </c>
      <c r="E1218" s="90" t="str">
        <f>VLOOKUP(B1218&amp;C1218,Divipola!$C$2:$F$1138,4,FALSE)</f>
        <v>47707</v>
      </c>
      <c r="F1218" s="90"/>
      <c r="G1218" s="129"/>
      <c r="H1218" s="129"/>
      <c r="I1218" s="129"/>
      <c r="J1218" s="129">
        <f>15*5</f>
        <v>75</v>
      </c>
      <c r="K1218" s="129">
        <v>15</v>
      </c>
      <c r="L1218" s="129"/>
      <c r="M1218" s="129"/>
      <c r="N1218" s="129"/>
      <c r="O1218" s="129"/>
      <c r="P1218" s="129"/>
      <c r="Q1218" s="129"/>
      <c r="R1218" s="129"/>
      <c r="S1218" s="129"/>
      <c r="T1218" s="129"/>
      <c r="U1218" s="129"/>
      <c r="V1218" s="129"/>
      <c r="W1218" s="107"/>
      <c r="X1218" s="105"/>
      <c r="Y1218" s="92">
        <f t="shared" si="114"/>
        <v>0</v>
      </c>
      <c r="Z1218" s="92">
        <f t="shared" si="115"/>
        <v>0</v>
      </c>
      <c r="AA1218" s="92">
        <f t="shared" si="116"/>
        <v>0</v>
      </c>
      <c r="AB1218" s="92">
        <f t="shared" si="117"/>
        <v>0</v>
      </c>
      <c r="AC1218" s="92"/>
      <c r="AD1218" s="92">
        <v>0</v>
      </c>
      <c r="AE1218" s="92">
        <f t="shared" si="118"/>
        <v>0</v>
      </c>
      <c r="AF1218" s="93">
        <v>0</v>
      </c>
      <c r="AG1218" s="105"/>
      <c r="AH1218" s="108"/>
      <c r="AI1218" s="109" t="s">
        <v>4336</v>
      </c>
      <c r="AJ1218" s="110" t="s">
        <v>4337</v>
      </c>
      <c r="AK1218" s="111"/>
      <c r="AL1218" s="105"/>
      <c r="AM1218" s="112" t="s">
        <v>2364</v>
      </c>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BM1218" s="107"/>
      <c r="BN1218" s="107"/>
      <c r="BO1218" s="107"/>
      <c r="BP1218" s="107"/>
      <c r="BQ1218" s="107"/>
      <c r="BR1218" s="107"/>
      <c r="BS1218" s="107"/>
      <c r="BT1218" s="107"/>
      <c r="BU1218" s="107"/>
      <c r="BV1218" s="107"/>
      <c r="BW1218" s="107"/>
      <c r="BX1218" s="107"/>
      <c r="BY1218" s="107"/>
      <c r="BZ1218" s="107"/>
      <c r="CA1218" s="107"/>
      <c r="CB1218" s="107"/>
      <c r="CC1218" s="107"/>
      <c r="CD1218" s="107"/>
      <c r="CE1218" s="107"/>
      <c r="CF1218" s="107"/>
      <c r="CG1218" s="107"/>
      <c r="CH1218" s="107"/>
      <c r="CI1218" s="107"/>
      <c r="CJ1218" s="107"/>
      <c r="CK1218" s="107"/>
      <c r="CL1218" s="107"/>
      <c r="CM1218" s="107"/>
      <c r="CN1218" s="118"/>
      <c r="CO1218" s="119"/>
      <c r="CP1218" s="118"/>
      <c r="CQ1218" s="119"/>
      <c r="CR1218" s="118"/>
      <c r="CS1218" s="119"/>
      <c r="CT1218" s="113"/>
      <c r="CU1218" s="118"/>
      <c r="CV1218" s="99">
        <f t="shared" si="113"/>
        <v>0</v>
      </c>
      <c r="CW1218" s="118"/>
      <c r="CX1218" s="119"/>
      <c r="CY1218" s="119"/>
      <c r="CZ1218" s="119"/>
      <c r="DA1218" s="118"/>
      <c r="DB1218" s="119"/>
      <c r="DC1218" s="111"/>
      <c r="DD1218" s="119"/>
      <c r="DE1218" s="111"/>
      <c r="DF1218" s="46"/>
    </row>
    <row r="1219" spans="1:110" s="42" customFormat="1" ht="24" x14ac:dyDescent="0.2">
      <c r="A1219" s="89">
        <v>40683</v>
      </c>
      <c r="B1219" s="106" t="s">
        <v>4308</v>
      </c>
      <c r="C1219" s="106" t="s">
        <v>789</v>
      </c>
      <c r="D1219" s="90" t="s">
        <v>4264</v>
      </c>
      <c r="E1219" s="90" t="str">
        <f>VLOOKUP(B1219&amp;C1219,Divipola!$C$2:$F$1138,4,FALSE)</f>
        <v>47720</v>
      </c>
      <c r="F1219" s="90"/>
      <c r="G1219" s="129"/>
      <c r="H1219" s="129"/>
      <c r="I1219" s="129"/>
      <c r="J1219" s="129">
        <f>105*5</f>
        <v>525</v>
      </c>
      <c r="K1219" s="129">
        <v>105</v>
      </c>
      <c r="L1219" s="129"/>
      <c r="M1219" s="129"/>
      <c r="N1219" s="129"/>
      <c r="O1219" s="129"/>
      <c r="P1219" s="129"/>
      <c r="Q1219" s="129"/>
      <c r="R1219" s="129"/>
      <c r="S1219" s="129"/>
      <c r="T1219" s="129"/>
      <c r="U1219" s="129"/>
      <c r="V1219" s="129"/>
      <c r="W1219" s="107"/>
      <c r="X1219" s="105"/>
      <c r="Y1219" s="92">
        <f t="shared" si="114"/>
        <v>0</v>
      </c>
      <c r="Z1219" s="92">
        <f t="shared" si="115"/>
        <v>0</v>
      </c>
      <c r="AA1219" s="92">
        <f t="shared" si="116"/>
        <v>0</v>
      </c>
      <c r="AB1219" s="92">
        <f t="shared" si="117"/>
        <v>0</v>
      </c>
      <c r="AC1219" s="92"/>
      <c r="AD1219" s="92">
        <v>0</v>
      </c>
      <c r="AE1219" s="92">
        <f t="shared" si="118"/>
        <v>0</v>
      </c>
      <c r="AF1219" s="93">
        <v>0</v>
      </c>
      <c r="AG1219" s="105"/>
      <c r="AH1219" s="108"/>
      <c r="AI1219" s="109" t="s">
        <v>4336</v>
      </c>
      <c r="AJ1219" s="110" t="s">
        <v>4337</v>
      </c>
      <c r="AK1219" s="111"/>
      <c r="AL1219" s="105"/>
      <c r="AM1219" s="112" t="s">
        <v>2364</v>
      </c>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BM1219" s="107"/>
      <c r="BN1219" s="107"/>
      <c r="BO1219" s="107"/>
      <c r="BP1219" s="107"/>
      <c r="BQ1219" s="107"/>
      <c r="BR1219" s="107"/>
      <c r="BS1219" s="107"/>
      <c r="BT1219" s="107"/>
      <c r="BU1219" s="107"/>
      <c r="BV1219" s="107"/>
      <c r="BW1219" s="107"/>
      <c r="BX1219" s="107"/>
      <c r="BY1219" s="107"/>
      <c r="BZ1219" s="107"/>
      <c r="CA1219" s="107"/>
      <c r="CB1219" s="107"/>
      <c r="CC1219" s="107"/>
      <c r="CD1219" s="107"/>
      <c r="CE1219" s="107"/>
      <c r="CF1219" s="107"/>
      <c r="CG1219" s="107"/>
      <c r="CH1219" s="107"/>
      <c r="CI1219" s="107"/>
      <c r="CJ1219" s="107"/>
      <c r="CK1219" s="107"/>
      <c r="CL1219" s="107"/>
      <c r="CM1219" s="107"/>
      <c r="CN1219" s="118"/>
      <c r="CO1219" s="119"/>
      <c r="CP1219" s="118"/>
      <c r="CQ1219" s="119"/>
      <c r="CR1219" s="118"/>
      <c r="CS1219" s="119"/>
      <c r="CT1219" s="113"/>
      <c r="CU1219" s="118"/>
      <c r="CV1219" s="99">
        <f t="shared" ref="CV1219:CV1282" si="119">AO1219+AQ1219+AS1219+AU1219+AW1219+AY1219+BA1219+BC1219+BE1219+BG1219+BI1219+BK1219+BM1219+BO1219+BQ1219+BS1219+BU1219+BW1219+BY1219+CA1219+CC1219+CE1219+CG1219+CI1219+CK1219+CM1219+CO1219+CQ1219+CS1219+CU1219</f>
        <v>0</v>
      </c>
      <c r="CW1219" s="118"/>
      <c r="CX1219" s="119"/>
      <c r="CY1219" s="119"/>
      <c r="CZ1219" s="119"/>
      <c r="DA1219" s="118"/>
      <c r="DB1219" s="119"/>
      <c r="DC1219" s="111"/>
      <c r="DD1219" s="119"/>
      <c r="DE1219" s="111"/>
      <c r="DF1219" s="46"/>
    </row>
    <row r="1220" spans="1:110" s="42" customFormat="1" ht="48" x14ac:dyDescent="0.2">
      <c r="A1220" s="89">
        <v>40683</v>
      </c>
      <c r="B1220" s="106" t="s">
        <v>4308</v>
      </c>
      <c r="C1220" s="106" t="s">
        <v>793</v>
      </c>
      <c r="D1220" s="90" t="s">
        <v>4264</v>
      </c>
      <c r="E1220" s="90" t="str">
        <f>VLOOKUP(B1220&amp;C1220,Divipola!$C$2:$F$1138,4,FALSE)</f>
        <v>47798</v>
      </c>
      <c r="F1220" s="90"/>
      <c r="G1220" s="129"/>
      <c r="H1220" s="129"/>
      <c r="I1220" s="129"/>
      <c r="J1220" s="129"/>
      <c r="K1220" s="129"/>
      <c r="L1220" s="129"/>
      <c r="M1220" s="129"/>
      <c r="N1220" s="129"/>
      <c r="O1220" s="129"/>
      <c r="P1220" s="129"/>
      <c r="Q1220" s="129"/>
      <c r="R1220" s="129"/>
      <c r="S1220" s="129"/>
      <c r="T1220" s="129"/>
      <c r="U1220" s="129"/>
      <c r="V1220" s="129"/>
      <c r="W1220" s="107"/>
      <c r="X1220" s="105"/>
      <c r="Y1220" s="92">
        <f t="shared" si="114"/>
        <v>0</v>
      </c>
      <c r="Z1220" s="92">
        <f t="shared" si="115"/>
        <v>0</v>
      </c>
      <c r="AA1220" s="92">
        <f t="shared" si="116"/>
        <v>0</v>
      </c>
      <c r="AB1220" s="92">
        <f t="shared" si="117"/>
        <v>0</v>
      </c>
      <c r="AC1220" s="92"/>
      <c r="AD1220" s="92">
        <v>0</v>
      </c>
      <c r="AE1220" s="92">
        <f t="shared" si="118"/>
        <v>0</v>
      </c>
      <c r="AF1220" s="93">
        <v>0</v>
      </c>
      <c r="AG1220" s="105"/>
      <c r="AH1220" s="108"/>
      <c r="AI1220" s="109" t="s">
        <v>4336</v>
      </c>
      <c r="AJ1220" s="110" t="s">
        <v>4337</v>
      </c>
      <c r="AK1220" s="111"/>
      <c r="AL1220" s="105"/>
      <c r="AM1220" s="112" t="s">
        <v>822</v>
      </c>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c r="BJ1220" s="107"/>
      <c r="BK1220" s="107"/>
      <c r="BL1220" s="107"/>
      <c r="BM1220" s="107"/>
      <c r="BN1220" s="107"/>
      <c r="BO1220" s="107"/>
      <c r="BP1220" s="107"/>
      <c r="BQ1220" s="107"/>
      <c r="BR1220" s="107"/>
      <c r="BS1220" s="107"/>
      <c r="BT1220" s="107"/>
      <c r="BU1220" s="107"/>
      <c r="BV1220" s="107"/>
      <c r="BW1220" s="107"/>
      <c r="BX1220" s="107"/>
      <c r="BY1220" s="107"/>
      <c r="BZ1220" s="107"/>
      <c r="CA1220" s="107"/>
      <c r="CB1220" s="107"/>
      <c r="CC1220" s="107"/>
      <c r="CD1220" s="107"/>
      <c r="CE1220" s="107"/>
      <c r="CF1220" s="107"/>
      <c r="CG1220" s="107"/>
      <c r="CH1220" s="107"/>
      <c r="CI1220" s="107"/>
      <c r="CJ1220" s="107"/>
      <c r="CK1220" s="107"/>
      <c r="CL1220" s="107"/>
      <c r="CM1220" s="107"/>
      <c r="CN1220" s="118"/>
      <c r="CO1220" s="119"/>
      <c r="CP1220" s="118"/>
      <c r="CQ1220" s="119"/>
      <c r="CR1220" s="118"/>
      <c r="CS1220" s="119"/>
      <c r="CT1220" s="113"/>
      <c r="CU1220" s="118"/>
      <c r="CV1220" s="99">
        <f t="shared" si="119"/>
        <v>0</v>
      </c>
      <c r="CW1220" s="118"/>
      <c r="CX1220" s="119"/>
      <c r="CY1220" s="119"/>
      <c r="CZ1220" s="119"/>
      <c r="DA1220" s="118"/>
      <c r="DB1220" s="119"/>
      <c r="DC1220" s="111"/>
      <c r="DD1220" s="119"/>
      <c r="DE1220" s="111"/>
      <c r="DF1220" s="46"/>
    </row>
    <row r="1221" spans="1:110" s="42" customFormat="1" ht="24" x14ac:dyDescent="0.2">
      <c r="A1221" s="89">
        <v>40683</v>
      </c>
      <c r="B1221" s="106" t="s">
        <v>4308</v>
      </c>
      <c r="C1221" s="106" t="s">
        <v>2036</v>
      </c>
      <c r="D1221" s="90" t="s">
        <v>4264</v>
      </c>
      <c r="E1221" s="90" t="str">
        <f>VLOOKUP(B1221&amp;C1221,Divipola!$C$2:$F$1138,4,FALSE)</f>
        <v>47960</v>
      </c>
      <c r="F1221" s="90"/>
      <c r="G1221" s="129"/>
      <c r="H1221" s="129"/>
      <c r="I1221" s="129"/>
      <c r="J1221" s="129">
        <f>321*5</f>
        <v>1605</v>
      </c>
      <c r="K1221" s="129">
        <v>321</v>
      </c>
      <c r="L1221" s="129"/>
      <c r="M1221" s="129"/>
      <c r="N1221" s="129"/>
      <c r="O1221" s="129"/>
      <c r="P1221" s="129"/>
      <c r="Q1221" s="129"/>
      <c r="R1221" s="129"/>
      <c r="S1221" s="129"/>
      <c r="T1221" s="129"/>
      <c r="U1221" s="129"/>
      <c r="V1221" s="129"/>
      <c r="W1221" s="107"/>
      <c r="X1221" s="105"/>
      <c r="Y1221" s="92">
        <f t="shared" si="114"/>
        <v>0</v>
      </c>
      <c r="Z1221" s="92">
        <f t="shared" si="115"/>
        <v>0</v>
      </c>
      <c r="AA1221" s="92">
        <f t="shared" si="116"/>
        <v>0</v>
      </c>
      <c r="AB1221" s="92">
        <f t="shared" si="117"/>
        <v>0</v>
      </c>
      <c r="AC1221" s="92"/>
      <c r="AD1221" s="92">
        <v>0</v>
      </c>
      <c r="AE1221" s="92">
        <f t="shared" si="118"/>
        <v>0</v>
      </c>
      <c r="AF1221" s="93">
        <v>0</v>
      </c>
      <c r="AG1221" s="105"/>
      <c r="AH1221" s="108"/>
      <c r="AI1221" s="109" t="s">
        <v>4336</v>
      </c>
      <c r="AJ1221" s="110" t="s">
        <v>4337</v>
      </c>
      <c r="AK1221" s="111"/>
      <c r="AL1221" s="105"/>
      <c r="AM1221" s="112" t="s">
        <v>2364</v>
      </c>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c r="BJ1221" s="107"/>
      <c r="BK1221" s="107"/>
      <c r="BL1221" s="107"/>
      <c r="BM1221" s="107"/>
      <c r="BN1221" s="107"/>
      <c r="BO1221" s="107"/>
      <c r="BP1221" s="107"/>
      <c r="BQ1221" s="107"/>
      <c r="BR1221" s="107"/>
      <c r="BS1221" s="107"/>
      <c r="BT1221" s="107"/>
      <c r="BU1221" s="107"/>
      <c r="BV1221" s="107"/>
      <c r="BW1221" s="107"/>
      <c r="BX1221" s="107"/>
      <c r="BY1221" s="107"/>
      <c r="BZ1221" s="107"/>
      <c r="CA1221" s="107"/>
      <c r="CB1221" s="107"/>
      <c r="CC1221" s="107"/>
      <c r="CD1221" s="107"/>
      <c r="CE1221" s="107"/>
      <c r="CF1221" s="107"/>
      <c r="CG1221" s="107"/>
      <c r="CH1221" s="107"/>
      <c r="CI1221" s="107"/>
      <c r="CJ1221" s="107"/>
      <c r="CK1221" s="107"/>
      <c r="CL1221" s="107"/>
      <c r="CM1221" s="107"/>
      <c r="CN1221" s="118"/>
      <c r="CO1221" s="119"/>
      <c r="CP1221" s="118"/>
      <c r="CQ1221" s="119"/>
      <c r="CR1221" s="118"/>
      <c r="CS1221" s="119"/>
      <c r="CT1221" s="113"/>
      <c r="CU1221" s="118"/>
      <c r="CV1221" s="99">
        <f t="shared" si="119"/>
        <v>0</v>
      </c>
      <c r="CW1221" s="118"/>
      <c r="CX1221" s="119"/>
      <c r="CY1221" s="119"/>
      <c r="CZ1221" s="119"/>
      <c r="DA1221" s="118"/>
      <c r="DB1221" s="119"/>
      <c r="DC1221" s="111"/>
      <c r="DD1221" s="119"/>
      <c r="DE1221" s="111"/>
      <c r="DF1221" s="46"/>
    </row>
    <row r="1222" spans="1:110" s="42" customFormat="1" ht="48" x14ac:dyDescent="0.2">
      <c r="A1222" s="89">
        <v>40683</v>
      </c>
      <c r="B1222" s="106" t="s">
        <v>4308</v>
      </c>
      <c r="C1222" s="106" t="s">
        <v>2039</v>
      </c>
      <c r="D1222" s="90" t="s">
        <v>4264</v>
      </c>
      <c r="E1222" s="90" t="str">
        <f>VLOOKUP(B1222&amp;C1222,Divipola!$C$2:$F$1138,4,FALSE)</f>
        <v>47980</v>
      </c>
      <c r="F1222" s="90"/>
      <c r="G1222" s="129"/>
      <c r="H1222" s="129"/>
      <c r="I1222" s="129"/>
      <c r="J1222" s="129">
        <f>1105*5</f>
        <v>5525</v>
      </c>
      <c r="K1222" s="129">
        <v>1105</v>
      </c>
      <c r="L1222" s="129"/>
      <c r="M1222" s="129"/>
      <c r="N1222" s="129"/>
      <c r="O1222" s="129"/>
      <c r="P1222" s="129"/>
      <c r="Q1222" s="129"/>
      <c r="R1222" s="129"/>
      <c r="S1222" s="129"/>
      <c r="T1222" s="129"/>
      <c r="U1222" s="129"/>
      <c r="V1222" s="129"/>
      <c r="W1222" s="107"/>
      <c r="X1222" s="105"/>
      <c r="Y1222" s="92">
        <f t="shared" si="114"/>
        <v>56600000</v>
      </c>
      <c r="Z1222" s="92">
        <f t="shared" si="115"/>
        <v>0</v>
      </c>
      <c r="AA1222" s="92">
        <f t="shared" si="116"/>
        <v>49176000</v>
      </c>
      <c r="AB1222" s="92">
        <f t="shared" si="117"/>
        <v>9100000</v>
      </c>
      <c r="AC1222" s="124">
        <f>100*23000+100*35000+200*34000</f>
        <v>12600000</v>
      </c>
      <c r="AD1222" s="92">
        <v>0</v>
      </c>
      <c r="AE1222" s="92">
        <f t="shared" si="118"/>
        <v>127476000</v>
      </c>
      <c r="AF1222" s="93">
        <v>0</v>
      </c>
      <c r="AG1222" s="105"/>
      <c r="AH1222" s="108"/>
      <c r="AI1222" s="109" t="s">
        <v>4346</v>
      </c>
      <c r="AJ1222" s="110" t="s">
        <v>4347</v>
      </c>
      <c r="AK1222" s="111"/>
      <c r="AL1222" s="105"/>
      <c r="AM1222" s="112" t="s">
        <v>2107</v>
      </c>
      <c r="AN1222" s="107"/>
      <c r="AO1222" s="107"/>
      <c r="AP1222" s="107"/>
      <c r="AQ1222" s="107"/>
      <c r="AR1222" s="107"/>
      <c r="AS1222" s="107"/>
      <c r="AT1222" s="107"/>
      <c r="AU1222" s="107"/>
      <c r="AV1222" s="107"/>
      <c r="AW1222" s="107"/>
      <c r="AX1222" s="107"/>
      <c r="AY1222" s="107"/>
      <c r="AZ1222" s="107">
        <v>500</v>
      </c>
      <c r="BA1222" s="107">
        <f>500*56000</f>
        <v>28000000</v>
      </c>
      <c r="BB1222" s="107"/>
      <c r="BC1222" s="107"/>
      <c r="BD1222" s="107">
        <v>50</v>
      </c>
      <c r="BE1222" s="107">
        <f>50*24000</f>
        <v>1200000</v>
      </c>
      <c r="BF1222" s="107"/>
      <c r="BG1222" s="107"/>
      <c r="BH1222" s="107"/>
      <c r="BI1222" s="107"/>
      <c r="BJ1222" s="107"/>
      <c r="BK1222" s="107"/>
      <c r="BL1222" s="107"/>
      <c r="BM1222" s="107"/>
      <c r="BN1222" s="107"/>
      <c r="BO1222" s="107"/>
      <c r="BP1222" s="107"/>
      <c r="BQ1222" s="107"/>
      <c r="BR1222" s="107"/>
      <c r="BS1222" s="107"/>
      <c r="BT1222" s="107"/>
      <c r="BU1222" s="107"/>
      <c r="BV1222" s="107"/>
      <c r="BW1222" s="107"/>
      <c r="BX1222" s="107"/>
      <c r="BY1222" s="107"/>
      <c r="BZ1222" s="107">
        <v>20</v>
      </c>
      <c r="CA1222" s="107">
        <f>20*500000</f>
        <v>10000000</v>
      </c>
      <c r="CB1222" s="107"/>
      <c r="CC1222" s="107"/>
      <c r="CD1222" s="107"/>
      <c r="CE1222" s="107"/>
      <c r="CF1222" s="107"/>
      <c r="CG1222" s="107"/>
      <c r="CH1222" s="107"/>
      <c r="CI1222" s="107"/>
      <c r="CJ1222" s="107">
        <v>400</v>
      </c>
      <c r="CK1222" s="107">
        <f>400*21000</f>
        <v>8400000</v>
      </c>
      <c r="CL1222" s="107"/>
      <c r="CM1222" s="107"/>
      <c r="CN1222" s="118">
        <v>500</v>
      </c>
      <c r="CO1222" s="119">
        <f>500*18000</f>
        <v>9000000</v>
      </c>
      <c r="CP1222" s="118"/>
      <c r="CQ1222" s="119"/>
      <c r="CR1222" s="118"/>
      <c r="CS1222" s="119"/>
      <c r="CT1222" s="113"/>
      <c r="CU1222" s="118"/>
      <c r="CV1222" s="99">
        <f t="shared" si="119"/>
        <v>56600000</v>
      </c>
      <c r="CW1222" s="118">
        <v>10000</v>
      </c>
      <c r="CX1222" s="119">
        <f>10000*910</f>
        <v>9100000</v>
      </c>
      <c r="CY1222" s="119"/>
      <c r="CZ1222" s="119"/>
      <c r="DA1222" s="118"/>
      <c r="DB1222" s="119"/>
      <c r="DC1222" s="111">
        <v>2000</v>
      </c>
      <c r="DD1222" s="119">
        <f>2000*22500+12000*348</f>
        <v>49176000</v>
      </c>
      <c r="DE1222" s="111"/>
      <c r="DF1222" s="46"/>
    </row>
    <row r="1223" spans="1:110" s="42" customFormat="1" ht="24" x14ac:dyDescent="0.2">
      <c r="A1223" s="89">
        <v>40683</v>
      </c>
      <c r="B1223" s="106" t="s">
        <v>4387</v>
      </c>
      <c r="C1223" s="106" t="s">
        <v>476</v>
      </c>
      <c r="D1223" s="90" t="s">
        <v>4264</v>
      </c>
      <c r="E1223" s="90" t="str">
        <f>VLOOKUP(B1223&amp;C1223,Divipola!$C$2:$F$1138,4,FALSE)</f>
        <v>52323</v>
      </c>
      <c r="F1223" s="90"/>
      <c r="G1223" s="129"/>
      <c r="H1223" s="129"/>
      <c r="I1223" s="129"/>
      <c r="J1223" s="129">
        <v>16</v>
      </c>
      <c r="K1223" s="129">
        <v>4</v>
      </c>
      <c r="L1223" s="129"/>
      <c r="M1223" s="129">
        <v>4</v>
      </c>
      <c r="N1223" s="129"/>
      <c r="O1223" s="129"/>
      <c r="P1223" s="129"/>
      <c r="Q1223" s="129"/>
      <c r="R1223" s="129"/>
      <c r="S1223" s="129"/>
      <c r="T1223" s="129"/>
      <c r="U1223" s="129"/>
      <c r="V1223" s="129">
        <v>8.5</v>
      </c>
      <c r="W1223" s="107"/>
      <c r="X1223" s="105"/>
      <c r="Y1223" s="92">
        <f t="shared" si="114"/>
        <v>0</v>
      </c>
      <c r="Z1223" s="92">
        <f t="shared" si="115"/>
        <v>0</v>
      </c>
      <c r="AA1223" s="92">
        <f t="shared" si="116"/>
        <v>0</v>
      </c>
      <c r="AB1223" s="92">
        <f t="shared" si="117"/>
        <v>0</v>
      </c>
      <c r="AC1223" s="92"/>
      <c r="AD1223" s="92">
        <v>0</v>
      </c>
      <c r="AE1223" s="92">
        <f t="shared" si="118"/>
        <v>0</v>
      </c>
      <c r="AF1223" s="93">
        <v>0</v>
      </c>
      <c r="AG1223" s="105"/>
      <c r="AH1223" s="108"/>
      <c r="AI1223" s="109" t="s">
        <v>4336</v>
      </c>
      <c r="AJ1223" s="110" t="s">
        <v>4337</v>
      </c>
      <c r="AK1223" s="111"/>
      <c r="AL1223" s="105" t="s">
        <v>1069</v>
      </c>
      <c r="AM1223" s="112" t="s">
        <v>90</v>
      </c>
      <c r="AN1223" s="107"/>
      <c r="AO1223" s="107"/>
      <c r="AP1223" s="107"/>
      <c r="AQ1223" s="107"/>
      <c r="AR1223" s="107"/>
      <c r="AS1223" s="107"/>
      <c r="AT1223" s="107"/>
      <c r="AU1223" s="107"/>
      <c r="AV1223" s="107"/>
      <c r="AW1223" s="107"/>
      <c r="AX1223" s="107"/>
      <c r="AY1223" s="107"/>
      <c r="AZ1223" s="107"/>
      <c r="BA1223" s="107"/>
      <c r="BB1223" s="107"/>
      <c r="BC1223" s="107"/>
      <c r="BD1223" s="107"/>
      <c r="BE1223" s="107"/>
      <c r="BF1223" s="107"/>
      <c r="BG1223" s="107"/>
      <c r="BH1223" s="107"/>
      <c r="BI1223" s="107"/>
      <c r="BJ1223" s="107"/>
      <c r="BK1223" s="107"/>
      <c r="BL1223" s="107"/>
      <c r="BM1223" s="107"/>
      <c r="BN1223" s="107"/>
      <c r="BO1223" s="107"/>
      <c r="BP1223" s="107"/>
      <c r="BQ1223" s="107"/>
      <c r="BR1223" s="107"/>
      <c r="BS1223" s="107"/>
      <c r="BT1223" s="107"/>
      <c r="BU1223" s="107"/>
      <c r="BV1223" s="107"/>
      <c r="BW1223" s="107"/>
      <c r="BX1223" s="107"/>
      <c r="BY1223" s="107"/>
      <c r="BZ1223" s="107"/>
      <c r="CA1223" s="107"/>
      <c r="CB1223" s="107"/>
      <c r="CC1223" s="107"/>
      <c r="CD1223" s="107"/>
      <c r="CE1223" s="107"/>
      <c r="CF1223" s="107"/>
      <c r="CG1223" s="107"/>
      <c r="CH1223" s="107"/>
      <c r="CI1223" s="107"/>
      <c r="CJ1223" s="107"/>
      <c r="CK1223" s="107"/>
      <c r="CL1223" s="107"/>
      <c r="CM1223" s="107"/>
      <c r="CN1223" s="118"/>
      <c r="CO1223" s="119"/>
      <c r="CP1223" s="118"/>
      <c r="CQ1223" s="119"/>
      <c r="CR1223" s="118"/>
      <c r="CS1223" s="119"/>
      <c r="CT1223" s="113"/>
      <c r="CU1223" s="118"/>
      <c r="CV1223" s="99">
        <f t="shared" si="119"/>
        <v>0</v>
      </c>
      <c r="CW1223" s="118"/>
      <c r="CX1223" s="119"/>
      <c r="CY1223" s="119"/>
      <c r="CZ1223" s="119"/>
      <c r="DA1223" s="118"/>
      <c r="DB1223" s="119"/>
      <c r="DC1223" s="111"/>
      <c r="DD1223" s="119"/>
      <c r="DE1223" s="111"/>
      <c r="DF1223" s="46"/>
    </row>
    <row r="1224" spans="1:110" s="42" customFormat="1" ht="36" x14ac:dyDescent="0.2">
      <c r="A1224" s="89">
        <v>40683</v>
      </c>
      <c r="B1224" s="106" t="s">
        <v>4387</v>
      </c>
      <c r="C1224" s="106" t="s">
        <v>514</v>
      </c>
      <c r="D1224" s="90" t="s">
        <v>2362</v>
      </c>
      <c r="E1224" s="90" t="str">
        <f>VLOOKUP(B1224&amp;C1224,Divipola!$C$2:$F$1138,4,FALSE)</f>
        <v>52560</v>
      </c>
      <c r="F1224" s="90"/>
      <c r="G1224" s="129"/>
      <c r="H1224" s="129"/>
      <c r="I1224" s="129"/>
      <c r="J1224" s="129">
        <v>900</v>
      </c>
      <c r="K1224" s="129">
        <v>180</v>
      </c>
      <c r="L1224" s="129"/>
      <c r="M1224" s="129">
        <v>180</v>
      </c>
      <c r="N1224" s="129">
        <v>1</v>
      </c>
      <c r="O1224" s="129"/>
      <c r="P1224" s="129"/>
      <c r="Q1224" s="129"/>
      <c r="R1224" s="129">
        <v>1</v>
      </c>
      <c r="S1224" s="129"/>
      <c r="T1224" s="129"/>
      <c r="U1224" s="129"/>
      <c r="V1224" s="129"/>
      <c r="W1224" s="107"/>
      <c r="X1224" s="105"/>
      <c r="Y1224" s="92">
        <f t="shared" si="114"/>
        <v>0</v>
      </c>
      <c r="Z1224" s="92">
        <f t="shared" si="115"/>
        <v>0</v>
      </c>
      <c r="AA1224" s="92">
        <f t="shared" si="116"/>
        <v>0</v>
      </c>
      <c r="AB1224" s="92">
        <f t="shared" si="117"/>
        <v>0</v>
      </c>
      <c r="AC1224" s="92"/>
      <c r="AD1224" s="92">
        <v>0</v>
      </c>
      <c r="AE1224" s="92">
        <f t="shared" si="118"/>
        <v>0</v>
      </c>
      <c r="AF1224" s="93">
        <v>0</v>
      </c>
      <c r="AG1224" s="105"/>
      <c r="AH1224" s="108"/>
      <c r="AI1224" s="109" t="s">
        <v>4336</v>
      </c>
      <c r="AJ1224" s="110" t="s">
        <v>4337</v>
      </c>
      <c r="AK1224" s="111"/>
      <c r="AL1224" s="105" t="s">
        <v>1069</v>
      </c>
      <c r="AM1224" s="112" t="s">
        <v>91</v>
      </c>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c r="BJ1224" s="107"/>
      <c r="BK1224" s="107"/>
      <c r="BL1224" s="107"/>
      <c r="BM1224" s="107"/>
      <c r="BN1224" s="107"/>
      <c r="BO1224" s="107"/>
      <c r="BP1224" s="107"/>
      <c r="BQ1224" s="107"/>
      <c r="BR1224" s="107"/>
      <c r="BS1224" s="107"/>
      <c r="BT1224" s="107"/>
      <c r="BU1224" s="107"/>
      <c r="BV1224" s="107"/>
      <c r="BW1224" s="107"/>
      <c r="BX1224" s="107"/>
      <c r="BY1224" s="107"/>
      <c r="BZ1224" s="107"/>
      <c r="CA1224" s="107"/>
      <c r="CB1224" s="107"/>
      <c r="CC1224" s="107"/>
      <c r="CD1224" s="107"/>
      <c r="CE1224" s="107"/>
      <c r="CF1224" s="107"/>
      <c r="CG1224" s="107"/>
      <c r="CH1224" s="107"/>
      <c r="CI1224" s="107"/>
      <c r="CJ1224" s="107"/>
      <c r="CK1224" s="107"/>
      <c r="CL1224" s="107"/>
      <c r="CM1224" s="107"/>
      <c r="CN1224" s="118"/>
      <c r="CO1224" s="119"/>
      <c r="CP1224" s="118"/>
      <c r="CQ1224" s="119"/>
      <c r="CR1224" s="118"/>
      <c r="CS1224" s="119"/>
      <c r="CT1224" s="113"/>
      <c r="CU1224" s="118"/>
      <c r="CV1224" s="99">
        <f t="shared" si="119"/>
        <v>0</v>
      </c>
      <c r="CW1224" s="118"/>
      <c r="CX1224" s="119"/>
      <c r="CY1224" s="119"/>
      <c r="CZ1224" s="119"/>
      <c r="DA1224" s="118"/>
      <c r="DB1224" s="119"/>
      <c r="DC1224" s="111"/>
      <c r="DD1224" s="119"/>
      <c r="DE1224" s="111"/>
      <c r="DF1224" s="46"/>
    </row>
    <row r="1225" spans="1:110" s="42" customFormat="1" ht="22.5" x14ac:dyDescent="0.2">
      <c r="A1225" s="89">
        <v>40683</v>
      </c>
      <c r="B1225" s="106" t="s">
        <v>4221</v>
      </c>
      <c r="C1225" s="106" t="s">
        <v>4299</v>
      </c>
      <c r="D1225" s="90" t="s">
        <v>2362</v>
      </c>
      <c r="E1225" s="90" t="str">
        <f>VLOOKUP(B1225&amp;C1225,Divipola!$C$2:$F$1138,4,FALSE)</f>
        <v>54001</v>
      </c>
      <c r="F1225" s="90"/>
      <c r="G1225" s="129"/>
      <c r="H1225" s="129"/>
      <c r="I1225" s="129"/>
      <c r="J1225" s="129">
        <v>75</v>
      </c>
      <c r="K1225" s="129">
        <v>15</v>
      </c>
      <c r="L1225" s="129"/>
      <c r="M1225" s="129">
        <v>15</v>
      </c>
      <c r="N1225" s="129"/>
      <c r="O1225" s="129"/>
      <c r="P1225" s="129"/>
      <c r="Q1225" s="129"/>
      <c r="R1225" s="129"/>
      <c r="S1225" s="129"/>
      <c r="T1225" s="129"/>
      <c r="U1225" s="129"/>
      <c r="V1225" s="129"/>
      <c r="W1225" s="107"/>
      <c r="X1225" s="105"/>
      <c r="Y1225" s="92">
        <f t="shared" si="114"/>
        <v>0</v>
      </c>
      <c r="Z1225" s="92">
        <f t="shared" si="115"/>
        <v>0</v>
      </c>
      <c r="AA1225" s="92">
        <f t="shared" si="116"/>
        <v>0</v>
      </c>
      <c r="AB1225" s="92">
        <f t="shared" si="117"/>
        <v>0</v>
      </c>
      <c r="AC1225" s="92"/>
      <c r="AD1225" s="92">
        <v>0</v>
      </c>
      <c r="AE1225" s="92">
        <f t="shared" si="118"/>
        <v>0</v>
      </c>
      <c r="AF1225" s="93">
        <v>0</v>
      </c>
      <c r="AG1225" s="105"/>
      <c r="AH1225" s="108"/>
      <c r="AI1225" s="102" t="s">
        <v>4336</v>
      </c>
      <c r="AJ1225" s="96" t="s">
        <v>4337</v>
      </c>
      <c r="AK1225" s="111"/>
      <c r="AL1225" s="105"/>
      <c r="AM1225" s="112" t="s">
        <v>365</v>
      </c>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18"/>
      <c r="CO1225" s="119"/>
      <c r="CP1225" s="118"/>
      <c r="CQ1225" s="119"/>
      <c r="CR1225" s="118"/>
      <c r="CS1225" s="119"/>
      <c r="CT1225" s="113"/>
      <c r="CU1225" s="118"/>
      <c r="CV1225" s="99">
        <f t="shared" si="119"/>
        <v>0</v>
      </c>
      <c r="CW1225" s="118"/>
      <c r="CX1225" s="119"/>
      <c r="CY1225" s="119"/>
      <c r="CZ1225" s="119"/>
      <c r="DA1225" s="118"/>
      <c r="DB1225" s="119"/>
      <c r="DC1225" s="111"/>
      <c r="DD1225" s="119"/>
      <c r="DE1225" s="111"/>
      <c r="DF1225" s="46"/>
    </row>
    <row r="1226" spans="1:110" s="42" customFormat="1" x14ac:dyDescent="0.2">
      <c r="A1226" s="89">
        <v>40683</v>
      </c>
      <c r="B1226" s="106" t="s">
        <v>4348</v>
      </c>
      <c r="C1226" s="106" t="s">
        <v>3553</v>
      </c>
      <c r="D1226" s="106" t="s">
        <v>3346</v>
      </c>
      <c r="E1226" s="90" t="str">
        <f>VLOOKUP(B1226&amp;C1226,Divipola!$C$2:$F$1138,4,FALSE)</f>
        <v>66075</v>
      </c>
      <c r="F1226" s="90"/>
      <c r="G1226" s="129"/>
      <c r="H1226" s="129"/>
      <c r="I1226" s="129"/>
      <c r="J1226" s="129">
        <v>4</v>
      </c>
      <c r="K1226" s="129">
        <v>1</v>
      </c>
      <c r="L1226" s="129"/>
      <c r="M1226" s="129">
        <v>1</v>
      </c>
      <c r="N1226" s="129"/>
      <c r="O1226" s="129"/>
      <c r="P1226" s="129"/>
      <c r="Q1226" s="129"/>
      <c r="R1226" s="129"/>
      <c r="S1226" s="129"/>
      <c r="T1226" s="129"/>
      <c r="U1226" s="129"/>
      <c r="V1226" s="129"/>
      <c r="W1226" s="107"/>
      <c r="X1226" s="105"/>
      <c r="Y1226" s="92">
        <f t="shared" si="114"/>
        <v>0</v>
      </c>
      <c r="Z1226" s="92">
        <f t="shared" si="115"/>
        <v>0</v>
      </c>
      <c r="AA1226" s="92">
        <f t="shared" si="116"/>
        <v>0</v>
      </c>
      <c r="AB1226" s="92">
        <f t="shared" si="117"/>
        <v>0</v>
      </c>
      <c r="AC1226" s="92"/>
      <c r="AD1226" s="92">
        <v>0</v>
      </c>
      <c r="AE1226" s="92">
        <f t="shared" si="118"/>
        <v>0</v>
      </c>
      <c r="AF1226" s="93">
        <v>0</v>
      </c>
      <c r="AG1226" s="105"/>
      <c r="AH1226" s="108"/>
      <c r="AI1226" s="109" t="s">
        <v>4336</v>
      </c>
      <c r="AJ1226" s="110" t="s">
        <v>4337</v>
      </c>
      <c r="AK1226" s="111"/>
      <c r="AL1226" s="105"/>
      <c r="AM1226" s="112" t="s">
        <v>4145</v>
      </c>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c r="BJ1226" s="107"/>
      <c r="BK1226" s="107"/>
      <c r="BL1226" s="107"/>
      <c r="BM1226" s="107"/>
      <c r="BN1226" s="107"/>
      <c r="BO1226" s="107"/>
      <c r="BP1226" s="107"/>
      <c r="BQ1226" s="107"/>
      <c r="BR1226" s="107"/>
      <c r="BS1226" s="107"/>
      <c r="BT1226" s="107"/>
      <c r="BU1226" s="107"/>
      <c r="BV1226" s="107"/>
      <c r="BW1226" s="107"/>
      <c r="BX1226" s="107"/>
      <c r="BY1226" s="107"/>
      <c r="BZ1226" s="107"/>
      <c r="CA1226" s="107"/>
      <c r="CB1226" s="107"/>
      <c r="CC1226" s="107"/>
      <c r="CD1226" s="107"/>
      <c r="CE1226" s="107"/>
      <c r="CF1226" s="107"/>
      <c r="CG1226" s="107"/>
      <c r="CH1226" s="107"/>
      <c r="CI1226" s="107"/>
      <c r="CJ1226" s="107"/>
      <c r="CK1226" s="107"/>
      <c r="CL1226" s="118"/>
      <c r="CM1226" s="119"/>
      <c r="CN1226" s="118"/>
      <c r="CO1226" s="119"/>
      <c r="CP1226" s="118"/>
      <c r="CQ1226" s="119"/>
      <c r="CR1226" s="113"/>
      <c r="CS1226" s="118"/>
      <c r="CT1226" s="113"/>
      <c r="CU1226" s="118"/>
      <c r="CV1226" s="99">
        <f t="shared" si="119"/>
        <v>0</v>
      </c>
      <c r="CW1226" s="119"/>
      <c r="CX1226" s="119"/>
      <c r="CY1226" s="118"/>
      <c r="CZ1226" s="119"/>
      <c r="DA1226" s="111"/>
      <c r="DB1226" s="119"/>
      <c r="DC1226" s="111"/>
      <c r="DD1226" s="119"/>
      <c r="DE1226" s="111"/>
      <c r="DF1226" s="46"/>
    </row>
    <row r="1227" spans="1:110" s="42" customFormat="1" ht="36" x14ac:dyDescent="0.2">
      <c r="A1227" s="89">
        <v>40683</v>
      </c>
      <c r="B1227" s="106" t="s">
        <v>4244</v>
      </c>
      <c r="C1227" s="106" t="s">
        <v>3179</v>
      </c>
      <c r="D1227" s="90" t="s">
        <v>2362</v>
      </c>
      <c r="E1227" s="90" t="str">
        <f>VLOOKUP(B1227&amp;C1227,Divipola!$C$2:$F$1138,4,FALSE)</f>
        <v>76616</v>
      </c>
      <c r="F1227" s="90"/>
      <c r="G1227" s="129"/>
      <c r="H1227" s="129"/>
      <c r="I1227" s="129"/>
      <c r="J1227" s="129"/>
      <c r="K1227" s="129"/>
      <c r="L1227" s="129"/>
      <c r="M1227" s="129"/>
      <c r="N1227" s="129"/>
      <c r="O1227" s="129"/>
      <c r="P1227" s="129"/>
      <c r="Q1227" s="129"/>
      <c r="R1227" s="129"/>
      <c r="S1227" s="129"/>
      <c r="T1227" s="129"/>
      <c r="U1227" s="129"/>
      <c r="V1227" s="129"/>
      <c r="W1227" s="107"/>
      <c r="X1227" s="105"/>
      <c r="Y1227" s="92">
        <f t="shared" si="114"/>
        <v>0</v>
      </c>
      <c r="Z1227" s="92">
        <f t="shared" si="115"/>
        <v>0</v>
      </c>
      <c r="AA1227" s="92">
        <f t="shared" si="116"/>
        <v>0</v>
      </c>
      <c r="AB1227" s="92">
        <f t="shared" si="117"/>
        <v>0</v>
      </c>
      <c r="AC1227" s="92"/>
      <c r="AD1227" s="92">
        <v>15000000</v>
      </c>
      <c r="AE1227" s="92">
        <f t="shared" si="118"/>
        <v>15000000</v>
      </c>
      <c r="AF1227" s="93">
        <v>0</v>
      </c>
      <c r="AG1227" s="105"/>
      <c r="AH1227" s="108"/>
      <c r="AI1227" s="102" t="s">
        <v>4346</v>
      </c>
      <c r="AJ1227" s="96" t="s">
        <v>4347</v>
      </c>
      <c r="AK1227" s="111"/>
      <c r="AL1227" s="105"/>
      <c r="AM1227" s="112" t="s">
        <v>2032</v>
      </c>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c r="BJ1227" s="107"/>
      <c r="BK1227" s="107"/>
      <c r="BL1227" s="107"/>
      <c r="BM1227" s="107"/>
      <c r="BN1227" s="107"/>
      <c r="BO1227" s="107"/>
      <c r="BP1227" s="107"/>
      <c r="BQ1227" s="107"/>
      <c r="BR1227" s="107"/>
      <c r="BS1227" s="107"/>
      <c r="BT1227" s="107"/>
      <c r="BU1227" s="107"/>
      <c r="BV1227" s="107"/>
      <c r="BW1227" s="107"/>
      <c r="BX1227" s="107"/>
      <c r="BY1227" s="107"/>
      <c r="BZ1227" s="107"/>
      <c r="CA1227" s="107"/>
      <c r="CB1227" s="107"/>
      <c r="CC1227" s="107"/>
      <c r="CD1227" s="107"/>
      <c r="CE1227" s="107"/>
      <c r="CF1227" s="107"/>
      <c r="CG1227" s="107"/>
      <c r="CH1227" s="107"/>
      <c r="CI1227" s="107"/>
      <c r="CJ1227" s="107"/>
      <c r="CK1227" s="107"/>
      <c r="CL1227" s="107"/>
      <c r="CM1227" s="107"/>
      <c r="CN1227" s="118"/>
      <c r="CO1227" s="119"/>
      <c r="CP1227" s="118"/>
      <c r="CQ1227" s="119"/>
      <c r="CR1227" s="118"/>
      <c r="CS1227" s="119"/>
      <c r="CT1227" s="113"/>
      <c r="CU1227" s="118"/>
      <c r="CV1227" s="99">
        <f t="shared" si="119"/>
        <v>0</v>
      </c>
      <c r="CW1227" s="118"/>
      <c r="CX1227" s="119"/>
      <c r="CY1227" s="119"/>
      <c r="CZ1227" s="119"/>
      <c r="DA1227" s="118"/>
      <c r="DB1227" s="119"/>
      <c r="DC1227" s="111"/>
      <c r="DD1227" s="119"/>
      <c r="DE1227" s="111"/>
      <c r="DF1227" s="46"/>
    </row>
    <row r="1228" spans="1:110" s="42" customFormat="1" ht="36" x14ac:dyDescent="0.2">
      <c r="A1228" s="89">
        <v>40684</v>
      </c>
      <c r="B1228" s="106" t="s">
        <v>2857</v>
      </c>
      <c r="C1228" s="106" t="s">
        <v>4345</v>
      </c>
      <c r="D1228" s="90" t="s">
        <v>4264</v>
      </c>
      <c r="E1228" s="90">
        <f>VLOOKUP(B1228&amp;C1228,Divipola!$C$2:$F$1138,4,FALSE)</f>
        <v>95</v>
      </c>
      <c r="F1228" s="90"/>
      <c r="G1228" s="129"/>
      <c r="H1228" s="129"/>
      <c r="I1228" s="129"/>
      <c r="J1228" s="129"/>
      <c r="K1228" s="129"/>
      <c r="L1228" s="129"/>
      <c r="M1228" s="129"/>
      <c r="N1228" s="129"/>
      <c r="O1228" s="129"/>
      <c r="P1228" s="129"/>
      <c r="Q1228" s="129"/>
      <c r="R1228" s="129"/>
      <c r="S1228" s="129"/>
      <c r="T1228" s="129"/>
      <c r="U1228" s="129"/>
      <c r="V1228" s="129"/>
      <c r="W1228" s="107"/>
      <c r="X1228" s="105"/>
      <c r="Y1228" s="92">
        <f t="shared" si="114"/>
        <v>0</v>
      </c>
      <c r="Z1228" s="92">
        <f t="shared" si="115"/>
        <v>0</v>
      </c>
      <c r="AA1228" s="92">
        <f t="shared" si="116"/>
        <v>0</v>
      </c>
      <c r="AB1228" s="92">
        <f t="shared" si="117"/>
        <v>0</v>
      </c>
      <c r="AC1228" s="92">
        <v>95468000</v>
      </c>
      <c r="AD1228" s="92">
        <v>0</v>
      </c>
      <c r="AE1228" s="92">
        <f t="shared" si="118"/>
        <v>95468000</v>
      </c>
      <c r="AF1228" s="93">
        <v>0</v>
      </c>
      <c r="AG1228" s="105"/>
      <c r="AH1228" s="108"/>
      <c r="AI1228" s="109" t="s">
        <v>4346</v>
      </c>
      <c r="AJ1228" s="110" t="s">
        <v>4347</v>
      </c>
      <c r="AK1228" s="111"/>
      <c r="AL1228" s="105"/>
      <c r="AM1228" s="126" t="s">
        <v>5518</v>
      </c>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c r="BJ1228" s="107"/>
      <c r="BK1228" s="107"/>
      <c r="BL1228" s="107"/>
      <c r="BM1228" s="107"/>
      <c r="BN1228" s="107"/>
      <c r="BO1228" s="107"/>
      <c r="BP1228" s="107"/>
      <c r="BQ1228" s="107"/>
      <c r="BR1228" s="107"/>
      <c r="BS1228" s="107"/>
      <c r="BT1228" s="107"/>
      <c r="BU1228" s="107"/>
      <c r="BV1228" s="107"/>
      <c r="BW1228" s="107"/>
      <c r="BX1228" s="107"/>
      <c r="BY1228" s="107"/>
      <c r="BZ1228" s="107"/>
      <c r="CA1228" s="107"/>
      <c r="CB1228" s="107"/>
      <c r="CC1228" s="107"/>
      <c r="CD1228" s="107"/>
      <c r="CE1228" s="107"/>
      <c r="CF1228" s="107"/>
      <c r="CG1228" s="107"/>
      <c r="CH1228" s="107"/>
      <c r="CI1228" s="107"/>
      <c r="CJ1228" s="107"/>
      <c r="CK1228" s="107"/>
      <c r="CL1228" s="107"/>
      <c r="CM1228" s="107"/>
      <c r="CN1228" s="118"/>
      <c r="CO1228" s="119"/>
      <c r="CP1228" s="118"/>
      <c r="CQ1228" s="119"/>
      <c r="CR1228" s="118"/>
      <c r="CS1228" s="119"/>
      <c r="CT1228" s="113"/>
      <c r="CU1228" s="118"/>
      <c r="CV1228" s="99">
        <f t="shared" si="119"/>
        <v>0</v>
      </c>
      <c r="CW1228" s="118"/>
      <c r="CX1228" s="119"/>
      <c r="CY1228" s="119"/>
      <c r="CZ1228" s="119"/>
      <c r="DA1228" s="118"/>
      <c r="DB1228" s="119"/>
      <c r="DC1228" s="111"/>
      <c r="DD1228" s="119"/>
      <c r="DE1228" s="111"/>
      <c r="DF1228" s="46"/>
    </row>
    <row r="1229" spans="1:110" s="42" customFormat="1" ht="192" x14ac:dyDescent="0.2">
      <c r="A1229" s="89">
        <v>40684</v>
      </c>
      <c r="B1229" s="106" t="s">
        <v>2857</v>
      </c>
      <c r="C1229" s="106" t="s">
        <v>2858</v>
      </c>
      <c r="D1229" s="90" t="s">
        <v>4264</v>
      </c>
      <c r="E1229" s="90" t="str">
        <f>VLOOKUP(B1229&amp;C1229,Divipola!$C$2:$F$1138,4,FALSE)</f>
        <v>95001</v>
      </c>
      <c r="F1229" s="90"/>
      <c r="G1229" s="129"/>
      <c r="H1229" s="129"/>
      <c r="I1229" s="129"/>
      <c r="J1229" s="129">
        <f>1158*5</f>
        <v>5790</v>
      </c>
      <c r="K1229" s="129">
        <v>1158</v>
      </c>
      <c r="L1229" s="129">
        <v>1</v>
      </c>
      <c r="M1229" s="129">
        <v>524</v>
      </c>
      <c r="N1229" s="129"/>
      <c r="O1229" s="129"/>
      <c r="P1229" s="129"/>
      <c r="Q1229" s="129"/>
      <c r="R1229" s="129"/>
      <c r="S1229" s="129"/>
      <c r="T1229" s="129"/>
      <c r="U1229" s="129"/>
      <c r="V1229" s="129"/>
      <c r="W1229" s="107"/>
      <c r="X1229" s="105"/>
      <c r="Y1229" s="92">
        <f t="shared" si="114"/>
        <v>725837500</v>
      </c>
      <c r="Z1229" s="92">
        <f t="shared" si="115"/>
        <v>170000000</v>
      </c>
      <c r="AA1229" s="92">
        <f t="shared" si="116"/>
        <v>22500000</v>
      </c>
      <c r="AB1229" s="92">
        <f t="shared" si="117"/>
        <v>0</v>
      </c>
      <c r="AC1229" s="92"/>
      <c r="AD1229" s="92">
        <v>10000000</v>
      </c>
      <c r="AE1229" s="92">
        <f t="shared" si="118"/>
        <v>928337500</v>
      </c>
      <c r="AF1229" s="93">
        <v>0</v>
      </c>
      <c r="AG1229" s="105"/>
      <c r="AH1229" s="108"/>
      <c r="AI1229" s="109" t="s">
        <v>4346</v>
      </c>
      <c r="AJ1229" s="110" t="s">
        <v>4347</v>
      </c>
      <c r="AK1229" s="111"/>
      <c r="AL1229" s="105"/>
      <c r="AM1229" s="112" t="s">
        <v>3657</v>
      </c>
      <c r="AN1229" s="107"/>
      <c r="AO1229" s="107"/>
      <c r="AP1229" s="107"/>
      <c r="AQ1229" s="107"/>
      <c r="AR1229" s="107"/>
      <c r="AS1229" s="107"/>
      <c r="AT1229" s="107"/>
      <c r="AU1229" s="107"/>
      <c r="AV1229" s="107"/>
      <c r="AW1229" s="107"/>
      <c r="AX1229" s="107"/>
      <c r="AY1229" s="107"/>
      <c r="AZ1229" s="107">
        <v>3000</v>
      </c>
      <c r="BA1229" s="107">
        <f>3000*56000</f>
        <v>168000000</v>
      </c>
      <c r="BB1229" s="107"/>
      <c r="BC1229" s="107"/>
      <c r="BD1229" s="107">
        <v>2000</v>
      </c>
      <c r="BE1229" s="107">
        <f>2000*24000</f>
        <v>48000000</v>
      </c>
      <c r="BF1229" s="107"/>
      <c r="BG1229" s="107"/>
      <c r="BH1229" s="107"/>
      <c r="BI1229" s="107"/>
      <c r="BJ1229" s="107"/>
      <c r="BK1229" s="107"/>
      <c r="BL1229" s="107"/>
      <c r="BM1229" s="107"/>
      <c r="BN1229" s="107"/>
      <c r="BO1229" s="107"/>
      <c r="BP1229" s="107"/>
      <c r="BQ1229" s="107"/>
      <c r="BR1229" s="107"/>
      <c r="BS1229" s="107"/>
      <c r="BT1229" s="107"/>
      <c r="BU1229" s="107"/>
      <c r="BV1229" s="107"/>
      <c r="BW1229" s="107"/>
      <c r="BX1229" s="107"/>
      <c r="BY1229" s="107"/>
      <c r="BZ1229" s="107">
        <f>50+25</f>
        <v>75</v>
      </c>
      <c r="CA1229" s="107">
        <f>50*500000+50*1948750</f>
        <v>122437500</v>
      </c>
      <c r="CB1229" s="107"/>
      <c r="CC1229" s="107"/>
      <c r="CD1229" s="107"/>
      <c r="CE1229" s="107"/>
      <c r="CF1229" s="107"/>
      <c r="CG1229" s="107"/>
      <c r="CH1229" s="107"/>
      <c r="CI1229" s="107"/>
      <c r="CJ1229" s="107">
        <v>6000</v>
      </c>
      <c r="CK1229" s="107">
        <f>6000*21000</f>
        <v>126000000</v>
      </c>
      <c r="CL1229" s="107"/>
      <c r="CM1229" s="107"/>
      <c r="CN1229" s="118">
        <v>6000</v>
      </c>
      <c r="CO1229" s="119">
        <f>6000*18000</f>
        <v>108000000</v>
      </c>
      <c r="CP1229" s="118">
        <v>2000</v>
      </c>
      <c r="CQ1229" s="119">
        <f>2000*37000</f>
        <v>74000000</v>
      </c>
      <c r="CR1229" s="118">
        <v>2000</v>
      </c>
      <c r="CS1229" s="119">
        <f>2000*39700</f>
        <v>79400000</v>
      </c>
      <c r="CT1229" s="113"/>
      <c r="CU1229" s="118"/>
      <c r="CV1229" s="99">
        <f t="shared" si="119"/>
        <v>725837500</v>
      </c>
      <c r="CW1229" s="118"/>
      <c r="CX1229" s="119"/>
      <c r="CY1229" s="119">
        <v>2000</v>
      </c>
      <c r="CZ1229" s="119">
        <f>2000*85000</f>
        <v>170000000</v>
      </c>
      <c r="DA1229" s="118"/>
      <c r="DB1229" s="119"/>
      <c r="DC1229" s="111">
        <v>1000</v>
      </c>
      <c r="DD1229" s="119">
        <f>1000*22500</f>
        <v>22500000</v>
      </c>
      <c r="DE1229" s="111"/>
      <c r="DF1229" s="46"/>
    </row>
    <row r="1230" spans="1:110" s="42" customFormat="1" ht="48" x14ac:dyDescent="0.2">
      <c r="A1230" s="89">
        <v>40684</v>
      </c>
      <c r="B1230" s="106" t="s">
        <v>4308</v>
      </c>
      <c r="C1230" s="106" t="s">
        <v>3891</v>
      </c>
      <c r="D1230" s="90" t="s">
        <v>4264</v>
      </c>
      <c r="E1230" s="90" t="str">
        <f>VLOOKUP(B1230&amp;C1230,Divipola!$C$2:$F$1138,4,FALSE)</f>
        <v>47205</v>
      </c>
      <c r="F1230" s="90"/>
      <c r="G1230" s="129"/>
      <c r="H1230" s="129"/>
      <c r="I1230" s="129"/>
      <c r="J1230" s="129"/>
      <c r="K1230" s="129"/>
      <c r="L1230" s="129"/>
      <c r="M1230" s="129"/>
      <c r="N1230" s="129"/>
      <c r="O1230" s="129"/>
      <c r="P1230" s="129"/>
      <c r="Q1230" s="129"/>
      <c r="R1230" s="129"/>
      <c r="S1230" s="129"/>
      <c r="T1230" s="129"/>
      <c r="U1230" s="129"/>
      <c r="V1230" s="129"/>
      <c r="W1230" s="107"/>
      <c r="X1230" s="105"/>
      <c r="Y1230" s="92">
        <f t="shared" si="114"/>
        <v>0</v>
      </c>
      <c r="Z1230" s="92">
        <f t="shared" si="115"/>
        <v>0</v>
      </c>
      <c r="AA1230" s="92">
        <f t="shared" si="116"/>
        <v>0</v>
      </c>
      <c r="AB1230" s="92">
        <f t="shared" si="117"/>
        <v>0</v>
      </c>
      <c r="AC1230" s="92"/>
      <c r="AD1230" s="92">
        <v>0</v>
      </c>
      <c r="AE1230" s="92">
        <f t="shared" si="118"/>
        <v>0</v>
      </c>
      <c r="AF1230" s="93">
        <v>0</v>
      </c>
      <c r="AG1230" s="105"/>
      <c r="AH1230" s="108"/>
      <c r="AI1230" s="109" t="s">
        <v>4336</v>
      </c>
      <c r="AJ1230" s="110" t="s">
        <v>4337</v>
      </c>
      <c r="AK1230" s="111"/>
      <c r="AL1230" s="105"/>
      <c r="AM1230" s="112" t="s">
        <v>823</v>
      </c>
      <c r="AN1230" s="107"/>
      <c r="AO1230" s="107"/>
      <c r="AP1230" s="107"/>
      <c r="AQ1230" s="107"/>
      <c r="AR1230" s="107"/>
      <c r="AS1230" s="107"/>
      <c r="AT1230" s="107"/>
      <c r="AU1230" s="107"/>
      <c r="AV1230" s="107"/>
      <c r="AW1230" s="107"/>
      <c r="AX1230" s="107"/>
      <c r="AY1230" s="107"/>
      <c r="AZ1230" s="107"/>
      <c r="BA1230" s="107"/>
      <c r="BB1230" s="107"/>
      <c r="BC1230" s="107"/>
      <c r="BD1230" s="107"/>
      <c r="BE1230" s="107"/>
      <c r="BF1230" s="107"/>
      <c r="BG1230" s="107"/>
      <c r="BH1230" s="107"/>
      <c r="BI1230" s="107"/>
      <c r="BJ1230" s="107"/>
      <c r="BK1230" s="107"/>
      <c r="BL1230" s="107"/>
      <c r="BM1230" s="107"/>
      <c r="BN1230" s="107"/>
      <c r="BO1230" s="107"/>
      <c r="BP1230" s="107"/>
      <c r="BQ1230" s="107"/>
      <c r="BR1230" s="107"/>
      <c r="BS1230" s="107"/>
      <c r="BT1230" s="107"/>
      <c r="BU1230" s="107"/>
      <c r="BV1230" s="107"/>
      <c r="BW1230" s="107"/>
      <c r="BX1230" s="107"/>
      <c r="BY1230" s="107"/>
      <c r="BZ1230" s="107"/>
      <c r="CA1230" s="107"/>
      <c r="CB1230" s="107"/>
      <c r="CC1230" s="107"/>
      <c r="CD1230" s="107"/>
      <c r="CE1230" s="107"/>
      <c r="CF1230" s="107"/>
      <c r="CG1230" s="107"/>
      <c r="CH1230" s="107"/>
      <c r="CI1230" s="107"/>
      <c r="CJ1230" s="107"/>
      <c r="CK1230" s="107"/>
      <c r="CL1230" s="107"/>
      <c r="CM1230" s="107"/>
      <c r="CN1230" s="118"/>
      <c r="CO1230" s="119"/>
      <c r="CP1230" s="118"/>
      <c r="CQ1230" s="119"/>
      <c r="CR1230" s="118"/>
      <c r="CS1230" s="119"/>
      <c r="CT1230" s="113"/>
      <c r="CU1230" s="118"/>
      <c r="CV1230" s="99">
        <f t="shared" si="119"/>
        <v>0</v>
      </c>
      <c r="CW1230" s="118"/>
      <c r="CX1230" s="119"/>
      <c r="CY1230" s="119"/>
      <c r="CZ1230" s="119"/>
      <c r="DA1230" s="118"/>
      <c r="DB1230" s="119"/>
      <c r="DC1230" s="111"/>
      <c r="DD1230" s="119"/>
      <c r="DE1230" s="111"/>
      <c r="DF1230" s="46"/>
    </row>
    <row r="1231" spans="1:110" s="42" customFormat="1" ht="144" x14ac:dyDescent="0.2">
      <c r="A1231" s="89">
        <v>40684</v>
      </c>
      <c r="B1231" s="106" t="s">
        <v>860</v>
      </c>
      <c r="C1231" s="106" t="s">
        <v>4417</v>
      </c>
      <c r="D1231" s="90" t="s">
        <v>4264</v>
      </c>
      <c r="E1231" s="90" t="str">
        <f>VLOOKUP(B1231&amp;C1231,Divipola!$C$2:$F$1138,4,FALSE)</f>
        <v>50450</v>
      </c>
      <c r="F1231" s="90"/>
      <c r="G1231" s="129"/>
      <c r="H1231" s="129"/>
      <c r="I1231" s="129"/>
      <c r="J1231" s="129">
        <v>235</v>
      </c>
      <c r="K1231" s="129">
        <v>47</v>
      </c>
      <c r="L1231" s="129"/>
      <c r="M1231" s="129">
        <v>47</v>
      </c>
      <c r="N1231" s="129"/>
      <c r="O1231" s="129"/>
      <c r="P1231" s="129"/>
      <c r="Q1231" s="129"/>
      <c r="R1231" s="129"/>
      <c r="S1231" s="129"/>
      <c r="T1231" s="129"/>
      <c r="U1231" s="129"/>
      <c r="V1231" s="129"/>
      <c r="W1231" s="107"/>
      <c r="X1231" s="105"/>
      <c r="Y1231" s="92">
        <f t="shared" si="114"/>
        <v>0</v>
      </c>
      <c r="Z1231" s="92">
        <f t="shared" si="115"/>
        <v>0</v>
      </c>
      <c r="AA1231" s="92">
        <f t="shared" si="116"/>
        <v>0</v>
      </c>
      <c r="AB1231" s="92">
        <f t="shared" si="117"/>
        <v>0</v>
      </c>
      <c r="AC1231" s="92"/>
      <c r="AD1231" s="92">
        <v>0</v>
      </c>
      <c r="AE1231" s="92">
        <f t="shared" si="118"/>
        <v>0</v>
      </c>
      <c r="AF1231" s="93">
        <v>0</v>
      </c>
      <c r="AG1231" s="105"/>
      <c r="AH1231" s="108"/>
      <c r="AI1231" s="102" t="s">
        <v>4346</v>
      </c>
      <c r="AJ1231" s="96" t="s">
        <v>4347</v>
      </c>
      <c r="AK1231" s="111"/>
      <c r="AL1231" s="89" t="s">
        <v>2798</v>
      </c>
      <c r="AM1231" s="112" t="s">
        <v>372</v>
      </c>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c r="BJ1231" s="107"/>
      <c r="BK1231" s="107"/>
      <c r="BL1231" s="107"/>
      <c r="BM1231" s="107"/>
      <c r="BN1231" s="107"/>
      <c r="BO1231" s="107"/>
      <c r="BP1231" s="107"/>
      <c r="BQ1231" s="107"/>
      <c r="BR1231" s="107"/>
      <c r="BS1231" s="107"/>
      <c r="BT1231" s="107"/>
      <c r="BU1231" s="107"/>
      <c r="BV1231" s="107"/>
      <c r="BW1231" s="107"/>
      <c r="BX1231" s="107"/>
      <c r="BY1231" s="107"/>
      <c r="BZ1231" s="107"/>
      <c r="CA1231" s="107"/>
      <c r="CB1231" s="107"/>
      <c r="CC1231" s="107"/>
      <c r="CD1231" s="107"/>
      <c r="CE1231" s="107"/>
      <c r="CF1231" s="107"/>
      <c r="CG1231" s="107"/>
      <c r="CH1231" s="107"/>
      <c r="CI1231" s="107"/>
      <c r="CJ1231" s="107"/>
      <c r="CK1231" s="107"/>
      <c r="CL1231" s="107"/>
      <c r="CM1231" s="107"/>
      <c r="CN1231" s="118"/>
      <c r="CO1231" s="119"/>
      <c r="CP1231" s="118"/>
      <c r="CQ1231" s="119"/>
      <c r="CR1231" s="118"/>
      <c r="CS1231" s="119"/>
      <c r="CT1231" s="113"/>
      <c r="CU1231" s="118"/>
      <c r="CV1231" s="99">
        <f t="shared" si="119"/>
        <v>0</v>
      </c>
      <c r="CW1231" s="118"/>
      <c r="CX1231" s="119"/>
      <c r="CY1231" s="119"/>
      <c r="CZ1231" s="119"/>
      <c r="DA1231" s="118"/>
      <c r="DB1231" s="119"/>
      <c r="DC1231" s="111"/>
      <c r="DD1231" s="119"/>
      <c r="DE1231" s="111"/>
      <c r="DF1231" s="46"/>
    </row>
    <row r="1232" spans="1:110" s="42" customFormat="1" ht="24" x14ac:dyDescent="0.2">
      <c r="A1232" s="89">
        <v>40684</v>
      </c>
      <c r="B1232" s="90" t="s">
        <v>4387</v>
      </c>
      <c r="C1232" s="90" t="s">
        <v>4345</v>
      </c>
      <c r="D1232" s="90" t="s">
        <v>4264</v>
      </c>
      <c r="E1232" s="90">
        <f>VLOOKUP(B1232&amp;C1232,Divipola!$C$2:$F$1138,4,FALSE)</f>
        <v>52</v>
      </c>
      <c r="F1232" s="90"/>
      <c r="G1232" s="129"/>
      <c r="H1232" s="129"/>
      <c r="I1232" s="129"/>
      <c r="J1232" s="129"/>
      <c r="K1232" s="129"/>
      <c r="L1232" s="129"/>
      <c r="M1232" s="129"/>
      <c r="N1232" s="129"/>
      <c r="O1232" s="129"/>
      <c r="P1232" s="129"/>
      <c r="Q1232" s="129"/>
      <c r="R1232" s="129"/>
      <c r="S1232" s="129"/>
      <c r="T1232" s="129"/>
      <c r="U1232" s="129"/>
      <c r="V1232" s="129"/>
      <c r="W1232" s="107"/>
      <c r="X1232" s="105"/>
      <c r="Y1232" s="92">
        <f t="shared" si="114"/>
        <v>37000000</v>
      </c>
      <c r="Z1232" s="92">
        <f t="shared" si="115"/>
        <v>0</v>
      </c>
      <c r="AA1232" s="92">
        <f t="shared" si="116"/>
        <v>0</v>
      </c>
      <c r="AB1232" s="92">
        <f t="shared" si="117"/>
        <v>0</v>
      </c>
      <c r="AC1232" s="92"/>
      <c r="AD1232" s="92">
        <v>189377500</v>
      </c>
      <c r="AE1232" s="92">
        <f t="shared" si="118"/>
        <v>226377500</v>
      </c>
      <c r="AF1232" s="93">
        <v>0</v>
      </c>
      <c r="AG1232" s="105"/>
      <c r="AH1232" s="108"/>
      <c r="AI1232" s="95" t="s">
        <v>4346</v>
      </c>
      <c r="AJ1232" s="96" t="s">
        <v>4347</v>
      </c>
      <c r="AK1232" s="111"/>
      <c r="AL1232" s="105"/>
      <c r="AM1232" s="112" t="s">
        <v>2023</v>
      </c>
      <c r="AN1232" s="107"/>
      <c r="AO1232" s="107"/>
      <c r="AP1232" s="107"/>
      <c r="AQ1232" s="107"/>
      <c r="AR1232" s="107"/>
      <c r="AS1232" s="107"/>
      <c r="AT1232" s="107"/>
      <c r="AU1232" s="107"/>
      <c r="AV1232" s="107"/>
      <c r="AW1232" s="107"/>
      <c r="AX1232" s="107"/>
      <c r="AY1232" s="107"/>
      <c r="AZ1232" s="107">
        <v>500</v>
      </c>
      <c r="BA1232" s="107">
        <f>500*56000</f>
        <v>28000000</v>
      </c>
      <c r="BB1232" s="107"/>
      <c r="BC1232" s="107"/>
      <c r="BD1232" s="107"/>
      <c r="BE1232" s="107"/>
      <c r="BF1232" s="107"/>
      <c r="BG1232" s="107"/>
      <c r="BH1232" s="107"/>
      <c r="BI1232" s="107"/>
      <c r="BJ1232" s="107"/>
      <c r="BK1232" s="107"/>
      <c r="BL1232" s="107"/>
      <c r="BM1232" s="107"/>
      <c r="BN1232" s="107"/>
      <c r="BO1232" s="107"/>
      <c r="BP1232" s="107"/>
      <c r="BQ1232" s="107"/>
      <c r="BR1232" s="107"/>
      <c r="BS1232" s="107"/>
      <c r="BT1232" s="107"/>
      <c r="BU1232" s="107"/>
      <c r="BV1232" s="107"/>
      <c r="BW1232" s="107"/>
      <c r="BX1232" s="107"/>
      <c r="BY1232" s="107"/>
      <c r="BZ1232" s="107"/>
      <c r="CA1232" s="107"/>
      <c r="CB1232" s="107"/>
      <c r="CC1232" s="107"/>
      <c r="CD1232" s="107"/>
      <c r="CE1232" s="107"/>
      <c r="CF1232" s="107"/>
      <c r="CG1232" s="107"/>
      <c r="CH1232" s="107"/>
      <c r="CI1232" s="107"/>
      <c r="CJ1232" s="107">
        <v>500</v>
      </c>
      <c r="CK1232" s="107">
        <f>500*18000</f>
        <v>9000000</v>
      </c>
      <c r="CL1232" s="118"/>
      <c r="CM1232" s="119"/>
      <c r="CN1232" s="118"/>
      <c r="CO1232" s="119"/>
      <c r="CP1232" s="118"/>
      <c r="CQ1232" s="119"/>
      <c r="CR1232" s="113"/>
      <c r="CS1232" s="118"/>
      <c r="CT1232" s="113"/>
      <c r="CU1232" s="118"/>
      <c r="CV1232" s="99">
        <f t="shared" si="119"/>
        <v>37000000</v>
      </c>
      <c r="CW1232" s="119"/>
      <c r="CX1232" s="119"/>
      <c r="CY1232" s="118"/>
      <c r="CZ1232" s="119"/>
      <c r="DA1232" s="111"/>
      <c r="DB1232" s="119"/>
      <c r="DC1232" s="111"/>
      <c r="DD1232" s="119"/>
      <c r="DE1232" s="111"/>
      <c r="DF1232" s="46"/>
    </row>
    <row r="1233" spans="1:110" s="42" customFormat="1" x14ac:dyDescent="0.2">
      <c r="A1233" s="89">
        <v>40684</v>
      </c>
      <c r="B1233" s="106" t="s">
        <v>4387</v>
      </c>
      <c r="C1233" s="106" t="s">
        <v>3446</v>
      </c>
      <c r="D1233" s="90" t="s">
        <v>4264</v>
      </c>
      <c r="E1233" s="90" t="str">
        <f>VLOOKUP(B1233&amp;C1233,Divipola!$C$2:$F$1138,4,FALSE)</f>
        <v>52001</v>
      </c>
      <c r="F1233" s="90"/>
      <c r="G1233" s="129"/>
      <c r="H1233" s="129"/>
      <c r="I1233" s="129"/>
      <c r="J1233" s="129">
        <v>500</v>
      </c>
      <c r="K1233" s="129">
        <v>100</v>
      </c>
      <c r="L1233" s="129"/>
      <c r="M1233" s="129">
        <v>100</v>
      </c>
      <c r="N1233" s="129"/>
      <c r="O1233" s="129"/>
      <c r="P1233" s="129"/>
      <c r="Q1233" s="129"/>
      <c r="R1233" s="129"/>
      <c r="S1233" s="129"/>
      <c r="T1233" s="129"/>
      <c r="U1233" s="129"/>
      <c r="V1233" s="129"/>
      <c r="W1233" s="107"/>
      <c r="X1233" s="105"/>
      <c r="Y1233" s="92">
        <f t="shared" si="114"/>
        <v>164350000</v>
      </c>
      <c r="Z1233" s="92">
        <f t="shared" si="115"/>
        <v>42500000</v>
      </c>
      <c r="AA1233" s="92">
        <f t="shared" si="116"/>
        <v>0</v>
      </c>
      <c r="AB1233" s="92">
        <f t="shared" si="117"/>
        <v>0</v>
      </c>
      <c r="AC1233" s="92"/>
      <c r="AD1233" s="92">
        <v>0</v>
      </c>
      <c r="AE1233" s="92">
        <f t="shared" si="118"/>
        <v>206850000</v>
      </c>
      <c r="AF1233" s="93">
        <v>0</v>
      </c>
      <c r="AG1233" s="105"/>
      <c r="AH1233" s="108"/>
      <c r="AI1233" s="95" t="s">
        <v>4346</v>
      </c>
      <c r="AJ1233" s="96" t="s">
        <v>4347</v>
      </c>
      <c r="AK1233" s="111"/>
      <c r="AL1233" s="105"/>
      <c r="AM1233" s="112" t="s">
        <v>224</v>
      </c>
      <c r="AN1233" s="107"/>
      <c r="AO1233" s="107"/>
      <c r="AP1233" s="107"/>
      <c r="AQ1233" s="107"/>
      <c r="AR1233" s="107"/>
      <c r="AS1233" s="107"/>
      <c r="AT1233" s="107"/>
      <c r="AU1233" s="107"/>
      <c r="AV1233" s="107"/>
      <c r="AW1233" s="107"/>
      <c r="AX1233" s="107"/>
      <c r="AY1233" s="107"/>
      <c r="AZ1233" s="107">
        <v>1500</v>
      </c>
      <c r="BA1233" s="107">
        <f>1500*56000</f>
        <v>84000000</v>
      </c>
      <c r="BB1233" s="107"/>
      <c r="BC1233" s="107"/>
      <c r="BD1233" s="107"/>
      <c r="BE1233" s="107"/>
      <c r="BF1233" s="107"/>
      <c r="BG1233" s="107"/>
      <c r="BH1233" s="107"/>
      <c r="BI1233" s="107"/>
      <c r="BJ1233" s="107"/>
      <c r="BK1233" s="107"/>
      <c r="BL1233" s="107"/>
      <c r="BM1233" s="107"/>
      <c r="BN1233" s="107"/>
      <c r="BO1233" s="107"/>
      <c r="BP1233" s="107"/>
      <c r="BQ1233" s="107"/>
      <c r="BR1233" s="107"/>
      <c r="BS1233" s="107"/>
      <c r="BT1233" s="107"/>
      <c r="BU1233" s="107"/>
      <c r="BV1233" s="107"/>
      <c r="BW1233" s="107"/>
      <c r="BX1233" s="107"/>
      <c r="BY1233" s="107"/>
      <c r="BZ1233" s="107"/>
      <c r="CA1233" s="107"/>
      <c r="CB1233" s="107"/>
      <c r="CC1233" s="107"/>
      <c r="CD1233" s="107"/>
      <c r="CE1233" s="107"/>
      <c r="CF1233" s="107"/>
      <c r="CG1233" s="107"/>
      <c r="CH1233" s="107"/>
      <c r="CI1233" s="107"/>
      <c r="CJ1233" s="107">
        <v>2000</v>
      </c>
      <c r="CK1233" s="107">
        <f>2000*21000</f>
        <v>42000000</v>
      </c>
      <c r="CL1233" s="107"/>
      <c r="CM1233" s="107"/>
      <c r="CN1233" s="118"/>
      <c r="CO1233" s="119"/>
      <c r="CP1233" s="118">
        <v>500</v>
      </c>
      <c r="CQ1233" s="119">
        <f>500*37000</f>
        <v>18500000</v>
      </c>
      <c r="CR1233" s="118">
        <v>500</v>
      </c>
      <c r="CS1233" s="119">
        <f>500*39700</f>
        <v>19850000</v>
      </c>
      <c r="CT1233" s="113"/>
      <c r="CU1233" s="118"/>
      <c r="CV1233" s="99">
        <f t="shared" si="119"/>
        <v>164350000</v>
      </c>
      <c r="CW1233" s="118"/>
      <c r="CX1233" s="119"/>
      <c r="CY1233" s="119">
        <v>500</v>
      </c>
      <c r="CZ1233" s="119">
        <f>500*85000</f>
        <v>42500000</v>
      </c>
      <c r="DA1233" s="118"/>
      <c r="DB1233" s="119"/>
      <c r="DC1233" s="111"/>
      <c r="DD1233" s="119"/>
      <c r="DE1233" s="111"/>
      <c r="DF1233" s="46">
        <f>2000*85000+2000*37000+2000*39700</f>
        <v>323400000</v>
      </c>
    </row>
    <row r="1234" spans="1:110" s="42" customFormat="1" ht="24" x14ac:dyDescent="0.2">
      <c r="A1234" s="89">
        <v>40684</v>
      </c>
      <c r="B1234" s="106" t="s">
        <v>4348</v>
      </c>
      <c r="C1234" s="106" t="s">
        <v>4313</v>
      </c>
      <c r="D1234" s="90" t="s">
        <v>3346</v>
      </c>
      <c r="E1234" s="90" t="str">
        <f>VLOOKUP(B1234&amp;C1234,Divipola!$C$2:$F$1138,4,FALSE)</f>
        <v>66318</v>
      </c>
      <c r="F1234" s="90"/>
      <c r="G1234" s="279"/>
      <c r="H1234" s="279"/>
      <c r="I1234" s="279"/>
      <c r="J1234" s="129">
        <v>10</v>
      </c>
      <c r="K1234" s="129">
        <v>2</v>
      </c>
      <c r="L1234" s="129"/>
      <c r="M1234" s="129">
        <v>2</v>
      </c>
      <c r="N1234" s="129"/>
      <c r="O1234" s="129"/>
      <c r="P1234" s="129"/>
      <c r="Q1234" s="129">
        <v>1</v>
      </c>
      <c r="R1234" s="129"/>
      <c r="S1234" s="129"/>
      <c r="T1234" s="129"/>
      <c r="U1234" s="129"/>
      <c r="V1234" s="129"/>
      <c r="W1234" s="107"/>
      <c r="X1234" s="105"/>
      <c r="Y1234" s="92">
        <f t="shared" si="114"/>
        <v>0</v>
      </c>
      <c r="Z1234" s="92">
        <f t="shared" si="115"/>
        <v>0</v>
      </c>
      <c r="AA1234" s="92">
        <f t="shared" si="116"/>
        <v>0</v>
      </c>
      <c r="AB1234" s="92">
        <f t="shared" si="117"/>
        <v>0</v>
      </c>
      <c r="AC1234" s="92"/>
      <c r="AD1234" s="92">
        <v>0</v>
      </c>
      <c r="AE1234" s="92">
        <f t="shared" si="118"/>
        <v>0</v>
      </c>
      <c r="AF1234" s="93">
        <v>0</v>
      </c>
      <c r="AG1234" s="105"/>
      <c r="AH1234" s="108"/>
      <c r="AI1234" s="109" t="s">
        <v>4336</v>
      </c>
      <c r="AJ1234" s="110" t="s">
        <v>4337</v>
      </c>
      <c r="AK1234" s="280"/>
      <c r="AL1234" s="281"/>
      <c r="AM1234" s="112" t="s">
        <v>2005</v>
      </c>
      <c r="AN1234" s="107"/>
      <c r="AO1234" s="107"/>
      <c r="AP1234" s="107"/>
      <c r="AQ1234" s="107"/>
      <c r="AR1234" s="107"/>
      <c r="AS1234" s="107"/>
      <c r="AT1234" s="107"/>
      <c r="AU1234" s="107"/>
      <c r="AV1234" s="107"/>
      <c r="AW1234" s="107"/>
      <c r="AX1234" s="107"/>
      <c r="AY1234" s="107"/>
      <c r="AZ1234" s="107"/>
      <c r="BA1234" s="107"/>
      <c r="BB1234" s="107"/>
      <c r="BC1234" s="107"/>
      <c r="BD1234" s="107"/>
      <c r="BE1234" s="107"/>
      <c r="BF1234" s="107"/>
      <c r="BG1234" s="107"/>
      <c r="BH1234" s="107"/>
      <c r="BI1234" s="107"/>
      <c r="BJ1234" s="107"/>
      <c r="BK1234" s="107"/>
      <c r="BL1234" s="107"/>
      <c r="BM1234" s="107"/>
      <c r="BN1234" s="107"/>
      <c r="BO1234" s="107"/>
      <c r="BP1234" s="107"/>
      <c r="BQ1234" s="107"/>
      <c r="BR1234" s="107"/>
      <c r="BS1234" s="107"/>
      <c r="BT1234" s="107"/>
      <c r="BU1234" s="107"/>
      <c r="BV1234" s="107"/>
      <c r="BW1234" s="107"/>
      <c r="BX1234" s="107"/>
      <c r="BY1234" s="107"/>
      <c r="BZ1234" s="107"/>
      <c r="CA1234" s="107"/>
      <c r="CB1234" s="107"/>
      <c r="CC1234" s="107"/>
      <c r="CD1234" s="107"/>
      <c r="CE1234" s="107"/>
      <c r="CF1234" s="107"/>
      <c r="CG1234" s="107"/>
      <c r="CH1234" s="107"/>
      <c r="CI1234" s="107"/>
      <c r="CJ1234" s="107"/>
      <c r="CK1234" s="107"/>
      <c r="CL1234" s="107"/>
      <c r="CM1234" s="107"/>
      <c r="CN1234" s="118"/>
      <c r="CO1234" s="119"/>
      <c r="CP1234" s="118"/>
      <c r="CQ1234" s="119"/>
      <c r="CR1234" s="118"/>
      <c r="CS1234" s="119"/>
      <c r="CT1234" s="113"/>
      <c r="CU1234" s="118"/>
      <c r="CV1234" s="99">
        <f t="shared" si="119"/>
        <v>0</v>
      </c>
      <c r="CW1234" s="118"/>
      <c r="CX1234" s="119"/>
      <c r="CY1234" s="119"/>
      <c r="CZ1234" s="119"/>
      <c r="DA1234" s="118"/>
      <c r="DB1234" s="119"/>
      <c r="DC1234" s="111"/>
      <c r="DD1234" s="119"/>
      <c r="DE1234" s="111"/>
      <c r="DF1234" s="46">
        <v>1819</v>
      </c>
    </row>
    <row r="1235" spans="1:110" s="42" customFormat="1" ht="24" x14ac:dyDescent="0.2">
      <c r="A1235" s="89">
        <v>40684</v>
      </c>
      <c r="B1235" s="106" t="s">
        <v>4244</v>
      </c>
      <c r="C1235" s="106" t="s">
        <v>2768</v>
      </c>
      <c r="D1235" s="106" t="s">
        <v>4298</v>
      </c>
      <c r="E1235" s="90" t="str">
        <f>VLOOKUP(B1235&amp;C1235,Divipola!$C$2:$F$1138,4,FALSE)</f>
        <v>76001</v>
      </c>
      <c r="F1235" s="90"/>
      <c r="G1235" s="129"/>
      <c r="H1235" s="129"/>
      <c r="I1235" s="129"/>
      <c r="J1235" s="129">
        <v>40</v>
      </c>
      <c r="K1235" s="129">
        <v>10</v>
      </c>
      <c r="L1235" s="129"/>
      <c r="M1235" s="129">
        <v>1</v>
      </c>
      <c r="N1235" s="129"/>
      <c r="O1235" s="129"/>
      <c r="P1235" s="129"/>
      <c r="Q1235" s="129"/>
      <c r="R1235" s="129"/>
      <c r="S1235" s="129"/>
      <c r="T1235" s="129"/>
      <c r="U1235" s="129"/>
      <c r="V1235" s="129"/>
      <c r="W1235" s="107"/>
      <c r="X1235" s="105"/>
      <c r="Y1235" s="92">
        <f t="shared" si="114"/>
        <v>0</v>
      </c>
      <c r="Z1235" s="92">
        <f t="shared" si="115"/>
        <v>0</v>
      </c>
      <c r="AA1235" s="92">
        <f t="shared" si="116"/>
        <v>0</v>
      </c>
      <c r="AB1235" s="92">
        <f t="shared" si="117"/>
        <v>0</v>
      </c>
      <c r="AC1235" s="92"/>
      <c r="AD1235" s="92">
        <v>0</v>
      </c>
      <c r="AE1235" s="92">
        <f t="shared" si="118"/>
        <v>0</v>
      </c>
      <c r="AF1235" s="93">
        <v>0</v>
      </c>
      <c r="AG1235" s="105"/>
      <c r="AH1235" s="108"/>
      <c r="AI1235" s="109" t="s">
        <v>4336</v>
      </c>
      <c r="AJ1235" s="110" t="s">
        <v>4337</v>
      </c>
      <c r="AK1235" s="111"/>
      <c r="AL1235" s="105"/>
      <c r="AM1235" s="112" t="s">
        <v>4147</v>
      </c>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c r="BJ1235" s="107"/>
      <c r="BK1235" s="107"/>
      <c r="BL1235" s="107"/>
      <c r="BM1235" s="107"/>
      <c r="BN1235" s="107"/>
      <c r="BO1235" s="107"/>
      <c r="BP1235" s="107"/>
      <c r="BQ1235" s="107"/>
      <c r="BR1235" s="107"/>
      <c r="BS1235" s="107"/>
      <c r="BT1235" s="107"/>
      <c r="BU1235" s="107"/>
      <c r="BV1235" s="107"/>
      <c r="BW1235" s="107"/>
      <c r="BX1235" s="107"/>
      <c r="BY1235" s="107"/>
      <c r="BZ1235" s="107"/>
      <c r="CA1235" s="107"/>
      <c r="CB1235" s="107"/>
      <c r="CC1235" s="107"/>
      <c r="CD1235" s="107"/>
      <c r="CE1235" s="107"/>
      <c r="CF1235" s="107"/>
      <c r="CG1235" s="107"/>
      <c r="CH1235" s="107"/>
      <c r="CI1235" s="107"/>
      <c r="CJ1235" s="107"/>
      <c r="CK1235" s="107"/>
      <c r="CL1235" s="118"/>
      <c r="CM1235" s="119"/>
      <c r="CN1235" s="118"/>
      <c r="CO1235" s="119"/>
      <c r="CP1235" s="118"/>
      <c r="CQ1235" s="119"/>
      <c r="CR1235" s="113"/>
      <c r="CS1235" s="118"/>
      <c r="CT1235" s="113"/>
      <c r="CU1235" s="118"/>
      <c r="CV1235" s="99">
        <f t="shared" si="119"/>
        <v>0</v>
      </c>
      <c r="CW1235" s="119"/>
      <c r="CX1235" s="119"/>
      <c r="CY1235" s="118"/>
      <c r="CZ1235" s="119"/>
      <c r="DA1235" s="111"/>
      <c r="DB1235" s="119"/>
      <c r="DC1235" s="111"/>
      <c r="DD1235" s="119"/>
      <c r="DE1235" s="111"/>
      <c r="DF1235" s="46"/>
    </row>
    <row r="1236" spans="1:110" s="42" customFormat="1" ht="36" x14ac:dyDescent="0.2">
      <c r="A1236" s="89">
        <v>40684</v>
      </c>
      <c r="B1236" s="106" t="s">
        <v>4244</v>
      </c>
      <c r="C1236" s="106" t="s">
        <v>3393</v>
      </c>
      <c r="D1236" s="90" t="s">
        <v>4264</v>
      </c>
      <c r="E1236" s="90" t="str">
        <f>VLOOKUP(B1236&amp;C1236,Divipola!$C$2:$F$1138,4,FALSE)</f>
        <v>76147</v>
      </c>
      <c r="F1236" s="90"/>
      <c r="G1236" s="129"/>
      <c r="H1236" s="129"/>
      <c r="I1236" s="129"/>
      <c r="J1236" s="129">
        <v>17</v>
      </c>
      <c r="K1236" s="129">
        <v>4</v>
      </c>
      <c r="L1236" s="129">
        <v>1</v>
      </c>
      <c r="M1236" s="129">
        <v>3</v>
      </c>
      <c r="N1236" s="129"/>
      <c r="O1236" s="129"/>
      <c r="P1236" s="129"/>
      <c r="Q1236" s="129"/>
      <c r="R1236" s="129"/>
      <c r="S1236" s="129"/>
      <c r="T1236" s="129"/>
      <c r="U1236" s="129"/>
      <c r="V1236" s="129"/>
      <c r="W1236" s="107"/>
      <c r="X1236" s="105"/>
      <c r="Y1236" s="92">
        <f t="shared" si="114"/>
        <v>0</v>
      </c>
      <c r="Z1236" s="92">
        <f t="shared" si="115"/>
        <v>0</v>
      </c>
      <c r="AA1236" s="92">
        <f t="shared" si="116"/>
        <v>0</v>
      </c>
      <c r="AB1236" s="92">
        <f t="shared" si="117"/>
        <v>0</v>
      </c>
      <c r="AC1236" s="92"/>
      <c r="AD1236" s="92">
        <v>0</v>
      </c>
      <c r="AE1236" s="92">
        <f t="shared" si="118"/>
        <v>0</v>
      </c>
      <c r="AF1236" s="93">
        <v>0</v>
      </c>
      <c r="AG1236" s="105"/>
      <c r="AH1236" s="108"/>
      <c r="AI1236" s="109" t="s">
        <v>4336</v>
      </c>
      <c r="AJ1236" s="110" t="s">
        <v>4337</v>
      </c>
      <c r="AK1236" s="111"/>
      <c r="AL1236" s="105"/>
      <c r="AM1236" s="112" t="s">
        <v>373</v>
      </c>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7"/>
      <c r="BL1236" s="107"/>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7"/>
      <c r="CG1236" s="107"/>
      <c r="CH1236" s="107"/>
      <c r="CI1236" s="107"/>
      <c r="CJ1236" s="107"/>
      <c r="CK1236" s="107"/>
      <c r="CL1236" s="107"/>
      <c r="CM1236" s="107"/>
      <c r="CN1236" s="118"/>
      <c r="CO1236" s="119"/>
      <c r="CP1236" s="118"/>
      <c r="CQ1236" s="119"/>
      <c r="CR1236" s="118"/>
      <c r="CS1236" s="119"/>
      <c r="CT1236" s="113"/>
      <c r="CU1236" s="118"/>
      <c r="CV1236" s="99">
        <f t="shared" si="119"/>
        <v>0</v>
      </c>
      <c r="CW1236" s="118"/>
      <c r="CX1236" s="119"/>
      <c r="CY1236" s="119"/>
      <c r="CZ1236" s="119"/>
      <c r="DA1236" s="118"/>
      <c r="DB1236" s="119"/>
      <c r="DC1236" s="111"/>
      <c r="DD1236" s="119"/>
      <c r="DE1236" s="111"/>
      <c r="DF1236" s="46"/>
    </row>
    <row r="1237" spans="1:110" s="42" customFormat="1" ht="45" x14ac:dyDescent="0.2">
      <c r="A1237" s="89">
        <v>40685</v>
      </c>
      <c r="B1237" s="106" t="s">
        <v>4344</v>
      </c>
      <c r="C1237" s="106" t="s">
        <v>2210</v>
      </c>
      <c r="D1237" s="90" t="s">
        <v>4264</v>
      </c>
      <c r="E1237" s="90" t="str">
        <f>VLOOKUP(B1237&amp;C1237,Divipola!$C$2:$F$1138,4,FALSE)</f>
        <v>25288</v>
      </c>
      <c r="F1237" s="90"/>
      <c r="G1237" s="129"/>
      <c r="H1237" s="129"/>
      <c r="I1237" s="129"/>
      <c r="J1237" s="129"/>
      <c r="K1237" s="129"/>
      <c r="L1237" s="129"/>
      <c r="M1237" s="129"/>
      <c r="N1237" s="129"/>
      <c r="O1237" s="129"/>
      <c r="P1237" s="129"/>
      <c r="Q1237" s="129"/>
      <c r="R1237" s="129"/>
      <c r="S1237" s="129"/>
      <c r="T1237" s="129"/>
      <c r="U1237" s="129"/>
      <c r="V1237" s="129">
        <v>700</v>
      </c>
      <c r="W1237" s="107" t="s">
        <v>820</v>
      </c>
      <c r="X1237" s="105"/>
      <c r="Y1237" s="92">
        <f t="shared" si="114"/>
        <v>0</v>
      </c>
      <c r="Z1237" s="92">
        <f t="shared" si="115"/>
        <v>0</v>
      </c>
      <c r="AA1237" s="92">
        <f t="shared" si="116"/>
        <v>0</v>
      </c>
      <c r="AB1237" s="92">
        <f t="shared" si="117"/>
        <v>0</v>
      </c>
      <c r="AC1237" s="92"/>
      <c r="AD1237" s="92">
        <v>0</v>
      </c>
      <c r="AE1237" s="92">
        <f t="shared" si="118"/>
        <v>0</v>
      </c>
      <c r="AF1237" s="93">
        <v>0</v>
      </c>
      <c r="AG1237" s="105"/>
      <c r="AH1237" s="108"/>
      <c r="AI1237" s="102" t="s">
        <v>4336</v>
      </c>
      <c r="AJ1237" s="96" t="s">
        <v>4337</v>
      </c>
      <c r="AK1237" s="111"/>
      <c r="AL1237" s="105"/>
      <c r="AM1237" s="112" t="s">
        <v>821</v>
      </c>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c r="BJ1237" s="107"/>
      <c r="BK1237" s="107"/>
      <c r="BL1237" s="107"/>
      <c r="BM1237" s="107"/>
      <c r="BN1237" s="107"/>
      <c r="BO1237" s="107"/>
      <c r="BP1237" s="107"/>
      <c r="BQ1237" s="107"/>
      <c r="BR1237" s="107"/>
      <c r="BS1237" s="107"/>
      <c r="BT1237" s="107"/>
      <c r="BU1237" s="107"/>
      <c r="BV1237" s="107"/>
      <c r="BW1237" s="107"/>
      <c r="BX1237" s="107"/>
      <c r="BY1237" s="107"/>
      <c r="BZ1237" s="107"/>
      <c r="CA1237" s="107"/>
      <c r="CB1237" s="107"/>
      <c r="CC1237" s="107"/>
      <c r="CD1237" s="107"/>
      <c r="CE1237" s="107"/>
      <c r="CF1237" s="107"/>
      <c r="CG1237" s="107"/>
      <c r="CH1237" s="107"/>
      <c r="CI1237" s="107"/>
      <c r="CJ1237" s="107"/>
      <c r="CK1237" s="107"/>
      <c r="CL1237" s="107"/>
      <c r="CM1237" s="107"/>
      <c r="CN1237" s="118"/>
      <c r="CO1237" s="119"/>
      <c r="CP1237" s="118"/>
      <c r="CQ1237" s="119"/>
      <c r="CR1237" s="118"/>
      <c r="CS1237" s="119"/>
      <c r="CT1237" s="113"/>
      <c r="CU1237" s="118"/>
      <c r="CV1237" s="99">
        <f t="shared" si="119"/>
        <v>0</v>
      </c>
      <c r="CW1237" s="118"/>
      <c r="CX1237" s="119"/>
      <c r="CY1237" s="119"/>
      <c r="CZ1237" s="119"/>
      <c r="DA1237" s="118"/>
      <c r="DB1237" s="119"/>
      <c r="DC1237" s="111"/>
      <c r="DD1237" s="119"/>
      <c r="DE1237" s="111"/>
      <c r="DF1237" s="46"/>
    </row>
    <row r="1238" spans="1:110" s="42" customFormat="1" ht="24" x14ac:dyDescent="0.2">
      <c r="A1238" s="89">
        <v>40685</v>
      </c>
      <c r="B1238" s="106" t="s">
        <v>4348</v>
      </c>
      <c r="C1238" s="106" t="s">
        <v>2228</v>
      </c>
      <c r="D1238" s="90" t="s">
        <v>4264</v>
      </c>
      <c r="E1238" s="90" t="str">
        <f>VLOOKUP(B1238&amp;C1238,Divipola!$C$2:$F$1138,4,FALSE)</f>
        <v>66001</v>
      </c>
      <c r="F1238" s="90"/>
      <c r="G1238" s="279"/>
      <c r="H1238" s="279"/>
      <c r="I1238" s="279"/>
      <c r="J1238" s="129">
        <v>15</v>
      </c>
      <c r="K1238" s="129">
        <v>3</v>
      </c>
      <c r="L1238" s="129"/>
      <c r="M1238" s="129">
        <v>3</v>
      </c>
      <c r="N1238" s="129"/>
      <c r="O1238" s="129"/>
      <c r="P1238" s="129"/>
      <c r="Q1238" s="129"/>
      <c r="R1238" s="129"/>
      <c r="S1238" s="129"/>
      <c r="T1238" s="129"/>
      <c r="U1238" s="129"/>
      <c r="V1238" s="129"/>
      <c r="W1238" s="107"/>
      <c r="X1238" s="105"/>
      <c r="Y1238" s="92">
        <f t="shared" si="114"/>
        <v>0</v>
      </c>
      <c r="Z1238" s="92">
        <f t="shared" si="115"/>
        <v>0</v>
      </c>
      <c r="AA1238" s="92">
        <f t="shared" si="116"/>
        <v>0</v>
      </c>
      <c r="AB1238" s="92">
        <f t="shared" si="117"/>
        <v>0</v>
      </c>
      <c r="AC1238" s="92"/>
      <c r="AD1238" s="92">
        <v>0</v>
      </c>
      <c r="AE1238" s="92">
        <f t="shared" si="118"/>
        <v>0</v>
      </c>
      <c r="AF1238" s="93">
        <v>0</v>
      </c>
      <c r="AG1238" s="105"/>
      <c r="AH1238" s="108"/>
      <c r="AI1238" s="109" t="s">
        <v>4336</v>
      </c>
      <c r="AJ1238" s="110" t="s">
        <v>4337</v>
      </c>
      <c r="AK1238" s="280"/>
      <c r="AL1238" s="281"/>
      <c r="AM1238" s="112" t="s">
        <v>2009</v>
      </c>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c r="BJ1238" s="107"/>
      <c r="BK1238" s="107"/>
      <c r="BL1238" s="107"/>
      <c r="BM1238" s="107"/>
      <c r="BN1238" s="107"/>
      <c r="BO1238" s="107"/>
      <c r="BP1238" s="107"/>
      <c r="BQ1238" s="107"/>
      <c r="BR1238" s="107"/>
      <c r="BS1238" s="107"/>
      <c r="BT1238" s="107"/>
      <c r="BU1238" s="107"/>
      <c r="BV1238" s="107"/>
      <c r="BW1238" s="107"/>
      <c r="BX1238" s="107"/>
      <c r="BY1238" s="107"/>
      <c r="BZ1238" s="107"/>
      <c r="CA1238" s="107"/>
      <c r="CB1238" s="107"/>
      <c r="CC1238" s="107"/>
      <c r="CD1238" s="107"/>
      <c r="CE1238" s="107"/>
      <c r="CF1238" s="107"/>
      <c r="CG1238" s="107"/>
      <c r="CH1238" s="107"/>
      <c r="CI1238" s="107"/>
      <c r="CJ1238" s="107"/>
      <c r="CK1238" s="107"/>
      <c r="CL1238" s="107"/>
      <c r="CM1238" s="107"/>
      <c r="CN1238" s="118"/>
      <c r="CO1238" s="119"/>
      <c r="CP1238" s="118"/>
      <c r="CQ1238" s="119"/>
      <c r="CR1238" s="118"/>
      <c r="CS1238" s="119"/>
      <c r="CT1238" s="113"/>
      <c r="CU1238" s="118"/>
      <c r="CV1238" s="99">
        <f t="shared" si="119"/>
        <v>0</v>
      </c>
      <c r="CW1238" s="118"/>
      <c r="CX1238" s="119"/>
      <c r="CY1238" s="119"/>
      <c r="CZ1238" s="119"/>
      <c r="DA1238" s="118"/>
      <c r="DB1238" s="119"/>
      <c r="DC1238" s="111"/>
      <c r="DD1238" s="119"/>
      <c r="DE1238" s="111"/>
      <c r="DF1238" s="46"/>
    </row>
    <row r="1239" spans="1:110" s="42" customFormat="1" x14ac:dyDescent="0.2">
      <c r="A1239" s="89">
        <v>40685</v>
      </c>
      <c r="B1239" s="106" t="s">
        <v>2226</v>
      </c>
      <c r="C1239" s="106" t="s">
        <v>4345</v>
      </c>
      <c r="D1239" s="90" t="s">
        <v>4264</v>
      </c>
      <c r="E1239" s="90">
        <f>VLOOKUP(B1239&amp;C1239,Divipola!$C$2:$F$1138,4,FALSE)</f>
        <v>68</v>
      </c>
      <c r="F1239" s="90"/>
      <c r="G1239" s="129"/>
      <c r="H1239" s="129"/>
      <c r="I1239" s="129"/>
      <c r="J1239" s="129"/>
      <c r="K1239" s="129"/>
      <c r="L1239" s="129"/>
      <c r="M1239" s="129"/>
      <c r="N1239" s="129"/>
      <c r="O1239" s="129"/>
      <c r="P1239" s="129"/>
      <c r="Q1239" s="129"/>
      <c r="R1239" s="129"/>
      <c r="S1239" s="129"/>
      <c r="T1239" s="129"/>
      <c r="U1239" s="129"/>
      <c r="V1239" s="129"/>
      <c r="W1239" s="107"/>
      <c r="X1239" s="105"/>
      <c r="Y1239" s="92">
        <f t="shared" si="114"/>
        <v>319200000</v>
      </c>
      <c r="Z1239" s="92">
        <f t="shared" si="115"/>
        <v>212500000</v>
      </c>
      <c r="AA1239" s="92">
        <f t="shared" si="116"/>
        <v>149939280</v>
      </c>
      <c r="AB1239" s="92">
        <f t="shared" si="117"/>
        <v>0</v>
      </c>
      <c r="AC1239" s="92">
        <v>0</v>
      </c>
      <c r="AD1239" s="5">
        <v>0</v>
      </c>
      <c r="AE1239" s="92">
        <f t="shared" si="118"/>
        <v>681639280</v>
      </c>
      <c r="AF1239" s="93">
        <v>0</v>
      </c>
      <c r="AG1239" s="105"/>
      <c r="AH1239" s="108"/>
      <c r="AI1239" s="95" t="s">
        <v>4346</v>
      </c>
      <c r="AJ1239" s="96" t="s">
        <v>4347</v>
      </c>
      <c r="AK1239" s="111"/>
      <c r="AL1239" s="105"/>
      <c r="AM1239" s="112"/>
      <c r="AN1239" s="107"/>
      <c r="AO1239" s="107"/>
      <c r="AP1239" s="107"/>
      <c r="AQ1239" s="107"/>
      <c r="AR1239" s="107"/>
      <c r="AS1239" s="107"/>
      <c r="AT1239" s="107"/>
      <c r="AU1239" s="107"/>
      <c r="AV1239" s="107"/>
      <c r="AW1239" s="107"/>
      <c r="AX1239" s="107">
        <v>200</v>
      </c>
      <c r="AY1239" s="107">
        <f>50*389000+100*600000+50*450000</f>
        <v>101950000</v>
      </c>
      <c r="AZ1239" s="107"/>
      <c r="BA1239" s="107"/>
      <c r="BB1239" s="107"/>
      <c r="BC1239" s="107"/>
      <c r="BD1239" s="107"/>
      <c r="BE1239" s="107"/>
      <c r="BF1239" s="107"/>
      <c r="BG1239" s="107"/>
      <c r="BH1239" s="107"/>
      <c r="BI1239" s="107"/>
      <c r="BJ1239" s="107"/>
      <c r="BK1239" s="107"/>
      <c r="BL1239" s="107">
        <v>1000</v>
      </c>
      <c r="BM1239" s="107">
        <f>1000*25500</f>
        <v>25500000</v>
      </c>
      <c r="BN1239" s="107"/>
      <c r="BO1239" s="107"/>
      <c r="BP1239" s="107"/>
      <c r="BQ1239" s="107"/>
      <c r="BR1239" s="107"/>
      <c r="BS1239" s="107"/>
      <c r="BT1239" s="107"/>
      <c r="BU1239" s="107"/>
      <c r="BV1239" s="107"/>
      <c r="BW1239" s="107"/>
      <c r="BX1239" s="107"/>
      <c r="BY1239" s="107"/>
      <c r="BZ1239" s="107"/>
      <c r="CA1239" s="107"/>
      <c r="CB1239" s="107"/>
      <c r="CC1239" s="107"/>
      <c r="CD1239" s="107"/>
      <c r="CE1239" s="107"/>
      <c r="CF1239" s="107"/>
      <c r="CG1239" s="107"/>
      <c r="CH1239" s="107"/>
      <c r="CI1239" s="107"/>
      <c r="CJ1239" s="107"/>
      <c r="CK1239" s="107"/>
      <c r="CL1239" s="107"/>
      <c r="CM1239" s="107"/>
      <c r="CN1239" s="118"/>
      <c r="CO1239" s="119"/>
      <c r="CP1239" s="118">
        <v>2500</v>
      </c>
      <c r="CQ1239" s="119">
        <f>2500*37000</f>
        <v>92500000</v>
      </c>
      <c r="CR1239" s="118">
        <v>2500</v>
      </c>
      <c r="CS1239" s="119">
        <f>2500*39700</f>
        <v>99250000</v>
      </c>
      <c r="CT1239" s="113"/>
      <c r="CU1239" s="118"/>
      <c r="CV1239" s="99">
        <f t="shared" si="119"/>
        <v>319200000</v>
      </c>
      <c r="CW1239" s="118"/>
      <c r="CX1239" s="119"/>
      <c r="CY1239" s="119">
        <v>2500</v>
      </c>
      <c r="CZ1239" s="119">
        <f>2500*85000</f>
        <v>212500000</v>
      </c>
      <c r="DA1239" s="118"/>
      <c r="DB1239" s="119"/>
      <c r="DC1239" s="111">
        <v>6000</v>
      </c>
      <c r="DD1239" s="119">
        <f>6000*24989.88</f>
        <v>149939280</v>
      </c>
      <c r="DE1239" s="111"/>
      <c r="DF1239" s="46"/>
    </row>
    <row r="1240" spans="1:110" s="42" customFormat="1" ht="72" x14ac:dyDescent="0.2">
      <c r="A1240" s="89">
        <v>40685</v>
      </c>
      <c r="B1240" s="106" t="s">
        <v>4244</v>
      </c>
      <c r="C1240" s="106" t="s">
        <v>3393</v>
      </c>
      <c r="D1240" s="90" t="s">
        <v>4264</v>
      </c>
      <c r="E1240" s="90" t="str">
        <f>VLOOKUP(B1240&amp;C1240,Divipola!$C$2:$F$1138,4,FALSE)</f>
        <v>76147</v>
      </c>
      <c r="F1240" s="90"/>
      <c r="G1240" s="129"/>
      <c r="H1240" s="129"/>
      <c r="I1240" s="129"/>
      <c r="J1240" s="129">
        <v>30</v>
      </c>
      <c r="K1240" s="129">
        <v>6</v>
      </c>
      <c r="L1240" s="129"/>
      <c r="M1240" s="129">
        <v>1</v>
      </c>
      <c r="N1240" s="129"/>
      <c r="O1240" s="129"/>
      <c r="P1240" s="129"/>
      <c r="Q1240" s="129"/>
      <c r="R1240" s="129"/>
      <c r="S1240" s="129"/>
      <c r="T1240" s="129"/>
      <c r="U1240" s="129">
        <v>1</v>
      </c>
      <c r="V1240" s="129"/>
      <c r="W1240" s="107"/>
      <c r="X1240" s="105"/>
      <c r="Y1240" s="92">
        <f t="shared" si="114"/>
        <v>0</v>
      </c>
      <c r="Z1240" s="92">
        <f t="shared" si="115"/>
        <v>0</v>
      </c>
      <c r="AA1240" s="92">
        <f t="shared" si="116"/>
        <v>0</v>
      </c>
      <c r="AB1240" s="92">
        <f t="shared" si="117"/>
        <v>0</v>
      </c>
      <c r="AC1240" s="92"/>
      <c r="AD1240" s="92">
        <v>20000000</v>
      </c>
      <c r="AE1240" s="92">
        <f t="shared" si="118"/>
        <v>20000000</v>
      </c>
      <c r="AF1240" s="93">
        <v>0</v>
      </c>
      <c r="AG1240" s="105"/>
      <c r="AH1240" s="108"/>
      <c r="AI1240" s="95" t="s">
        <v>4346</v>
      </c>
      <c r="AJ1240" s="96" t="s">
        <v>4347</v>
      </c>
      <c r="AK1240" s="111"/>
      <c r="AL1240" s="105"/>
      <c r="AM1240" s="112" t="s">
        <v>1120</v>
      </c>
      <c r="AN1240" s="107"/>
      <c r="AO1240" s="107"/>
      <c r="AP1240" s="107"/>
      <c r="AQ1240" s="107"/>
      <c r="AR1240" s="107"/>
      <c r="AS1240" s="107"/>
      <c r="AT1240" s="107"/>
      <c r="AU1240" s="107"/>
      <c r="AV1240" s="107"/>
      <c r="AW1240" s="107"/>
      <c r="AX1240" s="107"/>
      <c r="AY1240" s="107"/>
      <c r="AZ1240" s="107"/>
      <c r="BA1240" s="107"/>
      <c r="BB1240" s="107"/>
      <c r="BC1240" s="107"/>
      <c r="BD1240" s="107"/>
      <c r="BE1240" s="107"/>
      <c r="BF1240" s="107"/>
      <c r="BG1240" s="107"/>
      <c r="BH1240" s="107"/>
      <c r="BI1240" s="107"/>
      <c r="BJ1240" s="107"/>
      <c r="BK1240" s="107"/>
      <c r="BL1240" s="107"/>
      <c r="BM1240" s="107"/>
      <c r="BN1240" s="107"/>
      <c r="BO1240" s="107"/>
      <c r="BP1240" s="107"/>
      <c r="BQ1240" s="107"/>
      <c r="BR1240" s="107"/>
      <c r="BS1240" s="107"/>
      <c r="BT1240" s="107"/>
      <c r="BU1240" s="107"/>
      <c r="BV1240" s="107"/>
      <c r="BW1240" s="107"/>
      <c r="BX1240" s="107"/>
      <c r="BY1240" s="107"/>
      <c r="BZ1240" s="107"/>
      <c r="CA1240" s="107"/>
      <c r="CB1240" s="107"/>
      <c r="CC1240" s="107"/>
      <c r="CD1240" s="107"/>
      <c r="CE1240" s="107"/>
      <c r="CF1240" s="107"/>
      <c r="CG1240" s="107"/>
      <c r="CH1240" s="107"/>
      <c r="CI1240" s="107"/>
      <c r="CJ1240" s="107"/>
      <c r="CK1240" s="107"/>
      <c r="CL1240" s="118"/>
      <c r="CM1240" s="119"/>
      <c r="CN1240" s="118"/>
      <c r="CO1240" s="119"/>
      <c r="CP1240" s="118"/>
      <c r="CQ1240" s="119"/>
      <c r="CR1240" s="113"/>
      <c r="CS1240" s="118"/>
      <c r="CT1240" s="113"/>
      <c r="CU1240" s="118"/>
      <c r="CV1240" s="99">
        <f t="shared" si="119"/>
        <v>0</v>
      </c>
      <c r="CW1240" s="119"/>
      <c r="CX1240" s="119"/>
      <c r="CY1240" s="118"/>
      <c r="CZ1240" s="119"/>
      <c r="DA1240" s="111"/>
      <c r="DB1240" s="119"/>
      <c r="DC1240" s="111"/>
      <c r="DD1240" s="119"/>
      <c r="DE1240" s="111"/>
      <c r="DF1240" s="46"/>
    </row>
    <row r="1241" spans="1:110" s="42" customFormat="1" ht="24" x14ac:dyDescent="0.2">
      <c r="A1241" s="89">
        <v>40686</v>
      </c>
      <c r="B1241" s="106" t="s">
        <v>4326</v>
      </c>
      <c r="C1241" s="106" t="s">
        <v>4338</v>
      </c>
      <c r="D1241" s="90" t="s">
        <v>4264</v>
      </c>
      <c r="E1241" s="90" t="str">
        <f>VLOOKUP(B1241&amp;C1241,Divipola!$C$2:$F$1138,4,FALSE)</f>
        <v>08001</v>
      </c>
      <c r="F1241" s="90"/>
      <c r="G1241" s="129"/>
      <c r="H1241" s="129"/>
      <c r="I1241" s="129"/>
      <c r="J1241" s="129"/>
      <c r="K1241" s="129"/>
      <c r="L1241" s="129"/>
      <c r="M1241" s="129"/>
      <c r="N1241" s="129"/>
      <c r="O1241" s="129"/>
      <c r="P1241" s="129"/>
      <c r="Q1241" s="129"/>
      <c r="R1241" s="129"/>
      <c r="S1241" s="129"/>
      <c r="T1241" s="129"/>
      <c r="U1241" s="129"/>
      <c r="V1241" s="129"/>
      <c r="W1241" s="107"/>
      <c r="X1241" s="105"/>
      <c r="Y1241" s="92">
        <f t="shared" si="114"/>
        <v>0</v>
      </c>
      <c r="Z1241" s="92">
        <f t="shared" si="115"/>
        <v>0</v>
      </c>
      <c r="AA1241" s="92">
        <f t="shared" si="116"/>
        <v>0</v>
      </c>
      <c r="AB1241" s="92">
        <f t="shared" si="117"/>
        <v>0</v>
      </c>
      <c r="AC1241" s="92"/>
      <c r="AD1241" s="92">
        <v>0</v>
      </c>
      <c r="AE1241" s="92">
        <f t="shared" si="118"/>
        <v>0</v>
      </c>
      <c r="AF1241" s="93">
        <v>0</v>
      </c>
      <c r="AG1241" s="105"/>
      <c r="AH1241" s="108"/>
      <c r="AI1241" s="109" t="s">
        <v>4336</v>
      </c>
      <c r="AJ1241" s="110" t="s">
        <v>4337</v>
      </c>
      <c r="AK1241" s="111"/>
      <c r="AL1241" s="105"/>
      <c r="AM1241" s="112" t="s">
        <v>825</v>
      </c>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c r="BJ1241" s="107"/>
      <c r="BK1241" s="107"/>
      <c r="BL1241" s="107"/>
      <c r="BM1241" s="107"/>
      <c r="BN1241" s="107"/>
      <c r="BO1241" s="107"/>
      <c r="BP1241" s="107"/>
      <c r="BQ1241" s="107"/>
      <c r="BR1241" s="107"/>
      <c r="BS1241" s="107"/>
      <c r="BT1241" s="107"/>
      <c r="BU1241" s="107"/>
      <c r="BV1241" s="107"/>
      <c r="BW1241" s="107"/>
      <c r="BX1241" s="107"/>
      <c r="BY1241" s="107"/>
      <c r="BZ1241" s="107"/>
      <c r="CA1241" s="107"/>
      <c r="CB1241" s="107"/>
      <c r="CC1241" s="107"/>
      <c r="CD1241" s="107"/>
      <c r="CE1241" s="107"/>
      <c r="CF1241" s="107"/>
      <c r="CG1241" s="107"/>
      <c r="CH1241" s="107"/>
      <c r="CI1241" s="107"/>
      <c r="CJ1241" s="107"/>
      <c r="CK1241" s="107"/>
      <c r="CL1241" s="107"/>
      <c r="CM1241" s="107"/>
      <c r="CN1241" s="118"/>
      <c r="CO1241" s="119"/>
      <c r="CP1241" s="118"/>
      <c r="CQ1241" s="119"/>
      <c r="CR1241" s="118"/>
      <c r="CS1241" s="119"/>
      <c r="CT1241" s="113"/>
      <c r="CU1241" s="118"/>
      <c r="CV1241" s="99">
        <f t="shared" si="119"/>
        <v>0</v>
      </c>
      <c r="CW1241" s="118"/>
      <c r="CX1241" s="119"/>
      <c r="CY1241" s="119"/>
      <c r="CZ1241" s="119"/>
      <c r="DA1241" s="118"/>
      <c r="DB1241" s="119"/>
      <c r="DC1241" s="111"/>
      <c r="DD1241" s="119"/>
      <c r="DE1241" s="111"/>
      <c r="DF1241" s="46"/>
    </row>
    <row r="1242" spans="1:110" s="42" customFormat="1" ht="60" x14ac:dyDescent="0.2">
      <c r="A1242" s="89">
        <v>40686</v>
      </c>
      <c r="B1242" s="106" t="s">
        <v>4352</v>
      </c>
      <c r="C1242" s="106" t="s">
        <v>4316</v>
      </c>
      <c r="D1242" s="90" t="s">
        <v>4264</v>
      </c>
      <c r="E1242" s="90" t="str">
        <f>VLOOKUP(B1242&amp;C1242,Divipola!$C$2:$F$1138,4,FALSE)</f>
        <v>13440</v>
      </c>
      <c r="F1242" s="90"/>
      <c r="G1242" s="129">
        <v>1</v>
      </c>
      <c r="H1242" s="129"/>
      <c r="I1242" s="129"/>
      <c r="J1242" s="129"/>
      <c r="K1242" s="129"/>
      <c r="L1242" s="129"/>
      <c r="M1242" s="129"/>
      <c r="N1242" s="129"/>
      <c r="O1242" s="129"/>
      <c r="P1242" s="129"/>
      <c r="Q1242" s="129"/>
      <c r="R1242" s="129"/>
      <c r="S1242" s="129"/>
      <c r="T1242" s="129"/>
      <c r="U1242" s="129"/>
      <c r="V1242" s="129"/>
      <c r="W1242" s="107"/>
      <c r="X1242" s="105"/>
      <c r="Y1242" s="92">
        <f t="shared" si="114"/>
        <v>0</v>
      </c>
      <c r="Z1242" s="92">
        <f t="shared" si="115"/>
        <v>0</v>
      </c>
      <c r="AA1242" s="92">
        <f t="shared" si="116"/>
        <v>0</v>
      </c>
      <c r="AB1242" s="92">
        <f t="shared" si="117"/>
        <v>0</v>
      </c>
      <c r="AC1242" s="92"/>
      <c r="AD1242" s="92">
        <v>0</v>
      </c>
      <c r="AE1242" s="92">
        <f t="shared" si="118"/>
        <v>0</v>
      </c>
      <c r="AF1242" s="93">
        <v>0</v>
      </c>
      <c r="AG1242" s="105"/>
      <c r="AH1242" s="108"/>
      <c r="AI1242" s="109" t="s">
        <v>4336</v>
      </c>
      <c r="AJ1242" s="110" t="s">
        <v>4337</v>
      </c>
      <c r="AK1242" s="111"/>
      <c r="AL1242" s="105"/>
      <c r="AM1242" s="112" t="s">
        <v>819</v>
      </c>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c r="BJ1242" s="107"/>
      <c r="BK1242" s="107"/>
      <c r="BL1242" s="107"/>
      <c r="BM1242" s="107"/>
      <c r="BN1242" s="107"/>
      <c r="BO1242" s="107"/>
      <c r="BP1242" s="107"/>
      <c r="BQ1242" s="107"/>
      <c r="BR1242" s="107"/>
      <c r="BS1242" s="107"/>
      <c r="BT1242" s="107"/>
      <c r="BU1242" s="107"/>
      <c r="BV1242" s="107"/>
      <c r="BW1242" s="107"/>
      <c r="BX1242" s="107"/>
      <c r="BY1242" s="107"/>
      <c r="BZ1242" s="107"/>
      <c r="CA1242" s="107"/>
      <c r="CB1242" s="107"/>
      <c r="CC1242" s="107"/>
      <c r="CD1242" s="107"/>
      <c r="CE1242" s="107"/>
      <c r="CF1242" s="107"/>
      <c r="CG1242" s="107"/>
      <c r="CH1242" s="107"/>
      <c r="CI1242" s="107"/>
      <c r="CJ1242" s="107"/>
      <c r="CK1242" s="107"/>
      <c r="CL1242" s="107"/>
      <c r="CM1242" s="107"/>
      <c r="CN1242" s="118"/>
      <c r="CO1242" s="119"/>
      <c r="CP1242" s="118"/>
      <c r="CQ1242" s="119"/>
      <c r="CR1242" s="118"/>
      <c r="CS1242" s="119"/>
      <c r="CT1242" s="113"/>
      <c r="CU1242" s="118"/>
      <c r="CV1242" s="99">
        <f t="shared" si="119"/>
        <v>0</v>
      </c>
      <c r="CW1242" s="118"/>
      <c r="CX1242" s="119"/>
      <c r="CY1242" s="119"/>
      <c r="CZ1242" s="119"/>
      <c r="DA1242" s="118"/>
      <c r="DB1242" s="119"/>
      <c r="DC1242" s="111"/>
      <c r="DD1242" s="119"/>
      <c r="DE1242" s="111"/>
      <c r="DF1242" s="46"/>
    </row>
    <row r="1243" spans="1:110" s="42" customFormat="1" ht="22.5" x14ac:dyDescent="0.2">
      <c r="A1243" s="89">
        <v>40686</v>
      </c>
      <c r="B1243" s="106" t="s">
        <v>4352</v>
      </c>
      <c r="C1243" s="106" t="s">
        <v>2543</v>
      </c>
      <c r="D1243" s="90" t="s">
        <v>4264</v>
      </c>
      <c r="E1243" s="90" t="str">
        <f>VLOOKUP(B1243&amp;C1243,Divipola!$C$2:$F$1138,4,FALSE)</f>
        <v>13667</v>
      </c>
      <c r="F1243" s="90"/>
      <c r="G1243" s="129"/>
      <c r="H1243" s="129"/>
      <c r="I1243" s="129"/>
      <c r="J1243" s="129">
        <f>385*5</f>
        <v>1925</v>
      </c>
      <c r="K1243" s="129">
        <v>385</v>
      </c>
      <c r="L1243" s="129"/>
      <c r="M1243" s="129">
        <v>385</v>
      </c>
      <c r="N1243" s="129"/>
      <c r="O1243" s="129"/>
      <c r="P1243" s="129"/>
      <c r="Q1243" s="129"/>
      <c r="R1243" s="129"/>
      <c r="S1243" s="129"/>
      <c r="T1243" s="129"/>
      <c r="U1243" s="129"/>
      <c r="V1243" s="129"/>
      <c r="W1243" s="107"/>
      <c r="X1243" s="105"/>
      <c r="Y1243" s="92">
        <f t="shared" si="114"/>
        <v>36001000</v>
      </c>
      <c r="Z1243" s="92">
        <f t="shared" si="115"/>
        <v>82705000</v>
      </c>
      <c r="AA1243" s="92">
        <f t="shared" si="116"/>
        <v>0</v>
      </c>
      <c r="AB1243" s="92">
        <f t="shared" si="117"/>
        <v>0</v>
      </c>
      <c r="AC1243" s="92"/>
      <c r="AD1243" s="92">
        <v>0</v>
      </c>
      <c r="AE1243" s="92">
        <f t="shared" si="118"/>
        <v>118706000</v>
      </c>
      <c r="AF1243" s="93">
        <v>0</v>
      </c>
      <c r="AG1243" s="105"/>
      <c r="AH1243" s="108"/>
      <c r="AI1243" s="109" t="s">
        <v>4346</v>
      </c>
      <c r="AJ1243" s="110" t="s">
        <v>4347</v>
      </c>
      <c r="AK1243" s="111"/>
      <c r="AL1243" s="105"/>
      <c r="AM1243" s="112" t="s">
        <v>3452</v>
      </c>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c r="BJ1243" s="107"/>
      <c r="BK1243" s="107"/>
      <c r="BL1243" s="107"/>
      <c r="BM1243" s="107"/>
      <c r="BN1243" s="107"/>
      <c r="BO1243" s="107"/>
      <c r="BP1243" s="107"/>
      <c r="BQ1243" s="107"/>
      <c r="BR1243" s="107"/>
      <c r="BS1243" s="107"/>
      <c r="BT1243" s="107"/>
      <c r="BU1243" s="107"/>
      <c r="BV1243" s="107"/>
      <c r="BW1243" s="107"/>
      <c r="BX1243" s="107"/>
      <c r="BY1243" s="107"/>
      <c r="BZ1243" s="107"/>
      <c r="CA1243" s="107"/>
      <c r="CB1243" s="107"/>
      <c r="CC1243" s="107"/>
      <c r="CD1243" s="107"/>
      <c r="CE1243" s="107"/>
      <c r="CF1243" s="107"/>
      <c r="CG1243" s="107"/>
      <c r="CH1243" s="107"/>
      <c r="CI1243" s="107"/>
      <c r="CJ1243" s="107"/>
      <c r="CK1243" s="107"/>
      <c r="CL1243" s="107"/>
      <c r="CM1243" s="107"/>
      <c r="CN1243" s="118"/>
      <c r="CO1243" s="119"/>
      <c r="CP1243" s="118">
        <v>973</v>
      </c>
      <c r="CQ1243" s="119">
        <f>973*37000</f>
        <v>36001000</v>
      </c>
      <c r="CR1243" s="118"/>
      <c r="CS1243" s="119"/>
      <c r="CT1243" s="113"/>
      <c r="CU1243" s="118"/>
      <c r="CV1243" s="99">
        <f t="shared" si="119"/>
        <v>36001000</v>
      </c>
      <c r="CW1243" s="118"/>
      <c r="CX1243" s="119"/>
      <c r="CY1243" s="119">
        <v>973</v>
      </c>
      <c r="CZ1243" s="119">
        <f>973*85000</f>
        <v>82705000</v>
      </c>
      <c r="DA1243" s="118"/>
      <c r="DB1243" s="119"/>
      <c r="DC1243" s="111"/>
      <c r="DD1243" s="119"/>
      <c r="DE1243" s="111"/>
      <c r="DF1243" s="46"/>
    </row>
    <row r="1244" spans="1:110" s="42" customFormat="1" ht="36" x14ac:dyDescent="0.2">
      <c r="A1244" s="89">
        <v>40686</v>
      </c>
      <c r="B1244" s="106" t="s">
        <v>4219</v>
      </c>
      <c r="C1244" s="106" t="s">
        <v>63</v>
      </c>
      <c r="D1244" s="90" t="s">
        <v>2362</v>
      </c>
      <c r="E1244" s="90" t="str">
        <f>VLOOKUP(B1244&amp;C1244,Divipola!$C$2:$F$1138,4,FALSE)</f>
        <v>41524</v>
      </c>
      <c r="F1244" s="90"/>
      <c r="G1244" s="129"/>
      <c r="H1244" s="129"/>
      <c r="I1244" s="129"/>
      <c r="J1244" s="129"/>
      <c r="K1244" s="129"/>
      <c r="L1244" s="129"/>
      <c r="M1244" s="129"/>
      <c r="N1244" s="129">
        <v>1</v>
      </c>
      <c r="O1244" s="129"/>
      <c r="P1244" s="129"/>
      <c r="Q1244" s="129"/>
      <c r="R1244" s="129"/>
      <c r="S1244" s="129"/>
      <c r="T1244" s="129"/>
      <c r="U1244" s="129"/>
      <c r="V1244" s="129"/>
      <c r="W1244" s="107"/>
      <c r="X1244" s="105"/>
      <c r="Y1244" s="92">
        <f t="shared" si="114"/>
        <v>0</v>
      </c>
      <c r="Z1244" s="92">
        <f t="shared" si="115"/>
        <v>0</v>
      </c>
      <c r="AA1244" s="92">
        <f t="shared" si="116"/>
        <v>0</v>
      </c>
      <c r="AB1244" s="92">
        <f t="shared" si="117"/>
        <v>0</v>
      </c>
      <c r="AC1244" s="92"/>
      <c r="AD1244" s="92">
        <v>0</v>
      </c>
      <c r="AE1244" s="92">
        <f t="shared" si="118"/>
        <v>0</v>
      </c>
      <c r="AF1244" s="93">
        <v>0</v>
      </c>
      <c r="AG1244" s="105"/>
      <c r="AH1244" s="108"/>
      <c r="AI1244" s="109" t="s">
        <v>4336</v>
      </c>
      <c r="AJ1244" s="110" t="s">
        <v>4337</v>
      </c>
      <c r="AK1244" s="111"/>
      <c r="AL1244" s="105"/>
      <c r="AM1244" s="112" t="s">
        <v>4150</v>
      </c>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c r="BJ1244" s="107"/>
      <c r="BK1244" s="107"/>
      <c r="BL1244" s="107"/>
      <c r="BM1244" s="107"/>
      <c r="BN1244" s="107"/>
      <c r="BO1244" s="107"/>
      <c r="BP1244" s="107"/>
      <c r="BQ1244" s="107"/>
      <c r="BR1244" s="107"/>
      <c r="BS1244" s="107"/>
      <c r="BT1244" s="107"/>
      <c r="BU1244" s="107"/>
      <c r="BV1244" s="107"/>
      <c r="BW1244" s="107"/>
      <c r="BX1244" s="107"/>
      <c r="BY1244" s="107"/>
      <c r="BZ1244" s="107"/>
      <c r="CA1244" s="107"/>
      <c r="CB1244" s="107"/>
      <c r="CC1244" s="107"/>
      <c r="CD1244" s="107"/>
      <c r="CE1244" s="107"/>
      <c r="CF1244" s="107"/>
      <c r="CG1244" s="107"/>
      <c r="CH1244" s="107"/>
      <c r="CI1244" s="107"/>
      <c r="CJ1244" s="107"/>
      <c r="CK1244" s="107"/>
      <c r="CL1244" s="118"/>
      <c r="CM1244" s="119"/>
      <c r="CN1244" s="118"/>
      <c r="CO1244" s="119"/>
      <c r="CP1244" s="118"/>
      <c r="CQ1244" s="119"/>
      <c r="CR1244" s="113"/>
      <c r="CS1244" s="118"/>
      <c r="CT1244" s="113"/>
      <c r="CU1244" s="118"/>
      <c r="CV1244" s="99">
        <f t="shared" si="119"/>
        <v>0</v>
      </c>
      <c r="CW1244" s="119"/>
      <c r="CX1244" s="119"/>
      <c r="CY1244" s="118"/>
      <c r="CZ1244" s="119"/>
      <c r="DA1244" s="111"/>
      <c r="DB1244" s="119"/>
      <c r="DC1244" s="111"/>
      <c r="DD1244" s="119"/>
      <c r="DE1244" s="111"/>
      <c r="DF1244" s="46"/>
    </row>
    <row r="1245" spans="1:110" s="42" customFormat="1" ht="36" x14ac:dyDescent="0.2">
      <c r="A1245" s="89">
        <v>40686</v>
      </c>
      <c r="B1245" s="106" t="s">
        <v>4219</v>
      </c>
      <c r="C1245" s="106" t="s">
        <v>2232</v>
      </c>
      <c r="D1245" s="90" t="s">
        <v>2362</v>
      </c>
      <c r="E1245" s="90" t="str">
        <f>VLOOKUP(B1245&amp;C1245,Divipola!$C$2:$F$1138,4,FALSE)</f>
        <v>41551</v>
      </c>
      <c r="F1245" s="90"/>
      <c r="G1245" s="129"/>
      <c r="H1245" s="129"/>
      <c r="I1245" s="129"/>
      <c r="J1245" s="129"/>
      <c r="K1245" s="129"/>
      <c r="L1245" s="129"/>
      <c r="M1245" s="129"/>
      <c r="N1245" s="129">
        <v>1</v>
      </c>
      <c r="O1245" s="129"/>
      <c r="P1245" s="129"/>
      <c r="Q1245" s="129"/>
      <c r="R1245" s="129"/>
      <c r="S1245" s="129"/>
      <c r="T1245" s="129"/>
      <c r="U1245" s="129"/>
      <c r="V1245" s="129"/>
      <c r="W1245" s="107"/>
      <c r="X1245" s="105"/>
      <c r="Y1245" s="92">
        <f t="shared" si="114"/>
        <v>0</v>
      </c>
      <c r="Z1245" s="92">
        <f t="shared" si="115"/>
        <v>0</v>
      </c>
      <c r="AA1245" s="92">
        <f t="shared" si="116"/>
        <v>0</v>
      </c>
      <c r="AB1245" s="92">
        <f t="shared" si="117"/>
        <v>0</v>
      </c>
      <c r="AC1245" s="92"/>
      <c r="AD1245" s="92">
        <v>0</v>
      </c>
      <c r="AE1245" s="92">
        <f t="shared" si="118"/>
        <v>0</v>
      </c>
      <c r="AF1245" s="93">
        <v>0</v>
      </c>
      <c r="AG1245" s="105"/>
      <c r="AH1245" s="108"/>
      <c r="AI1245" s="109" t="s">
        <v>4336</v>
      </c>
      <c r="AJ1245" s="110" t="s">
        <v>4337</v>
      </c>
      <c r="AK1245" s="111" t="s">
        <v>4265</v>
      </c>
      <c r="AL1245" s="105"/>
      <c r="AM1245" s="112" t="s">
        <v>4149</v>
      </c>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c r="BJ1245" s="107"/>
      <c r="BK1245" s="107"/>
      <c r="BL1245" s="107"/>
      <c r="BM1245" s="107"/>
      <c r="BN1245" s="107"/>
      <c r="BO1245" s="107"/>
      <c r="BP1245" s="107"/>
      <c r="BQ1245" s="107"/>
      <c r="BR1245" s="107"/>
      <c r="BS1245" s="107"/>
      <c r="BT1245" s="107"/>
      <c r="BU1245" s="107"/>
      <c r="BV1245" s="107"/>
      <c r="BW1245" s="107"/>
      <c r="BX1245" s="107"/>
      <c r="BY1245" s="107"/>
      <c r="BZ1245" s="107"/>
      <c r="CA1245" s="107"/>
      <c r="CB1245" s="107"/>
      <c r="CC1245" s="107"/>
      <c r="CD1245" s="107"/>
      <c r="CE1245" s="107"/>
      <c r="CF1245" s="107"/>
      <c r="CG1245" s="107"/>
      <c r="CH1245" s="107"/>
      <c r="CI1245" s="107"/>
      <c r="CJ1245" s="107"/>
      <c r="CK1245" s="107"/>
      <c r="CL1245" s="118"/>
      <c r="CM1245" s="119"/>
      <c r="CN1245" s="118"/>
      <c r="CO1245" s="119"/>
      <c r="CP1245" s="118"/>
      <c r="CQ1245" s="119"/>
      <c r="CR1245" s="113"/>
      <c r="CS1245" s="118"/>
      <c r="CT1245" s="113"/>
      <c r="CU1245" s="118"/>
      <c r="CV1245" s="99">
        <f t="shared" si="119"/>
        <v>0</v>
      </c>
      <c r="CW1245" s="119"/>
      <c r="CX1245" s="119"/>
      <c r="CY1245" s="118"/>
      <c r="CZ1245" s="119"/>
      <c r="DA1245" s="111"/>
      <c r="DB1245" s="119"/>
      <c r="DC1245" s="111"/>
      <c r="DD1245" s="119"/>
      <c r="DE1245" s="111"/>
      <c r="DF1245" s="46"/>
    </row>
    <row r="1246" spans="1:110" s="42" customFormat="1" ht="60" x14ac:dyDescent="0.2">
      <c r="A1246" s="89">
        <v>40686</v>
      </c>
      <c r="B1246" s="106" t="s">
        <v>4219</v>
      </c>
      <c r="C1246" s="106" t="s">
        <v>4382</v>
      </c>
      <c r="D1246" s="90" t="s">
        <v>2362</v>
      </c>
      <c r="E1246" s="90" t="str">
        <f>VLOOKUP(B1246&amp;C1246,Divipola!$C$2:$F$1138,4,FALSE)</f>
        <v>41807</v>
      </c>
      <c r="F1246" s="90"/>
      <c r="G1246" s="129"/>
      <c r="H1246" s="129"/>
      <c r="I1246" s="129"/>
      <c r="J1246" s="129"/>
      <c r="K1246" s="129"/>
      <c r="L1246" s="129"/>
      <c r="M1246" s="129"/>
      <c r="N1246" s="129">
        <v>1</v>
      </c>
      <c r="O1246" s="129"/>
      <c r="P1246" s="129"/>
      <c r="Q1246" s="129">
        <v>1</v>
      </c>
      <c r="R1246" s="129"/>
      <c r="S1246" s="129"/>
      <c r="T1246" s="129"/>
      <c r="U1246" s="129"/>
      <c r="V1246" s="129"/>
      <c r="W1246" s="107"/>
      <c r="X1246" s="105"/>
      <c r="Y1246" s="92">
        <f t="shared" ref="Y1246:Y1309" si="120">CV1246</f>
        <v>0</v>
      </c>
      <c r="Z1246" s="92">
        <f t="shared" ref="Z1246:Z1309" si="121">CZ1246</f>
        <v>0</v>
      </c>
      <c r="AA1246" s="92">
        <f t="shared" ref="AA1246:AA1309" si="122">DB1246+DD1246</f>
        <v>0</v>
      </c>
      <c r="AB1246" s="92">
        <f t="shared" ref="AB1246:AB1309" si="123">CX1246</f>
        <v>0</v>
      </c>
      <c r="AC1246" s="92"/>
      <c r="AD1246" s="92">
        <v>0</v>
      </c>
      <c r="AE1246" s="92">
        <f t="shared" ref="AE1246:AE1309" si="124">Y1246+Z1246+AA1246+AB1246+AC1246+AD1246</f>
        <v>0</v>
      </c>
      <c r="AF1246" s="93">
        <v>0</v>
      </c>
      <c r="AG1246" s="105"/>
      <c r="AH1246" s="108"/>
      <c r="AI1246" s="109" t="s">
        <v>4336</v>
      </c>
      <c r="AJ1246" s="110" t="s">
        <v>4337</v>
      </c>
      <c r="AK1246" s="111"/>
      <c r="AL1246" s="105"/>
      <c r="AM1246" s="112" t="s">
        <v>4151</v>
      </c>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c r="BJ1246" s="107"/>
      <c r="BK1246" s="107"/>
      <c r="BL1246" s="107"/>
      <c r="BM1246" s="107"/>
      <c r="BN1246" s="107"/>
      <c r="BO1246" s="107"/>
      <c r="BP1246" s="107"/>
      <c r="BQ1246" s="107"/>
      <c r="BR1246" s="107"/>
      <c r="BS1246" s="107"/>
      <c r="BT1246" s="107"/>
      <c r="BU1246" s="107"/>
      <c r="BV1246" s="107"/>
      <c r="BW1246" s="107"/>
      <c r="BX1246" s="107"/>
      <c r="BY1246" s="107"/>
      <c r="BZ1246" s="107"/>
      <c r="CA1246" s="107"/>
      <c r="CB1246" s="107"/>
      <c r="CC1246" s="107"/>
      <c r="CD1246" s="107"/>
      <c r="CE1246" s="107"/>
      <c r="CF1246" s="107"/>
      <c r="CG1246" s="107"/>
      <c r="CH1246" s="107"/>
      <c r="CI1246" s="107"/>
      <c r="CJ1246" s="107"/>
      <c r="CK1246" s="107"/>
      <c r="CL1246" s="118"/>
      <c r="CM1246" s="119"/>
      <c r="CN1246" s="118"/>
      <c r="CO1246" s="119"/>
      <c r="CP1246" s="118"/>
      <c r="CQ1246" s="119"/>
      <c r="CR1246" s="113"/>
      <c r="CS1246" s="118"/>
      <c r="CT1246" s="113"/>
      <c r="CU1246" s="118"/>
      <c r="CV1246" s="99">
        <f t="shared" si="119"/>
        <v>0</v>
      </c>
      <c r="CW1246" s="119"/>
      <c r="CX1246" s="119"/>
      <c r="CY1246" s="118"/>
      <c r="CZ1246" s="119"/>
      <c r="DA1246" s="111"/>
      <c r="DB1246" s="119"/>
      <c r="DC1246" s="111"/>
      <c r="DD1246" s="119"/>
      <c r="DE1246" s="111"/>
      <c r="DF1246" s="46"/>
    </row>
    <row r="1247" spans="1:110" s="42" customFormat="1" x14ac:dyDescent="0.2">
      <c r="A1247" s="89">
        <v>40686</v>
      </c>
      <c r="B1247" s="90" t="s">
        <v>4308</v>
      </c>
      <c r="C1247" s="90" t="s">
        <v>4345</v>
      </c>
      <c r="D1247" s="90" t="s">
        <v>4264</v>
      </c>
      <c r="E1247" s="90">
        <f>VLOOKUP(B1247&amp;C1247,Divipola!$C$2:$F$1138,4,FALSE)</f>
        <v>47</v>
      </c>
      <c r="F1247" s="90"/>
      <c r="G1247" s="129"/>
      <c r="H1247" s="129"/>
      <c r="I1247" s="129"/>
      <c r="J1247" s="129"/>
      <c r="K1247" s="129"/>
      <c r="L1247" s="129"/>
      <c r="M1247" s="129"/>
      <c r="N1247" s="129"/>
      <c r="O1247" s="129"/>
      <c r="P1247" s="129"/>
      <c r="Q1247" s="129"/>
      <c r="R1247" s="129"/>
      <c r="S1247" s="129"/>
      <c r="T1247" s="129"/>
      <c r="U1247" s="129"/>
      <c r="V1247" s="129"/>
      <c r="W1247" s="107"/>
      <c r="X1247" s="105"/>
      <c r="Y1247" s="92">
        <f t="shared" si="120"/>
        <v>472885888</v>
      </c>
      <c r="Z1247" s="92">
        <f t="shared" si="121"/>
        <v>0</v>
      </c>
      <c r="AA1247" s="92">
        <f t="shared" si="122"/>
        <v>0</v>
      </c>
      <c r="AB1247" s="92">
        <f t="shared" si="123"/>
        <v>0</v>
      </c>
      <c r="AC1247" s="92"/>
      <c r="AD1247" s="92">
        <v>0</v>
      </c>
      <c r="AE1247" s="92">
        <f t="shared" si="124"/>
        <v>472885888</v>
      </c>
      <c r="AF1247" s="93">
        <v>0</v>
      </c>
      <c r="AG1247" s="105"/>
      <c r="AH1247" s="108"/>
      <c r="AI1247" s="95" t="s">
        <v>4346</v>
      </c>
      <c r="AJ1247" s="96" t="s">
        <v>4347</v>
      </c>
      <c r="AK1247" s="111"/>
      <c r="AL1247" s="105"/>
      <c r="AM1247" s="112"/>
      <c r="AN1247" s="107"/>
      <c r="AO1247" s="107"/>
      <c r="AP1247" s="107"/>
      <c r="AQ1247" s="107"/>
      <c r="AR1247" s="107"/>
      <c r="AS1247" s="107"/>
      <c r="AT1247" s="107"/>
      <c r="AU1247" s="107"/>
      <c r="AV1247" s="107"/>
      <c r="AW1247" s="107"/>
      <c r="AX1247" s="107">
        <v>600</v>
      </c>
      <c r="AY1247" s="107">
        <f>231*400000+33*450000+7*600000+71*450000+104*450000+31*600000+51*386000+72*450000</f>
        <v>260886000</v>
      </c>
      <c r="AZ1247" s="107">
        <v>2000</v>
      </c>
      <c r="BA1247" s="107">
        <f>2000*56000</f>
        <v>112000000</v>
      </c>
      <c r="BB1247" s="107"/>
      <c r="BC1247" s="107"/>
      <c r="BD1247" s="107"/>
      <c r="BE1247" s="107"/>
      <c r="BF1247" s="107"/>
      <c r="BG1247" s="107"/>
      <c r="BH1247" s="107"/>
      <c r="BI1247" s="107"/>
      <c r="BJ1247" s="107"/>
      <c r="BK1247" s="107"/>
      <c r="BL1247" s="107"/>
      <c r="BM1247" s="107"/>
      <c r="BN1247" s="107"/>
      <c r="BO1247" s="107"/>
      <c r="BP1247" s="107"/>
      <c r="BQ1247" s="107"/>
      <c r="BR1247" s="107"/>
      <c r="BS1247" s="107"/>
      <c r="BT1247" s="107"/>
      <c r="BU1247" s="107"/>
      <c r="BV1247" s="107"/>
      <c r="BW1247" s="107"/>
      <c r="BX1247" s="107"/>
      <c r="BY1247" s="107"/>
      <c r="BZ1247" s="107">
        <v>200</v>
      </c>
      <c r="CA1247" s="107">
        <f>200*499999.44</f>
        <v>99999888</v>
      </c>
      <c r="CB1247" s="107"/>
      <c r="CC1247" s="107"/>
      <c r="CD1247" s="107"/>
      <c r="CE1247" s="107"/>
      <c r="CF1247" s="107"/>
      <c r="CG1247" s="107"/>
      <c r="CH1247" s="107"/>
      <c r="CI1247" s="107"/>
      <c r="CJ1247" s="107"/>
      <c r="CK1247" s="107"/>
      <c r="CL1247" s="118"/>
      <c r="CM1247" s="119"/>
      <c r="CN1247" s="118"/>
      <c r="CO1247" s="119"/>
      <c r="CP1247" s="118"/>
      <c r="CQ1247" s="119"/>
      <c r="CR1247" s="113"/>
      <c r="CS1247" s="118"/>
      <c r="CT1247" s="113"/>
      <c r="CU1247" s="118"/>
      <c r="CV1247" s="99">
        <f t="shared" si="119"/>
        <v>472885888</v>
      </c>
      <c r="CW1247" s="119"/>
      <c r="CX1247" s="119"/>
      <c r="CY1247" s="118"/>
      <c r="CZ1247" s="119"/>
      <c r="DA1247" s="111"/>
      <c r="DB1247" s="119"/>
      <c r="DC1247" s="111"/>
      <c r="DD1247" s="119"/>
      <c r="DE1247" s="111"/>
      <c r="DF1247" s="46"/>
    </row>
    <row r="1248" spans="1:110" s="42" customFormat="1" x14ac:dyDescent="0.2">
      <c r="A1248" s="89">
        <v>40686</v>
      </c>
      <c r="B1248" s="106" t="s">
        <v>4308</v>
      </c>
      <c r="C1248" s="106" t="s">
        <v>771</v>
      </c>
      <c r="D1248" s="90" t="s">
        <v>4264</v>
      </c>
      <c r="E1248" s="90" t="str">
        <f>VLOOKUP(B1248&amp;C1248,Divipola!$C$2:$F$1138,4,FALSE)</f>
        <v>47555</v>
      </c>
      <c r="F1248" s="90"/>
      <c r="G1248" s="129"/>
      <c r="H1248" s="129"/>
      <c r="I1248" s="129"/>
      <c r="J1248" s="129">
        <v>5270</v>
      </c>
      <c r="K1248" s="129">
        <v>1054</v>
      </c>
      <c r="L1248" s="129"/>
      <c r="M1248" s="129">
        <v>1054</v>
      </c>
      <c r="N1248" s="129"/>
      <c r="O1248" s="129"/>
      <c r="P1248" s="129"/>
      <c r="Q1248" s="129"/>
      <c r="R1248" s="129"/>
      <c r="S1248" s="129"/>
      <c r="T1248" s="129"/>
      <c r="U1248" s="129"/>
      <c r="V1248" s="129"/>
      <c r="W1248" s="107"/>
      <c r="X1248" s="105"/>
      <c r="Y1248" s="92">
        <f t="shared" si="120"/>
        <v>0</v>
      </c>
      <c r="Z1248" s="92">
        <f t="shared" si="121"/>
        <v>0</v>
      </c>
      <c r="AA1248" s="92">
        <f t="shared" si="122"/>
        <v>0</v>
      </c>
      <c r="AB1248" s="92">
        <f t="shared" si="123"/>
        <v>0</v>
      </c>
      <c r="AC1248" s="92"/>
      <c r="AD1248" s="92">
        <v>0</v>
      </c>
      <c r="AE1248" s="92">
        <f t="shared" si="124"/>
        <v>0</v>
      </c>
      <c r="AF1248" s="93">
        <v>0</v>
      </c>
      <c r="AG1248" s="105"/>
      <c r="AH1248" s="108"/>
      <c r="AI1248" s="109" t="s">
        <v>4336</v>
      </c>
      <c r="AJ1248" s="110" t="s">
        <v>4337</v>
      </c>
      <c r="AK1248" s="111"/>
      <c r="AL1248" s="105"/>
      <c r="AM1248" s="112" t="s">
        <v>3347</v>
      </c>
      <c r="AN1248" s="107"/>
      <c r="AO1248" s="107"/>
      <c r="AP1248" s="107"/>
      <c r="AQ1248" s="107"/>
      <c r="AR1248" s="107"/>
      <c r="AS1248" s="107"/>
      <c r="AT1248" s="107"/>
      <c r="AU1248" s="107"/>
      <c r="AV1248" s="107"/>
      <c r="AW1248" s="107"/>
      <c r="AX1248" s="107"/>
      <c r="AY1248" s="107"/>
      <c r="AZ1248" s="107"/>
      <c r="BA1248" s="107"/>
      <c r="BB1248" s="107"/>
      <c r="BC1248" s="107"/>
      <c r="BD1248" s="107"/>
      <c r="BE1248" s="107"/>
      <c r="BF1248" s="107"/>
      <c r="BG1248" s="107"/>
      <c r="BH1248" s="107"/>
      <c r="BI1248" s="107"/>
      <c r="BJ1248" s="107"/>
      <c r="BK1248" s="107"/>
      <c r="BL1248" s="107"/>
      <c r="BM1248" s="107"/>
      <c r="BN1248" s="107"/>
      <c r="BO1248" s="107"/>
      <c r="BP1248" s="107"/>
      <c r="BQ1248" s="107"/>
      <c r="BR1248" s="107"/>
      <c r="BS1248" s="107"/>
      <c r="BT1248" s="107"/>
      <c r="BU1248" s="107"/>
      <c r="BV1248" s="107"/>
      <c r="BW1248" s="107"/>
      <c r="BX1248" s="107"/>
      <c r="BY1248" s="107"/>
      <c r="BZ1248" s="107"/>
      <c r="CA1248" s="107"/>
      <c r="CB1248" s="107"/>
      <c r="CC1248" s="107"/>
      <c r="CD1248" s="107"/>
      <c r="CE1248" s="107"/>
      <c r="CF1248" s="107"/>
      <c r="CG1248" s="107"/>
      <c r="CH1248" s="107"/>
      <c r="CI1248" s="107"/>
      <c r="CJ1248" s="107"/>
      <c r="CK1248" s="107"/>
      <c r="CL1248" s="107"/>
      <c r="CM1248" s="107"/>
      <c r="CN1248" s="118"/>
      <c r="CO1248" s="119"/>
      <c r="CP1248" s="118"/>
      <c r="CQ1248" s="119"/>
      <c r="CR1248" s="118"/>
      <c r="CS1248" s="119"/>
      <c r="CT1248" s="113"/>
      <c r="CU1248" s="118"/>
      <c r="CV1248" s="99">
        <f t="shared" si="119"/>
        <v>0</v>
      </c>
      <c r="CW1248" s="118"/>
      <c r="CX1248" s="119"/>
      <c r="CY1248" s="119"/>
      <c r="CZ1248" s="119"/>
      <c r="DA1248" s="118"/>
      <c r="DB1248" s="119"/>
      <c r="DC1248" s="111"/>
      <c r="DD1248" s="119"/>
      <c r="DE1248" s="111"/>
      <c r="DF1248" s="46"/>
    </row>
    <row r="1249" spans="1:110" s="42" customFormat="1" x14ac:dyDescent="0.2">
      <c r="A1249" s="89">
        <v>40686</v>
      </c>
      <c r="B1249" s="106" t="s">
        <v>860</v>
      </c>
      <c r="C1249" s="106" t="s">
        <v>420</v>
      </c>
      <c r="D1249" s="90" t="s">
        <v>4264</v>
      </c>
      <c r="E1249" s="90" t="str">
        <f>VLOOKUP(B1249&amp;C1249,Divipola!$C$2:$F$1138,4,FALSE)</f>
        <v>50577</v>
      </c>
      <c r="F1249" s="90"/>
      <c r="G1249" s="129"/>
      <c r="H1249" s="129"/>
      <c r="I1249" s="129"/>
      <c r="J1249" s="129">
        <v>1750</v>
      </c>
      <c r="K1249" s="129">
        <v>350</v>
      </c>
      <c r="L1249" s="129"/>
      <c r="M1249" s="129">
        <v>350</v>
      </c>
      <c r="N1249" s="129"/>
      <c r="O1249" s="129"/>
      <c r="P1249" s="129"/>
      <c r="Q1249" s="129"/>
      <c r="R1249" s="129"/>
      <c r="S1249" s="129"/>
      <c r="T1249" s="129"/>
      <c r="U1249" s="129"/>
      <c r="V1249" s="129"/>
      <c r="W1249" s="107"/>
      <c r="X1249" s="105"/>
      <c r="Y1249" s="92">
        <f t="shared" si="120"/>
        <v>0</v>
      </c>
      <c r="Z1249" s="92">
        <f t="shared" si="121"/>
        <v>0</v>
      </c>
      <c r="AA1249" s="92">
        <f t="shared" si="122"/>
        <v>0</v>
      </c>
      <c r="AB1249" s="92">
        <f t="shared" si="123"/>
        <v>0</v>
      </c>
      <c r="AC1249" s="92"/>
      <c r="AD1249" s="92">
        <v>0</v>
      </c>
      <c r="AE1249" s="92">
        <f t="shared" si="124"/>
        <v>0</v>
      </c>
      <c r="AF1249" s="93">
        <v>0</v>
      </c>
      <c r="AG1249" s="105"/>
      <c r="AH1249" s="108"/>
      <c r="AI1249" s="102" t="s">
        <v>4346</v>
      </c>
      <c r="AJ1249" s="96" t="s">
        <v>4347</v>
      </c>
      <c r="AK1249" s="111"/>
      <c r="AL1249" s="89" t="s">
        <v>2798</v>
      </c>
      <c r="AM1249" s="112" t="s">
        <v>3530</v>
      </c>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c r="BJ1249" s="107"/>
      <c r="BK1249" s="107"/>
      <c r="BL1249" s="107"/>
      <c r="BM1249" s="107"/>
      <c r="BN1249" s="107"/>
      <c r="BO1249" s="107"/>
      <c r="BP1249" s="107"/>
      <c r="BQ1249" s="107"/>
      <c r="BR1249" s="107"/>
      <c r="BS1249" s="107"/>
      <c r="BT1249" s="107"/>
      <c r="BU1249" s="107"/>
      <c r="BV1249" s="107"/>
      <c r="BW1249" s="107"/>
      <c r="BX1249" s="107"/>
      <c r="BY1249" s="107"/>
      <c r="BZ1249" s="107"/>
      <c r="CA1249" s="107"/>
      <c r="CB1249" s="107"/>
      <c r="CC1249" s="107"/>
      <c r="CD1249" s="107"/>
      <c r="CE1249" s="107"/>
      <c r="CF1249" s="107"/>
      <c r="CG1249" s="107"/>
      <c r="CH1249" s="107"/>
      <c r="CI1249" s="107"/>
      <c r="CJ1249" s="107"/>
      <c r="CK1249" s="107"/>
      <c r="CL1249" s="118"/>
      <c r="CM1249" s="119"/>
      <c r="CN1249" s="118"/>
      <c r="CO1249" s="119"/>
      <c r="CP1249" s="118"/>
      <c r="CQ1249" s="119"/>
      <c r="CR1249" s="113"/>
      <c r="CS1249" s="118"/>
      <c r="CT1249" s="113"/>
      <c r="CU1249" s="118"/>
      <c r="CV1249" s="99">
        <f t="shared" si="119"/>
        <v>0</v>
      </c>
      <c r="CW1249" s="119"/>
      <c r="CX1249" s="119"/>
      <c r="CY1249" s="118"/>
      <c r="CZ1249" s="119"/>
      <c r="DA1249" s="111"/>
      <c r="DB1249" s="119"/>
      <c r="DC1249" s="111"/>
      <c r="DD1249" s="119"/>
      <c r="DE1249" s="111"/>
      <c r="DF1249" s="46"/>
    </row>
    <row r="1250" spans="1:110" s="42" customFormat="1" ht="60" x14ac:dyDescent="0.2">
      <c r="A1250" s="89">
        <v>40686</v>
      </c>
      <c r="B1250" s="106" t="s">
        <v>4349</v>
      </c>
      <c r="C1250" s="106" t="s">
        <v>4349</v>
      </c>
      <c r="D1250" s="90" t="s">
        <v>4264</v>
      </c>
      <c r="E1250" s="90" t="str">
        <f>VLOOKUP(B1250&amp;C1250,Divipola!$C$2:$F$1138,4,FALSE)</f>
        <v>00000</v>
      </c>
      <c r="F1250" s="4"/>
      <c r="G1250" s="208"/>
      <c r="H1250" s="208"/>
      <c r="I1250" s="208"/>
      <c r="J1250" s="208"/>
      <c r="K1250" s="208"/>
      <c r="L1250" s="208"/>
      <c r="M1250" s="208"/>
      <c r="N1250" s="208"/>
      <c r="O1250" s="208"/>
      <c r="P1250" s="208"/>
      <c r="Q1250" s="208"/>
      <c r="R1250" s="208"/>
      <c r="S1250" s="208"/>
      <c r="T1250" s="208"/>
      <c r="U1250" s="208"/>
      <c r="V1250" s="208"/>
      <c r="W1250" s="19"/>
      <c r="X1250" s="17"/>
      <c r="Y1250" s="5">
        <f t="shared" si="120"/>
        <v>160500000</v>
      </c>
      <c r="Z1250" s="5">
        <f t="shared" si="121"/>
        <v>0</v>
      </c>
      <c r="AA1250" s="5">
        <f t="shared" si="122"/>
        <v>0</v>
      </c>
      <c r="AB1250" s="5">
        <f t="shared" si="123"/>
        <v>0</v>
      </c>
      <c r="AC1250" s="5"/>
      <c r="AD1250" s="5">
        <v>0</v>
      </c>
      <c r="AE1250" s="5">
        <f t="shared" si="124"/>
        <v>160500000</v>
      </c>
      <c r="AF1250" s="70">
        <v>0</v>
      </c>
      <c r="AG1250" s="17"/>
      <c r="AH1250" s="18"/>
      <c r="AI1250" s="47" t="s">
        <v>4346</v>
      </c>
      <c r="AJ1250" s="73" t="s">
        <v>4347</v>
      </c>
      <c r="AK1250" s="45"/>
      <c r="AL1250" s="17"/>
      <c r="AM1250" s="137" t="s">
        <v>2093</v>
      </c>
      <c r="AN1250" s="19"/>
      <c r="AO1250" s="19"/>
      <c r="AP1250" s="19"/>
      <c r="AQ1250" s="19"/>
      <c r="AR1250" s="19"/>
      <c r="AS1250" s="19"/>
      <c r="AT1250" s="19"/>
      <c r="AU1250" s="19"/>
      <c r="AV1250" s="19"/>
      <c r="AW1250" s="19"/>
      <c r="AX1250" s="107">
        <v>353</v>
      </c>
      <c r="AY1250" s="107">
        <f>259*450000+11*600000+83*450000</f>
        <v>160500000</v>
      </c>
      <c r="AZ1250" s="19"/>
      <c r="BA1250" s="19"/>
      <c r="BB1250" s="19"/>
      <c r="BC1250" s="19"/>
      <c r="BD1250" s="19"/>
      <c r="BE1250" s="19"/>
      <c r="BF1250" s="19"/>
      <c r="BG1250" s="19"/>
      <c r="BH1250" s="19"/>
      <c r="BI1250" s="19"/>
      <c r="BJ1250" s="19"/>
      <c r="BK1250" s="19"/>
      <c r="BL1250" s="19"/>
      <c r="BM1250" s="19"/>
      <c r="BN1250" s="19"/>
      <c r="BO1250" s="19"/>
      <c r="BP1250" s="19"/>
      <c r="BQ1250" s="19"/>
      <c r="BR1250" s="19"/>
      <c r="BS1250" s="19"/>
      <c r="BT1250" s="19"/>
      <c r="BU1250" s="19"/>
      <c r="BV1250" s="19"/>
      <c r="BW1250" s="19"/>
      <c r="BX1250" s="19"/>
      <c r="BY1250" s="19"/>
      <c r="BZ1250" s="19"/>
      <c r="CA1250" s="19"/>
      <c r="CB1250" s="19"/>
      <c r="CC1250" s="19"/>
      <c r="CD1250" s="19"/>
      <c r="CE1250" s="19"/>
      <c r="CF1250" s="19"/>
      <c r="CG1250" s="19"/>
      <c r="CH1250" s="19"/>
      <c r="CI1250" s="19"/>
      <c r="CJ1250" s="19"/>
      <c r="CK1250" s="19"/>
      <c r="CL1250" s="19"/>
      <c r="CM1250" s="19"/>
      <c r="CN1250" s="139"/>
      <c r="CO1250" s="138"/>
      <c r="CP1250" s="139"/>
      <c r="CQ1250" s="138"/>
      <c r="CR1250" s="139"/>
      <c r="CS1250" s="138"/>
      <c r="CT1250" s="72"/>
      <c r="CU1250" s="139"/>
      <c r="CV1250" s="99">
        <f t="shared" si="119"/>
        <v>160500000</v>
      </c>
      <c r="CW1250" s="139"/>
      <c r="CX1250" s="138"/>
      <c r="CY1250" s="138"/>
      <c r="CZ1250" s="138"/>
      <c r="DA1250" s="139"/>
      <c r="DB1250" s="138"/>
      <c r="DC1250" s="45"/>
      <c r="DD1250" s="138"/>
      <c r="DE1250" s="45"/>
      <c r="DF1250" s="46"/>
    </row>
    <row r="1251" spans="1:110" s="42" customFormat="1" ht="22.5" x14ac:dyDescent="0.2">
      <c r="A1251" s="89">
        <v>40686</v>
      </c>
      <c r="B1251" s="106" t="s">
        <v>4348</v>
      </c>
      <c r="C1251" s="106" t="s">
        <v>3304</v>
      </c>
      <c r="D1251" s="106" t="s">
        <v>4298</v>
      </c>
      <c r="E1251" s="90" t="str">
        <f>VLOOKUP(B1251&amp;C1251,Divipola!$C$2:$F$1138,4,FALSE)</f>
        <v>66440</v>
      </c>
      <c r="F1251" s="90"/>
      <c r="G1251" s="129"/>
      <c r="H1251" s="129"/>
      <c r="I1251" s="129"/>
      <c r="J1251" s="129">
        <v>9</v>
      </c>
      <c r="K1251" s="129">
        <v>1</v>
      </c>
      <c r="L1251" s="129">
        <v>1</v>
      </c>
      <c r="M1251" s="129"/>
      <c r="N1251" s="129"/>
      <c r="O1251" s="129"/>
      <c r="P1251" s="129"/>
      <c r="Q1251" s="129"/>
      <c r="R1251" s="129"/>
      <c r="S1251" s="129"/>
      <c r="T1251" s="129"/>
      <c r="U1251" s="129"/>
      <c r="V1251" s="129"/>
      <c r="W1251" s="107"/>
      <c r="X1251" s="105"/>
      <c r="Y1251" s="92">
        <f t="shared" si="120"/>
        <v>0</v>
      </c>
      <c r="Z1251" s="92">
        <f t="shared" si="121"/>
        <v>0</v>
      </c>
      <c r="AA1251" s="92">
        <f t="shared" si="122"/>
        <v>0</v>
      </c>
      <c r="AB1251" s="92">
        <f t="shared" si="123"/>
        <v>0</v>
      </c>
      <c r="AC1251" s="92"/>
      <c r="AD1251" s="92">
        <v>0</v>
      </c>
      <c r="AE1251" s="92">
        <f t="shared" si="124"/>
        <v>0</v>
      </c>
      <c r="AF1251" s="93">
        <v>0</v>
      </c>
      <c r="AG1251" s="105"/>
      <c r="AH1251" s="108"/>
      <c r="AI1251" s="109" t="s">
        <v>4336</v>
      </c>
      <c r="AJ1251" s="110" t="s">
        <v>4337</v>
      </c>
      <c r="AK1251" s="111"/>
      <c r="AL1251" s="105"/>
      <c r="AM1251" s="112" t="s">
        <v>4148</v>
      </c>
      <c r="AN1251" s="107"/>
      <c r="AO1251" s="107"/>
      <c r="AP1251" s="107"/>
      <c r="AQ1251" s="107"/>
      <c r="AR1251" s="107"/>
      <c r="AS1251" s="107"/>
      <c r="AT1251" s="107"/>
      <c r="AU1251" s="107"/>
      <c r="AV1251" s="107"/>
      <c r="AW1251" s="107"/>
      <c r="AX1251" s="107"/>
      <c r="AY1251" s="107"/>
      <c r="AZ1251" s="107"/>
      <c r="BA1251" s="107"/>
      <c r="BB1251" s="107"/>
      <c r="BC1251" s="107"/>
      <c r="BD1251" s="107"/>
      <c r="BE1251" s="107"/>
      <c r="BF1251" s="107"/>
      <c r="BG1251" s="107"/>
      <c r="BH1251" s="107"/>
      <c r="BI1251" s="107"/>
      <c r="BJ1251" s="107"/>
      <c r="BK1251" s="107"/>
      <c r="BL1251" s="107"/>
      <c r="BM1251" s="107"/>
      <c r="BN1251" s="107"/>
      <c r="BO1251" s="107"/>
      <c r="BP1251" s="107"/>
      <c r="BQ1251" s="107"/>
      <c r="BR1251" s="107"/>
      <c r="BS1251" s="107"/>
      <c r="BT1251" s="107"/>
      <c r="BU1251" s="107"/>
      <c r="BV1251" s="107"/>
      <c r="BW1251" s="107"/>
      <c r="BX1251" s="107"/>
      <c r="BY1251" s="107"/>
      <c r="BZ1251" s="107"/>
      <c r="CA1251" s="107"/>
      <c r="CB1251" s="107"/>
      <c r="CC1251" s="107"/>
      <c r="CD1251" s="107"/>
      <c r="CE1251" s="107"/>
      <c r="CF1251" s="107"/>
      <c r="CG1251" s="107"/>
      <c r="CH1251" s="107"/>
      <c r="CI1251" s="107"/>
      <c r="CJ1251" s="107"/>
      <c r="CK1251" s="107"/>
      <c r="CL1251" s="118"/>
      <c r="CM1251" s="119"/>
      <c r="CN1251" s="118"/>
      <c r="CO1251" s="119"/>
      <c r="CP1251" s="118"/>
      <c r="CQ1251" s="119"/>
      <c r="CR1251" s="113"/>
      <c r="CS1251" s="118"/>
      <c r="CT1251" s="113"/>
      <c r="CU1251" s="118"/>
      <c r="CV1251" s="99">
        <f t="shared" si="119"/>
        <v>0</v>
      </c>
      <c r="CW1251" s="119"/>
      <c r="CX1251" s="119"/>
      <c r="CY1251" s="118"/>
      <c r="CZ1251" s="119"/>
      <c r="DA1251" s="111"/>
      <c r="DB1251" s="119"/>
      <c r="DC1251" s="111"/>
      <c r="DD1251" s="119"/>
      <c r="DE1251" s="111"/>
      <c r="DF1251" s="46"/>
    </row>
    <row r="1252" spans="1:110" s="42" customFormat="1" ht="36" x14ac:dyDescent="0.2">
      <c r="A1252" s="89">
        <v>40687</v>
      </c>
      <c r="B1252" s="106" t="s">
        <v>4326</v>
      </c>
      <c r="C1252" s="106" t="s">
        <v>4338</v>
      </c>
      <c r="D1252" s="90" t="s">
        <v>4264</v>
      </c>
      <c r="E1252" s="90" t="str">
        <f>VLOOKUP(B1252&amp;C1252,Divipola!$C$2:$F$1138,4,FALSE)</f>
        <v>08001</v>
      </c>
      <c r="F1252" s="90"/>
      <c r="G1252" s="129"/>
      <c r="H1252" s="129"/>
      <c r="I1252" s="129">
        <v>1</v>
      </c>
      <c r="J1252" s="129"/>
      <c r="K1252" s="129"/>
      <c r="L1252" s="129"/>
      <c r="M1252" s="129"/>
      <c r="N1252" s="129"/>
      <c r="O1252" s="129"/>
      <c r="P1252" s="129"/>
      <c r="Q1252" s="129"/>
      <c r="R1252" s="129"/>
      <c r="S1252" s="129"/>
      <c r="T1252" s="129"/>
      <c r="U1252" s="129"/>
      <c r="V1252" s="129"/>
      <c r="W1252" s="107"/>
      <c r="X1252" s="105"/>
      <c r="Y1252" s="92">
        <f t="shared" si="120"/>
        <v>0</v>
      </c>
      <c r="Z1252" s="92">
        <f t="shared" si="121"/>
        <v>0</v>
      </c>
      <c r="AA1252" s="92">
        <f t="shared" si="122"/>
        <v>0</v>
      </c>
      <c r="AB1252" s="92">
        <f t="shared" si="123"/>
        <v>0</v>
      </c>
      <c r="AC1252" s="92"/>
      <c r="AD1252" s="92">
        <v>0</v>
      </c>
      <c r="AE1252" s="92">
        <f t="shared" si="124"/>
        <v>0</v>
      </c>
      <c r="AF1252" s="93">
        <v>0</v>
      </c>
      <c r="AG1252" s="105"/>
      <c r="AH1252" s="108"/>
      <c r="AI1252" s="109" t="s">
        <v>4336</v>
      </c>
      <c r="AJ1252" s="110" t="s">
        <v>4337</v>
      </c>
      <c r="AK1252" s="111"/>
      <c r="AL1252" s="105"/>
      <c r="AM1252" s="112" t="s">
        <v>824</v>
      </c>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7"/>
      <c r="BL1252" s="107"/>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7"/>
      <c r="CG1252" s="107"/>
      <c r="CH1252" s="107"/>
      <c r="CI1252" s="107"/>
      <c r="CJ1252" s="107"/>
      <c r="CK1252" s="107"/>
      <c r="CL1252" s="107"/>
      <c r="CM1252" s="107"/>
      <c r="CN1252" s="118"/>
      <c r="CO1252" s="119"/>
      <c r="CP1252" s="118"/>
      <c r="CQ1252" s="119"/>
      <c r="CR1252" s="118"/>
      <c r="CS1252" s="119"/>
      <c r="CT1252" s="113"/>
      <c r="CU1252" s="118"/>
      <c r="CV1252" s="99">
        <f t="shared" si="119"/>
        <v>0</v>
      </c>
      <c r="CW1252" s="118"/>
      <c r="CX1252" s="119"/>
      <c r="CY1252" s="119"/>
      <c r="CZ1252" s="119"/>
      <c r="DA1252" s="118"/>
      <c r="DB1252" s="119"/>
      <c r="DC1252" s="111"/>
      <c r="DD1252" s="119"/>
      <c r="DE1252" s="111"/>
      <c r="DF1252" s="46"/>
    </row>
    <row r="1253" spans="1:110" s="42" customFormat="1" ht="60" x14ac:dyDescent="0.2">
      <c r="A1253" s="89">
        <v>40687</v>
      </c>
      <c r="B1253" s="106" t="s">
        <v>4261</v>
      </c>
      <c r="C1253" s="106" t="s">
        <v>2581</v>
      </c>
      <c r="D1253" s="90" t="s">
        <v>2362</v>
      </c>
      <c r="E1253" s="90" t="str">
        <f>VLOOKUP(B1253&amp;C1253,Divipola!$C$2:$F$1138,4,FALSE)</f>
        <v>15047</v>
      </c>
      <c r="F1253" s="90"/>
      <c r="G1253" s="129"/>
      <c r="H1253" s="129"/>
      <c r="I1253" s="129"/>
      <c r="J1253" s="129"/>
      <c r="K1253" s="129"/>
      <c r="L1253" s="129"/>
      <c r="M1253" s="129"/>
      <c r="N1253" s="129">
        <v>4</v>
      </c>
      <c r="O1253" s="129"/>
      <c r="P1253" s="129"/>
      <c r="Q1253" s="129"/>
      <c r="R1253" s="129"/>
      <c r="S1253" s="129"/>
      <c r="T1253" s="129"/>
      <c r="U1253" s="129"/>
      <c r="V1253" s="129"/>
      <c r="W1253" s="107"/>
      <c r="X1253" s="105"/>
      <c r="Y1253" s="92">
        <f t="shared" si="120"/>
        <v>0</v>
      </c>
      <c r="Z1253" s="92">
        <f t="shared" si="121"/>
        <v>0</v>
      </c>
      <c r="AA1253" s="92">
        <f t="shared" si="122"/>
        <v>0</v>
      </c>
      <c r="AB1253" s="92">
        <f t="shared" si="123"/>
        <v>0</v>
      </c>
      <c r="AC1253" s="92"/>
      <c r="AD1253" s="92">
        <v>50000000</v>
      </c>
      <c r="AE1253" s="92">
        <f t="shared" si="124"/>
        <v>50000000</v>
      </c>
      <c r="AF1253" s="93">
        <v>0</v>
      </c>
      <c r="AG1253" s="105"/>
      <c r="AH1253" s="108"/>
      <c r="AI1253" s="109" t="s">
        <v>4346</v>
      </c>
      <c r="AJ1253" s="110" t="s">
        <v>4347</v>
      </c>
      <c r="AK1253" s="111"/>
      <c r="AL1253" s="105"/>
      <c r="AM1253" s="126" t="s">
        <v>3409</v>
      </c>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c r="BJ1253" s="107"/>
      <c r="BK1253" s="107"/>
      <c r="BL1253" s="107"/>
      <c r="BM1253" s="107"/>
      <c r="BN1253" s="107"/>
      <c r="BO1253" s="107"/>
      <c r="BP1253" s="107"/>
      <c r="BQ1253" s="107"/>
      <c r="BR1253" s="107"/>
      <c r="BS1253" s="107"/>
      <c r="BT1253" s="107"/>
      <c r="BU1253" s="107"/>
      <c r="BV1253" s="107"/>
      <c r="BW1253" s="107"/>
      <c r="BX1253" s="107"/>
      <c r="BY1253" s="107"/>
      <c r="BZ1253" s="107"/>
      <c r="CA1253" s="107"/>
      <c r="CB1253" s="107"/>
      <c r="CC1253" s="107"/>
      <c r="CD1253" s="107"/>
      <c r="CE1253" s="107"/>
      <c r="CF1253" s="107"/>
      <c r="CG1253" s="107"/>
      <c r="CH1253" s="107"/>
      <c r="CI1253" s="107"/>
      <c r="CJ1253" s="107"/>
      <c r="CK1253" s="107"/>
      <c r="CL1253" s="107"/>
      <c r="CM1253" s="107"/>
      <c r="CN1253" s="118"/>
      <c r="CO1253" s="119"/>
      <c r="CP1253" s="118"/>
      <c r="CQ1253" s="119"/>
      <c r="CR1253" s="118"/>
      <c r="CS1253" s="119"/>
      <c r="CT1253" s="113"/>
      <c r="CU1253" s="118"/>
      <c r="CV1253" s="99">
        <f t="shared" si="119"/>
        <v>0</v>
      </c>
      <c r="CW1253" s="118"/>
      <c r="CX1253" s="119"/>
      <c r="CY1253" s="119"/>
      <c r="CZ1253" s="119"/>
      <c r="DA1253" s="118"/>
      <c r="DB1253" s="119"/>
      <c r="DC1253" s="111"/>
      <c r="DD1253" s="119"/>
      <c r="DE1253" s="111"/>
      <c r="DF1253" s="46"/>
    </row>
    <row r="1254" spans="1:110" s="42" customFormat="1" ht="96" x14ac:dyDescent="0.2">
      <c r="A1254" s="89">
        <v>40687</v>
      </c>
      <c r="B1254" s="106" t="s">
        <v>4387</v>
      </c>
      <c r="C1254" s="106" t="s">
        <v>3493</v>
      </c>
      <c r="D1254" s="90" t="s">
        <v>2362</v>
      </c>
      <c r="E1254" s="90" t="str">
        <f>VLOOKUP(B1254&amp;C1254,Divipola!$C$2:$F$1138,4,FALSE)</f>
        <v>52399</v>
      </c>
      <c r="F1254" s="90"/>
      <c r="G1254" s="129"/>
      <c r="H1254" s="129"/>
      <c r="I1254" s="129"/>
      <c r="J1254" s="129">
        <v>1800</v>
      </c>
      <c r="K1254" s="129">
        <v>450</v>
      </c>
      <c r="L1254" s="129">
        <v>64</v>
      </c>
      <c r="M1254" s="129">
        <v>386</v>
      </c>
      <c r="N1254" s="129">
        <v>3</v>
      </c>
      <c r="O1254" s="129"/>
      <c r="P1254" s="129"/>
      <c r="Q1254" s="129"/>
      <c r="R1254" s="129"/>
      <c r="S1254" s="129"/>
      <c r="T1254" s="129">
        <v>5</v>
      </c>
      <c r="U1254" s="129"/>
      <c r="V1254" s="129"/>
      <c r="W1254" s="107"/>
      <c r="X1254" s="105"/>
      <c r="Y1254" s="92">
        <f t="shared" si="120"/>
        <v>0</v>
      </c>
      <c r="Z1254" s="92">
        <f t="shared" si="121"/>
        <v>0</v>
      </c>
      <c r="AA1254" s="92">
        <f t="shared" si="122"/>
        <v>0</v>
      </c>
      <c r="AB1254" s="92">
        <f t="shared" si="123"/>
        <v>0</v>
      </c>
      <c r="AC1254" s="92"/>
      <c r="AD1254" s="92">
        <v>0</v>
      </c>
      <c r="AE1254" s="92">
        <f t="shared" si="124"/>
        <v>0</v>
      </c>
      <c r="AF1254" s="93">
        <v>0</v>
      </c>
      <c r="AG1254" s="105"/>
      <c r="AH1254" s="108"/>
      <c r="AI1254" s="109" t="s">
        <v>4336</v>
      </c>
      <c r="AJ1254" s="110" t="s">
        <v>4337</v>
      </c>
      <c r="AK1254" s="111"/>
      <c r="AL1254" s="105" t="s">
        <v>1069</v>
      </c>
      <c r="AM1254" s="112" t="s">
        <v>92</v>
      </c>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c r="BJ1254" s="107"/>
      <c r="BK1254" s="107"/>
      <c r="BL1254" s="107"/>
      <c r="BM1254" s="107"/>
      <c r="BN1254" s="107"/>
      <c r="BO1254" s="107"/>
      <c r="BP1254" s="107"/>
      <c r="BQ1254" s="107"/>
      <c r="BR1254" s="107"/>
      <c r="BS1254" s="107"/>
      <c r="BT1254" s="107"/>
      <c r="BU1254" s="107"/>
      <c r="BV1254" s="107"/>
      <c r="BW1254" s="107"/>
      <c r="BX1254" s="107"/>
      <c r="BY1254" s="107"/>
      <c r="BZ1254" s="107"/>
      <c r="CA1254" s="107"/>
      <c r="CB1254" s="107"/>
      <c r="CC1254" s="107"/>
      <c r="CD1254" s="107"/>
      <c r="CE1254" s="107"/>
      <c r="CF1254" s="107"/>
      <c r="CG1254" s="107"/>
      <c r="CH1254" s="107"/>
      <c r="CI1254" s="107"/>
      <c r="CJ1254" s="107"/>
      <c r="CK1254" s="107"/>
      <c r="CL1254" s="107"/>
      <c r="CM1254" s="107"/>
      <c r="CN1254" s="118"/>
      <c r="CO1254" s="119"/>
      <c r="CP1254" s="118"/>
      <c r="CQ1254" s="119"/>
      <c r="CR1254" s="118"/>
      <c r="CS1254" s="119"/>
      <c r="CT1254" s="113"/>
      <c r="CU1254" s="118"/>
      <c r="CV1254" s="99">
        <f t="shared" si="119"/>
        <v>0</v>
      </c>
      <c r="CW1254" s="118"/>
      <c r="CX1254" s="119"/>
      <c r="CY1254" s="119"/>
      <c r="CZ1254" s="119"/>
      <c r="DA1254" s="118"/>
      <c r="DB1254" s="119"/>
      <c r="DC1254" s="111"/>
      <c r="DD1254" s="119"/>
      <c r="DE1254" s="111"/>
      <c r="DF1254" s="46"/>
    </row>
    <row r="1255" spans="1:110" s="42" customFormat="1" x14ac:dyDescent="0.2">
      <c r="A1255" s="89">
        <v>40688</v>
      </c>
      <c r="B1255" s="106" t="s">
        <v>2218</v>
      </c>
      <c r="C1255" s="106" t="s">
        <v>4254</v>
      </c>
      <c r="D1255" s="90" t="s">
        <v>2362</v>
      </c>
      <c r="E1255" s="90" t="str">
        <f>VLOOKUP(B1255&amp;C1255,Divipola!$C$2:$F$1138,4,FALSE)</f>
        <v>05679</v>
      </c>
      <c r="F1255" s="90"/>
      <c r="G1255" s="129"/>
      <c r="H1255" s="129"/>
      <c r="I1255" s="129"/>
      <c r="J1255" s="129">
        <v>5</v>
      </c>
      <c r="K1255" s="129">
        <v>1</v>
      </c>
      <c r="L1255" s="129"/>
      <c r="M1255" s="129">
        <v>1</v>
      </c>
      <c r="N1255" s="129"/>
      <c r="O1255" s="129"/>
      <c r="P1255" s="129"/>
      <c r="Q1255" s="129"/>
      <c r="R1255" s="129"/>
      <c r="S1255" s="129"/>
      <c r="T1255" s="129"/>
      <c r="U1255" s="129"/>
      <c r="V1255" s="129"/>
      <c r="W1255" s="107"/>
      <c r="X1255" s="105"/>
      <c r="Y1255" s="92">
        <f t="shared" si="120"/>
        <v>0</v>
      </c>
      <c r="Z1255" s="92">
        <f t="shared" si="121"/>
        <v>0</v>
      </c>
      <c r="AA1255" s="92">
        <f t="shared" si="122"/>
        <v>0</v>
      </c>
      <c r="AB1255" s="92">
        <f t="shared" si="123"/>
        <v>0</v>
      </c>
      <c r="AC1255" s="92"/>
      <c r="AD1255" s="92">
        <v>0</v>
      </c>
      <c r="AE1255" s="92">
        <f t="shared" si="124"/>
        <v>0</v>
      </c>
      <c r="AF1255" s="93">
        <v>0</v>
      </c>
      <c r="AG1255" s="105"/>
      <c r="AH1255" s="108"/>
      <c r="AI1255" s="109" t="s">
        <v>4336</v>
      </c>
      <c r="AJ1255" s="110" t="s">
        <v>4337</v>
      </c>
      <c r="AK1255" s="111"/>
      <c r="AL1255" s="281"/>
      <c r="AM1255" s="112" t="s">
        <v>3419</v>
      </c>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c r="BJ1255" s="107"/>
      <c r="BK1255" s="107"/>
      <c r="BL1255" s="107"/>
      <c r="BM1255" s="107"/>
      <c r="BN1255" s="107"/>
      <c r="BO1255" s="107"/>
      <c r="BP1255" s="107"/>
      <c r="BQ1255" s="107"/>
      <c r="BR1255" s="107"/>
      <c r="BS1255" s="107"/>
      <c r="BT1255" s="107"/>
      <c r="BU1255" s="107"/>
      <c r="BV1255" s="107"/>
      <c r="BW1255" s="107"/>
      <c r="BX1255" s="107"/>
      <c r="BY1255" s="107"/>
      <c r="BZ1255" s="107"/>
      <c r="CA1255" s="107"/>
      <c r="CB1255" s="107"/>
      <c r="CC1255" s="107"/>
      <c r="CD1255" s="107"/>
      <c r="CE1255" s="107"/>
      <c r="CF1255" s="107"/>
      <c r="CG1255" s="107"/>
      <c r="CH1255" s="107"/>
      <c r="CI1255" s="107"/>
      <c r="CJ1255" s="107"/>
      <c r="CK1255" s="107"/>
      <c r="CL1255" s="107"/>
      <c r="CM1255" s="107"/>
      <c r="CN1255" s="118"/>
      <c r="CO1255" s="119"/>
      <c r="CP1255" s="118"/>
      <c r="CQ1255" s="119"/>
      <c r="CR1255" s="118"/>
      <c r="CS1255" s="119"/>
      <c r="CT1255" s="113"/>
      <c r="CU1255" s="118"/>
      <c r="CV1255" s="99">
        <f t="shared" si="119"/>
        <v>0</v>
      </c>
      <c r="CW1255" s="118"/>
      <c r="CX1255" s="119"/>
      <c r="CY1255" s="119"/>
      <c r="CZ1255" s="119"/>
      <c r="DA1255" s="118"/>
      <c r="DB1255" s="119"/>
      <c r="DC1255" s="111"/>
      <c r="DD1255" s="119"/>
      <c r="DE1255" s="111"/>
      <c r="DF1255" s="46"/>
    </row>
    <row r="1256" spans="1:110" s="42" customFormat="1" ht="48" x14ac:dyDescent="0.2">
      <c r="A1256" s="89">
        <v>40688</v>
      </c>
      <c r="B1256" s="106" t="s">
        <v>3301</v>
      </c>
      <c r="C1256" s="106" t="s">
        <v>3301</v>
      </c>
      <c r="D1256" s="90" t="s">
        <v>4340</v>
      </c>
      <c r="E1256" s="90" t="str">
        <f>VLOOKUP(B1256&amp;C1256,Divipola!$C$2:$F$1138,4,FALSE)</f>
        <v>81001</v>
      </c>
      <c r="F1256" s="90"/>
      <c r="G1256" s="129">
        <v>1</v>
      </c>
      <c r="H1256" s="129">
        <v>2</v>
      </c>
      <c r="I1256" s="129"/>
      <c r="J1256" s="129"/>
      <c r="K1256" s="129"/>
      <c r="L1256" s="129"/>
      <c r="M1256" s="129"/>
      <c r="N1256" s="129"/>
      <c r="O1256" s="129"/>
      <c r="P1256" s="129"/>
      <c r="Q1256" s="129"/>
      <c r="R1256" s="129"/>
      <c r="S1256" s="129"/>
      <c r="T1256" s="129"/>
      <c r="U1256" s="129"/>
      <c r="V1256" s="129"/>
      <c r="W1256" s="107"/>
      <c r="X1256" s="105"/>
      <c r="Y1256" s="92">
        <f t="shared" si="120"/>
        <v>0</v>
      </c>
      <c r="Z1256" s="92">
        <f t="shared" si="121"/>
        <v>0</v>
      </c>
      <c r="AA1256" s="92">
        <f t="shared" si="122"/>
        <v>0</v>
      </c>
      <c r="AB1256" s="92">
        <f t="shared" si="123"/>
        <v>0</v>
      </c>
      <c r="AC1256" s="92"/>
      <c r="AD1256" s="92">
        <v>0</v>
      </c>
      <c r="AE1256" s="92">
        <f t="shared" si="124"/>
        <v>0</v>
      </c>
      <c r="AF1256" s="93">
        <v>0</v>
      </c>
      <c r="AG1256" s="105"/>
      <c r="AH1256" s="108"/>
      <c r="AI1256" s="109" t="s">
        <v>4336</v>
      </c>
      <c r="AJ1256" s="110" t="s">
        <v>4337</v>
      </c>
      <c r="AK1256" s="111"/>
      <c r="AL1256" s="105"/>
      <c r="AM1256" s="112" t="s">
        <v>829</v>
      </c>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c r="BJ1256" s="107"/>
      <c r="BK1256" s="107"/>
      <c r="BL1256" s="107"/>
      <c r="BM1256" s="107"/>
      <c r="BN1256" s="107"/>
      <c r="BO1256" s="107"/>
      <c r="BP1256" s="107"/>
      <c r="BQ1256" s="107"/>
      <c r="BR1256" s="107"/>
      <c r="BS1256" s="107"/>
      <c r="BT1256" s="107"/>
      <c r="BU1256" s="107"/>
      <c r="BV1256" s="107"/>
      <c r="BW1256" s="107"/>
      <c r="BX1256" s="107"/>
      <c r="BY1256" s="107"/>
      <c r="BZ1256" s="107"/>
      <c r="CA1256" s="107"/>
      <c r="CB1256" s="107"/>
      <c r="CC1256" s="107"/>
      <c r="CD1256" s="107"/>
      <c r="CE1256" s="107"/>
      <c r="CF1256" s="107"/>
      <c r="CG1256" s="107"/>
      <c r="CH1256" s="107"/>
      <c r="CI1256" s="107"/>
      <c r="CJ1256" s="107"/>
      <c r="CK1256" s="107"/>
      <c r="CL1256" s="107"/>
      <c r="CM1256" s="107"/>
      <c r="CN1256" s="118"/>
      <c r="CO1256" s="119"/>
      <c r="CP1256" s="118"/>
      <c r="CQ1256" s="119"/>
      <c r="CR1256" s="118"/>
      <c r="CS1256" s="119"/>
      <c r="CT1256" s="113"/>
      <c r="CU1256" s="118"/>
      <c r="CV1256" s="99">
        <f t="shared" si="119"/>
        <v>0</v>
      </c>
      <c r="CW1256" s="118"/>
      <c r="CX1256" s="119"/>
      <c r="CY1256" s="119"/>
      <c r="CZ1256" s="119"/>
      <c r="DA1256" s="118"/>
      <c r="DB1256" s="119"/>
      <c r="DC1256" s="111"/>
      <c r="DD1256" s="119"/>
      <c r="DE1256" s="111"/>
      <c r="DF1256" s="46"/>
    </row>
    <row r="1257" spans="1:110" s="42" customFormat="1" ht="24" x14ac:dyDescent="0.2">
      <c r="A1257" s="89">
        <v>40688</v>
      </c>
      <c r="B1257" s="106" t="s">
        <v>4352</v>
      </c>
      <c r="C1257" s="106" t="s">
        <v>2490</v>
      </c>
      <c r="D1257" s="90" t="s">
        <v>4264</v>
      </c>
      <c r="E1257" s="90" t="str">
        <f>VLOOKUP(B1257&amp;C1257,Divipola!$C$2:$F$1138,4,FALSE)</f>
        <v>13140</v>
      </c>
      <c r="F1257" s="90"/>
      <c r="G1257" s="129"/>
      <c r="H1257" s="129"/>
      <c r="I1257" s="129"/>
      <c r="J1257" s="129">
        <f>156*5</f>
        <v>780</v>
      </c>
      <c r="K1257" s="129">
        <v>156</v>
      </c>
      <c r="L1257" s="129"/>
      <c r="M1257" s="129"/>
      <c r="N1257" s="129"/>
      <c r="O1257" s="129"/>
      <c r="P1257" s="129"/>
      <c r="Q1257" s="129"/>
      <c r="R1257" s="129"/>
      <c r="S1257" s="129"/>
      <c r="T1257" s="129"/>
      <c r="U1257" s="129"/>
      <c r="V1257" s="129"/>
      <c r="W1257" s="107"/>
      <c r="X1257" s="105"/>
      <c r="Y1257" s="92">
        <f t="shared" si="120"/>
        <v>0</v>
      </c>
      <c r="Z1257" s="92">
        <f t="shared" si="121"/>
        <v>0</v>
      </c>
      <c r="AA1257" s="92">
        <f t="shared" si="122"/>
        <v>0</v>
      </c>
      <c r="AB1257" s="92">
        <f t="shared" si="123"/>
        <v>0</v>
      </c>
      <c r="AC1257" s="92"/>
      <c r="AD1257" s="92">
        <v>0</v>
      </c>
      <c r="AE1257" s="92">
        <f t="shared" si="124"/>
        <v>0</v>
      </c>
      <c r="AF1257" s="93">
        <v>0</v>
      </c>
      <c r="AG1257" s="105"/>
      <c r="AH1257" s="108"/>
      <c r="AI1257" s="109" t="s">
        <v>4336</v>
      </c>
      <c r="AJ1257" s="110" t="s">
        <v>4337</v>
      </c>
      <c r="AK1257" s="111"/>
      <c r="AL1257" s="105"/>
      <c r="AM1257" s="112" t="s">
        <v>2100</v>
      </c>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c r="BJ1257" s="107"/>
      <c r="BK1257" s="107"/>
      <c r="BL1257" s="107"/>
      <c r="BM1257" s="107"/>
      <c r="BN1257" s="107"/>
      <c r="BO1257" s="107"/>
      <c r="BP1257" s="107"/>
      <c r="BQ1257" s="107"/>
      <c r="BR1257" s="107"/>
      <c r="BS1257" s="107"/>
      <c r="BT1257" s="107"/>
      <c r="BU1257" s="107"/>
      <c r="BV1257" s="107"/>
      <c r="BW1257" s="107"/>
      <c r="BX1257" s="107"/>
      <c r="BY1257" s="107"/>
      <c r="BZ1257" s="107"/>
      <c r="CA1257" s="107"/>
      <c r="CB1257" s="107"/>
      <c r="CC1257" s="107"/>
      <c r="CD1257" s="107"/>
      <c r="CE1257" s="107"/>
      <c r="CF1257" s="107"/>
      <c r="CG1257" s="107"/>
      <c r="CH1257" s="107"/>
      <c r="CI1257" s="107"/>
      <c r="CJ1257" s="107"/>
      <c r="CK1257" s="107"/>
      <c r="CL1257" s="107"/>
      <c r="CM1257" s="107"/>
      <c r="CN1257" s="118"/>
      <c r="CO1257" s="119"/>
      <c r="CP1257" s="118"/>
      <c r="CQ1257" s="119"/>
      <c r="CR1257" s="118"/>
      <c r="CS1257" s="119"/>
      <c r="CT1257" s="113"/>
      <c r="CU1257" s="118"/>
      <c r="CV1257" s="99">
        <f t="shared" si="119"/>
        <v>0</v>
      </c>
      <c r="CW1257" s="118"/>
      <c r="CX1257" s="119"/>
      <c r="CY1257" s="119"/>
      <c r="CZ1257" s="119"/>
      <c r="DA1257" s="118"/>
      <c r="DB1257" s="119"/>
      <c r="DC1257" s="111"/>
      <c r="DD1257" s="119"/>
      <c r="DE1257" s="111"/>
      <c r="DF1257" s="46"/>
    </row>
    <row r="1258" spans="1:110" s="42" customFormat="1" ht="72" x14ac:dyDescent="0.2">
      <c r="A1258" s="89">
        <v>40688</v>
      </c>
      <c r="B1258" s="106" t="s">
        <v>4386</v>
      </c>
      <c r="C1258" s="106" t="s">
        <v>3502</v>
      </c>
      <c r="D1258" s="90" t="s">
        <v>4264</v>
      </c>
      <c r="E1258" s="90" t="str">
        <f>VLOOKUP(B1258&amp;C1258,Divipola!$C$2:$F$1138,4,FALSE)</f>
        <v>20001</v>
      </c>
      <c r="F1258" s="90"/>
      <c r="G1258" s="129"/>
      <c r="H1258" s="129"/>
      <c r="I1258" s="129"/>
      <c r="J1258" s="129">
        <f>830*5</f>
        <v>4150</v>
      </c>
      <c r="K1258" s="129">
        <v>830</v>
      </c>
      <c r="L1258" s="129"/>
      <c r="M1258" s="129">
        <v>830</v>
      </c>
      <c r="N1258" s="129"/>
      <c r="O1258" s="129"/>
      <c r="P1258" s="129"/>
      <c r="Q1258" s="129"/>
      <c r="R1258" s="129"/>
      <c r="S1258" s="129"/>
      <c r="T1258" s="129"/>
      <c r="U1258" s="129"/>
      <c r="V1258" s="129"/>
      <c r="W1258" s="107"/>
      <c r="X1258" s="105"/>
      <c r="Y1258" s="92">
        <f t="shared" si="120"/>
        <v>0</v>
      </c>
      <c r="Z1258" s="92">
        <f t="shared" si="121"/>
        <v>0</v>
      </c>
      <c r="AA1258" s="92">
        <f t="shared" si="122"/>
        <v>0</v>
      </c>
      <c r="AB1258" s="92">
        <f t="shared" si="123"/>
        <v>0</v>
      </c>
      <c r="AC1258" s="92"/>
      <c r="AD1258" s="92">
        <v>0</v>
      </c>
      <c r="AE1258" s="92">
        <f t="shared" si="124"/>
        <v>0</v>
      </c>
      <c r="AF1258" s="93">
        <v>0</v>
      </c>
      <c r="AG1258" s="105"/>
      <c r="AH1258" s="108"/>
      <c r="AI1258" s="102" t="s">
        <v>4346</v>
      </c>
      <c r="AJ1258" s="96" t="s">
        <v>4347</v>
      </c>
      <c r="AK1258" s="97"/>
      <c r="AL1258" s="89" t="s">
        <v>1049</v>
      </c>
      <c r="AM1258" s="112" t="s">
        <v>826</v>
      </c>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107"/>
      <c r="BW1258" s="107"/>
      <c r="BX1258" s="107"/>
      <c r="BY1258" s="107"/>
      <c r="BZ1258" s="107"/>
      <c r="CA1258" s="107"/>
      <c r="CB1258" s="107"/>
      <c r="CC1258" s="107"/>
      <c r="CD1258" s="107"/>
      <c r="CE1258" s="107"/>
      <c r="CF1258" s="107"/>
      <c r="CG1258" s="107"/>
      <c r="CH1258" s="107"/>
      <c r="CI1258" s="107"/>
      <c r="CJ1258" s="107"/>
      <c r="CK1258" s="107"/>
      <c r="CL1258" s="107"/>
      <c r="CM1258" s="107"/>
      <c r="CN1258" s="118"/>
      <c r="CO1258" s="119"/>
      <c r="CP1258" s="118"/>
      <c r="CQ1258" s="119"/>
      <c r="CR1258" s="118"/>
      <c r="CS1258" s="119"/>
      <c r="CT1258" s="113"/>
      <c r="CU1258" s="118"/>
      <c r="CV1258" s="99">
        <f t="shared" si="119"/>
        <v>0</v>
      </c>
      <c r="CW1258" s="118"/>
      <c r="CX1258" s="119"/>
      <c r="CY1258" s="119"/>
      <c r="CZ1258" s="119"/>
      <c r="DA1258" s="118"/>
      <c r="DB1258" s="119"/>
      <c r="DC1258" s="111"/>
      <c r="DD1258" s="119"/>
      <c r="DE1258" s="111"/>
      <c r="DF1258" s="46"/>
    </row>
    <row r="1259" spans="1:110" s="42" customFormat="1" ht="24" x14ac:dyDescent="0.2">
      <c r="A1259" s="89">
        <v>40688</v>
      </c>
      <c r="B1259" s="106" t="s">
        <v>860</v>
      </c>
      <c r="C1259" s="106" t="s">
        <v>402</v>
      </c>
      <c r="D1259" s="90" t="s">
        <v>4264</v>
      </c>
      <c r="E1259" s="90" t="str">
        <f>VLOOKUP(B1259&amp;C1259,Divipola!$C$2:$F$1138,4,FALSE)</f>
        <v>50325</v>
      </c>
      <c r="F1259" s="90"/>
      <c r="G1259" s="129"/>
      <c r="H1259" s="129"/>
      <c r="I1259" s="129"/>
      <c r="J1259" s="129">
        <v>2000</v>
      </c>
      <c r="K1259" s="129">
        <v>400</v>
      </c>
      <c r="L1259" s="129"/>
      <c r="M1259" s="129">
        <v>400</v>
      </c>
      <c r="N1259" s="129"/>
      <c r="O1259" s="129"/>
      <c r="P1259" s="129"/>
      <c r="Q1259" s="129"/>
      <c r="R1259" s="129"/>
      <c r="S1259" s="129"/>
      <c r="T1259" s="129"/>
      <c r="U1259" s="129"/>
      <c r="V1259" s="129"/>
      <c r="W1259" s="107"/>
      <c r="X1259" s="105"/>
      <c r="Y1259" s="92">
        <f t="shared" si="120"/>
        <v>0</v>
      </c>
      <c r="Z1259" s="92">
        <f t="shared" si="121"/>
        <v>0</v>
      </c>
      <c r="AA1259" s="92">
        <f t="shared" si="122"/>
        <v>0</v>
      </c>
      <c r="AB1259" s="92">
        <f t="shared" si="123"/>
        <v>0</v>
      </c>
      <c r="AC1259" s="92"/>
      <c r="AD1259" s="92">
        <v>0</v>
      </c>
      <c r="AE1259" s="92">
        <f t="shared" si="124"/>
        <v>0</v>
      </c>
      <c r="AF1259" s="93">
        <v>0</v>
      </c>
      <c r="AG1259" s="105"/>
      <c r="AH1259" s="108"/>
      <c r="AI1259" s="102" t="s">
        <v>4346</v>
      </c>
      <c r="AJ1259" s="96" t="s">
        <v>4347</v>
      </c>
      <c r="AK1259" s="111"/>
      <c r="AL1259" s="89" t="s">
        <v>2798</v>
      </c>
      <c r="AM1259" s="112" t="s">
        <v>827</v>
      </c>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7"/>
      <c r="BL1259" s="107"/>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7"/>
      <c r="CG1259" s="107"/>
      <c r="CH1259" s="107"/>
      <c r="CI1259" s="107"/>
      <c r="CJ1259" s="107"/>
      <c r="CK1259" s="107"/>
      <c r="CL1259" s="107"/>
      <c r="CM1259" s="107"/>
      <c r="CN1259" s="118"/>
      <c r="CO1259" s="119"/>
      <c r="CP1259" s="118"/>
      <c r="CQ1259" s="119"/>
      <c r="CR1259" s="118"/>
      <c r="CS1259" s="119"/>
      <c r="CT1259" s="113"/>
      <c r="CU1259" s="118"/>
      <c r="CV1259" s="99">
        <f t="shared" si="119"/>
        <v>0</v>
      </c>
      <c r="CW1259" s="118"/>
      <c r="CX1259" s="119"/>
      <c r="CY1259" s="119"/>
      <c r="CZ1259" s="119"/>
      <c r="DA1259" s="118"/>
      <c r="DB1259" s="119"/>
      <c r="DC1259" s="111"/>
      <c r="DD1259" s="119"/>
      <c r="DE1259" s="111"/>
      <c r="DF1259" s="46"/>
    </row>
    <row r="1260" spans="1:110" s="42" customFormat="1" ht="48" x14ac:dyDescent="0.2">
      <c r="A1260" s="89">
        <v>40688</v>
      </c>
      <c r="B1260" s="106" t="s">
        <v>4387</v>
      </c>
      <c r="C1260" s="106" t="s">
        <v>492</v>
      </c>
      <c r="D1260" s="90" t="s">
        <v>2362</v>
      </c>
      <c r="E1260" s="90" t="str">
        <f>VLOOKUP(B1260&amp;C1260,Divipola!$C$2:$F$1138,4,FALSE)</f>
        <v>52385</v>
      </c>
      <c r="F1260" s="90"/>
      <c r="G1260" s="129"/>
      <c r="H1260" s="129"/>
      <c r="I1260" s="129"/>
      <c r="J1260" s="129">
        <v>52</v>
      </c>
      <c r="K1260" s="129">
        <v>13</v>
      </c>
      <c r="L1260" s="129">
        <v>5</v>
      </c>
      <c r="M1260" s="129">
        <v>8</v>
      </c>
      <c r="N1260" s="129">
        <v>1</v>
      </c>
      <c r="O1260" s="129"/>
      <c r="P1260" s="129"/>
      <c r="Q1260" s="129">
        <v>1</v>
      </c>
      <c r="R1260" s="129"/>
      <c r="S1260" s="129">
        <v>1</v>
      </c>
      <c r="T1260" s="129">
        <v>3</v>
      </c>
      <c r="U1260" s="129"/>
      <c r="V1260" s="129">
        <v>284</v>
      </c>
      <c r="W1260" s="107"/>
      <c r="X1260" s="105"/>
      <c r="Y1260" s="92">
        <f t="shared" si="120"/>
        <v>0</v>
      </c>
      <c r="Z1260" s="92">
        <f t="shared" si="121"/>
        <v>0</v>
      </c>
      <c r="AA1260" s="92">
        <f t="shared" si="122"/>
        <v>0</v>
      </c>
      <c r="AB1260" s="92">
        <f t="shared" si="123"/>
        <v>0</v>
      </c>
      <c r="AC1260" s="92"/>
      <c r="AD1260" s="92">
        <v>0</v>
      </c>
      <c r="AE1260" s="92">
        <f t="shared" si="124"/>
        <v>0</v>
      </c>
      <c r="AF1260" s="93">
        <v>0</v>
      </c>
      <c r="AG1260" s="105"/>
      <c r="AH1260" s="108"/>
      <c r="AI1260" s="109" t="s">
        <v>4336</v>
      </c>
      <c r="AJ1260" s="110" t="s">
        <v>4337</v>
      </c>
      <c r="AK1260" s="111"/>
      <c r="AL1260" s="105" t="s">
        <v>1069</v>
      </c>
      <c r="AM1260" s="112" t="s">
        <v>93</v>
      </c>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c r="BJ1260" s="107"/>
      <c r="BK1260" s="107"/>
      <c r="BL1260" s="107"/>
      <c r="BM1260" s="107"/>
      <c r="BN1260" s="107"/>
      <c r="BO1260" s="107"/>
      <c r="BP1260" s="107"/>
      <c r="BQ1260" s="107"/>
      <c r="BR1260" s="107"/>
      <c r="BS1260" s="107"/>
      <c r="BT1260" s="107"/>
      <c r="BU1260" s="107"/>
      <c r="BV1260" s="107"/>
      <c r="BW1260" s="107"/>
      <c r="BX1260" s="107"/>
      <c r="BY1260" s="107"/>
      <c r="BZ1260" s="107"/>
      <c r="CA1260" s="107"/>
      <c r="CB1260" s="107"/>
      <c r="CC1260" s="107"/>
      <c r="CD1260" s="107"/>
      <c r="CE1260" s="107"/>
      <c r="CF1260" s="107"/>
      <c r="CG1260" s="107"/>
      <c r="CH1260" s="107"/>
      <c r="CI1260" s="107"/>
      <c r="CJ1260" s="107"/>
      <c r="CK1260" s="107"/>
      <c r="CL1260" s="107"/>
      <c r="CM1260" s="107"/>
      <c r="CN1260" s="118"/>
      <c r="CO1260" s="119"/>
      <c r="CP1260" s="118"/>
      <c r="CQ1260" s="119"/>
      <c r="CR1260" s="118"/>
      <c r="CS1260" s="119"/>
      <c r="CT1260" s="113"/>
      <c r="CU1260" s="118"/>
      <c r="CV1260" s="99">
        <f t="shared" si="119"/>
        <v>0</v>
      </c>
      <c r="CW1260" s="118"/>
      <c r="CX1260" s="119"/>
      <c r="CY1260" s="119"/>
      <c r="CZ1260" s="119"/>
      <c r="DA1260" s="118"/>
      <c r="DB1260" s="119"/>
      <c r="DC1260" s="111"/>
      <c r="DD1260" s="119"/>
      <c r="DE1260" s="111"/>
      <c r="DF1260" s="46"/>
    </row>
    <row r="1261" spans="1:110" s="42" customFormat="1" ht="24" x14ac:dyDescent="0.2">
      <c r="A1261" s="89">
        <v>40688</v>
      </c>
      <c r="B1261" s="106" t="s">
        <v>4221</v>
      </c>
      <c r="C1261" s="106" t="s">
        <v>4372</v>
      </c>
      <c r="D1261" s="106" t="s">
        <v>3346</v>
      </c>
      <c r="E1261" s="90" t="str">
        <f>VLOOKUP(B1261&amp;C1261,Divipola!$C$2:$F$1138,4,FALSE)</f>
        <v>54498</v>
      </c>
      <c r="F1261" s="90"/>
      <c r="G1261" s="129"/>
      <c r="H1261" s="129"/>
      <c r="I1261" s="129"/>
      <c r="J1261" s="129">
        <v>35</v>
      </c>
      <c r="K1261" s="129">
        <v>7</v>
      </c>
      <c r="L1261" s="129"/>
      <c r="M1261" s="129">
        <v>7</v>
      </c>
      <c r="N1261" s="129"/>
      <c r="O1261" s="129"/>
      <c r="P1261" s="129"/>
      <c r="Q1261" s="129"/>
      <c r="R1261" s="129"/>
      <c r="S1261" s="129"/>
      <c r="T1261" s="129">
        <v>4</v>
      </c>
      <c r="U1261" s="129"/>
      <c r="V1261" s="129"/>
      <c r="W1261" s="107"/>
      <c r="X1261" s="105"/>
      <c r="Y1261" s="92">
        <f t="shared" si="120"/>
        <v>0</v>
      </c>
      <c r="Z1261" s="92">
        <f t="shared" si="121"/>
        <v>0</v>
      </c>
      <c r="AA1261" s="92">
        <f t="shared" si="122"/>
        <v>0</v>
      </c>
      <c r="AB1261" s="92">
        <f t="shared" si="123"/>
        <v>0</v>
      </c>
      <c r="AC1261" s="92"/>
      <c r="AD1261" s="92">
        <v>0</v>
      </c>
      <c r="AE1261" s="92">
        <f t="shared" si="124"/>
        <v>0</v>
      </c>
      <c r="AF1261" s="93">
        <v>0</v>
      </c>
      <c r="AG1261" s="105"/>
      <c r="AH1261" s="108"/>
      <c r="AI1261" s="102" t="s">
        <v>4336</v>
      </c>
      <c r="AJ1261" s="96" t="s">
        <v>4337</v>
      </c>
      <c r="AK1261" s="111"/>
      <c r="AL1261" s="105"/>
      <c r="AM1261" s="112" t="s">
        <v>828</v>
      </c>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c r="BJ1261" s="107"/>
      <c r="BK1261" s="107"/>
      <c r="BL1261" s="107"/>
      <c r="BM1261" s="107"/>
      <c r="BN1261" s="107"/>
      <c r="BO1261" s="107"/>
      <c r="BP1261" s="107"/>
      <c r="BQ1261" s="107"/>
      <c r="BR1261" s="107"/>
      <c r="BS1261" s="107"/>
      <c r="BT1261" s="107"/>
      <c r="BU1261" s="107"/>
      <c r="BV1261" s="107"/>
      <c r="BW1261" s="107"/>
      <c r="BX1261" s="107"/>
      <c r="BY1261" s="107"/>
      <c r="BZ1261" s="107"/>
      <c r="CA1261" s="107"/>
      <c r="CB1261" s="107"/>
      <c r="CC1261" s="107"/>
      <c r="CD1261" s="107"/>
      <c r="CE1261" s="107"/>
      <c r="CF1261" s="107"/>
      <c r="CG1261" s="107"/>
      <c r="CH1261" s="107"/>
      <c r="CI1261" s="107"/>
      <c r="CJ1261" s="107"/>
      <c r="CK1261" s="107"/>
      <c r="CL1261" s="107"/>
      <c r="CM1261" s="107"/>
      <c r="CN1261" s="118"/>
      <c r="CO1261" s="119"/>
      <c r="CP1261" s="118"/>
      <c r="CQ1261" s="119"/>
      <c r="CR1261" s="118"/>
      <c r="CS1261" s="119"/>
      <c r="CT1261" s="113"/>
      <c r="CU1261" s="118"/>
      <c r="CV1261" s="99">
        <f t="shared" si="119"/>
        <v>0</v>
      </c>
      <c r="CW1261" s="118"/>
      <c r="CX1261" s="119"/>
      <c r="CY1261" s="119"/>
      <c r="CZ1261" s="119"/>
      <c r="DA1261" s="118"/>
      <c r="DB1261" s="119"/>
      <c r="DC1261" s="111"/>
      <c r="DD1261" s="119"/>
      <c r="DE1261" s="111"/>
      <c r="DF1261" s="46"/>
    </row>
    <row r="1262" spans="1:110" s="42" customFormat="1" ht="24" x14ac:dyDescent="0.2">
      <c r="A1262" s="89">
        <v>40688</v>
      </c>
      <c r="B1262" s="106" t="s">
        <v>4350</v>
      </c>
      <c r="C1262" s="106" t="s">
        <v>4252</v>
      </c>
      <c r="D1262" s="90" t="s">
        <v>2362</v>
      </c>
      <c r="E1262" s="90" t="str">
        <f>VLOOKUP(B1262&amp;C1262,Divipola!$C$2:$F$1138,4,FALSE)</f>
        <v>63690</v>
      </c>
      <c r="F1262" s="90"/>
      <c r="G1262" s="129"/>
      <c r="H1262" s="129">
        <v>2</v>
      </c>
      <c r="I1262" s="129"/>
      <c r="J1262" s="129">
        <v>5</v>
      </c>
      <c r="K1262" s="129">
        <v>1</v>
      </c>
      <c r="L1262" s="129"/>
      <c r="M1262" s="129">
        <v>1</v>
      </c>
      <c r="N1262" s="129"/>
      <c r="O1262" s="129"/>
      <c r="P1262" s="129"/>
      <c r="Q1262" s="129"/>
      <c r="R1262" s="129"/>
      <c r="S1262" s="129"/>
      <c r="T1262" s="129"/>
      <c r="U1262" s="129"/>
      <c r="V1262" s="129"/>
      <c r="W1262" s="107"/>
      <c r="X1262" s="105"/>
      <c r="Y1262" s="92">
        <f t="shared" si="120"/>
        <v>0</v>
      </c>
      <c r="Z1262" s="92">
        <f t="shared" si="121"/>
        <v>0</v>
      </c>
      <c r="AA1262" s="92">
        <f t="shared" si="122"/>
        <v>0</v>
      </c>
      <c r="AB1262" s="92">
        <f t="shared" si="123"/>
        <v>0</v>
      </c>
      <c r="AC1262" s="92"/>
      <c r="AD1262" s="92">
        <v>0</v>
      </c>
      <c r="AE1262" s="92">
        <f t="shared" si="124"/>
        <v>0</v>
      </c>
      <c r="AF1262" s="93">
        <v>0</v>
      </c>
      <c r="AG1262" s="105"/>
      <c r="AH1262" s="108"/>
      <c r="AI1262" s="109" t="s">
        <v>4336</v>
      </c>
      <c r="AJ1262" s="110" t="s">
        <v>4337</v>
      </c>
      <c r="AK1262" s="111"/>
      <c r="AL1262" s="105"/>
      <c r="AM1262" s="112" t="s">
        <v>818</v>
      </c>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c r="BJ1262" s="107"/>
      <c r="BK1262" s="107"/>
      <c r="BL1262" s="107"/>
      <c r="BM1262" s="107"/>
      <c r="BN1262" s="107"/>
      <c r="BO1262" s="107"/>
      <c r="BP1262" s="107"/>
      <c r="BQ1262" s="107"/>
      <c r="BR1262" s="107"/>
      <c r="BS1262" s="107"/>
      <c r="BT1262" s="107"/>
      <c r="BU1262" s="107"/>
      <c r="BV1262" s="107"/>
      <c r="BW1262" s="107"/>
      <c r="BX1262" s="107"/>
      <c r="BY1262" s="107"/>
      <c r="BZ1262" s="107"/>
      <c r="CA1262" s="107"/>
      <c r="CB1262" s="107"/>
      <c r="CC1262" s="107"/>
      <c r="CD1262" s="107"/>
      <c r="CE1262" s="107"/>
      <c r="CF1262" s="107"/>
      <c r="CG1262" s="107"/>
      <c r="CH1262" s="107"/>
      <c r="CI1262" s="107"/>
      <c r="CJ1262" s="107"/>
      <c r="CK1262" s="107"/>
      <c r="CL1262" s="107"/>
      <c r="CM1262" s="107"/>
      <c r="CN1262" s="118"/>
      <c r="CO1262" s="119"/>
      <c r="CP1262" s="118"/>
      <c r="CQ1262" s="119"/>
      <c r="CR1262" s="118"/>
      <c r="CS1262" s="119"/>
      <c r="CT1262" s="113"/>
      <c r="CU1262" s="118"/>
      <c r="CV1262" s="99">
        <f t="shared" si="119"/>
        <v>0</v>
      </c>
      <c r="CW1262" s="118"/>
      <c r="CX1262" s="119"/>
      <c r="CY1262" s="119"/>
      <c r="CZ1262" s="119"/>
      <c r="DA1262" s="118"/>
      <c r="DB1262" s="119"/>
      <c r="DC1262" s="111"/>
      <c r="DD1262" s="119"/>
      <c r="DE1262" s="111"/>
      <c r="DF1262" s="46"/>
    </row>
    <row r="1263" spans="1:110" s="42" customFormat="1" x14ac:dyDescent="0.2">
      <c r="A1263" s="89">
        <v>40688</v>
      </c>
      <c r="B1263" s="106" t="s">
        <v>4348</v>
      </c>
      <c r="C1263" s="106" t="s">
        <v>4345</v>
      </c>
      <c r="D1263" s="90" t="s">
        <v>4264</v>
      </c>
      <c r="E1263" s="90">
        <f>VLOOKUP(B1263&amp;C1263,Divipola!$C$2:$F$1138,4,FALSE)</f>
        <v>66</v>
      </c>
      <c r="F1263" s="90"/>
      <c r="G1263" s="129"/>
      <c r="H1263" s="129"/>
      <c r="I1263" s="129"/>
      <c r="J1263" s="129"/>
      <c r="K1263" s="129"/>
      <c r="L1263" s="129"/>
      <c r="M1263" s="129"/>
      <c r="N1263" s="129"/>
      <c r="O1263" s="129"/>
      <c r="P1263" s="129"/>
      <c r="Q1263" s="129"/>
      <c r="R1263" s="129"/>
      <c r="S1263" s="129"/>
      <c r="T1263" s="129"/>
      <c r="U1263" s="129"/>
      <c r="V1263" s="129"/>
      <c r="W1263" s="107"/>
      <c r="X1263" s="105"/>
      <c r="Y1263" s="92">
        <f t="shared" si="120"/>
        <v>0</v>
      </c>
      <c r="Z1263" s="92">
        <f t="shared" si="121"/>
        <v>170000000</v>
      </c>
      <c r="AA1263" s="92">
        <f t="shared" si="122"/>
        <v>0</v>
      </c>
      <c r="AB1263" s="92">
        <f t="shared" si="123"/>
        <v>0</v>
      </c>
      <c r="AC1263" s="92"/>
      <c r="AD1263" s="92">
        <v>0</v>
      </c>
      <c r="AE1263" s="92">
        <f t="shared" si="124"/>
        <v>170000000</v>
      </c>
      <c r="AF1263" s="93">
        <v>0</v>
      </c>
      <c r="AG1263" s="105"/>
      <c r="AH1263" s="108"/>
      <c r="AI1263" s="109" t="s">
        <v>4346</v>
      </c>
      <c r="AJ1263" s="110" t="s">
        <v>4347</v>
      </c>
      <c r="AK1263" s="111"/>
      <c r="AL1263" s="105"/>
      <c r="AM1263" s="112"/>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c r="BJ1263" s="107"/>
      <c r="BK1263" s="107"/>
      <c r="BL1263" s="107"/>
      <c r="BM1263" s="107"/>
      <c r="BN1263" s="107"/>
      <c r="BO1263" s="107"/>
      <c r="BP1263" s="107"/>
      <c r="BQ1263" s="107"/>
      <c r="BR1263" s="107"/>
      <c r="BS1263" s="107"/>
      <c r="BT1263" s="107"/>
      <c r="BU1263" s="107"/>
      <c r="BV1263" s="107"/>
      <c r="BW1263" s="107"/>
      <c r="BX1263" s="107"/>
      <c r="BY1263" s="107"/>
      <c r="BZ1263" s="107"/>
      <c r="CA1263" s="107"/>
      <c r="CB1263" s="107"/>
      <c r="CC1263" s="107"/>
      <c r="CD1263" s="107"/>
      <c r="CE1263" s="107"/>
      <c r="CF1263" s="107"/>
      <c r="CG1263" s="107"/>
      <c r="CH1263" s="107"/>
      <c r="CI1263" s="107"/>
      <c r="CJ1263" s="107"/>
      <c r="CK1263" s="107"/>
      <c r="CL1263" s="107"/>
      <c r="CM1263" s="107"/>
      <c r="CN1263" s="118"/>
      <c r="CO1263" s="119"/>
      <c r="CP1263" s="118"/>
      <c r="CQ1263" s="119"/>
      <c r="CR1263" s="118"/>
      <c r="CS1263" s="119"/>
      <c r="CT1263" s="113"/>
      <c r="CU1263" s="118"/>
      <c r="CV1263" s="99">
        <f t="shared" si="119"/>
        <v>0</v>
      </c>
      <c r="CW1263" s="118"/>
      <c r="CX1263" s="119"/>
      <c r="CY1263" s="119">
        <v>2000</v>
      </c>
      <c r="CZ1263" s="119">
        <f>2000*85000</f>
        <v>170000000</v>
      </c>
      <c r="DA1263" s="118"/>
      <c r="DB1263" s="119"/>
      <c r="DC1263" s="111"/>
      <c r="DD1263" s="119"/>
      <c r="DE1263" s="111"/>
      <c r="DF1263" s="46"/>
    </row>
    <row r="1264" spans="1:110" s="42" customFormat="1" ht="72" x14ac:dyDescent="0.2">
      <c r="A1264" s="89">
        <v>40688</v>
      </c>
      <c r="B1264" s="16" t="s">
        <v>4244</v>
      </c>
      <c r="C1264" s="16" t="s">
        <v>3176</v>
      </c>
      <c r="D1264" s="90" t="s">
        <v>4264</v>
      </c>
      <c r="E1264" s="90" t="str">
        <f>VLOOKUP(B1264&amp;C1264,Divipola!$C$2:$F$1138,4,FALSE)</f>
        <v>76563</v>
      </c>
      <c r="F1264" s="4"/>
      <c r="G1264" s="208"/>
      <c r="H1264" s="208"/>
      <c r="I1264" s="208"/>
      <c r="J1264" s="208"/>
      <c r="K1264" s="208"/>
      <c r="L1264" s="208"/>
      <c r="M1264" s="208"/>
      <c r="N1264" s="208">
        <v>10</v>
      </c>
      <c r="O1264" s="208"/>
      <c r="P1264" s="208"/>
      <c r="Q1264" s="208"/>
      <c r="R1264" s="208"/>
      <c r="S1264" s="208"/>
      <c r="T1264" s="208"/>
      <c r="U1264" s="208"/>
      <c r="V1264" s="208"/>
      <c r="W1264" s="19"/>
      <c r="X1264" s="17"/>
      <c r="Y1264" s="5">
        <f t="shared" si="120"/>
        <v>0</v>
      </c>
      <c r="Z1264" s="5">
        <f t="shared" si="121"/>
        <v>0</v>
      </c>
      <c r="AA1264" s="5">
        <f t="shared" si="122"/>
        <v>0</v>
      </c>
      <c r="AB1264" s="5">
        <f t="shared" si="123"/>
        <v>0</v>
      </c>
      <c r="AC1264" s="5"/>
      <c r="AD1264" s="5">
        <v>30000000</v>
      </c>
      <c r="AE1264" s="5">
        <f t="shared" si="124"/>
        <v>30000000</v>
      </c>
      <c r="AF1264" s="70">
        <v>0</v>
      </c>
      <c r="AG1264" s="17"/>
      <c r="AH1264" s="18"/>
      <c r="AI1264" s="47" t="s">
        <v>4346</v>
      </c>
      <c r="AJ1264" s="73" t="s">
        <v>4347</v>
      </c>
      <c r="AK1264" s="45"/>
      <c r="AL1264" s="17"/>
      <c r="AM1264" s="20" t="s">
        <v>5</v>
      </c>
      <c r="AN1264" s="19"/>
      <c r="AO1264" s="19"/>
      <c r="AP1264" s="19"/>
      <c r="AQ1264" s="19"/>
      <c r="AR1264" s="19"/>
      <c r="AS1264" s="19"/>
      <c r="AT1264" s="19"/>
      <c r="AU1264" s="19"/>
      <c r="AV1264" s="19"/>
      <c r="AW1264" s="19"/>
      <c r="AX1264" s="107"/>
      <c r="AY1264" s="107"/>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19"/>
      <c r="BX1264" s="19"/>
      <c r="BY1264" s="19"/>
      <c r="BZ1264" s="19"/>
      <c r="CA1264" s="19"/>
      <c r="CB1264" s="19"/>
      <c r="CC1264" s="19"/>
      <c r="CD1264" s="19"/>
      <c r="CE1264" s="19"/>
      <c r="CF1264" s="19"/>
      <c r="CG1264" s="19"/>
      <c r="CH1264" s="19"/>
      <c r="CI1264" s="19"/>
      <c r="CJ1264" s="19"/>
      <c r="CK1264" s="19"/>
      <c r="CL1264" s="19"/>
      <c r="CM1264" s="19"/>
      <c r="CN1264" s="139"/>
      <c r="CO1264" s="138"/>
      <c r="CP1264" s="139"/>
      <c r="CQ1264" s="138"/>
      <c r="CR1264" s="139"/>
      <c r="CS1264" s="138"/>
      <c r="CT1264" s="72"/>
      <c r="CU1264" s="139"/>
      <c r="CV1264" s="99">
        <f t="shared" si="119"/>
        <v>0</v>
      </c>
      <c r="CW1264" s="139"/>
      <c r="CX1264" s="138"/>
      <c r="CY1264" s="138"/>
      <c r="CZ1264" s="138"/>
      <c r="DA1264" s="139"/>
      <c r="DB1264" s="138"/>
      <c r="DC1264" s="45"/>
      <c r="DD1264" s="138"/>
      <c r="DE1264" s="45"/>
      <c r="DF1264" s="46"/>
    </row>
    <row r="1265" spans="1:110" s="42" customFormat="1" x14ac:dyDescent="0.2">
      <c r="A1265" s="89">
        <v>40689</v>
      </c>
      <c r="B1265" s="106" t="s">
        <v>4261</v>
      </c>
      <c r="C1265" s="106" t="s">
        <v>2867</v>
      </c>
      <c r="D1265" s="90" t="s">
        <v>2362</v>
      </c>
      <c r="E1265" s="90" t="str">
        <f>VLOOKUP(B1265&amp;C1265,Divipola!$C$2:$F$1138,4,FALSE)</f>
        <v>15401</v>
      </c>
      <c r="F1265" s="90"/>
      <c r="G1265" s="129"/>
      <c r="H1265" s="129"/>
      <c r="I1265" s="129"/>
      <c r="J1265" s="129">
        <f>61*5</f>
        <v>305</v>
      </c>
      <c r="K1265" s="129">
        <v>61</v>
      </c>
      <c r="L1265" s="129"/>
      <c r="M1265" s="129">
        <v>61</v>
      </c>
      <c r="N1265" s="129"/>
      <c r="O1265" s="129"/>
      <c r="P1265" s="129"/>
      <c r="Q1265" s="129"/>
      <c r="R1265" s="129"/>
      <c r="S1265" s="129"/>
      <c r="T1265" s="129"/>
      <c r="U1265" s="129"/>
      <c r="V1265" s="129"/>
      <c r="W1265" s="107"/>
      <c r="X1265" s="105"/>
      <c r="Y1265" s="92">
        <f t="shared" si="120"/>
        <v>0</v>
      </c>
      <c r="Z1265" s="92">
        <f t="shared" si="121"/>
        <v>0</v>
      </c>
      <c r="AA1265" s="92">
        <f t="shared" si="122"/>
        <v>0</v>
      </c>
      <c r="AB1265" s="92">
        <f t="shared" si="123"/>
        <v>0</v>
      </c>
      <c r="AC1265" s="92"/>
      <c r="AD1265" s="92">
        <v>0</v>
      </c>
      <c r="AE1265" s="92">
        <f t="shared" si="124"/>
        <v>0</v>
      </c>
      <c r="AF1265" s="93">
        <v>0</v>
      </c>
      <c r="AG1265" s="105"/>
      <c r="AH1265" s="108"/>
      <c r="AI1265" s="102" t="s">
        <v>4336</v>
      </c>
      <c r="AJ1265" s="96" t="s">
        <v>4337</v>
      </c>
      <c r="AK1265" s="111"/>
      <c r="AL1265" s="105"/>
      <c r="AM1265" s="112" t="s">
        <v>3476</v>
      </c>
      <c r="AN1265" s="107"/>
      <c r="AO1265" s="107"/>
      <c r="AP1265" s="107"/>
      <c r="AQ1265" s="107"/>
      <c r="AR1265" s="107"/>
      <c r="AS1265" s="107"/>
      <c r="AT1265" s="107"/>
      <c r="AU1265" s="107"/>
      <c r="AV1265" s="107"/>
      <c r="AW1265" s="107"/>
      <c r="AX1265" s="107"/>
      <c r="AY1265" s="107"/>
      <c r="AZ1265" s="107"/>
      <c r="BA1265" s="107"/>
      <c r="BB1265" s="107"/>
      <c r="BC1265" s="107"/>
      <c r="BD1265" s="107"/>
      <c r="BE1265" s="107"/>
      <c r="BF1265" s="107"/>
      <c r="BG1265" s="107"/>
      <c r="BH1265" s="107"/>
      <c r="BI1265" s="107"/>
      <c r="BJ1265" s="107"/>
      <c r="BK1265" s="107"/>
      <c r="BL1265" s="107"/>
      <c r="BM1265" s="107"/>
      <c r="BN1265" s="107"/>
      <c r="BO1265" s="107"/>
      <c r="BP1265" s="107"/>
      <c r="BQ1265" s="107"/>
      <c r="BR1265" s="107"/>
      <c r="BS1265" s="107"/>
      <c r="BT1265" s="107"/>
      <c r="BU1265" s="107"/>
      <c r="BV1265" s="107"/>
      <c r="BW1265" s="107"/>
      <c r="BX1265" s="107"/>
      <c r="BY1265" s="107"/>
      <c r="BZ1265" s="107"/>
      <c r="CA1265" s="107"/>
      <c r="CB1265" s="107"/>
      <c r="CC1265" s="107"/>
      <c r="CD1265" s="107"/>
      <c r="CE1265" s="107"/>
      <c r="CF1265" s="107"/>
      <c r="CG1265" s="107"/>
      <c r="CH1265" s="107"/>
      <c r="CI1265" s="107"/>
      <c r="CJ1265" s="107"/>
      <c r="CK1265" s="107"/>
      <c r="CL1265" s="107"/>
      <c r="CM1265" s="107"/>
      <c r="CN1265" s="118"/>
      <c r="CO1265" s="119"/>
      <c r="CP1265" s="118"/>
      <c r="CQ1265" s="119"/>
      <c r="CR1265" s="118"/>
      <c r="CS1265" s="119"/>
      <c r="CT1265" s="113"/>
      <c r="CU1265" s="118"/>
      <c r="CV1265" s="99">
        <f t="shared" si="119"/>
        <v>0</v>
      </c>
      <c r="CW1265" s="118"/>
      <c r="CX1265" s="119"/>
      <c r="CY1265" s="119"/>
      <c r="CZ1265" s="119"/>
      <c r="DA1265" s="118"/>
      <c r="DB1265" s="119"/>
      <c r="DC1265" s="111"/>
      <c r="DD1265" s="119"/>
      <c r="DE1265" s="111"/>
      <c r="DF1265" s="46"/>
    </row>
    <row r="1266" spans="1:110" s="42" customFormat="1" ht="24" x14ac:dyDescent="0.2">
      <c r="A1266" s="89">
        <v>40689</v>
      </c>
      <c r="B1266" s="106" t="s">
        <v>4261</v>
      </c>
      <c r="C1266" s="106" t="s">
        <v>1210</v>
      </c>
      <c r="D1266" s="90" t="s">
        <v>2362</v>
      </c>
      <c r="E1266" s="90" t="str">
        <f>VLOOKUP(B1266&amp;C1266,Divipola!$C$2:$F$1138,4,FALSE)</f>
        <v>15464</v>
      </c>
      <c r="F1266" s="90"/>
      <c r="G1266" s="129"/>
      <c r="H1266" s="129"/>
      <c r="I1266" s="129"/>
      <c r="J1266" s="129"/>
      <c r="K1266" s="129"/>
      <c r="L1266" s="129"/>
      <c r="M1266" s="129"/>
      <c r="N1266" s="129">
        <v>1</v>
      </c>
      <c r="O1266" s="129"/>
      <c r="P1266" s="129"/>
      <c r="Q1266" s="129"/>
      <c r="R1266" s="129"/>
      <c r="S1266" s="129"/>
      <c r="T1266" s="129"/>
      <c r="U1266" s="129"/>
      <c r="V1266" s="129"/>
      <c r="W1266" s="107"/>
      <c r="X1266" s="105"/>
      <c r="Y1266" s="92">
        <f t="shared" si="120"/>
        <v>0</v>
      </c>
      <c r="Z1266" s="92">
        <f t="shared" si="121"/>
        <v>0</v>
      </c>
      <c r="AA1266" s="92">
        <f t="shared" si="122"/>
        <v>0</v>
      </c>
      <c r="AB1266" s="92">
        <f t="shared" si="123"/>
        <v>0</v>
      </c>
      <c r="AC1266" s="92"/>
      <c r="AD1266" s="92">
        <v>15000000</v>
      </c>
      <c r="AE1266" s="92">
        <f t="shared" si="124"/>
        <v>15000000</v>
      </c>
      <c r="AF1266" s="93">
        <v>0</v>
      </c>
      <c r="AG1266" s="105"/>
      <c r="AH1266" s="108"/>
      <c r="AI1266" s="102" t="s">
        <v>4346</v>
      </c>
      <c r="AJ1266" s="96" t="s">
        <v>4347</v>
      </c>
      <c r="AK1266" s="111"/>
      <c r="AL1266" s="105"/>
      <c r="AM1266" s="112" t="s">
        <v>2034</v>
      </c>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c r="BJ1266" s="107"/>
      <c r="BK1266" s="107"/>
      <c r="BL1266" s="107"/>
      <c r="BM1266" s="107"/>
      <c r="BN1266" s="107"/>
      <c r="BO1266" s="107"/>
      <c r="BP1266" s="107"/>
      <c r="BQ1266" s="107"/>
      <c r="BR1266" s="107"/>
      <c r="BS1266" s="107"/>
      <c r="BT1266" s="107"/>
      <c r="BU1266" s="107"/>
      <c r="BV1266" s="107"/>
      <c r="BW1266" s="107"/>
      <c r="BX1266" s="107"/>
      <c r="BY1266" s="107"/>
      <c r="BZ1266" s="107"/>
      <c r="CA1266" s="107"/>
      <c r="CB1266" s="107"/>
      <c r="CC1266" s="107"/>
      <c r="CD1266" s="107"/>
      <c r="CE1266" s="107"/>
      <c r="CF1266" s="107"/>
      <c r="CG1266" s="107"/>
      <c r="CH1266" s="107"/>
      <c r="CI1266" s="107"/>
      <c r="CJ1266" s="107"/>
      <c r="CK1266" s="107"/>
      <c r="CL1266" s="107"/>
      <c r="CM1266" s="107"/>
      <c r="CN1266" s="118"/>
      <c r="CO1266" s="119"/>
      <c r="CP1266" s="118"/>
      <c r="CQ1266" s="119"/>
      <c r="CR1266" s="118"/>
      <c r="CS1266" s="119"/>
      <c r="CT1266" s="113"/>
      <c r="CU1266" s="118"/>
      <c r="CV1266" s="99">
        <f t="shared" si="119"/>
        <v>0</v>
      </c>
      <c r="CW1266" s="118"/>
      <c r="CX1266" s="119"/>
      <c r="CY1266" s="119"/>
      <c r="CZ1266" s="119"/>
      <c r="DA1266" s="118"/>
      <c r="DB1266" s="119"/>
      <c r="DC1266" s="111"/>
      <c r="DD1266" s="119"/>
      <c r="DE1266" s="111"/>
      <c r="DF1266" s="46"/>
    </row>
    <row r="1267" spans="1:110" s="42" customFormat="1" ht="48" x14ac:dyDescent="0.2">
      <c r="A1267" s="89">
        <v>40689</v>
      </c>
      <c r="B1267" s="106" t="s">
        <v>3533</v>
      </c>
      <c r="C1267" s="106" t="s">
        <v>1418</v>
      </c>
      <c r="D1267" s="90" t="s">
        <v>4264</v>
      </c>
      <c r="E1267" s="90" t="str">
        <f>VLOOKUP(B1267&amp;C1267,Divipola!$C$2:$F$1138,4,FALSE)</f>
        <v>17777</v>
      </c>
      <c r="F1267" s="90"/>
      <c r="G1267" s="129"/>
      <c r="H1267" s="129"/>
      <c r="I1267" s="129"/>
      <c r="J1267" s="129">
        <v>110</v>
      </c>
      <c r="K1267" s="129">
        <v>28</v>
      </c>
      <c r="L1267" s="129"/>
      <c r="M1267" s="129">
        <v>28</v>
      </c>
      <c r="N1267" s="129"/>
      <c r="O1267" s="129"/>
      <c r="P1267" s="129"/>
      <c r="Q1267" s="129"/>
      <c r="R1267" s="129"/>
      <c r="S1267" s="129"/>
      <c r="T1267" s="129"/>
      <c r="U1267" s="129"/>
      <c r="V1267" s="129"/>
      <c r="W1267" s="107"/>
      <c r="X1267" s="105"/>
      <c r="Y1267" s="92">
        <f t="shared" si="120"/>
        <v>1849968</v>
      </c>
      <c r="Z1267" s="92">
        <f t="shared" si="121"/>
        <v>4250000</v>
      </c>
      <c r="AA1267" s="92">
        <f t="shared" si="122"/>
        <v>0</v>
      </c>
      <c r="AB1267" s="92">
        <f t="shared" si="123"/>
        <v>0</v>
      </c>
      <c r="AC1267" s="92"/>
      <c r="AD1267" s="92">
        <v>25000000</v>
      </c>
      <c r="AE1267" s="92">
        <f t="shared" si="124"/>
        <v>31099968</v>
      </c>
      <c r="AF1267" s="93">
        <v>0</v>
      </c>
      <c r="AG1267" s="105"/>
      <c r="AH1267" s="108"/>
      <c r="AI1267" s="95" t="s">
        <v>4346</v>
      </c>
      <c r="AJ1267" s="96" t="s">
        <v>4347</v>
      </c>
      <c r="AK1267" s="111"/>
      <c r="AL1267" s="105"/>
      <c r="AM1267" s="112" t="s">
        <v>2091</v>
      </c>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c r="BJ1267" s="107"/>
      <c r="BK1267" s="107"/>
      <c r="BL1267" s="107"/>
      <c r="BM1267" s="107"/>
      <c r="BN1267" s="107"/>
      <c r="BO1267" s="107"/>
      <c r="BP1267" s="107"/>
      <c r="BQ1267" s="107"/>
      <c r="BR1267" s="107"/>
      <c r="BS1267" s="107"/>
      <c r="BT1267" s="107"/>
      <c r="BU1267" s="107"/>
      <c r="BV1267" s="107"/>
      <c r="BW1267" s="107"/>
      <c r="BX1267" s="107"/>
      <c r="BY1267" s="107"/>
      <c r="BZ1267" s="107"/>
      <c r="CA1267" s="107"/>
      <c r="CB1267" s="107"/>
      <c r="CC1267" s="107"/>
      <c r="CD1267" s="107"/>
      <c r="CE1267" s="107"/>
      <c r="CF1267" s="107"/>
      <c r="CG1267" s="107"/>
      <c r="CH1267" s="107"/>
      <c r="CI1267" s="107"/>
      <c r="CJ1267" s="107"/>
      <c r="CK1267" s="107"/>
      <c r="CL1267" s="107"/>
      <c r="CM1267" s="107"/>
      <c r="CN1267" s="118"/>
      <c r="CO1267" s="119"/>
      <c r="CP1267" s="118">
        <v>50</v>
      </c>
      <c r="CQ1267" s="119">
        <f>50*36999.36</f>
        <v>1849968</v>
      </c>
      <c r="CR1267" s="118"/>
      <c r="CS1267" s="119"/>
      <c r="CT1267" s="113"/>
      <c r="CU1267" s="118"/>
      <c r="CV1267" s="99">
        <f t="shared" si="119"/>
        <v>1849968</v>
      </c>
      <c r="CW1267" s="118"/>
      <c r="CX1267" s="119"/>
      <c r="CY1267" s="119">
        <v>50</v>
      </c>
      <c r="CZ1267" s="119">
        <f>50*85000</f>
        <v>4250000</v>
      </c>
      <c r="DA1267" s="118"/>
      <c r="DB1267" s="119"/>
      <c r="DC1267" s="111"/>
      <c r="DD1267" s="119"/>
      <c r="DE1267" s="111"/>
      <c r="DF1267" s="46"/>
    </row>
    <row r="1268" spans="1:110" s="42" customFormat="1" ht="22.5" x14ac:dyDescent="0.2">
      <c r="A1268" s="89">
        <v>40689</v>
      </c>
      <c r="B1268" s="106" t="s">
        <v>4387</v>
      </c>
      <c r="C1268" s="106" t="s">
        <v>3385</v>
      </c>
      <c r="D1268" s="90" t="s">
        <v>2362</v>
      </c>
      <c r="E1268" s="90" t="str">
        <f>VLOOKUP(B1268&amp;C1268,Divipola!$C$2:$F$1138,4,FALSE)</f>
        <v>52720</v>
      </c>
      <c r="F1268" s="90"/>
      <c r="G1268" s="129"/>
      <c r="H1268" s="129"/>
      <c r="I1268" s="129"/>
      <c r="J1268" s="129">
        <v>76</v>
      </c>
      <c r="K1268" s="129">
        <v>24</v>
      </c>
      <c r="L1268" s="129"/>
      <c r="M1268" s="129">
        <v>24</v>
      </c>
      <c r="N1268" s="129"/>
      <c r="O1268" s="129"/>
      <c r="P1268" s="129"/>
      <c r="Q1268" s="129"/>
      <c r="R1268" s="129"/>
      <c r="S1268" s="129"/>
      <c r="T1268" s="129"/>
      <c r="U1268" s="129"/>
      <c r="V1268" s="129">
        <v>187.75</v>
      </c>
      <c r="W1268" s="107"/>
      <c r="X1268" s="105"/>
      <c r="Y1268" s="92">
        <f t="shared" si="120"/>
        <v>0</v>
      </c>
      <c r="Z1268" s="92">
        <f t="shared" si="121"/>
        <v>0</v>
      </c>
      <c r="AA1268" s="92">
        <f t="shared" si="122"/>
        <v>0</v>
      </c>
      <c r="AB1268" s="92">
        <f t="shared" si="123"/>
        <v>0</v>
      </c>
      <c r="AC1268" s="92"/>
      <c r="AD1268" s="92">
        <v>0</v>
      </c>
      <c r="AE1268" s="92">
        <f t="shared" si="124"/>
        <v>0</v>
      </c>
      <c r="AF1268" s="93">
        <v>0</v>
      </c>
      <c r="AG1268" s="105"/>
      <c r="AH1268" s="108"/>
      <c r="AI1268" s="109" t="s">
        <v>4336</v>
      </c>
      <c r="AJ1268" s="110" t="s">
        <v>4337</v>
      </c>
      <c r="AK1268" s="111"/>
      <c r="AL1268" s="105" t="s">
        <v>1069</v>
      </c>
      <c r="AM1268" s="112" t="s">
        <v>94</v>
      </c>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c r="BJ1268" s="107"/>
      <c r="BK1268" s="107"/>
      <c r="BL1268" s="107"/>
      <c r="BM1268" s="107"/>
      <c r="BN1268" s="107"/>
      <c r="BO1268" s="107"/>
      <c r="BP1268" s="107"/>
      <c r="BQ1268" s="107"/>
      <c r="BR1268" s="107"/>
      <c r="BS1268" s="107"/>
      <c r="BT1268" s="107"/>
      <c r="BU1268" s="107"/>
      <c r="BV1268" s="107"/>
      <c r="BW1268" s="107"/>
      <c r="BX1268" s="107"/>
      <c r="BY1268" s="107"/>
      <c r="BZ1268" s="107"/>
      <c r="CA1268" s="107"/>
      <c r="CB1268" s="107"/>
      <c r="CC1268" s="107"/>
      <c r="CD1268" s="107"/>
      <c r="CE1268" s="107"/>
      <c r="CF1268" s="107"/>
      <c r="CG1268" s="107"/>
      <c r="CH1268" s="107"/>
      <c r="CI1268" s="107"/>
      <c r="CJ1268" s="107"/>
      <c r="CK1268" s="107"/>
      <c r="CL1268" s="107"/>
      <c r="CM1268" s="107"/>
      <c r="CN1268" s="118"/>
      <c r="CO1268" s="119"/>
      <c r="CP1268" s="118"/>
      <c r="CQ1268" s="119"/>
      <c r="CR1268" s="118"/>
      <c r="CS1268" s="119"/>
      <c r="CT1268" s="113"/>
      <c r="CU1268" s="118"/>
      <c r="CV1268" s="99">
        <f t="shared" si="119"/>
        <v>0</v>
      </c>
      <c r="CW1268" s="118"/>
      <c r="CX1268" s="119"/>
      <c r="CY1268" s="119"/>
      <c r="CZ1268" s="119"/>
      <c r="DA1268" s="118"/>
      <c r="DB1268" s="119"/>
      <c r="DC1268" s="111"/>
      <c r="DD1268" s="119"/>
      <c r="DE1268" s="111"/>
      <c r="DF1268" s="46"/>
    </row>
    <row r="1269" spans="1:110" s="42" customFormat="1" x14ac:dyDescent="0.2">
      <c r="A1269" s="89">
        <v>40689</v>
      </c>
      <c r="B1269" s="106" t="s">
        <v>4348</v>
      </c>
      <c r="C1269" s="106" t="s">
        <v>4313</v>
      </c>
      <c r="D1269" s="90" t="s">
        <v>4264</v>
      </c>
      <c r="E1269" s="90" t="str">
        <f>VLOOKUP(B1269&amp;C1269,Divipola!$C$2:$F$1138,4,FALSE)</f>
        <v>66318</v>
      </c>
      <c r="F1269" s="90"/>
      <c r="G1269" s="279"/>
      <c r="H1269" s="279"/>
      <c r="I1269" s="279"/>
      <c r="J1269" s="129">
        <v>20</v>
      </c>
      <c r="K1269" s="129">
        <v>2</v>
      </c>
      <c r="L1269" s="129"/>
      <c r="M1269" s="129">
        <v>2</v>
      </c>
      <c r="N1269" s="129"/>
      <c r="O1269" s="129"/>
      <c r="P1269" s="129"/>
      <c r="Q1269" s="129"/>
      <c r="R1269" s="129"/>
      <c r="S1269" s="129"/>
      <c r="T1269" s="129"/>
      <c r="U1269" s="129"/>
      <c r="V1269" s="129"/>
      <c r="W1269" s="107"/>
      <c r="X1269" s="105"/>
      <c r="Y1269" s="92">
        <f t="shared" si="120"/>
        <v>0</v>
      </c>
      <c r="Z1269" s="92">
        <f t="shared" si="121"/>
        <v>0</v>
      </c>
      <c r="AA1269" s="92">
        <f t="shared" si="122"/>
        <v>0</v>
      </c>
      <c r="AB1269" s="92">
        <f t="shared" si="123"/>
        <v>0</v>
      </c>
      <c r="AC1269" s="92"/>
      <c r="AD1269" s="92">
        <v>0</v>
      </c>
      <c r="AE1269" s="92">
        <f t="shared" si="124"/>
        <v>0</v>
      </c>
      <c r="AF1269" s="93">
        <v>0</v>
      </c>
      <c r="AG1269" s="105"/>
      <c r="AH1269" s="108"/>
      <c r="AI1269" s="109" t="s">
        <v>4336</v>
      </c>
      <c r="AJ1269" s="110" t="s">
        <v>4337</v>
      </c>
      <c r="AK1269" s="280"/>
      <c r="AL1269" s="281"/>
      <c r="AM1269" s="112" t="s">
        <v>2006</v>
      </c>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c r="BJ1269" s="107"/>
      <c r="BK1269" s="107"/>
      <c r="BL1269" s="107"/>
      <c r="BM1269" s="107"/>
      <c r="BN1269" s="107"/>
      <c r="BO1269" s="107"/>
      <c r="BP1269" s="107"/>
      <c r="BQ1269" s="107"/>
      <c r="BR1269" s="107"/>
      <c r="BS1269" s="107"/>
      <c r="BT1269" s="107"/>
      <c r="BU1269" s="107"/>
      <c r="BV1269" s="107"/>
      <c r="BW1269" s="107"/>
      <c r="BX1269" s="107"/>
      <c r="BY1269" s="107"/>
      <c r="BZ1269" s="107"/>
      <c r="CA1269" s="107"/>
      <c r="CB1269" s="107"/>
      <c r="CC1269" s="107"/>
      <c r="CD1269" s="107"/>
      <c r="CE1269" s="107"/>
      <c r="CF1269" s="107"/>
      <c r="CG1269" s="107"/>
      <c r="CH1269" s="107"/>
      <c r="CI1269" s="107"/>
      <c r="CJ1269" s="107"/>
      <c r="CK1269" s="107"/>
      <c r="CL1269" s="107"/>
      <c r="CM1269" s="107"/>
      <c r="CN1269" s="118"/>
      <c r="CO1269" s="119"/>
      <c r="CP1269" s="118"/>
      <c r="CQ1269" s="119"/>
      <c r="CR1269" s="118"/>
      <c r="CS1269" s="119"/>
      <c r="CT1269" s="113"/>
      <c r="CU1269" s="118"/>
      <c r="CV1269" s="99">
        <f t="shared" si="119"/>
        <v>0</v>
      </c>
      <c r="CW1269" s="118"/>
      <c r="CX1269" s="119"/>
      <c r="CY1269" s="119"/>
      <c r="CZ1269" s="119"/>
      <c r="DA1269" s="118"/>
      <c r="DB1269" s="119"/>
      <c r="DC1269" s="111"/>
      <c r="DD1269" s="119"/>
      <c r="DE1269" s="111"/>
      <c r="DF1269" s="46"/>
    </row>
    <row r="1270" spans="1:110" s="42" customFormat="1" ht="108" x14ac:dyDescent="0.2">
      <c r="A1270" s="89">
        <v>40689</v>
      </c>
      <c r="B1270" s="106" t="s">
        <v>3316</v>
      </c>
      <c r="C1270" s="106" t="s">
        <v>4323</v>
      </c>
      <c r="D1270" s="90" t="s">
        <v>2362</v>
      </c>
      <c r="E1270" s="90" t="str">
        <f>VLOOKUP(B1270&amp;C1270,Divipola!$C$2:$F$1138,4,FALSE)</f>
        <v>73001</v>
      </c>
      <c r="F1270" s="90"/>
      <c r="G1270" s="129"/>
      <c r="H1270" s="129"/>
      <c r="I1270" s="129"/>
      <c r="J1270" s="129">
        <v>16</v>
      </c>
      <c r="K1270" s="129"/>
      <c r="L1270" s="129"/>
      <c r="M1270" s="129"/>
      <c r="N1270" s="129"/>
      <c r="O1270" s="129"/>
      <c r="P1270" s="129"/>
      <c r="Q1270" s="129"/>
      <c r="R1270" s="129"/>
      <c r="S1270" s="129"/>
      <c r="T1270" s="129"/>
      <c r="U1270" s="129"/>
      <c r="V1270" s="129"/>
      <c r="W1270" s="107"/>
      <c r="X1270" s="105"/>
      <c r="Y1270" s="92">
        <f t="shared" si="120"/>
        <v>0</v>
      </c>
      <c r="Z1270" s="92">
        <f t="shared" si="121"/>
        <v>0</v>
      </c>
      <c r="AA1270" s="92">
        <f t="shared" si="122"/>
        <v>0</v>
      </c>
      <c r="AB1270" s="92">
        <f t="shared" si="123"/>
        <v>0</v>
      </c>
      <c r="AC1270" s="92"/>
      <c r="AD1270" s="92">
        <v>0</v>
      </c>
      <c r="AE1270" s="92">
        <f t="shared" si="124"/>
        <v>0</v>
      </c>
      <c r="AF1270" s="93">
        <v>0</v>
      </c>
      <c r="AG1270" s="105"/>
      <c r="AH1270" s="108"/>
      <c r="AI1270" s="109" t="s">
        <v>4336</v>
      </c>
      <c r="AJ1270" s="110" t="s">
        <v>4337</v>
      </c>
      <c r="AK1270" s="111"/>
      <c r="AL1270" s="105"/>
      <c r="AM1270" s="112" t="s">
        <v>830</v>
      </c>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7"/>
      <c r="BL1270" s="107"/>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7"/>
      <c r="CG1270" s="107"/>
      <c r="CH1270" s="107"/>
      <c r="CI1270" s="107"/>
      <c r="CJ1270" s="107"/>
      <c r="CK1270" s="107"/>
      <c r="CL1270" s="107"/>
      <c r="CM1270" s="107"/>
      <c r="CN1270" s="118"/>
      <c r="CO1270" s="119"/>
      <c r="CP1270" s="118"/>
      <c r="CQ1270" s="119"/>
      <c r="CR1270" s="118"/>
      <c r="CS1270" s="119"/>
      <c r="CT1270" s="113"/>
      <c r="CU1270" s="118"/>
      <c r="CV1270" s="99">
        <f t="shared" si="119"/>
        <v>0</v>
      </c>
      <c r="CW1270" s="118"/>
      <c r="CX1270" s="119"/>
      <c r="CY1270" s="119"/>
      <c r="CZ1270" s="119"/>
      <c r="DA1270" s="118"/>
      <c r="DB1270" s="119"/>
      <c r="DC1270" s="111"/>
      <c r="DD1270" s="119"/>
      <c r="DE1270" s="111"/>
      <c r="DF1270" s="46"/>
    </row>
    <row r="1271" spans="1:110" s="42" customFormat="1" ht="84" x14ac:dyDescent="0.2">
      <c r="A1271" s="89">
        <v>40690</v>
      </c>
      <c r="B1271" s="106" t="s">
        <v>4261</v>
      </c>
      <c r="C1271" s="106" t="s">
        <v>2629</v>
      </c>
      <c r="D1271" s="90" t="s">
        <v>4264</v>
      </c>
      <c r="E1271" s="90" t="str">
        <f>VLOOKUP(B1271&amp;C1271,Divipola!$C$2:$F$1138,4,FALSE)</f>
        <v>15189</v>
      </c>
      <c r="F1271" s="4"/>
      <c r="G1271" s="274"/>
      <c r="H1271" s="274"/>
      <c r="I1271" s="274"/>
      <c r="J1271" s="129">
        <v>85</v>
      </c>
      <c r="K1271" s="129">
        <v>17</v>
      </c>
      <c r="L1271" s="129"/>
      <c r="M1271" s="129">
        <v>4</v>
      </c>
      <c r="N1271" s="208"/>
      <c r="O1271" s="208"/>
      <c r="P1271" s="208"/>
      <c r="Q1271" s="208"/>
      <c r="R1271" s="208"/>
      <c r="S1271" s="208"/>
      <c r="T1271" s="208"/>
      <c r="U1271" s="208"/>
      <c r="V1271" s="208">
        <v>14</v>
      </c>
      <c r="W1271" s="19"/>
      <c r="X1271" s="17"/>
      <c r="Y1271" s="5">
        <f t="shared" si="120"/>
        <v>0</v>
      </c>
      <c r="Z1271" s="5">
        <f t="shared" si="121"/>
        <v>0</v>
      </c>
      <c r="AA1271" s="5">
        <f t="shared" si="122"/>
        <v>0</v>
      </c>
      <c r="AB1271" s="5">
        <f t="shared" si="123"/>
        <v>0</v>
      </c>
      <c r="AC1271" s="5"/>
      <c r="AD1271" s="5">
        <v>0</v>
      </c>
      <c r="AE1271" s="5">
        <f t="shared" si="124"/>
        <v>0</v>
      </c>
      <c r="AF1271" s="70">
        <v>0</v>
      </c>
      <c r="AG1271" s="17"/>
      <c r="AH1271" s="18"/>
      <c r="AI1271" s="47" t="s">
        <v>4336</v>
      </c>
      <c r="AJ1271" s="73" t="s">
        <v>4337</v>
      </c>
      <c r="AK1271" s="275"/>
      <c r="AL1271" s="276"/>
      <c r="AM1271" s="112" t="s">
        <v>1097</v>
      </c>
      <c r="AN1271" s="19"/>
      <c r="AO1271" s="19"/>
      <c r="AP1271" s="19"/>
      <c r="AQ1271" s="19"/>
      <c r="AR1271" s="19"/>
      <c r="AS1271" s="19"/>
      <c r="AT1271" s="19"/>
      <c r="AU1271" s="19"/>
      <c r="AV1271" s="19"/>
      <c r="AW1271" s="19"/>
      <c r="AX1271" s="107"/>
      <c r="AY1271" s="107"/>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19"/>
      <c r="BW1271" s="19"/>
      <c r="BX1271" s="19"/>
      <c r="BY1271" s="19"/>
      <c r="BZ1271" s="19"/>
      <c r="CA1271" s="19"/>
      <c r="CB1271" s="19"/>
      <c r="CC1271" s="19"/>
      <c r="CD1271" s="19"/>
      <c r="CE1271" s="19"/>
      <c r="CF1271" s="19"/>
      <c r="CG1271" s="19"/>
      <c r="CH1271" s="19"/>
      <c r="CI1271" s="19"/>
      <c r="CJ1271" s="19"/>
      <c r="CK1271" s="19"/>
      <c r="CL1271" s="19"/>
      <c r="CM1271" s="19"/>
      <c r="CN1271" s="139"/>
      <c r="CO1271" s="138"/>
      <c r="CP1271" s="139"/>
      <c r="CQ1271" s="138"/>
      <c r="CR1271" s="139"/>
      <c r="CS1271" s="138"/>
      <c r="CT1271" s="72"/>
      <c r="CU1271" s="139"/>
      <c r="CV1271" s="99">
        <f t="shared" si="119"/>
        <v>0</v>
      </c>
      <c r="CW1271" s="139"/>
      <c r="CX1271" s="138"/>
      <c r="CY1271" s="138"/>
      <c r="CZ1271" s="138"/>
      <c r="DA1271" s="139"/>
      <c r="DB1271" s="138"/>
      <c r="DC1271" s="45"/>
      <c r="DD1271" s="138"/>
      <c r="DE1271" s="45"/>
      <c r="DF1271" s="46"/>
    </row>
    <row r="1272" spans="1:110" s="42" customFormat="1" ht="36" x14ac:dyDescent="0.2">
      <c r="A1272" s="89">
        <v>40690</v>
      </c>
      <c r="B1272" s="106" t="s">
        <v>4261</v>
      </c>
      <c r="C1272" s="106" t="s">
        <v>2632</v>
      </c>
      <c r="D1272" s="90" t="s">
        <v>2362</v>
      </c>
      <c r="E1272" s="90" t="str">
        <f>VLOOKUP(B1272&amp;C1272,Divipola!$C$2:$F$1138,4,FALSE)</f>
        <v>15204</v>
      </c>
      <c r="F1272" s="4"/>
      <c r="G1272" s="274"/>
      <c r="H1272" s="274"/>
      <c r="I1272" s="274"/>
      <c r="J1272" s="129">
        <v>17</v>
      </c>
      <c r="K1272" s="129">
        <v>3</v>
      </c>
      <c r="L1272" s="129"/>
      <c r="M1272" s="129">
        <v>3</v>
      </c>
      <c r="N1272" s="208"/>
      <c r="O1272" s="208"/>
      <c r="P1272" s="208"/>
      <c r="Q1272" s="208"/>
      <c r="R1272" s="208"/>
      <c r="S1272" s="208"/>
      <c r="T1272" s="208"/>
      <c r="U1272" s="208"/>
      <c r="V1272" s="208"/>
      <c r="W1272" s="19"/>
      <c r="X1272" s="17"/>
      <c r="Y1272" s="5">
        <f t="shared" si="120"/>
        <v>0</v>
      </c>
      <c r="Z1272" s="5">
        <f t="shared" si="121"/>
        <v>0</v>
      </c>
      <c r="AA1272" s="5">
        <f t="shared" si="122"/>
        <v>0</v>
      </c>
      <c r="AB1272" s="5">
        <f t="shared" si="123"/>
        <v>0</v>
      </c>
      <c r="AC1272" s="143">
        <f>120*435000</f>
        <v>52200000</v>
      </c>
      <c r="AD1272" s="5">
        <v>0</v>
      </c>
      <c r="AE1272" s="5">
        <f t="shared" si="124"/>
        <v>52200000</v>
      </c>
      <c r="AF1272" s="70">
        <v>0</v>
      </c>
      <c r="AG1272" s="17"/>
      <c r="AH1272" s="18"/>
      <c r="AI1272" s="95" t="s">
        <v>4346</v>
      </c>
      <c r="AJ1272" s="96" t="s">
        <v>4347</v>
      </c>
      <c r="AK1272" s="275"/>
      <c r="AL1272" s="276"/>
      <c r="AM1272" s="112" t="s">
        <v>2293</v>
      </c>
      <c r="AN1272" s="19"/>
      <c r="AO1272" s="19"/>
      <c r="AP1272" s="19"/>
      <c r="AQ1272" s="19"/>
      <c r="AR1272" s="19"/>
      <c r="AS1272" s="19"/>
      <c r="AT1272" s="19"/>
      <c r="AU1272" s="19"/>
      <c r="AV1272" s="19"/>
      <c r="AW1272" s="19"/>
      <c r="AX1272" s="107"/>
      <c r="AY1272" s="107"/>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39"/>
      <c r="CO1272" s="138"/>
      <c r="CP1272" s="139"/>
      <c r="CQ1272" s="138"/>
      <c r="CR1272" s="139"/>
      <c r="CS1272" s="138"/>
      <c r="CT1272" s="72"/>
      <c r="CU1272" s="139"/>
      <c r="CV1272" s="99">
        <f t="shared" si="119"/>
        <v>0</v>
      </c>
      <c r="CW1272" s="139"/>
      <c r="CX1272" s="138"/>
      <c r="CY1272" s="138"/>
      <c r="CZ1272" s="138"/>
      <c r="DA1272" s="139"/>
      <c r="DB1272" s="138"/>
      <c r="DC1272" s="45"/>
      <c r="DD1272" s="138"/>
      <c r="DE1272" s="45"/>
      <c r="DF1272" s="46"/>
    </row>
    <row r="1273" spans="1:110" s="42" customFormat="1" ht="24" x14ac:dyDescent="0.2">
      <c r="A1273" s="89">
        <v>40690</v>
      </c>
      <c r="B1273" s="90" t="s">
        <v>4261</v>
      </c>
      <c r="C1273" s="90" t="s">
        <v>1174</v>
      </c>
      <c r="D1273" s="90" t="s">
        <v>4264</v>
      </c>
      <c r="E1273" s="90" t="str">
        <f>VLOOKUP(B1273&amp;C1273,Divipola!$C$2:$F$1138,4,FALSE)</f>
        <v>15317</v>
      </c>
      <c r="F1273" s="4"/>
      <c r="G1273" s="274"/>
      <c r="H1273" s="274"/>
      <c r="I1273" s="274"/>
      <c r="J1273" s="129">
        <v>860</v>
      </c>
      <c r="K1273" s="129">
        <v>172</v>
      </c>
      <c r="L1273" s="129">
        <v>20</v>
      </c>
      <c r="M1273" s="129">
        <v>152</v>
      </c>
      <c r="N1273" s="129"/>
      <c r="O1273" s="208"/>
      <c r="P1273" s="208"/>
      <c r="Q1273" s="208"/>
      <c r="R1273" s="208"/>
      <c r="S1273" s="208"/>
      <c r="T1273" s="208"/>
      <c r="U1273" s="208"/>
      <c r="V1273" s="208"/>
      <c r="W1273" s="19"/>
      <c r="X1273" s="17"/>
      <c r="Y1273" s="5">
        <f t="shared" si="120"/>
        <v>0</v>
      </c>
      <c r="Z1273" s="5">
        <f t="shared" si="121"/>
        <v>0</v>
      </c>
      <c r="AA1273" s="5">
        <f t="shared" si="122"/>
        <v>0</v>
      </c>
      <c r="AB1273" s="5">
        <f t="shared" si="123"/>
        <v>0</v>
      </c>
      <c r="AC1273" s="5"/>
      <c r="AD1273" s="5">
        <v>0</v>
      </c>
      <c r="AE1273" s="5">
        <f t="shared" si="124"/>
        <v>0</v>
      </c>
      <c r="AF1273" s="70">
        <v>0</v>
      </c>
      <c r="AG1273" s="17"/>
      <c r="AH1273" s="18"/>
      <c r="AI1273" s="47" t="s">
        <v>4336</v>
      </c>
      <c r="AJ1273" s="73" t="s">
        <v>4337</v>
      </c>
      <c r="AK1273" s="275"/>
      <c r="AL1273" s="276"/>
      <c r="AM1273" s="100" t="s">
        <v>2379</v>
      </c>
      <c r="AN1273" s="19"/>
      <c r="AO1273" s="19"/>
      <c r="AP1273" s="19"/>
      <c r="AQ1273" s="19"/>
      <c r="AR1273" s="19"/>
      <c r="AS1273" s="19"/>
      <c r="AT1273" s="19"/>
      <c r="AU1273" s="19"/>
      <c r="AV1273" s="19"/>
      <c r="AW1273" s="19"/>
      <c r="AX1273" s="107"/>
      <c r="AY1273" s="107"/>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39"/>
      <c r="CO1273" s="138"/>
      <c r="CP1273" s="139"/>
      <c r="CQ1273" s="138"/>
      <c r="CR1273" s="139"/>
      <c r="CS1273" s="138"/>
      <c r="CT1273" s="72"/>
      <c r="CU1273" s="139"/>
      <c r="CV1273" s="99">
        <f t="shared" si="119"/>
        <v>0</v>
      </c>
      <c r="CW1273" s="139"/>
      <c r="CX1273" s="138"/>
      <c r="CY1273" s="138"/>
      <c r="CZ1273" s="138"/>
      <c r="DA1273" s="139"/>
      <c r="DB1273" s="138"/>
      <c r="DC1273" s="45"/>
      <c r="DD1273" s="138"/>
      <c r="DE1273" s="45"/>
      <c r="DF1273" s="46"/>
    </row>
    <row r="1274" spans="1:110" s="42" customFormat="1" x14ac:dyDescent="0.2">
      <c r="A1274" s="89">
        <v>40690</v>
      </c>
      <c r="B1274" s="106" t="s">
        <v>4261</v>
      </c>
      <c r="C1274" s="106" t="s">
        <v>1234</v>
      </c>
      <c r="D1274" s="90" t="s">
        <v>2362</v>
      </c>
      <c r="E1274" s="90" t="str">
        <f>VLOOKUP(B1274&amp;C1274,Divipola!$C$2:$F$1138,4,FALSE)</f>
        <v>15511</v>
      </c>
      <c r="F1274" s="90"/>
      <c r="G1274" s="129"/>
      <c r="H1274" s="129"/>
      <c r="I1274" s="129"/>
      <c r="J1274" s="129">
        <v>5</v>
      </c>
      <c r="K1274" s="129">
        <v>1</v>
      </c>
      <c r="L1274" s="129"/>
      <c r="M1274" s="129">
        <v>1</v>
      </c>
      <c r="N1274" s="129">
        <v>1</v>
      </c>
      <c r="O1274" s="129"/>
      <c r="P1274" s="129"/>
      <c r="Q1274" s="129"/>
      <c r="R1274" s="129"/>
      <c r="S1274" s="129"/>
      <c r="T1274" s="129"/>
      <c r="U1274" s="129"/>
      <c r="V1274" s="129"/>
      <c r="W1274" s="107"/>
      <c r="X1274" s="105"/>
      <c r="Y1274" s="92">
        <f t="shared" si="120"/>
        <v>0</v>
      </c>
      <c r="Z1274" s="92">
        <f t="shared" si="121"/>
        <v>0</v>
      </c>
      <c r="AA1274" s="92">
        <f t="shared" si="122"/>
        <v>0</v>
      </c>
      <c r="AB1274" s="92">
        <f t="shared" si="123"/>
        <v>0</v>
      </c>
      <c r="AC1274" s="92"/>
      <c r="AD1274" s="92">
        <v>0</v>
      </c>
      <c r="AE1274" s="92">
        <f t="shared" si="124"/>
        <v>0</v>
      </c>
      <c r="AF1274" s="93">
        <v>0</v>
      </c>
      <c r="AG1274" s="105"/>
      <c r="AH1274" s="108"/>
      <c r="AI1274" s="102" t="s">
        <v>4336</v>
      </c>
      <c r="AJ1274" s="96" t="s">
        <v>4337</v>
      </c>
      <c r="AK1274" s="111"/>
      <c r="AL1274" s="105"/>
      <c r="AM1274" s="112" t="s">
        <v>3428</v>
      </c>
      <c r="AN1274" s="107"/>
      <c r="AO1274" s="107"/>
      <c r="AP1274" s="107"/>
      <c r="AQ1274" s="107"/>
      <c r="AR1274" s="107"/>
      <c r="AS1274" s="107"/>
      <c r="AT1274" s="107"/>
      <c r="AU1274" s="107"/>
      <c r="AV1274" s="107"/>
      <c r="AW1274" s="107"/>
      <c r="AX1274" s="107"/>
      <c r="AY1274" s="107"/>
      <c r="AZ1274" s="107"/>
      <c r="BA1274" s="107"/>
      <c r="BB1274" s="107"/>
      <c r="BC1274" s="107"/>
      <c r="BD1274" s="107"/>
      <c r="BE1274" s="107"/>
      <c r="BF1274" s="107"/>
      <c r="BG1274" s="107"/>
      <c r="BH1274" s="107"/>
      <c r="BI1274" s="107"/>
      <c r="BJ1274" s="107"/>
      <c r="BK1274" s="107"/>
      <c r="BL1274" s="107"/>
      <c r="BM1274" s="107"/>
      <c r="BN1274" s="107"/>
      <c r="BO1274" s="107"/>
      <c r="BP1274" s="107"/>
      <c r="BQ1274" s="107"/>
      <c r="BR1274" s="107"/>
      <c r="BS1274" s="107"/>
      <c r="BT1274" s="107"/>
      <c r="BU1274" s="107"/>
      <c r="BV1274" s="107"/>
      <c r="BW1274" s="107"/>
      <c r="BX1274" s="107"/>
      <c r="BY1274" s="107"/>
      <c r="BZ1274" s="107"/>
      <c r="CA1274" s="107"/>
      <c r="CB1274" s="107"/>
      <c r="CC1274" s="107"/>
      <c r="CD1274" s="107"/>
      <c r="CE1274" s="107"/>
      <c r="CF1274" s="107"/>
      <c r="CG1274" s="107"/>
      <c r="CH1274" s="107"/>
      <c r="CI1274" s="107"/>
      <c r="CJ1274" s="107"/>
      <c r="CK1274" s="107"/>
      <c r="CL1274" s="107"/>
      <c r="CM1274" s="107"/>
      <c r="CN1274" s="118"/>
      <c r="CO1274" s="119"/>
      <c r="CP1274" s="118"/>
      <c r="CQ1274" s="119"/>
      <c r="CR1274" s="118"/>
      <c r="CS1274" s="119"/>
      <c r="CT1274" s="113"/>
      <c r="CU1274" s="118"/>
      <c r="CV1274" s="99">
        <f t="shared" si="119"/>
        <v>0</v>
      </c>
      <c r="CW1274" s="118"/>
      <c r="CX1274" s="119"/>
      <c r="CY1274" s="119"/>
      <c r="CZ1274" s="119"/>
      <c r="DA1274" s="118"/>
      <c r="DB1274" s="119"/>
      <c r="DC1274" s="111"/>
      <c r="DD1274" s="119"/>
      <c r="DE1274" s="111"/>
      <c r="DF1274" s="46"/>
    </row>
    <row r="1275" spans="1:110" s="42" customFormat="1" ht="72" x14ac:dyDescent="0.2">
      <c r="A1275" s="89">
        <v>40690</v>
      </c>
      <c r="B1275" s="90" t="s">
        <v>4261</v>
      </c>
      <c r="C1275" s="90" t="s">
        <v>1278</v>
      </c>
      <c r="D1275" s="90" t="s">
        <v>4264</v>
      </c>
      <c r="E1275" s="90" t="str">
        <f>VLOOKUP(B1275&amp;C1275,Divipola!$C$2:$F$1138,4,FALSE)</f>
        <v>15664</v>
      </c>
      <c r="F1275" s="4"/>
      <c r="G1275" s="274"/>
      <c r="H1275" s="274"/>
      <c r="I1275" s="274"/>
      <c r="J1275" s="101">
        <v>550</v>
      </c>
      <c r="K1275" s="101">
        <v>78</v>
      </c>
      <c r="L1275" s="101">
        <v>32</v>
      </c>
      <c r="M1275" s="101"/>
      <c r="N1275" s="208"/>
      <c r="O1275" s="208"/>
      <c r="P1275" s="208"/>
      <c r="Q1275" s="208"/>
      <c r="R1275" s="208"/>
      <c r="S1275" s="208"/>
      <c r="T1275" s="208"/>
      <c r="U1275" s="208"/>
      <c r="V1275" s="208">
        <v>231</v>
      </c>
      <c r="W1275" s="19"/>
      <c r="X1275" s="17"/>
      <c r="Y1275" s="5">
        <f t="shared" si="120"/>
        <v>0</v>
      </c>
      <c r="Z1275" s="5">
        <f t="shared" si="121"/>
        <v>0</v>
      </c>
      <c r="AA1275" s="5">
        <f t="shared" si="122"/>
        <v>0</v>
      </c>
      <c r="AB1275" s="5">
        <f t="shared" si="123"/>
        <v>0</v>
      </c>
      <c r="AC1275" s="5"/>
      <c r="AD1275" s="5">
        <v>0</v>
      </c>
      <c r="AE1275" s="5">
        <f t="shared" si="124"/>
        <v>0</v>
      </c>
      <c r="AF1275" s="70">
        <v>0</v>
      </c>
      <c r="AG1275" s="17"/>
      <c r="AH1275" s="18"/>
      <c r="AI1275" s="47" t="s">
        <v>4336</v>
      </c>
      <c r="AJ1275" s="73" t="s">
        <v>4337</v>
      </c>
      <c r="AK1275" s="275"/>
      <c r="AL1275" s="276"/>
      <c r="AM1275" s="100" t="s">
        <v>2396</v>
      </c>
      <c r="AN1275" s="19"/>
      <c r="AO1275" s="19"/>
      <c r="AP1275" s="19"/>
      <c r="AQ1275" s="19"/>
      <c r="AR1275" s="19"/>
      <c r="AS1275" s="19"/>
      <c r="AT1275" s="19"/>
      <c r="AU1275" s="19"/>
      <c r="AV1275" s="19"/>
      <c r="AW1275" s="19"/>
      <c r="AX1275" s="107"/>
      <c r="AY1275" s="107"/>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c r="BW1275" s="19"/>
      <c r="BX1275" s="19"/>
      <c r="BY1275" s="19"/>
      <c r="BZ1275" s="19"/>
      <c r="CA1275" s="19"/>
      <c r="CB1275" s="19"/>
      <c r="CC1275" s="19"/>
      <c r="CD1275" s="19"/>
      <c r="CE1275" s="19"/>
      <c r="CF1275" s="19"/>
      <c r="CG1275" s="19"/>
      <c r="CH1275" s="19"/>
      <c r="CI1275" s="19"/>
      <c r="CJ1275" s="19"/>
      <c r="CK1275" s="19"/>
      <c r="CL1275" s="19"/>
      <c r="CM1275" s="19"/>
      <c r="CN1275" s="139"/>
      <c r="CO1275" s="138"/>
      <c r="CP1275" s="139"/>
      <c r="CQ1275" s="138"/>
      <c r="CR1275" s="139"/>
      <c r="CS1275" s="138"/>
      <c r="CT1275" s="72"/>
      <c r="CU1275" s="139"/>
      <c r="CV1275" s="99">
        <f t="shared" si="119"/>
        <v>0</v>
      </c>
      <c r="CW1275" s="139"/>
      <c r="CX1275" s="138"/>
      <c r="CY1275" s="138"/>
      <c r="CZ1275" s="138"/>
      <c r="DA1275" s="139"/>
      <c r="DB1275" s="138"/>
      <c r="DC1275" s="45"/>
      <c r="DD1275" s="138"/>
      <c r="DE1275" s="45"/>
      <c r="DF1275" s="46"/>
    </row>
    <row r="1276" spans="1:110" s="42" customFormat="1" ht="45" x14ac:dyDescent="0.2">
      <c r="A1276" s="89">
        <v>40690</v>
      </c>
      <c r="B1276" s="90" t="s">
        <v>4261</v>
      </c>
      <c r="C1276" s="90" t="s">
        <v>1361</v>
      </c>
      <c r="D1276" s="90" t="s">
        <v>4264</v>
      </c>
      <c r="E1276" s="90" t="str">
        <f>VLOOKUP(B1276&amp;C1276,Divipola!$C$2:$F$1138,4,FALSE)</f>
        <v>15835</v>
      </c>
      <c r="F1276" s="4"/>
      <c r="G1276" s="274"/>
      <c r="H1276" s="274"/>
      <c r="I1276" s="274"/>
      <c r="J1276" s="101">
        <v>420</v>
      </c>
      <c r="K1276" s="101">
        <v>84</v>
      </c>
      <c r="L1276" s="101">
        <v>7</v>
      </c>
      <c r="M1276" s="101">
        <v>22</v>
      </c>
      <c r="N1276" s="208"/>
      <c r="O1276" s="208"/>
      <c r="P1276" s="208"/>
      <c r="Q1276" s="208"/>
      <c r="R1276" s="208"/>
      <c r="S1276" s="208"/>
      <c r="T1276" s="208"/>
      <c r="U1276" s="208"/>
      <c r="V1276" s="208"/>
      <c r="W1276" s="19"/>
      <c r="X1276" s="17"/>
      <c r="Y1276" s="5">
        <f t="shared" si="120"/>
        <v>0</v>
      </c>
      <c r="Z1276" s="5">
        <f t="shared" si="121"/>
        <v>0</v>
      </c>
      <c r="AA1276" s="5">
        <f t="shared" si="122"/>
        <v>0</v>
      </c>
      <c r="AB1276" s="5">
        <f t="shared" si="123"/>
        <v>0</v>
      </c>
      <c r="AC1276" s="5"/>
      <c r="AD1276" s="5">
        <v>0</v>
      </c>
      <c r="AE1276" s="5">
        <f t="shared" si="124"/>
        <v>0</v>
      </c>
      <c r="AF1276" s="70">
        <v>0</v>
      </c>
      <c r="AG1276" s="17"/>
      <c r="AH1276" s="18"/>
      <c r="AI1276" s="47" t="s">
        <v>4336</v>
      </c>
      <c r="AJ1276" s="73" t="s">
        <v>4337</v>
      </c>
      <c r="AK1276" s="275"/>
      <c r="AL1276" s="276"/>
      <c r="AM1276" s="128" t="s">
        <v>1095</v>
      </c>
      <c r="AN1276" s="19"/>
      <c r="AO1276" s="19"/>
      <c r="AP1276" s="19"/>
      <c r="AQ1276" s="19"/>
      <c r="AR1276" s="19"/>
      <c r="AS1276" s="19"/>
      <c r="AT1276" s="19"/>
      <c r="AU1276" s="19"/>
      <c r="AV1276" s="19"/>
      <c r="AW1276" s="19"/>
      <c r="AX1276" s="107"/>
      <c r="AY1276" s="107"/>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39"/>
      <c r="CO1276" s="138"/>
      <c r="CP1276" s="139"/>
      <c r="CQ1276" s="138"/>
      <c r="CR1276" s="139"/>
      <c r="CS1276" s="138"/>
      <c r="CT1276" s="72"/>
      <c r="CU1276" s="139"/>
      <c r="CV1276" s="99">
        <f t="shared" si="119"/>
        <v>0</v>
      </c>
      <c r="CW1276" s="139"/>
      <c r="CX1276" s="138"/>
      <c r="CY1276" s="138"/>
      <c r="CZ1276" s="138"/>
      <c r="DA1276" s="139"/>
      <c r="DB1276" s="138"/>
      <c r="DC1276" s="45"/>
      <c r="DD1276" s="138"/>
      <c r="DE1276" s="45"/>
      <c r="DF1276" s="46"/>
    </row>
    <row r="1277" spans="1:110" s="42" customFormat="1" ht="48" x14ac:dyDescent="0.2">
      <c r="A1277" s="89">
        <v>40690</v>
      </c>
      <c r="B1277" s="106" t="s">
        <v>4387</v>
      </c>
      <c r="C1277" s="106" t="s">
        <v>847</v>
      </c>
      <c r="D1277" s="90" t="s">
        <v>2362</v>
      </c>
      <c r="E1277" s="90" t="str">
        <f>VLOOKUP(B1277&amp;C1277,Divipola!$C$2:$F$1138,4,FALSE)</f>
        <v>52110</v>
      </c>
      <c r="F1277" s="90"/>
      <c r="G1277" s="129"/>
      <c r="H1277" s="129"/>
      <c r="I1277" s="129"/>
      <c r="J1277" s="129"/>
      <c r="K1277" s="129"/>
      <c r="L1277" s="129"/>
      <c r="M1277" s="129"/>
      <c r="N1277" s="129"/>
      <c r="O1277" s="129"/>
      <c r="P1277" s="129"/>
      <c r="Q1277" s="129">
        <v>1</v>
      </c>
      <c r="R1277" s="129"/>
      <c r="S1277" s="129"/>
      <c r="T1277" s="129">
        <v>4</v>
      </c>
      <c r="U1277" s="129"/>
      <c r="V1277" s="129"/>
      <c r="W1277" s="107"/>
      <c r="X1277" s="105"/>
      <c r="Y1277" s="92">
        <f t="shared" si="120"/>
        <v>0</v>
      </c>
      <c r="Z1277" s="92">
        <f t="shared" si="121"/>
        <v>0</v>
      </c>
      <c r="AA1277" s="92">
        <f t="shared" si="122"/>
        <v>0</v>
      </c>
      <c r="AB1277" s="92">
        <f t="shared" si="123"/>
        <v>0</v>
      </c>
      <c r="AC1277" s="92"/>
      <c r="AD1277" s="92">
        <v>0</v>
      </c>
      <c r="AE1277" s="92">
        <f t="shared" si="124"/>
        <v>0</v>
      </c>
      <c r="AF1277" s="93">
        <v>0</v>
      </c>
      <c r="AG1277" s="105"/>
      <c r="AH1277" s="108"/>
      <c r="AI1277" s="109" t="s">
        <v>4336</v>
      </c>
      <c r="AJ1277" s="110" t="s">
        <v>4337</v>
      </c>
      <c r="AK1277" s="111"/>
      <c r="AL1277" s="105" t="s">
        <v>1069</v>
      </c>
      <c r="AM1277" s="112" t="s">
        <v>96</v>
      </c>
      <c r="AN1277" s="107"/>
      <c r="AO1277" s="107"/>
      <c r="AP1277" s="107"/>
      <c r="AQ1277" s="107"/>
      <c r="AR1277" s="107"/>
      <c r="AS1277" s="107"/>
      <c r="AT1277" s="107"/>
      <c r="AU1277" s="107"/>
      <c r="AV1277" s="107"/>
      <c r="AW1277" s="107"/>
      <c r="AX1277" s="107"/>
      <c r="AY1277" s="107"/>
      <c r="AZ1277" s="107"/>
      <c r="BA1277" s="107"/>
      <c r="BB1277" s="107"/>
      <c r="BC1277" s="107"/>
      <c r="BD1277" s="107"/>
      <c r="BE1277" s="107"/>
      <c r="BF1277" s="107"/>
      <c r="BG1277" s="107"/>
      <c r="BH1277" s="107"/>
      <c r="BI1277" s="107"/>
      <c r="BJ1277" s="107"/>
      <c r="BK1277" s="107"/>
      <c r="BL1277" s="107"/>
      <c r="BM1277" s="107"/>
      <c r="BN1277" s="107"/>
      <c r="BO1277" s="107"/>
      <c r="BP1277" s="107"/>
      <c r="BQ1277" s="107"/>
      <c r="BR1277" s="107"/>
      <c r="BS1277" s="107"/>
      <c r="BT1277" s="107"/>
      <c r="BU1277" s="107"/>
      <c r="BV1277" s="107"/>
      <c r="BW1277" s="107"/>
      <c r="BX1277" s="107"/>
      <c r="BY1277" s="107"/>
      <c r="BZ1277" s="107"/>
      <c r="CA1277" s="107"/>
      <c r="CB1277" s="107"/>
      <c r="CC1277" s="107"/>
      <c r="CD1277" s="107"/>
      <c r="CE1277" s="107"/>
      <c r="CF1277" s="107"/>
      <c r="CG1277" s="107"/>
      <c r="CH1277" s="107"/>
      <c r="CI1277" s="107"/>
      <c r="CJ1277" s="107"/>
      <c r="CK1277" s="107"/>
      <c r="CL1277" s="107"/>
      <c r="CM1277" s="107"/>
      <c r="CN1277" s="118"/>
      <c r="CO1277" s="119"/>
      <c r="CP1277" s="118"/>
      <c r="CQ1277" s="119"/>
      <c r="CR1277" s="118"/>
      <c r="CS1277" s="119"/>
      <c r="CT1277" s="113"/>
      <c r="CU1277" s="118"/>
      <c r="CV1277" s="99">
        <f t="shared" si="119"/>
        <v>0</v>
      </c>
      <c r="CW1277" s="118"/>
      <c r="CX1277" s="119"/>
      <c r="CY1277" s="119"/>
      <c r="CZ1277" s="119"/>
      <c r="DA1277" s="118"/>
      <c r="DB1277" s="119"/>
      <c r="DC1277" s="111"/>
      <c r="DD1277" s="119"/>
      <c r="DE1277" s="111"/>
      <c r="DF1277" s="46"/>
    </row>
    <row r="1278" spans="1:110" s="42" customFormat="1" ht="24" x14ac:dyDescent="0.2">
      <c r="A1278" s="89">
        <v>40690</v>
      </c>
      <c r="B1278" s="106" t="s">
        <v>4387</v>
      </c>
      <c r="C1278" s="106" t="s">
        <v>534</v>
      </c>
      <c r="D1278" s="90" t="s">
        <v>2362</v>
      </c>
      <c r="E1278" s="90" t="str">
        <f>VLOOKUP(B1278&amp;C1278,Divipola!$C$2:$F$1138,4,FALSE)</f>
        <v>52786</v>
      </c>
      <c r="F1278" s="90"/>
      <c r="G1278" s="129"/>
      <c r="H1278" s="129"/>
      <c r="I1278" s="129"/>
      <c r="J1278" s="129">
        <v>169</v>
      </c>
      <c r="K1278" s="129">
        <v>39</v>
      </c>
      <c r="L1278" s="129"/>
      <c r="M1278" s="129">
        <v>39</v>
      </c>
      <c r="N1278" s="129"/>
      <c r="O1278" s="129"/>
      <c r="P1278" s="129"/>
      <c r="Q1278" s="129"/>
      <c r="R1278" s="129"/>
      <c r="S1278" s="129"/>
      <c r="T1278" s="129"/>
      <c r="U1278" s="129"/>
      <c r="V1278" s="129"/>
      <c r="W1278" s="107"/>
      <c r="X1278" s="105"/>
      <c r="Y1278" s="92">
        <f t="shared" si="120"/>
        <v>0</v>
      </c>
      <c r="Z1278" s="92">
        <f t="shared" si="121"/>
        <v>0</v>
      </c>
      <c r="AA1278" s="92">
        <f t="shared" si="122"/>
        <v>0</v>
      </c>
      <c r="AB1278" s="92">
        <f t="shared" si="123"/>
        <v>0</v>
      </c>
      <c r="AC1278" s="92"/>
      <c r="AD1278" s="92">
        <v>0</v>
      </c>
      <c r="AE1278" s="92">
        <f t="shared" si="124"/>
        <v>0</v>
      </c>
      <c r="AF1278" s="93">
        <v>0</v>
      </c>
      <c r="AG1278" s="105"/>
      <c r="AH1278" s="108"/>
      <c r="AI1278" s="109" t="s">
        <v>4336</v>
      </c>
      <c r="AJ1278" s="110" t="s">
        <v>4337</v>
      </c>
      <c r="AK1278" s="111"/>
      <c r="AL1278" s="105" t="s">
        <v>1069</v>
      </c>
      <c r="AM1278" s="112" t="s">
        <v>95</v>
      </c>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c r="BJ1278" s="107"/>
      <c r="BK1278" s="107"/>
      <c r="BL1278" s="107"/>
      <c r="BM1278" s="107"/>
      <c r="BN1278" s="107"/>
      <c r="BO1278" s="107"/>
      <c r="BP1278" s="107"/>
      <c r="BQ1278" s="107"/>
      <c r="BR1278" s="107"/>
      <c r="BS1278" s="107"/>
      <c r="BT1278" s="107"/>
      <c r="BU1278" s="107"/>
      <c r="BV1278" s="107"/>
      <c r="BW1278" s="107"/>
      <c r="BX1278" s="107"/>
      <c r="BY1278" s="107"/>
      <c r="BZ1278" s="107"/>
      <c r="CA1278" s="107"/>
      <c r="CB1278" s="107"/>
      <c r="CC1278" s="107"/>
      <c r="CD1278" s="107"/>
      <c r="CE1278" s="107"/>
      <c r="CF1278" s="107"/>
      <c r="CG1278" s="107"/>
      <c r="CH1278" s="107"/>
      <c r="CI1278" s="107"/>
      <c r="CJ1278" s="107"/>
      <c r="CK1278" s="107"/>
      <c r="CL1278" s="107"/>
      <c r="CM1278" s="107"/>
      <c r="CN1278" s="118"/>
      <c r="CO1278" s="119"/>
      <c r="CP1278" s="118"/>
      <c r="CQ1278" s="119"/>
      <c r="CR1278" s="118"/>
      <c r="CS1278" s="119"/>
      <c r="CT1278" s="113"/>
      <c r="CU1278" s="118"/>
      <c r="CV1278" s="99">
        <f t="shared" si="119"/>
        <v>0</v>
      </c>
      <c r="CW1278" s="118"/>
      <c r="CX1278" s="119"/>
      <c r="CY1278" s="119"/>
      <c r="CZ1278" s="119"/>
      <c r="DA1278" s="118"/>
      <c r="DB1278" s="119"/>
      <c r="DC1278" s="111"/>
      <c r="DD1278" s="119"/>
      <c r="DE1278" s="111"/>
      <c r="DF1278" s="46"/>
    </row>
    <row r="1279" spans="1:110" s="42" customFormat="1" ht="24" x14ac:dyDescent="0.2">
      <c r="A1279" s="89">
        <v>40690</v>
      </c>
      <c r="B1279" s="106" t="s">
        <v>3316</v>
      </c>
      <c r="C1279" s="106" t="s">
        <v>3135</v>
      </c>
      <c r="D1279" s="90" t="s">
        <v>2362</v>
      </c>
      <c r="E1279" s="90" t="str">
        <f>VLOOKUP(B1279&amp;C1279,Divipola!$C$2:$F$1138,4,FALSE)</f>
        <v>73686</v>
      </c>
      <c r="F1279" s="90"/>
      <c r="G1279" s="129"/>
      <c r="H1279" s="129"/>
      <c r="I1279" s="129"/>
      <c r="J1279" s="129">
        <v>6</v>
      </c>
      <c r="K1279" s="129">
        <v>2</v>
      </c>
      <c r="L1279" s="129">
        <v>2</v>
      </c>
      <c r="M1279" s="129"/>
      <c r="N1279" s="129"/>
      <c r="O1279" s="129"/>
      <c r="P1279" s="129"/>
      <c r="Q1279" s="129"/>
      <c r="R1279" s="129"/>
      <c r="S1279" s="129"/>
      <c r="T1279" s="129"/>
      <c r="U1279" s="129"/>
      <c r="V1279" s="129"/>
      <c r="W1279" s="107"/>
      <c r="X1279" s="105"/>
      <c r="Y1279" s="92">
        <f t="shared" si="120"/>
        <v>0</v>
      </c>
      <c r="Z1279" s="92">
        <f t="shared" si="121"/>
        <v>0</v>
      </c>
      <c r="AA1279" s="92">
        <f t="shared" si="122"/>
        <v>0</v>
      </c>
      <c r="AB1279" s="92">
        <f t="shared" si="123"/>
        <v>0</v>
      </c>
      <c r="AC1279" s="92"/>
      <c r="AD1279" s="92">
        <v>0</v>
      </c>
      <c r="AE1279" s="92">
        <f t="shared" si="124"/>
        <v>0</v>
      </c>
      <c r="AF1279" s="93">
        <v>0</v>
      </c>
      <c r="AG1279" s="105"/>
      <c r="AH1279" s="108"/>
      <c r="AI1279" s="109" t="s">
        <v>4336</v>
      </c>
      <c r="AJ1279" s="110" t="s">
        <v>4337</v>
      </c>
      <c r="AK1279" s="111"/>
      <c r="AL1279" s="105"/>
      <c r="AM1279" s="112" t="s">
        <v>831</v>
      </c>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c r="BJ1279" s="107"/>
      <c r="BK1279" s="107"/>
      <c r="BL1279" s="107"/>
      <c r="BM1279" s="107"/>
      <c r="BN1279" s="107"/>
      <c r="BO1279" s="107"/>
      <c r="BP1279" s="107"/>
      <c r="BQ1279" s="107"/>
      <c r="BR1279" s="107"/>
      <c r="BS1279" s="107"/>
      <c r="BT1279" s="107"/>
      <c r="BU1279" s="107"/>
      <c r="BV1279" s="107"/>
      <c r="BW1279" s="107"/>
      <c r="BX1279" s="107"/>
      <c r="BY1279" s="107"/>
      <c r="BZ1279" s="107"/>
      <c r="CA1279" s="107"/>
      <c r="CB1279" s="107"/>
      <c r="CC1279" s="107"/>
      <c r="CD1279" s="107"/>
      <c r="CE1279" s="107"/>
      <c r="CF1279" s="107"/>
      <c r="CG1279" s="107"/>
      <c r="CH1279" s="107"/>
      <c r="CI1279" s="107"/>
      <c r="CJ1279" s="107"/>
      <c r="CK1279" s="107"/>
      <c r="CL1279" s="107"/>
      <c r="CM1279" s="107"/>
      <c r="CN1279" s="118"/>
      <c r="CO1279" s="119"/>
      <c r="CP1279" s="118"/>
      <c r="CQ1279" s="119"/>
      <c r="CR1279" s="118"/>
      <c r="CS1279" s="119"/>
      <c r="CT1279" s="113"/>
      <c r="CU1279" s="118"/>
      <c r="CV1279" s="99">
        <f t="shared" si="119"/>
        <v>0</v>
      </c>
      <c r="CW1279" s="118"/>
      <c r="CX1279" s="119"/>
      <c r="CY1279" s="119"/>
      <c r="CZ1279" s="119"/>
      <c r="DA1279" s="118"/>
      <c r="DB1279" s="119"/>
      <c r="DC1279" s="111"/>
      <c r="DD1279" s="119"/>
      <c r="DE1279" s="111"/>
      <c r="DF1279" s="46"/>
    </row>
    <row r="1280" spans="1:110" s="42" customFormat="1" ht="22.5" x14ac:dyDescent="0.2">
      <c r="A1280" s="89">
        <v>40691</v>
      </c>
      <c r="B1280" s="106" t="s">
        <v>4386</v>
      </c>
      <c r="C1280" s="106" t="s">
        <v>1533</v>
      </c>
      <c r="D1280" s="90" t="s">
        <v>4264</v>
      </c>
      <c r="E1280" s="90" t="str">
        <f>VLOOKUP(B1280&amp;C1280,Divipola!$C$2:$F$1138,4,FALSE)</f>
        <v>20013</v>
      </c>
      <c r="F1280" s="90"/>
      <c r="G1280" s="129"/>
      <c r="H1280" s="129"/>
      <c r="I1280" s="129"/>
      <c r="J1280" s="129">
        <f>150*5</f>
        <v>750</v>
      </c>
      <c r="K1280" s="129">
        <v>150</v>
      </c>
      <c r="L1280" s="129"/>
      <c r="M1280" s="129">
        <v>150</v>
      </c>
      <c r="N1280" s="129"/>
      <c r="O1280" s="129"/>
      <c r="P1280" s="129"/>
      <c r="Q1280" s="129"/>
      <c r="R1280" s="129"/>
      <c r="S1280" s="129"/>
      <c r="T1280" s="129"/>
      <c r="U1280" s="129"/>
      <c r="V1280" s="129"/>
      <c r="W1280" s="107"/>
      <c r="X1280" s="105"/>
      <c r="Y1280" s="92">
        <f t="shared" si="120"/>
        <v>0</v>
      </c>
      <c r="Z1280" s="92">
        <f t="shared" si="121"/>
        <v>0</v>
      </c>
      <c r="AA1280" s="92">
        <f t="shared" si="122"/>
        <v>0</v>
      </c>
      <c r="AB1280" s="92">
        <f t="shared" si="123"/>
        <v>0</v>
      </c>
      <c r="AC1280" s="92"/>
      <c r="AD1280" s="92">
        <v>0</v>
      </c>
      <c r="AE1280" s="92">
        <f t="shared" si="124"/>
        <v>0</v>
      </c>
      <c r="AF1280" s="93">
        <v>0</v>
      </c>
      <c r="AG1280" s="105"/>
      <c r="AH1280" s="108"/>
      <c r="AI1280" s="102" t="s">
        <v>4346</v>
      </c>
      <c r="AJ1280" s="96" t="s">
        <v>4347</v>
      </c>
      <c r="AK1280" s="97"/>
      <c r="AL1280" s="89" t="s">
        <v>1049</v>
      </c>
      <c r="AM1280" s="112" t="s">
        <v>3530</v>
      </c>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c r="BJ1280" s="107"/>
      <c r="BK1280" s="107"/>
      <c r="BL1280" s="107"/>
      <c r="BM1280" s="107"/>
      <c r="BN1280" s="107"/>
      <c r="BO1280" s="107"/>
      <c r="BP1280" s="107"/>
      <c r="BQ1280" s="107"/>
      <c r="BR1280" s="107"/>
      <c r="BS1280" s="107"/>
      <c r="BT1280" s="107"/>
      <c r="BU1280" s="107"/>
      <c r="BV1280" s="107"/>
      <c r="BW1280" s="107"/>
      <c r="BX1280" s="107"/>
      <c r="BY1280" s="107"/>
      <c r="BZ1280" s="107"/>
      <c r="CA1280" s="107"/>
      <c r="CB1280" s="107"/>
      <c r="CC1280" s="107"/>
      <c r="CD1280" s="107"/>
      <c r="CE1280" s="107"/>
      <c r="CF1280" s="107"/>
      <c r="CG1280" s="107"/>
      <c r="CH1280" s="107"/>
      <c r="CI1280" s="107"/>
      <c r="CJ1280" s="107"/>
      <c r="CK1280" s="107"/>
      <c r="CL1280" s="107"/>
      <c r="CM1280" s="107"/>
      <c r="CN1280" s="118"/>
      <c r="CO1280" s="119"/>
      <c r="CP1280" s="118"/>
      <c r="CQ1280" s="119"/>
      <c r="CR1280" s="118"/>
      <c r="CS1280" s="119"/>
      <c r="CT1280" s="113"/>
      <c r="CU1280" s="118"/>
      <c r="CV1280" s="99">
        <f t="shared" si="119"/>
        <v>0</v>
      </c>
      <c r="CW1280" s="118"/>
      <c r="CX1280" s="119"/>
      <c r="CY1280" s="119"/>
      <c r="CZ1280" s="119"/>
      <c r="DA1280" s="118"/>
      <c r="DB1280" s="119"/>
      <c r="DC1280" s="111"/>
      <c r="DD1280" s="119"/>
      <c r="DE1280" s="111"/>
      <c r="DF1280" s="46"/>
    </row>
    <row r="1281" spans="1:255" s="42" customFormat="1" ht="22.5" x14ac:dyDescent="0.2">
      <c r="A1281" s="89">
        <v>40691</v>
      </c>
      <c r="B1281" s="106" t="s">
        <v>4386</v>
      </c>
      <c r="C1281" s="106" t="s">
        <v>1538</v>
      </c>
      <c r="D1281" s="90" t="s">
        <v>4264</v>
      </c>
      <c r="E1281" s="90" t="str">
        <f>VLOOKUP(B1281&amp;C1281,Divipola!$C$2:$F$1138,4,FALSE)</f>
        <v>20045</v>
      </c>
      <c r="F1281" s="90"/>
      <c r="G1281" s="129"/>
      <c r="H1281" s="129"/>
      <c r="I1281" s="129"/>
      <c r="J1281" s="129">
        <f>127*5</f>
        <v>635</v>
      </c>
      <c r="K1281" s="129">
        <v>127</v>
      </c>
      <c r="L1281" s="129"/>
      <c r="M1281" s="129">
        <v>127</v>
      </c>
      <c r="N1281" s="129"/>
      <c r="O1281" s="129"/>
      <c r="P1281" s="129"/>
      <c r="Q1281" s="129"/>
      <c r="R1281" s="129"/>
      <c r="S1281" s="129"/>
      <c r="T1281" s="129"/>
      <c r="U1281" s="129"/>
      <c r="V1281" s="129"/>
      <c r="W1281" s="107"/>
      <c r="X1281" s="105"/>
      <c r="Y1281" s="92">
        <f t="shared" si="120"/>
        <v>0</v>
      </c>
      <c r="Z1281" s="92">
        <f t="shared" si="121"/>
        <v>0</v>
      </c>
      <c r="AA1281" s="92">
        <f t="shared" si="122"/>
        <v>0</v>
      </c>
      <c r="AB1281" s="92">
        <f t="shared" si="123"/>
        <v>0</v>
      </c>
      <c r="AC1281" s="92"/>
      <c r="AD1281" s="92">
        <v>0</v>
      </c>
      <c r="AE1281" s="92">
        <f t="shared" si="124"/>
        <v>0</v>
      </c>
      <c r="AF1281" s="93">
        <v>0</v>
      </c>
      <c r="AG1281" s="105"/>
      <c r="AH1281" s="108"/>
      <c r="AI1281" s="102" t="s">
        <v>4346</v>
      </c>
      <c r="AJ1281" s="96" t="s">
        <v>4347</v>
      </c>
      <c r="AK1281" s="97"/>
      <c r="AL1281" s="89" t="s">
        <v>1049</v>
      </c>
      <c r="AM1281" s="112" t="s">
        <v>3530</v>
      </c>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c r="BJ1281" s="107"/>
      <c r="BK1281" s="107"/>
      <c r="BL1281" s="107"/>
      <c r="BM1281" s="107"/>
      <c r="BN1281" s="107"/>
      <c r="BO1281" s="107"/>
      <c r="BP1281" s="107"/>
      <c r="BQ1281" s="107"/>
      <c r="BR1281" s="107"/>
      <c r="BS1281" s="107"/>
      <c r="BT1281" s="107"/>
      <c r="BU1281" s="107"/>
      <c r="BV1281" s="107"/>
      <c r="BW1281" s="107"/>
      <c r="BX1281" s="107"/>
      <c r="BY1281" s="107"/>
      <c r="BZ1281" s="107"/>
      <c r="CA1281" s="107"/>
      <c r="CB1281" s="107"/>
      <c r="CC1281" s="107"/>
      <c r="CD1281" s="107"/>
      <c r="CE1281" s="107"/>
      <c r="CF1281" s="107"/>
      <c r="CG1281" s="107"/>
      <c r="CH1281" s="107"/>
      <c r="CI1281" s="107"/>
      <c r="CJ1281" s="107"/>
      <c r="CK1281" s="107"/>
      <c r="CL1281" s="107"/>
      <c r="CM1281" s="107"/>
      <c r="CN1281" s="118"/>
      <c r="CO1281" s="119"/>
      <c r="CP1281" s="118"/>
      <c r="CQ1281" s="119"/>
      <c r="CR1281" s="118"/>
      <c r="CS1281" s="119"/>
      <c r="CT1281" s="113"/>
      <c r="CU1281" s="118"/>
      <c r="CV1281" s="99">
        <f t="shared" si="119"/>
        <v>0</v>
      </c>
      <c r="CW1281" s="118"/>
      <c r="CX1281" s="119"/>
      <c r="CY1281" s="119"/>
      <c r="CZ1281" s="119"/>
      <c r="DA1281" s="118"/>
      <c r="DB1281" s="119"/>
      <c r="DC1281" s="111"/>
      <c r="DD1281" s="119"/>
      <c r="DE1281" s="111"/>
      <c r="DF1281" s="46"/>
    </row>
    <row r="1282" spans="1:255" s="42" customFormat="1" ht="22.5" x14ac:dyDescent="0.2">
      <c r="A1282" s="89">
        <v>40691</v>
      </c>
      <c r="B1282" s="106" t="s">
        <v>4386</v>
      </c>
      <c r="C1282" s="106" t="s">
        <v>1541</v>
      </c>
      <c r="D1282" s="90" t="s">
        <v>4264</v>
      </c>
      <c r="E1282" s="90" t="str">
        <f>VLOOKUP(B1282&amp;C1282,Divipola!$C$2:$F$1138,4,FALSE)</f>
        <v>20060</v>
      </c>
      <c r="F1282" s="90"/>
      <c r="G1282" s="129"/>
      <c r="H1282" s="129"/>
      <c r="I1282" s="129"/>
      <c r="J1282" s="129">
        <f>220*5</f>
        <v>1100</v>
      </c>
      <c r="K1282" s="129">
        <v>220</v>
      </c>
      <c r="L1282" s="129"/>
      <c r="M1282" s="129">
        <v>220</v>
      </c>
      <c r="N1282" s="129"/>
      <c r="O1282" s="129"/>
      <c r="P1282" s="129"/>
      <c r="Q1282" s="129"/>
      <c r="R1282" s="129"/>
      <c r="S1282" s="129"/>
      <c r="T1282" s="129"/>
      <c r="U1282" s="129"/>
      <c r="V1282" s="129"/>
      <c r="W1282" s="107"/>
      <c r="X1282" s="105"/>
      <c r="Y1282" s="92">
        <f t="shared" si="120"/>
        <v>0</v>
      </c>
      <c r="Z1282" s="92">
        <f t="shared" si="121"/>
        <v>0</v>
      </c>
      <c r="AA1282" s="92">
        <f t="shared" si="122"/>
        <v>0</v>
      </c>
      <c r="AB1282" s="92">
        <f t="shared" si="123"/>
        <v>0</v>
      </c>
      <c r="AC1282" s="92"/>
      <c r="AD1282" s="92">
        <v>0</v>
      </c>
      <c r="AE1282" s="92">
        <f t="shared" si="124"/>
        <v>0</v>
      </c>
      <c r="AF1282" s="93">
        <v>0</v>
      </c>
      <c r="AG1282" s="105"/>
      <c r="AH1282" s="108"/>
      <c r="AI1282" s="102" t="s">
        <v>4346</v>
      </c>
      <c r="AJ1282" s="96" t="s">
        <v>4347</v>
      </c>
      <c r="AK1282" s="97"/>
      <c r="AL1282" s="89" t="s">
        <v>1049</v>
      </c>
      <c r="AM1282" s="112" t="s">
        <v>3530</v>
      </c>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c r="BJ1282" s="107"/>
      <c r="BK1282" s="107"/>
      <c r="BL1282" s="107"/>
      <c r="BM1282" s="107"/>
      <c r="BN1282" s="107"/>
      <c r="BO1282" s="107"/>
      <c r="BP1282" s="107"/>
      <c r="BQ1282" s="107"/>
      <c r="BR1282" s="107"/>
      <c r="BS1282" s="107"/>
      <c r="BT1282" s="107"/>
      <c r="BU1282" s="107"/>
      <c r="BV1282" s="107"/>
      <c r="BW1282" s="107"/>
      <c r="BX1282" s="107"/>
      <c r="BY1282" s="107"/>
      <c r="BZ1282" s="107"/>
      <c r="CA1282" s="107"/>
      <c r="CB1282" s="107"/>
      <c r="CC1282" s="107"/>
      <c r="CD1282" s="107"/>
      <c r="CE1282" s="107"/>
      <c r="CF1282" s="107"/>
      <c r="CG1282" s="107"/>
      <c r="CH1282" s="107"/>
      <c r="CI1282" s="107"/>
      <c r="CJ1282" s="107"/>
      <c r="CK1282" s="107"/>
      <c r="CL1282" s="107"/>
      <c r="CM1282" s="107"/>
      <c r="CN1282" s="118"/>
      <c r="CO1282" s="119"/>
      <c r="CP1282" s="118"/>
      <c r="CQ1282" s="119"/>
      <c r="CR1282" s="118"/>
      <c r="CS1282" s="119"/>
      <c r="CT1282" s="113"/>
      <c r="CU1282" s="118"/>
      <c r="CV1282" s="99">
        <f t="shared" si="119"/>
        <v>0</v>
      </c>
      <c r="CW1282" s="118"/>
      <c r="CX1282" s="119"/>
      <c r="CY1282" s="119"/>
      <c r="CZ1282" s="119"/>
      <c r="DA1282" s="118"/>
      <c r="DB1282" s="119"/>
      <c r="DC1282" s="111"/>
      <c r="DD1282" s="119"/>
      <c r="DE1282" s="111"/>
      <c r="DF1282" s="46"/>
    </row>
    <row r="1283" spans="1:255" s="42" customFormat="1" ht="84" x14ac:dyDescent="0.2">
      <c r="A1283" s="89">
        <v>40691</v>
      </c>
      <c r="B1283" s="106" t="s">
        <v>4386</v>
      </c>
      <c r="C1283" s="106" t="s">
        <v>857</v>
      </c>
      <c r="D1283" s="90" t="s">
        <v>4264</v>
      </c>
      <c r="E1283" s="90" t="str">
        <f>VLOOKUP(B1283&amp;C1283,Divipola!$C$2:$F$1138,4,FALSE)</f>
        <v>20175</v>
      </c>
      <c r="F1283" s="90"/>
      <c r="G1283" s="129"/>
      <c r="H1283" s="129"/>
      <c r="I1283" s="129"/>
      <c r="J1283" s="129">
        <f>1070*5</f>
        <v>5350</v>
      </c>
      <c r="K1283" s="129">
        <v>1070</v>
      </c>
      <c r="L1283" s="129"/>
      <c r="M1283" s="129">
        <v>1070</v>
      </c>
      <c r="N1283" s="129"/>
      <c r="O1283" s="129"/>
      <c r="P1283" s="129"/>
      <c r="Q1283" s="129"/>
      <c r="R1283" s="129"/>
      <c r="S1283" s="129"/>
      <c r="T1283" s="129"/>
      <c r="U1283" s="129"/>
      <c r="V1283" s="129"/>
      <c r="W1283" s="107"/>
      <c r="X1283" s="105"/>
      <c r="Y1283" s="92">
        <f t="shared" si="120"/>
        <v>0</v>
      </c>
      <c r="Z1283" s="92">
        <f t="shared" si="121"/>
        <v>0</v>
      </c>
      <c r="AA1283" s="92">
        <f t="shared" si="122"/>
        <v>31709620.800000001</v>
      </c>
      <c r="AB1283" s="92">
        <f t="shared" si="123"/>
        <v>0</v>
      </c>
      <c r="AC1283" s="143">
        <f>25*58928+25*139200+150*16419.8+400*13900.28</f>
        <v>12976282</v>
      </c>
      <c r="AD1283" s="92">
        <v>0</v>
      </c>
      <c r="AE1283" s="92">
        <f t="shared" si="124"/>
        <v>44685902.799999997</v>
      </c>
      <c r="AF1283" s="93">
        <v>0</v>
      </c>
      <c r="AG1283" s="105"/>
      <c r="AH1283" s="108"/>
      <c r="AI1283" s="102" t="s">
        <v>4346</v>
      </c>
      <c r="AJ1283" s="96" t="s">
        <v>4347</v>
      </c>
      <c r="AK1283" s="97"/>
      <c r="AL1283" s="89" t="s">
        <v>1049</v>
      </c>
      <c r="AM1283" s="132" t="s">
        <v>2294</v>
      </c>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c r="BJ1283" s="107"/>
      <c r="BK1283" s="107"/>
      <c r="BL1283" s="107"/>
      <c r="BM1283" s="107"/>
      <c r="BN1283" s="107"/>
      <c r="BO1283" s="107"/>
      <c r="BP1283" s="107"/>
      <c r="BQ1283" s="107"/>
      <c r="BR1283" s="107"/>
      <c r="BS1283" s="107"/>
      <c r="BT1283" s="107"/>
      <c r="BU1283" s="107"/>
      <c r="BV1283" s="107"/>
      <c r="BW1283" s="107"/>
      <c r="BX1283" s="107"/>
      <c r="BY1283" s="107"/>
      <c r="BZ1283" s="107"/>
      <c r="CA1283" s="107"/>
      <c r="CB1283" s="107"/>
      <c r="CC1283" s="107"/>
      <c r="CD1283" s="107"/>
      <c r="CE1283" s="107"/>
      <c r="CF1283" s="107"/>
      <c r="CG1283" s="107"/>
      <c r="CH1283" s="107"/>
      <c r="CI1283" s="107"/>
      <c r="CJ1283" s="107"/>
      <c r="CK1283" s="107"/>
      <c r="CL1283" s="107"/>
      <c r="CM1283" s="107"/>
      <c r="CN1283" s="118"/>
      <c r="CO1283" s="119"/>
      <c r="CP1283" s="118"/>
      <c r="CQ1283" s="119"/>
      <c r="CR1283" s="118"/>
      <c r="CS1283" s="119"/>
      <c r="CT1283" s="113"/>
      <c r="CU1283" s="118"/>
      <c r="CV1283" s="99">
        <f t="shared" ref="CV1283:CV1346" si="125">AO1283+AQ1283+AS1283+AU1283+AW1283+AY1283+BA1283+BC1283+BE1283+BG1283+BI1283+BK1283+BM1283+BO1283+BQ1283+BS1283+BU1283+BW1283+BY1283+CA1283+CC1283+CE1283+CG1283+CI1283+CK1283+CM1283+CO1283+CQ1283+CS1283+CU1283</f>
        <v>0</v>
      </c>
      <c r="CW1283" s="118"/>
      <c r="CX1283" s="119"/>
      <c r="CY1283" s="119"/>
      <c r="CZ1283" s="119"/>
      <c r="DA1283" s="118">
        <v>240</v>
      </c>
      <c r="DB1283" s="119">
        <f>240*27998.92</f>
        <v>6719740.7999999998</v>
      </c>
      <c r="DC1283" s="111">
        <v>1000</v>
      </c>
      <c r="DD1283" s="119">
        <f>1000*24989.88</f>
        <v>24989880</v>
      </c>
      <c r="DE1283" s="111"/>
      <c r="DF1283" s="269"/>
      <c r="DG1283" s="270"/>
      <c r="DH1283" s="270"/>
      <c r="DI1283" s="270"/>
      <c r="DJ1283" s="270"/>
      <c r="DK1283" s="270"/>
      <c r="DL1283" s="270"/>
      <c r="DM1283" s="270"/>
      <c r="DN1283" s="270"/>
      <c r="DO1283" s="270"/>
      <c r="DP1283" s="270"/>
      <c r="DQ1283" s="270"/>
      <c r="DR1283" s="270"/>
      <c r="DS1283" s="270"/>
      <c r="DT1283" s="270"/>
      <c r="DU1283" s="270"/>
      <c r="DV1283" s="270"/>
      <c r="DW1283" s="270"/>
      <c r="DX1283" s="270"/>
      <c r="DY1283" s="270"/>
      <c r="DZ1283" s="270"/>
      <c r="EA1283" s="270"/>
      <c r="EB1283" s="270"/>
      <c r="EC1283" s="270"/>
      <c r="ED1283" s="270"/>
      <c r="EE1283" s="270"/>
      <c r="EF1283" s="270"/>
      <c r="EG1283" s="270"/>
      <c r="EH1283" s="270"/>
      <c r="EI1283" s="270"/>
      <c r="EJ1283" s="270"/>
      <c r="EK1283" s="270"/>
      <c r="EL1283" s="270"/>
      <c r="EM1283" s="270"/>
      <c r="EN1283" s="270"/>
      <c r="EO1283" s="270"/>
      <c r="EP1283" s="270"/>
      <c r="EQ1283" s="270"/>
      <c r="ER1283" s="270"/>
      <c r="ES1283" s="270"/>
      <c r="ET1283" s="270"/>
      <c r="EU1283" s="270"/>
      <c r="EV1283" s="270"/>
      <c r="EW1283" s="270"/>
      <c r="EX1283" s="270"/>
      <c r="EY1283" s="270"/>
      <c r="EZ1283" s="270"/>
      <c r="FA1283" s="270"/>
      <c r="FB1283" s="270"/>
      <c r="FC1283" s="270"/>
      <c r="FD1283" s="270"/>
      <c r="FE1283" s="270"/>
      <c r="FF1283" s="270"/>
      <c r="FG1283" s="270"/>
      <c r="FH1283" s="270"/>
      <c r="FI1283" s="270"/>
      <c r="FJ1283" s="270"/>
      <c r="FK1283" s="270"/>
      <c r="FL1283" s="270"/>
      <c r="FM1283" s="270"/>
      <c r="FN1283" s="270"/>
      <c r="FO1283" s="270"/>
      <c r="FP1283" s="270"/>
      <c r="FQ1283" s="270"/>
      <c r="FR1283" s="270"/>
      <c r="FS1283" s="270"/>
      <c r="FT1283" s="270"/>
      <c r="FU1283" s="270"/>
      <c r="FV1283" s="270"/>
      <c r="FW1283" s="270"/>
      <c r="FX1283" s="270"/>
      <c r="FY1283" s="270"/>
      <c r="FZ1283" s="270"/>
      <c r="GA1283" s="270"/>
      <c r="GB1283" s="270"/>
      <c r="GC1283" s="270"/>
      <c r="GD1283" s="270"/>
      <c r="GE1283" s="270"/>
      <c r="GF1283" s="270"/>
      <c r="GG1283" s="270"/>
      <c r="GH1283" s="270"/>
      <c r="GI1283" s="270"/>
      <c r="GJ1283" s="270"/>
      <c r="GK1283" s="270"/>
      <c r="GL1283" s="270"/>
      <c r="GM1283" s="270"/>
      <c r="GN1283" s="270"/>
      <c r="GO1283" s="270"/>
      <c r="GP1283" s="270"/>
      <c r="GQ1283" s="270"/>
      <c r="GR1283" s="270"/>
      <c r="GS1283" s="270"/>
      <c r="GT1283" s="270"/>
      <c r="GU1283" s="270"/>
      <c r="GV1283" s="270"/>
      <c r="GW1283" s="270"/>
      <c r="GX1283" s="270"/>
      <c r="GY1283" s="270"/>
      <c r="GZ1283" s="270"/>
      <c r="HA1283" s="270"/>
      <c r="HB1283" s="270"/>
      <c r="HC1283" s="270"/>
      <c r="HD1283" s="270"/>
      <c r="HE1283" s="270"/>
      <c r="HF1283" s="270"/>
      <c r="HG1283" s="270"/>
      <c r="HH1283" s="270"/>
      <c r="HI1283" s="270"/>
      <c r="HJ1283" s="270"/>
      <c r="HK1283" s="270"/>
      <c r="HL1283" s="270"/>
      <c r="HM1283" s="270"/>
      <c r="HN1283" s="270"/>
      <c r="HO1283" s="270"/>
      <c r="HP1283" s="270"/>
      <c r="HQ1283" s="270"/>
      <c r="HR1283" s="270"/>
      <c r="HS1283" s="270"/>
      <c r="HT1283" s="270"/>
      <c r="HU1283" s="270"/>
      <c r="HV1283" s="270"/>
      <c r="HW1283" s="270"/>
      <c r="HX1283" s="270"/>
      <c r="HY1283" s="270"/>
      <c r="HZ1283" s="270"/>
      <c r="IA1283" s="270"/>
      <c r="IB1283" s="270"/>
      <c r="IC1283" s="270"/>
      <c r="ID1283" s="270"/>
      <c r="IE1283" s="270"/>
      <c r="IF1283" s="270"/>
      <c r="IG1283" s="270"/>
      <c r="IH1283" s="270"/>
      <c r="II1283" s="270"/>
      <c r="IJ1283" s="270"/>
      <c r="IK1283" s="270"/>
      <c r="IL1283" s="270"/>
      <c r="IM1283" s="270"/>
      <c r="IN1283" s="270"/>
      <c r="IO1283" s="270"/>
      <c r="IP1283" s="270"/>
      <c r="IQ1283" s="270"/>
      <c r="IR1283" s="270"/>
      <c r="IS1283" s="270"/>
      <c r="IT1283" s="270"/>
      <c r="IU1283" s="270"/>
    </row>
    <row r="1284" spans="1:255" s="42" customFormat="1" ht="22.5" x14ac:dyDescent="0.2">
      <c r="A1284" s="89">
        <v>40691</v>
      </c>
      <c r="B1284" s="106" t="s">
        <v>4386</v>
      </c>
      <c r="C1284" s="106" t="s">
        <v>1560</v>
      </c>
      <c r="D1284" s="90" t="s">
        <v>4264</v>
      </c>
      <c r="E1284" s="90" t="str">
        <f>VLOOKUP(B1284&amp;C1284,Divipola!$C$2:$F$1138,4,FALSE)</f>
        <v>20400</v>
      </c>
      <c r="F1284" s="90"/>
      <c r="G1284" s="129"/>
      <c r="H1284" s="129"/>
      <c r="I1284" s="129"/>
      <c r="J1284" s="129">
        <f>180*5</f>
        <v>900</v>
      </c>
      <c r="K1284" s="129">
        <v>180</v>
      </c>
      <c r="L1284" s="129"/>
      <c r="M1284" s="129">
        <v>180</v>
      </c>
      <c r="N1284" s="129"/>
      <c r="O1284" s="129"/>
      <c r="P1284" s="129"/>
      <c r="Q1284" s="129"/>
      <c r="R1284" s="129"/>
      <c r="S1284" s="129"/>
      <c r="T1284" s="129"/>
      <c r="U1284" s="129"/>
      <c r="V1284" s="129"/>
      <c r="W1284" s="107"/>
      <c r="X1284" s="105"/>
      <c r="Y1284" s="92">
        <f t="shared" si="120"/>
        <v>0</v>
      </c>
      <c r="Z1284" s="92">
        <f t="shared" si="121"/>
        <v>0</v>
      </c>
      <c r="AA1284" s="92">
        <f t="shared" si="122"/>
        <v>0</v>
      </c>
      <c r="AB1284" s="92">
        <f t="shared" si="123"/>
        <v>0</v>
      </c>
      <c r="AC1284" s="92"/>
      <c r="AD1284" s="92">
        <v>0</v>
      </c>
      <c r="AE1284" s="92">
        <f t="shared" si="124"/>
        <v>0</v>
      </c>
      <c r="AF1284" s="93">
        <v>0</v>
      </c>
      <c r="AG1284" s="105"/>
      <c r="AH1284" s="108"/>
      <c r="AI1284" s="102" t="s">
        <v>4346</v>
      </c>
      <c r="AJ1284" s="96" t="s">
        <v>4347</v>
      </c>
      <c r="AK1284" s="97"/>
      <c r="AL1284" s="89" t="s">
        <v>1049</v>
      </c>
      <c r="AM1284" s="112" t="s">
        <v>3530</v>
      </c>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c r="BJ1284" s="107"/>
      <c r="BK1284" s="107"/>
      <c r="BL1284" s="107"/>
      <c r="BM1284" s="107"/>
      <c r="BN1284" s="107"/>
      <c r="BO1284" s="107"/>
      <c r="BP1284" s="107"/>
      <c r="BQ1284" s="107"/>
      <c r="BR1284" s="107"/>
      <c r="BS1284" s="107"/>
      <c r="BT1284" s="107"/>
      <c r="BU1284" s="107"/>
      <c r="BV1284" s="107"/>
      <c r="BW1284" s="107"/>
      <c r="BX1284" s="107"/>
      <c r="BY1284" s="107"/>
      <c r="BZ1284" s="107"/>
      <c r="CA1284" s="107"/>
      <c r="CB1284" s="107"/>
      <c r="CC1284" s="107"/>
      <c r="CD1284" s="107"/>
      <c r="CE1284" s="107"/>
      <c r="CF1284" s="107"/>
      <c r="CG1284" s="107"/>
      <c r="CH1284" s="107"/>
      <c r="CI1284" s="107"/>
      <c r="CJ1284" s="107"/>
      <c r="CK1284" s="107"/>
      <c r="CL1284" s="107"/>
      <c r="CM1284" s="107"/>
      <c r="CN1284" s="118"/>
      <c r="CO1284" s="119"/>
      <c r="CP1284" s="118"/>
      <c r="CQ1284" s="119"/>
      <c r="CR1284" s="118"/>
      <c r="CS1284" s="119"/>
      <c r="CT1284" s="113"/>
      <c r="CU1284" s="118"/>
      <c r="CV1284" s="99">
        <f t="shared" si="125"/>
        <v>0</v>
      </c>
      <c r="CW1284" s="118"/>
      <c r="CX1284" s="119"/>
      <c r="CY1284" s="119"/>
      <c r="CZ1284" s="119"/>
      <c r="DA1284" s="118"/>
      <c r="DB1284" s="119"/>
      <c r="DC1284" s="111"/>
      <c r="DD1284" s="119"/>
      <c r="DE1284" s="111"/>
      <c r="DF1284" s="269"/>
      <c r="DG1284" s="270"/>
      <c r="DH1284" s="270"/>
      <c r="DI1284" s="270"/>
      <c r="DJ1284" s="270"/>
      <c r="DK1284" s="270"/>
      <c r="DL1284" s="270"/>
      <c r="DM1284" s="270"/>
      <c r="DN1284" s="270"/>
      <c r="DO1284" s="270"/>
      <c r="DP1284" s="270"/>
      <c r="DQ1284" s="270"/>
      <c r="DR1284" s="270"/>
      <c r="DS1284" s="270"/>
      <c r="DT1284" s="270"/>
      <c r="DU1284" s="270"/>
      <c r="DV1284" s="270"/>
      <c r="DW1284" s="270"/>
      <c r="DX1284" s="270"/>
      <c r="DY1284" s="270"/>
      <c r="DZ1284" s="270"/>
      <c r="EA1284" s="270"/>
      <c r="EB1284" s="270"/>
      <c r="EC1284" s="270"/>
      <c r="ED1284" s="270"/>
      <c r="EE1284" s="270"/>
      <c r="EF1284" s="270"/>
      <c r="EG1284" s="270"/>
      <c r="EH1284" s="270"/>
      <c r="EI1284" s="270"/>
      <c r="EJ1284" s="270"/>
      <c r="EK1284" s="270"/>
      <c r="EL1284" s="270"/>
      <c r="EM1284" s="270"/>
      <c r="EN1284" s="270"/>
      <c r="EO1284" s="270"/>
      <c r="EP1284" s="270"/>
      <c r="EQ1284" s="270"/>
      <c r="ER1284" s="270"/>
      <c r="ES1284" s="270"/>
      <c r="ET1284" s="270"/>
      <c r="EU1284" s="270"/>
      <c r="EV1284" s="270"/>
      <c r="EW1284" s="270"/>
      <c r="EX1284" s="270"/>
      <c r="EY1284" s="270"/>
      <c r="EZ1284" s="270"/>
      <c r="FA1284" s="270"/>
      <c r="FB1284" s="270"/>
      <c r="FC1284" s="270"/>
      <c r="FD1284" s="270"/>
      <c r="FE1284" s="270"/>
      <c r="FF1284" s="270"/>
      <c r="FG1284" s="270"/>
      <c r="FH1284" s="270"/>
      <c r="FI1284" s="270"/>
      <c r="FJ1284" s="270"/>
      <c r="FK1284" s="270"/>
      <c r="FL1284" s="270"/>
      <c r="FM1284" s="270"/>
      <c r="FN1284" s="270"/>
      <c r="FO1284" s="270"/>
      <c r="FP1284" s="270"/>
      <c r="FQ1284" s="270"/>
      <c r="FR1284" s="270"/>
      <c r="FS1284" s="270"/>
      <c r="FT1284" s="270"/>
      <c r="FU1284" s="270"/>
      <c r="FV1284" s="270"/>
      <c r="FW1284" s="270"/>
      <c r="FX1284" s="270"/>
      <c r="FY1284" s="270"/>
      <c r="FZ1284" s="270"/>
      <c r="GA1284" s="270"/>
      <c r="GB1284" s="270"/>
      <c r="GC1284" s="270"/>
      <c r="GD1284" s="270"/>
      <c r="GE1284" s="270"/>
      <c r="GF1284" s="270"/>
      <c r="GG1284" s="270"/>
      <c r="GH1284" s="270"/>
      <c r="GI1284" s="270"/>
      <c r="GJ1284" s="270"/>
      <c r="GK1284" s="270"/>
      <c r="GL1284" s="270"/>
      <c r="GM1284" s="270"/>
      <c r="GN1284" s="270"/>
      <c r="GO1284" s="270"/>
      <c r="GP1284" s="270"/>
      <c r="GQ1284" s="270"/>
      <c r="GR1284" s="270"/>
      <c r="GS1284" s="270"/>
      <c r="GT1284" s="270"/>
      <c r="GU1284" s="270"/>
      <c r="GV1284" s="270"/>
      <c r="GW1284" s="270"/>
      <c r="GX1284" s="270"/>
      <c r="GY1284" s="270"/>
      <c r="GZ1284" s="270"/>
      <c r="HA1284" s="270"/>
      <c r="HB1284" s="270"/>
      <c r="HC1284" s="270"/>
      <c r="HD1284" s="270"/>
      <c r="HE1284" s="270"/>
      <c r="HF1284" s="270"/>
      <c r="HG1284" s="270"/>
      <c r="HH1284" s="270"/>
      <c r="HI1284" s="270"/>
      <c r="HJ1284" s="270"/>
      <c r="HK1284" s="270"/>
      <c r="HL1284" s="270"/>
      <c r="HM1284" s="270"/>
      <c r="HN1284" s="270"/>
      <c r="HO1284" s="270"/>
      <c r="HP1284" s="270"/>
      <c r="HQ1284" s="270"/>
      <c r="HR1284" s="270"/>
      <c r="HS1284" s="270"/>
      <c r="HT1284" s="270"/>
      <c r="HU1284" s="270"/>
      <c r="HV1284" s="270"/>
      <c r="HW1284" s="270"/>
      <c r="HX1284" s="270"/>
      <c r="HY1284" s="270"/>
      <c r="HZ1284" s="270"/>
      <c r="IA1284" s="270"/>
      <c r="IB1284" s="270"/>
      <c r="IC1284" s="270"/>
      <c r="ID1284" s="270"/>
      <c r="IE1284" s="270"/>
      <c r="IF1284" s="270"/>
      <c r="IG1284" s="270"/>
      <c r="IH1284" s="270"/>
      <c r="II1284" s="270"/>
      <c r="IJ1284" s="270"/>
      <c r="IK1284" s="270"/>
      <c r="IL1284" s="270"/>
      <c r="IM1284" s="270"/>
      <c r="IN1284" s="270"/>
      <c r="IO1284" s="270"/>
      <c r="IP1284" s="270"/>
      <c r="IQ1284" s="270"/>
      <c r="IR1284" s="270"/>
      <c r="IS1284" s="270"/>
      <c r="IT1284" s="270"/>
      <c r="IU1284" s="270"/>
    </row>
    <row r="1285" spans="1:255" s="42" customFormat="1" ht="22.5" x14ac:dyDescent="0.2">
      <c r="A1285" s="89">
        <v>40691</v>
      </c>
      <c r="B1285" s="106" t="s">
        <v>4386</v>
      </c>
      <c r="C1285" s="106" t="s">
        <v>1574</v>
      </c>
      <c r="D1285" s="90" t="s">
        <v>4264</v>
      </c>
      <c r="E1285" s="90" t="str">
        <f>VLOOKUP(B1285&amp;C1285,Divipola!$C$2:$F$1138,4,FALSE)</f>
        <v>20621</v>
      </c>
      <c r="F1285" s="90"/>
      <c r="G1285" s="129"/>
      <c r="H1285" s="129"/>
      <c r="I1285" s="129"/>
      <c r="J1285" s="129">
        <f>127*5</f>
        <v>635</v>
      </c>
      <c r="K1285" s="129">
        <v>127</v>
      </c>
      <c r="L1285" s="129"/>
      <c r="M1285" s="129">
        <v>127</v>
      </c>
      <c r="N1285" s="129"/>
      <c r="O1285" s="129"/>
      <c r="P1285" s="129"/>
      <c r="Q1285" s="129"/>
      <c r="R1285" s="129"/>
      <c r="S1285" s="129"/>
      <c r="T1285" s="129"/>
      <c r="U1285" s="129"/>
      <c r="V1285" s="129"/>
      <c r="W1285" s="107"/>
      <c r="X1285" s="105"/>
      <c r="Y1285" s="92">
        <f t="shared" si="120"/>
        <v>0</v>
      </c>
      <c r="Z1285" s="92">
        <f t="shared" si="121"/>
        <v>0</v>
      </c>
      <c r="AA1285" s="92">
        <f t="shared" si="122"/>
        <v>0</v>
      </c>
      <c r="AB1285" s="92">
        <f t="shared" si="123"/>
        <v>0</v>
      </c>
      <c r="AC1285" s="92"/>
      <c r="AD1285" s="92">
        <v>0</v>
      </c>
      <c r="AE1285" s="92">
        <f t="shared" si="124"/>
        <v>0</v>
      </c>
      <c r="AF1285" s="93">
        <v>0</v>
      </c>
      <c r="AG1285" s="105"/>
      <c r="AH1285" s="108"/>
      <c r="AI1285" s="102" t="s">
        <v>4346</v>
      </c>
      <c r="AJ1285" s="96" t="s">
        <v>4347</v>
      </c>
      <c r="AK1285" s="97"/>
      <c r="AL1285" s="89" t="s">
        <v>1049</v>
      </c>
      <c r="AM1285" s="112" t="s">
        <v>3530</v>
      </c>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c r="BJ1285" s="107"/>
      <c r="BK1285" s="107"/>
      <c r="BL1285" s="107"/>
      <c r="BM1285" s="107"/>
      <c r="BN1285" s="107"/>
      <c r="BO1285" s="107"/>
      <c r="BP1285" s="107"/>
      <c r="BQ1285" s="107"/>
      <c r="BR1285" s="107"/>
      <c r="BS1285" s="107"/>
      <c r="BT1285" s="107"/>
      <c r="BU1285" s="107"/>
      <c r="BV1285" s="107"/>
      <c r="BW1285" s="107"/>
      <c r="BX1285" s="107"/>
      <c r="BY1285" s="107"/>
      <c r="BZ1285" s="107"/>
      <c r="CA1285" s="107"/>
      <c r="CB1285" s="107"/>
      <c r="CC1285" s="107"/>
      <c r="CD1285" s="107"/>
      <c r="CE1285" s="107"/>
      <c r="CF1285" s="107"/>
      <c r="CG1285" s="107"/>
      <c r="CH1285" s="107"/>
      <c r="CI1285" s="107"/>
      <c r="CJ1285" s="107"/>
      <c r="CK1285" s="107"/>
      <c r="CL1285" s="107"/>
      <c r="CM1285" s="107"/>
      <c r="CN1285" s="118"/>
      <c r="CO1285" s="119"/>
      <c r="CP1285" s="118"/>
      <c r="CQ1285" s="119"/>
      <c r="CR1285" s="118"/>
      <c r="CS1285" s="119"/>
      <c r="CT1285" s="113"/>
      <c r="CU1285" s="118"/>
      <c r="CV1285" s="99">
        <f t="shared" si="125"/>
        <v>0</v>
      </c>
      <c r="CW1285" s="118"/>
      <c r="CX1285" s="119"/>
      <c r="CY1285" s="119"/>
      <c r="CZ1285" s="119"/>
      <c r="DA1285" s="118"/>
      <c r="DB1285" s="119"/>
      <c r="DC1285" s="111"/>
      <c r="DD1285" s="119"/>
      <c r="DE1285" s="111"/>
      <c r="DF1285" s="269"/>
      <c r="DG1285" s="270"/>
      <c r="DH1285" s="270"/>
      <c r="DI1285" s="270"/>
      <c r="DJ1285" s="270"/>
      <c r="DK1285" s="270"/>
      <c r="DL1285" s="270"/>
      <c r="DM1285" s="270"/>
      <c r="DN1285" s="270"/>
      <c r="DO1285" s="270"/>
      <c r="DP1285" s="270"/>
      <c r="DQ1285" s="270"/>
      <c r="DR1285" s="270"/>
      <c r="DS1285" s="270"/>
      <c r="DT1285" s="270"/>
      <c r="DU1285" s="270"/>
      <c r="DV1285" s="270"/>
      <c r="DW1285" s="270"/>
      <c r="DX1285" s="270"/>
      <c r="DY1285" s="270"/>
      <c r="DZ1285" s="270"/>
      <c r="EA1285" s="270"/>
      <c r="EB1285" s="270"/>
      <c r="EC1285" s="270"/>
      <c r="ED1285" s="270"/>
      <c r="EE1285" s="270"/>
      <c r="EF1285" s="270"/>
      <c r="EG1285" s="270"/>
      <c r="EH1285" s="270"/>
      <c r="EI1285" s="270"/>
      <c r="EJ1285" s="270"/>
      <c r="EK1285" s="270"/>
      <c r="EL1285" s="270"/>
      <c r="EM1285" s="270"/>
      <c r="EN1285" s="270"/>
      <c r="EO1285" s="270"/>
      <c r="EP1285" s="270"/>
      <c r="EQ1285" s="270"/>
      <c r="ER1285" s="270"/>
      <c r="ES1285" s="270"/>
      <c r="ET1285" s="270"/>
      <c r="EU1285" s="270"/>
      <c r="EV1285" s="270"/>
      <c r="EW1285" s="270"/>
      <c r="EX1285" s="270"/>
      <c r="EY1285" s="270"/>
      <c r="EZ1285" s="270"/>
      <c r="FA1285" s="270"/>
      <c r="FB1285" s="270"/>
      <c r="FC1285" s="270"/>
      <c r="FD1285" s="270"/>
      <c r="FE1285" s="270"/>
      <c r="FF1285" s="270"/>
      <c r="FG1285" s="270"/>
      <c r="FH1285" s="270"/>
      <c r="FI1285" s="270"/>
      <c r="FJ1285" s="270"/>
      <c r="FK1285" s="270"/>
      <c r="FL1285" s="270"/>
      <c r="FM1285" s="270"/>
      <c r="FN1285" s="270"/>
      <c r="FO1285" s="270"/>
      <c r="FP1285" s="270"/>
      <c r="FQ1285" s="270"/>
      <c r="FR1285" s="270"/>
      <c r="FS1285" s="270"/>
      <c r="FT1285" s="270"/>
      <c r="FU1285" s="270"/>
      <c r="FV1285" s="270"/>
      <c r="FW1285" s="270"/>
      <c r="FX1285" s="270"/>
      <c r="FY1285" s="270"/>
      <c r="FZ1285" s="270"/>
      <c r="GA1285" s="270"/>
      <c r="GB1285" s="270"/>
      <c r="GC1285" s="270"/>
      <c r="GD1285" s="270"/>
      <c r="GE1285" s="270"/>
      <c r="GF1285" s="270"/>
      <c r="GG1285" s="270"/>
      <c r="GH1285" s="270"/>
      <c r="GI1285" s="270"/>
      <c r="GJ1285" s="270"/>
      <c r="GK1285" s="270"/>
      <c r="GL1285" s="270"/>
      <c r="GM1285" s="270"/>
      <c r="GN1285" s="270"/>
      <c r="GO1285" s="270"/>
      <c r="GP1285" s="270"/>
      <c r="GQ1285" s="270"/>
      <c r="GR1285" s="270"/>
      <c r="GS1285" s="270"/>
      <c r="GT1285" s="270"/>
      <c r="GU1285" s="270"/>
      <c r="GV1285" s="270"/>
      <c r="GW1285" s="270"/>
      <c r="GX1285" s="270"/>
      <c r="GY1285" s="270"/>
      <c r="GZ1285" s="270"/>
      <c r="HA1285" s="270"/>
      <c r="HB1285" s="270"/>
      <c r="HC1285" s="270"/>
      <c r="HD1285" s="270"/>
      <c r="HE1285" s="270"/>
      <c r="HF1285" s="270"/>
      <c r="HG1285" s="270"/>
      <c r="HH1285" s="270"/>
      <c r="HI1285" s="270"/>
      <c r="HJ1285" s="270"/>
      <c r="HK1285" s="270"/>
      <c r="HL1285" s="270"/>
      <c r="HM1285" s="270"/>
      <c r="HN1285" s="270"/>
      <c r="HO1285" s="270"/>
      <c r="HP1285" s="270"/>
      <c r="HQ1285" s="270"/>
      <c r="HR1285" s="270"/>
      <c r="HS1285" s="270"/>
      <c r="HT1285" s="270"/>
      <c r="HU1285" s="270"/>
      <c r="HV1285" s="270"/>
      <c r="HW1285" s="270"/>
      <c r="HX1285" s="270"/>
      <c r="HY1285" s="270"/>
      <c r="HZ1285" s="270"/>
      <c r="IA1285" s="270"/>
      <c r="IB1285" s="270"/>
      <c r="IC1285" s="270"/>
      <c r="ID1285" s="270"/>
      <c r="IE1285" s="270"/>
      <c r="IF1285" s="270"/>
      <c r="IG1285" s="270"/>
      <c r="IH1285" s="270"/>
      <c r="II1285" s="270"/>
      <c r="IJ1285" s="270"/>
      <c r="IK1285" s="270"/>
      <c r="IL1285" s="270"/>
      <c r="IM1285" s="270"/>
      <c r="IN1285" s="270"/>
      <c r="IO1285" s="270"/>
      <c r="IP1285" s="270"/>
      <c r="IQ1285" s="270"/>
      <c r="IR1285" s="270"/>
      <c r="IS1285" s="270"/>
      <c r="IT1285" s="270"/>
      <c r="IU1285" s="270"/>
    </row>
    <row r="1286" spans="1:255" s="42" customFormat="1" ht="22.5" x14ac:dyDescent="0.2">
      <c r="A1286" s="89">
        <v>40691</v>
      </c>
      <c r="B1286" s="106" t="s">
        <v>4386</v>
      </c>
      <c r="C1286" s="106" t="s">
        <v>1563</v>
      </c>
      <c r="D1286" s="90" t="s">
        <v>4264</v>
      </c>
      <c r="E1286" s="90" t="str">
        <f>VLOOKUP(B1286&amp;C1286,Divipola!$C$2:$F$1138,4,FALSE)</f>
        <v>20443</v>
      </c>
      <c r="F1286" s="90"/>
      <c r="G1286" s="129"/>
      <c r="H1286" s="129"/>
      <c r="I1286" s="129"/>
      <c r="J1286" s="129">
        <f>210*5</f>
        <v>1050</v>
      </c>
      <c r="K1286" s="129">
        <v>210</v>
      </c>
      <c r="L1286" s="129"/>
      <c r="M1286" s="129">
        <v>210</v>
      </c>
      <c r="N1286" s="129"/>
      <c r="O1286" s="129"/>
      <c r="P1286" s="129"/>
      <c r="Q1286" s="129"/>
      <c r="R1286" s="129"/>
      <c r="S1286" s="129"/>
      <c r="T1286" s="129"/>
      <c r="U1286" s="129"/>
      <c r="V1286" s="129"/>
      <c r="W1286" s="107"/>
      <c r="X1286" s="105"/>
      <c r="Y1286" s="92">
        <f t="shared" si="120"/>
        <v>0</v>
      </c>
      <c r="Z1286" s="92">
        <f t="shared" si="121"/>
        <v>0</v>
      </c>
      <c r="AA1286" s="92">
        <f t="shared" si="122"/>
        <v>0</v>
      </c>
      <c r="AB1286" s="92">
        <f t="shared" si="123"/>
        <v>0</v>
      </c>
      <c r="AC1286" s="92"/>
      <c r="AD1286" s="92">
        <v>0</v>
      </c>
      <c r="AE1286" s="92">
        <f t="shared" si="124"/>
        <v>0</v>
      </c>
      <c r="AF1286" s="93">
        <v>0</v>
      </c>
      <c r="AG1286" s="105"/>
      <c r="AH1286" s="108"/>
      <c r="AI1286" s="102" t="s">
        <v>4346</v>
      </c>
      <c r="AJ1286" s="96" t="s">
        <v>4347</v>
      </c>
      <c r="AK1286" s="97"/>
      <c r="AL1286" s="89" t="s">
        <v>1049</v>
      </c>
      <c r="AM1286" s="112" t="s">
        <v>3530</v>
      </c>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c r="BJ1286" s="107"/>
      <c r="BK1286" s="107"/>
      <c r="BL1286" s="107"/>
      <c r="BM1286" s="107"/>
      <c r="BN1286" s="107"/>
      <c r="BO1286" s="107"/>
      <c r="BP1286" s="107"/>
      <c r="BQ1286" s="107"/>
      <c r="BR1286" s="107"/>
      <c r="BS1286" s="107"/>
      <c r="BT1286" s="107"/>
      <c r="BU1286" s="107"/>
      <c r="BV1286" s="107"/>
      <c r="BW1286" s="107"/>
      <c r="BX1286" s="107"/>
      <c r="BY1286" s="107"/>
      <c r="BZ1286" s="107"/>
      <c r="CA1286" s="107"/>
      <c r="CB1286" s="107"/>
      <c r="CC1286" s="107"/>
      <c r="CD1286" s="107"/>
      <c r="CE1286" s="107"/>
      <c r="CF1286" s="107"/>
      <c r="CG1286" s="107"/>
      <c r="CH1286" s="107"/>
      <c r="CI1286" s="107"/>
      <c r="CJ1286" s="107"/>
      <c r="CK1286" s="107"/>
      <c r="CL1286" s="107"/>
      <c r="CM1286" s="107"/>
      <c r="CN1286" s="118"/>
      <c r="CO1286" s="119"/>
      <c r="CP1286" s="118"/>
      <c r="CQ1286" s="119"/>
      <c r="CR1286" s="118"/>
      <c r="CS1286" s="119"/>
      <c r="CT1286" s="113"/>
      <c r="CU1286" s="118"/>
      <c r="CV1286" s="99">
        <f t="shared" si="125"/>
        <v>0</v>
      </c>
      <c r="CW1286" s="118"/>
      <c r="CX1286" s="119"/>
      <c r="CY1286" s="119"/>
      <c r="CZ1286" s="119"/>
      <c r="DA1286" s="118"/>
      <c r="DB1286" s="119"/>
      <c r="DC1286" s="111"/>
      <c r="DD1286" s="119"/>
      <c r="DE1286" s="111"/>
      <c r="DF1286" s="269"/>
      <c r="DG1286" s="270"/>
      <c r="DH1286" s="270"/>
      <c r="DI1286" s="270"/>
      <c r="DJ1286" s="270"/>
      <c r="DK1286" s="270"/>
      <c r="DL1286" s="270"/>
      <c r="DM1286" s="270"/>
      <c r="DN1286" s="270"/>
      <c r="DO1286" s="270"/>
      <c r="DP1286" s="270"/>
      <c r="DQ1286" s="270"/>
      <c r="DR1286" s="270"/>
      <c r="DS1286" s="270"/>
      <c r="DT1286" s="270"/>
      <c r="DU1286" s="270"/>
      <c r="DV1286" s="270"/>
      <c r="DW1286" s="270"/>
      <c r="DX1286" s="270"/>
      <c r="DY1286" s="270"/>
      <c r="DZ1286" s="270"/>
      <c r="EA1286" s="270"/>
      <c r="EB1286" s="270"/>
      <c r="EC1286" s="270"/>
      <c r="ED1286" s="270"/>
      <c r="EE1286" s="270"/>
      <c r="EF1286" s="270"/>
      <c r="EG1286" s="270"/>
      <c r="EH1286" s="270"/>
      <c r="EI1286" s="270"/>
      <c r="EJ1286" s="270"/>
      <c r="EK1286" s="270"/>
      <c r="EL1286" s="270"/>
      <c r="EM1286" s="270"/>
      <c r="EN1286" s="270"/>
      <c r="EO1286" s="270"/>
      <c r="EP1286" s="270"/>
      <c r="EQ1286" s="270"/>
      <c r="ER1286" s="270"/>
      <c r="ES1286" s="270"/>
      <c r="ET1286" s="270"/>
      <c r="EU1286" s="270"/>
      <c r="EV1286" s="270"/>
      <c r="EW1286" s="270"/>
      <c r="EX1286" s="270"/>
      <c r="EY1286" s="270"/>
      <c r="EZ1286" s="270"/>
      <c r="FA1286" s="270"/>
      <c r="FB1286" s="270"/>
      <c r="FC1286" s="270"/>
      <c r="FD1286" s="270"/>
      <c r="FE1286" s="270"/>
      <c r="FF1286" s="270"/>
      <c r="FG1286" s="270"/>
      <c r="FH1286" s="270"/>
      <c r="FI1286" s="270"/>
      <c r="FJ1286" s="270"/>
      <c r="FK1286" s="270"/>
      <c r="FL1286" s="270"/>
      <c r="FM1286" s="270"/>
      <c r="FN1286" s="270"/>
      <c r="FO1286" s="270"/>
      <c r="FP1286" s="270"/>
      <c r="FQ1286" s="270"/>
      <c r="FR1286" s="270"/>
      <c r="FS1286" s="270"/>
      <c r="FT1286" s="270"/>
      <c r="FU1286" s="270"/>
      <c r="FV1286" s="270"/>
      <c r="FW1286" s="270"/>
      <c r="FX1286" s="270"/>
      <c r="FY1286" s="270"/>
      <c r="FZ1286" s="270"/>
      <c r="GA1286" s="270"/>
      <c r="GB1286" s="270"/>
      <c r="GC1286" s="270"/>
      <c r="GD1286" s="270"/>
      <c r="GE1286" s="270"/>
      <c r="GF1286" s="270"/>
      <c r="GG1286" s="270"/>
      <c r="GH1286" s="270"/>
      <c r="GI1286" s="270"/>
      <c r="GJ1286" s="270"/>
      <c r="GK1286" s="270"/>
      <c r="GL1286" s="270"/>
      <c r="GM1286" s="270"/>
      <c r="GN1286" s="270"/>
      <c r="GO1286" s="270"/>
      <c r="GP1286" s="270"/>
      <c r="GQ1286" s="270"/>
      <c r="GR1286" s="270"/>
      <c r="GS1286" s="270"/>
      <c r="GT1286" s="270"/>
      <c r="GU1286" s="270"/>
      <c r="GV1286" s="270"/>
      <c r="GW1286" s="270"/>
      <c r="GX1286" s="270"/>
      <c r="GY1286" s="270"/>
      <c r="GZ1286" s="270"/>
      <c r="HA1286" s="270"/>
      <c r="HB1286" s="270"/>
      <c r="HC1286" s="270"/>
      <c r="HD1286" s="270"/>
      <c r="HE1286" s="270"/>
      <c r="HF1286" s="270"/>
      <c r="HG1286" s="270"/>
      <c r="HH1286" s="270"/>
      <c r="HI1286" s="270"/>
      <c r="HJ1286" s="270"/>
      <c r="HK1286" s="270"/>
      <c r="HL1286" s="270"/>
      <c r="HM1286" s="270"/>
      <c r="HN1286" s="270"/>
      <c r="HO1286" s="270"/>
      <c r="HP1286" s="270"/>
      <c r="HQ1286" s="270"/>
      <c r="HR1286" s="270"/>
      <c r="HS1286" s="270"/>
      <c r="HT1286" s="270"/>
      <c r="HU1286" s="270"/>
      <c r="HV1286" s="270"/>
      <c r="HW1286" s="270"/>
      <c r="HX1286" s="270"/>
      <c r="HY1286" s="270"/>
      <c r="HZ1286" s="270"/>
      <c r="IA1286" s="270"/>
      <c r="IB1286" s="270"/>
      <c r="IC1286" s="270"/>
      <c r="ID1286" s="270"/>
      <c r="IE1286" s="270"/>
      <c r="IF1286" s="270"/>
      <c r="IG1286" s="270"/>
      <c r="IH1286" s="270"/>
      <c r="II1286" s="270"/>
      <c r="IJ1286" s="270"/>
      <c r="IK1286" s="270"/>
      <c r="IL1286" s="270"/>
      <c r="IM1286" s="270"/>
      <c r="IN1286" s="270"/>
      <c r="IO1286" s="270"/>
      <c r="IP1286" s="270"/>
      <c r="IQ1286" s="270"/>
      <c r="IR1286" s="270"/>
      <c r="IS1286" s="270"/>
      <c r="IT1286" s="270"/>
      <c r="IU1286" s="270"/>
    </row>
    <row r="1287" spans="1:255" s="42" customFormat="1" ht="22.5" x14ac:dyDescent="0.2">
      <c r="A1287" s="89">
        <v>40691</v>
      </c>
      <c r="B1287" s="106" t="s">
        <v>4386</v>
      </c>
      <c r="C1287" s="106" t="s">
        <v>1570</v>
      </c>
      <c r="D1287" s="90" t="s">
        <v>4264</v>
      </c>
      <c r="E1287" s="90" t="str">
        <f>VLOOKUP(B1287&amp;C1287,Divipola!$C$2:$F$1138,4,FALSE)</f>
        <v>20570</v>
      </c>
      <c r="F1287" s="90"/>
      <c r="G1287" s="129"/>
      <c r="H1287" s="129"/>
      <c r="I1287" s="129"/>
      <c r="J1287" s="129">
        <f>180*5</f>
        <v>900</v>
      </c>
      <c r="K1287" s="129">
        <v>180</v>
      </c>
      <c r="L1287" s="129"/>
      <c r="M1287" s="129">
        <v>180</v>
      </c>
      <c r="N1287" s="129"/>
      <c r="O1287" s="129"/>
      <c r="P1287" s="129"/>
      <c r="Q1287" s="129"/>
      <c r="R1287" s="129"/>
      <c r="S1287" s="129"/>
      <c r="T1287" s="129"/>
      <c r="U1287" s="129"/>
      <c r="V1287" s="129"/>
      <c r="W1287" s="107"/>
      <c r="X1287" s="105"/>
      <c r="Y1287" s="92">
        <f t="shared" si="120"/>
        <v>0</v>
      </c>
      <c r="Z1287" s="92">
        <f t="shared" si="121"/>
        <v>0</v>
      </c>
      <c r="AA1287" s="92">
        <f t="shared" si="122"/>
        <v>0</v>
      </c>
      <c r="AB1287" s="92">
        <f t="shared" si="123"/>
        <v>0</v>
      </c>
      <c r="AC1287" s="92"/>
      <c r="AD1287" s="92">
        <v>0</v>
      </c>
      <c r="AE1287" s="92">
        <f t="shared" si="124"/>
        <v>0</v>
      </c>
      <c r="AF1287" s="93">
        <v>0</v>
      </c>
      <c r="AG1287" s="105"/>
      <c r="AH1287" s="108"/>
      <c r="AI1287" s="102" t="s">
        <v>4346</v>
      </c>
      <c r="AJ1287" s="96" t="s">
        <v>4347</v>
      </c>
      <c r="AK1287" s="97"/>
      <c r="AL1287" s="89" t="s">
        <v>1049</v>
      </c>
      <c r="AM1287" s="112" t="s">
        <v>3530</v>
      </c>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c r="BJ1287" s="107"/>
      <c r="BK1287" s="107"/>
      <c r="BL1287" s="107"/>
      <c r="BM1287" s="107"/>
      <c r="BN1287" s="107"/>
      <c r="BO1287" s="107"/>
      <c r="BP1287" s="107"/>
      <c r="BQ1287" s="107"/>
      <c r="BR1287" s="107"/>
      <c r="BS1287" s="107"/>
      <c r="BT1287" s="107"/>
      <c r="BU1287" s="107"/>
      <c r="BV1287" s="107"/>
      <c r="BW1287" s="107"/>
      <c r="BX1287" s="107"/>
      <c r="BY1287" s="107"/>
      <c r="BZ1287" s="107"/>
      <c r="CA1287" s="107"/>
      <c r="CB1287" s="107"/>
      <c r="CC1287" s="107"/>
      <c r="CD1287" s="107"/>
      <c r="CE1287" s="107"/>
      <c r="CF1287" s="107"/>
      <c r="CG1287" s="107"/>
      <c r="CH1287" s="107"/>
      <c r="CI1287" s="107"/>
      <c r="CJ1287" s="107"/>
      <c r="CK1287" s="107"/>
      <c r="CL1287" s="107"/>
      <c r="CM1287" s="107"/>
      <c r="CN1287" s="118"/>
      <c r="CO1287" s="119"/>
      <c r="CP1287" s="118"/>
      <c r="CQ1287" s="119"/>
      <c r="CR1287" s="118"/>
      <c r="CS1287" s="119"/>
      <c r="CT1287" s="113"/>
      <c r="CU1287" s="118"/>
      <c r="CV1287" s="99">
        <f t="shared" si="125"/>
        <v>0</v>
      </c>
      <c r="CW1287" s="118"/>
      <c r="CX1287" s="119"/>
      <c r="CY1287" s="119"/>
      <c r="CZ1287" s="119"/>
      <c r="DA1287" s="118"/>
      <c r="DB1287" s="119"/>
      <c r="DC1287" s="111"/>
      <c r="DD1287" s="119"/>
      <c r="DE1287" s="111"/>
      <c r="DF1287" s="269"/>
      <c r="DG1287" s="270"/>
      <c r="DH1287" s="270"/>
      <c r="DI1287" s="270"/>
      <c r="DJ1287" s="270"/>
      <c r="DK1287" s="270"/>
      <c r="DL1287" s="270"/>
      <c r="DM1287" s="270"/>
      <c r="DN1287" s="270"/>
      <c r="DO1287" s="270"/>
      <c r="DP1287" s="270"/>
      <c r="DQ1287" s="270"/>
      <c r="DR1287" s="270"/>
      <c r="DS1287" s="270"/>
      <c r="DT1287" s="270"/>
      <c r="DU1287" s="270"/>
      <c r="DV1287" s="270"/>
      <c r="DW1287" s="270"/>
      <c r="DX1287" s="270"/>
      <c r="DY1287" s="270"/>
      <c r="DZ1287" s="270"/>
      <c r="EA1287" s="270"/>
      <c r="EB1287" s="270"/>
      <c r="EC1287" s="270"/>
      <c r="ED1287" s="270"/>
      <c r="EE1287" s="270"/>
      <c r="EF1287" s="270"/>
      <c r="EG1287" s="270"/>
      <c r="EH1287" s="270"/>
      <c r="EI1287" s="270"/>
      <c r="EJ1287" s="270"/>
      <c r="EK1287" s="270"/>
      <c r="EL1287" s="270"/>
      <c r="EM1287" s="270"/>
      <c r="EN1287" s="270"/>
      <c r="EO1287" s="270"/>
      <c r="EP1287" s="270"/>
      <c r="EQ1287" s="270"/>
      <c r="ER1287" s="270"/>
      <c r="ES1287" s="270"/>
      <c r="ET1287" s="270"/>
      <c r="EU1287" s="270"/>
      <c r="EV1287" s="270"/>
      <c r="EW1287" s="270"/>
      <c r="EX1287" s="270"/>
      <c r="EY1287" s="270"/>
      <c r="EZ1287" s="270"/>
      <c r="FA1287" s="270"/>
      <c r="FB1287" s="270"/>
      <c r="FC1287" s="270"/>
      <c r="FD1287" s="270"/>
      <c r="FE1287" s="270"/>
      <c r="FF1287" s="270"/>
      <c r="FG1287" s="270"/>
      <c r="FH1287" s="270"/>
      <c r="FI1287" s="270"/>
      <c r="FJ1287" s="270"/>
      <c r="FK1287" s="270"/>
      <c r="FL1287" s="270"/>
      <c r="FM1287" s="270"/>
      <c r="FN1287" s="270"/>
      <c r="FO1287" s="270"/>
      <c r="FP1287" s="270"/>
      <c r="FQ1287" s="270"/>
      <c r="FR1287" s="270"/>
      <c r="FS1287" s="270"/>
      <c r="FT1287" s="270"/>
      <c r="FU1287" s="270"/>
      <c r="FV1287" s="270"/>
      <c r="FW1287" s="270"/>
      <c r="FX1287" s="270"/>
      <c r="FY1287" s="270"/>
      <c r="FZ1287" s="270"/>
      <c r="GA1287" s="270"/>
      <c r="GB1287" s="270"/>
      <c r="GC1287" s="270"/>
      <c r="GD1287" s="270"/>
      <c r="GE1287" s="270"/>
      <c r="GF1287" s="270"/>
      <c r="GG1287" s="270"/>
      <c r="GH1287" s="270"/>
      <c r="GI1287" s="270"/>
      <c r="GJ1287" s="270"/>
      <c r="GK1287" s="270"/>
      <c r="GL1287" s="270"/>
      <c r="GM1287" s="270"/>
      <c r="GN1287" s="270"/>
      <c r="GO1287" s="270"/>
      <c r="GP1287" s="270"/>
      <c r="GQ1287" s="270"/>
      <c r="GR1287" s="270"/>
      <c r="GS1287" s="270"/>
      <c r="GT1287" s="270"/>
      <c r="GU1287" s="270"/>
      <c r="GV1287" s="270"/>
      <c r="GW1287" s="270"/>
      <c r="GX1287" s="270"/>
      <c r="GY1287" s="270"/>
      <c r="GZ1287" s="270"/>
      <c r="HA1287" s="270"/>
      <c r="HB1287" s="270"/>
      <c r="HC1287" s="270"/>
      <c r="HD1287" s="270"/>
      <c r="HE1287" s="270"/>
      <c r="HF1287" s="270"/>
      <c r="HG1287" s="270"/>
      <c r="HH1287" s="270"/>
      <c r="HI1287" s="270"/>
      <c r="HJ1287" s="270"/>
      <c r="HK1287" s="270"/>
      <c r="HL1287" s="270"/>
      <c r="HM1287" s="270"/>
      <c r="HN1287" s="270"/>
      <c r="HO1287" s="270"/>
      <c r="HP1287" s="270"/>
      <c r="HQ1287" s="270"/>
      <c r="HR1287" s="270"/>
      <c r="HS1287" s="270"/>
      <c r="HT1287" s="270"/>
      <c r="HU1287" s="270"/>
      <c r="HV1287" s="270"/>
      <c r="HW1287" s="270"/>
      <c r="HX1287" s="270"/>
      <c r="HY1287" s="270"/>
      <c r="HZ1287" s="270"/>
      <c r="IA1287" s="270"/>
      <c r="IB1287" s="270"/>
      <c r="IC1287" s="270"/>
      <c r="ID1287" s="270"/>
      <c r="IE1287" s="270"/>
      <c r="IF1287" s="270"/>
      <c r="IG1287" s="270"/>
      <c r="IH1287" s="270"/>
      <c r="II1287" s="270"/>
      <c r="IJ1287" s="270"/>
      <c r="IK1287" s="270"/>
      <c r="IL1287" s="270"/>
      <c r="IM1287" s="270"/>
      <c r="IN1287" s="270"/>
      <c r="IO1287" s="270"/>
      <c r="IP1287" s="270"/>
      <c r="IQ1287" s="270"/>
      <c r="IR1287" s="270"/>
      <c r="IS1287" s="270"/>
      <c r="IT1287" s="270"/>
      <c r="IU1287" s="270"/>
    </row>
    <row r="1288" spans="1:255" s="42" customFormat="1" ht="108" x14ac:dyDescent="0.2">
      <c r="A1288" s="89">
        <v>40692</v>
      </c>
      <c r="B1288" s="106" t="s">
        <v>4353</v>
      </c>
      <c r="C1288" s="106" t="s">
        <v>2223</v>
      </c>
      <c r="D1288" s="90" t="s">
        <v>2362</v>
      </c>
      <c r="E1288" s="90" t="str">
        <f>VLOOKUP(B1288&amp;C1288,Divipola!$C$2:$F$1138,4,FALSE)</f>
        <v>85001</v>
      </c>
      <c r="F1288" s="90"/>
      <c r="G1288" s="129"/>
      <c r="H1288" s="129"/>
      <c r="I1288" s="129"/>
      <c r="J1288" s="129">
        <v>250</v>
      </c>
      <c r="K1288" s="129">
        <v>50</v>
      </c>
      <c r="L1288" s="129"/>
      <c r="M1288" s="129"/>
      <c r="N1288" s="129">
        <v>1</v>
      </c>
      <c r="O1288" s="129"/>
      <c r="P1288" s="129"/>
      <c r="Q1288" s="129">
        <v>1</v>
      </c>
      <c r="R1288" s="129"/>
      <c r="S1288" s="129"/>
      <c r="T1288" s="129"/>
      <c r="U1288" s="129"/>
      <c r="V1288" s="129"/>
      <c r="W1288" s="107"/>
      <c r="X1288" s="105"/>
      <c r="Y1288" s="92">
        <f t="shared" si="120"/>
        <v>0</v>
      </c>
      <c r="Z1288" s="92">
        <f t="shared" si="121"/>
        <v>0</v>
      </c>
      <c r="AA1288" s="92">
        <f t="shared" si="122"/>
        <v>0</v>
      </c>
      <c r="AB1288" s="92">
        <f t="shared" si="123"/>
        <v>0</v>
      </c>
      <c r="AC1288" s="92">
        <f>30*2193003.2+3*199189.4</f>
        <v>66387664.20000001</v>
      </c>
      <c r="AD1288" s="92">
        <v>150000000</v>
      </c>
      <c r="AE1288" s="92">
        <f t="shared" si="124"/>
        <v>216387664.20000002</v>
      </c>
      <c r="AF1288" s="93">
        <v>0</v>
      </c>
      <c r="AG1288" s="105"/>
      <c r="AH1288" s="108"/>
      <c r="AI1288" s="109" t="s">
        <v>4346</v>
      </c>
      <c r="AJ1288" s="110" t="s">
        <v>4347</v>
      </c>
      <c r="AK1288" s="111"/>
      <c r="AL1288" s="105"/>
      <c r="AM1288" s="112" t="s">
        <v>23</v>
      </c>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c r="BJ1288" s="107"/>
      <c r="BK1288" s="107"/>
      <c r="BL1288" s="107"/>
      <c r="BM1288" s="107"/>
      <c r="BN1288" s="107"/>
      <c r="BO1288" s="107"/>
      <c r="BP1288" s="107"/>
      <c r="BQ1288" s="107"/>
      <c r="BR1288" s="107"/>
      <c r="BS1288" s="107"/>
      <c r="BT1288" s="107"/>
      <c r="BU1288" s="107"/>
      <c r="BV1288" s="107"/>
      <c r="BW1288" s="107"/>
      <c r="BX1288" s="107"/>
      <c r="BY1288" s="107"/>
      <c r="BZ1288" s="107"/>
      <c r="CA1288" s="107"/>
      <c r="CB1288" s="107"/>
      <c r="CC1288" s="107"/>
      <c r="CD1288" s="107"/>
      <c r="CE1288" s="107"/>
      <c r="CF1288" s="107"/>
      <c r="CG1288" s="107"/>
      <c r="CH1288" s="107"/>
      <c r="CI1288" s="107"/>
      <c r="CJ1288" s="107"/>
      <c r="CK1288" s="107"/>
      <c r="CL1288" s="107"/>
      <c r="CM1288" s="107"/>
      <c r="CN1288" s="118"/>
      <c r="CO1288" s="119"/>
      <c r="CP1288" s="118"/>
      <c r="CQ1288" s="119"/>
      <c r="CR1288" s="118"/>
      <c r="CS1288" s="119"/>
      <c r="CT1288" s="113"/>
      <c r="CU1288" s="118"/>
      <c r="CV1288" s="99">
        <f t="shared" si="125"/>
        <v>0</v>
      </c>
      <c r="CW1288" s="118"/>
      <c r="CX1288" s="119"/>
      <c r="CY1288" s="119"/>
      <c r="CZ1288" s="119"/>
      <c r="DA1288" s="118"/>
      <c r="DB1288" s="119"/>
      <c r="DC1288" s="111"/>
      <c r="DD1288" s="119"/>
      <c r="DE1288" s="111"/>
      <c r="DF1288" s="46"/>
    </row>
    <row r="1289" spans="1:255" s="42" customFormat="1" ht="60" x14ac:dyDescent="0.2">
      <c r="A1289" s="89">
        <v>40692</v>
      </c>
      <c r="B1289" s="106" t="s">
        <v>4348</v>
      </c>
      <c r="C1289" s="106" t="s">
        <v>3303</v>
      </c>
      <c r="D1289" s="90" t="s">
        <v>4340</v>
      </c>
      <c r="E1289" s="90" t="str">
        <f>VLOOKUP(B1289&amp;C1289,Divipola!$C$2:$F$1138,4,FALSE)</f>
        <v>66456</v>
      </c>
      <c r="F1289" s="90"/>
      <c r="G1289" s="129"/>
      <c r="H1289" s="129">
        <v>2</v>
      </c>
      <c r="I1289" s="129"/>
      <c r="J1289" s="129"/>
      <c r="K1289" s="129"/>
      <c r="L1289" s="129"/>
      <c r="M1289" s="129"/>
      <c r="N1289" s="129"/>
      <c r="O1289" s="129"/>
      <c r="P1289" s="129"/>
      <c r="Q1289" s="129"/>
      <c r="R1289" s="129"/>
      <c r="S1289" s="129"/>
      <c r="T1289" s="129"/>
      <c r="U1289" s="129"/>
      <c r="V1289" s="129"/>
      <c r="W1289" s="107"/>
      <c r="X1289" s="105"/>
      <c r="Y1289" s="92">
        <f t="shared" si="120"/>
        <v>0</v>
      </c>
      <c r="Z1289" s="92">
        <f t="shared" si="121"/>
        <v>0</v>
      </c>
      <c r="AA1289" s="92">
        <f t="shared" si="122"/>
        <v>0</v>
      </c>
      <c r="AB1289" s="92">
        <f t="shared" si="123"/>
        <v>0</v>
      </c>
      <c r="AC1289" s="92"/>
      <c r="AD1289" s="92">
        <v>0</v>
      </c>
      <c r="AE1289" s="92">
        <f t="shared" si="124"/>
        <v>0</v>
      </c>
      <c r="AF1289" s="93">
        <v>0</v>
      </c>
      <c r="AG1289" s="105"/>
      <c r="AH1289" s="108"/>
      <c r="AI1289" s="109" t="s">
        <v>4336</v>
      </c>
      <c r="AJ1289" s="110" t="s">
        <v>4337</v>
      </c>
      <c r="AK1289" s="280"/>
      <c r="AL1289" s="281"/>
      <c r="AM1289" s="112" t="s">
        <v>3640</v>
      </c>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c r="BJ1289" s="107"/>
      <c r="BK1289" s="107"/>
      <c r="BL1289" s="107"/>
      <c r="BM1289" s="107"/>
      <c r="BN1289" s="107"/>
      <c r="BO1289" s="107"/>
      <c r="BP1289" s="107"/>
      <c r="BQ1289" s="107"/>
      <c r="BR1289" s="107"/>
      <c r="BS1289" s="107"/>
      <c r="BT1289" s="107"/>
      <c r="BU1289" s="107"/>
      <c r="BV1289" s="107"/>
      <c r="BW1289" s="107"/>
      <c r="BX1289" s="107"/>
      <c r="BY1289" s="107"/>
      <c r="BZ1289" s="107"/>
      <c r="CA1289" s="107"/>
      <c r="CB1289" s="107"/>
      <c r="CC1289" s="107"/>
      <c r="CD1289" s="107"/>
      <c r="CE1289" s="107"/>
      <c r="CF1289" s="107"/>
      <c r="CG1289" s="107"/>
      <c r="CH1289" s="107"/>
      <c r="CI1289" s="107"/>
      <c r="CJ1289" s="107"/>
      <c r="CK1289" s="107"/>
      <c r="CL1289" s="107"/>
      <c r="CM1289" s="107"/>
      <c r="CN1289" s="118"/>
      <c r="CO1289" s="119"/>
      <c r="CP1289" s="118"/>
      <c r="CQ1289" s="119"/>
      <c r="CR1289" s="118"/>
      <c r="CS1289" s="119"/>
      <c r="CT1289" s="113"/>
      <c r="CU1289" s="118"/>
      <c r="CV1289" s="99">
        <f t="shared" si="125"/>
        <v>0</v>
      </c>
      <c r="CW1289" s="118"/>
      <c r="CX1289" s="119"/>
      <c r="CY1289" s="119"/>
      <c r="CZ1289" s="119"/>
      <c r="DA1289" s="118"/>
      <c r="DB1289" s="119"/>
      <c r="DC1289" s="111"/>
      <c r="DD1289" s="119"/>
      <c r="DE1289" s="111"/>
      <c r="DF1289" s="46"/>
    </row>
    <row r="1290" spans="1:255" s="42" customFormat="1" ht="24" x14ac:dyDescent="0.2">
      <c r="A1290" s="89">
        <v>40693</v>
      </c>
      <c r="B1290" s="106" t="s">
        <v>2218</v>
      </c>
      <c r="C1290" s="106" t="s">
        <v>3975</v>
      </c>
      <c r="D1290" s="90" t="s">
        <v>4264</v>
      </c>
      <c r="E1290" s="90" t="str">
        <f>VLOOKUP(B1290&amp;C1290,Divipola!$C$2:$F$1138,4,FALSE)</f>
        <v>05480</v>
      </c>
      <c r="F1290" s="90"/>
      <c r="G1290" s="129"/>
      <c r="H1290" s="129"/>
      <c r="I1290" s="129"/>
      <c r="J1290" s="129">
        <v>54</v>
      </c>
      <c r="K1290" s="129">
        <v>12</v>
      </c>
      <c r="L1290" s="129">
        <v>3</v>
      </c>
      <c r="M1290" s="129">
        <v>9</v>
      </c>
      <c r="N1290" s="129"/>
      <c r="O1290" s="129"/>
      <c r="P1290" s="129"/>
      <c r="Q1290" s="129"/>
      <c r="R1290" s="129"/>
      <c r="S1290" s="129"/>
      <c r="T1290" s="129"/>
      <c r="U1290" s="129"/>
      <c r="V1290" s="129"/>
      <c r="W1290" s="107"/>
      <c r="X1290" s="105"/>
      <c r="Y1290" s="92">
        <f t="shared" si="120"/>
        <v>0</v>
      </c>
      <c r="Z1290" s="92">
        <f t="shared" si="121"/>
        <v>0</v>
      </c>
      <c r="AA1290" s="92">
        <f t="shared" si="122"/>
        <v>0</v>
      </c>
      <c r="AB1290" s="92">
        <f t="shared" si="123"/>
        <v>0</v>
      </c>
      <c r="AC1290" s="92"/>
      <c r="AD1290" s="92">
        <v>0</v>
      </c>
      <c r="AE1290" s="92">
        <f t="shared" si="124"/>
        <v>0</v>
      </c>
      <c r="AF1290" s="93">
        <v>0</v>
      </c>
      <c r="AG1290" s="105"/>
      <c r="AH1290" s="108"/>
      <c r="AI1290" s="109" t="s">
        <v>4336</v>
      </c>
      <c r="AJ1290" s="110" t="s">
        <v>4337</v>
      </c>
      <c r="AK1290" s="280"/>
      <c r="AL1290" s="281"/>
      <c r="AM1290" s="112" t="s">
        <v>3655</v>
      </c>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c r="BJ1290" s="107"/>
      <c r="BK1290" s="107"/>
      <c r="BL1290" s="107"/>
      <c r="BM1290" s="107"/>
      <c r="BN1290" s="107"/>
      <c r="BO1290" s="107"/>
      <c r="BP1290" s="107"/>
      <c r="BQ1290" s="107"/>
      <c r="BR1290" s="107"/>
      <c r="BS1290" s="107"/>
      <c r="BT1290" s="107"/>
      <c r="BU1290" s="107"/>
      <c r="BV1290" s="107"/>
      <c r="BW1290" s="107"/>
      <c r="BX1290" s="107"/>
      <c r="BY1290" s="107"/>
      <c r="BZ1290" s="107"/>
      <c r="CA1290" s="107"/>
      <c r="CB1290" s="107"/>
      <c r="CC1290" s="107"/>
      <c r="CD1290" s="107"/>
      <c r="CE1290" s="107"/>
      <c r="CF1290" s="107"/>
      <c r="CG1290" s="107"/>
      <c r="CH1290" s="107"/>
      <c r="CI1290" s="107"/>
      <c r="CJ1290" s="107"/>
      <c r="CK1290" s="107"/>
      <c r="CL1290" s="107"/>
      <c r="CM1290" s="107"/>
      <c r="CN1290" s="118"/>
      <c r="CO1290" s="119"/>
      <c r="CP1290" s="118"/>
      <c r="CQ1290" s="119"/>
      <c r="CR1290" s="118"/>
      <c r="CS1290" s="119"/>
      <c r="CT1290" s="113"/>
      <c r="CU1290" s="118"/>
      <c r="CV1290" s="99">
        <f t="shared" si="125"/>
        <v>0</v>
      </c>
      <c r="CW1290" s="118"/>
      <c r="CX1290" s="119"/>
      <c r="CY1290" s="119"/>
      <c r="CZ1290" s="119"/>
      <c r="DA1290" s="118"/>
      <c r="DB1290" s="119"/>
      <c r="DC1290" s="111"/>
      <c r="DD1290" s="119"/>
      <c r="DE1290" s="111"/>
      <c r="DF1290" s="269"/>
      <c r="DG1290" s="270"/>
      <c r="DH1290" s="270"/>
      <c r="DI1290" s="270"/>
      <c r="DJ1290" s="270"/>
      <c r="DK1290" s="270"/>
      <c r="DL1290" s="270"/>
      <c r="DM1290" s="270"/>
      <c r="DN1290" s="270"/>
      <c r="DO1290" s="270"/>
      <c r="DP1290" s="270"/>
      <c r="DQ1290" s="270"/>
      <c r="DR1290" s="270"/>
      <c r="DS1290" s="270"/>
      <c r="DT1290" s="270"/>
      <c r="DU1290" s="270"/>
      <c r="DV1290" s="270"/>
      <c r="DW1290" s="270"/>
      <c r="DX1290" s="270"/>
      <c r="DY1290" s="270"/>
      <c r="DZ1290" s="270"/>
      <c r="EA1290" s="270"/>
      <c r="EB1290" s="270"/>
      <c r="EC1290" s="270"/>
      <c r="ED1290" s="270"/>
      <c r="EE1290" s="270"/>
      <c r="EF1290" s="270"/>
      <c r="EG1290" s="270"/>
      <c r="EH1290" s="270"/>
      <c r="EI1290" s="270"/>
      <c r="EJ1290" s="270"/>
      <c r="EK1290" s="270"/>
      <c r="EL1290" s="270"/>
      <c r="EM1290" s="270"/>
      <c r="EN1290" s="270"/>
      <c r="EO1290" s="270"/>
      <c r="EP1290" s="270"/>
      <c r="EQ1290" s="270"/>
      <c r="ER1290" s="270"/>
      <c r="ES1290" s="270"/>
      <c r="ET1290" s="270"/>
      <c r="EU1290" s="270"/>
      <c r="EV1290" s="270"/>
      <c r="EW1290" s="270"/>
      <c r="EX1290" s="270"/>
      <c r="EY1290" s="270"/>
      <c r="EZ1290" s="270"/>
      <c r="FA1290" s="270"/>
      <c r="FB1290" s="270"/>
      <c r="FC1290" s="270"/>
      <c r="FD1290" s="270"/>
      <c r="FE1290" s="270"/>
      <c r="FF1290" s="270"/>
      <c r="FG1290" s="270"/>
      <c r="FH1290" s="270"/>
      <c r="FI1290" s="270"/>
      <c r="FJ1290" s="270"/>
      <c r="FK1290" s="270"/>
      <c r="FL1290" s="270"/>
      <c r="FM1290" s="270"/>
      <c r="FN1290" s="270"/>
      <c r="FO1290" s="270"/>
      <c r="FP1290" s="270"/>
      <c r="FQ1290" s="270"/>
      <c r="FR1290" s="270"/>
      <c r="FS1290" s="270"/>
      <c r="FT1290" s="270"/>
      <c r="FU1290" s="270"/>
      <c r="FV1290" s="270"/>
      <c r="FW1290" s="270"/>
      <c r="FX1290" s="270"/>
      <c r="FY1290" s="270"/>
      <c r="FZ1290" s="270"/>
      <c r="GA1290" s="270"/>
      <c r="GB1290" s="270"/>
      <c r="GC1290" s="270"/>
      <c r="GD1290" s="270"/>
      <c r="GE1290" s="270"/>
      <c r="GF1290" s="270"/>
      <c r="GG1290" s="270"/>
      <c r="GH1290" s="270"/>
      <c r="GI1290" s="270"/>
      <c r="GJ1290" s="270"/>
      <c r="GK1290" s="270"/>
      <c r="GL1290" s="270"/>
      <c r="GM1290" s="270"/>
      <c r="GN1290" s="270"/>
      <c r="GO1290" s="270"/>
      <c r="GP1290" s="270"/>
      <c r="GQ1290" s="270"/>
      <c r="GR1290" s="270"/>
      <c r="GS1290" s="270"/>
      <c r="GT1290" s="270"/>
      <c r="GU1290" s="270"/>
      <c r="GV1290" s="270"/>
      <c r="GW1290" s="270"/>
      <c r="GX1290" s="270"/>
      <c r="GY1290" s="270"/>
      <c r="GZ1290" s="270"/>
      <c r="HA1290" s="270"/>
      <c r="HB1290" s="270"/>
      <c r="HC1290" s="270"/>
      <c r="HD1290" s="270"/>
      <c r="HE1290" s="270"/>
      <c r="HF1290" s="270"/>
      <c r="HG1290" s="270"/>
      <c r="HH1290" s="270"/>
      <c r="HI1290" s="270"/>
      <c r="HJ1290" s="270"/>
      <c r="HK1290" s="270"/>
      <c r="HL1290" s="270"/>
      <c r="HM1290" s="270"/>
      <c r="HN1290" s="270"/>
      <c r="HO1290" s="270"/>
      <c r="HP1290" s="270"/>
      <c r="HQ1290" s="270"/>
      <c r="HR1290" s="270"/>
      <c r="HS1290" s="270"/>
      <c r="HT1290" s="270"/>
      <c r="HU1290" s="270"/>
      <c r="HV1290" s="270"/>
      <c r="HW1290" s="270"/>
      <c r="HX1290" s="270"/>
      <c r="HY1290" s="270"/>
      <c r="HZ1290" s="270"/>
      <c r="IA1290" s="270"/>
      <c r="IB1290" s="270"/>
      <c r="IC1290" s="270"/>
      <c r="ID1290" s="270"/>
      <c r="IE1290" s="270"/>
      <c r="IF1290" s="270"/>
      <c r="IG1290" s="270"/>
      <c r="IH1290" s="270"/>
      <c r="II1290" s="270"/>
      <c r="IJ1290" s="270"/>
      <c r="IK1290" s="270"/>
      <c r="IL1290" s="270"/>
      <c r="IM1290" s="270"/>
      <c r="IN1290" s="270"/>
      <c r="IO1290" s="270"/>
      <c r="IP1290" s="270"/>
      <c r="IQ1290" s="270"/>
      <c r="IR1290" s="270"/>
      <c r="IS1290" s="270"/>
      <c r="IT1290" s="270"/>
      <c r="IU1290" s="270"/>
    </row>
    <row r="1291" spans="1:255" s="42" customFormat="1" ht="48" x14ac:dyDescent="0.2">
      <c r="A1291" s="89">
        <v>40693</v>
      </c>
      <c r="B1291" s="106" t="s">
        <v>3301</v>
      </c>
      <c r="C1291" s="106" t="s">
        <v>3204</v>
      </c>
      <c r="D1291" s="90" t="s">
        <v>4264</v>
      </c>
      <c r="E1291" s="90" t="str">
        <f>VLOOKUP(B1291&amp;C1291,Divipola!$C$2:$F$1138,4,FALSE)</f>
        <v>81220</v>
      </c>
      <c r="F1291" s="90"/>
      <c r="G1291" s="129"/>
      <c r="H1291" s="129"/>
      <c r="I1291" s="129"/>
      <c r="J1291" s="129">
        <v>189</v>
      </c>
      <c r="K1291" s="129">
        <v>38</v>
      </c>
      <c r="L1291" s="129"/>
      <c r="M1291" s="129"/>
      <c r="N1291" s="129"/>
      <c r="O1291" s="129"/>
      <c r="P1291" s="129"/>
      <c r="Q1291" s="129"/>
      <c r="R1291" s="129"/>
      <c r="S1291" s="129"/>
      <c r="T1291" s="129"/>
      <c r="U1291" s="129"/>
      <c r="V1291" s="129"/>
      <c r="W1291" s="107"/>
      <c r="X1291" s="105"/>
      <c r="Y1291" s="92">
        <f t="shared" si="120"/>
        <v>0</v>
      </c>
      <c r="Z1291" s="92">
        <f t="shared" si="121"/>
        <v>0</v>
      </c>
      <c r="AA1291" s="92">
        <f t="shared" si="122"/>
        <v>0</v>
      </c>
      <c r="AB1291" s="92">
        <f t="shared" si="123"/>
        <v>0</v>
      </c>
      <c r="AC1291" s="92"/>
      <c r="AD1291" s="92">
        <v>0</v>
      </c>
      <c r="AE1291" s="92">
        <f t="shared" si="124"/>
        <v>0</v>
      </c>
      <c r="AF1291" s="93">
        <v>0</v>
      </c>
      <c r="AG1291" s="105"/>
      <c r="AH1291" s="108"/>
      <c r="AI1291" s="102" t="s">
        <v>4346</v>
      </c>
      <c r="AJ1291" s="96" t="s">
        <v>4347</v>
      </c>
      <c r="AK1291" s="111"/>
      <c r="AL1291" s="105" t="s">
        <v>931</v>
      </c>
      <c r="AM1291" s="112" t="s">
        <v>923</v>
      </c>
      <c r="AN1291" s="107"/>
      <c r="AO1291" s="107"/>
      <c r="AP1291" s="107"/>
      <c r="AQ1291" s="107"/>
      <c r="AR1291" s="107"/>
      <c r="AS1291" s="107"/>
      <c r="AT1291" s="107"/>
      <c r="AU1291" s="107"/>
      <c r="AV1291" s="107"/>
      <c r="AW1291" s="107"/>
      <c r="AX1291" s="107"/>
      <c r="AY1291" s="107"/>
      <c r="AZ1291" s="107"/>
      <c r="BA1291" s="107"/>
      <c r="BB1291" s="107"/>
      <c r="BC1291" s="107"/>
      <c r="BD1291" s="107"/>
      <c r="BE1291" s="107"/>
      <c r="BF1291" s="107"/>
      <c r="BG1291" s="107"/>
      <c r="BH1291" s="107"/>
      <c r="BI1291" s="107"/>
      <c r="BJ1291" s="107"/>
      <c r="BK1291" s="107"/>
      <c r="BL1291" s="107"/>
      <c r="BM1291" s="107"/>
      <c r="BN1291" s="107"/>
      <c r="BO1291" s="107"/>
      <c r="BP1291" s="107"/>
      <c r="BQ1291" s="107"/>
      <c r="BR1291" s="107"/>
      <c r="BS1291" s="107"/>
      <c r="BT1291" s="107"/>
      <c r="BU1291" s="107"/>
      <c r="BV1291" s="107"/>
      <c r="BW1291" s="107"/>
      <c r="BX1291" s="107"/>
      <c r="BY1291" s="107"/>
      <c r="BZ1291" s="107"/>
      <c r="CA1291" s="107"/>
      <c r="CB1291" s="107"/>
      <c r="CC1291" s="107"/>
      <c r="CD1291" s="107"/>
      <c r="CE1291" s="107"/>
      <c r="CF1291" s="107"/>
      <c r="CG1291" s="107"/>
      <c r="CH1291" s="107"/>
      <c r="CI1291" s="107"/>
      <c r="CJ1291" s="107"/>
      <c r="CK1291" s="107"/>
      <c r="CL1291" s="107"/>
      <c r="CM1291" s="107"/>
      <c r="CN1291" s="118"/>
      <c r="CO1291" s="119"/>
      <c r="CP1291" s="118"/>
      <c r="CQ1291" s="119"/>
      <c r="CR1291" s="118"/>
      <c r="CS1291" s="119"/>
      <c r="CT1291" s="113"/>
      <c r="CU1291" s="118"/>
      <c r="CV1291" s="99">
        <f t="shared" si="125"/>
        <v>0</v>
      </c>
      <c r="CW1291" s="118"/>
      <c r="CX1291" s="119"/>
      <c r="CY1291" s="119"/>
      <c r="CZ1291" s="119"/>
      <c r="DA1291" s="118"/>
      <c r="DB1291" s="119"/>
      <c r="DC1291" s="111"/>
      <c r="DD1291" s="119"/>
      <c r="DE1291" s="111"/>
      <c r="DF1291" s="46"/>
    </row>
    <row r="1292" spans="1:255" s="42" customFormat="1" ht="84" x14ac:dyDescent="0.2">
      <c r="A1292" s="89">
        <v>40693</v>
      </c>
      <c r="B1292" s="106" t="s">
        <v>3301</v>
      </c>
      <c r="C1292" s="106" t="s">
        <v>2254</v>
      </c>
      <c r="D1292" s="90" t="s">
        <v>4264</v>
      </c>
      <c r="E1292" s="90" t="str">
        <f>VLOOKUP(B1292&amp;C1292,Divipola!$C$2:$F$1138,4,FALSE)</f>
        <v>81591</v>
      </c>
      <c r="F1292" s="90"/>
      <c r="G1292" s="129"/>
      <c r="H1292" s="129"/>
      <c r="I1292" s="129"/>
      <c r="J1292" s="129">
        <v>2189</v>
      </c>
      <c r="K1292" s="129">
        <v>653</v>
      </c>
      <c r="L1292" s="129"/>
      <c r="M1292" s="129">
        <v>14</v>
      </c>
      <c r="N1292" s="129"/>
      <c r="O1292" s="129"/>
      <c r="P1292" s="129"/>
      <c r="Q1292" s="129"/>
      <c r="R1292" s="129"/>
      <c r="S1292" s="129"/>
      <c r="T1292" s="129"/>
      <c r="U1292" s="129"/>
      <c r="V1292" s="129"/>
      <c r="W1292" s="107"/>
      <c r="X1292" s="105"/>
      <c r="Y1292" s="92">
        <f t="shared" si="120"/>
        <v>0</v>
      </c>
      <c r="Z1292" s="92">
        <f t="shared" si="121"/>
        <v>0</v>
      </c>
      <c r="AA1292" s="92">
        <f t="shared" si="122"/>
        <v>0</v>
      </c>
      <c r="AB1292" s="92">
        <f t="shared" si="123"/>
        <v>0</v>
      </c>
      <c r="AC1292" s="92"/>
      <c r="AD1292" s="92">
        <v>0</v>
      </c>
      <c r="AE1292" s="92">
        <f t="shared" si="124"/>
        <v>0</v>
      </c>
      <c r="AF1292" s="93">
        <v>0</v>
      </c>
      <c r="AG1292" s="105"/>
      <c r="AH1292" s="108"/>
      <c r="AI1292" s="102" t="s">
        <v>4346</v>
      </c>
      <c r="AJ1292" s="96" t="s">
        <v>4347</v>
      </c>
      <c r="AK1292" s="111"/>
      <c r="AL1292" s="89" t="s">
        <v>2798</v>
      </c>
      <c r="AM1292" s="112" t="s">
        <v>922</v>
      </c>
      <c r="AN1292" s="107"/>
      <c r="AO1292" s="107"/>
      <c r="AP1292" s="107"/>
      <c r="AQ1292" s="107"/>
      <c r="AR1292" s="107"/>
      <c r="AS1292" s="107"/>
      <c r="AT1292" s="107"/>
      <c r="AU1292" s="107"/>
      <c r="AV1292" s="107"/>
      <c r="AW1292" s="107"/>
      <c r="AX1292" s="107"/>
      <c r="AY1292" s="107"/>
      <c r="AZ1292" s="107"/>
      <c r="BA1292" s="107"/>
      <c r="BB1292" s="107"/>
      <c r="BC1292" s="107"/>
      <c r="BD1292" s="107"/>
      <c r="BE1292" s="107"/>
      <c r="BF1292" s="107"/>
      <c r="BG1292" s="107"/>
      <c r="BH1292" s="107"/>
      <c r="BI1292" s="107"/>
      <c r="BJ1292" s="107"/>
      <c r="BK1292" s="107"/>
      <c r="BL1292" s="107"/>
      <c r="BM1292" s="107"/>
      <c r="BN1292" s="107"/>
      <c r="BO1292" s="107"/>
      <c r="BP1292" s="107"/>
      <c r="BQ1292" s="107"/>
      <c r="BR1292" s="107"/>
      <c r="BS1292" s="107"/>
      <c r="BT1292" s="107"/>
      <c r="BU1292" s="107"/>
      <c r="BV1292" s="107"/>
      <c r="BW1292" s="107"/>
      <c r="BX1292" s="107"/>
      <c r="BY1292" s="107"/>
      <c r="BZ1292" s="107"/>
      <c r="CA1292" s="107"/>
      <c r="CB1292" s="107"/>
      <c r="CC1292" s="107"/>
      <c r="CD1292" s="107"/>
      <c r="CE1292" s="107"/>
      <c r="CF1292" s="107"/>
      <c r="CG1292" s="107"/>
      <c r="CH1292" s="107"/>
      <c r="CI1292" s="107"/>
      <c r="CJ1292" s="107"/>
      <c r="CK1292" s="107"/>
      <c r="CL1292" s="107"/>
      <c r="CM1292" s="107"/>
      <c r="CN1292" s="118"/>
      <c r="CO1292" s="119"/>
      <c r="CP1292" s="118"/>
      <c r="CQ1292" s="119"/>
      <c r="CR1292" s="118"/>
      <c r="CS1292" s="119"/>
      <c r="CT1292" s="113"/>
      <c r="CU1292" s="118"/>
      <c r="CV1292" s="99">
        <f t="shared" si="125"/>
        <v>0</v>
      </c>
      <c r="CW1292" s="118"/>
      <c r="CX1292" s="119"/>
      <c r="CY1292" s="119"/>
      <c r="CZ1292" s="119"/>
      <c r="DA1292" s="118"/>
      <c r="DB1292" s="119"/>
      <c r="DC1292" s="111"/>
      <c r="DD1292" s="119"/>
      <c r="DE1292" s="111"/>
      <c r="DF1292" s="46"/>
    </row>
    <row r="1293" spans="1:255" s="42" customFormat="1" x14ac:dyDescent="0.2">
      <c r="A1293" s="89">
        <v>40693</v>
      </c>
      <c r="B1293" s="106" t="s">
        <v>4326</v>
      </c>
      <c r="C1293" s="106" t="s">
        <v>4345</v>
      </c>
      <c r="D1293" s="90" t="s">
        <v>4264</v>
      </c>
      <c r="E1293" s="90">
        <f>VLOOKUP(B1293&amp;C1293,Divipola!$C$2:$F$1138,4,FALSE)</f>
        <v>8</v>
      </c>
      <c r="F1293" s="90"/>
      <c r="G1293" s="129"/>
      <c r="H1293" s="129"/>
      <c r="I1293" s="129"/>
      <c r="J1293" s="129"/>
      <c r="K1293" s="129"/>
      <c r="L1293" s="129"/>
      <c r="M1293" s="129"/>
      <c r="N1293" s="129"/>
      <c r="O1293" s="129"/>
      <c r="P1293" s="129"/>
      <c r="Q1293" s="129"/>
      <c r="R1293" s="129"/>
      <c r="S1293" s="129"/>
      <c r="T1293" s="129"/>
      <c r="U1293" s="129"/>
      <c r="V1293" s="129"/>
      <c r="W1293" s="107"/>
      <c r="X1293" s="105"/>
      <c r="Y1293" s="92">
        <f t="shared" si="120"/>
        <v>0</v>
      </c>
      <c r="Z1293" s="92">
        <f t="shared" si="121"/>
        <v>0</v>
      </c>
      <c r="AA1293" s="92">
        <f t="shared" si="122"/>
        <v>75292480</v>
      </c>
      <c r="AB1293" s="92">
        <f t="shared" si="123"/>
        <v>0</v>
      </c>
      <c r="AC1293" s="92"/>
      <c r="AD1293" s="92">
        <v>0</v>
      </c>
      <c r="AE1293" s="92">
        <f t="shared" si="124"/>
        <v>75292480</v>
      </c>
      <c r="AF1293" s="93">
        <v>0</v>
      </c>
      <c r="AG1293" s="105"/>
      <c r="AH1293" s="108"/>
      <c r="AI1293" s="109" t="s">
        <v>4346</v>
      </c>
      <c r="AJ1293" s="110" t="s">
        <v>4347</v>
      </c>
      <c r="AK1293" s="111"/>
      <c r="AL1293" s="105"/>
      <c r="AM1293" s="112"/>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c r="BJ1293" s="107"/>
      <c r="BK1293" s="107"/>
      <c r="BL1293" s="107"/>
      <c r="BM1293" s="107"/>
      <c r="BN1293" s="107"/>
      <c r="BO1293" s="107"/>
      <c r="BP1293" s="107"/>
      <c r="BQ1293" s="107"/>
      <c r="BR1293" s="107"/>
      <c r="BS1293" s="107"/>
      <c r="BT1293" s="107"/>
      <c r="BU1293" s="107"/>
      <c r="BV1293" s="107"/>
      <c r="BW1293" s="107"/>
      <c r="BX1293" s="107"/>
      <c r="BY1293" s="107"/>
      <c r="BZ1293" s="107"/>
      <c r="CA1293" s="107"/>
      <c r="CB1293" s="107"/>
      <c r="CC1293" s="107"/>
      <c r="CD1293" s="107"/>
      <c r="CE1293" s="107"/>
      <c r="CF1293" s="107"/>
      <c r="CG1293" s="107"/>
      <c r="CH1293" s="107"/>
      <c r="CI1293" s="107"/>
      <c r="CJ1293" s="107"/>
      <c r="CK1293" s="107"/>
      <c r="CL1293" s="107"/>
      <c r="CM1293" s="107"/>
      <c r="CN1293" s="118"/>
      <c r="CO1293" s="119"/>
      <c r="CP1293" s="118"/>
      <c r="CQ1293" s="119"/>
      <c r="CR1293" s="118"/>
      <c r="CS1293" s="119"/>
      <c r="CT1293" s="113"/>
      <c r="CU1293" s="118"/>
      <c r="CV1293" s="99">
        <f t="shared" si="125"/>
        <v>0</v>
      </c>
      <c r="CW1293" s="118"/>
      <c r="CX1293" s="119"/>
      <c r="CY1293" s="119"/>
      <c r="CZ1293" s="119"/>
      <c r="DA1293" s="118"/>
      <c r="DB1293" s="119"/>
      <c r="DC1293" s="111">
        <v>2200</v>
      </c>
      <c r="DD1293" s="119">
        <f>400*26000+800*32000+800*36000+200*32000+11760*348</f>
        <v>75292480</v>
      </c>
      <c r="DE1293" s="111"/>
      <c r="DF1293" s="46"/>
    </row>
    <row r="1294" spans="1:255" s="42" customFormat="1" ht="72" x14ac:dyDescent="0.2">
      <c r="A1294" s="89">
        <v>40693</v>
      </c>
      <c r="B1294" s="106" t="s">
        <v>4326</v>
      </c>
      <c r="C1294" s="106" t="s">
        <v>4239</v>
      </c>
      <c r="D1294" s="106" t="s">
        <v>3346</v>
      </c>
      <c r="E1294" s="90" t="str">
        <f>VLOOKUP(B1294&amp;C1294,Divipola!$C$2:$F$1138,4,FALSE)</f>
        <v>08758</v>
      </c>
      <c r="F1294" s="90"/>
      <c r="G1294" s="279"/>
      <c r="H1294" s="279"/>
      <c r="I1294" s="279"/>
      <c r="J1294" s="129">
        <f>128*5</f>
        <v>640</v>
      </c>
      <c r="K1294" s="129">
        <v>128</v>
      </c>
      <c r="L1294" s="129"/>
      <c r="M1294" s="129">
        <v>128</v>
      </c>
      <c r="N1294" s="129"/>
      <c r="O1294" s="129"/>
      <c r="P1294" s="129"/>
      <c r="Q1294" s="129"/>
      <c r="R1294" s="129"/>
      <c r="S1294" s="129"/>
      <c r="T1294" s="129"/>
      <c r="U1294" s="129"/>
      <c r="V1294" s="129"/>
      <c r="W1294" s="107"/>
      <c r="X1294" s="105"/>
      <c r="Y1294" s="92">
        <f t="shared" si="120"/>
        <v>0</v>
      </c>
      <c r="Z1294" s="92">
        <f t="shared" si="121"/>
        <v>0</v>
      </c>
      <c r="AA1294" s="92">
        <f t="shared" si="122"/>
        <v>42312416</v>
      </c>
      <c r="AB1294" s="92">
        <f t="shared" si="123"/>
        <v>0</v>
      </c>
      <c r="AC1294" s="92"/>
      <c r="AD1294" s="92">
        <v>0</v>
      </c>
      <c r="AE1294" s="92">
        <f t="shared" si="124"/>
        <v>42312416</v>
      </c>
      <c r="AF1294" s="93">
        <v>0</v>
      </c>
      <c r="AG1294" s="105"/>
      <c r="AH1294" s="108"/>
      <c r="AI1294" s="109" t="s">
        <v>4346</v>
      </c>
      <c r="AJ1294" s="110" t="s">
        <v>4347</v>
      </c>
      <c r="AK1294" s="131"/>
      <c r="AL1294" s="281"/>
      <c r="AM1294" s="132" t="s">
        <v>2783</v>
      </c>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c r="BJ1294" s="107"/>
      <c r="BK1294" s="107"/>
      <c r="BL1294" s="107"/>
      <c r="BM1294" s="107"/>
      <c r="BN1294" s="107"/>
      <c r="BO1294" s="107"/>
      <c r="BP1294" s="107"/>
      <c r="BQ1294" s="107"/>
      <c r="BR1294" s="107"/>
      <c r="BS1294" s="107"/>
      <c r="BT1294" s="107"/>
      <c r="BU1294" s="107"/>
      <c r="BV1294" s="107"/>
      <c r="BW1294" s="107"/>
      <c r="BX1294" s="107"/>
      <c r="BY1294" s="107"/>
      <c r="BZ1294" s="107"/>
      <c r="CA1294" s="107"/>
      <c r="CB1294" s="107"/>
      <c r="CC1294" s="107"/>
      <c r="CD1294" s="107"/>
      <c r="CE1294" s="107"/>
      <c r="CF1294" s="107"/>
      <c r="CG1294" s="107"/>
      <c r="CH1294" s="107"/>
      <c r="CI1294" s="107"/>
      <c r="CJ1294" s="107"/>
      <c r="CK1294" s="107"/>
      <c r="CL1294" s="107"/>
      <c r="CM1294" s="107"/>
      <c r="CN1294" s="118"/>
      <c r="CO1294" s="119"/>
      <c r="CP1294" s="118"/>
      <c r="CQ1294" s="119"/>
      <c r="CR1294" s="118"/>
      <c r="CS1294" s="119"/>
      <c r="CT1294" s="113"/>
      <c r="CU1294" s="118"/>
      <c r="CV1294" s="99">
        <f t="shared" si="125"/>
        <v>0</v>
      </c>
      <c r="CW1294" s="118"/>
      <c r="CX1294" s="119"/>
      <c r="CY1294" s="119"/>
      <c r="CZ1294" s="119"/>
      <c r="DA1294" s="118"/>
      <c r="DB1294" s="119"/>
      <c r="DC1294" s="111">
        <v>1182</v>
      </c>
      <c r="DD1294" s="119">
        <f>33*26000+290*32000+659*36000+200*32000+5892*348</f>
        <v>42312416</v>
      </c>
      <c r="DE1294" s="111"/>
      <c r="DF1294" s="46"/>
    </row>
    <row r="1295" spans="1:255" s="42" customFormat="1" ht="48" x14ac:dyDescent="0.2">
      <c r="A1295" s="89">
        <v>40693</v>
      </c>
      <c r="B1295" s="106" t="s">
        <v>4296</v>
      </c>
      <c r="C1295" s="106" t="s">
        <v>4378</v>
      </c>
      <c r="D1295" s="90" t="s">
        <v>4264</v>
      </c>
      <c r="E1295" s="90" t="str">
        <f>VLOOKUP(B1295&amp;C1295,Divipola!$C$2:$F$1138,4,FALSE)</f>
        <v>19533</v>
      </c>
      <c r="F1295" s="90"/>
      <c r="G1295" s="129"/>
      <c r="H1295" s="129"/>
      <c r="I1295" s="129"/>
      <c r="J1295" s="129">
        <v>65</v>
      </c>
      <c r="K1295" s="129">
        <v>13</v>
      </c>
      <c r="L1295" s="129">
        <v>13</v>
      </c>
      <c r="M1295" s="129"/>
      <c r="N1295" s="129"/>
      <c r="O1295" s="129"/>
      <c r="P1295" s="129"/>
      <c r="Q1295" s="129"/>
      <c r="R1295" s="129"/>
      <c r="S1295" s="129"/>
      <c r="T1295" s="129"/>
      <c r="U1295" s="129"/>
      <c r="V1295" s="129"/>
      <c r="W1295" s="107"/>
      <c r="X1295" s="105"/>
      <c r="Y1295" s="92">
        <f t="shared" si="120"/>
        <v>0</v>
      </c>
      <c r="Z1295" s="92">
        <f t="shared" si="121"/>
        <v>0</v>
      </c>
      <c r="AA1295" s="92">
        <f t="shared" si="122"/>
        <v>0</v>
      </c>
      <c r="AB1295" s="92">
        <f t="shared" si="123"/>
        <v>0</v>
      </c>
      <c r="AC1295" s="92"/>
      <c r="AD1295" s="92">
        <v>0</v>
      </c>
      <c r="AE1295" s="92">
        <f t="shared" si="124"/>
        <v>0</v>
      </c>
      <c r="AF1295" s="93">
        <v>0</v>
      </c>
      <c r="AG1295" s="105"/>
      <c r="AH1295" s="108"/>
      <c r="AI1295" s="102" t="s">
        <v>4336</v>
      </c>
      <c r="AJ1295" s="96" t="s">
        <v>4337</v>
      </c>
      <c r="AK1295" s="280"/>
      <c r="AL1295" s="281"/>
      <c r="AM1295" s="112" t="s">
        <v>907</v>
      </c>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c r="BJ1295" s="107"/>
      <c r="BK1295" s="107"/>
      <c r="BL1295" s="107"/>
      <c r="BM1295" s="107"/>
      <c r="BN1295" s="107"/>
      <c r="BO1295" s="107"/>
      <c r="BP1295" s="107"/>
      <c r="BQ1295" s="107"/>
      <c r="BR1295" s="107"/>
      <c r="BS1295" s="107"/>
      <c r="BT1295" s="107"/>
      <c r="BU1295" s="107"/>
      <c r="BV1295" s="107"/>
      <c r="BW1295" s="107"/>
      <c r="BX1295" s="107"/>
      <c r="BY1295" s="107"/>
      <c r="BZ1295" s="107"/>
      <c r="CA1295" s="107"/>
      <c r="CB1295" s="107"/>
      <c r="CC1295" s="107"/>
      <c r="CD1295" s="107"/>
      <c r="CE1295" s="107"/>
      <c r="CF1295" s="107"/>
      <c r="CG1295" s="107"/>
      <c r="CH1295" s="107"/>
      <c r="CI1295" s="107"/>
      <c r="CJ1295" s="107"/>
      <c r="CK1295" s="107"/>
      <c r="CL1295" s="107"/>
      <c r="CM1295" s="107"/>
      <c r="CN1295" s="118"/>
      <c r="CO1295" s="119"/>
      <c r="CP1295" s="118"/>
      <c r="CQ1295" s="119"/>
      <c r="CR1295" s="118"/>
      <c r="CS1295" s="119"/>
      <c r="CT1295" s="113"/>
      <c r="CU1295" s="118"/>
      <c r="CV1295" s="99">
        <f t="shared" si="125"/>
        <v>0</v>
      </c>
      <c r="CW1295" s="118"/>
      <c r="CX1295" s="119"/>
      <c r="CY1295" s="119"/>
      <c r="CZ1295" s="119"/>
      <c r="DA1295" s="118"/>
      <c r="DB1295" s="119"/>
      <c r="DC1295" s="111"/>
      <c r="DD1295" s="119"/>
      <c r="DE1295" s="111"/>
      <c r="DF1295" s="46"/>
    </row>
    <row r="1296" spans="1:255" s="42" customFormat="1" ht="36" x14ac:dyDescent="0.2">
      <c r="A1296" s="89">
        <v>40693</v>
      </c>
      <c r="B1296" s="106" t="s">
        <v>2225</v>
      </c>
      <c r="C1296" s="106" t="s">
        <v>2205</v>
      </c>
      <c r="D1296" s="90" t="s">
        <v>4264</v>
      </c>
      <c r="E1296" s="90" t="str">
        <f>VLOOKUP(B1296&amp;C1296,Divipola!$C$2:$F$1138,4,FALSE)</f>
        <v>27001</v>
      </c>
      <c r="F1296" s="90"/>
      <c r="G1296" s="279"/>
      <c r="H1296" s="279"/>
      <c r="I1296" s="279"/>
      <c r="J1296" s="129">
        <v>27</v>
      </c>
      <c r="K1296" s="129">
        <v>5</v>
      </c>
      <c r="L1296" s="129"/>
      <c r="M1296" s="129">
        <v>5</v>
      </c>
      <c r="N1296" s="129"/>
      <c r="O1296" s="129"/>
      <c r="P1296" s="129"/>
      <c r="Q1296" s="129"/>
      <c r="R1296" s="129"/>
      <c r="S1296" s="129"/>
      <c r="T1296" s="129"/>
      <c r="U1296" s="129"/>
      <c r="V1296" s="129"/>
      <c r="W1296" s="107"/>
      <c r="X1296" s="105"/>
      <c r="Y1296" s="92">
        <f t="shared" si="120"/>
        <v>0</v>
      </c>
      <c r="Z1296" s="92">
        <f t="shared" si="121"/>
        <v>0</v>
      </c>
      <c r="AA1296" s="92">
        <f t="shared" si="122"/>
        <v>0</v>
      </c>
      <c r="AB1296" s="92">
        <f t="shared" si="123"/>
        <v>0</v>
      </c>
      <c r="AC1296" s="92"/>
      <c r="AD1296" s="92">
        <v>0</v>
      </c>
      <c r="AE1296" s="92">
        <f t="shared" si="124"/>
        <v>0</v>
      </c>
      <c r="AF1296" s="93">
        <v>0</v>
      </c>
      <c r="AG1296" s="105"/>
      <c r="AH1296" s="108"/>
      <c r="AI1296" s="109" t="s">
        <v>4336</v>
      </c>
      <c r="AJ1296" s="110" t="s">
        <v>4337</v>
      </c>
      <c r="AK1296" s="280"/>
      <c r="AL1296" s="281"/>
      <c r="AM1296" s="132" t="s">
        <v>3642</v>
      </c>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c r="BJ1296" s="107"/>
      <c r="BK1296" s="107"/>
      <c r="BL1296" s="107"/>
      <c r="BM1296" s="107"/>
      <c r="BN1296" s="107"/>
      <c r="BO1296" s="107"/>
      <c r="BP1296" s="107"/>
      <c r="BQ1296" s="107"/>
      <c r="BR1296" s="107"/>
      <c r="BS1296" s="107"/>
      <c r="BT1296" s="107"/>
      <c r="BU1296" s="107"/>
      <c r="BV1296" s="107"/>
      <c r="BW1296" s="107"/>
      <c r="BX1296" s="107"/>
      <c r="BY1296" s="107"/>
      <c r="BZ1296" s="107"/>
      <c r="CA1296" s="107"/>
      <c r="CB1296" s="107"/>
      <c r="CC1296" s="107"/>
      <c r="CD1296" s="107"/>
      <c r="CE1296" s="107"/>
      <c r="CF1296" s="107"/>
      <c r="CG1296" s="107"/>
      <c r="CH1296" s="107"/>
      <c r="CI1296" s="107"/>
      <c r="CJ1296" s="107"/>
      <c r="CK1296" s="107"/>
      <c r="CL1296" s="107"/>
      <c r="CM1296" s="107"/>
      <c r="CN1296" s="118"/>
      <c r="CO1296" s="119"/>
      <c r="CP1296" s="118"/>
      <c r="CQ1296" s="119"/>
      <c r="CR1296" s="118"/>
      <c r="CS1296" s="119"/>
      <c r="CT1296" s="113"/>
      <c r="CU1296" s="118"/>
      <c r="CV1296" s="99">
        <f t="shared" si="125"/>
        <v>0</v>
      </c>
      <c r="CW1296" s="118"/>
      <c r="CX1296" s="119"/>
      <c r="CY1296" s="119"/>
      <c r="CZ1296" s="119"/>
      <c r="DA1296" s="118"/>
      <c r="DB1296" s="119"/>
      <c r="DC1296" s="111"/>
      <c r="DD1296" s="119"/>
      <c r="DE1296" s="111"/>
      <c r="DF1296" s="46"/>
    </row>
    <row r="1297" spans="1:110" s="42" customFormat="1" ht="48" x14ac:dyDescent="0.2">
      <c r="A1297" s="89">
        <v>40693</v>
      </c>
      <c r="B1297" s="90" t="s">
        <v>4282</v>
      </c>
      <c r="C1297" s="90" t="s">
        <v>2203</v>
      </c>
      <c r="D1297" s="90" t="s">
        <v>4264</v>
      </c>
      <c r="E1297" s="90" t="str">
        <f>VLOOKUP(B1297&amp;C1297,Divipola!$C$2:$F$1138,4,FALSE)</f>
        <v>23079</v>
      </c>
      <c r="F1297" s="101"/>
      <c r="G1297" s="101"/>
      <c r="H1297" s="101"/>
      <c r="I1297" s="101"/>
      <c r="J1297" s="101">
        <v>1930</v>
      </c>
      <c r="K1297" s="101">
        <v>386</v>
      </c>
      <c r="L1297" s="101"/>
      <c r="M1297" s="101">
        <v>386</v>
      </c>
      <c r="N1297" s="101"/>
      <c r="O1297" s="101"/>
      <c r="P1297" s="101"/>
      <c r="Q1297" s="101"/>
      <c r="R1297" s="101"/>
      <c r="S1297" s="91"/>
      <c r="T1297" s="89"/>
      <c r="U1297" s="92"/>
      <c r="V1297" s="92"/>
      <c r="W1297" s="92"/>
      <c r="X1297" s="92"/>
      <c r="Y1297" s="92">
        <f t="shared" si="120"/>
        <v>0</v>
      </c>
      <c r="Z1297" s="92">
        <f t="shared" si="121"/>
        <v>0</v>
      </c>
      <c r="AA1297" s="92">
        <f t="shared" si="122"/>
        <v>0</v>
      </c>
      <c r="AB1297" s="93">
        <f t="shared" si="123"/>
        <v>0</v>
      </c>
      <c r="AC1297" s="92"/>
      <c r="AD1297" s="92">
        <v>0</v>
      </c>
      <c r="AE1297" s="92">
        <f t="shared" si="124"/>
        <v>0</v>
      </c>
      <c r="AF1297" s="93">
        <v>0</v>
      </c>
      <c r="AG1297" s="102"/>
      <c r="AH1297" s="96"/>
      <c r="AI1297" s="109" t="s">
        <v>4336</v>
      </c>
      <c r="AJ1297" s="110" t="s">
        <v>4337</v>
      </c>
      <c r="AK1297" s="112"/>
      <c r="AL1297" s="281"/>
      <c r="AM1297" s="112" t="s">
        <v>1947</v>
      </c>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c r="BJ1297" s="107"/>
      <c r="BK1297" s="107"/>
      <c r="BL1297" s="107"/>
      <c r="BM1297" s="107"/>
      <c r="BN1297" s="107"/>
      <c r="BO1297" s="107"/>
      <c r="BP1297" s="107"/>
      <c r="BQ1297" s="107"/>
      <c r="BR1297" s="107"/>
      <c r="BS1297" s="107"/>
      <c r="BT1297" s="107"/>
      <c r="BU1297" s="107"/>
      <c r="BV1297" s="107"/>
      <c r="BW1297" s="107"/>
      <c r="BX1297" s="107"/>
      <c r="BY1297" s="107"/>
      <c r="BZ1297" s="107"/>
      <c r="CA1297" s="107"/>
      <c r="CB1297" s="107"/>
      <c r="CC1297" s="107"/>
      <c r="CD1297" s="107"/>
      <c r="CE1297" s="107"/>
      <c r="CF1297" s="107"/>
      <c r="CG1297" s="107"/>
      <c r="CH1297" s="107"/>
      <c r="CI1297" s="107"/>
      <c r="CJ1297" s="107"/>
      <c r="CK1297" s="107"/>
      <c r="CL1297" s="107"/>
      <c r="CM1297" s="107"/>
      <c r="CN1297" s="118"/>
      <c r="CO1297" s="119"/>
      <c r="CP1297" s="118"/>
      <c r="CQ1297" s="119"/>
      <c r="CR1297" s="118"/>
      <c r="CS1297" s="119"/>
      <c r="CT1297" s="113"/>
      <c r="CU1297" s="118"/>
      <c r="CV1297" s="99">
        <f t="shared" si="125"/>
        <v>0</v>
      </c>
      <c r="CW1297" s="118"/>
      <c r="CX1297" s="119"/>
      <c r="CY1297" s="119"/>
      <c r="CZ1297" s="119"/>
      <c r="DA1297" s="118"/>
      <c r="DB1297" s="119"/>
      <c r="DC1297" s="111"/>
      <c r="DD1297" s="119"/>
      <c r="DE1297" s="111"/>
      <c r="DF1297" s="46"/>
    </row>
    <row r="1298" spans="1:110" s="42" customFormat="1" ht="48" x14ac:dyDescent="0.2">
      <c r="A1298" s="89">
        <v>40693</v>
      </c>
      <c r="B1298" s="106" t="s">
        <v>4387</v>
      </c>
      <c r="C1298" s="106" t="s">
        <v>439</v>
      </c>
      <c r="D1298" s="90" t="s">
        <v>2362</v>
      </c>
      <c r="E1298" s="90" t="str">
        <f>VLOOKUP(B1298&amp;C1298,Divipola!$C$2:$F$1138,4,FALSE)</f>
        <v>52022</v>
      </c>
      <c r="F1298" s="90"/>
      <c r="G1298" s="129"/>
      <c r="H1298" s="129"/>
      <c r="I1298" s="129"/>
      <c r="J1298" s="129"/>
      <c r="K1298" s="129"/>
      <c r="L1298" s="129"/>
      <c r="M1298" s="129"/>
      <c r="N1298" s="129">
        <v>3</v>
      </c>
      <c r="O1298" s="129"/>
      <c r="P1298" s="129"/>
      <c r="Q1298" s="129"/>
      <c r="R1298" s="129"/>
      <c r="S1298" s="129"/>
      <c r="T1298" s="129">
        <v>1</v>
      </c>
      <c r="U1298" s="129"/>
      <c r="V1298" s="129"/>
      <c r="W1298" s="107" t="s">
        <v>2902</v>
      </c>
      <c r="X1298" s="105"/>
      <c r="Y1298" s="92">
        <f t="shared" si="120"/>
        <v>0</v>
      </c>
      <c r="Z1298" s="92">
        <f t="shared" si="121"/>
        <v>0</v>
      </c>
      <c r="AA1298" s="92">
        <f t="shared" si="122"/>
        <v>0</v>
      </c>
      <c r="AB1298" s="92">
        <f t="shared" si="123"/>
        <v>0</v>
      </c>
      <c r="AC1298" s="92"/>
      <c r="AD1298" s="92">
        <v>0</v>
      </c>
      <c r="AE1298" s="92">
        <f t="shared" si="124"/>
        <v>0</v>
      </c>
      <c r="AF1298" s="93">
        <v>0</v>
      </c>
      <c r="AG1298" s="105"/>
      <c r="AH1298" s="108"/>
      <c r="AI1298" s="109" t="s">
        <v>4336</v>
      </c>
      <c r="AJ1298" s="110" t="s">
        <v>4337</v>
      </c>
      <c r="AK1298" s="111"/>
      <c r="AL1298" s="105" t="s">
        <v>1069</v>
      </c>
      <c r="AM1298" s="112" t="s">
        <v>97</v>
      </c>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c r="BJ1298" s="107"/>
      <c r="BK1298" s="107"/>
      <c r="BL1298" s="107"/>
      <c r="BM1298" s="107"/>
      <c r="BN1298" s="107"/>
      <c r="BO1298" s="107"/>
      <c r="BP1298" s="107"/>
      <c r="BQ1298" s="107"/>
      <c r="BR1298" s="107"/>
      <c r="BS1298" s="107"/>
      <c r="BT1298" s="107"/>
      <c r="BU1298" s="107"/>
      <c r="BV1298" s="107"/>
      <c r="BW1298" s="107"/>
      <c r="BX1298" s="107"/>
      <c r="BY1298" s="107"/>
      <c r="BZ1298" s="107"/>
      <c r="CA1298" s="107"/>
      <c r="CB1298" s="107"/>
      <c r="CC1298" s="107"/>
      <c r="CD1298" s="107"/>
      <c r="CE1298" s="107"/>
      <c r="CF1298" s="107"/>
      <c r="CG1298" s="107"/>
      <c r="CH1298" s="107"/>
      <c r="CI1298" s="107"/>
      <c r="CJ1298" s="107"/>
      <c r="CK1298" s="107"/>
      <c r="CL1298" s="107"/>
      <c r="CM1298" s="107"/>
      <c r="CN1298" s="118"/>
      <c r="CO1298" s="119"/>
      <c r="CP1298" s="118"/>
      <c r="CQ1298" s="119"/>
      <c r="CR1298" s="118"/>
      <c r="CS1298" s="119"/>
      <c r="CT1298" s="113"/>
      <c r="CU1298" s="118"/>
      <c r="CV1298" s="99">
        <f t="shared" si="125"/>
        <v>0</v>
      </c>
      <c r="CW1298" s="118"/>
      <c r="CX1298" s="119"/>
      <c r="CY1298" s="119"/>
      <c r="CZ1298" s="119"/>
      <c r="DA1298" s="118"/>
      <c r="DB1298" s="119"/>
      <c r="DC1298" s="111"/>
      <c r="DD1298" s="119"/>
      <c r="DE1298" s="111"/>
      <c r="DF1298" s="46"/>
    </row>
    <row r="1299" spans="1:110" s="42" customFormat="1" ht="84" x14ac:dyDescent="0.2">
      <c r="A1299" s="89">
        <v>40693</v>
      </c>
      <c r="B1299" s="106" t="s">
        <v>4387</v>
      </c>
      <c r="C1299" s="106" t="s">
        <v>965</v>
      </c>
      <c r="D1299" s="90" t="s">
        <v>2362</v>
      </c>
      <c r="E1299" s="90" t="str">
        <f>VLOOKUP(B1299&amp;C1299,Divipola!$C$2:$F$1138,4,FALSE)</f>
        <v>52418</v>
      </c>
      <c r="F1299" s="90"/>
      <c r="G1299" s="129"/>
      <c r="H1299" s="129"/>
      <c r="I1299" s="129"/>
      <c r="J1299" s="129">
        <v>213</v>
      </c>
      <c r="K1299" s="129">
        <v>58</v>
      </c>
      <c r="L1299" s="129">
        <v>2</v>
      </c>
      <c r="M1299" s="129">
        <v>56</v>
      </c>
      <c r="N1299" s="129">
        <v>11</v>
      </c>
      <c r="O1299" s="129"/>
      <c r="P1299" s="129"/>
      <c r="Q1299" s="129"/>
      <c r="R1299" s="129"/>
      <c r="S1299" s="129">
        <v>2</v>
      </c>
      <c r="T1299" s="129"/>
      <c r="U1299" s="129"/>
      <c r="V1299" s="129">
        <v>1006</v>
      </c>
      <c r="W1299" s="107"/>
      <c r="X1299" s="105"/>
      <c r="Y1299" s="92">
        <f t="shared" si="120"/>
        <v>0</v>
      </c>
      <c r="Z1299" s="92">
        <f t="shared" si="121"/>
        <v>0</v>
      </c>
      <c r="AA1299" s="92">
        <f t="shared" si="122"/>
        <v>0</v>
      </c>
      <c r="AB1299" s="92">
        <f t="shared" si="123"/>
        <v>0</v>
      </c>
      <c r="AC1299" s="92"/>
      <c r="AD1299" s="92">
        <v>0</v>
      </c>
      <c r="AE1299" s="92">
        <f t="shared" si="124"/>
        <v>0</v>
      </c>
      <c r="AF1299" s="93">
        <v>0</v>
      </c>
      <c r="AG1299" s="105"/>
      <c r="AH1299" s="108"/>
      <c r="AI1299" s="109" t="s">
        <v>4336</v>
      </c>
      <c r="AJ1299" s="110" t="s">
        <v>4337</v>
      </c>
      <c r="AK1299" s="111"/>
      <c r="AL1299" s="105" t="s">
        <v>1069</v>
      </c>
      <c r="AM1299" s="112" t="s">
        <v>98</v>
      </c>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c r="BJ1299" s="107"/>
      <c r="BK1299" s="107"/>
      <c r="BL1299" s="107"/>
      <c r="BM1299" s="107"/>
      <c r="BN1299" s="107"/>
      <c r="BO1299" s="107"/>
      <c r="BP1299" s="107"/>
      <c r="BQ1299" s="107"/>
      <c r="BR1299" s="107"/>
      <c r="BS1299" s="107"/>
      <c r="BT1299" s="107"/>
      <c r="BU1299" s="107"/>
      <c r="BV1299" s="107"/>
      <c r="BW1299" s="107"/>
      <c r="BX1299" s="107"/>
      <c r="BY1299" s="107"/>
      <c r="BZ1299" s="107"/>
      <c r="CA1299" s="107"/>
      <c r="CB1299" s="107"/>
      <c r="CC1299" s="107"/>
      <c r="CD1299" s="107"/>
      <c r="CE1299" s="107"/>
      <c r="CF1299" s="107"/>
      <c r="CG1299" s="107"/>
      <c r="CH1299" s="107"/>
      <c r="CI1299" s="107"/>
      <c r="CJ1299" s="107"/>
      <c r="CK1299" s="107"/>
      <c r="CL1299" s="107"/>
      <c r="CM1299" s="107"/>
      <c r="CN1299" s="118"/>
      <c r="CO1299" s="119"/>
      <c r="CP1299" s="118"/>
      <c r="CQ1299" s="119"/>
      <c r="CR1299" s="118"/>
      <c r="CS1299" s="119"/>
      <c r="CT1299" s="113"/>
      <c r="CU1299" s="118"/>
      <c r="CV1299" s="99">
        <f t="shared" si="125"/>
        <v>0</v>
      </c>
      <c r="CW1299" s="118"/>
      <c r="CX1299" s="119"/>
      <c r="CY1299" s="119"/>
      <c r="CZ1299" s="119"/>
      <c r="DA1299" s="118"/>
      <c r="DB1299" s="119"/>
      <c r="DC1299" s="111"/>
      <c r="DD1299" s="119"/>
      <c r="DE1299" s="111"/>
      <c r="DF1299" s="46"/>
    </row>
    <row r="1300" spans="1:110" s="42" customFormat="1" ht="72" x14ac:dyDescent="0.2">
      <c r="A1300" s="89">
        <v>40693</v>
      </c>
      <c r="B1300" s="106" t="s">
        <v>4263</v>
      </c>
      <c r="C1300" s="106" t="s">
        <v>3667</v>
      </c>
      <c r="D1300" s="90" t="s">
        <v>4264</v>
      </c>
      <c r="E1300" s="90" t="str">
        <f>VLOOKUP(B1300&amp;C1300,Divipola!$C$2:$F$1138,4,FALSE)</f>
        <v>86571</v>
      </c>
      <c r="F1300" s="90"/>
      <c r="G1300" s="279"/>
      <c r="H1300" s="279"/>
      <c r="I1300" s="279"/>
      <c r="J1300" s="279"/>
      <c r="K1300" s="279"/>
      <c r="L1300" s="279"/>
      <c r="M1300" s="279"/>
      <c r="N1300" s="129"/>
      <c r="O1300" s="129"/>
      <c r="P1300" s="129"/>
      <c r="Q1300" s="129"/>
      <c r="R1300" s="129"/>
      <c r="S1300" s="129"/>
      <c r="T1300" s="129"/>
      <c r="U1300" s="129"/>
      <c r="V1300" s="129"/>
      <c r="W1300" s="107"/>
      <c r="X1300" s="105"/>
      <c r="Y1300" s="92">
        <f t="shared" si="120"/>
        <v>0</v>
      </c>
      <c r="Z1300" s="92">
        <f t="shared" si="121"/>
        <v>0</v>
      </c>
      <c r="AA1300" s="92">
        <f t="shared" si="122"/>
        <v>0</v>
      </c>
      <c r="AB1300" s="92">
        <f t="shared" si="123"/>
        <v>0</v>
      </c>
      <c r="AC1300" s="92"/>
      <c r="AD1300" s="92">
        <v>0</v>
      </c>
      <c r="AE1300" s="92">
        <f t="shared" si="124"/>
        <v>0</v>
      </c>
      <c r="AF1300" s="93">
        <v>0</v>
      </c>
      <c r="AG1300" s="105"/>
      <c r="AH1300" s="108"/>
      <c r="AI1300" s="109" t="s">
        <v>4336</v>
      </c>
      <c r="AJ1300" s="110" t="s">
        <v>4337</v>
      </c>
      <c r="AK1300" s="280"/>
      <c r="AL1300" s="281"/>
      <c r="AM1300" s="112" t="s">
        <v>3641</v>
      </c>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c r="BJ1300" s="107"/>
      <c r="BK1300" s="107"/>
      <c r="BL1300" s="107"/>
      <c r="BM1300" s="107"/>
      <c r="BN1300" s="107"/>
      <c r="BO1300" s="107"/>
      <c r="BP1300" s="107"/>
      <c r="BQ1300" s="107"/>
      <c r="BR1300" s="107"/>
      <c r="BS1300" s="107"/>
      <c r="BT1300" s="107"/>
      <c r="BU1300" s="107"/>
      <c r="BV1300" s="107"/>
      <c r="BW1300" s="107"/>
      <c r="BX1300" s="107"/>
      <c r="BY1300" s="107"/>
      <c r="BZ1300" s="107"/>
      <c r="CA1300" s="107"/>
      <c r="CB1300" s="107"/>
      <c r="CC1300" s="107"/>
      <c r="CD1300" s="107"/>
      <c r="CE1300" s="107"/>
      <c r="CF1300" s="107"/>
      <c r="CG1300" s="107"/>
      <c r="CH1300" s="107"/>
      <c r="CI1300" s="107"/>
      <c r="CJ1300" s="107"/>
      <c r="CK1300" s="107"/>
      <c r="CL1300" s="107"/>
      <c r="CM1300" s="107"/>
      <c r="CN1300" s="118"/>
      <c r="CO1300" s="119"/>
      <c r="CP1300" s="118"/>
      <c r="CQ1300" s="119"/>
      <c r="CR1300" s="118"/>
      <c r="CS1300" s="119"/>
      <c r="CT1300" s="113"/>
      <c r="CU1300" s="118"/>
      <c r="CV1300" s="99">
        <f t="shared" si="125"/>
        <v>0</v>
      </c>
      <c r="CW1300" s="118"/>
      <c r="CX1300" s="119"/>
      <c r="CY1300" s="119"/>
      <c r="CZ1300" s="119"/>
      <c r="DA1300" s="118"/>
      <c r="DB1300" s="119"/>
      <c r="DC1300" s="111"/>
      <c r="DD1300" s="119"/>
      <c r="DE1300" s="111"/>
      <c r="DF1300" s="46"/>
    </row>
    <row r="1301" spans="1:110" s="42" customFormat="1" x14ac:dyDescent="0.2">
      <c r="A1301" s="89">
        <v>40693</v>
      </c>
      <c r="B1301" s="106" t="s">
        <v>4348</v>
      </c>
      <c r="C1301" s="106" t="s">
        <v>3303</v>
      </c>
      <c r="D1301" s="90" t="s">
        <v>2362</v>
      </c>
      <c r="E1301" s="90" t="str">
        <f>VLOOKUP(B1301&amp;C1301,Divipola!$C$2:$F$1138,4,FALSE)</f>
        <v>66456</v>
      </c>
      <c r="F1301" s="90"/>
      <c r="G1301" s="129"/>
      <c r="H1301" s="129"/>
      <c r="I1301" s="129"/>
      <c r="J1301" s="129">
        <v>10</v>
      </c>
      <c r="K1301" s="129">
        <v>2</v>
      </c>
      <c r="L1301" s="129"/>
      <c r="M1301" s="129">
        <v>2</v>
      </c>
      <c r="N1301" s="129"/>
      <c r="O1301" s="129"/>
      <c r="P1301" s="129"/>
      <c r="Q1301" s="129"/>
      <c r="R1301" s="129"/>
      <c r="S1301" s="129"/>
      <c r="T1301" s="129"/>
      <c r="U1301" s="129"/>
      <c r="V1301" s="129"/>
      <c r="W1301" s="107"/>
      <c r="X1301" s="105"/>
      <c r="Y1301" s="92">
        <f t="shared" si="120"/>
        <v>0</v>
      </c>
      <c r="Z1301" s="92">
        <f t="shared" si="121"/>
        <v>0</v>
      </c>
      <c r="AA1301" s="92">
        <f t="shared" si="122"/>
        <v>0</v>
      </c>
      <c r="AB1301" s="92">
        <f t="shared" si="123"/>
        <v>0</v>
      </c>
      <c r="AC1301" s="92"/>
      <c r="AD1301" s="92">
        <v>0</v>
      </c>
      <c r="AE1301" s="92">
        <f t="shared" si="124"/>
        <v>0</v>
      </c>
      <c r="AF1301" s="93">
        <v>0</v>
      </c>
      <c r="AG1301" s="105"/>
      <c r="AH1301" s="108"/>
      <c r="AI1301" s="109" t="s">
        <v>4336</v>
      </c>
      <c r="AJ1301" s="110" t="s">
        <v>4337</v>
      </c>
      <c r="AK1301" s="280"/>
      <c r="AL1301" s="281"/>
      <c r="AM1301" s="112" t="s">
        <v>1949</v>
      </c>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c r="BJ1301" s="107"/>
      <c r="BK1301" s="107"/>
      <c r="BL1301" s="107"/>
      <c r="BM1301" s="107"/>
      <c r="BN1301" s="107"/>
      <c r="BO1301" s="107"/>
      <c r="BP1301" s="107"/>
      <c r="BQ1301" s="107"/>
      <c r="BR1301" s="107"/>
      <c r="BS1301" s="107"/>
      <c r="BT1301" s="107"/>
      <c r="BU1301" s="107"/>
      <c r="BV1301" s="107"/>
      <c r="BW1301" s="107"/>
      <c r="BX1301" s="107"/>
      <c r="BY1301" s="107"/>
      <c r="BZ1301" s="107"/>
      <c r="CA1301" s="107"/>
      <c r="CB1301" s="107"/>
      <c r="CC1301" s="107"/>
      <c r="CD1301" s="107"/>
      <c r="CE1301" s="107"/>
      <c r="CF1301" s="107"/>
      <c r="CG1301" s="107"/>
      <c r="CH1301" s="107"/>
      <c r="CI1301" s="107"/>
      <c r="CJ1301" s="107"/>
      <c r="CK1301" s="107"/>
      <c r="CL1301" s="107"/>
      <c r="CM1301" s="107"/>
      <c r="CN1301" s="118"/>
      <c r="CO1301" s="119"/>
      <c r="CP1301" s="118"/>
      <c r="CQ1301" s="119"/>
      <c r="CR1301" s="118"/>
      <c r="CS1301" s="119"/>
      <c r="CT1301" s="113"/>
      <c r="CU1301" s="118"/>
      <c r="CV1301" s="99">
        <f t="shared" si="125"/>
        <v>0</v>
      </c>
      <c r="CW1301" s="118"/>
      <c r="CX1301" s="119"/>
      <c r="CY1301" s="119"/>
      <c r="CZ1301" s="119"/>
      <c r="DA1301" s="118"/>
      <c r="DB1301" s="119"/>
      <c r="DC1301" s="111"/>
      <c r="DD1301" s="119"/>
      <c r="DE1301" s="111"/>
      <c r="DF1301" s="46"/>
    </row>
    <row r="1302" spans="1:110" s="42" customFormat="1" ht="72" x14ac:dyDescent="0.2">
      <c r="A1302" s="89">
        <v>40693</v>
      </c>
      <c r="B1302" s="90" t="s">
        <v>4244</v>
      </c>
      <c r="C1302" s="90" t="s">
        <v>3493</v>
      </c>
      <c r="D1302" s="90" t="s">
        <v>4264</v>
      </c>
      <c r="E1302" s="90" t="str">
        <f>VLOOKUP(B1302&amp;C1302,Divipola!$C$2:$F$1138,4,FALSE)</f>
        <v>76400</v>
      </c>
      <c r="F1302" s="101"/>
      <c r="G1302" s="101"/>
      <c r="H1302" s="101"/>
      <c r="I1302" s="101"/>
      <c r="J1302" s="101">
        <v>1000</v>
      </c>
      <c r="K1302" s="101">
        <v>200</v>
      </c>
      <c r="L1302" s="101"/>
      <c r="M1302" s="101">
        <v>200</v>
      </c>
      <c r="N1302" s="129"/>
      <c r="O1302" s="129"/>
      <c r="P1302" s="129"/>
      <c r="Q1302" s="129"/>
      <c r="R1302" s="129"/>
      <c r="S1302" s="129"/>
      <c r="T1302" s="129"/>
      <c r="U1302" s="129"/>
      <c r="V1302" s="129"/>
      <c r="W1302" s="107"/>
      <c r="X1302" s="105"/>
      <c r="Y1302" s="92">
        <f t="shared" si="120"/>
        <v>30739536</v>
      </c>
      <c r="Z1302" s="92">
        <f t="shared" si="121"/>
        <v>17000000</v>
      </c>
      <c r="AA1302" s="92">
        <f t="shared" si="122"/>
        <v>0</v>
      </c>
      <c r="AB1302" s="92">
        <f t="shared" si="123"/>
        <v>0</v>
      </c>
      <c r="AC1302" s="92"/>
      <c r="AD1302" s="92">
        <v>10000000</v>
      </c>
      <c r="AE1302" s="92">
        <f t="shared" si="124"/>
        <v>57739536</v>
      </c>
      <c r="AF1302" s="93">
        <v>0</v>
      </c>
      <c r="AG1302" s="105"/>
      <c r="AH1302" s="108"/>
      <c r="AI1302" s="109" t="s">
        <v>4346</v>
      </c>
      <c r="AJ1302" s="110" t="s">
        <v>4347</v>
      </c>
      <c r="AK1302" s="280"/>
      <c r="AL1302" s="281"/>
      <c r="AM1302" s="112" t="s">
        <v>918</v>
      </c>
      <c r="AN1302" s="107"/>
      <c r="AO1302" s="107"/>
      <c r="AP1302" s="107"/>
      <c r="AQ1302" s="107"/>
      <c r="AR1302" s="107"/>
      <c r="AS1302" s="107"/>
      <c r="AT1302" s="107"/>
      <c r="AU1302" s="107"/>
      <c r="AV1302" s="107"/>
      <c r="AW1302" s="107"/>
      <c r="AX1302" s="107"/>
      <c r="AY1302" s="107"/>
      <c r="AZ1302" s="107">
        <v>200</v>
      </c>
      <c r="BA1302" s="107">
        <f>200*55999</f>
        <v>11199800</v>
      </c>
      <c r="BB1302" s="107"/>
      <c r="BC1302" s="107"/>
      <c r="BD1302" s="107"/>
      <c r="BE1302" s="107"/>
      <c r="BF1302" s="107"/>
      <c r="BG1302" s="107"/>
      <c r="BH1302" s="107"/>
      <c r="BI1302" s="107"/>
      <c r="BJ1302" s="107"/>
      <c r="BK1302" s="107"/>
      <c r="BL1302" s="107"/>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7"/>
      <c r="CG1302" s="107"/>
      <c r="CH1302" s="107"/>
      <c r="CI1302" s="107"/>
      <c r="CJ1302" s="107">
        <v>200</v>
      </c>
      <c r="CK1302" s="107">
        <f>200*20999.48</f>
        <v>4199896</v>
      </c>
      <c r="CL1302" s="107"/>
      <c r="CM1302" s="107"/>
      <c r="CN1302" s="118"/>
      <c r="CO1302" s="119"/>
      <c r="CP1302" s="118">
        <v>200</v>
      </c>
      <c r="CQ1302" s="119">
        <f>200*36999.36</f>
        <v>7399872</v>
      </c>
      <c r="CR1302" s="118">
        <v>200</v>
      </c>
      <c r="CS1302" s="119">
        <f>200*39699.84</f>
        <v>7939967.9999999991</v>
      </c>
      <c r="CT1302" s="113"/>
      <c r="CU1302" s="118"/>
      <c r="CV1302" s="99">
        <f t="shared" si="125"/>
        <v>30739536</v>
      </c>
      <c r="CW1302" s="118"/>
      <c r="CX1302" s="119"/>
      <c r="CY1302" s="119">
        <v>200</v>
      </c>
      <c r="CZ1302" s="119">
        <f>200*85000</f>
        <v>17000000</v>
      </c>
      <c r="DA1302" s="118"/>
      <c r="DB1302" s="119"/>
      <c r="DC1302" s="111"/>
      <c r="DD1302" s="119"/>
      <c r="DE1302" s="111"/>
      <c r="DF1302" s="46"/>
    </row>
    <row r="1303" spans="1:110" s="42" customFormat="1" ht="96" x14ac:dyDescent="0.2">
      <c r="A1303" s="89">
        <v>40693</v>
      </c>
      <c r="B1303" s="106" t="s">
        <v>4244</v>
      </c>
      <c r="C1303" s="106" t="s">
        <v>2247</v>
      </c>
      <c r="D1303" s="90" t="s">
        <v>4264</v>
      </c>
      <c r="E1303" s="90" t="str">
        <f>VLOOKUP(B1303&amp;C1303,Divipola!$C$2:$F$1138,4,FALSE)</f>
        <v>76622</v>
      </c>
      <c r="F1303" s="90"/>
      <c r="G1303" s="129"/>
      <c r="H1303" s="129"/>
      <c r="I1303" s="129"/>
      <c r="J1303" s="129">
        <v>750</v>
      </c>
      <c r="K1303" s="129">
        <v>150</v>
      </c>
      <c r="L1303" s="129"/>
      <c r="M1303" s="129">
        <v>150</v>
      </c>
      <c r="N1303" s="129"/>
      <c r="O1303" s="129"/>
      <c r="P1303" s="129"/>
      <c r="Q1303" s="129"/>
      <c r="R1303" s="129"/>
      <c r="S1303" s="129"/>
      <c r="T1303" s="129"/>
      <c r="U1303" s="129"/>
      <c r="V1303" s="129"/>
      <c r="W1303" s="107"/>
      <c r="X1303" s="105"/>
      <c r="Y1303" s="92">
        <f t="shared" si="120"/>
        <v>0</v>
      </c>
      <c r="Z1303" s="92">
        <f t="shared" si="121"/>
        <v>0</v>
      </c>
      <c r="AA1303" s="92">
        <f t="shared" si="122"/>
        <v>0</v>
      </c>
      <c r="AB1303" s="92">
        <f t="shared" si="123"/>
        <v>0</v>
      </c>
      <c r="AC1303" s="92"/>
      <c r="AD1303" s="92">
        <v>0</v>
      </c>
      <c r="AE1303" s="92">
        <f t="shared" si="124"/>
        <v>0</v>
      </c>
      <c r="AF1303" s="93">
        <v>0</v>
      </c>
      <c r="AG1303" s="105"/>
      <c r="AH1303" s="108"/>
      <c r="AI1303" s="109" t="s">
        <v>4336</v>
      </c>
      <c r="AJ1303" s="110" t="s">
        <v>4337</v>
      </c>
      <c r="AK1303" s="111"/>
      <c r="AL1303" s="105"/>
      <c r="AM1303" s="112" t="s">
        <v>1948</v>
      </c>
      <c r="AN1303" s="107"/>
      <c r="AO1303" s="107"/>
      <c r="AP1303" s="107"/>
      <c r="AQ1303" s="107"/>
      <c r="AR1303" s="107"/>
      <c r="AS1303" s="107"/>
      <c r="AT1303" s="107"/>
      <c r="AU1303" s="107"/>
      <c r="AV1303" s="107"/>
      <c r="AW1303" s="107"/>
      <c r="AX1303" s="107"/>
      <c r="AY1303" s="107"/>
      <c r="AZ1303" s="107"/>
      <c r="BA1303" s="107"/>
      <c r="BB1303" s="107"/>
      <c r="BC1303" s="107"/>
      <c r="BD1303" s="107"/>
      <c r="BE1303" s="107"/>
      <c r="BF1303" s="107"/>
      <c r="BG1303" s="107"/>
      <c r="BH1303" s="107"/>
      <c r="BI1303" s="107"/>
      <c r="BJ1303" s="107"/>
      <c r="BK1303" s="107"/>
      <c r="BL1303" s="107"/>
      <c r="BM1303" s="107"/>
      <c r="BN1303" s="107"/>
      <c r="BO1303" s="107"/>
      <c r="BP1303" s="107"/>
      <c r="BQ1303" s="107"/>
      <c r="BR1303" s="107"/>
      <c r="BS1303" s="107"/>
      <c r="BT1303" s="107"/>
      <c r="BU1303" s="107"/>
      <c r="BV1303" s="107"/>
      <c r="BW1303" s="107"/>
      <c r="BX1303" s="107"/>
      <c r="BY1303" s="107"/>
      <c r="BZ1303" s="107"/>
      <c r="CA1303" s="107"/>
      <c r="CB1303" s="107"/>
      <c r="CC1303" s="107"/>
      <c r="CD1303" s="107"/>
      <c r="CE1303" s="107"/>
      <c r="CF1303" s="107"/>
      <c r="CG1303" s="107"/>
      <c r="CH1303" s="107"/>
      <c r="CI1303" s="107"/>
      <c r="CJ1303" s="107"/>
      <c r="CK1303" s="107"/>
      <c r="CL1303" s="107"/>
      <c r="CM1303" s="107"/>
      <c r="CN1303" s="118"/>
      <c r="CO1303" s="119"/>
      <c r="CP1303" s="118"/>
      <c r="CQ1303" s="119"/>
      <c r="CR1303" s="118"/>
      <c r="CS1303" s="119"/>
      <c r="CT1303" s="113"/>
      <c r="CU1303" s="118"/>
      <c r="CV1303" s="99">
        <f t="shared" si="125"/>
        <v>0</v>
      </c>
      <c r="CW1303" s="118"/>
      <c r="CX1303" s="119"/>
      <c r="CY1303" s="119"/>
      <c r="CZ1303" s="119"/>
      <c r="DA1303" s="118"/>
      <c r="DB1303" s="119"/>
      <c r="DC1303" s="111"/>
      <c r="DD1303" s="119"/>
      <c r="DE1303" s="111"/>
      <c r="DF1303" s="46"/>
    </row>
    <row r="1304" spans="1:110" s="42" customFormat="1" x14ac:dyDescent="0.2">
      <c r="A1304" s="89">
        <v>40694</v>
      </c>
      <c r="B1304" s="106" t="s">
        <v>4326</v>
      </c>
      <c r="C1304" s="106" t="s">
        <v>4338</v>
      </c>
      <c r="D1304" s="90" t="s">
        <v>4264</v>
      </c>
      <c r="E1304" s="90" t="str">
        <f>VLOOKUP(B1304&amp;C1304,Divipola!$C$2:$F$1138,4,FALSE)</f>
        <v>08001</v>
      </c>
      <c r="F1304" s="90"/>
      <c r="G1304" s="279"/>
      <c r="H1304" s="279"/>
      <c r="I1304" s="279"/>
      <c r="J1304" s="129">
        <v>25</v>
      </c>
      <c r="K1304" s="129">
        <v>7</v>
      </c>
      <c r="L1304" s="129"/>
      <c r="M1304" s="129">
        <v>7</v>
      </c>
      <c r="N1304" s="129"/>
      <c r="O1304" s="129"/>
      <c r="P1304" s="129"/>
      <c r="Q1304" s="129"/>
      <c r="R1304" s="129"/>
      <c r="S1304" s="129"/>
      <c r="T1304" s="129"/>
      <c r="U1304" s="129"/>
      <c r="V1304" s="129"/>
      <c r="W1304" s="107"/>
      <c r="X1304" s="105"/>
      <c r="Y1304" s="92">
        <f t="shared" si="120"/>
        <v>0</v>
      </c>
      <c r="Z1304" s="92">
        <f t="shared" si="121"/>
        <v>0</v>
      </c>
      <c r="AA1304" s="92">
        <f t="shared" si="122"/>
        <v>0</v>
      </c>
      <c r="AB1304" s="92">
        <f t="shared" si="123"/>
        <v>0</v>
      </c>
      <c r="AC1304" s="92"/>
      <c r="AD1304" s="92">
        <v>0</v>
      </c>
      <c r="AE1304" s="92">
        <f t="shared" si="124"/>
        <v>0</v>
      </c>
      <c r="AF1304" s="93">
        <v>0</v>
      </c>
      <c r="AG1304" s="105"/>
      <c r="AH1304" s="108"/>
      <c r="AI1304" s="109" t="s">
        <v>4336</v>
      </c>
      <c r="AJ1304" s="110" t="s">
        <v>4337</v>
      </c>
      <c r="AK1304" s="280"/>
      <c r="AL1304" s="281"/>
      <c r="AM1304" s="112" t="s">
        <v>3643</v>
      </c>
      <c r="AN1304" s="107"/>
      <c r="AO1304" s="107"/>
      <c r="AP1304" s="107"/>
      <c r="AQ1304" s="107"/>
      <c r="AR1304" s="107"/>
      <c r="AS1304" s="107"/>
      <c r="AT1304" s="107"/>
      <c r="AU1304" s="107"/>
      <c r="AV1304" s="107"/>
      <c r="AW1304" s="107"/>
      <c r="AX1304" s="107"/>
      <c r="AY1304" s="107"/>
      <c r="AZ1304" s="107"/>
      <c r="BA1304" s="107"/>
      <c r="BB1304" s="107"/>
      <c r="BC1304" s="107"/>
      <c r="BD1304" s="107"/>
      <c r="BE1304" s="107"/>
      <c r="BF1304" s="107"/>
      <c r="BG1304" s="107"/>
      <c r="BH1304" s="107"/>
      <c r="BI1304" s="107"/>
      <c r="BJ1304" s="107"/>
      <c r="BK1304" s="107"/>
      <c r="BL1304" s="107"/>
      <c r="BM1304" s="107"/>
      <c r="BN1304" s="107"/>
      <c r="BO1304" s="107"/>
      <c r="BP1304" s="107"/>
      <c r="BQ1304" s="107"/>
      <c r="BR1304" s="107"/>
      <c r="BS1304" s="107"/>
      <c r="BT1304" s="107"/>
      <c r="BU1304" s="107"/>
      <c r="BV1304" s="107"/>
      <c r="BW1304" s="107"/>
      <c r="BX1304" s="107"/>
      <c r="BY1304" s="107"/>
      <c r="BZ1304" s="107"/>
      <c r="CA1304" s="107"/>
      <c r="CB1304" s="107"/>
      <c r="CC1304" s="107"/>
      <c r="CD1304" s="107"/>
      <c r="CE1304" s="107"/>
      <c r="CF1304" s="107"/>
      <c r="CG1304" s="107"/>
      <c r="CH1304" s="107"/>
      <c r="CI1304" s="107"/>
      <c r="CJ1304" s="107"/>
      <c r="CK1304" s="107"/>
      <c r="CL1304" s="107"/>
      <c r="CM1304" s="107"/>
      <c r="CN1304" s="118"/>
      <c r="CO1304" s="119"/>
      <c r="CP1304" s="118"/>
      <c r="CQ1304" s="119"/>
      <c r="CR1304" s="118"/>
      <c r="CS1304" s="119"/>
      <c r="CT1304" s="113"/>
      <c r="CU1304" s="118"/>
      <c r="CV1304" s="99">
        <f t="shared" si="125"/>
        <v>0</v>
      </c>
      <c r="CW1304" s="118"/>
      <c r="CX1304" s="119"/>
      <c r="CY1304" s="119"/>
      <c r="CZ1304" s="119"/>
      <c r="DA1304" s="118"/>
      <c r="DB1304" s="119"/>
      <c r="DC1304" s="111"/>
      <c r="DD1304" s="119"/>
      <c r="DE1304" s="111"/>
      <c r="DF1304" s="46"/>
    </row>
    <row r="1305" spans="1:110" s="42" customFormat="1" ht="36" x14ac:dyDescent="0.2">
      <c r="A1305" s="89">
        <v>40694</v>
      </c>
      <c r="B1305" s="106" t="s">
        <v>4261</v>
      </c>
      <c r="C1305" s="106" t="s">
        <v>1268</v>
      </c>
      <c r="D1305" s="90" t="s">
        <v>4264</v>
      </c>
      <c r="E1305" s="90" t="str">
        <f>VLOOKUP(B1305&amp;C1305,Divipola!$C$2:$F$1138,4,FALSE)</f>
        <v>15621</v>
      </c>
      <c r="F1305" s="4"/>
      <c r="G1305" s="274"/>
      <c r="H1305" s="274"/>
      <c r="I1305" s="274"/>
      <c r="J1305" s="129">
        <f>45*5</f>
        <v>225</v>
      </c>
      <c r="K1305" s="129">
        <v>45</v>
      </c>
      <c r="L1305" s="129"/>
      <c r="M1305" s="129"/>
      <c r="N1305" s="208"/>
      <c r="O1305" s="208"/>
      <c r="P1305" s="208"/>
      <c r="Q1305" s="208"/>
      <c r="R1305" s="208"/>
      <c r="S1305" s="208"/>
      <c r="T1305" s="208"/>
      <c r="U1305" s="208"/>
      <c r="V1305" s="208"/>
      <c r="W1305" s="19"/>
      <c r="X1305" s="17"/>
      <c r="Y1305" s="5">
        <f t="shared" si="120"/>
        <v>0</v>
      </c>
      <c r="Z1305" s="5">
        <f t="shared" si="121"/>
        <v>0</v>
      </c>
      <c r="AA1305" s="5">
        <f t="shared" si="122"/>
        <v>0</v>
      </c>
      <c r="AB1305" s="5">
        <f t="shared" si="123"/>
        <v>0</v>
      </c>
      <c r="AC1305" s="5"/>
      <c r="AD1305" s="5">
        <v>0</v>
      </c>
      <c r="AE1305" s="5">
        <f t="shared" si="124"/>
        <v>0</v>
      </c>
      <c r="AF1305" s="70">
        <v>0</v>
      </c>
      <c r="AG1305" s="17"/>
      <c r="AH1305" s="18"/>
      <c r="AI1305" s="47" t="s">
        <v>4336</v>
      </c>
      <c r="AJ1305" s="73" t="s">
        <v>4337</v>
      </c>
      <c r="AK1305" s="275"/>
      <c r="AL1305" s="276"/>
      <c r="AM1305" s="112" t="s">
        <v>1076</v>
      </c>
      <c r="AN1305" s="19"/>
      <c r="AO1305" s="19"/>
      <c r="AP1305" s="19"/>
      <c r="AQ1305" s="19"/>
      <c r="AR1305" s="19"/>
      <c r="AS1305" s="19"/>
      <c r="AT1305" s="19"/>
      <c r="AU1305" s="19"/>
      <c r="AV1305" s="19"/>
      <c r="AW1305" s="19"/>
      <c r="AX1305" s="107"/>
      <c r="AY1305" s="107"/>
      <c r="AZ1305" s="19"/>
      <c r="BA1305" s="19"/>
      <c r="BB1305" s="19"/>
      <c r="BC1305" s="19"/>
      <c r="BD1305" s="19"/>
      <c r="BE1305" s="19"/>
      <c r="BF1305" s="19"/>
      <c r="BG1305" s="19"/>
      <c r="BH1305" s="19"/>
      <c r="BI1305" s="19"/>
      <c r="BJ1305" s="19"/>
      <c r="BK1305" s="19"/>
      <c r="BL1305" s="19"/>
      <c r="BM1305" s="19"/>
      <c r="BN1305" s="19"/>
      <c r="BO1305" s="19"/>
      <c r="BP1305" s="19"/>
      <c r="BQ1305" s="19"/>
      <c r="BR1305" s="19"/>
      <c r="BS1305" s="19"/>
      <c r="BT1305" s="19"/>
      <c r="BU1305" s="19"/>
      <c r="BV1305" s="19"/>
      <c r="BW1305" s="19"/>
      <c r="BX1305" s="19"/>
      <c r="BY1305" s="19"/>
      <c r="BZ1305" s="19"/>
      <c r="CA1305" s="19"/>
      <c r="CB1305" s="19"/>
      <c r="CC1305" s="19"/>
      <c r="CD1305" s="19"/>
      <c r="CE1305" s="19"/>
      <c r="CF1305" s="19"/>
      <c r="CG1305" s="19"/>
      <c r="CH1305" s="19"/>
      <c r="CI1305" s="19"/>
      <c r="CJ1305" s="19"/>
      <c r="CK1305" s="19"/>
      <c r="CL1305" s="19"/>
      <c r="CM1305" s="19"/>
      <c r="CN1305" s="139"/>
      <c r="CO1305" s="138"/>
      <c r="CP1305" s="139"/>
      <c r="CQ1305" s="138"/>
      <c r="CR1305" s="139"/>
      <c r="CS1305" s="138"/>
      <c r="CT1305" s="72"/>
      <c r="CU1305" s="139"/>
      <c r="CV1305" s="99">
        <f t="shared" si="125"/>
        <v>0</v>
      </c>
      <c r="CW1305" s="139"/>
      <c r="CX1305" s="138"/>
      <c r="CY1305" s="138"/>
      <c r="CZ1305" s="138"/>
      <c r="DA1305" s="139"/>
      <c r="DB1305" s="138"/>
      <c r="DC1305" s="45"/>
      <c r="DD1305" s="138"/>
      <c r="DE1305" s="45"/>
      <c r="DF1305" s="46"/>
    </row>
    <row r="1306" spans="1:110" s="42" customFormat="1" x14ac:dyDescent="0.2">
      <c r="A1306" s="89">
        <v>40694</v>
      </c>
      <c r="B1306" s="106" t="s">
        <v>2225</v>
      </c>
      <c r="C1306" s="106" t="s">
        <v>1879</v>
      </c>
      <c r="D1306" s="90" t="s">
        <v>4264</v>
      </c>
      <c r="E1306" s="90" t="str">
        <f>VLOOKUP(B1306&amp;C1306,Divipola!$C$2:$F$1138,4,FALSE)</f>
        <v>27372</v>
      </c>
      <c r="F1306" s="90"/>
      <c r="G1306" s="129"/>
      <c r="H1306" s="129"/>
      <c r="I1306" s="129"/>
      <c r="J1306" s="129">
        <f>600*5</f>
        <v>3000</v>
      </c>
      <c r="K1306" s="129">
        <f>581+28</f>
        <v>609</v>
      </c>
      <c r="L1306" s="129"/>
      <c r="M1306" s="129">
        <v>166</v>
      </c>
      <c r="N1306" s="129"/>
      <c r="O1306" s="129"/>
      <c r="P1306" s="129"/>
      <c r="Q1306" s="129"/>
      <c r="R1306" s="129"/>
      <c r="S1306" s="129"/>
      <c r="T1306" s="129"/>
      <c r="U1306" s="129"/>
      <c r="V1306" s="129"/>
      <c r="W1306" s="107"/>
      <c r="X1306" s="105"/>
      <c r="Y1306" s="92">
        <f t="shared" si="120"/>
        <v>108777600</v>
      </c>
      <c r="Z1306" s="92">
        <f t="shared" si="121"/>
        <v>52200000</v>
      </c>
      <c r="AA1306" s="92">
        <f t="shared" si="122"/>
        <v>0</v>
      </c>
      <c r="AB1306" s="92">
        <f t="shared" si="123"/>
        <v>0</v>
      </c>
      <c r="AC1306" s="92"/>
      <c r="AD1306" s="92">
        <v>0</v>
      </c>
      <c r="AE1306" s="92">
        <f t="shared" si="124"/>
        <v>160977600</v>
      </c>
      <c r="AF1306" s="93">
        <v>0</v>
      </c>
      <c r="AG1306" s="105"/>
      <c r="AH1306" s="108"/>
      <c r="AI1306" s="102" t="s">
        <v>4346</v>
      </c>
      <c r="AJ1306" s="96" t="s">
        <v>4347</v>
      </c>
      <c r="AK1306" s="111"/>
      <c r="AL1306" s="105"/>
      <c r="AM1306" s="112"/>
      <c r="AN1306" s="107"/>
      <c r="AO1306" s="107"/>
      <c r="AP1306" s="107"/>
      <c r="AQ1306" s="107"/>
      <c r="AR1306" s="107"/>
      <c r="AS1306" s="107"/>
      <c r="AT1306" s="107"/>
      <c r="AU1306" s="107"/>
      <c r="AV1306" s="107"/>
      <c r="AW1306" s="107"/>
      <c r="AX1306" s="107"/>
      <c r="AY1306" s="107"/>
      <c r="AZ1306" s="107"/>
      <c r="BA1306" s="107"/>
      <c r="BB1306" s="107"/>
      <c r="BC1306" s="107"/>
      <c r="BD1306" s="107"/>
      <c r="BE1306" s="107"/>
      <c r="BF1306" s="107"/>
      <c r="BG1306" s="107"/>
      <c r="BH1306" s="107"/>
      <c r="BI1306" s="107"/>
      <c r="BJ1306" s="107"/>
      <c r="BK1306" s="107"/>
      <c r="BL1306" s="107">
        <v>1200</v>
      </c>
      <c r="BM1306" s="107">
        <f>1200*27500</f>
        <v>33000000</v>
      </c>
      <c r="BN1306" s="107"/>
      <c r="BO1306" s="107"/>
      <c r="BP1306" s="107"/>
      <c r="BQ1306" s="107"/>
      <c r="BR1306" s="107"/>
      <c r="BS1306" s="107"/>
      <c r="BT1306" s="107"/>
      <c r="BU1306" s="107"/>
      <c r="BV1306" s="107"/>
      <c r="BW1306" s="107"/>
      <c r="BX1306" s="107"/>
      <c r="BY1306" s="107"/>
      <c r="BZ1306" s="107"/>
      <c r="CA1306" s="107"/>
      <c r="CB1306" s="107"/>
      <c r="CC1306" s="107"/>
      <c r="CD1306" s="107"/>
      <c r="CE1306" s="107"/>
      <c r="CF1306" s="107"/>
      <c r="CG1306" s="107"/>
      <c r="CH1306" s="107"/>
      <c r="CI1306" s="107"/>
      <c r="CJ1306" s="107">
        <v>1200</v>
      </c>
      <c r="CK1306" s="107">
        <f>1200*24000</f>
        <v>28800000</v>
      </c>
      <c r="CL1306" s="107"/>
      <c r="CM1306" s="107"/>
      <c r="CN1306" s="118"/>
      <c r="CO1306" s="119"/>
      <c r="CP1306" s="118">
        <v>600</v>
      </c>
      <c r="CQ1306" s="119">
        <f>600*38596</f>
        <v>23157600</v>
      </c>
      <c r="CR1306" s="118">
        <v>600</v>
      </c>
      <c r="CS1306" s="119">
        <f>600*39700</f>
        <v>23820000</v>
      </c>
      <c r="CT1306" s="113"/>
      <c r="CU1306" s="118"/>
      <c r="CV1306" s="99">
        <f t="shared" si="125"/>
        <v>108777600</v>
      </c>
      <c r="CW1306" s="118"/>
      <c r="CX1306" s="119"/>
      <c r="CY1306" s="119">
        <v>600</v>
      </c>
      <c r="CZ1306" s="119">
        <f>600*87000</f>
        <v>52200000</v>
      </c>
      <c r="DA1306" s="118"/>
      <c r="DB1306" s="119"/>
      <c r="DC1306" s="111"/>
      <c r="DD1306" s="119"/>
      <c r="DE1306" s="111"/>
      <c r="DF1306" s="46"/>
    </row>
    <row r="1307" spans="1:110" s="42" customFormat="1" ht="156" x14ac:dyDescent="0.2">
      <c r="A1307" s="89">
        <v>40694</v>
      </c>
      <c r="B1307" s="90" t="s">
        <v>4282</v>
      </c>
      <c r="C1307" s="90" t="s">
        <v>1611</v>
      </c>
      <c r="D1307" s="90" t="s">
        <v>4264</v>
      </c>
      <c r="E1307" s="90" t="str">
        <f>VLOOKUP(B1307&amp;C1307,Divipola!$C$2:$F$1138,4,FALSE)</f>
        <v>23466</v>
      </c>
      <c r="F1307" s="101"/>
      <c r="G1307" s="101"/>
      <c r="H1307" s="101"/>
      <c r="I1307" s="101"/>
      <c r="J1307" s="101">
        <v>3500</v>
      </c>
      <c r="K1307" s="101">
        <v>700</v>
      </c>
      <c r="L1307" s="101"/>
      <c r="M1307" s="101">
        <v>700</v>
      </c>
      <c r="N1307" s="101"/>
      <c r="O1307" s="101"/>
      <c r="P1307" s="101"/>
      <c r="Q1307" s="91"/>
      <c r="R1307" s="89"/>
      <c r="S1307" s="92"/>
      <c r="T1307" s="92"/>
      <c r="U1307" s="92"/>
      <c r="V1307" s="92"/>
      <c r="W1307" s="92"/>
      <c r="X1307" s="92"/>
      <c r="Y1307" s="92">
        <f t="shared" si="120"/>
        <v>0</v>
      </c>
      <c r="Z1307" s="93">
        <f t="shared" si="121"/>
        <v>0</v>
      </c>
      <c r="AA1307" s="92">
        <f t="shared" si="122"/>
        <v>0</v>
      </c>
      <c r="AB1307" s="93">
        <f t="shared" si="123"/>
        <v>0</v>
      </c>
      <c r="AC1307" s="92"/>
      <c r="AD1307" s="92">
        <v>0</v>
      </c>
      <c r="AE1307" s="92">
        <f t="shared" si="124"/>
        <v>0</v>
      </c>
      <c r="AF1307" s="93">
        <v>0</v>
      </c>
      <c r="AG1307" s="105"/>
      <c r="AH1307" s="108"/>
      <c r="AI1307" s="109" t="s">
        <v>4336</v>
      </c>
      <c r="AJ1307" s="110" t="s">
        <v>4337</v>
      </c>
      <c r="AK1307" s="280"/>
      <c r="AL1307" s="281"/>
      <c r="AM1307" s="112" t="s">
        <v>3645</v>
      </c>
      <c r="AN1307" s="107"/>
      <c r="AO1307" s="107"/>
      <c r="AP1307" s="107"/>
      <c r="AQ1307" s="107"/>
      <c r="AR1307" s="107"/>
      <c r="AS1307" s="107"/>
      <c r="AT1307" s="107"/>
      <c r="AU1307" s="107"/>
      <c r="AV1307" s="107"/>
      <c r="AW1307" s="107"/>
      <c r="AX1307" s="107"/>
      <c r="AY1307" s="107"/>
      <c r="AZ1307" s="107"/>
      <c r="BA1307" s="107"/>
      <c r="BB1307" s="107"/>
      <c r="BC1307" s="107"/>
      <c r="BD1307" s="107"/>
      <c r="BE1307" s="107"/>
      <c r="BF1307" s="107"/>
      <c r="BG1307" s="107"/>
      <c r="BH1307" s="107"/>
      <c r="BI1307" s="107"/>
      <c r="BJ1307" s="107"/>
      <c r="BK1307" s="107"/>
      <c r="BL1307" s="107"/>
      <c r="BM1307" s="107"/>
      <c r="BN1307" s="107"/>
      <c r="BO1307" s="107"/>
      <c r="BP1307" s="107"/>
      <c r="BQ1307" s="107"/>
      <c r="BR1307" s="107"/>
      <c r="BS1307" s="107"/>
      <c r="BT1307" s="107"/>
      <c r="BU1307" s="107"/>
      <c r="BV1307" s="107"/>
      <c r="BW1307" s="107"/>
      <c r="BX1307" s="107"/>
      <c r="BY1307" s="107"/>
      <c r="BZ1307" s="107"/>
      <c r="CA1307" s="107"/>
      <c r="CB1307" s="107"/>
      <c r="CC1307" s="107"/>
      <c r="CD1307" s="107"/>
      <c r="CE1307" s="107"/>
      <c r="CF1307" s="107"/>
      <c r="CG1307" s="107"/>
      <c r="CH1307" s="107"/>
      <c r="CI1307" s="107"/>
      <c r="CJ1307" s="107"/>
      <c r="CK1307" s="107"/>
      <c r="CL1307" s="107"/>
      <c r="CM1307" s="107"/>
      <c r="CN1307" s="118"/>
      <c r="CO1307" s="119"/>
      <c r="CP1307" s="118"/>
      <c r="CQ1307" s="119"/>
      <c r="CR1307" s="118"/>
      <c r="CS1307" s="119"/>
      <c r="CT1307" s="113"/>
      <c r="CU1307" s="118"/>
      <c r="CV1307" s="99">
        <f t="shared" si="125"/>
        <v>0</v>
      </c>
      <c r="CW1307" s="118"/>
      <c r="CX1307" s="119"/>
      <c r="CY1307" s="119"/>
      <c r="CZ1307" s="119"/>
      <c r="DA1307" s="118"/>
      <c r="DB1307" s="119"/>
      <c r="DC1307" s="111"/>
      <c r="DD1307" s="119"/>
      <c r="DE1307" s="111"/>
      <c r="DF1307" s="46"/>
    </row>
    <row r="1308" spans="1:110" s="42" customFormat="1" ht="24" x14ac:dyDescent="0.2">
      <c r="A1308" s="89">
        <v>40694</v>
      </c>
      <c r="B1308" s="106" t="s">
        <v>4219</v>
      </c>
      <c r="C1308" s="106" t="s">
        <v>4345</v>
      </c>
      <c r="D1308" s="90" t="s">
        <v>4264</v>
      </c>
      <c r="E1308" s="90">
        <f>VLOOKUP(B1308&amp;C1308,Divipola!$C$2:$F$1138,4,FALSE)</f>
        <v>41</v>
      </c>
      <c r="F1308" s="90"/>
      <c r="G1308" s="129"/>
      <c r="H1308" s="129"/>
      <c r="I1308" s="129"/>
      <c r="J1308" s="129"/>
      <c r="K1308" s="129"/>
      <c r="L1308" s="129"/>
      <c r="M1308" s="129"/>
      <c r="N1308" s="129"/>
      <c r="O1308" s="129"/>
      <c r="P1308" s="129"/>
      <c r="Q1308" s="129"/>
      <c r="R1308" s="129"/>
      <c r="S1308" s="129"/>
      <c r="T1308" s="129"/>
      <c r="U1308" s="129"/>
      <c r="V1308" s="129"/>
      <c r="W1308" s="107"/>
      <c r="X1308" s="105"/>
      <c r="Y1308" s="92">
        <f t="shared" si="120"/>
        <v>0</v>
      </c>
      <c r="Z1308" s="92">
        <f t="shared" si="121"/>
        <v>0</v>
      </c>
      <c r="AA1308" s="92">
        <f t="shared" si="122"/>
        <v>0</v>
      </c>
      <c r="AB1308" s="92">
        <f t="shared" si="123"/>
        <v>0</v>
      </c>
      <c r="AC1308" s="92"/>
      <c r="AD1308" s="92">
        <v>500007520</v>
      </c>
      <c r="AE1308" s="92">
        <f t="shared" si="124"/>
        <v>500007520</v>
      </c>
      <c r="AF1308" s="93">
        <v>0</v>
      </c>
      <c r="AG1308" s="105"/>
      <c r="AH1308" s="108"/>
      <c r="AI1308" s="109" t="s">
        <v>4346</v>
      </c>
      <c r="AJ1308" s="110" t="s">
        <v>4347</v>
      </c>
      <c r="AK1308" s="111"/>
      <c r="AL1308" s="105"/>
      <c r="AM1308" s="112" t="s">
        <v>2106</v>
      </c>
      <c r="AN1308" s="107"/>
      <c r="AO1308" s="107"/>
      <c r="AP1308" s="107"/>
      <c r="AQ1308" s="107"/>
      <c r="AR1308" s="107"/>
      <c r="AS1308" s="107"/>
      <c r="AT1308" s="107"/>
      <c r="AU1308" s="107"/>
      <c r="AV1308" s="107"/>
      <c r="AW1308" s="107"/>
      <c r="AX1308" s="107"/>
      <c r="AY1308" s="107"/>
      <c r="AZ1308" s="107"/>
      <c r="BA1308" s="107"/>
      <c r="BB1308" s="107"/>
      <c r="BC1308" s="107"/>
      <c r="BD1308" s="107"/>
      <c r="BE1308" s="107"/>
      <c r="BF1308" s="107"/>
      <c r="BG1308" s="107"/>
      <c r="BH1308" s="107"/>
      <c r="BI1308" s="107"/>
      <c r="BJ1308" s="107"/>
      <c r="BK1308" s="107"/>
      <c r="BL1308" s="107"/>
      <c r="BM1308" s="107"/>
      <c r="BN1308" s="107"/>
      <c r="BO1308" s="107"/>
      <c r="BP1308" s="107"/>
      <c r="BQ1308" s="107"/>
      <c r="BR1308" s="107"/>
      <c r="BS1308" s="107"/>
      <c r="BT1308" s="107"/>
      <c r="BU1308" s="107"/>
      <c r="BV1308" s="107"/>
      <c r="BW1308" s="107"/>
      <c r="BX1308" s="107"/>
      <c r="BY1308" s="107"/>
      <c r="BZ1308" s="107"/>
      <c r="CA1308" s="107"/>
      <c r="CB1308" s="107"/>
      <c r="CC1308" s="107"/>
      <c r="CD1308" s="107"/>
      <c r="CE1308" s="107"/>
      <c r="CF1308" s="107"/>
      <c r="CG1308" s="107"/>
      <c r="CH1308" s="107"/>
      <c r="CI1308" s="107"/>
      <c r="CJ1308" s="107"/>
      <c r="CK1308" s="107"/>
      <c r="CL1308" s="107"/>
      <c r="CM1308" s="107"/>
      <c r="CN1308" s="118"/>
      <c r="CO1308" s="119"/>
      <c r="CP1308" s="118"/>
      <c r="CQ1308" s="119"/>
      <c r="CR1308" s="118"/>
      <c r="CS1308" s="119"/>
      <c r="CT1308" s="113"/>
      <c r="CU1308" s="118"/>
      <c r="CV1308" s="99">
        <f t="shared" si="125"/>
        <v>0</v>
      </c>
      <c r="CW1308" s="118"/>
      <c r="CX1308" s="119"/>
      <c r="CY1308" s="119"/>
      <c r="CZ1308" s="119"/>
      <c r="DA1308" s="118"/>
      <c r="DB1308" s="119"/>
      <c r="DC1308" s="111"/>
      <c r="DD1308" s="119"/>
      <c r="DE1308" s="111"/>
      <c r="DF1308" s="46"/>
    </row>
    <row r="1309" spans="1:110" s="42" customFormat="1" ht="24" x14ac:dyDescent="0.2">
      <c r="A1309" s="89">
        <v>40694</v>
      </c>
      <c r="B1309" s="106" t="s">
        <v>4349</v>
      </c>
      <c r="C1309" s="106" t="s">
        <v>4349</v>
      </c>
      <c r="D1309" s="90" t="s">
        <v>4264</v>
      </c>
      <c r="E1309" s="90" t="str">
        <f>VLOOKUP(B1309&amp;C1309,Divipola!$C$2:$F$1138,4,FALSE)</f>
        <v>00000</v>
      </c>
      <c r="F1309" s="90"/>
      <c r="G1309" s="129"/>
      <c r="H1309" s="129"/>
      <c r="I1309" s="129"/>
      <c r="J1309" s="129"/>
      <c r="K1309" s="129"/>
      <c r="L1309" s="129"/>
      <c r="M1309" s="129"/>
      <c r="N1309" s="129"/>
      <c r="O1309" s="129"/>
      <c r="P1309" s="129"/>
      <c r="Q1309" s="129"/>
      <c r="R1309" s="129"/>
      <c r="S1309" s="129"/>
      <c r="T1309" s="129"/>
      <c r="U1309" s="129"/>
      <c r="V1309" s="129"/>
      <c r="W1309" s="107"/>
      <c r="X1309" s="105"/>
      <c r="Y1309" s="92">
        <f t="shared" si="120"/>
        <v>0</v>
      </c>
      <c r="Z1309" s="92">
        <f t="shared" si="121"/>
        <v>0</v>
      </c>
      <c r="AA1309" s="92">
        <f t="shared" si="122"/>
        <v>0</v>
      </c>
      <c r="AB1309" s="92">
        <f t="shared" si="123"/>
        <v>0</v>
      </c>
      <c r="AC1309" s="92">
        <f>3000*23000</f>
        <v>69000000</v>
      </c>
      <c r="AD1309" s="92">
        <v>0</v>
      </c>
      <c r="AE1309" s="92">
        <f t="shared" si="124"/>
        <v>69000000</v>
      </c>
      <c r="AF1309" s="93">
        <v>0</v>
      </c>
      <c r="AG1309" s="105"/>
      <c r="AH1309" s="108"/>
      <c r="AI1309" s="109" t="s">
        <v>4346</v>
      </c>
      <c r="AJ1309" s="110" t="s">
        <v>4347</v>
      </c>
      <c r="AK1309" s="111"/>
      <c r="AL1309" s="105"/>
      <c r="AM1309" s="112" t="s">
        <v>1109</v>
      </c>
      <c r="AN1309" s="107"/>
      <c r="AO1309" s="107"/>
      <c r="AP1309" s="107"/>
      <c r="AQ1309" s="107"/>
      <c r="AR1309" s="107"/>
      <c r="AS1309" s="107"/>
      <c r="AT1309" s="107"/>
      <c r="AU1309" s="107"/>
      <c r="AV1309" s="107"/>
      <c r="AW1309" s="107"/>
      <c r="AX1309" s="107"/>
      <c r="AY1309" s="107"/>
      <c r="AZ1309" s="107"/>
      <c r="BA1309" s="107"/>
      <c r="BB1309" s="107"/>
      <c r="BC1309" s="107"/>
      <c r="BD1309" s="107"/>
      <c r="BE1309" s="107"/>
      <c r="BF1309" s="107"/>
      <c r="BG1309" s="107"/>
      <c r="BH1309" s="107"/>
      <c r="BI1309" s="107"/>
      <c r="BJ1309" s="107"/>
      <c r="BK1309" s="107"/>
      <c r="BL1309" s="107"/>
      <c r="BM1309" s="107"/>
      <c r="BN1309" s="107"/>
      <c r="BO1309" s="107"/>
      <c r="BP1309" s="107"/>
      <c r="BQ1309" s="107"/>
      <c r="BR1309" s="107"/>
      <c r="BS1309" s="107"/>
      <c r="BT1309" s="107"/>
      <c r="BU1309" s="107"/>
      <c r="BV1309" s="107"/>
      <c r="BW1309" s="107"/>
      <c r="BX1309" s="107"/>
      <c r="BY1309" s="107"/>
      <c r="BZ1309" s="107"/>
      <c r="CA1309" s="107"/>
      <c r="CB1309" s="107"/>
      <c r="CC1309" s="107"/>
      <c r="CD1309" s="107"/>
      <c r="CE1309" s="107"/>
      <c r="CF1309" s="107"/>
      <c r="CG1309" s="107"/>
      <c r="CH1309" s="107"/>
      <c r="CI1309" s="107"/>
      <c r="CJ1309" s="107"/>
      <c r="CK1309" s="107"/>
      <c r="CL1309" s="107"/>
      <c r="CM1309" s="107"/>
      <c r="CN1309" s="118"/>
      <c r="CO1309" s="119"/>
      <c r="CP1309" s="118"/>
      <c r="CQ1309" s="119"/>
      <c r="CR1309" s="118"/>
      <c r="CS1309" s="119"/>
      <c r="CT1309" s="113"/>
      <c r="CU1309" s="118"/>
      <c r="CV1309" s="99">
        <f t="shared" si="125"/>
        <v>0</v>
      </c>
      <c r="CW1309" s="118"/>
      <c r="CX1309" s="119"/>
      <c r="CY1309" s="119"/>
      <c r="CZ1309" s="119"/>
      <c r="DA1309" s="118"/>
      <c r="DB1309" s="119"/>
      <c r="DC1309" s="111"/>
      <c r="DD1309" s="119"/>
      <c r="DE1309" s="111"/>
      <c r="DF1309" s="46"/>
    </row>
    <row r="1310" spans="1:110" s="42" customFormat="1" ht="22.5" x14ac:dyDescent="0.2">
      <c r="A1310" s="89">
        <v>40694</v>
      </c>
      <c r="B1310" s="106" t="s">
        <v>4387</v>
      </c>
      <c r="C1310" s="106" t="s">
        <v>2243</v>
      </c>
      <c r="D1310" s="90" t="s">
        <v>2362</v>
      </c>
      <c r="E1310" s="90" t="str">
        <f>VLOOKUP(B1310&amp;C1310,Divipola!$C$2:$F$1138,4,FALSE)</f>
        <v>52083</v>
      </c>
      <c r="F1310" s="90"/>
      <c r="G1310" s="129"/>
      <c r="H1310" s="129"/>
      <c r="I1310" s="129"/>
      <c r="J1310" s="129">
        <v>76</v>
      </c>
      <c r="K1310" s="129">
        <v>20</v>
      </c>
      <c r="L1310" s="129"/>
      <c r="M1310" s="129">
        <v>20</v>
      </c>
      <c r="N1310" s="129"/>
      <c r="O1310" s="129"/>
      <c r="P1310" s="129"/>
      <c r="Q1310" s="129"/>
      <c r="R1310" s="129"/>
      <c r="S1310" s="129"/>
      <c r="T1310" s="129"/>
      <c r="U1310" s="129"/>
      <c r="V1310" s="129"/>
      <c r="W1310" s="107"/>
      <c r="X1310" s="105"/>
      <c r="Y1310" s="92">
        <f t="shared" ref="Y1310:Y1373" si="126">CV1310</f>
        <v>0</v>
      </c>
      <c r="Z1310" s="92">
        <f t="shared" ref="Z1310:Z1373" si="127">CZ1310</f>
        <v>0</v>
      </c>
      <c r="AA1310" s="92">
        <f t="shared" ref="AA1310:AA1373" si="128">DB1310+DD1310</f>
        <v>0</v>
      </c>
      <c r="AB1310" s="92">
        <f t="shared" ref="AB1310:AB1373" si="129">CX1310</f>
        <v>0</v>
      </c>
      <c r="AC1310" s="92"/>
      <c r="AD1310" s="92">
        <v>0</v>
      </c>
      <c r="AE1310" s="92">
        <f t="shared" ref="AE1310:AE1373" si="130">Y1310+Z1310+AA1310+AB1310+AC1310+AD1310</f>
        <v>0</v>
      </c>
      <c r="AF1310" s="93">
        <v>0</v>
      </c>
      <c r="AG1310" s="105"/>
      <c r="AH1310" s="108"/>
      <c r="AI1310" s="109" t="s">
        <v>4336</v>
      </c>
      <c r="AJ1310" s="110" t="s">
        <v>4337</v>
      </c>
      <c r="AK1310" s="111"/>
      <c r="AL1310" s="105" t="s">
        <v>1069</v>
      </c>
      <c r="AM1310" s="112"/>
      <c r="AN1310" s="107"/>
      <c r="AO1310" s="107"/>
      <c r="AP1310" s="107"/>
      <c r="AQ1310" s="107"/>
      <c r="AR1310" s="107"/>
      <c r="AS1310" s="107"/>
      <c r="AT1310" s="107"/>
      <c r="AU1310" s="107"/>
      <c r="AV1310" s="107"/>
      <c r="AW1310" s="107"/>
      <c r="AX1310" s="107"/>
      <c r="AY1310" s="107"/>
      <c r="AZ1310" s="107"/>
      <c r="BA1310" s="107"/>
      <c r="BB1310" s="107"/>
      <c r="BC1310" s="107"/>
      <c r="BD1310" s="107"/>
      <c r="BE1310" s="107"/>
      <c r="BF1310" s="107"/>
      <c r="BG1310" s="107"/>
      <c r="BH1310" s="107"/>
      <c r="BI1310" s="107"/>
      <c r="BJ1310" s="107"/>
      <c r="BK1310" s="107"/>
      <c r="BL1310" s="107"/>
      <c r="BM1310" s="107"/>
      <c r="BN1310" s="107"/>
      <c r="BO1310" s="107"/>
      <c r="BP1310" s="107"/>
      <c r="BQ1310" s="107"/>
      <c r="BR1310" s="107"/>
      <c r="BS1310" s="107"/>
      <c r="BT1310" s="107"/>
      <c r="BU1310" s="107"/>
      <c r="BV1310" s="107"/>
      <c r="BW1310" s="107"/>
      <c r="BX1310" s="107"/>
      <c r="BY1310" s="107"/>
      <c r="BZ1310" s="107"/>
      <c r="CA1310" s="107"/>
      <c r="CB1310" s="107"/>
      <c r="CC1310" s="107"/>
      <c r="CD1310" s="107"/>
      <c r="CE1310" s="107"/>
      <c r="CF1310" s="107"/>
      <c r="CG1310" s="107"/>
      <c r="CH1310" s="107"/>
      <c r="CI1310" s="107"/>
      <c r="CJ1310" s="107"/>
      <c r="CK1310" s="107"/>
      <c r="CL1310" s="107"/>
      <c r="CM1310" s="107"/>
      <c r="CN1310" s="118"/>
      <c r="CO1310" s="119"/>
      <c r="CP1310" s="118"/>
      <c r="CQ1310" s="119"/>
      <c r="CR1310" s="118"/>
      <c r="CS1310" s="119"/>
      <c r="CT1310" s="113"/>
      <c r="CU1310" s="118"/>
      <c r="CV1310" s="99">
        <f t="shared" si="125"/>
        <v>0</v>
      </c>
      <c r="CW1310" s="118"/>
      <c r="CX1310" s="119"/>
      <c r="CY1310" s="119"/>
      <c r="CZ1310" s="119"/>
      <c r="DA1310" s="118"/>
      <c r="DB1310" s="119"/>
      <c r="DC1310" s="111"/>
      <c r="DD1310" s="119"/>
      <c r="DE1310" s="111"/>
      <c r="DF1310" s="46"/>
    </row>
    <row r="1311" spans="1:110" s="42" customFormat="1" ht="22.5" x14ac:dyDescent="0.2">
      <c r="A1311" s="89">
        <v>40694</v>
      </c>
      <c r="B1311" s="106" t="s">
        <v>4387</v>
      </c>
      <c r="C1311" s="106" t="s">
        <v>446</v>
      </c>
      <c r="D1311" s="90" t="s">
        <v>2362</v>
      </c>
      <c r="E1311" s="90" t="str">
        <f>VLOOKUP(B1311&amp;C1311,Divipola!$C$2:$F$1138,4,FALSE)</f>
        <v>52203</v>
      </c>
      <c r="F1311" s="90"/>
      <c r="G1311" s="129"/>
      <c r="H1311" s="129"/>
      <c r="I1311" s="129"/>
      <c r="J1311" s="129">
        <v>1093</v>
      </c>
      <c r="K1311" s="129">
        <v>262</v>
      </c>
      <c r="L1311" s="129">
        <v>65</v>
      </c>
      <c r="M1311" s="129">
        <v>197</v>
      </c>
      <c r="N1311" s="129"/>
      <c r="O1311" s="129"/>
      <c r="P1311" s="129"/>
      <c r="Q1311" s="129"/>
      <c r="R1311" s="129"/>
      <c r="S1311" s="129"/>
      <c r="T1311" s="129">
        <v>1</v>
      </c>
      <c r="U1311" s="129"/>
      <c r="V1311" s="129"/>
      <c r="W1311" s="107"/>
      <c r="X1311" s="105"/>
      <c r="Y1311" s="92">
        <f t="shared" si="126"/>
        <v>0</v>
      </c>
      <c r="Z1311" s="92">
        <f t="shared" si="127"/>
        <v>0</v>
      </c>
      <c r="AA1311" s="92">
        <f t="shared" si="128"/>
        <v>0</v>
      </c>
      <c r="AB1311" s="92">
        <f t="shared" si="129"/>
        <v>0</v>
      </c>
      <c r="AC1311" s="92"/>
      <c r="AD1311" s="92">
        <v>0</v>
      </c>
      <c r="AE1311" s="92">
        <f t="shared" si="130"/>
        <v>0</v>
      </c>
      <c r="AF1311" s="93">
        <v>0</v>
      </c>
      <c r="AG1311" s="105"/>
      <c r="AH1311" s="108"/>
      <c r="AI1311" s="109" t="s">
        <v>4336</v>
      </c>
      <c r="AJ1311" s="110" t="s">
        <v>4337</v>
      </c>
      <c r="AK1311" s="111"/>
      <c r="AL1311" s="105" t="s">
        <v>1069</v>
      </c>
      <c r="AM1311" s="112" t="s">
        <v>100</v>
      </c>
      <c r="AN1311" s="107"/>
      <c r="AO1311" s="107"/>
      <c r="AP1311" s="107"/>
      <c r="AQ1311" s="107"/>
      <c r="AR1311" s="107"/>
      <c r="AS1311" s="107"/>
      <c r="AT1311" s="107"/>
      <c r="AU1311" s="107"/>
      <c r="AV1311" s="107"/>
      <c r="AW1311" s="107"/>
      <c r="AX1311" s="107"/>
      <c r="AY1311" s="107"/>
      <c r="AZ1311" s="107"/>
      <c r="BA1311" s="107"/>
      <c r="BB1311" s="107"/>
      <c r="BC1311" s="107"/>
      <c r="BD1311" s="107"/>
      <c r="BE1311" s="107"/>
      <c r="BF1311" s="107"/>
      <c r="BG1311" s="107"/>
      <c r="BH1311" s="107"/>
      <c r="BI1311" s="107"/>
      <c r="BJ1311" s="107"/>
      <c r="BK1311" s="107"/>
      <c r="BL1311" s="107"/>
      <c r="BM1311" s="107"/>
      <c r="BN1311" s="107"/>
      <c r="BO1311" s="107"/>
      <c r="BP1311" s="107"/>
      <c r="BQ1311" s="107"/>
      <c r="BR1311" s="107"/>
      <c r="BS1311" s="107"/>
      <c r="BT1311" s="107"/>
      <c r="BU1311" s="107"/>
      <c r="BV1311" s="107"/>
      <c r="BW1311" s="107"/>
      <c r="BX1311" s="107"/>
      <c r="BY1311" s="107"/>
      <c r="BZ1311" s="107"/>
      <c r="CA1311" s="107"/>
      <c r="CB1311" s="107"/>
      <c r="CC1311" s="107"/>
      <c r="CD1311" s="107"/>
      <c r="CE1311" s="107"/>
      <c r="CF1311" s="107"/>
      <c r="CG1311" s="107"/>
      <c r="CH1311" s="107"/>
      <c r="CI1311" s="107"/>
      <c r="CJ1311" s="107"/>
      <c r="CK1311" s="107"/>
      <c r="CL1311" s="107"/>
      <c r="CM1311" s="107"/>
      <c r="CN1311" s="118"/>
      <c r="CO1311" s="119"/>
      <c r="CP1311" s="118"/>
      <c r="CQ1311" s="119"/>
      <c r="CR1311" s="118"/>
      <c r="CS1311" s="119"/>
      <c r="CT1311" s="113"/>
      <c r="CU1311" s="118"/>
      <c r="CV1311" s="99">
        <f t="shared" si="125"/>
        <v>0</v>
      </c>
      <c r="CW1311" s="118"/>
      <c r="CX1311" s="119"/>
      <c r="CY1311" s="119"/>
      <c r="CZ1311" s="119"/>
      <c r="DA1311" s="118"/>
      <c r="DB1311" s="119"/>
      <c r="DC1311" s="111"/>
      <c r="DD1311" s="119"/>
      <c r="DE1311" s="111"/>
      <c r="DF1311" s="46"/>
    </row>
    <row r="1312" spans="1:110" s="42" customFormat="1" ht="36" x14ac:dyDescent="0.2">
      <c r="A1312" s="89">
        <v>40694</v>
      </c>
      <c r="B1312" s="106" t="s">
        <v>4387</v>
      </c>
      <c r="C1312" s="106" t="s">
        <v>3233</v>
      </c>
      <c r="D1312" s="90" t="s">
        <v>2362</v>
      </c>
      <c r="E1312" s="90" t="str">
        <f>VLOOKUP(B1312&amp;C1312,Divipola!$C$2:$F$1138,4,FALSE)</f>
        <v>52838</v>
      </c>
      <c r="F1312" s="90"/>
      <c r="G1312" s="129"/>
      <c r="H1312" s="129"/>
      <c r="I1312" s="129"/>
      <c r="J1312" s="129">
        <v>1004</v>
      </c>
      <c r="K1312" s="129">
        <v>251</v>
      </c>
      <c r="L1312" s="129"/>
      <c r="M1312" s="129">
        <v>251</v>
      </c>
      <c r="N1312" s="129"/>
      <c r="O1312" s="129"/>
      <c r="P1312" s="129"/>
      <c r="Q1312" s="129"/>
      <c r="R1312" s="129"/>
      <c r="S1312" s="129"/>
      <c r="T1312" s="129">
        <v>4</v>
      </c>
      <c r="U1312" s="129"/>
      <c r="V1312" s="129"/>
      <c r="W1312" s="107"/>
      <c r="X1312" s="105"/>
      <c r="Y1312" s="92">
        <f t="shared" si="126"/>
        <v>0</v>
      </c>
      <c r="Z1312" s="92">
        <f t="shared" si="127"/>
        <v>0</v>
      </c>
      <c r="AA1312" s="92">
        <f t="shared" si="128"/>
        <v>0</v>
      </c>
      <c r="AB1312" s="92">
        <f t="shared" si="129"/>
        <v>0</v>
      </c>
      <c r="AC1312" s="92"/>
      <c r="AD1312" s="92">
        <v>0</v>
      </c>
      <c r="AE1312" s="92">
        <f t="shared" si="130"/>
        <v>0</v>
      </c>
      <c r="AF1312" s="93">
        <v>0</v>
      </c>
      <c r="AG1312" s="105"/>
      <c r="AH1312" s="108"/>
      <c r="AI1312" s="109" t="s">
        <v>4336</v>
      </c>
      <c r="AJ1312" s="110" t="s">
        <v>4337</v>
      </c>
      <c r="AK1312" s="111"/>
      <c r="AL1312" s="105" t="s">
        <v>1069</v>
      </c>
      <c r="AM1312" s="112" t="s">
        <v>99</v>
      </c>
      <c r="AN1312" s="107"/>
      <c r="AO1312" s="107"/>
      <c r="AP1312" s="107"/>
      <c r="AQ1312" s="107"/>
      <c r="AR1312" s="107"/>
      <c r="AS1312" s="107"/>
      <c r="AT1312" s="107"/>
      <c r="AU1312" s="107"/>
      <c r="AV1312" s="107"/>
      <c r="AW1312" s="107"/>
      <c r="AX1312" s="107"/>
      <c r="AY1312" s="107"/>
      <c r="AZ1312" s="107"/>
      <c r="BA1312" s="107"/>
      <c r="BB1312" s="107"/>
      <c r="BC1312" s="107"/>
      <c r="BD1312" s="107"/>
      <c r="BE1312" s="107"/>
      <c r="BF1312" s="107"/>
      <c r="BG1312" s="107"/>
      <c r="BH1312" s="107"/>
      <c r="BI1312" s="107"/>
      <c r="BJ1312" s="107"/>
      <c r="BK1312" s="107"/>
      <c r="BL1312" s="107"/>
      <c r="BM1312" s="107"/>
      <c r="BN1312" s="107"/>
      <c r="BO1312" s="107"/>
      <c r="BP1312" s="107"/>
      <c r="BQ1312" s="107"/>
      <c r="BR1312" s="107"/>
      <c r="BS1312" s="107"/>
      <c r="BT1312" s="107"/>
      <c r="BU1312" s="107"/>
      <c r="BV1312" s="107"/>
      <c r="BW1312" s="107"/>
      <c r="BX1312" s="107"/>
      <c r="BY1312" s="107"/>
      <c r="BZ1312" s="107"/>
      <c r="CA1312" s="107"/>
      <c r="CB1312" s="107"/>
      <c r="CC1312" s="107"/>
      <c r="CD1312" s="107"/>
      <c r="CE1312" s="107"/>
      <c r="CF1312" s="107"/>
      <c r="CG1312" s="107"/>
      <c r="CH1312" s="107"/>
      <c r="CI1312" s="107"/>
      <c r="CJ1312" s="107"/>
      <c r="CK1312" s="107"/>
      <c r="CL1312" s="107"/>
      <c r="CM1312" s="107"/>
      <c r="CN1312" s="118"/>
      <c r="CO1312" s="119"/>
      <c r="CP1312" s="118"/>
      <c r="CQ1312" s="119"/>
      <c r="CR1312" s="118"/>
      <c r="CS1312" s="119"/>
      <c r="CT1312" s="113"/>
      <c r="CU1312" s="118"/>
      <c r="CV1312" s="99">
        <f t="shared" si="125"/>
        <v>0</v>
      </c>
      <c r="CW1312" s="118"/>
      <c r="CX1312" s="119"/>
      <c r="CY1312" s="119"/>
      <c r="CZ1312" s="119"/>
      <c r="DA1312" s="118"/>
      <c r="DB1312" s="119"/>
      <c r="DC1312" s="111"/>
      <c r="DD1312" s="119"/>
      <c r="DE1312" s="111"/>
      <c r="DF1312" s="46"/>
    </row>
    <row r="1313" spans="1:110" s="42" customFormat="1" ht="36" x14ac:dyDescent="0.2">
      <c r="A1313" s="89">
        <v>40694</v>
      </c>
      <c r="B1313" s="106" t="s">
        <v>2226</v>
      </c>
      <c r="C1313" s="106" t="s">
        <v>2942</v>
      </c>
      <c r="D1313" s="90" t="s">
        <v>4264</v>
      </c>
      <c r="E1313" s="90" t="str">
        <f>VLOOKUP(B1313&amp;C1313,Divipola!$C$2:$F$1138,4,FALSE)</f>
        <v>68377</v>
      </c>
      <c r="F1313" s="90"/>
      <c r="G1313" s="129"/>
      <c r="H1313" s="129"/>
      <c r="I1313" s="129"/>
      <c r="J1313" s="129">
        <f>213*5</f>
        <v>1065</v>
      </c>
      <c r="K1313" s="129">
        <v>213</v>
      </c>
      <c r="L1313" s="129"/>
      <c r="M1313" s="129">
        <v>213</v>
      </c>
      <c r="N1313" s="129"/>
      <c r="O1313" s="129"/>
      <c r="P1313" s="129"/>
      <c r="Q1313" s="129"/>
      <c r="R1313" s="129"/>
      <c r="S1313" s="129"/>
      <c r="T1313" s="129"/>
      <c r="U1313" s="129"/>
      <c r="V1313" s="129"/>
      <c r="W1313" s="107"/>
      <c r="X1313" s="105"/>
      <c r="Y1313" s="92">
        <f t="shared" si="126"/>
        <v>16337100</v>
      </c>
      <c r="Z1313" s="92">
        <f t="shared" si="127"/>
        <v>18105000</v>
      </c>
      <c r="AA1313" s="92">
        <f t="shared" si="128"/>
        <v>0</v>
      </c>
      <c r="AB1313" s="92">
        <f t="shared" si="129"/>
        <v>0</v>
      </c>
      <c r="AC1313" s="92"/>
      <c r="AD1313" s="92">
        <v>20000000</v>
      </c>
      <c r="AE1313" s="92">
        <f t="shared" si="130"/>
        <v>54442100</v>
      </c>
      <c r="AF1313" s="93">
        <v>0</v>
      </c>
      <c r="AG1313" s="105"/>
      <c r="AH1313" s="108"/>
      <c r="AI1313" s="109" t="s">
        <v>4346</v>
      </c>
      <c r="AJ1313" s="110" t="s">
        <v>4347</v>
      </c>
      <c r="AK1313" s="111"/>
      <c r="AL1313" s="105"/>
      <c r="AM1313" s="112" t="s">
        <v>2101</v>
      </c>
      <c r="AN1313" s="107"/>
      <c r="AO1313" s="107"/>
      <c r="AP1313" s="107"/>
      <c r="AQ1313" s="107"/>
      <c r="AR1313" s="107"/>
      <c r="AS1313" s="107"/>
      <c r="AT1313" s="107"/>
      <c r="AU1313" s="107"/>
      <c r="AV1313" s="107"/>
      <c r="AW1313" s="107"/>
      <c r="AX1313" s="107"/>
      <c r="AY1313" s="107"/>
      <c r="AZ1313" s="107"/>
      <c r="BA1313" s="107"/>
      <c r="BB1313" s="107"/>
      <c r="BC1313" s="107"/>
      <c r="BD1313" s="107"/>
      <c r="BE1313" s="107"/>
      <c r="BF1313" s="107"/>
      <c r="BG1313" s="107"/>
      <c r="BH1313" s="107"/>
      <c r="BI1313" s="107"/>
      <c r="BJ1313" s="107"/>
      <c r="BK1313" s="107"/>
      <c r="BL1313" s="107"/>
      <c r="BM1313" s="107"/>
      <c r="BN1313" s="107"/>
      <c r="BO1313" s="107"/>
      <c r="BP1313" s="107"/>
      <c r="BQ1313" s="107"/>
      <c r="BR1313" s="107"/>
      <c r="BS1313" s="107"/>
      <c r="BT1313" s="107"/>
      <c r="BU1313" s="107"/>
      <c r="BV1313" s="107"/>
      <c r="BW1313" s="107"/>
      <c r="BX1313" s="107"/>
      <c r="BY1313" s="107"/>
      <c r="BZ1313" s="107"/>
      <c r="CA1313" s="107"/>
      <c r="CB1313" s="107"/>
      <c r="CC1313" s="107"/>
      <c r="CD1313" s="107"/>
      <c r="CE1313" s="107"/>
      <c r="CF1313" s="107"/>
      <c r="CG1313" s="107"/>
      <c r="CH1313" s="107"/>
      <c r="CI1313" s="107"/>
      <c r="CJ1313" s="107"/>
      <c r="CK1313" s="107"/>
      <c r="CL1313" s="107"/>
      <c r="CM1313" s="107"/>
      <c r="CN1313" s="118"/>
      <c r="CO1313" s="119"/>
      <c r="CP1313" s="118">
        <v>213</v>
      </c>
      <c r="CQ1313" s="119">
        <f>213*37000</f>
        <v>7881000</v>
      </c>
      <c r="CR1313" s="118">
        <v>213</v>
      </c>
      <c r="CS1313" s="119">
        <f>213*39700</f>
        <v>8456100</v>
      </c>
      <c r="CT1313" s="113"/>
      <c r="CU1313" s="118"/>
      <c r="CV1313" s="99">
        <f t="shared" si="125"/>
        <v>16337100</v>
      </c>
      <c r="CW1313" s="118"/>
      <c r="CX1313" s="119"/>
      <c r="CY1313" s="119">
        <v>213</v>
      </c>
      <c r="CZ1313" s="119">
        <f>213*85000</f>
        <v>18105000</v>
      </c>
      <c r="DA1313" s="118"/>
      <c r="DB1313" s="119"/>
      <c r="DC1313" s="111"/>
      <c r="DD1313" s="119"/>
      <c r="DE1313" s="111"/>
      <c r="DF1313" s="46"/>
    </row>
    <row r="1314" spans="1:110" s="42" customFormat="1" x14ac:dyDescent="0.2">
      <c r="A1314" s="89">
        <v>40695</v>
      </c>
      <c r="B1314" s="106" t="s">
        <v>2218</v>
      </c>
      <c r="C1314" s="106" t="s">
        <v>2259</v>
      </c>
      <c r="D1314" s="90" t="s">
        <v>2362</v>
      </c>
      <c r="E1314" s="90" t="str">
        <f>VLOOKUP(B1314&amp;C1314,Divipola!$C$2:$F$1138,4,FALSE)</f>
        <v>05079</v>
      </c>
      <c r="F1314" s="90"/>
      <c r="G1314" s="129"/>
      <c r="H1314" s="129"/>
      <c r="I1314" s="129"/>
      <c r="J1314" s="129">
        <v>54</v>
      </c>
      <c r="K1314" s="129">
        <v>10</v>
      </c>
      <c r="L1314" s="129">
        <v>10</v>
      </c>
      <c r="M1314" s="129"/>
      <c r="N1314" s="129"/>
      <c r="O1314" s="129"/>
      <c r="P1314" s="129">
        <v>1</v>
      </c>
      <c r="Q1314" s="129"/>
      <c r="R1314" s="129"/>
      <c r="S1314" s="129"/>
      <c r="T1314" s="129"/>
      <c r="U1314" s="129"/>
      <c r="V1314" s="129"/>
      <c r="W1314" s="107"/>
      <c r="X1314" s="105"/>
      <c r="Y1314" s="92">
        <f t="shared" si="126"/>
        <v>0</v>
      </c>
      <c r="Z1314" s="92">
        <f t="shared" si="127"/>
        <v>0</v>
      </c>
      <c r="AA1314" s="92">
        <f t="shared" si="128"/>
        <v>0</v>
      </c>
      <c r="AB1314" s="92">
        <f t="shared" si="129"/>
        <v>0</v>
      </c>
      <c r="AC1314" s="92"/>
      <c r="AD1314" s="92">
        <v>0</v>
      </c>
      <c r="AE1314" s="92">
        <f t="shared" si="130"/>
        <v>0</v>
      </c>
      <c r="AF1314" s="93">
        <v>0</v>
      </c>
      <c r="AG1314" s="105"/>
      <c r="AH1314" s="108"/>
      <c r="AI1314" s="109" t="s">
        <v>4336</v>
      </c>
      <c r="AJ1314" s="110" t="s">
        <v>4337</v>
      </c>
      <c r="AK1314" s="280"/>
      <c r="AL1314" s="281"/>
      <c r="AM1314" s="112" t="s">
        <v>3648</v>
      </c>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c r="BJ1314" s="107"/>
      <c r="BK1314" s="107"/>
      <c r="BL1314" s="107"/>
      <c r="BM1314" s="107"/>
      <c r="BN1314" s="107"/>
      <c r="BO1314" s="107"/>
      <c r="BP1314" s="107"/>
      <c r="BQ1314" s="107"/>
      <c r="BR1314" s="107"/>
      <c r="BS1314" s="107"/>
      <c r="BT1314" s="107"/>
      <c r="BU1314" s="107"/>
      <c r="BV1314" s="107"/>
      <c r="BW1314" s="107"/>
      <c r="BX1314" s="107"/>
      <c r="BY1314" s="107"/>
      <c r="BZ1314" s="107"/>
      <c r="CA1314" s="107"/>
      <c r="CB1314" s="107"/>
      <c r="CC1314" s="107"/>
      <c r="CD1314" s="107"/>
      <c r="CE1314" s="107"/>
      <c r="CF1314" s="107"/>
      <c r="CG1314" s="107"/>
      <c r="CH1314" s="107"/>
      <c r="CI1314" s="107"/>
      <c r="CJ1314" s="107"/>
      <c r="CK1314" s="107"/>
      <c r="CL1314" s="107"/>
      <c r="CM1314" s="107"/>
      <c r="CN1314" s="118"/>
      <c r="CO1314" s="119"/>
      <c r="CP1314" s="118"/>
      <c r="CQ1314" s="119"/>
      <c r="CR1314" s="118"/>
      <c r="CS1314" s="119"/>
      <c r="CT1314" s="113"/>
      <c r="CU1314" s="118"/>
      <c r="CV1314" s="99">
        <f t="shared" si="125"/>
        <v>0</v>
      </c>
      <c r="CW1314" s="118"/>
      <c r="CX1314" s="119"/>
      <c r="CY1314" s="119"/>
      <c r="CZ1314" s="119"/>
      <c r="DA1314" s="118"/>
      <c r="DB1314" s="119"/>
      <c r="DC1314" s="111"/>
      <c r="DD1314" s="119"/>
      <c r="DE1314" s="111"/>
      <c r="DF1314" s="46"/>
    </row>
    <row r="1315" spans="1:110" s="42" customFormat="1" ht="24" x14ac:dyDescent="0.2">
      <c r="A1315" s="89">
        <v>40695</v>
      </c>
      <c r="B1315" s="106" t="s">
        <v>2218</v>
      </c>
      <c r="C1315" s="106" t="s">
        <v>3533</v>
      </c>
      <c r="D1315" s="90" t="s">
        <v>4264</v>
      </c>
      <c r="E1315" s="90" t="str">
        <f>VLOOKUP(B1315&amp;C1315,Divipola!$C$2:$F$1138,4,FALSE)</f>
        <v>05129</v>
      </c>
      <c r="F1315" s="90"/>
      <c r="G1315" s="129"/>
      <c r="H1315" s="129"/>
      <c r="I1315" s="129"/>
      <c r="J1315" s="129">
        <v>32</v>
      </c>
      <c r="K1315" s="129">
        <v>7</v>
      </c>
      <c r="L1315" s="129">
        <v>4</v>
      </c>
      <c r="M1315" s="129">
        <v>3</v>
      </c>
      <c r="N1315" s="129"/>
      <c r="O1315" s="129"/>
      <c r="P1315" s="129"/>
      <c r="Q1315" s="129"/>
      <c r="R1315" s="129"/>
      <c r="S1315" s="129"/>
      <c r="T1315" s="129"/>
      <c r="U1315" s="129"/>
      <c r="V1315" s="129"/>
      <c r="W1315" s="107"/>
      <c r="X1315" s="105"/>
      <c r="Y1315" s="92">
        <f t="shared" si="126"/>
        <v>0</v>
      </c>
      <c r="Z1315" s="92">
        <f t="shared" si="127"/>
        <v>0</v>
      </c>
      <c r="AA1315" s="92">
        <f t="shared" si="128"/>
        <v>0</v>
      </c>
      <c r="AB1315" s="92">
        <f t="shared" si="129"/>
        <v>0</v>
      </c>
      <c r="AC1315" s="92"/>
      <c r="AD1315" s="92">
        <v>0</v>
      </c>
      <c r="AE1315" s="92">
        <f t="shared" si="130"/>
        <v>0</v>
      </c>
      <c r="AF1315" s="93">
        <v>0</v>
      </c>
      <c r="AG1315" s="105"/>
      <c r="AH1315" s="108"/>
      <c r="AI1315" s="109" t="s">
        <v>4336</v>
      </c>
      <c r="AJ1315" s="110" t="s">
        <v>4337</v>
      </c>
      <c r="AK1315" s="280"/>
      <c r="AL1315" s="281"/>
      <c r="AM1315" s="112" t="s">
        <v>3653</v>
      </c>
      <c r="AN1315" s="107"/>
      <c r="AO1315" s="107"/>
      <c r="AP1315" s="107"/>
      <c r="AQ1315" s="107"/>
      <c r="AR1315" s="107"/>
      <c r="AS1315" s="107"/>
      <c r="AT1315" s="107"/>
      <c r="AU1315" s="107"/>
      <c r="AV1315" s="107"/>
      <c r="AW1315" s="107"/>
      <c r="AX1315" s="107"/>
      <c r="AY1315" s="107"/>
      <c r="AZ1315" s="107"/>
      <c r="BA1315" s="107"/>
      <c r="BB1315" s="107"/>
      <c r="BC1315" s="107"/>
      <c r="BD1315" s="107"/>
      <c r="BE1315" s="107"/>
      <c r="BF1315" s="107"/>
      <c r="BG1315" s="107"/>
      <c r="BH1315" s="107"/>
      <c r="BI1315" s="107"/>
      <c r="BJ1315" s="107"/>
      <c r="BK1315" s="107"/>
      <c r="BL1315" s="107"/>
      <c r="BM1315" s="107"/>
      <c r="BN1315" s="107"/>
      <c r="BO1315" s="107"/>
      <c r="BP1315" s="107"/>
      <c r="BQ1315" s="107"/>
      <c r="BR1315" s="107"/>
      <c r="BS1315" s="107"/>
      <c r="BT1315" s="107"/>
      <c r="BU1315" s="107"/>
      <c r="BV1315" s="107"/>
      <c r="BW1315" s="107"/>
      <c r="BX1315" s="107"/>
      <c r="BY1315" s="107"/>
      <c r="BZ1315" s="107"/>
      <c r="CA1315" s="107"/>
      <c r="CB1315" s="107"/>
      <c r="CC1315" s="107"/>
      <c r="CD1315" s="107"/>
      <c r="CE1315" s="107"/>
      <c r="CF1315" s="107"/>
      <c r="CG1315" s="107"/>
      <c r="CH1315" s="107"/>
      <c r="CI1315" s="107"/>
      <c r="CJ1315" s="107"/>
      <c r="CK1315" s="107"/>
      <c r="CL1315" s="107"/>
      <c r="CM1315" s="107"/>
      <c r="CN1315" s="118"/>
      <c r="CO1315" s="119"/>
      <c r="CP1315" s="118"/>
      <c r="CQ1315" s="119"/>
      <c r="CR1315" s="118"/>
      <c r="CS1315" s="119"/>
      <c r="CT1315" s="113"/>
      <c r="CU1315" s="118"/>
      <c r="CV1315" s="99">
        <f t="shared" si="125"/>
        <v>0</v>
      </c>
      <c r="CW1315" s="118"/>
      <c r="CX1315" s="119"/>
      <c r="CY1315" s="119"/>
      <c r="CZ1315" s="119"/>
      <c r="DA1315" s="118"/>
      <c r="DB1315" s="119"/>
      <c r="DC1315" s="111"/>
      <c r="DD1315" s="119"/>
      <c r="DE1315" s="111"/>
      <c r="DF1315" s="46"/>
    </row>
    <row r="1316" spans="1:110" s="42" customFormat="1" ht="22.5" x14ac:dyDescent="0.2">
      <c r="A1316" s="89">
        <v>40695</v>
      </c>
      <c r="B1316" s="106" t="s">
        <v>2218</v>
      </c>
      <c r="C1316" s="106" t="s">
        <v>2277</v>
      </c>
      <c r="D1316" s="90" t="s">
        <v>4298</v>
      </c>
      <c r="E1316" s="90" t="str">
        <f>VLOOKUP(B1316&amp;C1316,Divipola!$C$2:$F$1138,4,FALSE)</f>
        <v>05652</v>
      </c>
      <c r="F1316" s="90"/>
      <c r="G1316" s="129"/>
      <c r="H1316" s="129"/>
      <c r="I1316" s="129"/>
      <c r="J1316" s="129">
        <v>3</v>
      </c>
      <c r="K1316" s="129">
        <v>1</v>
      </c>
      <c r="L1316" s="129">
        <v>1</v>
      </c>
      <c r="M1316" s="129"/>
      <c r="N1316" s="129"/>
      <c r="O1316" s="129"/>
      <c r="P1316" s="129"/>
      <c r="Q1316" s="129"/>
      <c r="R1316" s="129"/>
      <c r="S1316" s="129"/>
      <c r="T1316" s="129"/>
      <c r="U1316" s="129"/>
      <c r="V1316" s="129"/>
      <c r="W1316" s="107"/>
      <c r="X1316" s="105"/>
      <c r="Y1316" s="92">
        <f t="shared" si="126"/>
        <v>0</v>
      </c>
      <c r="Z1316" s="92">
        <f t="shared" si="127"/>
        <v>0</v>
      </c>
      <c r="AA1316" s="92">
        <f t="shared" si="128"/>
        <v>0</v>
      </c>
      <c r="AB1316" s="92">
        <f t="shared" si="129"/>
        <v>0</v>
      </c>
      <c r="AC1316" s="92"/>
      <c r="AD1316" s="92">
        <v>0</v>
      </c>
      <c r="AE1316" s="92">
        <f t="shared" si="130"/>
        <v>0</v>
      </c>
      <c r="AF1316" s="93">
        <v>0</v>
      </c>
      <c r="AG1316" s="105"/>
      <c r="AH1316" s="108"/>
      <c r="AI1316" s="109" t="s">
        <v>4336</v>
      </c>
      <c r="AJ1316" s="110" t="s">
        <v>4337</v>
      </c>
      <c r="AK1316" s="280"/>
      <c r="AL1316" s="281"/>
      <c r="AM1316" s="112" t="s">
        <v>3654</v>
      </c>
      <c r="AN1316" s="107"/>
      <c r="AO1316" s="107"/>
      <c r="AP1316" s="107"/>
      <c r="AQ1316" s="107"/>
      <c r="AR1316" s="107"/>
      <c r="AS1316" s="107"/>
      <c r="AT1316" s="107"/>
      <c r="AU1316" s="107"/>
      <c r="AV1316" s="107"/>
      <c r="AW1316" s="107"/>
      <c r="AX1316" s="107"/>
      <c r="AY1316" s="107"/>
      <c r="AZ1316" s="107"/>
      <c r="BA1316" s="107"/>
      <c r="BB1316" s="107"/>
      <c r="BC1316" s="107"/>
      <c r="BD1316" s="107"/>
      <c r="BE1316" s="107"/>
      <c r="BF1316" s="107"/>
      <c r="BG1316" s="107"/>
      <c r="BH1316" s="107"/>
      <c r="BI1316" s="107"/>
      <c r="BJ1316" s="107"/>
      <c r="BK1316" s="107"/>
      <c r="BL1316" s="107"/>
      <c r="BM1316" s="107"/>
      <c r="BN1316" s="107"/>
      <c r="BO1316" s="107"/>
      <c r="BP1316" s="107"/>
      <c r="BQ1316" s="107"/>
      <c r="BR1316" s="107"/>
      <c r="BS1316" s="107"/>
      <c r="BT1316" s="107"/>
      <c r="BU1316" s="107"/>
      <c r="BV1316" s="107"/>
      <c r="BW1316" s="107"/>
      <c r="BX1316" s="107"/>
      <c r="BY1316" s="107"/>
      <c r="BZ1316" s="107"/>
      <c r="CA1316" s="107"/>
      <c r="CB1316" s="107"/>
      <c r="CC1316" s="107"/>
      <c r="CD1316" s="107"/>
      <c r="CE1316" s="107"/>
      <c r="CF1316" s="107"/>
      <c r="CG1316" s="107"/>
      <c r="CH1316" s="107"/>
      <c r="CI1316" s="107"/>
      <c r="CJ1316" s="107"/>
      <c r="CK1316" s="107"/>
      <c r="CL1316" s="107"/>
      <c r="CM1316" s="107"/>
      <c r="CN1316" s="118"/>
      <c r="CO1316" s="119"/>
      <c r="CP1316" s="118"/>
      <c r="CQ1316" s="119"/>
      <c r="CR1316" s="118"/>
      <c r="CS1316" s="119"/>
      <c r="CT1316" s="113"/>
      <c r="CU1316" s="118"/>
      <c r="CV1316" s="99">
        <f t="shared" si="125"/>
        <v>0</v>
      </c>
      <c r="CW1316" s="118"/>
      <c r="CX1316" s="119"/>
      <c r="CY1316" s="119"/>
      <c r="CZ1316" s="119"/>
      <c r="DA1316" s="118"/>
      <c r="DB1316" s="119"/>
      <c r="DC1316" s="111"/>
      <c r="DD1316" s="119"/>
      <c r="DE1316" s="111"/>
      <c r="DF1316" s="46"/>
    </row>
    <row r="1317" spans="1:110" s="42" customFormat="1" ht="24" x14ac:dyDescent="0.2">
      <c r="A1317" s="89">
        <v>40695</v>
      </c>
      <c r="B1317" s="16" t="s">
        <v>3358</v>
      </c>
      <c r="C1317" s="16" t="s">
        <v>4090</v>
      </c>
      <c r="D1317" s="16" t="s">
        <v>3346</v>
      </c>
      <c r="E1317" s="90" t="str">
        <f>VLOOKUP(B1317&amp;C1317,Divipola!$C$2:$F$1138,4,FALSE)</f>
        <v>18860</v>
      </c>
      <c r="F1317" s="4"/>
      <c r="G1317" s="208"/>
      <c r="H1317" s="208"/>
      <c r="I1317" s="208"/>
      <c r="J1317" s="208">
        <f>50*5</f>
        <v>250</v>
      </c>
      <c r="K1317" s="208">
        <v>50</v>
      </c>
      <c r="L1317" s="208"/>
      <c r="M1317" s="208">
        <v>50</v>
      </c>
      <c r="N1317" s="208"/>
      <c r="O1317" s="208"/>
      <c r="P1317" s="208"/>
      <c r="Q1317" s="208"/>
      <c r="R1317" s="208"/>
      <c r="S1317" s="208"/>
      <c r="T1317" s="208"/>
      <c r="U1317" s="208"/>
      <c r="V1317" s="208"/>
      <c r="W1317" s="19"/>
      <c r="X1317" s="17"/>
      <c r="Y1317" s="5">
        <f t="shared" si="126"/>
        <v>9435000</v>
      </c>
      <c r="Z1317" s="5">
        <f t="shared" si="127"/>
        <v>4250000</v>
      </c>
      <c r="AA1317" s="5">
        <f t="shared" si="128"/>
        <v>30650000</v>
      </c>
      <c r="AB1317" s="5">
        <f t="shared" si="129"/>
        <v>0</v>
      </c>
      <c r="AC1317" s="5">
        <f>50*113680</f>
        <v>5684000</v>
      </c>
      <c r="AD1317" s="5">
        <v>0</v>
      </c>
      <c r="AE1317" s="5">
        <f t="shared" si="130"/>
        <v>50019000</v>
      </c>
      <c r="AF1317" s="70">
        <v>0</v>
      </c>
      <c r="AG1317" s="17"/>
      <c r="AH1317" s="18"/>
      <c r="AI1317" s="95" t="s">
        <v>4346</v>
      </c>
      <c r="AJ1317" s="96" t="s">
        <v>4347</v>
      </c>
      <c r="AK1317" s="45"/>
      <c r="AL1317" s="17"/>
      <c r="AM1317" s="20" t="s">
        <v>4433</v>
      </c>
      <c r="AN1317" s="19"/>
      <c r="AO1317" s="19"/>
      <c r="AP1317" s="19"/>
      <c r="AQ1317" s="19"/>
      <c r="AR1317" s="19"/>
      <c r="AS1317" s="19"/>
      <c r="AT1317" s="19"/>
      <c r="AU1317" s="19"/>
      <c r="AV1317" s="19"/>
      <c r="AW1317" s="19"/>
      <c r="AX1317" s="107"/>
      <c r="AY1317" s="107"/>
      <c r="AZ1317" s="19">
        <v>100</v>
      </c>
      <c r="BA1317" s="19">
        <f>100*56000</f>
        <v>5600000</v>
      </c>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19"/>
      <c r="BX1317" s="19"/>
      <c r="BY1317" s="19"/>
      <c r="BZ1317" s="19"/>
      <c r="CA1317" s="19"/>
      <c r="CB1317" s="19"/>
      <c r="CC1317" s="19"/>
      <c r="CD1317" s="19"/>
      <c r="CE1317" s="19"/>
      <c r="CF1317" s="19"/>
      <c r="CG1317" s="19"/>
      <c r="CH1317" s="19"/>
      <c r="CI1317" s="19"/>
      <c r="CJ1317" s="19"/>
      <c r="CK1317" s="19"/>
      <c r="CL1317" s="19"/>
      <c r="CM1317" s="19"/>
      <c r="CN1317" s="139"/>
      <c r="CO1317" s="138"/>
      <c r="CP1317" s="139">
        <v>50</v>
      </c>
      <c r="CQ1317" s="138">
        <f>50*37000</f>
        <v>1850000</v>
      </c>
      <c r="CR1317" s="139">
        <v>50</v>
      </c>
      <c r="CS1317" s="138">
        <f>50*39700</f>
        <v>1985000</v>
      </c>
      <c r="CT1317" s="72"/>
      <c r="CU1317" s="139"/>
      <c r="CV1317" s="99">
        <f t="shared" si="125"/>
        <v>9435000</v>
      </c>
      <c r="CW1317" s="139"/>
      <c r="CX1317" s="138"/>
      <c r="CY1317" s="138">
        <v>50</v>
      </c>
      <c r="CZ1317" s="138">
        <f>50*85000</f>
        <v>4250000</v>
      </c>
      <c r="DA1317" s="139">
        <v>250</v>
      </c>
      <c r="DB1317" s="138">
        <f>250*26000</f>
        <v>6500000</v>
      </c>
      <c r="DC1317" s="45">
        <v>1050</v>
      </c>
      <c r="DD1317" s="138">
        <f>1050*23000</f>
        <v>24150000</v>
      </c>
      <c r="DE1317" s="45"/>
      <c r="DF1317" s="46"/>
    </row>
    <row r="1318" spans="1:110" s="42" customFormat="1" ht="72" x14ac:dyDescent="0.2">
      <c r="A1318" s="89">
        <v>40695</v>
      </c>
      <c r="B1318" s="106" t="s">
        <v>4344</v>
      </c>
      <c r="C1318" s="106" t="s">
        <v>1754</v>
      </c>
      <c r="D1318" s="90" t="s">
        <v>4264</v>
      </c>
      <c r="E1318" s="90" t="str">
        <f>VLOOKUP(B1318&amp;C1318,Divipola!$C$2:$F$1138,4,FALSE)</f>
        <v>25438</v>
      </c>
      <c r="F1318" s="90"/>
      <c r="G1318" s="279"/>
      <c r="H1318" s="279"/>
      <c r="I1318" s="279"/>
      <c r="J1318" s="129">
        <v>586</v>
      </c>
      <c r="K1318" s="129">
        <v>167</v>
      </c>
      <c r="L1318" s="129"/>
      <c r="M1318" s="129">
        <v>167</v>
      </c>
      <c r="N1318" s="129"/>
      <c r="O1318" s="129"/>
      <c r="P1318" s="129"/>
      <c r="Q1318" s="129"/>
      <c r="R1318" s="129"/>
      <c r="S1318" s="129"/>
      <c r="T1318" s="129"/>
      <c r="U1318" s="129"/>
      <c r="V1318" s="129"/>
      <c r="W1318" s="107"/>
      <c r="X1318" s="105"/>
      <c r="Y1318" s="92">
        <f t="shared" si="126"/>
        <v>0</v>
      </c>
      <c r="Z1318" s="92">
        <f t="shared" si="127"/>
        <v>0</v>
      </c>
      <c r="AA1318" s="92">
        <f t="shared" si="128"/>
        <v>0</v>
      </c>
      <c r="AB1318" s="92">
        <f t="shared" si="129"/>
        <v>0</v>
      </c>
      <c r="AC1318" s="92"/>
      <c r="AD1318" s="92">
        <v>0</v>
      </c>
      <c r="AE1318" s="92">
        <f t="shared" si="130"/>
        <v>0</v>
      </c>
      <c r="AF1318" s="93">
        <v>0</v>
      </c>
      <c r="AG1318" s="105"/>
      <c r="AH1318" s="108"/>
      <c r="AI1318" s="109" t="s">
        <v>4346</v>
      </c>
      <c r="AJ1318" s="110" t="s">
        <v>4347</v>
      </c>
      <c r="AK1318" s="111"/>
      <c r="AL1318" s="105" t="s">
        <v>928</v>
      </c>
      <c r="AM1318" s="112" t="s">
        <v>3644</v>
      </c>
      <c r="AN1318" s="107"/>
      <c r="AO1318" s="107"/>
      <c r="AP1318" s="107"/>
      <c r="AQ1318" s="107"/>
      <c r="AR1318" s="107"/>
      <c r="AS1318" s="107"/>
      <c r="AT1318" s="107"/>
      <c r="AU1318" s="107"/>
      <c r="AV1318" s="107"/>
      <c r="AW1318" s="107"/>
      <c r="AX1318" s="107"/>
      <c r="AY1318" s="107"/>
      <c r="AZ1318" s="107"/>
      <c r="BA1318" s="107"/>
      <c r="BB1318" s="107"/>
      <c r="BC1318" s="107"/>
      <c r="BD1318" s="107"/>
      <c r="BE1318" s="107"/>
      <c r="BF1318" s="107"/>
      <c r="BG1318" s="107"/>
      <c r="BH1318" s="107"/>
      <c r="BI1318" s="107"/>
      <c r="BJ1318" s="107"/>
      <c r="BK1318" s="107"/>
      <c r="BL1318" s="107"/>
      <c r="BM1318" s="107"/>
      <c r="BN1318" s="107"/>
      <c r="BO1318" s="107"/>
      <c r="BP1318" s="107"/>
      <c r="BQ1318" s="107"/>
      <c r="BR1318" s="107"/>
      <c r="BS1318" s="107"/>
      <c r="BT1318" s="107"/>
      <c r="BU1318" s="107"/>
      <c r="BV1318" s="107"/>
      <c r="BW1318" s="107"/>
      <c r="BX1318" s="107"/>
      <c r="BY1318" s="107"/>
      <c r="BZ1318" s="107"/>
      <c r="CA1318" s="107"/>
      <c r="CB1318" s="107"/>
      <c r="CC1318" s="107"/>
      <c r="CD1318" s="107"/>
      <c r="CE1318" s="107"/>
      <c r="CF1318" s="107"/>
      <c r="CG1318" s="107"/>
      <c r="CH1318" s="107"/>
      <c r="CI1318" s="107"/>
      <c r="CJ1318" s="107"/>
      <c r="CK1318" s="107"/>
      <c r="CL1318" s="107"/>
      <c r="CM1318" s="107"/>
      <c r="CN1318" s="118"/>
      <c r="CO1318" s="119"/>
      <c r="CP1318" s="118"/>
      <c r="CQ1318" s="119"/>
      <c r="CR1318" s="118"/>
      <c r="CS1318" s="119"/>
      <c r="CT1318" s="113"/>
      <c r="CU1318" s="118"/>
      <c r="CV1318" s="99">
        <f t="shared" si="125"/>
        <v>0</v>
      </c>
      <c r="CW1318" s="118"/>
      <c r="CX1318" s="119"/>
      <c r="CY1318" s="119"/>
      <c r="CZ1318" s="119"/>
      <c r="DA1318" s="118"/>
      <c r="DB1318" s="119"/>
      <c r="DC1318" s="111"/>
      <c r="DD1318" s="119"/>
      <c r="DE1318" s="111"/>
      <c r="DF1318" s="46"/>
    </row>
    <row r="1319" spans="1:110" s="42" customFormat="1" ht="60" x14ac:dyDescent="0.2">
      <c r="A1319" s="89">
        <v>40695</v>
      </c>
      <c r="B1319" s="151" t="s">
        <v>874</v>
      </c>
      <c r="C1319" s="90" t="s">
        <v>727</v>
      </c>
      <c r="D1319" s="90" t="s">
        <v>2362</v>
      </c>
      <c r="E1319" s="90" t="str">
        <f>VLOOKUP(B1319&amp;C1319,Divipola!$C$2:$F$1138,4,FALSE)</f>
        <v>44650</v>
      </c>
      <c r="F1319" s="4"/>
      <c r="G1319" s="101"/>
      <c r="H1319" s="101"/>
      <c r="I1319" s="101"/>
      <c r="J1319" s="101">
        <v>5160</v>
      </c>
      <c r="K1319" s="101">
        <v>1032</v>
      </c>
      <c r="L1319" s="101"/>
      <c r="M1319" s="101">
        <v>1032</v>
      </c>
      <c r="N1319" s="101"/>
      <c r="O1319" s="101"/>
      <c r="P1319" s="101"/>
      <c r="Q1319" s="101"/>
      <c r="R1319" s="101"/>
      <c r="S1319" s="101"/>
      <c r="T1319" s="101"/>
      <c r="U1319" s="101"/>
      <c r="V1319" s="101"/>
      <c r="W1319" s="19"/>
      <c r="X1319" s="17"/>
      <c r="Y1319" s="5">
        <f t="shared" si="126"/>
        <v>0</v>
      </c>
      <c r="Z1319" s="5">
        <f t="shared" si="127"/>
        <v>0</v>
      </c>
      <c r="AA1319" s="5">
        <f t="shared" si="128"/>
        <v>0</v>
      </c>
      <c r="AB1319" s="5">
        <f t="shared" si="129"/>
        <v>0</v>
      </c>
      <c r="AC1319" s="5"/>
      <c r="AD1319" s="5">
        <v>0</v>
      </c>
      <c r="AE1319" s="5">
        <f t="shared" si="130"/>
        <v>0</v>
      </c>
      <c r="AF1319" s="70">
        <v>0</v>
      </c>
      <c r="AG1319" s="17"/>
      <c r="AH1319" s="18"/>
      <c r="AI1319" s="47" t="s">
        <v>4336</v>
      </c>
      <c r="AJ1319" s="73" t="s">
        <v>4337</v>
      </c>
      <c r="AK1319" s="45"/>
      <c r="AL1319" s="17"/>
      <c r="AM1319" s="121" t="s">
        <v>4866</v>
      </c>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19"/>
      <c r="BX1319" s="19"/>
      <c r="BY1319" s="19"/>
      <c r="BZ1319" s="19"/>
      <c r="CA1319" s="19"/>
      <c r="CB1319" s="19"/>
      <c r="CC1319" s="19"/>
      <c r="CD1319" s="139"/>
      <c r="CE1319" s="138"/>
      <c r="CF1319" s="139"/>
      <c r="CG1319" s="138"/>
      <c r="CH1319" s="139"/>
      <c r="CI1319" s="138"/>
      <c r="CJ1319" s="72"/>
      <c r="CK1319" s="139"/>
      <c r="CL1319" s="71"/>
      <c r="CM1319" s="139"/>
      <c r="CN1319" s="138"/>
      <c r="CO1319" s="138"/>
      <c r="CP1319" s="138"/>
      <c r="CQ1319" s="139"/>
      <c r="CR1319" s="138"/>
      <c r="CS1319" s="45"/>
      <c r="CT1319" s="138"/>
      <c r="CU1319" s="45"/>
      <c r="CV1319" s="99">
        <f t="shared" si="125"/>
        <v>0</v>
      </c>
      <c r="CW1319" s="139"/>
      <c r="CX1319" s="138"/>
      <c r="CY1319" s="138"/>
      <c r="CZ1319" s="138"/>
      <c r="DA1319" s="139"/>
      <c r="DB1319" s="138"/>
      <c r="DC1319" s="45"/>
      <c r="DD1319" s="138"/>
      <c r="DE1319" s="45"/>
      <c r="DF1319" s="46"/>
    </row>
    <row r="1320" spans="1:110" s="42" customFormat="1" ht="48" x14ac:dyDescent="0.2">
      <c r="A1320" s="89">
        <v>40695</v>
      </c>
      <c r="B1320" s="151" t="s">
        <v>874</v>
      </c>
      <c r="C1320" s="90" t="s">
        <v>722</v>
      </c>
      <c r="D1320" s="90" t="s">
        <v>4264</v>
      </c>
      <c r="E1320" s="90" t="str">
        <f>VLOOKUP(B1320&amp;C1320,Divipola!$C$2:$F$1138,4,FALSE)</f>
        <v>44420</v>
      </c>
      <c r="F1320" s="4"/>
      <c r="G1320" s="101"/>
      <c r="H1320" s="101"/>
      <c r="I1320" s="101"/>
      <c r="J1320" s="101">
        <v>720</v>
      </c>
      <c r="K1320" s="101">
        <v>144</v>
      </c>
      <c r="L1320" s="101"/>
      <c r="M1320" s="101">
        <v>144</v>
      </c>
      <c r="N1320" s="101"/>
      <c r="O1320" s="101"/>
      <c r="P1320" s="101"/>
      <c r="Q1320" s="101"/>
      <c r="R1320" s="101"/>
      <c r="S1320" s="101"/>
      <c r="T1320" s="101"/>
      <c r="U1320" s="101"/>
      <c r="V1320" s="101"/>
      <c r="W1320" s="19"/>
      <c r="X1320" s="17"/>
      <c r="Y1320" s="5">
        <f t="shared" si="126"/>
        <v>0</v>
      </c>
      <c r="Z1320" s="5">
        <f t="shared" si="127"/>
        <v>0</v>
      </c>
      <c r="AA1320" s="5">
        <f t="shared" si="128"/>
        <v>0</v>
      </c>
      <c r="AB1320" s="5">
        <f t="shared" si="129"/>
        <v>0</v>
      </c>
      <c r="AC1320" s="5"/>
      <c r="AD1320" s="5">
        <v>0</v>
      </c>
      <c r="AE1320" s="5">
        <f t="shared" si="130"/>
        <v>0</v>
      </c>
      <c r="AF1320" s="70">
        <v>0</v>
      </c>
      <c r="AG1320" s="17"/>
      <c r="AH1320" s="18"/>
      <c r="AI1320" s="47" t="s">
        <v>4336</v>
      </c>
      <c r="AJ1320" s="73" t="s">
        <v>4337</v>
      </c>
      <c r="AK1320" s="45"/>
      <c r="AL1320" s="17"/>
      <c r="AM1320" s="121" t="s">
        <v>4868</v>
      </c>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39"/>
      <c r="CE1320" s="138"/>
      <c r="CF1320" s="139"/>
      <c r="CG1320" s="138"/>
      <c r="CH1320" s="139"/>
      <c r="CI1320" s="138"/>
      <c r="CJ1320" s="72"/>
      <c r="CK1320" s="139"/>
      <c r="CL1320" s="71"/>
      <c r="CM1320" s="139"/>
      <c r="CN1320" s="138"/>
      <c r="CO1320" s="138"/>
      <c r="CP1320" s="138"/>
      <c r="CQ1320" s="139"/>
      <c r="CR1320" s="138"/>
      <c r="CS1320" s="45"/>
      <c r="CT1320" s="138"/>
      <c r="CU1320" s="45"/>
      <c r="CV1320" s="99">
        <f t="shared" si="125"/>
        <v>0</v>
      </c>
      <c r="CW1320" s="139"/>
      <c r="CX1320" s="138"/>
      <c r="CY1320" s="138"/>
      <c r="CZ1320" s="138"/>
      <c r="DA1320" s="139"/>
      <c r="DB1320" s="138"/>
      <c r="DC1320" s="45"/>
      <c r="DD1320" s="138"/>
      <c r="DE1320" s="45"/>
      <c r="DF1320" s="46"/>
    </row>
    <row r="1321" spans="1:110" s="42" customFormat="1" ht="60" x14ac:dyDescent="0.2">
      <c r="A1321" s="89">
        <v>40695</v>
      </c>
      <c r="B1321" s="90" t="s">
        <v>860</v>
      </c>
      <c r="C1321" s="90" t="s">
        <v>2859</v>
      </c>
      <c r="D1321" s="90" t="s">
        <v>4264</v>
      </c>
      <c r="E1321" s="90" t="str">
        <f>VLOOKUP(B1321&amp;C1321,Divipola!$C$2:$F$1138,4,FALSE)</f>
        <v>50001</v>
      </c>
      <c r="F1321" s="90"/>
      <c r="G1321" s="279"/>
      <c r="H1321" s="279"/>
      <c r="I1321" s="279"/>
      <c r="J1321" s="101">
        <v>35</v>
      </c>
      <c r="K1321" s="101">
        <v>7</v>
      </c>
      <c r="L1321" s="101"/>
      <c r="M1321" s="101">
        <v>7</v>
      </c>
      <c r="N1321" s="129"/>
      <c r="O1321" s="129"/>
      <c r="P1321" s="129"/>
      <c r="Q1321" s="129"/>
      <c r="R1321" s="129"/>
      <c r="S1321" s="129"/>
      <c r="T1321" s="129"/>
      <c r="U1321" s="129"/>
      <c r="V1321" s="129"/>
      <c r="W1321" s="107"/>
      <c r="X1321" s="105"/>
      <c r="Y1321" s="92">
        <f t="shared" si="126"/>
        <v>0</v>
      </c>
      <c r="Z1321" s="92">
        <f t="shared" si="127"/>
        <v>0</v>
      </c>
      <c r="AA1321" s="92">
        <f t="shared" si="128"/>
        <v>0</v>
      </c>
      <c r="AB1321" s="92">
        <f t="shared" si="129"/>
        <v>0</v>
      </c>
      <c r="AC1321" s="92"/>
      <c r="AD1321" s="92">
        <v>0</v>
      </c>
      <c r="AE1321" s="92">
        <f t="shared" si="130"/>
        <v>0</v>
      </c>
      <c r="AF1321" s="93">
        <v>0</v>
      </c>
      <c r="AG1321" s="105"/>
      <c r="AH1321" s="108"/>
      <c r="AI1321" s="102" t="s">
        <v>4336</v>
      </c>
      <c r="AJ1321" s="96" t="s">
        <v>4337</v>
      </c>
      <c r="AK1321" s="280"/>
      <c r="AL1321" s="281"/>
      <c r="AM1321" s="112" t="s">
        <v>3656</v>
      </c>
      <c r="AN1321" s="107"/>
      <c r="AO1321" s="107"/>
      <c r="AP1321" s="107"/>
      <c r="AQ1321" s="107"/>
      <c r="AR1321" s="107"/>
      <c r="AS1321" s="107"/>
      <c r="AT1321" s="107"/>
      <c r="AU1321" s="107"/>
      <c r="AV1321" s="107"/>
      <c r="AW1321" s="107"/>
      <c r="AX1321" s="107"/>
      <c r="AY1321" s="107"/>
      <c r="AZ1321" s="107"/>
      <c r="BA1321" s="107"/>
      <c r="BB1321" s="107"/>
      <c r="BC1321" s="107"/>
      <c r="BD1321" s="107"/>
      <c r="BE1321" s="107"/>
      <c r="BF1321" s="107"/>
      <c r="BG1321" s="107"/>
      <c r="BH1321" s="107"/>
      <c r="BI1321" s="107"/>
      <c r="BJ1321" s="107"/>
      <c r="BK1321" s="107"/>
      <c r="BL1321" s="107"/>
      <c r="BM1321" s="107"/>
      <c r="BN1321" s="107"/>
      <c r="BO1321" s="107"/>
      <c r="BP1321" s="107"/>
      <c r="BQ1321" s="107"/>
      <c r="BR1321" s="107"/>
      <c r="BS1321" s="107"/>
      <c r="BT1321" s="107"/>
      <c r="BU1321" s="107"/>
      <c r="BV1321" s="107"/>
      <c r="BW1321" s="107"/>
      <c r="BX1321" s="107"/>
      <c r="BY1321" s="107"/>
      <c r="BZ1321" s="107"/>
      <c r="CA1321" s="107"/>
      <c r="CB1321" s="107"/>
      <c r="CC1321" s="107"/>
      <c r="CD1321" s="107"/>
      <c r="CE1321" s="107"/>
      <c r="CF1321" s="107"/>
      <c r="CG1321" s="107"/>
      <c r="CH1321" s="107"/>
      <c r="CI1321" s="107"/>
      <c r="CJ1321" s="107"/>
      <c r="CK1321" s="107"/>
      <c r="CL1321" s="107"/>
      <c r="CM1321" s="107"/>
      <c r="CN1321" s="118"/>
      <c r="CO1321" s="119"/>
      <c r="CP1321" s="118"/>
      <c r="CQ1321" s="119"/>
      <c r="CR1321" s="118"/>
      <c r="CS1321" s="119"/>
      <c r="CT1321" s="113"/>
      <c r="CU1321" s="118"/>
      <c r="CV1321" s="99">
        <f t="shared" si="125"/>
        <v>0</v>
      </c>
      <c r="CW1321" s="118"/>
      <c r="CX1321" s="119"/>
      <c r="CY1321" s="119"/>
      <c r="CZ1321" s="119"/>
      <c r="DA1321" s="118"/>
      <c r="DB1321" s="119"/>
      <c r="DC1321" s="111"/>
      <c r="DD1321" s="119"/>
      <c r="DE1321" s="111"/>
      <c r="DF1321" s="46"/>
    </row>
    <row r="1322" spans="1:110" s="42" customFormat="1" ht="36" x14ac:dyDescent="0.2">
      <c r="A1322" s="89">
        <v>40695</v>
      </c>
      <c r="B1322" s="106" t="s">
        <v>4387</v>
      </c>
      <c r="C1322" s="106" t="s">
        <v>466</v>
      </c>
      <c r="D1322" s="90" t="s">
        <v>2362</v>
      </c>
      <c r="E1322" s="90" t="str">
        <f>VLOOKUP(B1322&amp;C1322,Divipola!$C$2:$F$1138,4,FALSE)</f>
        <v>52256</v>
      </c>
      <c r="F1322" s="90"/>
      <c r="G1322" s="129"/>
      <c r="H1322" s="129"/>
      <c r="I1322" s="129"/>
      <c r="J1322" s="129">
        <v>637</v>
      </c>
      <c r="K1322" s="129">
        <v>182</v>
      </c>
      <c r="L1322" s="129">
        <v>70</v>
      </c>
      <c r="M1322" s="129">
        <v>110</v>
      </c>
      <c r="N1322" s="129"/>
      <c r="O1322" s="129"/>
      <c r="P1322" s="129"/>
      <c r="Q1322" s="129"/>
      <c r="R1322" s="129"/>
      <c r="S1322" s="129"/>
      <c r="T1322" s="129"/>
      <c r="U1322" s="129"/>
      <c r="V1322" s="129"/>
      <c r="W1322" s="107"/>
      <c r="X1322" s="105"/>
      <c r="Y1322" s="92">
        <f t="shared" si="126"/>
        <v>0</v>
      </c>
      <c r="Z1322" s="92">
        <f t="shared" si="127"/>
        <v>0</v>
      </c>
      <c r="AA1322" s="92">
        <f t="shared" si="128"/>
        <v>0</v>
      </c>
      <c r="AB1322" s="92">
        <f t="shared" si="129"/>
        <v>0</v>
      </c>
      <c r="AC1322" s="92"/>
      <c r="AD1322" s="92">
        <v>0</v>
      </c>
      <c r="AE1322" s="92">
        <f t="shared" si="130"/>
        <v>0</v>
      </c>
      <c r="AF1322" s="93">
        <v>0</v>
      </c>
      <c r="AG1322" s="105"/>
      <c r="AH1322" s="108"/>
      <c r="AI1322" s="109" t="s">
        <v>4336</v>
      </c>
      <c r="AJ1322" s="110" t="s">
        <v>4337</v>
      </c>
      <c r="AK1322" s="111"/>
      <c r="AL1322" s="105" t="s">
        <v>1069</v>
      </c>
      <c r="AM1322" s="112" t="s">
        <v>1068</v>
      </c>
      <c r="AN1322" s="107"/>
      <c r="AO1322" s="107"/>
      <c r="AP1322" s="107"/>
      <c r="AQ1322" s="107"/>
      <c r="AR1322" s="107"/>
      <c r="AS1322" s="107"/>
      <c r="AT1322" s="107"/>
      <c r="AU1322" s="107"/>
      <c r="AV1322" s="107"/>
      <c r="AW1322" s="107"/>
      <c r="AX1322" s="107"/>
      <c r="AY1322" s="107"/>
      <c r="AZ1322" s="107"/>
      <c r="BA1322" s="107"/>
      <c r="BB1322" s="107"/>
      <c r="BC1322" s="107"/>
      <c r="BD1322" s="107"/>
      <c r="BE1322" s="107"/>
      <c r="BF1322" s="107"/>
      <c r="BG1322" s="107"/>
      <c r="BH1322" s="107"/>
      <c r="BI1322" s="107"/>
      <c r="BJ1322" s="107"/>
      <c r="BK1322" s="107"/>
      <c r="BL1322" s="107"/>
      <c r="BM1322" s="107"/>
      <c r="BN1322" s="107"/>
      <c r="BO1322" s="107"/>
      <c r="BP1322" s="107"/>
      <c r="BQ1322" s="107"/>
      <c r="BR1322" s="107"/>
      <c r="BS1322" s="107"/>
      <c r="BT1322" s="107"/>
      <c r="BU1322" s="107"/>
      <c r="BV1322" s="107"/>
      <c r="BW1322" s="107"/>
      <c r="BX1322" s="107"/>
      <c r="BY1322" s="107"/>
      <c r="BZ1322" s="107"/>
      <c r="CA1322" s="107"/>
      <c r="CB1322" s="107"/>
      <c r="CC1322" s="107"/>
      <c r="CD1322" s="107"/>
      <c r="CE1322" s="107"/>
      <c r="CF1322" s="107"/>
      <c r="CG1322" s="107"/>
      <c r="CH1322" s="107"/>
      <c r="CI1322" s="107"/>
      <c r="CJ1322" s="107"/>
      <c r="CK1322" s="107"/>
      <c r="CL1322" s="107"/>
      <c r="CM1322" s="107"/>
      <c r="CN1322" s="118"/>
      <c r="CO1322" s="119"/>
      <c r="CP1322" s="118"/>
      <c r="CQ1322" s="119"/>
      <c r="CR1322" s="118"/>
      <c r="CS1322" s="119"/>
      <c r="CT1322" s="113"/>
      <c r="CU1322" s="118"/>
      <c r="CV1322" s="99">
        <f t="shared" si="125"/>
        <v>0</v>
      </c>
      <c r="CW1322" s="118"/>
      <c r="CX1322" s="119"/>
      <c r="CY1322" s="119"/>
      <c r="CZ1322" s="119"/>
      <c r="DA1322" s="118"/>
      <c r="DB1322" s="119"/>
      <c r="DC1322" s="111"/>
      <c r="DD1322" s="119"/>
      <c r="DE1322" s="111"/>
      <c r="DF1322" s="46"/>
    </row>
    <row r="1323" spans="1:110" s="42" customFormat="1" ht="22.5" x14ac:dyDescent="0.2">
      <c r="A1323" s="89">
        <v>40695</v>
      </c>
      <c r="B1323" s="106" t="s">
        <v>4387</v>
      </c>
      <c r="C1323" s="106" t="s">
        <v>4362</v>
      </c>
      <c r="D1323" s="90" t="s">
        <v>2362</v>
      </c>
      <c r="E1323" s="90" t="str">
        <f>VLOOKUP(B1323&amp;C1323,Divipola!$C$2:$F$1138,4,FALSE)</f>
        <v>52693</v>
      </c>
      <c r="F1323" s="90"/>
      <c r="G1323" s="129"/>
      <c r="H1323" s="129"/>
      <c r="I1323" s="129"/>
      <c r="J1323" s="129">
        <v>1682</v>
      </c>
      <c r="K1323" s="129">
        <v>673</v>
      </c>
      <c r="L1323" s="129">
        <v>100</v>
      </c>
      <c r="M1323" s="129">
        <v>573</v>
      </c>
      <c r="N1323" s="129"/>
      <c r="O1323" s="129"/>
      <c r="P1323" s="129"/>
      <c r="Q1323" s="129"/>
      <c r="R1323" s="129"/>
      <c r="S1323" s="129"/>
      <c r="T1323" s="129"/>
      <c r="U1323" s="129"/>
      <c r="V1323" s="129"/>
      <c r="W1323" s="107"/>
      <c r="X1323" s="105"/>
      <c r="Y1323" s="92">
        <f t="shared" si="126"/>
        <v>0</v>
      </c>
      <c r="Z1323" s="92">
        <f t="shared" si="127"/>
        <v>0</v>
      </c>
      <c r="AA1323" s="92">
        <f t="shared" si="128"/>
        <v>0</v>
      </c>
      <c r="AB1323" s="92">
        <f t="shared" si="129"/>
        <v>0</v>
      </c>
      <c r="AC1323" s="92"/>
      <c r="AD1323" s="92">
        <v>0</v>
      </c>
      <c r="AE1323" s="92">
        <f t="shared" si="130"/>
        <v>0</v>
      </c>
      <c r="AF1323" s="93">
        <v>0</v>
      </c>
      <c r="AG1323" s="105"/>
      <c r="AH1323" s="108"/>
      <c r="AI1323" s="109" t="s">
        <v>4336</v>
      </c>
      <c r="AJ1323" s="110" t="s">
        <v>4337</v>
      </c>
      <c r="AK1323" s="111"/>
      <c r="AL1323" s="105" t="s">
        <v>1069</v>
      </c>
      <c r="AM1323" s="112"/>
      <c r="AN1323" s="107"/>
      <c r="AO1323" s="107"/>
      <c r="AP1323" s="107"/>
      <c r="AQ1323" s="107"/>
      <c r="AR1323" s="107"/>
      <c r="AS1323" s="107"/>
      <c r="AT1323" s="107"/>
      <c r="AU1323" s="107"/>
      <c r="AV1323" s="107"/>
      <c r="AW1323" s="107"/>
      <c r="AX1323" s="107"/>
      <c r="AY1323" s="107"/>
      <c r="AZ1323" s="107"/>
      <c r="BA1323" s="107"/>
      <c r="BB1323" s="107"/>
      <c r="BC1323" s="107"/>
      <c r="BD1323" s="107"/>
      <c r="BE1323" s="107"/>
      <c r="BF1323" s="107"/>
      <c r="BG1323" s="107"/>
      <c r="BH1323" s="107"/>
      <c r="BI1323" s="107"/>
      <c r="BJ1323" s="107"/>
      <c r="BK1323" s="107"/>
      <c r="BL1323" s="107"/>
      <c r="BM1323" s="107"/>
      <c r="BN1323" s="107"/>
      <c r="BO1323" s="107"/>
      <c r="BP1323" s="107"/>
      <c r="BQ1323" s="107"/>
      <c r="BR1323" s="107"/>
      <c r="BS1323" s="107"/>
      <c r="BT1323" s="107"/>
      <c r="BU1323" s="107"/>
      <c r="BV1323" s="107"/>
      <c r="BW1323" s="107"/>
      <c r="BX1323" s="107"/>
      <c r="BY1323" s="107"/>
      <c r="BZ1323" s="107"/>
      <c r="CA1323" s="107"/>
      <c r="CB1323" s="107"/>
      <c r="CC1323" s="107"/>
      <c r="CD1323" s="107"/>
      <c r="CE1323" s="107"/>
      <c r="CF1323" s="107"/>
      <c r="CG1323" s="107"/>
      <c r="CH1323" s="107"/>
      <c r="CI1323" s="107"/>
      <c r="CJ1323" s="107"/>
      <c r="CK1323" s="107"/>
      <c r="CL1323" s="107"/>
      <c r="CM1323" s="107"/>
      <c r="CN1323" s="118"/>
      <c r="CO1323" s="119"/>
      <c r="CP1323" s="118"/>
      <c r="CQ1323" s="119"/>
      <c r="CR1323" s="118"/>
      <c r="CS1323" s="119"/>
      <c r="CT1323" s="113"/>
      <c r="CU1323" s="118"/>
      <c r="CV1323" s="99">
        <f t="shared" si="125"/>
        <v>0</v>
      </c>
      <c r="CW1323" s="118"/>
      <c r="CX1323" s="119"/>
      <c r="CY1323" s="119"/>
      <c r="CZ1323" s="119"/>
      <c r="DA1323" s="118"/>
      <c r="DB1323" s="119"/>
      <c r="DC1323" s="111"/>
      <c r="DD1323" s="119"/>
      <c r="DE1323" s="111"/>
      <c r="DF1323" s="46"/>
    </row>
    <row r="1324" spans="1:110" s="42" customFormat="1" ht="36" x14ac:dyDescent="0.2">
      <c r="A1324" s="89">
        <v>40695</v>
      </c>
      <c r="B1324" s="106" t="s">
        <v>4348</v>
      </c>
      <c r="C1324" s="106" t="s">
        <v>3304</v>
      </c>
      <c r="D1324" s="90" t="s">
        <v>4264</v>
      </c>
      <c r="E1324" s="90" t="str">
        <f>VLOOKUP(B1324&amp;C1324,Divipola!$C$2:$F$1138,4,FALSE)</f>
        <v>66440</v>
      </c>
      <c r="F1324" s="90"/>
      <c r="G1324" s="129"/>
      <c r="H1324" s="129"/>
      <c r="I1324" s="129"/>
      <c r="J1324" s="129">
        <v>50</v>
      </c>
      <c r="K1324" s="129">
        <v>12</v>
      </c>
      <c r="L1324" s="129"/>
      <c r="M1324" s="129">
        <v>12</v>
      </c>
      <c r="N1324" s="129"/>
      <c r="O1324" s="129"/>
      <c r="P1324" s="129"/>
      <c r="Q1324" s="129"/>
      <c r="R1324" s="129"/>
      <c r="S1324" s="129"/>
      <c r="T1324" s="129"/>
      <c r="U1324" s="129"/>
      <c r="V1324" s="129"/>
      <c r="W1324" s="107"/>
      <c r="X1324" s="105"/>
      <c r="Y1324" s="92">
        <f t="shared" si="126"/>
        <v>0</v>
      </c>
      <c r="Z1324" s="92">
        <f t="shared" si="127"/>
        <v>0</v>
      </c>
      <c r="AA1324" s="92">
        <f t="shared" si="128"/>
        <v>0</v>
      </c>
      <c r="AB1324" s="92">
        <f t="shared" si="129"/>
        <v>0</v>
      </c>
      <c r="AC1324" s="92"/>
      <c r="AD1324" s="92">
        <v>0</v>
      </c>
      <c r="AE1324" s="92">
        <f t="shared" si="130"/>
        <v>0</v>
      </c>
      <c r="AF1324" s="93">
        <v>0</v>
      </c>
      <c r="AG1324" s="105"/>
      <c r="AH1324" s="108"/>
      <c r="AI1324" s="109" t="s">
        <v>4336</v>
      </c>
      <c r="AJ1324" s="110" t="s">
        <v>4337</v>
      </c>
      <c r="AK1324" s="280"/>
      <c r="AL1324" s="281"/>
      <c r="AM1324" s="112" t="s">
        <v>1950</v>
      </c>
      <c r="AN1324" s="107"/>
      <c r="AO1324" s="107"/>
      <c r="AP1324" s="107"/>
      <c r="AQ1324" s="107"/>
      <c r="AR1324" s="107"/>
      <c r="AS1324" s="107"/>
      <c r="AT1324" s="107"/>
      <c r="AU1324" s="107"/>
      <c r="AV1324" s="107"/>
      <c r="AW1324" s="107"/>
      <c r="AX1324" s="107"/>
      <c r="AY1324" s="107"/>
      <c r="AZ1324" s="107"/>
      <c r="BA1324" s="107"/>
      <c r="BB1324" s="107"/>
      <c r="BC1324" s="107"/>
      <c r="BD1324" s="107"/>
      <c r="BE1324" s="107"/>
      <c r="BF1324" s="107"/>
      <c r="BG1324" s="107"/>
      <c r="BH1324" s="107"/>
      <c r="BI1324" s="107"/>
      <c r="BJ1324" s="107"/>
      <c r="BK1324" s="107"/>
      <c r="BL1324" s="107"/>
      <c r="BM1324" s="107"/>
      <c r="BN1324" s="107"/>
      <c r="BO1324" s="107"/>
      <c r="BP1324" s="107"/>
      <c r="BQ1324" s="107"/>
      <c r="BR1324" s="107"/>
      <c r="BS1324" s="107"/>
      <c r="BT1324" s="107"/>
      <c r="BU1324" s="107"/>
      <c r="BV1324" s="107"/>
      <c r="BW1324" s="107"/>
      <c r="BX1324" s="107"/>
      <c r="BY1324" s="107"/>
      <c r="BZ1324" s="107"/>
      <c r="CA1324" s="107"/>
      <c r="CB1324" s="107"/>
      <c r="CC1324" s="107"/>
      <c r="CD1324" s="107"/>
      <c r="CE1324" s="107"/>
      <c r="CF1324" s="107"/>
      <c r="CG1324" s="107"/>
      <c r="CH1324" s="107"/>
      <c r="CI1324" s="107"/>
      <c r="CJ1324" s="107"/>
      <c r="CK1324" s="107"/>
      <c r="CL1324" s="107"/>
      <c r="CM1324" s="107"/>
      <c r="CN1324" s="118"/>
      <c r="CO1324" s="119"/>
      <c r="CP1324" s="118"/>
      <c r="CQ1324" s="119"/>
      <c r="CR1324" s="118"/>
      <c r="CS1324" s="119"/>
      <c r="CT1324" s="113"/>
      <c r="CU1324" s="118"/>
      <c r="CV1324" s="99">
        <f t="shared" si="125"/>
        <v>0</v>
      </c>
      <c r="CW1324" s="118"/>
      <c r="CX1324" s="119"/>
      <c r="CY1324" s="119"/>
      <c r="CZ1324" s="119"/>
      <c r="DA1324" s="118"/>
      <c r="DB1324" s="119"/>
      <c r="DC1324" s="111"/>
      <c r="DD1324" s="119"/>
      <c r="DE1324" s="111"/>
      <c r="DF1324" s="46"/>
    </row>
    <row r="1325" spans="1:110" s="42" customFormat="1" ht="24" x14ac:dyDescent="0.2">
      <c r="A1325" s="89">
        <v>40696</v>
      </c>
      <c r="B1325" s="106" t="s">
        <v>2218</v>
      </c>
      <c r="C1325" s="106" t="s">
        <v>3528</v>
      </c>
      <c r="D1325" s="90" t="s">
        <v>2362</v>
      </c>
      <c r="E1325" s="90" t="str">
        <f>VLOOKUP(B1325&amp;C1325,Divipola!$C$2:$F$1138,4,FALSE)</f>
        <v>05030</v>
      </c>
      <c r="F1325" s="90"/>
      <c r="G1325" s="129">
        <v>1</v>
      </c>
      <c r="H1325" s="129">
        <v>2</v>
      </c>
      <c r="I1325" s="129"/>
      <c r="J1325" s="129">
        <v>18</v>
      </c>
      <c r="K1325" s="129">
        <v>4</v>
      </c>
      <c r="L1325" s="129">
        <v>1</v>
      </c>
      <c r="M1325" s="129">
        <v>3</v>
      </c>
      <c r="N1325" s="129"/>
      <c r="O1325" s="129"/>
      <c r="P1325" s="129"/>
      <c r="Q1325" s="129"/>
      <c r="R1325" s="129"/>
      <c r="S1325" s="129"/>
      <c r="T1325" s="129"/>
      <c r="U1325" s="129"/>
      <c r="V1325" s="129"/>
      <c r="W1325" s="107"/>
      <c r="X1325" s="105"/>
      <c r="Y1325" s="92">
        <f t="shared" si="126"/>
        <v>0</v>
      </c>
      <c r="Z1325" s="92">
        <f t="shared" si="127"/>
        <v>0</v>
      </c>
      <c r="AA1325" s="92">
        <f t="shared" si="128"/>
        <v>0</v>
      </c>
      <c r="AB1325" s="92">
        <f t="shared" si="129"/>
        <v>0</v>
      </c>
      <c r="AC1325" s="92"/>
      <c r="AD1325" s="92">
        <v>0</v>
      </c>
      <c r="AE1325" s="92">
        <f t="shared" si="130"/>
        <v>0</v>
      </c>
      <c r="AF1325" s="93">
        <v>0</v>
      </c>
      <c r="AG1325" s="105"/>
      <c r="AH1325" s="108"/>
      <c r="AI1325" s="109" t="s">
        <v>4336</v>
      </c>
      <c r="AJ1325" s="110" t="s">
        <v>4337</v>
      </c>
      <c r="AK1325" s="280"/>
      <c r="AL1325" s="281"/>
      <c r="AM1325" s="112" t="s">
        <v>3647</v>
      </c>
      <c r="AN1325" s="107"/>
      <c r="AO1325" s="107"/>
      <c r="AP1325" s="107"/>
      <c r="AQ1325" s="107"/>
      <c r="AR1325" s="107"/>
      <c r="AS1325" s="107"/>
      <c r="AT1325" s="107"/>
      <c r="AU1325" s="107"/>
      <c r="AV1325" s="107"/>
      <c r="AW1325" s="107"/>
      <c r="AX1325" s="107"/>
      <c r="AY1325" s="107"/>
      <c r="AZ1325" s="107"/>
      <c r="BA1325" s="107"/>
      <c r="BB1325" s="107"/>
      <c r="BC1325" s="107"/>
      <c r="BD1325" s="107"/>
      <c r="BE1325" s="107"/>
      <c r="BF1325" s="107"/>
      <c r="BG1325" s="107"/>
      <c r="BH1325" s="107"/>
      <c r="BI1325" s="107"/>
      <c r="BJ1325" s="107"/>
      <c r="BK1325" s="107"/>
      <c r="BL1325" s="107"/>
      <c r="BM1325" s="107"/>
      <c r="BN1325" s="107"/>
      <c r="BO1325" s="107"/>
      <c r="BP1325" s="107"/>
      <c r="BQ1325" s="107"/>
      <c r="BR1325" s="107"/>
      <c r="BS1325" s="107"/>
      <c r="BT1325" s="107"/>
      <c r="BU1325" s="107"/>
      <c r="BV1325" s="107"/>
      <c r="BW1325" s="107"/>
      <c r="BX1325" s="107"/>
      <c r="BY1325" s="107"/>
      <c r="BZ1325" s="107"/>
      <c r="CA1325" s="107"/>
      <c r="CB1325" s="107"/>
      <c r="CC1325" s="107"/>
      <c r="CD1325" s="107"/>
      <c r="CE1325" s="107"/>
      <c r="CF1325" s="107"/>
      <c r="CG1325" s="107"/>
      <c r="CH1325" s="107"/>
      <c r="CI1325" s="107"/>
      <c r="CJ1325" s="107"/>
      <c r="CK1325" s="107"/>
      <c r="CL1325" s="107"/>
      <c r="CM1325" s="107"/>
      <c r="CN1325" s="118"/>
      <c r="CO1325" s="119"/>
      <c r="CP1325" s="118"/>
      <c r="CQ1325" s="119"/>
      <c r="CR1325" s="118"/>
      <c r="CS1325" s="119"/>
      <c r="CT1325" s="113"/>
      <c r="CU1325" s="118"/>
      <c r="CV1325" s="99">
        <f t="shared" si="125"/>
        <v>0</v>
      </c>
      <c r="CW1325" s="118"/>
      <c r="CX1325" s="119"/>
      <c r="CY1325" s="119"/>
      <c r="CZ1325" s="119"/>
      <c r="DA1325" s="118"/>
      <c r="DB1325" s="119"/>
      <c r="DC1325" s="111"/>
      <c r="DD1325" s="119"/>
      <c r="DE1325" s="111"/>
      <c r="DF1325" s="46"/>
    </row>
    <row r="1326" spans="1:110" s="42" customFormat="1" x14ac:dyDescent="0.2">
      <c r="A1326" s="89">
        <v>40696</v>
      </c>
      <c r="B1326" s="106" t="s">
        <v>2218</v>
      </c>
      <c r="C1326" s="106" t="s">
        <v>4266</v>
      </c>
      <c r="D1326" s="90" t="s">
        <v>4264</v>
      </c>
      <c r="E1326" s="90" t="str">
        <f>VLOOKUP(B1326&amp;C1326,Divipola!$C$2:$F$1138,4,FALSE)</f>
        <v>05088</v>
      </c>
      <c r="F1326" s="90"/>
      <c r="G1326" s="129"/>
      <c r="H1326" s="129"/>
      <c r="I1326" s="129"/>
      <c r="J1326" s="129">
        <v>180</v>
      </c>
      <c r="K1326" s="129">
        <v>40</v>
      </c>
      <c r="L1326" s="129"/>
      <c r="M1326" s="129">
        <v>40</v>
      </c>
      <c r="N1326" s="129"/>
      <c r="O1326" s="129"/>
      <c r="P1326" s="129"/>
      <c r="Q1326" s="129"/>
      <c r="R1326" s="129"/>
      <c r="S1326" s="129"/>
      <c r="T1326" s="129"/>
      <c r="U1326" s="129"/>
      <c r="V1326" s="129"/>
      <c r="W1326" s="107"/>
      <c r="X1326" s="105"/>
      <c r="Y1326" s="92">
        <f t="shared" si="126"/>
        <v>0</v>
      </c>
      <c r="Z1326" s="92">
        <f t="shared" si="127"/>
        <v>0</v>
      </c>
      <c r="AA1326" s="92">
        <f t="shared" si="128"/>
        <v>0</v>
      </c>
      <c r="AB1326" s="92">
        <f t="shared" si="129"/>
        <v>0</v>
      </c>
      <c r="AC1326" s="92"/>
      <c r="AD1326" s="92">
        <v>0</v>
      </c>
      <c r="AE1326" s="92">
        <f t="shared" si="130"/>
        <v>0</v>
      </c>
      <c r="AF1326" s="93">
        <v>0</v>
      </c>
      <c r="AG1326" s="105"/>
      <c r="AH1326" s="108"/>
      <c r="AI1326" s="109" t="s">
        <v>4336</v>
      </c>
      <c r="AJ1326" s="110" t="s">
        <v>4337</v>
      </c>
      <c r="AK1326" s="280"/>
      <c r="AL1326" s="281"/>
      <c r="AM1326" s="112" t="s">
        <v>3530</v>
      </c>
      <c r="AN1326" s="107"/>
      <c r="AO1326" s="107"/>
      <c r="AP1326" s="107"/>
      <c r="AQ1326" s="107"/>
      <c r="AR1326" s="107"/>
      <c r="AS1326" s="107"/>
      <c r="AT1326" s="107"/>
      <c r="AU1326" s="107"/>
      <c r="AV1326" s="107"/>
      <c r="AW1326" s="107"/>
      <c r="AX1326" s="107"/>
      <c r="AY1326" s="107"/>
      <c r="AZ1326" s="107"/>
      <c r="BA1326" s="107"/>
      <c r="BB1326" s="107"/>
      <c r="BC1326" s="107"/>
      <c r="BD1326" s="107"/>
      <c r="BE1326" s="107"/>
      <c r="BF1326" s="107"/>
      <c r="BG1326" s="107"/>
      <c r="BH1326" s="107"/>
      <c r="BI1326" s="107"/>
      <c r="BJ1326" s="107"/>
      <c r="BK1326" s="107"/>
      <c r="BL1326" s="107"/>
      <c r="BM1326" s="107"/>
      <c r="BN1326" s="107"/>
      <c r="BO1326" s="107"/>
      <c r="BP1326" s="107"/>
      <c r="BQ1326" s="107"/>
      <c r="BR1326" s="107"/>
      <c r="BS1326" s="107"/>
      <c r="BT1326" s="107"/>
      <c r="BU1326" s="107"/>
      <c r="BV1326" s="107"/>
      <c r="BW1326" s="107"/>
      <c r="BX1326" s="107"/>
      <c r="BY1326" s="107"/>
      <c r="BZ1326" s="107"/>
      <c r="CA1326" s="107"/>
      <c r="CB1326" s="107"/>
      <c r="CC1326" s="107"/>
      <c r="CD1326" s="107"/>
      <c r="CE1326" s="107"/>
      <c r="CF1326" s="107"/>
      <c r="CG1326" s="107"/>
      <c r="CH1326" s="107"/>
      <c r="CI1326" s="107"/>
      <c r="CJ1326" s="107"/>
      <c r="CK1326" s="107"/>
      <c r="CL1326" s="107"/>
      <c r="CM1326" s="107"/>
      <c r="CN1326" s="118"/>
      <c r="CO1326" s="119"/>
      <c r="CP1326" s="118"/>
      <c r="CQ1326" s="119"/>
      <c r="CR1326" s="118"/>
      <c r="CS1326" s="119"/>
      <c r="CT1326" s="113"/>
      <c r="CU1326" s="118"/>
      <c r="CV1326" s="99">
        <f t="shared" si="125"/>
        <v>0</v>
      </c>
      <c r="CW1326" s="118"/>
      <c r="CX1326" s="119"/>
      <c r="CY1326" s="119"/>
      <c r="CZ1326" s="119"/>
      <c r="DA1326" s="118"/>
      <c r="DB1326" s="119"/>
      <c r="DC1326" s="111"/>
      <c r="DD1326" s="119"/>
      <c r="DE1326" s="111"/>
      <c r="DF1326" s="46"/>
    </row>
    <row r="1327" spans="1:110" s="42" customFormat="1" ht="24" x14ac:dyDescent="0.2">
      <c r="A1327" s="89">
        <v>40696</v>
      </c>
      <c r="B1327" s="106" t="s">
        <v>2218</v>
      </c>
      <c r="C1327" s="106" t="s">
        <v>4240</v>
      </c>
      <c r="D1327" s="90" t="s">
        <v>4264</v>
      </c>
      <c r="E1327" s="90" t="str">
        <f>VLOOKUP(B1327&amp;C1327,Divipola!$C$2:$F$1138,4,FALSE)</f>
        <v>05212</v>
      </c>
      <c r="F1327" s="90"/>
      <c r="G1327" s="129"/>
      <c r="H1327" s="129"/>
      <c r="I1327" s="129"/>
      <c r="J1327" s="129">
        <v>32</v>
      </c>
      <c r="K1327" s="129">
        <v>7</v>
      </c>
      <c r="L1327" s="129"/>
      <c r="M1327" s="129">
        <v>7</v>
      </c>
      <c r="N1327" s="129"/>
      <c r="O1327" s="129"/>
      <c r="P1327" s="129"/>
      <c r="Q1327" s="129"/>
      <c r="R1327" s="129"/>
      <c r="S1327" s="129">
        <v>1</v>
      </c>
      <c r="T1327" s="129"/>
      <c r="U1327" s="129"/>
      <c r="V1327" s="129"/>
      <c r="W1327" s="107"/>
      <c r="X1327" s="105"/>
      <c r="Y1327" s="92">
        <f t="shared" si="126"/>
        <v>0</v>
      </c>
      <c r="Z1327" s="92">
        <f t="shared" si="127"/>
        <v>0</v>
      </c>
      <c r="AA1327" s="92">
        <f t="shared" si="128"/>
        <v>0</v>
      </c>
      <c r="AB1327" s="92">
        <f t="shared" si="129"/>
        <v>0</v>
      </c>
      <c r="AC1327" s="92"/>
      <c r="AD1327" s="92">
        <v>0</v>
      </c>
      <c r="AE1327" s="92">
        <f t="shared" si="130"/>
        <v>0</v>
      </c>
      <c r="AF1327" s="93">
        <v>0</v>
      </c>
      <c r="AG1327" s="105"/>
      <c r="AH1327" s="108"/>
      <c r="AI1327" s="109" t="s">
        <v>4336</v>
      </c>
      <c r="AJ1327" s="110" t="s">
        <v>4337</v>
      </c>
      <c r="AK1327" s="280"/>
      <c r="AL1327" s="281"/>
      <c r="AM1327" s="112" t="s">
        <v>3650</v>
      </c>
      <c r="AN1327" s="107"/>
      <c r="AO1327" s="107"/>
      <c r="AP1327" s="107"/>
      <c r="AQ1327" s="107"/>
      <c r="AR1327" s="107"/>
      <c r="AS1327" s="107"/>
      <c r="AT1327" s="107"/>
      <c r="AU1327" s="107"/>
      <c r="AV1327" s="107"/>
      <c r="AW1327" s="107"/>
      <c r="AX1327" s="107"/>
      <c r="AY1327" s="107"/>
      <c r="AZ1327" s="107"/>
      <c r="BA1327" s="107"/>
      <c r="BB1327" s="107"/>
      <c r="BC1327" s="107"/>
      <c r="BD1327" s="107"/>
      <c r="BE1327" s="107"/>
      <c r="BF1327" s="107"/>
      <c r="BG1327" s="107"/>
      <c r="BH1327" s="107"/>
      <c r="BI1327" s="107"/>
      <c r="BJ1327" s="107"/>
      <c r="BK1327" s="107"/>
      <c r="BL1327" s="107"/>
      <c r="BM1327" s="107"/>
      <c r="BN1327" s="107"/>
      <c r="BO1327" s="107"/>
      <c r="BP1327" s="107"/>
      <c r="BQ1327" s="107"/>
      <c r="BR1327" s="107"/>
      <c r="BS1327" s="107"/>
      <c r="BT1327" s="107"/>
      <c r="BU1327" s="107"/>
      <c r="BV1327" s="107"/>
      <c r="BW1327" s="107"/>
      <c r="BX1327" s="107"/>
      <c r="BY1327" s="107"/>
      <c r="BZ1327" s="107"/>
      <c r="CA1327" s="107"/>
      <c r="CB1327" s="107"/>
      <c r="CC1327" s="107"/>
      <c r="CD1327" s="107"/>
      <c r="CE1327" s="107"/>
      <c r="CF1327" s="107"/>
      <c r="CG1327" s="107"/>
      <c r="CH1327" s="107"/>
      <c r="CI1327" s="107"/>
      <c r="CJ1327" s="107"/>
      <c r="CK1327" s="107"/>
      <c r="CL1327" s="107"/>
      <c r="CM1327" s="107"/>
      <c r="CN1327" s="118"/>
      <c r="CO1327" s="119"/>
      <c r="CP1327" s="118"/>
      <c r="CQ1327" s="119"/>
      <c r="CR1327" s="118"/>
      <c r="CS1327" s="119"/>
      <c r="CT1327" s="113"/>
      <c r="CU1327" s="118"/>
      <c r="CV1327" s="99">
        <f t="shared" si="125"/>
        <v>0</v>
      </c>
      <c r="CW1327" s="118"/>
      <c r="CX1327" s="119"/>
      <c r="CY1327" s="119"/>
      <c r="CZ1327" s="119"/>
      <c r="DA1327" s="118"/>
      <c r="DB1327" s="119"/>
      <c r="DC1327" s="111"/>
      <c r="DD1327" s="119"/>
      <c r="DE1327" s="111"/>
      <c r="DF1327" s="46"/>
    </row>
    <row r="1328" spans="1:110" s="42" customFormat="1" ht="60" x14ac:dyDescent="0.2">
      <c r="A1328" s="89">
        <v>40696</v>
      </c>
      <c r="B1328" s="106" t="s">
        <v>2218</v>
      </c>
      <c r="C1328" s="106" t="s">
        <v>3911</v>
      </c>
      <c r="D1328" s="90" t="s">
        <v>4264</v>
      </c>
      <c r="E1328" s="90" t="str">
        <f>VLOOKUP(B1328&amp;C1328,Divipola!$C$2:$F$1138,4,FALSE)</f>
        <v>05266</v>
      </c>
      <c r="F1328" s="90"/>
      <c r="G1328" s="129"/>
      <c r="H1328" s="129"/>
      <c r="I1328" s="129"/>
      <c r="J1328" s="129">
        <v>120</v>
      </c>
      <c r="K1328" s="129">
        <v>35</v>
      </c>
      <c r="L1328" s="129"/>
      <c r="M1328" s="129">
        <v>35</v>
      </c>
      <c r="N1328" s="129"/>
      <c r="O1328" s="129"/>
      <c r="P1328" s="129"/>
      <c r="Q1328" s="129"/>
      <c r="R1328" s="129"/>
      <c r="S1328" s="129"/>
      <c r="T1328" s="129"/>
      <c r="U1328" s="129"/>
      <c r="V1328" s="129"/>
      <c r="W1328" s="107"/>
      <c r="X1328" s="105"/>
      <c r="Y1328" s="92">
        <f t="shared" si="126"/>
        <v>0</v>
      </c>
      <c r="Z1328" s="92">
        <f t="shared" si="127"/>
        <v>0</v>
      </c>
      <c r="AA1328" s="92">
        <f t="shared" si="128"/>
        <v>0</v>
      </c>
      <c r="AB1328" s="92">
        <f t="shared" si="129"/>
        <v>0</v>
      </c>
      <c r="AC1328" s="92"/>
      <c r="AD1328" s="92">
        <v>0</v>
      </c>
      <c r="AE1328" s="92">
        <f t="shared" si="130"/>
        <v>0</v>
      </c>
      <c r="AF1328" s="93">
        <v>0</v>
      </c>
      <c r="AG1328" s="105"/>
      <c r="AH1328" s="108"/>
      <c r="AI1328" s="109" t="s">
        <v>4336</v>
      </c>
      <c r="AJ1328" s="110" t="s">
        <v>4337</v>
      </c>
      <c r="AK1328" s="280"/>
      <c r="AL1328" s="281"/>
      <c r="AM1328" s="112" t="s">
        <v>3652</v>
      </c>
      <c r="AN1328" s="107"/>
      <c r="AO1328" s="107"/>
      <c r="AP1328" s="107"/>
      <c r="AQ1328" s="107"/>
      <c r="AR1328" s="107"/>
      <c r="AS1328" s="107"/>
      <c r="AT1328" s="107"/>
      <c r="AU1328" s="107"/>
      <c r="AV1328" s="107"/>
      <c r="AW1328" s="107"/>
      <c r="AX1328" s="107"/>
      <c r="AY1328" s="107"/>
      <c r="AZ1328" s="107"/>
      <c r="BA1328" s="107"/>
      <c r="BB1328" s="107"/>
      <c r="BC1328" s="107"/>
      <c r="BD1328" s="107"/>
      <c r="BE1328" s="107"/>
      <c r="BF1328" s="107"/>
      <c r="BG1328" s="107"/>
      <c r="BH1328" s="107"/>
      <c r="BI1328" s="107"/>
      <c r="BJ1328" s="107"/>
      <c r="BK1328" s="107"/>
      <c r="BL1328" s="107"/>
      <c r="BM1328" s="107"/>
      <c r="BN1328" s="107"/>
      <c r="BO1328" s="107"/>
      <c r="BP1328" s="107"/>
      <c r="BQ1328" s="107"/>
      <c r="BR1328" s="107"/>
      <c r="BS1328" s="107"/>
      <c r="BT1328" s="107"/>
      <c r="BU1328" s="107"/>
      <c r="BV1328" s="107"/>
      <c r="BW1328" s="107"/>
      <c r="BX1328" s="107"/>
      <c r="BY1328" s="107"/>
      <c r="BZ1328" s="107"/>
      <c r="CA1328" s="107"/>
      <c r="CB1328" s="107"/>
      <c r="CC1328" s="107"/>
      <c r="CD1328" s="107"/>
      <c r="CE1328" s="107"/>
      <c r="CF1328" s="107"/>
      <c r="CG1328" s="107"/>
      <c r="CH1328" s="107"/>
      <c r="CI1328" s="107"/>
      <c r="CJ1328" s="107"/>
      <c r="CK1328" s="107"/>
      <c r="CL1328" s="107"/>
      <c r="CM1328" s="107"/>
      <c r="CN1328" s="118"/>
      <c r="CO1328" s="119"/>
      <c r="CP1328" s="118"/>
      <c r="CQ1328" s="119"/>
      <c r="CR1328" s="118"/>
      <c r="CS1328" s="119"/>
      <c r="CT1328" s="113"/>
      <c r="CU1328" s="118"/>
      <c r="CV1328" s="99">
        <f t="shared" si="125"/>
        <v>0</v>
      </c>
      <c r="CW1328" s="118"/>
      <c r="CX1328" s="119"/>
      <c r="CY1328" s="119"/>
      <c r="CZ1328" s="119"/>
      <c r="DA1328" s="118"/>
      <c r="DB1328" s="119"/>
      <c r="DC1328" s="111"/>
      <c r="DD1328" s="119"/>
      <c r="DE1328" s="111"/>
      <c r="DF1328" s="46"/>
    </row>
    <row r="1329" spans="1:255" s="42" customFormat="1" ht="36" x14ac:dyDescent="0.2">
      <c r="A1329" s="89">
        <v>40696</v>
      </c>
      <c r="B1329" s="106" t="s">
        <v>2218</v>
      </c>
      <c r="C1329" s="106" t="s">
        <v>4414</v>
      </c>
      <c r="D1329" s="90" t="s">
        <v>4264</v>
      </c>
      <c r="E1329" s="90" t="str">
        <f>VLOOKUP(B1329&amp;C1329,Divipola!$C$2:$F$1138,4,FALSE)</f>
        <v>05308</v>
      </c>
      <c r="F1329" s="90"/>
      <c r="G1329" s="129"/>
      <c r="H1329" s="129"/>
      <c r="I1329" s="129"/>
      <c r="J1329" s="129">
        <v>36</v>
      </c>
      <c r="K1329" s="129">
        <v>8</v>
      </c>
      <c r="L1329" s="129">
        <v>1</v>
      </c>
      <c r="M1329" s="129">
        <v>7</v>
      </c>
      <c r="N1329" s="129"/>
      <c r="O1329" s="129"/>
      <c r="P1329" s="129"/>
      <c r="Q1329" s="129"/>
      <c r="R1329" s="129"/>
      <c r="S1329" s="129"/>
      <c r="T1329" s="129"/>
      <c r="U1329" s="129"/>
      <c r="V1329" s="129"/>
      <c r="W1329" s="107"/>
      <c r="X1329" s="105"/>
      <c r="Y1329" s="92">
        <f t="shared" si="126"/>
        <v>0</v>
      </c>
      <c r="Z1329" s="92">
        <f t="shared" si="127"/>
        <v>0</v>
      </c>
      <c r="AA1329" s="92">
        <f t="shared" si="128"/>
        <v>0</v>
      </c>
      <c r="AB1329" s="92">
        <f t="shared" si="129"/>
        <v>0</v>
      </c>
      <c r="AC1329" s="92"/>
      <c r="AD1329" s="92">
        <v>0</v>
      </c>
      <c r="AE1329" s="92">
        <f t="shared" si="130"/>
        <v>0</v>
      </c>
      <c r="AF1329" s="93">
        <v>0</v>
      </c>
      <c r="AG1329" s="105"/>
      <c r="AH1329" s="108"/>
      <c r="AI1329" s="109" t="s">
        <v>4336</v>
      </c>
      <c r="AJ1329" s="110" t="s">
        <v>4337</v>
      </c>
      <c r="AK1329" s="280"/>
      <c r="AL1329" s="281"/>
      <c r="AM1329" s="112" t="s">
        <v>3649</v>
      </c>
      <c r="AN1329" s="107"/>
      <c r="AO1329" s="107"/>
      <c r="AP1329" s="107"/>
      <c r="AQ1329" s="107"/>
      <c r="AR1329" s="107"/>
      <c r="AS1329" s="107"/>
      <c r="AT1329" s="107"/>
      <c r="AU1329" s="107"/>
      <c r="AV1329" s="107"/>
      <c r="AW1329" s="107"/>
      <c r="AX1329" s="107"/>
      <c r="AY1329" s="107"/>
      <c r="AZ1329" s="107"/>
      <c r="BA1329" s="107"/>
      <c r="BB1329" s="107"/>
      <c r="BC1329" s="107"/>
      <c r="BD1329" s="107"/>
      <c r="BE1329" s="107"/>
      <c r="BF1329" s="107"/>
      <c r="BG1329" s="107"/>
      <c r="BH1329" s="107"/>
      <c r="BI1329" s="107"/>
      <c r="BJ1329" s="107"/>
      <c r="BK1329" s="107"/>
      <c r="BL1329" s="107"/>
      <c r="BM1329" s="107"/>
      <c r="BN1329" s="107"/>
      <c r="BO1329" s="107"/>
      <c r="BP1329" s="107"/>
      <c r="BQ1329" s="107"/>
      <c r="BR1329" s="107"/>
      <c r="BS1329" s="107"/>
      <c r="BT1329" s="107"/>
      <c r="BU1329" s="107"/>
      <c r="BV1329" s="107"/>
      <c r="BW1329" s="107"/>
      <c r="BX1329" s="107"/>
      <c r="BY1329" s="107"/>
      <c r="BZ1329" s="107"/>
      <c r="CA1329" s="107"/>
      <c r="CB1329" s="107"/>
      <c r="CC1329" s="107"/>
      <c r="CD1329" s="107"/>
      <c r="CE1329" s="107"/>
      <c r="CF1329" s="107"/>
      <c r="CG1329" s="107"/>
      <c r="CH1329" s="107"/>
      <c r="CI1329" s="107"/>
      <c r="CJ1329" s="107"/>
      <c r="CK1329" s="107"/>
      <c r="CL1329" s="107"/>
      <c r="CM1329" s="107"/>
      <c r="CN1329" s="118"/>
      <c r="CO1329" s="119"/>
      <c r="CP1329" s="118"/>
      <c r="CQ1329" s="119"/>
      <c r="CR1329" s="118"/>
      <c r="CS1329" s="119"/>
      <c r="CT1329" s="113"/>
      <c r="CU1329" s="118"/>
      <c r="CV1329" s="99">
        <f t="shared" si="125"/>
        <v>0</v>
      </c>
      <c r="CW1329" s="118"/>
      <c r="CX1329" s="119"/>
      <c r="CY1329" s="119"/>
      <c r="CZ1329" s="119"/>
      <c r="DA1329" s="118"/>
      <c r="DB1329" s="119"/>
      <c r="DC1329" s="111"/>
      <c r="DD1329" s="119"/>
      <c r="DE1329" s="111"/>
      <c r="DF1329" s="46"/>
    </row>
    <row r="1330" spans="1:255" s="42" customFormat="1" ht="36" x14ac:dyDescent="0.2">
      <c r="A1330" s="89">
        <v>40696</v>
      </c>
      <c r="B1330" s="106" t="s">
        <v>2218</v>
      </c>
      <c r="C1330" s="106" t="s">
        <v>4415</v>
      </c>
      <c r="D1330" s="90" t="s">
        <v>4264</v>
      </c>
      <c r="E1330" s="90" t="str">
        <f>VLOOKUP(B1330&amp;C1330,Divipola!$C$2:$F$1138,4,FALSE)</f>
        <v>05631</v>
      </c>
      <c r="F1330" s="90"/>
      <c r="G1330" s="129"/>
      <c r="H1330" s="129">
        <v>1</v>
      </c>
      <c r="I1330" s="129"/>
      <c r="J1330" s="129">
        <v>55</v>
      </c>
      <c r="K1330" s="129">
        <v>11</v>
      </c>
      <c r="L1330" s="129">
        <v>2</v>
      </c>
      <c r="M1330" s="129">
        <v>9</v>
      </c>
      <c r="N1330" s="129"/>
      <c r="O1330" s="129"/>
      <c r="P1330" s="129"/>
      <c r="Q1330" s="129"/>
      <c r="R1330" s="129"/>
      <c r="S1330" s="129"/>
      <c r="T1330" s="129"/>
      <c r="U1330" s="129"/>
      <c r="V1330" s="129"/>
      <c r="W1330" s="107"/>
      <c r="X1330" s="105"/>
      <c r="Y1330" s="92">
        <f t="shared" si="126"/>
        <v>0</v>
      </c>
      <c r="Z1330" s="92">
        <f t="shared" si="127"/>
        <v>0</v>
      </c>
      <c r="AA1330" s="92">
        <f t="shared" si="128"/>
        <v>0</v>
      </c>
      <c r="AB1330" s="92">
        <f t="shared" si="129"/>
        <v>0</v>
      </c>
      <c r="AC1330" s="92"/>
      <c r="AD1330" s="92">
        <v>0</v>
      </c>
      <c r="AE1330" s="92">
        <f t="shared" si="130"/>
        <v>0</v>
      </c>
      <c r="AF1330" s="93">
        <v>0</v>
      </c>
      <c r="AG1330" s="105"/>
      <c r="AH1330" s="108"/>
      <c r="AI1330" s="109" t="s">
        <v>4336</v>
      </c>
      <c r="AJ1330" s="110" t="s">
        <v>4337</v>
      </c>
      <c r="AK1330" s="280"/>
      <c r="AL1330" s="281"/>
      <c r="AM1330" s="112" t="s">
        <v>3651</v>
      </c>
      <c r="AN1330" s="107"/>
      <c r="AO1330" s="107"/>
      <c r="AP1330" s="107"/>
      <c r="AQ1330" s="107"/>
      <c r="AR1330" s="107"/>
      <c r="AS1330" s="107"/>
      <c r="AT1330" s="107"/>
      <c r="AU1330" s="107"/>
      <c r="AV1330" s="107"/>
      <c r="AW1330" s="107"/>
      <c r="AX1330" s="107"/>
      <c r="AY1330" s="107"/>
      <c r="AZ1330" s="107"/>
      <c r="BA1330" s="107"/>
      <c r="BB1330" s="107"/>
      <c r="BC1330" s="107"/>
      <c r="BD1330" s="107"/>
      <c r="BE1330" s="107"/>
      <c r="BF1330" s="107"/>
      <c r="BG1330" s="107"/>
      <c r="BH1330" s="107"/>
      <c r="BI1330" s="107"/>
      <c r="BJ1330" s="107"/>
      <c r="BK1330" s="107"/>
      <c r="BL1330" s="107"/>
      <c r="BM1330" s="107"/>
      <c r="BN1330" s="107"/>
      <c r="BO1330" s="107"/>
      <c r="BP1330" s="107"/>
      <c r="BQ1330" s="107"/>
      <c r="BR1330" s="107"/>
      <c r="BS1330" s="107"/>
      <c r="BT1330" s="107"/>
      <c r="BU1330" s="107"/>
      <c r="BV1330" s="107"/>
      <c r="BW1330" s="107"/>
      <c r="BX1330" s="107"/>
      <c r="BY1330" s="107"/>
      <c r="BZ1330" s="107"/>
      <c r="CA1330" s="107"/>
      <c r="CB1330" s="107"/>
      <c r="CC1330" s="107"/>
      <c r="CD1330" s="107"/>
      <c r="CE1330" s="107"/>
      <c r="CF1330" s="107"/>
      <c r="CG1330" s="107"/>
      <c r="CH1330" s="107"/>
      <c r="CI1330" s="107"/>
      <c r="CJ1330" s="107"/>
      <c r="CK1330" s="107"/>
      <c r="CL1330" s="107"/>
      <c r="CM1330" s="107"/>
      <c r="CN1330" s="118"/>
      <c r="CO1330" s="119"/>
      <c r="CP1330" s="118"/>
      <c r="CQ1330" s="119"/>
      <c r="CR1330" s="118"/>
      <c r="CS1330" s="119"/>
      <c r="CT1330" s="113"/>
      <c r="CU1330" s="118"/>
      <c r="CV1330" s="99">
        <f t="shared" si="125"/>
        <v>0</v>
      </c>
      <c r="CW1330" s="118"/>
      <c r="CX1330" s="119"/>
      <c r="CY1330" s="119"/>
      <c r="CZ1330" s="119"/>
      <c r="DA1330" s="118"/>
      <c r="DB1330" s="119"/>
      <c r="DC1330" s="111"/>
      <c r="DD1330" s="119"/>
      <c r="DE1330" s="111"/>
      <c r="DF1330" s="46"/>
    </row>
    <row r="1331" spans="1:255" s="42" customFormat="1" ht="24" x14ac:dyDescent="0.2">
      <c r="A1331" s="89">
        <v>40696</v>
      </c>
      <c r="B1331" s="106" t="s">
        <v>2218</v>
      </c>
      <c r="C1331" s="106" t="s">
        <v>4307</v>
      </c>
      <c r="D1331" s="90" t="s">
        <v>2362</v>
      </c>
      <c r="E1331" s="90" t="str">
        <f>VLOOKUP(B1331&amp;C1331,Divipola!$C$2:$F$1138,4,FALSE)</f>
        <v>05789</v>
      </c>
      <c r="F1331" s="90"/>
      <c r="G1331" s="129"/>
      <c r="H1331" s="129"/>
      <c r="I1331" s="129"/>
      <c r="J1331" s="129">
        <v>306</v>
      </c>
      <c r="K1331" s="129">
        <v>68</v>
      </c>
      <c r="L1331" s="129"/>
      <c r="M1331" s="129">
        <v>68</v>
      </c>
      <c r="N1331" s="129"/>
      <c r="O1331" s="129"/>
      <c r="P1331" s="129"/>
      <c r="Q1331" s="129"/>
      <c r="R1331" s="129"/>
      <c r="S1331" s="129"/>
      <c r="T1331" s="129"/>
      <c r="U1331" s="129"/>
      <c r="V1331" s="129"/>
      <c r="W1331" s="107"/>
      <c r="X1331" s="105"/>
      <c r="Y1331" s="92">
        <f t="shared" si="126"/>
        <v>0</v>
      </c>
      <c r="Z1331" s="92">
        <f t="shared" si="127"/>
        <v>0</v>
      </c>
      <c r="AA1331" s="92">
        <f t="shared" si="128"/>
        <v>0</v>
      </c>
      <c r="AB1331" s="92">
        <f t="shared" si="129"/>
        <v>0</v>
      </c>
      <c r="AC1331" s="92"/>
      <c r="AD1331" s="92">
        <v>0</v>
      </c>
      <c r="AE1331" s="92">
        <f t="shared" si="130"/>
        <v>0</v>
      </c>
      <c r="AF1331" s="93">
        <v>0</v>
      </c>
      <c r="AG1331" s="105"/>
      <c r="AH1331" s="108"/>
      <c r="AI1331" s="109" t="s">
        <v>4336</v>
      </c>
      <c r="AJ1331" s="110" t="s">
        <v>4337</v>
      </c>
      <c r="AK1331" s="111"/>
      <c r="AL1331" s="281"/>
      <c r="AM1331" s="112" t="s">
        <v>3420</v>
      </c>
      <c r="AN1331" s="107"/>
      <c r="AO1331" s="107"/>
      <c r="AP1331" s="107"/>
      <c r="AQ1331" s="107"/>
      <c r="AR1331" s="107"/>
      <c r="AS1331" s="107"/>
      <c r="AT1331" s="107"/>
      <c r="AU1331" s="107"/>
      <c r="AV1331" s="107"/>
      <c r="AW1331" s="107"/>
      <c r="AX1331" s="107"/>
      <c r="AY1331" s="107"/>
      <c r="AZ1331" s="107"/>
      <c r="BA1331" s="107"/>
      <c r="BB1331" s="107"/>
      <c r="BC1331" s="107"/>
      <c r="BD1331" s="107"/>
      <c r="BE1331" s="107"/>
      <c r="BF1331" s="107"/>
      <c r="BG1331" s="107"/>
      <c r="BH1331" s="107"/>
      <c r="BI1331" s="107"/>
      <c r="BJ1331" s="107"/>
      <c r="BK1331" s="107"/>
      <c r="BL1331" s="107"/>
      <c r="BM1331" s="107"/>
      <c r="BN1331" s="107"/>
      <c r="BO1331" s="107"/>
      <c r="BP1331" s="107"/>
      <c r="BQ1331" s="107"/>
      <c r="BR1331" s="107"/>
      <c r="BS1331" s="107"/>
      <c r="BT1331" s="107"/>
      <c r="BU1331" s="107"/>
      <c r="BV1331" s="107"/>
      <c r="BW1331" s="107"/>
      <c r="BX1331" s="107"/>
      <c r="BY1331" s="107"/>
      <c r="BZ1331" s="107"/>
      <c r="CA1331" s="107"/>
      <c r="CB1331" s="107"/>
      <c r="CC1331" s="107"/>
      <c r="CD1331" s="107"/>
      <c r="CE1331" s="107"/>
      <c r="CF1331" s="107"/>
      <c r="CG1331" s="107"/>
      <c r="CH1331" s="107"/>
      <c r="CI1331" s="107"/>
      <c r="CJ1331" s="107"/>
      <c r="CK1331" s="107"/>
      <c r="CL1331" s="107"/>
      <c r="CM1331" s="107"/>
      <c r="CN1331" s="118"/>
      <c r="CO1331" s="119"/>
      <c r="CP1331" s="118"/>
      <c r="CQ1331" s="119"/>
      <c r="CR1331" s="118"/>
      <c r="CS1331" s="119"/>
      <c r="CT1331" s="113"/>
      <c r="CU1331" s="118"/>
      <c r="CV1331" s="99">
        <f t="shared" si="125"/>
        <v>0</v>
      </c>
      <c r="CW1331" s="118"/>
      <c r="CX1331" s="119"/>
      <c r="CY1331" s="119"/>
      <c r="CZ1331" s="119"/>
      <c r="DA1331" s="118"/>
      <c r="DB1331" s="119"/>
      <c r="DC1331" s="111"/>
      <c r="DD1331" s="119"/>
      <c r="DE1331" s="111"/>
      <c r="DF1331" s="46"/>
    </row>
    <row r="1332" spans="1:255" s="42" customFormat="1" ht="24" x14ac:dyDescent="0.2">
      <c r="A1332" s="89">
        <v>40696</v>
      </c>
      <c r="B1332" s="106" t="s">
        <v>4261</v>
      </c>
      <c r="C1332" s="106" t="s">
        <v>70</v>
      </c>
      <c r="D1332" s="106" t="s">
        <v>2860</v>
      </c>
      <c r="E1332" s="90" t="str">
        <f>VLOOKUP(B1332&amp;C1332,Divipola!$C$2:$F$1138,4,FALSE)</f>
        <v>15097</v>
      </c>
      <c r="F1332" s="90"/>
      <c r="G1332" s="129"/>
      <c r="H1332" s="129"/>
      <c r="I1332" s="129"/>
      <c r="J1332" s="129">
        <v>25</v>
      </c>
      <c r="K1332" s="129">
        <v>6</v>
      </c>
      <c r="L1332" s="129"/>
      <c r="M1332" s="129">
        <v>6</v>
      </c>
      <c r="N1332" s="129">
        <v>1</v>
      </c>
      <c r="O1332" s="129"/>
      <c r="P1332" s="129"/>
      <c r="Q1332" s="129"/>
      <c r="R1332" s="129"/>
      <c r="S1332" s="129"/>
      <c r="T1332" s="129"/>
      <c r="U1332" s="129"/>
      <c r="V1332" s="129"/>
      <c r="W1332" s="107"/>
      <c r="X1332" s="105"/>
      <c r="Y1332" s="92">
        <f t="shared" si="126"/>
        <v>0</v>
      </c>
      <c r="Z1332" s="92">
        <f t="shared" si="127"/>
        <v>0</v>
      </c>
      <c r="AA1332" s="92">
        <f t="shared" si="128"/>
        <v>0</v>
      </c>
      <c r="AB1332" s="92">
        <f t="shared" si="129"/>
        <v>0</v>
      </c>
      <c r="AC1332" s="92"/>
      <c r="AD1332" s="92">
        <v>0</v>
      </c>
      <c r="AE1332" s="92">
        <f t="shared" si="130"/>
        <v>0</v>
      </c>
      <c r="AF1332" s="93">
        <v>0</v>
      </c>
      <c r="AG1332" s="105"/>
      <c r="AH1332" s="108"/>
      <c r="AI1332" s="47" t="s">
        <v>4336</v>
      </c>
      <c r="AJ1332" s="73" t="s">
        <v>4337</v>
      </c>
      <c r="AK1332" s="111"/>
      <c r="AL1332" s="105"/>
      <c r="AM1332" s="112" t="s">
        <v>388</v>
      </c>
      <c r="AN1332" s="107"/>
      <c r="AO1332" s="107"/>
      <c r="AP1332" s="107"/>
      <c r="AQ1332" s="107"/>
      <c r="AR1332" s="107"/>
      <c r="AS1332" s="107"/>
      <c r="AT1332" s="107"/>
      <c r="AU1332" s="107"/>
      <c r="AV1332" s="107"/>
      <c r="AW1332" s="107"/>
      <c r="AX1332" s="107"/>
      <c r="AY1332" s="107"/>
      <c r="AZ1332" s="107"/>
      <c r="BA1332" s="107"/>
      <c r="BB1332" s="107"/>
      <c r="BC1332" s="107"/>
      <c r="BD1332" s="107"/>
      <c r="BE1332" s="107"/>
      <c r="BF1332" s="107"/>
      <c r="BG1332" s="107"/>
      <c r="BH1332" s="107"/>
      <c r="BI1332" s="107"/>
      <c r="BJ1332" s="107"/>
      <c r="BK1332" s="107"/>
      <c r="BL1332" s="107"/>
      <c r="BM1332" s="107"/>
      <c r="BN1332" s="107"/>
      <c r="BO1332" s="107"/>
      <c r="BP1332" s="107"/>
      <c r="BQ1332" s="107"/>
      <c r="BR1332" s="107"/>
      <c r="BS1332" s="107"/>
      <c r="BT1332" s="107"/>
      <c r="BU1332" s="107"/>
      <c r="BV1332" s="107"/>
      <c r="BW1332" s="107"/>
      <c r="BX1332" s="107"/>
      <c r="BY1332" s="107"/>
      <c r="BZ1332" s="107"/>
      <c r="CA1332" s="107"/>
      <c r="CB1332" s="107"/>
      <c r="CC1332" s="107"/>
      <c r="CD1332" s="107"/>
      <c r="CE1332" s="107"/>
      <c r="CF1332" s="107"/>
      <c r="CG1332" s="107"/>
      <c r="CH1332" s="107"/>
      <c r="CI1332" s="107"/>
      <c r="CJ1332" s="107"/>
      <c r="CK1332" s="107"/>
      <c r="CL1332" s="107"/>
      <c r="CM1332" s="107"/>
      <c r="CN1332" s="118"/>
      <c r="CO1332" s="119"/>
      <c r="CP1332" s="118"/>
      <c r="CQ1332" s="119"/>
      <c r="CR1332" s="118"/>
      <c r="CS1332" s="119"/>
      <c r="CT1332" s="113"/>
      <c r="CU1332" s="118"/>
      <c r="CV1332" s="99">
        <f t="shared" si="125"/>
        <v>0</v>
      </c>
      <c r="CW1332" s="118"/>
      <c r="CX1332" s="119"/>
      <c r="CY1332" s="119"/>
      <c r="CZ1332" s="119"/>
      <c r="DA1332" s="118"/>
      <c r="DB1332" s="119"/>
      <c r="DC1332" s="111"/>
      <c r="DD1332" s="119"/>
      <c r="DE1332" s="111"/>
      <c r="DF1332" s="46"/>
    </row>
    <row r="1333" spans="1:255" s="42" customFormat="1" x14ac:dyDescent="0.2">
      <c r="A1333" s="89">
        <v>40696</v>
      </c>
      <c r="B1333" s="106" t="s">
        <v>4261</v>
      </c>
      <c r="C1333" s="106" t="s">
        <v>2245</v>
      </c>
      <c r="D1333" s="90" t="s">
        <v>4264</v>
      </c>
      <c r="E1333" s="90" t="str">
        <f>VLOOKUP(B1333&amp;C1333,Divipola!$C$2:$F$1138,4,FALSE)</f>
        <v>15332</v>
      </c>
      <c r="F1333" s="90"/>
      <c r="G1333" s="129"/>
      <c r="H1333" s="129"/>
      <c r="I1333" s="129"/>
      <c r="J1333" s="129">
        <v>500</v>
      </c>
      <c r="K1333" s="129">
        <v>100</v>
      </c>
      <c r="L1333" s="129"/>
      <c r="M1333" s="129">
        <v>100</v>
      </c>
      <c r="N1333" s="129"/>
      <c r="O1333" s="129"/>
      <c r="P1333" s="129"/>
      <c r="Q1333" s="129"/>
      <c r="R1333" s="129"/>
      <c r="S1333" s="129"/>
      <c r="T1333" s="129"/>
      <c r="U1333" s="129"/>
      <c r="V1333" s="129"/>
      <c r="W1333" s="107"/>
      <c r="X1333" s="105"/>
      <c r="Y1333" s="92">
        <f t="shared" si="126"/>
        <v>0</v>
      </c>
      <c r="Z1333" s="92">
        <f t="shared" si="127"/>
        <v>0</v>
      </c>
      <c r="AA1333" s="92">
        <f t="shared" si="128"/>
        <v>0</v>
      </c>
      <c r="AB1333" s="92">
        <f t="shared" si="129"/>
        <v>0</v>
      </c>
      <c r="AC1333" s="92"/>
      <c r="AD1333" s="92">
        <v>0</v>
      </c>
      <c r="AE1333" s="92">
        <f t="shared" si="130"/>
        <v>0</v>
      </c>
      <c r="AF1333" s="93">
        <v>0</v>
      </c>
      <c r="AG1333" s="105"/>
      <c r="AH1333" s="108"/>
      <c r="AI1333" s="102" t="s">
        <v>4336</v>
      </c>
      <c r="AJ1333" s="96" t="s">
        <v>4337</v>
      </c>
      <c r="AK1333" s="111"/>
      <c r="AL1333" s="105"/>
      <c r="AM1333" s="112" t="s">
        <v>911</v>
      </c>
      <c r="AN1333" s="107"/>
      <c r="AO1333" s="107"/>
      <c r="AP1333" s="107"/>
      <c r="AQ1333" s="107"/>
      <c r="AR1333" s="107"/>
      <c r="AS1333" s="107"/>
      <c r="AT1333" s="107"/>
      <c r="AU1333" s="107"/>
      <c r="AV1333" s="107"/>
      <c r="AW1333" s="107"/>
      <c r="AX1333" s="107"/>
      <c r="AY1333" s="107"/>
      <c r="AZ1333" s="107"/>
      <c r="BA1333" s="107"/>
      <c r="BB1333" s="107"/>
      <c r="BC1333" s="107"/>
      <c r="BD1333" s="107"/>
      <c r="BE1333" s="107"/>
      <c r="BF1333" s="107"/>
      <c r="BG1333" s="107"/>
      <c r="BH1333" s="107"/>
      <c r="BI1333" s="107"/>
      <c r="BJ1333" s="107"/>
      <c r="BK1333" s="107"/>
      <c r="BL1333" s="107"/>
      <c r="BM1333" s="107"/>
      <c r="BN1333" s="107"/>
      <c r="BO1333" s="107"/>
      <c r="BP1333" s="107"/>
      <c r="BQ1333" s="107"/>
      <c r="BR1333" s="107"/>
      <c r="BS1333" s="107"/>
      <c r="BT1333" s="107"/>
      <c r="BU1333" s="107"/>
      <c r="BV1333" s="107"/>
      <c r="BW1333" s="107"/>
      <c r="BX1333" s="107"/>
      <c r="BY1333" s="107"/>
      <c r="BZ1333" s="107"/>
      <c r="CA1333" s="107"/>
      <c r="CB1333" s="107"/>
      <c r="CC1333" s="107"/>
      <c r="CD1333" s="107"/>
      <c r="CE1333" s="107"/>
      <c r="CF1333" s="107"/>
      <c r="CG1333" s="107"/>
      <c r="CH1333" s="107"/>
      <c r="CI1333" s="107"/>
      <c r="CJ1333" s="107"/>
      <c r="CK1333" s="107"/>
      <c r="CL1333" s="107"/>
      <c r="CM1333" s="107"/>
      <c r="CN1333" s="118"/>
      <c r="CO1333" s="119"/>
      <c r="CP1333" s="118"/>
      <c r="CQ1333" s="119"/>
      <c r="CR1333" s="118"/>
      <c r="CS1333" s="119"/>
      <c r="CT1333" s="113"/>
      <c r="CU1333" s="118"/>
      <c r="CV1333" s="99">
        <f t="shared" si="125"/>
        <v>0</v>
      </c>
      <c r="CW1333" s="118"/>
      <c r="CX1333" s="119"/>
      <c r="CY1333" s="119"/>
      <c r="CZ1333" s="119"/>
      <c r="DA1333" s="118"/>
      <c r="DB1333" s="119"/>
      <c r="DC1333" s="111"/>
      <c r="DD1333" s="119"/>
      <c r="DE1333" s="111"/>
      <c r="DF1333" s="46"/>
    </row>
    <row r="1334" spans="1:255" s="42" customFormat="1" ht="60" x14ac:dyDescent="0.2">
      <c r="A1334" s="89">
        <v>40696</v>
      </c>
      <c r="B1334" s="90" t="s">
        <v>2225</v>
      </c>
      <c r="C1334" s="90" t="s">
        <v>1866</v>
      </c>
      <c r="D1334" s="90" t="s">
        <v>4264</v>
      </c>
      <c r="E1334" s="90" t="str">
        <f>VLOOKUP(B1334&amp;C1334,Divipola!$C$2:$F$1138,4,FALSE)</f>
        <v>27099</v>
      </c>
      <c r="F1334" s="90"/>
      <c r="G1334" s="279"/>
      <c r="H1334" s="279"/>
      <c r="I1334" s="279"/>
      <c r="J1334" s="279"/>
      <c r="K1334" s="279"/>
      <c r="L1334" s="279"/>
      <c r="M1334" s="279"/>
      <c r="N1334" s="129">
        <v>1</v>
      </c>
      <c r="O1334" s="129"/>
      <c r="P1334" s="129"/>
      <c r="Q1334" s="129">
        <v>1</v>
      </c>
      <c r="R1334" s="129"/>
      <c r="S1334" s="129"/>
      <c r="T1334" s="129">
        <v>1</v>
      </c>
      <c r="U1334" s="129"/>
      <c r="V1334" s="129"/>
      <c r="W1334" s="107"/>
      <c r="X1334" s="105"/>
      <c r="Y1334" s="92">
        <f t="shared" si="126"/>
        <v>0</v>
      </c>
      <c r="Z1334" s="92">
        <f t="shared" si="127"/>
        <v>0</v>
      </c>
      <c r="AA1334" s="92">
        <f t="shared" si="128"/>
        <v>0</v>
      </c>
      <c r="AB1334" s="92">
        <f t="shared" si="129"/>
        <v>0</v>
      </c>
      <c r="AC1334" s="92"/>
      <c r="AD1334" s="92">
        <v>0</v>
      </c>
      <c r="AE1334" s="92">
        <f t="shared" si="130"/>
        <v>0</v>
      </c>
      <c r="AF1334" s="93">
        <v>0</v>
      </c>
      <c r="AG1334" s="105"/>
      <c r="AH1334" s="108"/>
      <c r="AI1334" s="109" t="s">
        <v>4346</v>
      </c>
      <c r="AJ1334" s="110" t="s">
        <v>4347</v>
      </c>
      <c r="AK1334" s="280"/>
      <c r="AL1334" s="89" t="s">
        <v>2798</v>
      </c>
      <c r="AM1334" s="100" t="s">
        <v>3779</v>
      </c>
      <c r="AN1334" s="107"/>
      <c r="AO1334" s="107"/>
      <c r="AP1334" s="107"/>
      <c r="AQ1334" s="107"/>
      <c r="AR1334" s="107"/>
      <c r="AS1334" s="107"/>
      <c r="AT1334" s="107"/>
      <c r="AU1334" s="107"/>
      <c r="AV1334" s="107"/>
      <c r="AW1334" s="107"/>
      <c r="AX1334" s="107"/>
      <c r="AY1334" s="107"/>
      <c r="AZ1334" s="107"/>
      <c r="BA1334" s="107"/>
      <c r="BB1334" s="107"/>
      <c r="BC1334" s="107"/>
      <c r="BD1334" s="107"/>
      <c r="BE1334" s="107"/>
      <c r="BF1334" s="107"/>
      <c r="BG1334" s="107"/>
      <c r="BH1334" s="107"/>
      <c r="BI1334" s="107"/>
      <c r="BJ1334" s="107"/>
      <c r="BK1334" s="107"/>
      <c r="BL1334" s="107"/>
      <c r="BM1334" s="107"/>
      <c r="BN1334" s="107"/>
      <c r="BO1334" s="107"/>
      <c r="BP1334" s="107"/>
      <c r="BQ1334" s="107"/>
      <c r="BR1334" s="107"/>
      <c r="BS1334" s="107"/>
      <c r="BT1334" s="107"/>
      <c r="BU1334" s="107"/>
      <c r="BV1334" s="107"/>
      <c r="BW1334" s="107"/>
      <c r="BX1334" s="107"/>
      <c r="BY1334" s="107"/>
      <c r="BZ1334" s="107"/>
      <c r="CA1334" s="107"/>
      <c r="CB1334" s="107"/>
      <c r="CC1334" s="107"/>
      <c r="CD1334" s="107"/>
      <c r="CE1334" s="107"/>
      <c r="CF1334" s="107"/>
      <c r="CG1334" s="107"/>
      <c r="CH1334" s="107"/>
      <c r="CI1334" s="107"/>
      <c r="CJ1334" s="107"/>
      <c r="CK1334" s="107"/>
      <c r="CL1334" s="107"/>
      <c r="CM1334" s="107"/>
      <c r="CN1334" s="118"/>
      <c r="CO1334" s="119"/>
      <c r="CP1334" s="118"/>
      <c r="CQ1334" s="119"/>
      <c r="CR1334" s="118"/>
      <c r="CS1334" s="119"/>
      <c r="CT1334" s="113"/>
      <c r="CU1334" s="118"/>
      <c r="CV1334" s="99">
        <f t="shared" si="125"/>
        <v>0</v>
      </c>
      <c r="CW1334" s="118"/>
      <c r="CX1334" s="119"/>
      <c r="CY1334" s="119"/>
      <c r="CZ1334" s="119"/>
      <c r="DA1334" s="118"/>
      <c r="DB1334" s="119"/>
      <c r="DC1334" s="111"/>
      <c r="DD1334" s="119"/>
      <c r="DE1334" s="111"/>
      <c r="DF1334" s="46"/>
    </row>
    <row r="1335" spans="1:255" s="42" customFormat="1" ht="36" x14ac:dyDescent="0.2">
      <c r="A1335" s="89">
        <v>40696</v>
      </c>
      <c r="B1335" s="16" t="s">
        <v>2225</v>
      </c>
      <c r="C1335" s="16" t="s">
        <v>4241</v>
      </c>
      <c r="D1335" s="90" t="s">
        <v>4264</v>
      </c>
      <c r="E1335" s="90" t="str">
        <f>VLOOKUP(B1335&amp;C1335,Divipola!$C$2:$F$1138,4,FALSE)</f>
        <v>27660</v>
      </c>
      <c r="F1335" s="4"/>
      <c r="G1335" s="208"/>
      <c r="H1335" s="208"/>
      <c r="I1335" s="208"/>
      <c r="J1335" s="208"/>
      <c r="K1335" s="208"/>
      <c r="L1335" s="208"/>
      <c r="M1335" s="208"/>
      <c r="N1335" s="208"/>
      <c r="O1335" s="208"/>
      <c r="P1335" s="208"/>
      <c r="Q1335" s="208"/>
      <c r="R1335" s="208"/>
      <c r="S1335" s="208"/>
      <c r="T1335" s="208"/>
      <c r="U1335" s="208"/>
      <c r="V1335" s="208"/>
      <c r="W1335" s="19"/>
      <c r="X1335" s="17"/>
      <c r="Y1335" s="5">
        <f t="shared" si="126"/>
        <v>0</v>
      </c>
      <c r="Z1335" s="5">
        <f t="shared" si="127"/>
        <v>0</v>
      </c>
      <c r="AA1335" s="5">
        <f t="shared" si="128"/>
        <v>139892520</v>
      </c>
      <c r="AB1335" s="5">
        <f t="shared" si="129"/>
        <v>0</v>
      </c>
      <c r="AC1335" s="5"/>
      <c r="AD1335" s="5">
        <v>0</v>
      </c>
      <c r="AE1335" s="5">
        <f t="shared" si="130"/>
        <v>139892520</v>
      </c>
      <c r="AF1335" s="70">
        <v>0</v>
      </c>
      <c r="AG1335" s="17"/>
      <c r="AH1335" s="18"/>
      <c r="AI1335" s="95" t="s">
        <v>4346</v>
      </c>
      <c r="AJ1335" s="96" t="s">
        <v>4347</v>
      </c>
      <c r="AK1335" s="45"/>
      <c r="AL1335" s="17"/>
      <c r="AM1335" s="20" t="s">
        <v>142</v>
      </c>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39"/>
      <c r="CO1335" s="138"/>
      <c r="CP1335" s="139"/>
      <c r="CQ1335" s="138"/>
      <c r="CR1335" s="139"/>
      <c r="CS1335" s="138"/>
      <c r="CT1335" s="72"/>
      <c r="CU1335" s="139"/>
      <c r="CV1335" s="99">
        <f t="shared" si="125"/>
        <v>0</v>
      </c>
      <c r="CW1335" s="139"/>
      <c r="CX1335" s="138"/>
      <c r="CY1335" s="138"/>
      <c r="CZ1335" s="138"/>
      <c r="DA1335" s="139"/>
      <c r="DB1335" s="138"/>
      <c r="DC1335" s="158">
        <v>6100</v>
      </c>
      <c r="DD1335" s="157">
        <f>6100*22678+12200*127.6</f>
        <v>139892520</v>
      </c>
      <c r="DE1335" s="45"/>
      <c r="DF1335" s="46"/>
    </row>
    <row r="1336" spans="1:255" s="42" customFormat="1" x14ac:dyDescent="0.2">
      <c r="A1336" s="89">
        <v>40696</v>
      </c>
      <c r="B1336" s="106" t="s">
        <v>4282</v>
      </c>
      <c r="C1336" s="106" t="s">
        <v>4345</v>
      </c>
      <c r="D1336" s="90" t="s">
        <v>4264</v>
      </c>
      <c r="E1336" s="90">
        <f>VLOOKUP(B1336&amp;C1336,Divipola!$C$2:$F$1138,4,FALSE)</f>
        <v>23</v>
      </c>
      <c r="F1336" s="90"/>
      <c r="G1336" s="129"/>
      <c r="H1336" s="129"/>
      <c r="I1336" s="129"/>
      <c r="J1336" s="129"/>
      <c r="K1336" s="129"/>
      <c r="L1336" s="129"/>
      <c r="M1336" s="129"/>
      <c r="N1336" s="129"/>
      <c r="O1336" s="129"/>
      <c r="P1336" s="129"/>
      <c r="Q1336" s="129"/>
      <c r="R1336" s="129"/>
      <c r="S1336" s="129"/>
      <c r="T1336" s="129"/>
      <c r="U1336" s="129"/>
      <c r="V1336" s="129"/>
      <c r="W1336" s="107"/>
      <c r="X1336" s="105"/>
      <c r="Y1336" s="92">
        <f t="shared" si="126"/>
        <v>25000000</v>
      </c>
      <c r="Z1336" s="92">
        <f t="shared" si="127"/>
        <v>0</v>
      </c>
      <c r="AA1336" s="92">
        <f t="shared" si="128"/>
        <v>0</v>
      </c>
      <c r="AB1336" s="92">
        <f t="shared" si="129"/>
        <v>0</v>
      </c>
      <c r="AC1336" s="92"/>
      <c r="AD1336" s="92">
        <v>0</v>
      </c>
      <c r="AE1336" s="92">
        <f t="shared" si="130"/>
        <v>25000000</v>
      </c>
      <c r="AF1336" s="93">
        <v>0</v>
      </c>
      <c r="AG1336" s="105"/>
      <c r="AH1336" s="108"/>
      <c r="AI1336" s="109" t="s">
        <v>4346</v>
      </c>
      <c r="AJ1336" s="110" t="s">
        <v>4347</v>
      </c>
      <c r="AK1336" s="111"/>
      <c r="AL1336" s="105"/>
      <c r="AM1336" s="112"/>
      <c r="AN1336" s="107"/>
      <c r="AO1336" s="107"/>
      <c r="AP1336" s="107"/>
      <c r="AQ1336" s="107"/>
      <c r="AR1336" s="107"/>
      <c r="AS1336" s="107"/>
      <c r="AT1336" s="107"/>
      <c r="AU1336" s="107"/>
      <c r="AV1336" s="107"/>
      <c r="AW1336" s="107"/>
      <c r="AX1336" s="107"/>
      <c r="AY1336" s="107"/>
      <c r="AZ1336" s="107"/>
      <c r="BA1336" s="107"/>
      <c r="BB1336" s="107"/>
      <c r="BC1336" s="107"/>
      <c r="BD1336" s="107"/>
      <c r="BE1336" s="107"/>
      <c r="BF1336" s="107"/>
      <c r="BG1336" s="107"/>
      <c r="BH1336" s="107"/>
      <c r="BI1336" s="107"/>
      <c r="BJ1336" s="107"/>
      <c r="BK1336" s="107"/>
      <c r="BL1336" s="107"/>
      <c r="BM1336" s="107"/>
      <c r="BN1336" s="107"/>
      <c r="BO1336" s="107"/>
      <c r="BP1336" s="107"/>
      <c r="BQ1336" s="107"/>
      <c r="BR1336" s="107"/>
      <c r="BS1336" s="107"/>
      <c r="BT1336" s="107"/>
      <c r="BU1336" s="107"/>
      <c r="BV1336" s="107"/>
      <c r="BW1336" s="107"/>
      <c r="BX1336" s="107"/>
      <c r="BY1336" s="107"/>
      <c r="BZ1336" s="107">
        <v>50</v>
      </c>
      <c r="CA1336" s="107">
        <f>50*500000</f>
        <v>25000000</v>
      </c>
      <c r="CB1336" s="107"/>
      <c r="CC1336" s="107"/>
      <c r="CD1336" s="107"/>
      <c r="CE1336" s="107"/>
      <c r="CF1336" s="107"/>
      <c r="CG1336" s="107"/>
      <c r="CH1336" s="107"/>
      <c r="CI1336" s="107"/>
      <c r="CJ1336" s="107"/>
      <c r="CK1336" s="107"/>
      <c r="CL1336" s="107"/>
      <c r="CM1336" s="107"/>
      <c r="CN1336" s="118"/>
      <c r="CO1336" s="119"/>
      <c r="CP1336" s="118"/>
      <c r="CQ1336" s="119"/>
      <c r="CR1336" s="118"/>
      <c r="CS1336" s="119"/>
      <c r="CT1336" s="113"/>
      <c r="CU1336" s="118"/>
      <c r="CV1336" s="99">
        <f t="shared" si="125"/>
        <v>25000000</v>
      </c>
      <c r="CW1336" s="118"/>
      <c r="CX1336" s="119"/>
      <c r="CY1336" s="119"/>
      <c r="CZ1336" s="119"/>
      <c r="DA1336" s="118"/>
      <c r="DB1336" s="119"/>
      <c r="DC1336" s="111"/>
      <c r="DD1336" s="119"/>
      <c r="DE1336" s="111"/>
      <c r="DF1336" s="46"/>
    </row>
    <row r="1337" spans="1:255" s="42" customFormat="1" ht="36" x14ac:dyDescent="0.2">
      <c r="A1337" s="89">
        <v>40696</v>
      </c>
      <c r="B1337" s="106" t="s">
        <v>860</v>
      </c>
      <c r="C1337" s="106" t="s">
        <v>402</v>
      </c>
      <c r="D1337" s="90" t="s">
        <v>4264</v>
      </c>
      <c r="E1337" s="90" t="str">
        <f>VLOOKUP(B1337&amp;C1337,Divipola!$C$2:$F$1138,4,FALSE)</f>
        <v>50325</v>
      </c>
      <c r="F1337" s="90"/>
      <c r="G1337" s="129"/>
      <c r="H1337" s="129"/>
      <c r="I1337" s="129"/>
      <c r="J1337" s="129"/>
      <c r="K1337" s="129"/>
      <c r="L1337" s="129"/>
      <c r="M1337" s="129"/>
      <c r="N1337" s="129"/>
      <c r="O1337" s="129"/>
      <c r="P1337" s="129"/>
      <c r="Q1337" s="129"/>
      <c r="R1337" s="129"/>
      <c r="S1337" s="129"/>
      <c r="T1337" s="129"/>
      <c r="U1337" s="129"/>
      <c r="V1337" s="129"/>
      <c r="W1337" s="107"/>
      <c r="X1337" s="105"/>
      <c r="Y1337" s="92">
        <f t="shared" si="126"/>
        <v>0</v>
      </c>
      <c r="Z1337" s="92">
        <f t="shared" si="127"/>
        <v>0</v>
      </c>
      <c r="AA1337" s="92">
        <f t="shared" si="128"/>
        <v>0</v>
      </c>
      <c r="AB1337" s="92">
        <f t="shared" si="129"/>
        <v>0</v>
      </c>
      <c r="AC1337" s="92"/>
      <c r="AD1337" s="92">
        <v>0</v>
      </c>
      <c r="AE1337" s="92">
        <f t="shared" si="130"/>
        <v>0</v>
      </c>
      <c r="AF1337" s="93">
        <v>0</v>
      </c>
      <c r="AG1337" s="105"/>
      <c r="AH1337" s="108"/>
      <c r="AI1337" s="109" t="s">
        <v>4336</v>
      </c>
      <c r="AJ1337" s="110" t="s">
        <v>4337</v>
      </c>
      <c r="AK1337" s="280"/>
      <c r="AL1337" s="281"/>
      <c r="AM1337" s="112" t="s">
        <v>3425</v>
      </c>
      <c r="AN1337" s="107"/>
      <c r="AO1337" s="107"/>
      <c r="AP1337" s="107"/>
      <c r="AQ1337" s="107"/>
      <c r="AR1337" s="107"/>
      <c r="AS1337" s="107"/>
      <c r="AT1337" s="107"/>
      <c r="AU1337" s="107"/>
      <c r="AV1337" s="107"/>
      <c r="AW1337" s="107"/>
      <c r="AX1337" s="107"/>
      <c r="AY1337" s="107"/>
      <c r="AZ1337" s="107"/>
      <c r="BA1337" s="107"/>
      <c r="BB1337" s="107"/>
      <c r="BC1337" s="107"/>
      <c r="BD1337" s="107"/>
      <c r="BE1337" s="107"/>
      <c r="BF1337" s="107"/>
      <c r="BG1337" s="107"/>
      <c r="BH1337" s="107"/>
      <c r="BI1337" s="107"/>
      <c r="BJ1337" s="107"/>
      <c r="BK1337" s="107"/>
      <c r="BL1337" s="107"/>
      <c r="BM1337" s="107"/>
      <c r="BN1337" s="107"/>
      <c r="BO1337" s="107"/>
      <c r="BP1337" s="107"/>
      <c r="BQ1337" s="107"/>
      <c r="BR1337" s="107"/>
      <c r="BS1337" s="107"/>
      <c r="BT1337" s="107"/>
      <c r="BU1337" s="107"/>
      <c r="BV1337" s="107"/>
      <c r="BW1337" s="107"/>
      <c r="BX1337" s="107"/>
      <c r="BY1337" s="107"/>
      <c r="BZ1337" s="107"/>
      <c r="CA1337" s="107"/>
      <c r="CB1337" s="107"/>
      <c r="CC1337" s="107"/>
      <c r="CD1337" s="107"/>
      <c r="CE1337" s="107"/>
      <c r="CF1337" s="107"/>
      <c r="CG1337" s="107"/>
      <c r="CH1337" s="107"/>
      <c r="CI1337" s="107"/>
      <c r="CJ1337" s="107"/>
      <c r="CK1337" s="107"/>
      <c r="CL1337" s="107"/>
      <c r="CM1337" s="107"/>
      <c r="CN1337" s="118"/>
      <c r="CO1337" s="119"/>
      <c r="CP1337" s="118"/>
      <c r="CQ1337" s="119"/>
      <c r="CR1337" s="118"/>
      <c r="CS1337" s="119"/>
      <c r="CT1337" s="113"/>
      <c r="CU1337" s="118"/>
      <c r="CV1337" s="99">
        <f t="shared" si="125"/>
        <v>0</v>
      </c>
      <c r="CW1337" s="118"/>
      <c r="CX1337" s="119"/>
      <c r="CY1337" s="119"/>
      <c r="CZ1337" s="119"/>
      <c r="DA1337" s="118"/>
      <c r="DB1337" s="119"/>
      <c r="DC1337" s="111"/>
      <c r="DD1337" s="119"/>
      <c r="DE1337" s="111"/>
      <c r="DF1337" s="46"/>
    </row>
    <row r="1338" spans="1:255" s="42" customFormat="1" ht="36" x14ac:dyDescent="0.2">
      <c r="A1338" s="89">
        <v>40696</v>
      </c>
      <c r="B1338" s="106" t="s">
        <v>860</v>
      </c>
      <c r="C1338" s="106" t="s">
        <v>4417</v>
      </c>
      <c r="D1338" s="90" t="s">
        <v>4264</v>
      </c>
      <c r="E1338" s="90" t="str">
        <f>VLOOKUP(B1338&amp;C1338,Divipola!$C$2:$F$1138,4,FALSE)</f>
        <v>50450</v>
      </c>
      <c r="F1338" s="90"/>
      <c r="G1338" s="129"/>
      <c r="H1338" s="129"/>
      <c r="I1338" s="129"/>
      <c r="J1338" s="129"/>
      <c r="K1338" s="129"/>
      <c r="L1338" s="129"/>
      <c r="M1338" s="129"/>
      <c r="N1338" s="129"/>
      <c r="O1338" s="129"/>
      <c r="P1338" s="129"/>
      <c r="Q1338" s="129"/>
      <c r="R1338" s="129"/>
      <c r="S1338" s="129"/>
      <c r="T1338" s="129"/>
      <c r="U1338" s="129"/>
      <c r="V1338" s="129"/>
      <c r="W1338" s="107"/>
      <c r="X1338" s="105"/>
      <c r="Y1338" s="92">
        <f t="shared" si="126"/>
        <v>0</v>
      </c>
      <c r="Z1338" s="92">
        <f t="shared" si="127"/>
        <v>0</v>
      </c>
      <c r="AA1338" s="92">
        <f t="shared" si="128"/>
        <v>0</v>
      </c>
      <c r="AB1338" s="92">
        <f t="shared" si="129"/>
        <v>0</v>
      </c>
      <c r="AC1338" s="92"/>
      <c r="AD1338" s="92">
        <v>0</v>
      </c>
      <c r="AE1338" s="92">
        <f t="shared" si="130"/>
        <v>0</v>
      </c>
      <c r="AF1338" s="93">
        <v>0</v>
      </c>
      <c r="AG1338" s="105"/>
      <c r="AH1338" s="108"/>
      <c r="AI1338" s="109" t="s">
        <v>4336</v>
      </c>
      <c r="AJ1338" s="110" t="s">
        <v>4337</v>
      </c>
      <c r="AK1338" s="280"/>
      <c r="AL1338" s="281"/>
      <c r="AM1338" s="112" t="s">
        <v>3424</v>
      </c>
      <c r="AN1338" s="107"/>
      <c r="AO1338" s="107"/>
      <c r="AP1338" s="107"/>
      <c r="AQ1338" s="107"/>
      <c r="AR1338" s="107"/>
      <c r="AS1338" s="107"/>
      <c r="AT1338" s="107"/>
      <c r="AU1338" s="107"/>
      <c r="AV1338" s="107"/>
      <c r="AW1338" s="107"/>
      <c r="AX1338" s="107"/>
      <c r="AY1338" s="107"/>
      <c r="AZ1338" s="107"/>
      <c r="BA1338" s="107"/>
      <c r="BB1338" s="107"/>
      <c r="BC1338" s="107"/>
      <c r="BD1338" s="107"/>
      <c r="BE1338" s="107"/>
      <c r="BF1338" s="107"/>
      <c r="BG1338" s="107"/>
      <c r="BH1338" s="107"/>
      <c r="BI1338" s="107"/>
      <c r="BJ1338" s="107"/>
      <c r="BK1338" s="107"/>
      <c r="BL1338" s="107"/>
      <c r="BM1338" s="107"/>
      <c r="BN1338" s="107"/>
      <c r="BO1338" s="107"/>
      <c r="BP1338" s="107"/>
      <c r="BQ1338" s="107"/>
      <c r="BR1338" s="107"/>
      <c r="BS1338" s="107"/>
      <c r="BT1338" s="107"/>
      <c r="BU1338" s="107"/>
      <c r="BV1338" s="107"/>
      <c r="BW1338" s="107"/>
      <c r="BX1338" s="107"/>
      <c r="BY1338" s="107"/>
      <c r="BZ1338" s="107"/>
      <c r="CA1338" s="107"/>
      <c r="CB1338" s="107"/>
      <c r="CC1338" s="107"/>
      <c r="CD1338" s="107"/>
      <c r="CE1338" s="107"/>
      <c r="CF1338" s="107"/>
      <c r="CG1338" s="107"/>
      <c r="CH1338" s="107"/>
      <c r="CI1338" s="107"/>
      <c r="CJ1338" s="107"/>
      <c r="CK1338" s="107"/>
      <c r="CL1338" s="107"/>
      <c r="CM1338" s="107"/>
      <c r="CN1338" s="118"/>
      <c r="CO1338" s="119"/>
      <c r="CP1338" s="118"/>
      <c r="CQ1338" s="119"/>
      <c r="CR1338" s="118"/>
      <c r="CS1338" s="119"/>
      <c r="CT1338" s="113"/>
      <c r="CU1338" s="118"/>
      <c r="CV1338" s="99">
        <f t="shared" si="125"/>
        <v>0</v>
      </c>
      <c r="CW1338" s="118"/>
      <c r="CX1338" s="119"/>
      <c r="CY1338" s="119"/>
      <c r="CZ1338" s="119"/>
      <c r="DA1338" s="118"/>
      <c r="DB1338" s="119"/>
      <c r="DC1338" s="111"/>
      <c r="DD1338" s="119"/>
      <c r="DE1338" s="111"/>
      <c r="DF1338" s="46"/>
    </row>
    <row r="1339" spans="1:255" s="42" customFormat="1" x14ac:dyDescent="0.2">
      <c r="A1339" s="89">
        <v>40696</v>
      </c>
      <c r="B1339" s="90" t="s">
        <v>4387</v>
      </c>
      <c r="C1339" s="90" t="s">
        <v>2900</v>
      </c>
      <c r="D1339" s="90" t="s">
        <v>2362</v>
      </c>
      <c r="E1339" s="90" t="str">
        <f>VLOOKUP(B1339&amp;C1339,Divipola!$C$2:$F$1138,4,FALSE)</f>
        <v>52210</v>
      </c>
      <c r="F1339" s="4"/>
      <c r="G1339" s="101"/>
      <c r="H1339" s="101"/>
      <c r="I1339" s="101"/>
      <c r="J1339" s="101">
        <v>120</v>
      </c>
      <c r="K1339" s="101">
        <v>30</v>
      </c>
      <c r="L1339" s="101">
        <v>30</v>
      </c>
      <c r="M1339" s="101"/>
      <c r="N1339" s="101"/>
      <c r="O1339" s="101"/>
      <c r="P1339" s="101"/>
      <c r="Q1339" s="101"/>
      <c r="R1339" s="101"/>
      <c r="S1339" s="101"/>
      <c r="T1339" s="101"/>
      <c r="U1339" s="101"/>
      <c r="V1339" s="101"/>
      <c r="W1339" s="19"/>
      <c r="X1339" s="17"/>
      <c r="Y1339" s="5">
        <f t="shared" si="126"/>
        <v>0</v>
      </c>
      <c r="Z1339" s="5">
        <f t="shared" si="127"/>
        <v>0</v>
      </c>
      <c r="AA1339" s="5">
        <f t="shared" si="128"/>
        <v>0</v>
      </c>
      <c r="AB1339" s="5">
        <f t="shared" si="129"/>
        <v>0</v>
      </c>
      <c r="AC1339" s="5"/>
      <c r="AD1339" s="5">
        <v>0</v>
      </c>
      <c r="AE1339" s="5">
        <f t="shared" si="130"/>
        <v>0</v>
      </c>
      <c r="AF1339" s="70">
        <v>0</v>
      </c>
      <c r="AG1339" s="17"/>
      <c r="AH1339" s="18"/>
      <c r="AI1339" s="109" t="s">
        <v>4336</v>
      </c>
      <c r="AJ1339" s="110" t="s">
        <v>4337</v>
      </c>
      <c r="AK1339" s="45"/>
      <c r="AL1339" s="17"/>
      <c r="AM1339" s="100"/>
      <c r="AN1339" s="19"/>
      <c r="AO1339" s="19"/>
      <c r="AP1339" s="19"/>
      <c r="AQ1339" s="19"/>
      <c r="AR1339" s="19"/>
      <c r="AS1339" s="19"/>
      <c r="AT1339" s="19"/>
      <c r="AU1339" s="19"/>
      <c r="AV1339" s="19"/>
      <c r="AW1339" s="19"/>
      <c r="AX1339" s="107"/>
      <c r="AY1339" s="107"/>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c r="BV1339" s="19"/>
      <c r="BW1339" s="19"/>
      <c r="BX1339" s="19"/>
      <c r="BY1339" s="19"/>
      <c r="BZ1339" s="19"/>
      <c r="CA1339" s="19"/>
      <c r="CB1339" s="19"/>
      <c r="CC1339" s="19"/>
      <c r="CD1339" s="19"/>
      <c r="CE1339" s="19"/>
      <c r="CF1339" s="19"/>
      <c r="CG1339" s="19"/>
      <c r="CH1339" s="19"/>
      <c r="CI1339" s="19"/>
      <c r="CJ1339" s="19"/>
      <c r="CK1339" s="19"/>
      <c r="CL1339" s="19"/>
      <c r="CM1339" s="19"/>
      <c r="CN1339" s="139"/>
      <c r="CO1339" s="138"/>
      <c r="CP1339" s="139"/>
      <c r="CQ1339" s="138"/>
      <c r="CR1339" s="139"/>
      <c r="CS1339" s="138"/>
      <c r="CT1339" s="72"/>
      <c r="CU1339" s="139"/>
      <c r="CV1339" s="99">
        <f t="shared" si="125"/>
        <v>0</v>
      </c>
      <c r="CW1339" s="139"/>
      <c r="CX1339" s="138"/>
      <c r="CY1339" s="138"/>
      <c r="CZ1339" s="138"/>
      <c r="DA1339" s="139"/>
      <c r="DB1339" s="138"/>
      <c r="DC1339" s="45"/>
      <c r="DD1339" s="138"/>
      <c r="DE1339" s="45"/>
      <c r="DF1339" s="46"/>
    </row>
    <row r="1340" spans="1:255" s="42" customFormat="1" ht="22.5" x14ac:dyDescent="0.2">
      <c r="A1340" s="89">
        <v>40696</v>
      </c>
      <c r="B1340" s="90" t="s">
        <v>4387</v>
      </c>
      <c r="C1340" s="90" t="s">
        <v>468</v>
      </c>
      <c r="D1340" s="90" t="s">
        <v>2362</v>
      </c>
      <c r="E1340" s="90" t="str">
        <f>VLOOKUP(B1340&amp;C1340,Divipola!$C$2:$F$1138,4,FALSE)</f>
        <v>52258</v>
      </c>
      <c r="F1340" s="4"/>
      <c r="G1340" s="101"/>
      <c r="H1340" s="101"/>
      <c r="I1340" s="101"/>
      <c r="J1340" s="101">
        <v>402</v>
      </c>
      <c r="K1340" s="101">
        <v>100</v>
      </c>
      <c r="L1340" s="101"/>
      <c r="M1340" s="101"/>
      <c r="N1340" s="101"/>
      <c r="O1340" s="101"/>
      <c r="P1340" s="101"/>
      <c r="Q1340" s="101"/>
      <c r="R1340" s="101"/>
      <c r="S1340" s="101"/>
      <c r="T1340" s="101"/>
      <c r="U1340" s="101"/>
      <c r="V1340" s="101">
        <v>502</v>
      </c>
      <c r="W1340" s="19"/>
      <c r="X1340" s="17"/>
      <c r="Y1340" s="5">
        <f t="shared" si="126"/>
        <v>0</v>
      </c>
      <c r="Z1340" s="5">
        <f t="shared" si="127"/>
        <v>0</v>
      </c>
      <c r="AA1340" s="5">
        <f t="shared" si="128"/>
        <v>0</v>
      </c>
      <c r="AB1340" s="5">
        <f t="shared" si="129"/>
        <v>0</v>
      </c>
      <c r="AC1340" s="5"/>
      <c r="AD1340" s="5">
        <v>0</v>
      </c>
      <c r="AE1340" s="5">
        <f t="shared" si="130"/>
        <v>0</v>
      </c>
      <c r="AF1340" s="70">
        <v>0</v>
      </c>
      <c r="AG1340" s="17"/>
      <c r="AH1340" s="18"/>
      <c r="AI1340" s="109" t="s">
        <v>4336</v>
      </c>
      <c r="AJ1340" s="110" t="s">
        <v>4337</v>
      </c>
      <c r="AK1340" s="45"/>
      <c r="AL1340" s="17"/>
      <c r="AM1340" s="100" t="s">
        <v>1145</v>
      </c>
      <c r="AN1340" s="19"/>
      <c r="AO1340" s="19"/>
      <c r="AP1340" s="19"/>
      <c r="AQ1340" s="19"/>
      <c r="AR1340" s="19"/>
      <c r="AS1340" s="19"/>
      <c r="AT1340" s="19"/>
      <c r="AU1340" s="19"/>
      <c r="AV1340" s="19"/>
      <c r="AW1340" s="19"/>
      <c r="AX1340" s="107"/>
      <c r="AY1340" s="107"/>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39"/>
      <c r="CO1340" s="138"/>
      <c r="CP1340" s="139"/>
      <c r="CQ1340" s="138"/>
      <c r="CR1340" s="139"/>
      <c r="CS1340" s="138"/>
      <c r="CT1340" s="72"/>
      <c r="CU1340" s="139"/>
      <c r="CV1340" s="99">
        <f t="shared" si="125"/>
        <v>0</v>
      </c>
      <c r="CW1340" s="139"/>
      <c r="CX1340" s="138"/>
      <c r="CY1340" s="138"/>
      <c r="CZ1340" s="138"/>
      <c r="DA1340" s="139"/>
      <c r="DB1340" s="138"/>
      <c r="DC1340" s="45"/>
      <c r="DD1340" s="138"/>
      <c r="DE1340" s="45"/>
      <c r="DF1340" s="46"/>
    </row>
    <row r="1341" spans="1:255" s="42" customFormat="1" x14ac:dyDescent="0.2">
      <c r="A1341" s="89">
        <v>40696</v>
      </c>
      <c r="B1341" s="90" t="s">
        <v>4387</v>
      </c>
      <c r="C1341" s="90" t="s">
        <v>859</v>
      </c>
      <c r="D1341" s="90" t="s">
        <v>2362</v>
      </c>
      <c r="E1341" s="90" t="str">
        <f>VLOOKUP(B1341&amp;C1341,Divipola!$C$2:$F$1138,4,FALSE)</f>
        <v>52687</v>
      </c>
      <c r="F1341" s="4"/>
      <c r="G1341" s="101"/>
      <c r="H1341" s="101"/>
      <c r="I1341" s="101"/>
      <c r="J1341" s="101">
        <v>382</v>
      </c>
      <c r="K1341" s="101">
        <v>96</v>
      </c>
      <c r="L1341" s="101">
        <v>4</v>
      </c>
      <c r="M1341" s="101">
        <v>67</v>
      </c>
      <c r="N1341" s="101"/>
      <c r="O1341" s="101"/>
      <c r="P1341" s="101"/>
      <c r="Q1341" s="101"/>
      <c r="R1341" s="101"/>
      <c r="S1341" s="101"/>
      <c r="T1341" s="101"/>
      <c r="U1341" s="101"/>
      <c r="V1341" s="101"/>
      <c r="W1341" s="19"/>
      <c r="X1341" s="17"/>
      <c r="Y1341" s="5">
        <f t="shared" si="126"/>
        <v>0</v>
      </c>
      <c r="Z1341" s="5">
        <f t="shared" si="127"/>
        <v>0</v>
      </c>
      <c r="AA1341" s="5">
        <f t="shared" si="128"/>
        <v>0</v>
      </c>
      <c r="AB1341" s="5">
        <f t="shared" si="129"/>
        <v>0</v>
      </c>
      <c r="AC1341" s="5"/>
      <c r="AD1341" s="5">
        <v>0</v>
      </c>
      <c r="AE1341" s="5">
        <f t="shared" si="130"/>
        <v>0</v>
      </c>
      <c r="AF1341" s="70">
        <v>0</v>
      </c>
      <c r="AG1341" s="17"/>
      <c r="AH1341" s="18"/>
      <c r="AI1341" s="109" t="s">
        <v>4336</v>
      </c>
      <c r="AJ1341" s="110" t="s">
        <v>4337</v>
      </c>
      <c r="AK1341" s="45"/>
      <c r="AL1341" s="17"/>
      <c r="AM1341" s="103"/>
      <c r="AN1341" s="19"/>
      <c r="AO1341" s="19"/>
      <c r="AP1341" s="19"/>
      <c r="AQ1341" s="19"/>
      <c r="AR1341" s="19"/>
      <c r="AS1341" s="19"/>
      <c r="AT1341" s="19"/>
      <c r="AU1341" s="19"/>
      <c r="AV1341" s="19"/>
      <c r="AW1341" s="19"/>
      <c r="AX1341" s="107"/>
      <c r="AY1341" s="107"/>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39"/>
      <c r="CO1341" s="138"/>
      <c r="CP1341" s="139"/>
      <c r="CQ1341" s="138"/>
      <c r="CR1341" s="139"/>
      <c r="CS1341" s="138"/>
      <c r="CT1341" s="72"/>
      <c r="CU1341" s="139"/>
      <c r="CV1341" s="99">
        <f t="shared" si="125"/>
        <v>0</v>
      </c>
      <c r="CW1341" s="139"/>
      <c r="CX1341" s="138"/>
      <c r="CY1341" s="138"/>
      <c r="CZ1341" s="138"/>
      <c r="DA1341" s="139"/>
      <c r="DB1341" s="138"/>
      <c r="DC1341" s="45"/>
      <c r="DD1341" s="138"/>
      <c r="DE1341" s="45"/>
      <c r="DF1341" s="46"/>
    </row>
    <row r="1342" spans="1:255" s="42" customFormat="1" ht="36" x14ac:dyDescent="0.2">
      <c r="A1342" s="89">
        <v>40696</v>
      </c>
      <c r="B1342" s="106" t="s">
        <v>3706</v>
      </c>
      <c r="C1342" s="106" t="s">
        <v>4345</v>
      </c>
      <c r="D1342" s="90" t="s">
        <v>4264</v>
      </c>
      <c r="E1342" s="90">
        <f>VLOOKUP(B1342&amp;C1342,Divipola!$C$2:$F$1138,4,FALSE)</f>
        <v>99</v>
      </c>
      <c r="F1342" s="90"/>
      <c r="G1342" s="129"/>
      <c r="H1342" s="129"/>
      <c r="I1342" s="129"/>
      <c r="J1342" s="129"/>
      <c r="K1342" s="129"/>
      <c r="L1342" s="129"/>
      <c r="M1342" s="129"/>
      <c r="N1342" s="129"/>
      <c r="O1342" s="129"/>
      <c r="P1342" s="129"/>
      <c r="Q1342" s="129"/>
      <c r="R1342" s="129"/>
      <c r="S1342" s="129"/>
      <c r="T1342" s="129"/>
      <c r="U1342" s="129"/>
      <c r="V1342" s="129"/>
      <c r="W1342" s="107"/>
      <c r="X1342" s="105"/>
      <c r="Y1342" s="92">
        <f t="shared" si="126"/>
        <v>0</v>
      </c>
      <c r="Z1342" s="92">
        <f t="shared" si="127"/>
        <v>0</v>
      </c>
      <c r="AA1342" s="92">
        <f t="shared" si="128"/>
        <v>0</v>
      </c>
      <c r="AB1342" s="92">
        <f t="shared" si="129"/>
        <v>0</v>
      </c>
      <c r="AC1342" s="92"/>
      <c r="AD1342" s="92">
        <v>200000000</v>
      </c>
      <c r="AE1342" s="92">
        <f t="shared" si="130"/>
        <v>200000000</v>
      </c>
      <c r="AF1342" s="93">
        <v>0</v>
      </c>
      <c r="AG1342" s="105"/>
      <c r="AH1342" s="108"/>
      <c r="AI1342" s="109" t="s">
        <v>4346</v>
      </c>
      <c r="AJ1342" s="110" t="s">
        <v>4347</v>
      </c>
      <c r="AK1342" s="111"/>
      <c r="AL1342" s="105"/>
      <c r="AM1342" s="112" t="s">
        <v>924</v>
      </c>
      <c r="AN1342" s="107"/>
      <c r="AO1342" s="107"/>
      <c r="AP1342" s="107"/>
      <c r="AQ1342" s="107"/>
      <c r="AR1342" s="107"/>
      <c r="AS1342" s="107"/>
      <c r="AT1342" s="107"/>
      <c r="AU1342" s="107"/>
      <c r="AV1342" s="107"/>
      <c r="AW1342" s="107"/>
      <c r="AX1342" s="107"/>
      <c r="AY1342" s="107"/>
      <c r="AZ1342" s="107"/>
      <c r="BA1342" s="107"/>
      <c r="BB1342" s="107"/>
      <c r="BC1342" s="107"/>
      <c r="BD1342" s="107"/>
      <c r="BE1342" s="107"/>
      <c r="BF1342" s="107"/>
      <c r="BG1342" s="107"/>
      <c r="BH1342" s="107"/>
      <c r="BI1342" s="107"/>
      <c r="BJ1342" s="107"/>
      <c r="BK1342" s="107"/>
      <c r="BL1342" s="107"/>
      <c r="BM1342" s="107"/>
      <c r="BN1342" s="107"/>
      <c r="BO1342" s="107"/>
      <c r="BP1342" s="107"/>
      <c r="BQ1342" s="107"/>
      <c r="BR1342" s="107"/>
      <c r="BS1342" s="107"/>
      <c r="BT1342" s="107"/>
      <c r="BU1342" s="107"/>
      <c r="BV1342" s="107"/>
      <c r="BW1342" s="107"/>
      <c r="BX1342" s="107"/>
      <c r="BY1342" s="107"/>
      <c r="BZ1342" s="107"/>
      <c r="CA1342" s="107"/>
      <c r="CB1342" s="107"/>
      <c r="CC1342" s="107"/>
      <c r="CD1342" s="107"/>
      <c r="CE1342" s="107"/>
      <c r="CF1342" s="107"/>
      <c r="CG1342" s="107"/>
      <c r="CH1342" s="107"/>
      <c r="CI1342" s="107"/>
      <c r="CJ1342" s="107"/>
      <c r="CK1342" s="107"/>
      <c r="CL1342" s="107"/>
      <c r="CM1342" s="107"/>
      <c r="CN1342" s="118"/>
      <c r="CO1342" s="119"/>
      <c r="CP1342" s="118"/>
      <c r="CQ1342" s="119"/>
      <c r="CR1342" s="118"/>
      <c r="CS1342" s="119"/>
      <c r="CT1342" s="113"/>
      <c r="CU1342" s="118"/>
      <c r="CV1342" s="99">
        <f t="shared" si="125"/>
        <v>0</v>
      </c>
      <c r="CW1342" s="118"/>
      <c r="CX1342" s="119"/>
      <c r="CY1342" s="119"/>
      <c r="CZ1342" s="119"/>
      <c r="DA1342" s="118"/>
      <c r="DB1342" s="119"/>
      <c r="DC1342" s="111"/>
      <c r="DD1342" s="119"/>
      <c r="DE1342" s="111"/>
      <c r="DF1342" s="46"/>
    </row>
    <row r="1343" spans="1:255" s="42" customFormat="1" ht="24" x14ac:dyDescent="0.2">
      <c r="A1343" s="89">
        <v>40697</v>
      </c>
      <c r="B1343" s="106" t="s">
        <v>2218</v>
      </c>
      <c r="C1343" s="106" t="s">
        <v>3536</v>
      </c>
      <c r="D1343" s="90" t="s">
        <v>4264</v>
      </c>
      <c r="E1343" s="90" t="str">
        <f>VLOOKUP(B1343&amp;C1343,Divipola!$C$2:$F$1138,4,FALSE)</f>
        <v>05591</v>
      </c>
      <c r="F1343" s="90"/>
      <c r="G1343" s="129"/>
      <c r="H1343" s="129"/>
      <c r="I1343" s="129"/>
      <c r="J1343" s="129">
        <v>900</v>
      </c>
      <c r="K1343" s="129">
        <v>200</v>
      </c>
      <c r="L1343" s="129"/>
      <c r="M1343" s="129">
        <v>200</v>
      </c>
      <c r="N1343" s="129"/>
      <c r="O1343" s="129"/>
      <c r="P1343" s="129"/>
      <c r="Q1343" s="129"/>
      <c r="R1343" s="129"/>
      <c r="S1343" s="129"/>
      <c r="T1343" s="129"/>
      <c r="U1343" s="129"/>
      <c r="V1343" s="129"/>
      <c r="W1343" s="107"/>
      <c r="X1343" s="105"/>
      <c r="Y1343" s="92">
        <f t="shared" si="126"/>
        <v>0</v>
      </c>
      <c r="Z1343" s="92">
        <f t="shared" si="127"/>
        <v>0</v>
      </c>
      <c r="AA1343" s="92">
        <f t="shared" si="128"/>
        <v>0</v>
      </c>
      <c r="AB1343" s="92">
        <f t="shared" si="129"/>
        <v>0</v>
      </c>
      <c r="AC1343" s="92"/>
      <c r="AD1343" s="92">
        <v>0</v>
      </c>
      <c r="AE1343" s="92">
        <f t="shared" si="130"/>
        <v>0</v>
      </c>
      <c r="AF1343" s="93">
        <v>0</v>
      </c>
      <c r="AG1343" s="105"/>
      <c r="AH1343" s="108"/>
      <c r="AI1343" s="109" t="s">
        <v>4336</v>
      </c>
      <c r="AJ1343" s="110" t="s">
        <v>4337</v>
      </c>
      <c r="AK1343" s="280"/>
      <c r="AL1343" s="281"/>
      <c r="AM1343" s="112" t="s">
        <v>3418</v>
      </c>
      <c r="AN1343" s="107"/>
      <c r="AO1343" s="107"/>
      <c r="AP1343" s="107"/>
      <c r="AQ1343" s="107"/>
      <c r="AR1343" s="107"/>
      <c r="AS1343" s="107"/>
      <c r="AT1343" s="107"/>
      <c r="AU1343" s="107"/>
      <c r="AV1343" s="107"/>
      <c r="AW1343" s="107"/>
      <c r="AX1343" s="107"/>
      <c r="AY1343" s="107"/>
      <c r="AZ1343" s="107"/>
      <c r="BA1343" s="107"/>
      <c r="BB1343" s="107"/>
      <c r="BC1343" s="107"/>
      <c r="BD1343" s="107"/>
      <c r="BE1343" s="107"/>
      <c r="BF1343" s="107"/>
      <c r="BG1343" s="107"/>
      <c r="BH1343" s="107"/>
      <c r="BI1343" s="107"/>
      <c r="BJ1343" s="107"/>
      <c r="BK1343" s="107"/>
      <c r="BL1343" s="107"/>
      <c r="BM1343" s="107"/>
      <c r="BN1343" s="107"/>
      <c r="BO1343" s="107"/>
      <c r="BP1343" s="107"/>
      <c r="BQ1343" s="107"/>
      <c r="BR1343" s="107"/>
      <c r="BS1343" s="107"/>
      <c r="BT1343" s="107"/>
      <c r="BU1343" s="107"/>
      <c r="BV1343" s="107"/>
      <c r="BW1343" s="107"/>
      <c r="BX1343" s="107"/>
      <c r="BY1343" s="107"/>
      <c r="BZ1343" s="107"/>
      <c r="CA1343" s="107"/>
      <c r="CB1343" s="107"/>
      <c r="CC1343" s="107"/>
      <c r="CD1343" s="107"/>
      <c r="CE1343" s="107"/>
      <c r="CF1343" s="107"/>
      <c r="CG1343" s="107"/>
      <c r="CH1343" s="107"/>
      <c r="CI1343" s="107"/>
      <c r="CJ1343" s="107"/>
      <c r="CK1343" s="107"/>
      <c r="CL1343" s="107"/>
      <c r="CM1343" s="107"/>
      <c r="CN1343" s="118"/>
      <c r="CO1343" s="119"/>
      <c r="CP1343" s="118"/>
      <c r="CQ1343" s="119"/>
      <c r="CR1343" s="118"/>
      <c r="CS1343" s="119"/>
      <c r="CT1343" s="113"/>
      <c r="CU1343" s="118"/>
      <c r="CV1343" s="99">
        <f t="shared" si="125"/>
        <v>0</v>
      </c>
      <c r="CW1343" s="118"/>
      <c r="CX1343" s="119"/>
      <c r="CY1343" s="119"/>
      <c r="CZ1343" s="119"/>
      <c r="DA1343" s="118"/>
      <c r="DB1343" s="119"/>
      <c r="DC1343" s="111"/>
      <c r="DD1343" s="119"/>
      <c r="DE1343" s="111"/>
      <c r="DF1343" s="46"/>
    </row>
    <row r="1344" spans="1:255" s="42" customFormat="1" x14ac:dyDescent="0.2">
      <c r="A1344" s="89">
        <v>40697</v>
      </c>
      <c r="B1344" s="106" t="s">
        <v>4352</v>
      </c>
      <c r="C1344" s="106" t="s">
        <v>4358</v>
      </c>
      <c r="D1344" s="90" t="s">
        <v>4264</v>
      </c>
      <c r="E1344" s="90" t="str">
        <f>VLOOKUP(B1344&amp;C1344,Divipola!$C$2:$F$1138,4,FALSE)</f>
        <v>13001</v>
      </c>
      <c r="F1344" s="90"/>
      <c r="G1344" s="129"/>
      <c r="H1344" s="129"/>
      <c r="I1344" s="129"/>
      <c r="J1344" s="129"/>
      <c r="K1344" s="129"/>
      <c r="L1344" s="129"/>
      <c r="M1344" s="129"/>
      <c r="N1344" s="129"/>
      <c r="O1344" s="129"/>
      <c r="P1344" s="129"/>
      <c r="Q1344" s="129"/>
      <c r="R1344" s="129"/>
      <c r="S1344" s="129"/>
      <c r="T1344" s="129"/>
      <c r="U1344" s="129"/>
      <c r="V1344" s="129"/>
      <c r="W1344" s="107"/>
      <c r="X1344" s="105"/>
      <c r="Y1344" s="92">
        <f t="shared" si="126"/>
        <v>0</v>
      </c>
      <c r="Z1344" s="92">
        <f t="shared" si="127"/>
        <v>0</v>
      </c>
      <c r="AA1344" s="92">
        <f t="shared" si="128"/>
        <v>0</v>
      </c>
      <c r="AB1344" s="92">
        <f t="shared" si="129"/>
        <v>0</v>
      </c>
      <c r="AC1344" s="92"/>
      <c r="AD1344" s="92">
        <v>0</v>
      </c>
      <c r="AE1344" s="92">
        <f t="shared" si="130"/>
        <v>0</v>
      </c>
      <c r="AF1344" s="93">
        <v>0</v>
      </c>
      <c r="AG1344" s="105"/>
      <c r="AH1344" s="108"/>
      <c r="AI1344" s="109" t="s">
        <v>4336</v>
      </c>
      <c r="AJ1344" s="110" t="s">
        <v>4337</v>
      </c>
      <c r="AK1344" s="280"/>
      <c r="AL1344" s="281"/>
      <c r="AM1344" s="112" t="s">
        <v>3452</v>
      </c>
      <c r="AN1344" s="107"/>
      <c r="AO1344" s="107"/>
      <c r="AP1344" s="107"/>
      <c r="AQ1344" s="107"/>
      <c r="AR1344" s="107"/>
      <c r="AS1344" s="107"/>
      <c r="AT1344" s="107"/>
      <c r="AU1344" s="107"/>
      <c r="AV1344" s="107"/>
      <c r="AW1344" s="107"/>
      <c r="AX1344" s="107"/>
      <c r="AY1344" s="107"/>
      <c r="AZ1344" s="107"/>
      <c r="BA1344" s="107"/>
      <c r="BB1344" s="107"/>
      <c r="BC1344" s="107"/>
      <c r="BD1344" s="107"/>
      <c r="BE1344" s="107"/>
      <c r="BF1344" s="107"/>
      <c r="BG1344" s="107"/>
      <c r="BH1344" s="107"/>
      <c r="BI1344" s="107"/>
      <c r="BJ1344" s="107"/>
      <c r="BK1344" s="107"/>
      <c r="BL1344" s="107"/>
      <c r="BM1344" s="107"/>
      <c r="BN1344" s="107"/>
      <c r="BO1344" s="107"/>
      <c r="BP1344" s="107"/>
      <c r="BQ1344" s="107"/>
      <c r="BR1344" s="107"/>
      <c r="BS1344" s="107"/>
      <c r="BT1344" s="107"/>
      <c r="BU1344" s="107"/>
      <c r="BV1344" s="107"/>
      <c r="BW1344" s="107"/>
      <c r="BX1344" s="107"/>
      <c r="BY1344" s="107"/>
      <c r="BZ1344" s="107"/>
      <c r="CA1344" s="107"/>
      <c r="CB1344" s="107"/>
      <c r="CC1344" s="107"/>
      <c r="CD1344" s="107"/>
      <c r="CE1344" s="107"/>
      <c r="CF1344" s="107"/>
      <c r="CG1344" s="107"/>
      <c r="CH1344" s="107"/>
      <c r="CI1344" s="107"/>
      <c r="CJ1344" s="107"/>
      <c r="CK1344" s="107"/>
      <c r="CL1344" s="107"/>
      <c r="CM1344" s="107"/>
      <c r="CN1344" s="118"/>
      <c r="CO1344" s="119"/>
      <c r="CP1344" s="118"/>
      <c r="CQ1344" s="119"/>
      <c r="CR1344" s="118"/>
      <c r="CS1344" s="119"/>
      <c r="CT1344" s="113"/>
      <c r="CU1344" s="118"/>
      <c r="CV1344" s="99">
        <f t="shared" si="125"/>
        <v>0</v>
      </c>
      <c r="CW1344" s="118"/>
      <c r="CX1344" s="119"/>
      <c r="CY1344" s="119"/>
      <c r="CZ1344" s="119"/>
      <c r="DA1344" s="118"/>
      <c r="DB1344" s="119"/>
      <c r="DC1344" s="111"/>
      <c r="DD1344" s="119"/>
      <c r="DE1344" s="111"/>
      <c r="DF1344" s="277"/>
      <c r="DG1344" s="270"/>
      <c r="DH1344" s="270"/>
      <c r="DI1344" s="270"/>
      <c r="DJ1344" s="270"/>
      <c r="DK1344" s="270"/>
      <c r="DL1344" s="270"/>
      <c r="DM1344" s="270"/>
      <c r="DN1344" s="270"/>
      <c r="DO1344" s="270"/>
      <c r="DP1344" s="270"/>
      <c r="DQ1344" s="270"/>
      <c r="DR1344" s="270"/>
      <c r="DS1344" s="270"/>
      <c r="DT1344" s="270"/>
      <c r="DU1344" s="270"/>
      <c r="DV1344" s="270"/>
      <c r="DW1344" s="270"/>
      <c r="DX1344" s="270"/>
      <c r="DY1344" s="270"/>
      <c r="DZ1344" s="270"/>
      <c r="EA1344" s="270"/>
      <c r="EB1344" s="270"/>
      <c r="EC1344" s="270"/>
      <c r="ED1344" s="270"/>
      <c r="EE1344" s="270"/>
      <c r="EF1344" s="270"/>
      <c r="EG1344" s="270"/>
      <c r="EH1344" s="270"/>
      <c r="EI1344" s="270"/>
      <c r="EJ1344" s="270"/>
      <c r="EK1344" s="270"/>
      <c r="EL1344" s="270"/>
      <c r="EM1344" s="270"/>
      <c r="EN1344" s="270"/>
      <c r="EO1344" s="270"/>
      <c r="EP1344" s="270"/>
      <c r="EQ1344" s="270"/>
      <c r="ER1344" s="270"/>
      <c r="ES1344" s="270"/>
      <c r="ET1344" s="270"/>
      <c r="EU1344" s="270"/>
      <c r="EV1344" s="270"/>
      <c r="EW1344" s="270"/>
      <c r="EX1344" s="270"/>
      <c r="EY1344" s="270"/>
      <c r="EZ1344" s="270"/>
      <c r="FA1344" s="270"/>
      <c r="FB1344" s="270"/>
      <c r="FC1344" s="270"/>
      <c r="FD1344" s="270"/>
      <c r="FE1344" s="270"/>
      <c r="FF1344" s="270"/>
      <c r="FG1344" s="270"/>
      <c r="FH1344" s="270"/>
      <c r="FI1344" s="270"/>
      <c r="FJ1344" s="270"/>
      <c r="FK1344" s="270"/>
      <c r="FL1344" s="270"/>
      <c r="FM1344" s="270"/>
      <c r="FN1344" s="270"/>
      <c r="FO1344" s="270"/>
      <c r="FP1344" s="270"/>
      <c r="FQ1344" s="270"/>
      <c r="FR1344" s="270"/>
      <c r="FS1344" s="270"/>
      <c r="FT1344" s="270"/>
      <c r="FU1344" s="270"/>
      <c r="FV1344" s="270"/>
      <c r="FW1344" s="270"/>
      <c r="FX1344" s="270"/>
      <c r="FY1344" s="270"/>
      <c r="FZ1344" s="270"/>
      <c r="GA1344" s="270"/>
      <c r="GB1344" s="270"/>
      <c r="GC1344" s="270"/>
      <c r="GD1344" s="270"/>
      <c r="GE1344" s="270"/>
      <c r="GF1344" s="270"/>
      <c r="GG1344" s="270"/>
      <c r="GH1344" s="270"/>
      <c r="GI1344" s="270"/>
      <c r="GJ1344" s="270"/>
      <c r="GK1344" s="270"/>
      <c r="GL1344" s="270"/>
      <c r="GM1344" s="270"/>
      <c r="GN1344" s="270"/>
      <c r="GO1344" s="270"/>
      <c r="GP1344" s="270"/>
      <c r="GQ1344" s="270"/>
      <c r="GR1344" s="270"/>
      <c r="GS1344" s="270"/>
      <c r="GT1344" s="270"/>
      <c r="GU1344" s="270"/>
      <c r="GV1344" s="270"/>
      <c r="GW1344" s="270"/>
      <c r="GX1344" s="270"/>
      <c r="GY1344" s="270"/>
      <c r="GZ1344" s="270"/>
      <c r="HA1344" s="270"/>
      <c r="HB1344" s="270"/>
      <c r="HC1344" s="270"/>
      <c r="HD1344" s="270"/>
      <c r="HE1344" s="270"/>
      <c r="HF1344" s="270"/>
      <c r="HG1344" s="270"/>
      <c r="HH1344" s="270"/>
      <c r="HI1344" s="270"/>
      <c r="HJ1344" s="270"/>
      <c r="HK1344" s="270"/>
      <c r="HL1344" s="270"/>
      <c r="HM1344" s="270"/>
      <c r="HN1344" s="270"/>
      <c r="HO1344" s="270"/>
      <c r="HP1344" s="270"/>
      <c r="HQ1344" s="270"/>
      <c r="HR1344" s="270"/>
      <c r="HS1344" s="270"/>
      <c r="HT1344" s="270"/>
      <c r="HU1344" s="270"/>
      <c r="HV1344" s="270"/>
      <c r="HW1344" s="270"/>
      <c r="HX1344" s="270"/>
      <c r="HY1344" s="270"/>
      <c r="HZ1344" s="270"/>
      <c r="IA1344" s="270"/>
      <c r="IB1344" s="270"/>
      <c r="IC1344" s="270"/>
      <c r="ID1344" s="270"/>
      <c r="IE1344" s="270"/>
      <c r="IF1344" s="270"/>
      <c r="IG1344" s="270"/>
      <c r="IH1344" s="270"/>
      <c r="II1344" s="270"/>
      <c r="IJ1344" s="270"/>
      <c r="IK1344" s="270"/>
      <c r="IL1344" s="270"/>
      <c r="IM1344" s="270"/>
      <c r="IN1344" s="270"/>
      <c r="IO1344" s="270"/>
      <c r="IP1344" s="270"/>
      <c r="IQ1344" s="270"/>
      <c r="IR1344" s="270"/>
      <c r="IS1344" s="270"/>
      <c r="IT1344" s="270"/>
      <c r="IU1344" s="270"/>
    </row>
    <row r="1345" spans="1:110" s="42" customFormat="1" ht="48" x14ac:dyDescent="0.2">
      <c r="A1345" s="89">
        <v>40697</v>
      </c>
      <c r="B1345" s="106" t="s">
        <v>4261</v>
      </c>
      <c r="C1345" s="106" t="s">
        <v>2612</v>
      </c>
      <c r="D1345" s="90" t="s">
        <v>2362</v>
      </c>
      <c r="E1345" s="90" t="str">
        <f>VLOOKUP(B1345&amp;C1345,Divipola!$C$2:$F$1138,4,FALSE)</f>
        <v>15172</v>
      </c>
      <c r="F1345" s="90"/>
      <c r="G1345" s="129"/>
      <c r="H1345" s="129"/>
      <c r="I1345" s="129"/>
      <c r="J1345" s="129">
        <v>690</v>
      </c>
      <c r="K1345" s="129">
        <v>138</v>
      </c>
      <c r="L1345" s="129">
        <v>1</v>
      </c>
      <c r="M1345" s="129">
        <v>13</v>
      </c>
      <c r="N1345" s="129"/>
      <c r="O1345" s="129"/>
      <c r="P1345" s="129"/>
      <c r="Q1345" s="129">
        <v>1</v>
      </c>
      <c r="R1345" s="129">
        <v>1</v>
      </c>
      <c r="S1345" s="129"/>
      <c r="T1345" s="129"/>
      <c r="U1345" s="129"/>
      <c r="V1345" s="129"/>
      <c r="W1345" s="107"/>
      <c r="X1345" s="105"/>
      <c r="Y1345" s="92">
        <f t="shared" si="126"/>
        <v>0</v>
      </c>
      <c r="Z1345" s="92">
        <f t="shared" si="127"/>
        <v>0</v>
      </c>
      <c r="AA1345" s="92">
        <f t="shared" si="128"/>
        <v>0</v>
      </c>
      <c r="AB1345" s="92">
        <f t="shared" si="129"/>
        <v>0</v>
      </c>
      <c r="AC1345" s="92"/>
      <c r="AD1345" s="92">
        <v>20000000</v>
      </c>
      <c r="AE1345" s="92">
        <f t="shared" si="130"/>
        <v>20000000</v>
      </c>
      <c r="AF1345" s="93">
        <v>0</v>
      </c>
      <c r="AG1345" s="105"/>
      <c r="AH1345" s="108"/>
      <c r="AI1345" s="95" t="s">
        <v>4346</v>
      </c>
      <c r="AJ1345" s="96" t="s">
        <v>4347</v>
      </c>
      <c r="AK1345" s="280"/>
      <c r="AL1345" s="281"/>
      <c r="AM1345" s="112" t="s">
        <v>951</v>
      </c>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7"/>
      <c r="BL1345" s="107"/>
      <c r="BM1345" s="107"/>
      <c r="BN1345" s="107"/>
      <c r="BO1345" s="107"/>
      <c r="BP1345" s="107"/>
      <c r="BQ1345" s="107"/>
      <c r="BR1345" s="107"/>
      <c r="BS1345" s="107"/>
      <c r="BT1345" s="107"/>
      <c r="BU1345" s="107"/>
      <c r="BV1345" s="107"/>
      <c r="BW1345" s="107"/>
      <c r="BX1345" s="107"/>
      <c r="BY1345" s="107"/>
      <c r="BZ1345" s="107"/>
      <c r="CA1345" s="107"/>
      <c r="CB1345" s="107"/>
      <c r="CC1345" s="107"/>
      <c r="CD1345" s="107"/>
      <c r="CE1345" s="107"/>
      <c r="CF1345" s="107"/>
      <c r="CG1345" s="107"/>
      <c r="CH1345" s="107"/>
      <c r="CI1345" s="107"/>
      <c r="CJ1345" s="107"/>
      <c r="CK1345" s="107"/>
      <c r="CL1345" s="107"/>
      <c r="CM1345" s="107"/>
      <c r="CN1345" s="118"/>
      <c r="CO1345" s="119"/>
      <c r="CP1345" s="118"/>
      <c r="CQ1345" s="119"/>
      <c r="CR1345" s="118"/>
      <c r="CS1345" s="119"/>
      <c r="CT1345" s="113"/>
      <c r="CU1345" s="118"/>
      <c r="CV1345" s="99">
        <f t="shared" si="125"/>
        <v>0</v>
      </c>
      <c r="CW1345" s="118"/>
      <c r="CX1345" s="119"/>
      <c r="CY1345" s="119"/>
      <c r="CZ1345" s="119"/>
      <c r="DA1345" s="118"/>
      <c r="DB1345" s="119"/>
      <c r="DC1345" s="111"/>
      <c r="DD1345" s="119"/>
      <c r="DE1345" s="111"/>
      <c r="DF1345" s="46"/>
    </row>
    <row r="1346" spans="1:110" s="42" customFormat="1" x14ac:dyDescent="0.2">
      <c r="A1346" s="89">
        <v>40697</v>
      </c>
      <c r="B1346" s="16" t="s">
        <v>3533</v>
      </c>
      <c r="C1346" s="16" t="s">
        <v>968</v>
      </c>
      <c r="D1346" s="16" t="s">
        <v>3346</v>
      </c>
      <c r="E1346" s="90" t="str">
        <f>VLOOKUP(B1346&amp;C1346,Divipola!$C$2:$F$1138,4,FALSE)</f>
        <v>17174</v>
      </c>
      <c r="F1346" s="4"/>
      <c r="G1346" s="208"/>
      <c r="H1346" s="208"/>
      <c r="I1346" s="208"/>
      <c r="J1346" s="208">
        <v>5</v>
      </c>
      <c r="K1346" s="208">
        <v>1</v>
      </c>
      <c r="L1346" s="208"/>
      <c r="M1346" s="208">
        <v>1</v>
      </c>
      <c r="N1346" s="208"/>
      <c r="O1346" s="208"/>
      <c r="P1346" s="208"/>
      <c r="Q1346" s="208"/>
      <c r="R1346" s="208"/>
      <c r="S1346" s="208"/>
      <c r="T1346" s="208"/>
      <c r="U1346" s="208"/>
      <c r="V1346" s="208"/>
      <c r="W1346" s="19"/>
      <c r="X1346" s="17"/>
      <c r="Y1346" s="5">
        <f t="shared" si="126"/>
        <v>0</v>
      </c>
      <c r="Z1346" s="5">
        <f t="shared" si="127"/>
        <v>0</v>
      </c>
      <c r="AA1346" s="5">
        <f t="shared" si="128"/>
        <v>0</v>
      </c>
      <c r="AB1346" s="5">
        <f t="shared" si="129"/>
        <v>0</v>
      </c>
      <c r="AC1346" s="5"/>
      <c r="AD1346" s="5">
        <v>0</v>
      </c>
      <c r="AE1346" s="5">
        <f t="shared" si="130"/>
        <v>0</v>
      </c>
      <c r="AF1346" s="70">
        <v>0</v>
      </c>
      <c r="AG1346" s="17"/>
      <c r="AH1346" s="18"/>
      <c r="AI1346" s="47" t="s">
        <v>4336</v>
      </c>
      <c r="AJ1346" s="73" t="s">
        <v>4337</v>
      </c>
      <c r="AK1346" s="45"/>
      <c r="AL1346" s="17"/>
      <c r="AM1346" s="20" t="s">
        <v>3530</v>
      </c>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39"/>
      <c r="CE1346" s="138"/>
      <c r="CF1346" s="139"/>
      <c r="CG1346" s="138"/>
      <c r="CH1346" s="139"/>
      <c r="CI1346" s="138"/>
      <c r="CJ1346" s="72"/>
      <c r="CK1346" s="139"/>
      <c r="CL1346" s="71"/>
      <c r="CM1346" s="139"/>
      <c r="CN1346" s="138"/>
      <c r="CO1346" s="138"/>
      <c r="CP1346" s="138"/>
      <c r="CQ1346" s="139"/>
      <c r="CR1346" s="138"/>
      <c r="CS1346" s="45"/>
      <c r="CT1346" s="138"/>
      <c r="CU1346" s="45"/>
      <c r="CV1346" s="99">
        <f t="shared" si="125"/>
        <v>0</v>
      </c>
      <c r="CW1346" s="139"/>
      <c r="CX1346" s="138"/>
      <c r="CY1346" s="138"/>
      <c r="CZ1346" s="138"/>
      <c r="DA1346" s="139"/>
      <c r="DB1346" s="138"/>
      <c r="DC1346" s="45"/>
      <c r="DD1346" s="138"/>
      <c r="DE1346" s="45"/>
      <c r="DF1346" s="46"/>
    </row>
    <row r="1347" spans="1:110" s="42" customFormat="1" ht="48" x14ac:dyDescent="0.2">
      <c r="A1347" s="89">
        <v>40697</v>
      </c>
      <c r="B1347" s="106" t="s">
        <v>4386</v>
      </c>
      <c r="C1347" s="106" t="s">
        <v>4345</v>
      </c>
      <c r="D1347" s="90" t="s">
        <v>4264</v>
      </c>
      <c r="E1347" s="90">
        <f>VLOOKUP(B1347&amp;C1347,Divipola!$C$2:$F$1138,4,FALSE)</f>
        <v>20</v>
      </c>
      <c r="F1347" s="90"/>
      <c r="G1347" s="129"/>
      <c r="H1347" s="129"/>
      <c r="I1347" s="129"/>
      <c r="J1347" s="129"/>
      <c r="K1347" s="129"/>
      <c r="L1347" s="129"/>
      <c r="M1347" s="129"/>
      <c r="N1347" s="129"/>
      <c r="O1347" s="129"/>
      <c r="P1347" s="129"/>
      <c r="Q1347" s="129"/>
      <c r="R1347" s="129"/>
      <c r="S1347" s="129"/>
      <c r="T1347" s="129"/>
      <c r="U1347" s="129"/>
      <c r="V1347" s="129"/>
      <c r="W1347" s="107"/>
      <c r="X1347" s="105"/>
      <c r="Y1347" s="92">
        <f t="shared" si="126"/>
        <v>250502200</v>
      </c>
      <c r="Z1347" s="92">
        <f t="shared" si="127"/>
        <v>277610000</v>
      </c>
      <c r="AA1347" s="92">
        <f t="shared" si="128"/>
        <v>0</v>
      </c>
      <c r="AB1347" s="92">
        <f t="shared" si="129"/>
        <v>0</v>
      </c>
      <c r="AC1347" s="92"/>
      <c r="AD1347" s="92">
        <v>0</v>
      </c>
      <c r="AE1347" s="92">
        <f t="shared" si="130"/>
        <v>528112200</v>
      </c>
      <c r="AF1347" s="93">
        <v>0</v>
      </c>
      <c r="AG1347" s="105"/>
      <c r="AH1347" s="108"/>
      <c r="AI1347" s="102" t="s">
        <v>4346</v>
      </c>
      <c r="AJ1347" s="96" t="s">
        <v>4347</v>
      </c>
      <c r="AK1347" s="97"/>
      <c r="AL1347" s="89" t="s">
        <v>1049</v>
      </c>
      <c r="AM1347" s="112" t="s">
        <v>2105</v>
      </c>
      <c r="AN1347" s="107"/>
      <c r="AO1347" s="107"/>
      <c r="AP1347" s="107"/>
      <c r="AQ1347" s="107"/>
      <c r="AR1347" s="107"/>
      <c r="AS1347" s="107"/>
      <c r="AT1347" s="107"/>
      <c r="AU1347" s="107"/>
      <c r="AV1347" s="107"/>
      <c r="AW1347" s="107"/>
      <c r="AX1347" s="107"/>
      <c r="AY1347" s="107"/>
      <c r="AZ1347" s="107"/>
      <c r="BA1347" s="107"/>
      <c r="BB1347" s="107"/>
      <c r="BC1347" s="107"/>
      <c r="BD1347" s="107"/>
      <c r="BE1347" s="107"/>
      <c r="BF1347" s="107"/>
      <c r="BG1347" s="107"/>
      <c r="BH1347" s="107"/>
      <c r="BI1347" s="107"/>
      <c r="BJ1347" s="107"/>
      <c r="BK1347" s="107"/>
      <c r="BL1347" s="107"/>
      <c r="BM1347" s="107"/>
      <c r="BN1347" s="107"/>
      <c r="BO1347" s="107"/>
      <c r="BP1347" s="107"/>
      <c r="BQ1347" s="107"/>
      <c r="BR1347" s="107"/>
      <c r="BS1347" s="107"/>
      <c r="BT1347" s="107"/>
      <c r="BU1347" s="107"/>
      <c r="BV1347" s="107"/>
      <c r="BW1347" s="107"/>
      <c r="BX1347" s="107"/>
      <c r="BY1347" s="107"/>
      <c r="BZ1347" s="107"/>
      <c r="CA1347" s="107"/>
      <c r="CB1347" s="107"/>
      <c r="CC1347" s="107"/>
      <c r="CD1347" s="107"/>
      <c r="CE1347" s="107"/>
      <c r="CF1347" s="107"/>
      <c r="CG1347" s="107"/>
      <c r="CH1347" s="107"/>
      <c r="CI1347" s="107"/>
      <c r="CJ1347" s="107"/>
      <c r="CK1347" s="107"/>
      <c r="CL1347" s="107"/>
      <c r="CM1347" s="107"/>
      <c r="CN1347" s="118"/>
      <c r="CO1347" s="119"/>
      <c r="CP1347" s="118">
        <v>3266</v>
      </c>
      <c r="CQ1347" s="119">
        <f>3266*37000</f>
        <v>120842000</v>
      </c>
      <c r="CR1347" s="118">
        <v>3266</v>
      </c>
      <c r="CS1347" s="119">
        <f>3266*39700</f>
        <v>129660200</v>
      </c>
      <c r="CT1347" s="113"/>
      <c r="CU1347" s="118"/>
      <c r="CV1347" s="99">
        <f t="shared" ref="CV1347:CV1410" si="131">AO1347+AQ1347+AS1347+AU1347+AW1347+AY1347+BA1347+BC1347+BE1347+BG1347+BI1347+BK1347+BM1347+BO1347+BQ1347+BS1347+BU1347+BW1347+BY1347+CA1347+CC1347+CE1347+CG1347+CI1347+CK1347+CM1347+CO1347+CQ1347+CS1347+CU1347</f>
        <v>250502200</v>
      </c>
      <c r="CW1347" s="118"/>
      <c r="CX1347" s="119"/>
      <c r="CY1347" s="119">
        <v>3266</v>
      </c>
      <c r="CZ1347" s="119">
        <f>3266*85000</f>
        <v>277610000</v>
      </c>
      <c r="DA1347" s="118"/>
      <c r="DB1347" s="119"/>
      <c r="DC1347" s="111"/>
      <c r="DD1347" s="119"/>
      <c r="DE1347" s="111"/>
      <c r="DF1347" s="46"/>
    </row>
    <row r="1348" spans="1:110" s="42" customFormat="1" ht="22.5" x14ac:dyDescent="0.2">
      <c r="A1348" s="89">
        <v>40697</v>
      </c>
      <c r="B1348" s="106" t="s">
        <v>4386</v>
      </c>
      <c r="C1348" s="106" t="s">
        <v>3502</v>
      </c>
      <c r="D1348" s="90" t="s">
        <v>2362</v>
      </c>
      <c r="E1348" s="90" t="str">
        <f>VLOOKUP(B1348&amp;C1348,Divipola!$C$2:$F$1138,4,FALSE)</f>
        <v>20001</v>
      </c>
      <c r="F1348" s="90"/>
      <c r="G1348" s="129"/>
      <c r="H1348" s="129"/>
      <c r="I1348" s="129"/>
      <c r="J1348" s="129">
        <v>380</v>
      </c>
      <c r="K1348" s="129">
        <v>76</v>
      </c>
      <c r="L1348" s="129">
        <v>3</v>
      </c>
      <c r="M1348" s="129">
        <v>73</v>
      </c>
      <c r="N1348" s="129"/>
      <c r="O1348" s="129"/>
      <c r="P1348" s="129"/>
      <c r="Q1348" s="129"/>
      <c r="R1348" s="129"/>
      <c r="S1348" s="129"/>
      <c r="T1348" s="129"/>
      <c r="U1348" s="129"/>
      <c r="V1348" s="129"/>
      <c r="W1348" s="107"/>
      <c r="X1348" s="105"/>
      <c r="Y1348" s="92">
        <f t="shared" si="126"/>
        <v>0</v>
      </c>
      <c r="Z1348" s="92">
        <f t="shared" si="127"/>
        <v>0</v>
      </c>
      <c r="AA1348" s="92">
        <f t="shared" si="128"/>
        <v>0</v>
      </c>
      <c r="AB1348" s="92">
        <f t="shared" si="129"/>
        <v>0</v>
      </c>
      <c r="AC1348" s="92"/>
      <c r="AD1348" s="92">
        <v>0</v>
      </c>
      <c r="AE1348" s="92">
        <f t="shared" si="130"/>
        <v>0</v>
      </c>
      <c r="AF1348" s="93">
        <v>0</v>
      </c>
      <c r="AG1348" s="105"/>
      <c r="AH1348" s="108"/>
      <c r="AI1348" s="102" t="s">
        <v>4346</v>
      </c>
      <c r="AJ1348" s="96" t="s">
        <v>4347</v>
      </c>
      <c r="AK1348" s="97"/>
      <c r="AL1348" s="89" t="s">
        <v>1049</v>
      </c>
      <c r="AM1348" s="112" t="s">
        <v>3427</v>
      </c>
      <c r="AN1348" s="107"/>
      <c r="AO1348" s="107"/>
      <c r="AP1348" s="107"/>
      <c r="AQ1348" s="107"/>
      <c r="AR1348" s="107"/>
      <c r="AS1348" s="107"/>
      <c r="AT1348" s="107"/>
      <c r="AU1348" s="107"/>
      <c r="AV1348" s="107"/>
      <c r="AW1348" s="107"/>
      <c r="AX1348" s="107"/>
      <c r="AY1348" s="107"/>
      <c r="AZ1348" s="107"/>
      <c r="BA1348" s="107"/>
      <c r="BB1348" s="107"/>
      <c r="BC1348" s="107"/>
      <c r="BD1348" s="107"/>
      <c r="BE1348" s="107"/>
      <c r="BF1348" s="107"/>
      <c r="BG1348" s="107"/>
      <c r="BH1348" s="107"/>
      <c r="BI1348" s="107"/>
      <c r="BJ1348" s="107"/>
      <c r="BK1348" s="107"/>
      <c r="BL1348" s="107"/>
      <c r="BM1348" s="107"/>
      <c r="BN1348" s="107"/>
      <c r="BO1348" s="107"/>
      <c r="BP1348" s="107"/>
      <c r="BQ1348" s="107"/>
      <c r="BR1348" s="107"/>
      <c r="BS1348" s="107"/>
      <c r="BT1348" s="107"/>
      <c r="BU1348" s="107"/>
      <c r="BV1348" s="107"/>
      <c r="BW1348" s="107"/>
      <c r="BX1348" s="107"/>
      <c r="BY1348" s="107"/>
      <c r="BZ1348" s="107"/>
      <c r="CA1348" s="107"/>
      <c r="CB1348" s="107"/>
      <c r="CC1348" s="107"/>
      <c r="CD1348" s="107"/>
      <c r="CE1348" s="107"/>
      <c r="CF1348" s="107"/>
      <c r="CG1348" s="107"/>
      <c r="CH1348" s="107"/>
      <c r="CI1348" s="107"/>
      <c r="CJ1348" s="107"/>
      <c r="CK1348" s="107"/>
      <c r="CL1348" s="107"/>
      <c r="CM1348" s="107"/>
      <c r="CN1348" s="118"/>
      <c r="CO1348" s="119"/>
      <c r="CP1348" s="118"/>
      <c r="CQ1348" s="119"/>
      <c r="CR1348" s="118"/>
      <c r="CS1348" s="119"/>
      <c r="CT1348" s="113"/>
      <c r="CU1348" s="118"/>
      <c r="CV1348" s="99">
        <f t="shared" si="131"/>
        <v>0</v>
      </c>
      <c r="CW1348" s="118"/>
      <c r="CX1348" s="119"/>
      <c r="CY1348" s="119"/>
      <c r="CZ1348" s="119"/>
      <c r="DA1348" s="118"/>
      <c r="DB1348" s="119"/>
      <c r="DC1348" s="111"/>
      <c r="DD1348" s="119"/>
      <c r="DE1348" s="111"/>
      <c r="DF1348" s="46"/>
    </row>
    <row r="1349" spans="1:110" s="42" customFormat="1" ht="36" x14ac:dyDescent="0.2">
      <c r="A1349" s="89">
        <v>40697</v>
      </c>
      <c r="B1349" s="106" t="s">
        <v>4344</v>
      </c>
      <c r="C1349" s="106" t="s">
        <v>2286</v>
      </c>
      <c r="D1349" s="90" t="s">
        <v>4264</v>
      </c>
      <c r="E1349" s="90" t="str">
        <f>VLOOKUP(B1349&amp;C1349,Divipola!$C$2:$F$1138,4,FALSE)</f>
        <v>25297</v>
      </c>
      <c r="F1349" s="90"/>
      <c r="G1349" s="129"/>
      <c r="H1349" s="129"/>
      <c r="I1349" s="129"/>
      <c r="J1349" s="129">
        <v>40</v>
      </c>
      <c r="K1349" s="129">
        <v>9</v>
      </c>
      <c r="L1349" s="129">
        <v>1</v>
      </c>
      <c r="M1349" s="129">
        <v>8</v>
      </c>
      <c r="N1349" s="129"/>
      <c r="O1349" s="129"/>
      <c r="P1349" s="129"/>
      <c r="Q1349" s="129"/>
      <c r="R1349" s="129"/>
      <c r="S1349" s="129"/>
      <c r="T1349" s="129"/>
      <c r="U1349" s="129"/>
      <c r="V1349" s="129"/>
      <c r="W1349" s="107"/>
      <c r="X1349" s="105"/>
      <c r="Y1349" s="92">
        <f t="shared" si="126"/>
        <v>0</v>
      </c>
      <c r="Z1349" s="92">
        <f t="shared" si="127"/>
        <v>0</v>
      </c>
      <c r="AA1349" s="92">
        <f t="shared" si="128"/>
        <v>0</v>
      </c>
      <c r="AB1349" s="92">
        <f t="shared" si="129"/>
        <v>0</v>
      </c>
      <c r="AC1349" s="92"/>
      <c r="AD1349" s="92">
        <v>0</v>
      </c>
      <c r="AE1349" s="92">
        <f t="shared" si="130"/>
        <v>0</v>
      </c>
      <c r="AF1349" s="93">
        <v>0</v>
      </c>
      <c r="AG1349" s="105"/>
      <c r="AH1349" s="108"/>
      <c r="AI1349" s="109" t="s">
        <v>4346</v>
      </c>
      <c r="AJ1349" s="110" t="s">
        <v>4347</v>
      </c>
      <c r="AK1349" s="111"/>
      <c r="AL1349" s="105" t="s">
        <v>928</v>
      </c>
      <c r="AM1349" s="112" t="s">
        <v>3421</v>
      </c>
      <c r="AN1349" s="107"/>
      <c r="AO1349" s="107"/>
      <c r="AP1349" s="107"/>
      <c r="AQ1349" s="107"/>
      <c r="AR1349" s="107"/>
      <c r="AS1349" s="107"/>
      <c r="AT1349" s="107"/>
      <c r="AU1349" s="107"/>
      <c r="AV1349" s="107"/>
      <c r="AW1349" s="107"/>
      <c r="AX1349" s="107"/>
      <c r="AY1349" s="107"/>
      <c r="AZ1349" s="107"/>
      <c r="BA1349" s="107"/>
      <c r="BB1349" s="107"/>
      <c r="BC1349" s="107"/>
      <c r="BD1349" s="107"/>
      <c r="BE1349" s="107"/>
      <c r="BF1349" s="107"/>
      <c r="BG1349" s="107"/>
      <c r="BH1349" s="107"/>
      <c r="BI1349" s="107"/>
      <c r="BJ1349" s="107"/>
      <c r="BK1349" s="107"/>
      <c r="BL1349" s="107"/>
      <c r="BM1349" s="107"/>
      <c r="BN1349" s="107"/>
      <c r="BO1349" s="107"/>
      <c r="BP1349" s="107"/>
      <c r="BQ1349" s="107"/>
      <c r="BR1349" s="107"/>
      <c r="BS1349" s="107"/>
      <c r="BT1349" s="107"/>
      <c r="BU1349" s="107"/>
      <c r="BV1349" s="107"/>
      <c r="BW1349" s="107"/>
      <c r="BX1349" s="107"/>
      <c r="BY1349" s="107"/>
      <c r="BZ1349" s="107"/>
      <c r="CA1349" s="107"/>
      <c r="CB1349" s="107"/>
      <c r="CC1349" s="107"/>
      <c r="CD1349" s="107"/>
      <c r="CE1349" s="107"/>
      <c r="CF1349" s="107"/>
      <c r="CG1349" s="107"/>
      <c r="CH1349" s="107"/>
      <c r="CI1349" s="107"/>
      <c r="CJ1349" s="107"/>
      <c r="CK1349" s="107"/>
      <c r="CL1349" s="107"/>
      <c r="CM1349" s="107"/>
      <c r="CN1349" s="118"/>
      <c r="CO1349" s="119"/>
      <c r="CP1349" s="118"/>
      <c r="CQ1349" s="119"/>
      <c r="CR1349" s="118"/>
      <c r="CS1349" s="119"/>
      <c r="CT1349" s="113"/>
      <c r="CU1349" s="118"/>
      <c r="CV1349" s="99">
        <f t="shared" si="131"/>
        <v>0</v>
      </c>
      <c r="CW1349" s="118"/>
      <c r="CX1349" s="119"/>
      <c r="CY1349" s="119"/>
      <c r="CZ1349" s="119"/>
      <c r="DA1349" s="118"/>
      <c r="DB1349" s="119"/>
      <c r="DC1349" s="111"/>
      <c r="DD1349" s="119"/>
      <c r="DE1349" s="111"/>
      <c r="DF1349" s="46"/>
    </row>
    <row r="1350" spans="1:110" s="42" customFormat="1" ht="60" x14ac:dyDescent="0.2">
      <c r="A1350" s="89">
        <v>40697</v>
      </c>
      <c r="B1350" s="106" t="s">
        <v>4344</v>
      </c>
      <c r="C1350" s="106" t="s">
        <v>2215</v>
      </c>
      <c r="D1350" s="90" t="s">
        <v>2362</v>
      </c>
      <c r="E1350" s="90" t="str">
        <f>VLOOKUP(B1350&amp;C1350,Divipola!$C$2:$F$1138,4,FALSE)</f>
        <v>25407</v>
      </c>
      <c r="F1350" s="90"/>
      <c r="G1350" s="129">
        <v>1</v>
      </c>
      <c r="H1350" s="129"/>
      <c r="I1350" s="129"/>
      <c r="J1350" s="129">
        <v>290</v>
      </c>
      <c r="K1350" s="129">
        <v>76</v>
      </c>
      <c r="L1350" s="129"/>
      <c r="M1350" s="129">
        <v>76</v>
      </c>
      <c r="N1350" s="129"/>
      <c r="O1350" s="129"/>
      <c r="P1350" s="129"/>
      <c r="Q1350" s="129"/>
      <c r="R1350" s="129"/>
      <c r="S1350" s="129"/>
      <c r="T1350" s="129"/>
      <c r="U1350" s="129"/>
      <c r="V1350" s="129"/>
      <c r="W1350" s="107"/>
      <c r="X1350" s="105"/>
      <c r="Y1350" s="92">
        <f t="shared" si="126"/>
        <v>0</v>
      </c>
      <c r="Z1350" s="92">
        <f t="shared" si="127"/>
        <v>0</v>
      </c>
      <c r="AA1350" s="92">
        <f t="shared" si="128"/>
        <v>0</v>
      </c>
      <c r="AB1350" s="92">
        <f t="shared" si="129"/>
        <v>0</v>
      </c>
      <c r="AC1350" s="92"/>
      <c r="AD1350" s="92">
        <v>0</v>
      </c>
      <c r="AE1350" s="92">
        <f t="shared" si="130"/>
        <v>0</v>
      </c>
      <c r="AF1350" s="93">
        <v>0</v>
      </c>
      <c r="AG1350" s="105"/>
      <c r="AH1350" s="108"/>
      <c r="AI1350" s="102" t="s">
        <v>4336</v>
      </c>
      <c r="AJ1350" s="96" t="s">
        <v>4337</v>
      </c>
      <c r="AK1350" s="280"/>
      <c r="AL1350" s="281"/>
      <c r="AM1350" s="112" t="s">
        <v>3422</v>
      </c>
      <c r="AN1350" s="107"/>
      <c r="AO1350" s="107"/>
      <c r="AP1350" s="107"/>
      <c r="AQ1350" s="107"/>
      <c r="AR1350" s="107"/>
      <c r="AS1350" s="107"/>
      <c r="AT1350" s="107"/>
      <c r="AU1350" s="107"/>
      <c r="AV1350" s="107"/>
      <c r="AW1350" s="107"/>
      <c r="AX1350" s="107"/>
      <c r="AY1350" s="107"/>
      <c r="AZ1350" s="107"/>
      <c r="BA1350" s="107"/>
      <c r="BB1350" s="107"/>
      <c r="BC1350" s="107"/>
      <c r="BD1350" s="107"/>
      <c r="BE1350" s="107"/>
      <c r="BF1350" s="107"/>
      <c r="BG1350" s="107"/>
      <c r="BH1350" s="107"/>
      <c r="BI1350" s="107"/>
      <c r="BJ1350" s="107"/>
      <c r="BK1350" s="107"/>
      <c r="BL1350" s="107"/>
      <c r="BM1350" s="107"/>
      <c r="BN1350" s="107"/>
      <c r="BO1350" s="107"/>
      <c r="BP1350" s="107"/>
      <c r="BQ1350" s="107"/>
      <c r="BR1350" s="107"/>
      <c r="BS1350" s="107"/>
      <c r="BT1350" s="107"/>
      <c r="BU1350" s="107"/>
      <c r="BV1350" s="107"/>
      <c r="BW1350" s="107"/>
      <c r="BX1350" s="107"/>
      <c r="BY1350" s="107"/>
      <c r="BZ1350" s="107"/>
      <c r="CA1350" s="107"/>
      <c r="CB1350" s="107"/>
      <c r="CC1350" s="107"/>
      <c r="CD1350" s="107"/>
      <c r="CE1350" s="107"/>
      <c r="CF1350" s="107"/>
      <c r="CG1350" s="107"/>
      <c r="CH1350" s="107"/>
      <c r="CI1350" s="107"/>
      <c r="CJ1350" s="107"/>
      <c r="CK1350" s="107"/>
      <c r="CL1350" s="107"/>
      <c r="CM1350" s="107"/>
      <c r="CN1350" s="118"/>
      <c r="CO1350" s="119"/>
      <c r="CP1350" s="118"/>
      <c r="CQ1350" s="119"/>
      <c r="CR1350" s="118"/>
      <c r="CS1350" s="119"/>
      <c r="CT1350" s="113"/>
      <c r="CU1350" s="118"/>
      <c r="CV1350" s="99">
        <f t="shared" si="131"/>
        <v>0</v>
      </c>
      <c r="CW1350" s="118"/>
      <c r="CX1350" s="119"/>
      <c r="CY1350" s="119"/>
      <c r="CZ1350" s="119"/>
      <c r="DA1350" s="118"/>
      <c r="DB1350" s="119"/>
      <c r="DC1350" s="111"/>
      <c r="DD1350" s="119"/>
      <c r="DE1350" s="111"/>
      <c r="DF1350" s="46"/>
    </row>
    <row r="1351" spans="1:110" s="42" customFormat="1" ht="36" x14ac:dyDescent="0.2">
      <c r="A1351" s="89">
        <v>40697</v>
      </c>
      <c r="B1351" s="106" t="s">
        <v>4387</v>
      </c>
      <c r="C1351" s="106" t="s">
        <v>453</v>
      </c>
      <c r="D1351" s="90" t="s">
        <v>2362</v>
      </c>
      <c r="E1351" s="90" t="str">
        <f>VLOOKUP(B1351&amp;C1351,Divipola!$C$2:$F$1138,4,FALSE)</f>
        <v>52224</v>
      </c>
      <c r="F1351" s="4"/>
      <c r="G1351" s="279"/>
      <c r="H1351" s="279"/>
      <c r="I1351" s="279"/>
      <c r="J1351" s="129">
        <v>108</v>
      </c>
      <c r="K1351" s="129">
        <v>73</v>
      </c>
      <c r="L1351" s="129"/>
      <c r="M1351" s="129">
        <v>13</v>
      </c>
      <c r="N1351" s="101"/>
      <c r="O1351" s="101"/>
      <c r="P1351" s="101"/>
      <c r="Q1351" s="101"/>
      <c r="R1351" s="101"/>
      <c r="S1351" s="101"/>
      <c r="T1351" s="101">
        <v>1</v>
      </c>
      <c r="U1351" s="101"/>
      <c r="V1351" s="101">
        <v>93</v>
      </c>
      <c r="W1351" s="19"/>
      <c r="X1351" s="17"/>
      <c r="Y1351" s="5">
        <f t="shared" si="126"/>
        <v>0</v>
      </c>
      <c r="Z1351" s="5">
        <f t="shared" si="127"/>
        <v>0</v>
      </c>
      <c r="AA1351" s="5">
        <f t="shared" si="128"/>
        <v>0</v>
      </c>
      <c r="AB1351" s="5">
        <f t="shared" si="129"/>
        <v>0</v>
      </c>
      <c r="AC1351" s="5"/>
      <c r="AD1351" s="5">
        <v>0</v>
      </c>
      <c r="AE1351" s="5">
        <f t="shared" si="130"/>
        <v>0</v>
      </c>
      <c r="AF1351" s="70">
        <v>0</v>
      </c>
      <c r="AG1351" s="17"/>
      <c r="AH1351" s="18"/>
      <c r="AI1351" s="109" t="s">
        <v>4336</v>
      </c>
      <c r="AJ1351" s="110" t="s">
        <v>4337</v>
      </c>
      <c r="AK1351" s="45"/>
      <c r="AL1351" s="17"/>
      <c r="AM1351" s="100" t="s">
        <v>1147</v>
      </c>
      <c r="AN1351" s="19"/>
      <c r="AO1351" s="19"/>
      <c r="AP1351" s="19"/>
      <c r="AQ1351" s="19"/>
      <c r="AR1351" s="19"/>
      <c r="AS1351" s="19"/>
      <c r="AT1351" s="19"/>
      <c r="AU1351" s="19"/>
      <c r="AV1351" s="19"/>
      <c r="AW1351" s="19"/>
      <c r="AX1351" s="107"/>
      <c r="AY1351" s="107"/>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c r="BV1351" s="19"/>
      <c r="BW1351" s="19"/>
      <c r="BX1351" s="19"/>
      <c r="BY1351" s="19"/>
      <c r="BZ1351" s="19"/>
      <c r="CA1351" s="19"/>
      <c r="CB1351" s="19"/>
      <c r="CC1351" s="19"/>
      <c r="CD1351" s="19"/>
      <c r="CE1351" s="19"/>
      <c r="CF1351" s="19"/>
      <c r="CG1351" s="19"/>
      <c r="CH1351" s="19"/>
      <c r="CI1351" s="19"/>
      <c r="CJ1351" s="19"/>
      <c r="CK1351" s="19"/>
      <c r="CL1351" s="19"/>
      <c r="CM1351" s="19"/>
      <c r="CN1351" s="139"/>
      <c r="CO1351" s="138"/>
      <c r="CP1351" s="139"/>
      <c r="CQ1351" s="138"/>
      <c r="CR1351" s="139"/>
      <c r="CS1351" s="138"/>
      <c r="CT1351" s="72"/>
      <c r="CU1351" s="139"/>
      <c r="CV1351" s="99">
        <f t="shared" si="131"/>
        <v>0</v>
      </c>
      <c r="CW1351" s="139"/>
      <c r="CX1351" s="138"/>
      <c r="CY1351" s="138"/>
      <c r="CZ1351" s="138"/>
      <c r="DA1351" s="139"/>
      <c r="DB1351" s="138"/>
      <c r="DC1351" s="45"/>
      <c r="DD1351" s="138"/>
      <c r="DE1351" s="45"/>
      <c r="DF1351" s="46"/>
    </row>
    <row r="1352" spans="1:110" s="42" customFormat="1" ht="24" x14ac:dyDescent="0.2">
      <c r="A1352" s="89">
        <v>40697</v>
      </c>
      <c r="B1352" s="106" t="s">
        <v>4387</v>
      </c>
      <c r="C1352" s="106" t="s">
        <v>3333</v>
      </c>
      <c r="D1352" s="90" t="s">
        <v>2362</v>
      </c>
      <c r="E1352" s="90" t="str">
        <f>VLOOKUP(B1352&amp;C1352,Divipola!$C$2:$F$1138,4,FALSE)</f>
        <v>52683</v>
      </c>
      <c r="F1352" s="90"/>
      <c r="G1352" s="129"/>
      <c r="H1352" s="129"/>
      <c r="I1352" s="129"/>
      <c r="J1352" s="129"/>
      <c r="K1352" s="129"/>
      <c r="L1352" s="129"/>
      <c r="M1352" s="129"/>
      <c r="N1352" s="129">
        <v>1</v>
      </c>
      <c r="O1352" s="129"/>
      <c r="P1352" s="129"/>
      <c r="Q1352" s="129"/>
      <c r="R1352" s="129"/>
      <c r="S1352" s="129"/>
      <c r="T1352" s="129"/>
      <c r="U1352" s="129"/>
      <c r="V1352" s="129"/>
      <c r="W1352" s="107"/>
      <c r="X1352" s="105"/>
      <c r="Y1352" s="92">
        <f t="shared" si="126"/>
        <v>0</v>
      </c>
      <c r="Z1352" s="92">
        <f t="shared" si="127"/>
        <v>0</v>
      </c>
      <c r="AA1352" s="92">
        <f t="shared" si="128"/>
        <v>0</v>
      </c>
      <c r="AB1352" s="92">
        <f t="shared" si="129"/>
        <v>0</v>
      </c>
      <c r="AC1352" s="92"/>
      <c r="AD1352" s="92">
        <v>0</v>
      </c>
      <c r="AE1352" s="92">
        <f t="shared" si="130"/>
        <v>0</v>
      </c>
      <c r="AF1352" s="93">
        <v>0</v>
      </c>
      <c r="AG1352" s="105"/>
      <c r="AH1352" s="108"/>
      <c r="AI1352" s="109" t="s">
        <v>4336</v>
      </c>
      <c r="AJ1352" s="110" t="s">
        <v>4337</v>
      </c>
      <c r="AK1352" s="280"/>
      <c r="AL1352" s="281"/>
      <c r="AM1352" s="112" t="s">
        <v>3423</v>
      </c>
      <c r="AN1352" s="107"/>
      <c r="AO1352" s="107"/>
      <c r="AP1352" s="107"/>
      <c r="AQ1352" s="107"/>
      <c r="AR1352" s="107"/>
      <c r="AS1352" s="107"/>
      <c r="AT1352" s="107"/>
      <c r="AU1352" s="107"/>
      <c r="AV1352" s="107"/>
      <c r="AW1352" s="107"/>
      <c r="AX1352" s="107"/>
      <c r="AY1352" s="107"/>
      <c r="AZ1352" s="107"/>
      <c r="BA1352" s="107"/>
      <c r="BB1352" s="107"/>
      <c r="BC1352" s="107"/>
      <c r="BD1352" s="107"/>
      <c r="BE1352" s="107"/>
      <c r="BF1352" s="107"/>
      <c r="BG1352" s="107"/>
      <c r="BH1352" s="107"/>
      <c r="BI1352" s="107"/>
      <c r="BJ1352" s="107"/>
      <c r="BK1352" s="107"/>
      <c r="BL1352" s="107"/>
      <c r="BM1352" s="107"/>
      <c r="BN1352" s="107"/>
      <c r="BO1352" s="107"/>
      <c r="BP1352" s="107"/>
      <c r="BQ1352" s="107"/>
      <c r="BR1352" s="107"/>
      <c r="BS1352" s="107"/>
      <c r="BT1352" s="107"/>
      <c r="BU1352" s="107"/>
      <c r="BV1352" s="107"/>
      <c r="BW1352" s="107"/>
      <c r="BX1352" s="107"/>
      <c r="BY1352" s="107"/>
      <c r="BZ1352" s="107"/>
      <c r="CA1352" s="107"/>
      <c r="CB1352" s="107"/>
      <c r="CC1352" s="107"/>
      <c r="CD1352" s="107"/>
      <c r="CE1352" s="107"/>
      <c r="CF1352" s="107"/>
      <c r="CG1352" s="107"/>
      <c r="CH1352" s="107"/>
      <c r="CI1352" s="107"/>
      <c r="CJ1352" s="107"/>
      <c r="CK1352" s="107"/>
      <c r="CL1352" s="107"/>
      <c r="CM1352" s="107"/>
      <c r="CN1352" s="118"/>
      <c r="CO1352" s="119"/>
      <c r="CP1352" s="118"/>
      <c r="CQ1352" s="119"/>
      <c r="CR1352" s="118"/>
      <c r="CS1352" s="119"/>
      <c r="CT1352" s="113"/>
      <c r="CU1352" s="118"/>
      <c r="CV1352" s="99">
        <f t="shared" si="131"/>
        <v>0</v>
      </c>
      <c r="CW1352" s="118"/>
      <c r="CX1352" s="119"/>
      <c r="CY1352" s="119"/>
      <c r="CZ1352" s="119"/>
      <c r="DA1352" s="118"/>
      <c r="DB1352" s="119"/>
      <c r="DC1352" s="111"/>
      <c r="DD1352" s="119"/>
      <c r="DE1352" s="111"/>
      <c r="DF1352" s="46"/>
    </row>
    <row r="1353" spans="1:110" s="42" customFormat="1" ht="60" x14ac:dyDescent="0.2">
      <c r="A1353" s="89">
        <v>40697</v>
      </c>
      <c r="B1353" s="106" t="s">
        <v>4221</v>
      </c>
      <c r="C1353" s="106" t="s">
        <v>803</v>
      </c>
      <c r="D1353" s="90" t="s">
        <v>4264</v>
      </c>
      <c r="E1353" s="90" t="str">
        <f>VLOOKUP(B1353&amp;C1353,Divipola!$C$2:$F$1138,4,FALSE)</f>
        <v>54051</v>
      </c>
      <c r="F1353" s="90"/>
      <c r="G1353" s="129"/>
      <c r="H1353" s="129"/>
      <c r="I1353" s="129">
        <v>1</v>
      </c>
      <c r="J1353" s="129"/>
      <c r="K1353" s="129"/>
      <c r="L1353" s="129"/>
      <c r="M1353" s="129"/>
      <c r="N1353" s="129"/>
      <c r="O1353" s="129"/>
      <c r="P1353" s="129"/>
      <c r="Q1353" s="129"/>
      <c r="R1353" s="129"/>
      <c r="S1353" s="129"/>
      <c r="T1353" s="129"/>
      <c r="U1353" s="129"/>
      <c r="V1353" s="129"/>
      <c r="W1353" s="107"/>
      <c r="X1353" s="105"/>
      <c r="Y1353" s="92">
        <f t="shared" si="126"/>
        <v>0</v>
      </c>
      <c r="Z1353" s="92">
        <f t="shared" si="127"/>
        <v>0</v>
      </c>
      <c r="AA1353" s="92">
        <f t="shared" si="128"/>
        <v>0</v>
      </c>
      <c r="AB1353" s="92">
        <f t="shared" si="129"/>
        <v>0</v>
      </c>
      <c r="AC1353" s="92"/>
      <c r="AD1353" s="92">
        <v>0</v>
      </c>
      <c r="AE1353" s="92">
        <f t="shared" si="130"/>
        <v>0</v>
      </c>
      <c r="AF1353" s="93">
        <v>0</v>
      </c>
      <c r="AG1353" s="105"/>
      <c r="AH1353" s="108"/>
      <c r="AI1353" s="109" t="s">
        <v>4336</v>
      </c>
      <c r="AJ1353" s="110" t="s">
        <v>4337</v>
      </c>
      <c r="AK1353" s="280"/>
      <c r="AL1353" s="281"/>
      <c r="AM1353" s="112" t="s">
        <v>2132</v>
      </c>
      <c r="AN1353" s="107"/>
      <c r="AO1353" s="107"/>
      <c r="AP1353" s="107"/>
      <c r="AQ1353" s="107"/>
      <c r="AR1353" s="107"/>
      <c r="AS1353" s="107"/>
      <c r="AT1353" s="107"/>
      <c r="AU1353" s="107"/>
      <c r="AV1353" s="107"/>
      <c r="AW1353" s="107"/>
      <c r="AX1353" s="107"/>
      <c r="AY1353" s="107"/>
      <c r="AZ1353" s="107"/>
      <c r="BA1353" s="107"/>
      <c r="BB1353" s="107"/>
      <c r="BC1353" s="107"/>
      <c r="BD1353" s="107"/>
      <c r="BE1353" s="107"/>
      <c r="BF1353" s="107"/>
      <c r="BG1353" s="107"/>
      <c r="BH1353" s="107"/>
      <c r="BI1353" s="107"/>
      <c r="BJ1353" s="107"/>
      <c r="BK1353" s="107"/>
      <c r="BL1353" s="107"/>
      <c r="BM1353" s="107"/>
      <c r="BN1353" s="107"/>
      <c r="BO1353" s="107"/>
      <c r="BP1353" s="107"/>
      <c r="BQ1353" s="107"/>
      <c r="BR1353" s="107"/>
      <c r="BS1353" s="107"/>
      <c r="BT1353" s="107"/>
      <c r="BU1353" s="107"/>
      <c r="BV1353" s="107"/>
      <c r="BW1353" s="107"/>
      <c r="BX1353" s="107"/>
      <c r="BY1353" s="107"/>
      <c r="BZ1353" s="107"/>
      <c r="CA1353" s="107"/>
      <c r="CB1353" s="107"/>
      <c r="CC1353" s="107"/>
      <c r="CD1353" s="107"/>
      <c r="CE1353" s="107"/>
      <c r="CF1353" s="107"/>
      <c r="CG1353" s="107"/>
      <c r="CH1353" s="107"/>
      <c r="CI1353" s="107"/>
      <c r="CJ1353" s="107"/>
      <c r="CK1353" s="107"/>
      <c r="CL1353" s="107"/>
      <c r="CM1353" s="107"/>
      <c r="CN1353" s="118"/>
      <c r="CO1353" s="119"/>
      <c r="CP1353" s="118"/>
      <c r="CQ1353" s="119"/>
      <c r="CR1353" s="118"/>
      <c r="CS1353" s="119"/>
      <c r="CT1353" s="113"/>
      <c r="CU1353" s="118"/>
      <c r="CV1353" s="99">
        <f t="shared" si="131"/>
        <v>0</v>
      </c>
      <c r="CW1353" s="118"/>
      <c r="CX1353" s="119"/>
      <c r="CY1353" s="119"/>
      <c r="CZ1353" s="119"/>
      <c r="DA1353" s="118"/>
      <c r="DB1353" s="119"/>
      <c r="DC1353" s="111"/>
      <c r="DD1353" s="119"/>
      <c r="DE1353" s="111"/>
      <c r="DF1353" s="46"/>
    </row>
    <row r="1354" spans="1:110" s="42" customFormat="1" x14ac:dyDescent="0.2">
      <c r="A1354" s="89">
        <v>40697</v>
      </c>
      <c r="B1354" s="106" t="s">
        <v>4348</v>
      </c>
      <c r="C1354" s="106" t="s">
        <v>3338</v>
      </c>
      <c r="D1354" s="90" t="s">
        <v>2362</v>
      </c>
      <c r="E1354" s="90" t="str">
        <f>VLOOKUP(B1354&amp;C1354,Divipola!$C$2:$F$1138,4,FALSE)</f>
        <v>66088</v>
      </c>
      <c r="F1354" s="90"/>
      <c r="G1354" s="279"/>
      <c r="H1354" s="279"/>
      <c r="I1354" s="279"/>
      <c r="J1354" s="129">
        <v>30</v>
      </c>
      <c r="K1354" s="129">
        <v>6</v>
      </c>
      <c r="L1354" s="129"/>
      <c r="M1354" s="129">
        <v>6</v>
      </c>
      <c r="N1354" s="129"/>
      <c r="O1354" s="129"/>
      <c r="P1354" s="129"/>
      <c r="Q1354" s="129"/>
      <c r="R1354" s="129"/>
      <c r="S1354" s="129"/>
      <c r="T1354" s="129"/>
      <c r="U1354" s="129"/>
      <c r="V1354" s="129"/>
      <c r="W1354" s="107"/>
      <c r="X1354" s="105"/>
      <c r="Y1354" s="92">
        <f t="shared" si="126"/>
        <v>0</v>
      </c>
      <c r="Z1354" s="92">
        <f t="shared" si="127"/>
        <v>0</v>
      </c>
      <c r="AA1354" s="92">
        <f t="shared" si="128"/>
        <v>0</v>
      </c>
      <c r="AB1354" s="92">
        <f t="shared" si="129"/>
        <v>0</v>
      </c>
      <c r="AC1354" s="92"/>
      <c r="AD1354" s="92">
        <v>0</v>
      </c>
      <c r="AE1354" s="92">
        <f t="shared" si="130"/>
        <v>0</v>
      </c>
      <c r="AF1354" s="93">
        <v>0</v>
      </c>
      <c r="AG1354" s="105"/>
      <c r="AH1354" s="108"/>
      <c r="AI1354" s="109" t="s">
        <v>4336</v>
      </c>
      <c r="AJ1354" s="110" t="s">
        <v>4337</v>
      </c>
      <c r="AK1354" s="280"/>
      <c r="AL1354" s="281"/>
      <c r="AM1354" s="112" t="s">
        <v>2001</v>
      </c>
      <c r="AN1354" s="107"/>
      <c r="AO1354" s="107"/>
      <c r="AP1354" s="107"/>
      <c r="AQ1354" s="107"/>
      <c r="AR1354" s="107"/>
      <c r="AS1354" s="107"/>
      <c r="AT1354" s="107"/>
      <c r="AU1354" s="107"/>
      <c r="AV1354" s="107"/>
      <c r="AW1354" s="107"/>
      <c r="AX1354" s="107"/>
      <c r="AY1354" s="107"/>
      <c r="AZ1354" s="107"/>
      <c r="BA1354" s="107"/>
      <c r="BB1354" s="107"/>
      <c r="BC1354" s="107"/>
      <c r="BD1354" s="107"/>
      <c r="BE1354" s="107"/>
      <c r="BF1354" s="107"/>
      <c r="BG1354" s="107"/>
      <c r="BH1354" s="107"/>
      <c r="BI1354" s="107"/>
      <c r="BJ1354" s="107"/>
      <c r="BK1354" s="107"/>
      <c r="BL1354" s="107"/>
      <c r="BM1354" s="107"/>
      <c r="BN1354" s="107"/>
      <c r="BO1354" s="107"/>
      <c r="BP1354" s="107"/>
      <c r="BQ1354" s="107"/>
      <c r="BR1354" s="107"/>
      <c r="BS1354" s="107"/>
      <c r="BT1354" s="107"/>
      <c r="BU1354" s="107"/>
      <c r="BV1354" s="107"/>
      <c r="BW1354" s="107"/>
      <c r="BX1354" s="107"/>
      <c r="BY1354" s="107"/>
      <c r="BZ1354" s="107"/>
      <c r="CA1354" s="107"/>
      <c r="CB1354" s="107"/>
      <c r="CC1354" s="107"/>
      <c r="CD1354" s="107"/>
      <c r="CE1354" s="107"/>
      <c r="CF1354" s="107"/>
      <c r="CG1354" s="107"/>
      <c r="CH1354" s="107"/>
      <c r="CI1354" s="107"/>
      <c r="CJ1354" s="107"/>
      <c r="CK1354" s="107"/>
      <c r="CL1354" s="107"/>
      <c r="CM1354" s="107"/>
      <c r="CN1354" s="118"/>
      <c r="CO1354" s="119"/>
      <c r="CP1354" s="118"/>
      <c r="CQ1354" s="119"/>
      <c r="CR1354" s="118"/>
      <c r="CS1354" s="119"/>
      <c r="CT1354" s="113"/>
      <c r="CU1354" s="118"/>
      <c r="CV1354" s="99">
        <f t="shared" si="131"/>
        <v>0</v>
      </c>
      <c r="CW1354" s="118"/>
      <c r="CX1354" s="119"/>
      <c r="CY1354" s="119"/>
      <c r="CZ1354" s="119"/>
      <c r="DA1354" s="118"/>
      <c r="DB1354" s="119"/>
      <c r="DC1354" s="111"/>
      <c r="DD1354" s="119"/>
      <c r="DE1354" s="111"/>
      <c r="DF1354" s="46"/>
    </row>
    <row r="1355" spans="1:110" s="42" customFormat="1" ht="36" x14ac:dyDescent="0.2">
      <c r="A1355" s="89">
        <v>40698</v>
      </c>
      <c r="B1355" s="106" t="s">
        <v>2218</v>
      </c>
      <c r="C1355" s="106" t="s">
        <v>4103</v>
      </c>
      <c r="D1355" s="90" t="s">
        <v>4264</v>
      </c>
      <c r="E1355" s="90" t="str">
        <f>VLOOKUP(B1355&amp;C1355,Divipola!$C$2:$F$1138,4,FALSE)</f>
        <v>05887</v>
      </c>
      <c r="F1355" s="90"/>
      <c r="G1355" s="129">
        <v>1</v>
      </c>
      <c r="H1355" s="279"/>
      <c r="I1355" s="279"/>
      <c r="J1355" s="129"/>
      <c r="K1355" s="129"/>
      <c r="L1355" s="129"/>
      <c r="M1355" s="129"/>
      <c r="N1355" s="129"/>
      <c r="O1355" s="129"/>
      <c r="P1355" s="129"/>
      <c r="Q1355" s="129"/>
      <c r="R1355" s="129"/>
      <c r="S1355" s="129"/>
      <c r="T1355" s="129"/>
      <c r="U1355" s="129"/>
      <c r="V1355" s="129"/>
      <c r="W1355" s="107"/>
      <c r="X1355" s="105"/>
      <c r="Y1355" s="92">
        <f t="shared" si="126"/>
        <v>0</v>
      </c>
      <c r="Z1355" s="92">
        <f t="shared" si="127"/>
        <v>0</v>
      </c>
      <c r="AA1355" s="92">
        <f t="shared" si="128"/>
        <v>0</v>
      </c>
      <c r="AB1355" s="92">
        <f t="shared" si="129"/>
        <v>0</v>
      </c>
      <c r="AC1355" s="92"/>
      <c r="AD1355" s="92">
        <v>0</v>
      </c>
      <c r="AE1355" s="92">
        <f t="shared" si="130"/>
        <v>0</v>
      </c>
      <c r="AF1355" s="93">
        <v>0</v>
      </c>
      <c r="AG1355" s="105"/>
      <c r="AH1355" s="108"/>
      <c r="AI1355" s="109" t="s">
        <v>4336</v>
      </c>
      <c r="AJ1355" s="110" t="s">
        <v>4337</v>
      </c>
      <c r="AK1355" s="280"/>
      <c r="AL1355" s="281"/>
      <c r="AM1355" s="112" t="s">
        <v>2117</v>
      </c>
      <c r="AN1355" s="107"/>
      <c r="AO1355" s="107"/>
      <c r="AP1355" s="107"/>
      <c r="AQ1355" s="107"/>
      <c r="AR1355" s="107"/>
      <c r="AS1355" s="107"/>
      <c r="AT1355" s="107"/>
      <c r="AU1355" s="107"/>
      <c r="AV1355" s="107"/>
      <c r="AW1355" s="107"/>
      <c r="AX1355" s="107"/>
      <c r="AY1355" s="107"/>
      <c r="AZ1355" s="107"/>
      <c r="BA1355" s="107"/>
      <c r="BB1355" s="107"/>
      <c r="BC1355" s="107"/>
      <c r="BD1355" s="107"/>
      <c r="BE1355" s="107"/>
      <c r="BF1355" s="107"/>
      <c r="BG1355" s="107"/>
      <c r="BH1355" s="107"/>
      <c r="BI1355" s="107"/>
      <c r="BJ1355" s="107"/>
      <c r="BK1355" s="107"/>
      <c r="BL1355" s="107"/>
      <c r="BM1355" s="107"/>
      <c r="BN1355" s="107"/>
      <c r="BO1355" s="107"/>
      <c r="BP1355" s="107"/>
      <c r="BQ1355" s="107"/>
      <c r="BR1355" s="107"/>
      <c r="BS1355" s="107"/>
      <c r="BT1355" s="107"/>
      <c r="BU1355" s="107"/>
      <c r="BV1355" s="107"/>
      <c r="BW1355" s="107"/>
      <c r="BX1355" s="107"/>
      <c r="BY1355" s="107"/>
      <c r="BZ1355" s="107"/>
      <c r="CA1355" s="107"/>
      <c r="CB1355" s="107"/>
      <c r="CC1355" s="107"/>
      <c r="CD1355" s="107"/>
      <c r="CE1355" s="107"/>
      <c r="CF1355" s="107"/>
      <c r="CG1355" s="107"/>
      <c r="CH1355" s="107"/>
      <c r="CI1355" s="107"/>
      <c r="CJ1355" s="107"/>
      <c r="CK1355" s="107"/>
      <c r="CL1355" s="107"/>
      <c r="CM1355" s="107"/>
      <c r="CN1355" s="118"/>
      <c r="CO1355" s="119"/>
      <c r="CP1355" s="118"/>
      <c r="CQ1355" s="119"/>
      <c r="CR1355" s="118"/>
      <c r="CS1355" s="119"/>
      <c r="CT1355" s="113"/>
      <c r="CU1355" s="118"/>
      <c r="CV1355" s="99">
        <f t="shared" si="131"/>
        <v>0</v>
      </c>
      <c r="CW1355" s="118"/>
      <c r="CX1355" s="119"/>
      <c r="CY1355" s="119"/>
      <c r="CZ1355" s="119"/>
      <c r="DA1355" s="118"/>
      <c r="DB1355" s="119"/>
      <c r="DC1355" s="111"/>
      <c r="DD1355" s="119"/>
      <c r="DE1355" s="111"/>
      <c r="DF1355" s="46"/>
    </row>
    <row r="1356" spans="1:110" s="42" customFormat="1" ht="60" x14ac:dyDescent="0.2">
      <c r="A1356" s="89">
        <v>40698</v>
      </c>
      <c r="B1356" s="106" t="s">
        <v>4261</v>
      </c>
      <c r="C1356" s="106" t="s">
        <v>2629</v>
      </c>
      <c r="D1356" s="90" t="s">
        <v>2362</v>
      </c>
      <c r="E1356" s="90" t="str">
        <f>VLOOKUP(B1356&amp;C1356,Divipola!$C$2:$F$1138,4,FALSE)</f>
        <v>15189</v>
      </c>
      <c r="F1356" s="4"/>
      <c r="G1356" s="274"/>
      <c r="H1356" s="274"/>
      <c r="I1356" s="274"/>
      <c r="J1356" s="129">
        <v>110</v>
      </c>
      <c r="K1356" s="129">
        <v>22</v>
      </c>
      <c r="L1356" s="129"/>
      <c r="M1356" s="129">
        <v>5</v>
      </c>
      <c r="N1356" s="129"/>
      <c r="O1356" s="208"/>
      <c r="P1356" s="208"/>
      <c r="Q1356" s="208"/>
      <c r="R1356" s="208"/>
      <c r="S1356" s="208"/>
      <c r="T1356" s="208"/>
      <c r="U1356" s="208"/>
      <c r="V1356" s="208">
        <v>9</v>
      </c>
      <c r="W1356" s="19"/>
      <c r="X1356" s="17"/>
      <c r="Y1356" s="5">
        <f t="shared" si="126"/>
        <v>0</v>
      </c>
      <c r="Z1356" s="5">
        <f t="shared" si="127"/>
        <v>0</v>
      </c>
      <c r="AA1356" s="5">
        <f t="shared" si="128"/>
        <v>0</v>
      </c>
      <c r="AB1356" s="5">
        <f t="shared" si="129"/>
        <v>0</v>
      </c>
      <c r="AC1356" s="5"/>
      <c r="AD1356" s="5">
        <v>0</v>
      </c>
      <c r="AE1356" s="5">
        <f t="shared" si="130"/>
        <v>0</v>
      </c>
      <c r="AF1356" s="70">
        <v>0</v>
      </c>
      <c r="AG1356" s="17"/>
      <c r="AH1356" s="18"/>
      <c r="AI1356" s="47" t="s">
        <v>4336</v>
      </c>
      <c r="AJ1356" s="73" t="s">
        <v>4337</v>
      </c>
      <c r="AK1356" s="275"/>
      <c r="AL1356" s="276"/>
      <c r="AM1356" s="112" t="s">
        <v>1096</v>
      </c>
      <c r="AN1356" s="19"/>
      <c r="AO1356" s="19"/>
      <c r="AP1356" s="19"/>
      <c r="AQ1356" s="19"/>
      <c r="AR1356" s="19"/>
      <c r="AS1356" s="19"/>
      <c r="AT1356" s="19"/>
      <c r="AU1356" s="19"/>
      <c r="AV1356" s="19"/>
      <c r="AW1356" s="19"/>
      <c r="AX1356" s="107"/>
      <c r="AY1356" s="107"/>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39"/>
      <c r="CO1356" s="138"/>
      <c r="CP1356" s="139"/>
      <c r="CQ1356" s="138"/>
      <c r="CR1356" s="139"/>
      <c r="CS1356" s="138"/>
      <c r="CT1356" s="72"/>
      <c r="CU1356" s="139"/>
      <c r="CV1356" s="99">
        <f t="shared" si="131"/>
        <v>0</v>
      </c>
      <c r="CW1356" s="139"/>
      <c r="CX1356" s="138"/>
      <c r="CY1356" s="138"/>
      <c r="CZ1356" s="138"/>
      <c r="DA1356" s="139"/>
      <c r="DB1356" s="138"/>
      <c r="DC1356" s="45"/>
      <c r="DD1356" s="138"/>
      <c r="DE1356" s="45"/>
      <c r="DF1356" s="46"/>
    </row>
    <row r="1357" spans="1:110" s="42" customFormat="1" ht="36" x14ac:dyDescent="0.2">
      <c r="A1357" s="89">
        <v>40698</v>
      </c>
      <c r="B1357" s="106" t="s">
        <v>4261</v>
      </c>
      <c r="C1357" s="106" t="s">
        <v>1193</v>
      </c>
      <c r="D1357" s="90" t="s">
        <v>4264</v>
      </c>
      <c r="E1357" s="90" t="str">
        <f>VLOOKUP(B1357&amp;C1357,Divipola!$C$2:$F$1138,4,FALSE)</f>
        <v>15380</v>
      </c>
      <c r="F1357" s="4"/>
      <c r="G1357" s="274"/>
      <c r="H1357" s="274"/>
      <c r="I1357" s="274"/>
      <c r="J1357" s="129">
        <v>365</v>
      </c>
      <c r="K1357" s="129">
        <v>73</v>
      </c>
      <c r="L1357" s="129"/>
      <c r="M1357" s="129">
        <v>15</v>
      </c>
      <c r="N1357" s="208"/>
      <c r="O1357" s="208"/>
      <c r="P1357" s="208"/>
      <c r="Q1357" s="208"/>
      <c r="R1357" s="208"/>
      <c r="S1357" s="208"/>
      <c r="T1357" s="208"/>
      <c r="U1357" s="208"/>
      <c r="V1357" s="208"/>
      <c r="W1357" s="19"/>
      <c r="X1357" s="17"/>
      <c r="Y1357" s="5">
        <f t="shared" si="126"/>
        <v>0</v>
      </c>
      <c r="Z1357" s="5">
        <f t="shared" si="127"/>
        <v>0</v>
      </c>
      <c r="AA1357" s="5">
        <f t="shared" si="128"/>
        <v>0</v>
      </c>
      <c r="AB1357" s="5">
        <f t="shared" si="129"/>
        <v>0</v>
      </c>
      <c r="AC1357" s="5"/>
      <c r="AD1357" s="5">
        <v>0</v>
      </c>
      <c r="AE1357" s="5">
        <f t="shared" si="130"/>
        <v>0</v>
      </c>
      <c r="AF1357" s="70">
        <v>0</v>
      </c>
      <c r="AG1357" s="17"/>
      <c r="AH1357" s="18"/>
      <c r="AI1357" s="47" t="s">
        <v>4336</v>
      </c>
      <c r="AJ1357" s="73" t="s">
        <v>4337</v>
      </c>
      <c r="AK1357" s="275"/>
      <c r="AL1357" s="276"/>
      <c r="AM1357" s="112" t="s">
        <v>1092</v>
      </c>
      <c r="AN1357" s="19"/>
      <c r="AO1357" s="19"/>
      <c r="AP1357" s="19"/>
      <c r="AQ1357" s="19"/>
      <c r="AR1357" s="19"/>
      <c r="AS1357" s="19"/>
      <c r="AT1357" s="19"/>
      <c r="AU1357" s="19"/>
      <c r="AV1357" s="19"/>
      <c r="AW1357" s="19"/>
      <c r="AX1357" s="107"/>
      <c r="AY1357" s="107"/>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39"/>
      <c r="CO1357" s="138"/>
      <c r="CP1357" s="139"/>
      <c r="CQ1357" s="138"/>
      <c r="CR1357" s="139"/>
      <c r="CS1357" s="138"/>
      <c r="CT1357" s="72"/>
      <c r="CU1357" s="139"/>
      <c r="CV1357" s="99">
        <f t="shared" si="131"/>
        <v>0</v>
      </c>
      <c r="CW1357" s="139"/>
      <c r="CX1357" s="138"/>
      <c r="CY1357" s="138"/>
      <c r="CZ1357" s="138"/>
      <c r="DA1357" s="139"/>
      <c r="DB1357" s="138"/>
      <c r="DC1357" s="45"/>
      <c r="DD1357" s="138"/>
      <c r="DE1357" s="45"/>
      <c r="DF1357" s="46"/>
    </row>
    <row r="1358" spans="1:110" s="42" customFormat="1" ht="144" x14ac:dyDescent="0.2">
      <c r="A1358" s="89">
        <v>40698</v>
      </c>
      <c r="B1358" s="106" t="s">
        <v>4261</v>
      </c>
      <c r="C1358" s="106" t="s">
        <v>1264</v>
      </c>
      <c r="D1358" s="90" t="s">
        <v>4264</v>
      </c>
      <c r="E1358" s="90" t="str">
        <f>VLOOKUP(B1358&amp;C1358,Divipola!$C$2:$F$1138,4,FALSE)</f>
        <v>15599</v>
      </c>
      <c r="F1358" s="4"/>
      <c r="G1358" s="274"/>
      <c r="H1358" s="274"/>
      <c r="I1358" s="274"/>
      <c r="J1358" s="129">
        <v>365</v>
      </c>
      <c r="K1358" s="129">
        <v>73</v>
      </c>
      <c r="L1358" s="129"/>
      <c r="M1358" s="129">
        <v>25</v>
      </c>
      <c r="N1358" s="208"/>
      <c r="O1358" s="208"/>
      <c r="P1358" s="208"/>
      <c r="Q1358" s="208"/>
      <c r="R1358" s="208"/>
      <c r="S1358" s="208"/>
      <c r="T1358" s="208"/>
      <c r="U1358" s="208"/>
      <c r="V1358" s="208">
        <v>17.3</v>
      </c>
      <c r="W1358" s="19"/>
      <c r="X1358" s="17"/>
      <c r="Y1358" s="5">
        <f t="shared" si="126"/>
        <v>0</v>
      </c>
      <c r="Z1358" s="5">
        <f t="shared" si="127"/>
        <v>0</v>
      </c>
      <c r="AA1358" s="5">
        <f t="shared" si="128"/>
        <v>0</v>
      </c>
      <c r="AB1358" s="5">
        <f t="shared" si="129"/>
        <v>0</v>
      </c>
      <c r="AC1358" s="5"/>
      <c r="AD1358" s="5">
        <v>0</v>
      </c>
      <c r="AE1358" s="5">
        <f t="shared" si="130"/>
        <v>0</v>
      </c>
      <c r="AF1358" s="70">
        <v>0</v>
      </c>
      <c r="AG1358" s="17"/>
      <c r="AH1358" s="18"/>
      <c r="AI1358" s="47" t="s">
        <v>4336</v>
      </c>
      <c r="AJ1358" s="73" t="s">
        <v>4337</v>
      </c>
      <c r="AK1358" s="275"/>
      <c r="AL1358" s="276"/>
      <c r="AM1358" s="100" t="s">
        <v>1139</v>
      </c>
      <c r="AN1358" s="19"/>
      <c r="AO1358" s="19"/>
      <c r="AP1358" s="19"/>
      <c r="AQ1358" s="19"/>
      <c r="AR1358" s="19"/>
      <c r="AS1358" s="19"/>
      <c r="AT1358" s="19"/>
      <c r="AU1358" s="19"/>
      <c r="AV1358" s="19"/>
      <c r="AW1358" s="19"/>
      <c r="AX1358" s="107"/>
      <c r="AY1358" s="107"/>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39"/>
      <c r="CO1358" s="138"/>
      <c r="CP1358" s="139"/>
      <c r="CQ1358" s="138"/>
      <c r="CR1358" s="139"/>
      <c r="CS1358" s="138"/>
      <c r="CT1358" s="72"/>
      <c r="CU1358" s="139"/>
      <c r="CV1358" s="99">
        <f t="shared" si="131"/>
        <v>0</v>
      </c>
      <c r="CW1358" s="139"/>
      <c r="CX1358" s="138"/>
      <c r="CY1358" s="138"/>
      <c r="CZ1358" s="138"/>
      <c r="DA1358" s="139"/>
      <c r="DB1358" s="138"/>
      <c r="DC1358" s="45"/>
      <c r="DD1358" s="138"/>
      <c r="DE1358" s="45"/>
      <c r="DF1358" s="46"/>
    </row>
    <row r="1359" spans="1:110" s="42" customFormat="1" ht="72" x14ac:dyDescent="0.2">
      <c r="A1359" s="89">
        <v>40698</v>
      </c>
      <c r="B1359" s="106" t="s">
        <v>4261</v>
      </c>
      <c r="C1359" s="106" t="s">
        <v>1272</v>
      </c>
      <c r="D1359" s="90" t="s">
        <v>4264</v>
      </c>
      <c r="E1359" s="90" t="str">
        <f>VLOOKUP(B1359&amp;C1359,Divipola!$C$2:$F$1138,4,FALSE)</f>
        <v>15638</v>
      </c>
      <c r="F1359" s="4"/>
      <c r="G1359" s="274"/>
      <c r="H1359" s="274"/>
      <c r="I1359" s="274"/>
      <c r="J1359" s="129">
        <v>505</v>
      </c>
      <c r="K1359" s="129">
        <v>101</v>
      </c>
      <c r="L1359" s="129">
        <v>42</v>
      </c>
      <c r="M1359" s="129">
        <v>33</v>
      </c>
      <c r="N1359" s="208"/>
      <c r="O1359" s="208"/>
      <c r="P1359" s="208"/>
      <c r="Q1359" s="208"/>
      <c r="R1359" s="208"/>
      <c r="S1359" s="208"/>
      <c r="T1359" s="208"/>
      <c r="U1359" s="208"/>
      <c r="V1359" s="208">
        <v>8</v>
      </c>
      <c r="W1359" s="19"/>
      <c r="X1359" s="17"/>
      <c r="Y1359" s="5">
        <f t="shared" si="126"/>
        <v>0</v>
      </c>
      <c r="Z1359" s="5">
        <f t="shared" si="127"/>
        <v>0</v>
      </c>
      <c r="AA1359" s="5">
        <f t="shared" si="128"/>
        <v>0</v>
      </c>
      <c r="AB1359" s="5">
        <f t="shared" si="129"/>
        <v>0</v>
      </c>
      <c r="AC1359" s="5"/>
      <c r="AD1359" s="5">
        <v>0</v>
      </c>
      <c r="AE1359" s="5">
        <f t="shared" si="130"/>
        <v>0</v>
      </c>
      <c r="AF1359" s="70">
        <v>0</v>
      </c>
      <c r="AG1359" s="17"/>
      <c r="AH1359" s="18"/>
      <c r="AI1359" s="47" t="s">
        <v>4346</v>
      </c>
      <c r="AJ1359" s="73" t="s">
        <v>4347</v>
      </c>
      <c r="AK1359" s="275"/>
      <c r="AL1359" s="89" t="s">
        <v>2798</v>
      </c>
      <c r="AM1359" s="112" t="s">
        <v>1099</v>
      </c>
      <c r="AN1359" s="19"/>
      <c r="AO1359" s="19"/>
      <c r="AP1359" s="19"/>
      <c r="AQ1359" s="19"/>
      <c r="AR1359" s="19"/>
      <c r="AS1359" s="19"/>
      <c r="AT1359" s="19"/>
      <c r="AU1359" s="19"/>
      <c r="AV1359" s="19"/>
      <c r="AW1359" s="19"/>
      <c r="AX1359" s="107"/>
      <c r="AY1359" s="107"/>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39"/>
      <c r="CO1359" s="138"/>
      <c r="CP1359" s="139"/>
      <c r="CQ1359" s="138"/>
      <c r="CR1359" s="139"/>
      <c r="CS1359" s="138"/>
      <c r="CT1359" s="72"/>
      <c r="CU1359" s="139"/>
      <c r="CV1359" s="99">
        <f t="shared" si="131"/>
        <v>0</v>
      </c>
      <c r="CW1359" s="139"/>
      <c r="CX1359" s="138"/>
      <c r="CY1359" s="138"/>
      <c r="CZ1359" s="138"/>
      <c r="DA1359" s="139"/>
      <c r="DB1359" s="138"/>
      <c r="DC1359" s="45"/>
      <c r="DD1359" s="138"/>
      <c r="DE1359" s="45"/>
      <c r="DF1359" s="46"/>
    </row>
    <row r="1360" spans="1:110" s="42" customFormat="1" ht="84" x14ac:dyDescent="0.2">
      <c r="A1360" s="89">
        <v>40698</v>
      </c>
      <c r="B1360" s="90" t="s">
        <v>4261</v>
      </c>
      <c r="C1360" s="90" t="s">
        <v>3248</v>
      </c>
      <c r="D1360" s="90" t="s">
        <v>4264</v>
      </c>
      <c r="E1360" s="90" t="str">
        <f>VLOOKUP(B1360&amp;C1360,Divipola!$C$2:$F$1138,4,FALSE)</f>
        <v>15646</v>
      </c>
      <c r="F1360" s="4"/>
      <c r="G1360" s="274"/>
      <c r="H1360" s="274"/>
      <c r="I1360" s="274"/>
      <c r="J1360" s="101">
        <v>1085</v>
      </c>
      <c r="K1360" s="101">
        <v>217</v>
      </c>
      <c r="L1360" s="101"/>
      <c r="M1360" s="101"/>
      <c r="N1360" s="208"/>
      <c r="O1360" s="208"/>
      <c r="P1360" s="208"/>
      <c r="Q1360" s="208"/>
      <c r="R1360" s="208"/>
      <c r="S1360" s="208"/>
      <c r="T1360" s="208"/>
      <c r="U1360" s="208"/>
      <c r="V1360" s="208">
        <v>998.6</v>
      </c>
      <c r="W1360" s="19"/>
      <c r="X1360" s="17"/>
      <c r="Y1360" s="5">
        <f t="shared" si="126"/>
        <v>0</v>
      </c>
      <c r="Z1360" s="5">
        <f t="shared" si="127"/>
        <v>0</v>
      </c>
      <c r="AA1360" s="5">
        <f t="shared" si="128"/>
        <v>0</v>
      </c>
      <c r="AB1360" s="5">
        <f t="shared" si="129"/>
        <v>0</v>
      </c>
      <c r="AC1360" s="5"/>
      <c r="AD1360" s="5">
        <v>0</v>
      </c>
      <c r="AE1360" s="5">
        <f t="shared" si="130"/>
        <v>0</v>
      </c>
      <c r="AF1360" s="70">
        <v>0</v>
      </c>
      <c r="AG1360" s="17"/>
      <c r="AH1360" s="18"/>
      <c r="AI1360" s="47" t="s">
        <v>4336</v>
      </c>
      <c r="AJ1360" s="73" t="s">
        <v>4337</v>
      </c>
      <c r="AK1360" s="275"/>
      <c r="AL1360" s="276"/>
      <c r="AM1360" s="100" t="s">
        <v>1127</v>
      </c>
      <c r="AN1360" s="19"/>
      <c r="AO1360" s="19"/>
      <c r="AP1360" s="19"/>
      <c r="AQ1360" s="19"/>
      <c r="AR1360" s="19"/>
      <c r="AS1360" s="19"/>
      <c r="AT1360" s="19"/>
      <c r="AU1360" s="19"/>
      <c r="AV1360" s="19"/>
      <c r="AW1360" s="19"/>
      <c r="AX1360" s="107"/>
      <c r="AY1360" s="107"/>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39"/>
      <c r="CO1360" s="138"/>
      <c r="CP1360" s="139"/>
      <c r="CQ1360" s="138"/>
      <c r="CR1360" s="139"/>
      <c r="CS1360" s="138"/>
      <c r="CT1360" s="72"/>
      <c r="CU1360" s="139"/>
      <c r="CV1360" s="99">
        <f t="shared" si="131"/>
        <v>0</v>
      </c>
      <c r="CW1360" s="139"/>
      <c r="CX1360" s="138"/>
      <c r="CY1360" s="138"/>
      <c r="CZ1360" s="138"/>
      <c r="DA1360" s="139"/>
      <c r="DB1360" s="138"/>
      <c r="DC1360" s="45"/>
      <c r="DD1360" s="138"/>
      <c r="DE1360" s="45"/>
      <c r="DF1360" s="46"/>
    </row>
    <row r="1361" spans="1:110" s="42" customFormat="1" ht="48" x14ac:dyDescent="0.2">
      <c r="A1361" s="89">
        <v>40698</v>
      </c>
      <c r="B1361" s="90" t="s">
        <v>4261</v>
      </c>
      <c r="C1361" s="90" t="s">
        <v>2872</v>
      </c>
      <c r="D1361" s="90" t="s">
        <v>4264</v>
      </c>
      <c r="E1361" s="90" t="str">
        <f>VLOOKUP(B1361&amp;C1361,Divipola!$C$2:$F$1138,4,FALSE)</f>
        <v>15676</v>
      </c>
      <c r="F1361" s="4"/>
      <c r="G1361" s="274"/>
      <c r="H1361" s="274"/>
      <c r="I1361" s="274"/>
      <c r="J1361" s="101">
        <v>240</v>
      </c>
      <c r="K1361" s="101">
        <v>48</v>
      </c>
      <c r="L1361" s="101"/>
      <c r="M1361" s="101">
        <v>48</v>
      </c>
      <c r="N1361" s="208"/>
      <c r="O1361" s="208"/>
      <c r="P1361" s="208"/>
      <c r="Q1361" s="208"/>
      <c r="R1361" s="208"/>
      <c r="S1361" s="208"/>
      <c r="T1361" s="208"/>
      <c r="U1361" s="208"/>
      <c r="V1361" s="208"/>
      <c r="W1361" s="19"/>
      <c r="X1361" s="17"/>
      <c r="Y1361" s="5">
        <f t="shared" si="126"/>
        <v>0</v>
      </c>
      <c r="Z1361" s="5">
        <f t="shared" si="127"/>
        <v>0</v>
      </c>
      <c r="AA1361" s="5">
        <f t="shared" si="128"/>
        <v>0</v>
      </c>
      <c r="AB1361" s="5">
        <f t="shared" si="129"/>
        <v>0</v>
      </c>
      <c r="AC1361" s="5"/>
      <c r="AD1361" s="5">
        <v>0</v>
      </c>
      <c r="AE1361" s="5">
        <f t="shared" si="130"/>
        <v>0</v>
      </c>
      <c r="AF1361" s="70">
        <v>0</v>
      </c>
      <c r="AG1361" s="17"/>
      <c r="AH1361" s="18"/>
      <c r="AI1361" s="47" t="s">
        <v>4336</v>
      </c>
      <c r="AJ1361" s="73" t="s">
        <v>4337</v>
      </c>
      <c r="AK1361" s="275"/>
      <c r="AL1361" s="276"/>
      <c r="AM1361" s="100" t="s">
        <v>2397</v>
      </c>
      <c r="AN1361" s="19"/>
      <c r="AO1361" s="19"/>
      <c r="AP1361" s="19"/>
      <c r="AQ1361" s="19"/>
      <c r="AR1361" s="19"/>
      <c r="AS1361" s="19"/>
      <c r="AT1361" s="19"/>
      <c r="AU1361" s="19"/>
      <c r="AV1361" s="19"/>
      <c r="AW1361" s="19"/>
      <c r="AX1361" s="107"/>
      <c r="AY1361" s="107"/>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39"/>
      <c r="CO1361" s="138"/>
      <c r="CP1361" s="139"/>
      <c r="CQ1361" s="138"/>
      <c r="CR1361" s="139"/>
      <c r="CS1361" s="138"/>
      <c r="CT1361" s="72"/>
      <c r="CU1361" s="139"/>
      <c r="CV1361" s="99">
        <f t="shared" si="131"/>
        <v>0</v>
      </c>
      <c r="CW1361" s="139"/>
      <c r="CX1361" s="138"/>
      <c r="CY1361" s="138"/>
      <c r="CZ1361" s="138"/>
      <c r="DA1361" s="139"/>
      <c r="DB1361" s="138"/>
      <c r="DC1361" s="45"/>
      <c r="DD1361" s="138"/>
      <c r="DE1361" s="45"/>
      <c r="DF1361" s="46"/>
    </row>
    <row r="1362" spans="1:110" s="42" customFormat="1" ht="56.25" x14ac:dyDescent="0.2">
      <c r="A1362" s="89">
        <v>40698</v>
      </c>
      <c r="B1362" s="90" t="s">
        <v>4261</v>
      </c>
      <c r="C1362" s="90" t="s">
        <v>1304</v>
      </c>
      <c r="D1362" s="90" t="s">
        <v>4264</v>
      </c>
      <c r="E1362" s="90" t="str">
        <f>VLOOKUP(B1362&amp;C1362,Divipola!$C$2:$F$1138,4,FALSE)</f>
        <v>15753</v>
      </c>
      <c r="F1362" s="4"/>
      <c r="G1362" s="274"/>
      <c r="H1362" s="274"/>
      <c r="I1362" s="274"/>
      <c r="J1362" s="101">
        <v>1160</v>
      </c>
      <c r="K1362" s="101">
        <v>232</v>
      </c>
      <c r="L1362" s="101">
        <v>34</v>
      </c>
      <c r="M1362" s="101">
        <f>232-34</f>
        <v>198</v>
      </c>
      <c r="N1362" s="208"/>
      <c r="O1362" s="208"/>
      <c r="P1362" s="208"/>
      <c r="Q1362" s="208"/>
      <c r="R1362" s="208"/>
      <c r="S1362" s="208"/>
      <c r="T1362" s="208"/>
      <c r="U1362" s="208"/>
      <c r="V1362" s="208"/>
      <c r="W1362" s="19"/>
      <c r="X1362" s="17"/>
      <c r="Y1362" s="5">
        <f t="shared" si="126"/>
        <v>0</v>
      </c>
      <c r="Z1362" s="5">
        <f t="shared" si="127"/>
        <v>0</v>
      </c>
      <c r="AA1362" s="5">
        <f t="shared" si="128"/>
        <v>0</v>
      </c>
      <c r="AB1362" s="5">
        <f t="shared" si="129"/>
        <v>0</v>
      </c>
      <c r="AC1362" s="5"/>
      <c r="AD1362" s="5">
        <v>0</v>
      </c>
      <c r="AE1362" s="5">
        <f t="shared" si="130"/>
        <v>0</v>
      </c>
      <c r="AF1362" s="70">
        <v>0</v>
      </c>
      <c r="AG1362" s="17"/>
      <c r="AH1362" s="18"/>
      <c r="AI1362" s="47" t="s">
        <v>4336</v>
      </c>
      <c r="AJ1362" s="73" t="s">
        <v>4337</v>
      </c>
      <c r="AK1362" s="275"/>
      <c r="AL1362" s="276"/>
      <c r="AM1362" s="128" t="s">
        <v>2400</v>
      </c>
      <c r="AN1362" s="19"/>
      <c r="AO1362" s="19"/>
      <c r="AP1362" s="19"/>
      <c r="AQ1362" s="19"/>
      <c r="AR1362" s="19"/>
      <c r="AS1362" s="19"/>
      <c r="AT1362" s="19"/>
      <c r="AU1362" s="19"/>
      <c r="AV1362" s="19"/>
      <c r="AW1362" s="19"/>
      <c r="AX1362" s="107"/>
      <c r="AY1362" s="107"/>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39"/>
      <c r="CO1362" s="138"/>
      <c r="CP1362" s="139"/>
      <c r="CQ1362" s="138"/>
      <c r="CR1362" s="139"/>
      <c r="CS1362" s="138"/>
      <c r="CT1362" s="72"/>
      <c r="CU1362" s="139"/>
      <c r="CV1362" s="99">
        <f t="shared" si="131"/>
        <v>0</v>
      </c>
      <c r="CW1362" s="139"/>
      <c r="CX1362" s="138"/>
      <c r="CY1362" s="138"/>
      <c r="CZ1362" s="138"/>
      <c r="DA1362" s="139"/>
      <c r="DB1362" s="138"/>
      <c r="DC1362" s="45"/>
      <c r="DD1362" s="138"/>
      <c r="DE1362" s="45"/>
      <c r="DF1362" s="46"/>
    </row>
    <row r="1363" spans="1:110" s="42" customFormat="1" ht="45" x14ac:dyDescent="0.2">
      <c r="A1363" s="89">
        <v>40698</v>
      </c>
      <c r="B1363" s="90" t="s">
        <v>4261</v>
      </c>
      <c r="C1363" s="90" t="s">
        <v>3379</v>
      </c>
      <c r="D1363" s="90" t="s">
        <v>4264</v>
      </c>
      <c r="E1363" s="90" t="str">
        <f>VLOOKUP(B1363&amp;C1363,Divipola!$C$2:$F$1138,4,FALSE)</f>
        <v>15804</v>
      </c>
      <c r="F1363" s="4"/>
      <c r="G1363" s="274"/>
      <c r="H1363" s="274"/>
      <c r="I1363" s="274"/>
      <c r="J1363" s="101">
        <v>555</v>
      </c>
      <c r="K1363" s="101">
        <v>111</v>
      </c>
      <c r="L1363" s="101">
        <v>4</v>
      </c>
      <c r="M1363" s="101">
        <v>73</v>
      </c>
      <c r="N1363" s="208"/>
      <c r="O1363" s="208"/>
      <c r="P1363" s="208"/>
      <c r="Q1363" s="208"/>
      <c r="R1363" s="208"/>
      <c r="S1363" s="208"/>
      <c r="T1363" s="208"/>
      <c r="U1363" s="208"/>
      <c r="V1363" s="208"/>
      <c r="W1363" s="19"/>
      <c r="X1363" s="17"/>
      <c r="Y1363" s="5">
        <f t="shared" si="126"/>
        <v>0</v>
      </c>
      <c r="Z1363" s="5">
        <f t="shared" si="127"/>
        <v>0</v>
      </c>
      <c r="AA1363" s="5">
        <f t="shared" si="128"/>
        <v>0</v>
      </c>
      <c r="AB1363" s="5">
        <f t="shared" si="129"/>
        <v>0</v>
      </c>
      <c r="AC1363" s="5"/>
      <c r="AD1363" s="5">
        <v>0</v>
      </c>
      <c r="AE1363" s="5">
        <f t="shared" si="130"/>
        <v>0</v>
      </c>
      <c r="AF1363" s="70">
        <v>0</v>
      </c>
      <c r="AG1363" s="17"/>
      <c r="AH1363" s="18"/>
      <c r="AI1363" s="47" t="s">
        <v>4336</v>
      </c>
      <c r="AJ1363" s="73" t="s">
        <v>4337</v>
      </c>
      <c r="AK1363" s="275"/>
      <c r="AL1363" s="276"/>
      <c r="AM1363" s="128" t="s">
        <v>1093</v>
      </c>
      <c r="AN1363" s="19"/>
      <c r="AO1363" s="19"/>
      <c r="AP1363" s="19"/>
      <c r="AQ1363" s="19"/>
      <c r="AR1363" s="19"/>
      <c r="AS1363" s="19"/>
      <c r="AT1363" s="19"/>
      <c r="AU1363" s="19"/>
      <c r="AV1363" s="19"/>
      <c r="AW1363" s="19"/>
      <c r="AX1363" s="107"/>
      <c r="AY1363" s="107"/>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39"/>
      <c r="CO1363" s="138"/>
      <c r="CP1363" s="139"/>
      <c r="CQ1363" s="138"/>
      <c r="CR1363" s="139"/>
      <c r="CS1363" s="138"/>
      <c r="CT1363" s="72"/>
      <c r="CU1363" s="139"/>
      <c r="CV1363" s="99">
        <f t="shared" si="131"/>
        <v>0</v>
      </c>
      <c r="CW1363" s="139"/>
      <c r="CX1363" s="138"/>
      <c r="CY1363" s="138"/>
      <c r="CZ1363" s="138"/>
      <c r="DA1363" s="139"/>
      <c r="DB1363" s="138"/>
      <c r="DC1363" s="45"/>
      <c r="DD1363" s="138"/>
      <c r="DE1363" s="45"/>
      <c r="DF1363" s="46"/>
    </row>
    <row r="1364" spans="1:110" s="42" customFormat="1" ht="33.75" x14ac:dyDescent="0.2">
      <c r="A1364" s="89">
        <v>40698</v>
      </c>
      <c r="B1364" s="90" t="s">
        <v>4261</v>
      </c>
      <c r="C1364" s="90" t="s">
        <v>1361</v>
      </c>
      <c r="D1364" s="90" t="s">
        <v>4264</v>
      </c>
      <c r="E1364" s="90" t="str">
        <f>VLOOKUP(B1364&amp;C1364,Divipola!$C$2:$F$1138,4,FALSE)</f>
        <v>15835</v>
      </c>
      <c r="F1364" s="4"/>
      <c r="G1364" s="274"/>
      <c r="H1364" s="274"/>
      <c r="I1364" s="274"/>
      <c r="J1364" s="101">
        <v>29</v>
      </c>
      <c r="K1364" s="101">
        <v>8</v>
      </c>
      <c r="L1364" s="101">
        <v>3</v>
      </c>
      <c r="M1364" s="101">
        <v>3</v>
      </c>
      <c r="N1364" s="208"/>
      <c r="O1364" s="208"/>
      <c r="P1364" s="208"/>
      <c r="Q1364" s="208"/>
      <c r="R1364" s="208"/>
      <c r="S1364" s="208"/>
      <c r="T1364" s="208"/>
      <c r="U1364" s="208"/>
      <c r="V1364" s="208"/>
      <c r="W1364" s="19"/>
      <c r="X1364" s="17"/>
      <c r="Y1364" s="5">
        <f t="shared" si="126"/>
        <v>0</v>
      </c>
      <c r="Z1364" s="5">
        <f t="shared" si="127"/>
        <v>0</v>
      </c>
      <c r="AA1364" s="5">
        <f t="shared" si="128"/>
        <v>0</v>
      </c>
      <c r="AB1364" s="5">
        <f t="shared" si="129"/>
        <v>0</v>
      </c>
      <c r="AC1364" s="5"/>
      <c r="AD1364" s="5">
        <v>0</v>
      </c>
      <c r="AE1364" s="5">
        <f t="shared" si="130"/>
        <v>0</v>
      </c>
      <c r="AF1364" s="70">
        <v>0</v>
      </c>
      <c r="AG1364" s="17"/>
      <c r="AH1364" s="18"/>
      <c r="AI1364" s="47" t="s">
        <v>4336</v>
      </c>
      <c r="AJ1364" s="73" t="s">
        <v>4337</v>
      </c>
      <c r="AK1364" s="275"/>
      <c r="AL1364" s="276"/>
      <c r="AM1364" s="128" t="s">
        <v>1094</v>
      </c>
      <c r="AN1364" s="19"/>
      <c r="AO1364" s="19"/>
      <c r="AP1364" s="19"/>
      <c r="AQ1364" s="19"/>
      <c r="AR1364" s="19"/>
      <c r="AS1364" s="19"/>
      <c r="AT1364" s="19"/>
      <c r="AU1364" s="19"/>
      <c r="AV1364" s="19"/>
      <c r="AW1364" s="19"/>
      <c r="AX1364" s="107"/>
      <c r="AY1364" s="107"/>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39"/>
      <c r="CO1364" s="138"/>
      <c r="CP1364" s="139"/>
      <c r="CQ1364" s="138"/>
      <c r="CR1364" s="139"/>
      <c r="CS1364" s="138"/>
      <c r="CT1364" s="72"/>
      <c r="CU1364" s="139"/>
      <c r="CV1364" s="99">
        <f t="shared" si="131"/>
        <v>0</v>
      </c>
      <c r="CW1364" s="139"/>
      <c r="CX1364" s="138"/>
      <c r="CY1364" s="138"/>
      <c r="CZ1364" s="138"/>
      <c r="DA1364" s="139"/>
      <c r="DB1364" s="138"/>
      <c r="DC1364" s="45"/>
      <c r="DD1364" s="138"/>
      <c r="DE1364" s="45"/>
      <c r="DF1364" s="46"/>
    </row>
    <row r="1365" spans="1:110" s="42" customFormat="1" ht="84" x14ac:dyDescent="0.2">
      <c r="A1365" s="89">
        <v>40698</v>
      </c>
      <c r="B1365" s="106" t="s">
        <v>4261</v>
      </c>
      <c r="C1365" s="106" t="s">
        <v>1367</v>
      </c>
      <c r="D1365" s="90" t="s">
        <v>4264</v>
      </c>
      <c r="E1365" s="90" t="str">
        <f>VLOOKUP(B1365&amp;C1365,Divipola!$C$2:$F$1138,4,FALSE)</f>
        <v>15842</v>
      </c>
      <c r="F1365" s="4"/>
      <c r="G1365" s="274"/>
      <c r="H1365" s="274"/>
      <c r="I1365" s="274"/>
      <c r="J1365" s="129">
        <v>1065</v>
      </c>
      <c r="K1365" s="129">
        <v>213</v>
      </c>
      <c r="L1365" s="129">
        <v>2</v>
      </c>
      <c r="M1365" s="129">
        <v>49</v>
      </c>
      <c r="N1365" s="208"/>
      <c r="O1365" s="208"/>
      <c r="P1365" s="208"/>
      <c r="Q1365" s="208"/>
      <c r="R1365" s="208"/>
      <c r="S1365" s="208"/>
      <c r="T1365" s="208"/>
      <c r="U1365" s="208"/>
      <c r="V1365" s="208"/>
      <c r="W1365" s="19"/>
      <c r="X1365" s="17"/>
      <c r="Y1365" s="5">
        <f t="shared" si="126"/>
        <v>0</v>
      </c>
      <c r="Z1365" s="5">
        <f t="shared" si="127"/>
        <v>0</v>
      </c>
      <c r="AA1365" s="5">
        <f t="shared" si="128"/>
        <v>0</v>
      </c>
      <c r="AB1365" s="5">
        <f t="shared" si="129"/>
        <v>0</v>
      </c>
      <c r="AC1365" s="5"/>
      <c r="AD1365" s="5">
        <v>0</v>
      </c>
      <c r="AE1365" s="5">
        <f t="shared" si="130"/>
        <v>0</v>
      </c>
      <c r="AF1365" s="70">
        <v>0</v>
      </c>
      <c r="AG1365" s="17"/>
      <c r="AH1365" s="18"/>
      <c r="AI1365" s="47" t="s">
        <v>4336</v>
      </c>
      <c r="AJ1365" s="73" t="s">
        <v>4337</v>
      </c>
      <c r="AK1365" s="275"/>
      <c r="AL1365" s="276"/>
      <c r="AM1365" s="112" t="s">
        <v>1100</v>
      </c>
      <c r="AN1365" s="19"/>
      <c r="AO1365" s="19"/>
      <c r="AP1365" s="19"/>
      <c r="AQ1365" s="19"/>
      <c r="AR1365" s="19"/>
      <c r="AS1365" s="19"/>
      <c r="AT1365" s="19"/>
      <c r="AU1365" s="19"/>
      <c r="AV1365" s="19"/>
      <c r="AW1365" s="19"/>
      <c r="AX1365" s="107"/>
      <c r="AY1365" s="107"/>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39"/>
      <c r="CO1365" s="138"/>
      <c r="CP1365" s="139"/>
      <c r="CQ1365" s="138"/>
      <c r="CR1365" s="139"/>
      <c r="CS1365" s="138"/>
      <c r="CT1365" s="72"/>
      <c r="CU1365" s="139"/>
      <c r="CV1365" s="99">
        <f t="shared" si="131"/>
        <v>0</v>
      </c>
      <c r="CW1365" s="139"/>
      <c r="CX1365" s="138"/>
      <c r="CY1365" s="138"/>
      <c r="CZ1365" s="138"/>
      <c r="DA1365" s="139"/>
      <c r="DB1365" s="138"/>
      <c r="DC1365" s="45"/>
      <c r="DD1365" s="138"/>
      <c r="DE1365" s="45"/>
      <c r="DF1365" s="46"/>
    </row>
    <row r="1366" spans="1:110" s="42" customFormat="1" ht="48" x14ac:dyDescent="0.2">
      <c r="A1366" s="89">
        <v>40698</v>
      </c>
      <c r="B1366" s="106" t="s">
        <v>4261</v>
      </c>
      <c r="C1366" s="106" t="s">
        <v>1369</v>
      </c>
      <c r="D1366" s="90" t="s">
        <v>4264</v>
      </c>
      <c r="E1366" s="90" t="str">
        <f>VLOOKUP(B1366&amp;C1366,Divipola!$C$2:$F$1138,4,FALSE)</f>
        <v>15861</v>
      </c>
      <c r="F1366" s="4"/>
      <c r="G1366" s="274"/>
      <c r="H1366" s="274"/>
      <c r="I1366" s="274"/>
      <c r="J1366" s="129">
        <v>1350</v>
      </c>
      <c r="K1366" s="129">
        <v>270</v>
      </c>
      <c r="L1366" s="129">
        <v>11</v>
      </c>
      <c r="M1366" s="129">
        <v>58</v>
      </c>
      <c r="N1366" s="208"/>
      <c r="O1366" s="208"/>
      <c r="P1366" s="208"/>
      <c r="Q1366" s="208"/>
      <c r="R1366" s="208"/>
      <c r="S1366" s="208"/>
      <c r="T1366" s="208"/>
      <c r="U1366" s="208"/>
      <c r="V1366" s="208"/>
      <c r="W1366" s="19"/>
      <c r="X1366" s="17"/>
      <c r="Y1366" s="5">
        <f t="shared" si="126"/>
        <v>0</v>
      </c>
      <c r="Z1366" s="5">
        <f t="shared" si="127"/>
        <v>0</v>
      </c>
      <c r="AA1366" s="5">
        <f t="shared" si="128"/>
        <v>0</v>
      </c>
      <c r="AB1366" s="5">
        <f t="shared" si="129"/>
        <v>0</v>
      </c>
      <c r="AC1366" s="5"/>
      <c r="AD1366" s="5">
        <v>0</v>
      </c>
      <c r="AE1366" s="5">
        <f t="shared" si="130"/>
        <v>0</v>
      </c>
      <c r="AF1366" s="70">
        <v>0</v>
      </c>
      <c r="AG1366" s="17"/>
      <c r="AH1366" s="18"/>
      <c r="AI1366" s="47" t="s">
        <v>4336</v>
      </c>
      <c r="AJ1366" s="73" t="s">
        <v>4337</v>
      </c>
      <c r="AK1366" s="275"/>
      <c r="AL1366" s="276"/>
      <c r="AM1366" s="112" t="s">
        <v>1091</v>
      </c>
      <c r="AN1366" s="19"/>
      <c r="AO1366" s="19"/>
      <c r="AP1366" s="19"/>
      <c r="AQ1366" s="19"/>
      <c r="AR1366" s="19"/>
      <c r="AS1366" s="19"/>
      <c r="AT1366" s="19"/>
      <c r="AU1366" s="19"/>
      <c r="AV1366" s="19"/>
      <c r="AW1366" s="19"/>
      <c r="AX1366" s="107"/>
      <c r="AY1366" s="107"/>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39"/>
      <c r="CO1366" s="138"/>
      <c r="CP1366" s="139"/>
      <c r="CQ1366" s="138"/>
      <c r="CR1366" s="139"/>
      <c r="CS1366" s="138"/>
      <c r="CT1366" s="72"/>
      <c r="CU1366" s="139"/>
      <c r="CV1366" s="99">
        <f t="shared" si="131"/>
        <v>0</v>
      </c>
      <c r="CW1366" s="139"/>
      <c r="CX1366" s="138"/>
      <c r="CY1366" s="138"/>
      <c r="CZ1366" s="138"/>
      <c r="DA1366" s="139"/>
      <c r="DB1366" s="138"/>
      <c r="DC1366" s="45"/>
      <c r="DD1366" s="138"/>
      <c r="DE1366" s="45"/>
      <c r="DF1366" s="46"/>
    </row>
    <row r="1367" spans="1:110" s="42" customFormat="1" ht="24" x14ac:dyDescent="0.2">
      <c r="A1367" s="89">
        <v>40698</v>
      </c>
      <c r="B1367" s="106" t="s">
        <v>4353</v>
      </c>
      <c r="C1367" s="106" t="s">
        <v>2223</v>
      </c>
      <c r="D1367" s="90" t="s">
        <v>4298</v>
      </c>
      <c r="E1367" s="90" t="str">
        <f>VLOOKUP(B1367&amp;C1367,Divipola!$C$2:$F$1138,4,FALSE)</f>
        <v>85001</v>
      </c>
      <c r="F1367" s="90"/>
      <c r="G1367" s="279"/>
      <c r="H1367" s="129">
        <v>1</v>
      </c>
      <c r="I1367" s="279"/>
      <c r="J1367" s="101"/>
      <c r="K1367" s="101"/>
      <c r="L1367" s="101"/>
      <c r="M1367" s="101">
        <v>1</v>
      </c>
      <c r="N1367" s="129"/>
      <c r="O1367" s="129"/>
      <c r="P1367" s="129"/>
      <c r="Q1367" s="129"/>
      <c r="R1367" s="129"/>
      <c r="S1367" s="129"/>
      <c r="T1367" s="129"/>
      <c r="U1367" s="129"/>
      <c r="V1367" s="129"/>
      <c r="W1367" s="107"/>
      <c r="X1367" s="105"/>
      <c r="Y1367" s="92">
        <f t="shared" si="126"/>
        <v>0</v>
      </c>
      <c r="Z1367" s="92">
        <f t="shared" si="127"/>
        <v>0</v>
      </c>
      <c r="AA1367" s="92">
        <f t="shared" si="128"/>
        <v>0</v>
      </c>
      <c r="AB1367" s="92">
        <f t="shared" si="129"/>
        <v>0</v>
      </c>
      <c r="AC1367" s="92"/>
      <c r="AD1367" s="92">
        <v>0</v>
      </c>
      <c r="AE1367" s="92">
        <f t="shared" si="130"/>
        <v>0</v>
      </c>
      <c r="AF1367" s="93">
        <v>0</v>
      </c>
      <c r="AG1367" s="105"/>
      <c r="AH1367" s="108"/>
      <c r="AI1367" s="109" t="s">
        <v>4336</v>
      </c>
      <c r="AJ1367" s="110" t="s">
        <v>4337</v>
      </c>
      <c r="AK1367" s="133"/>
      <c r="AL1367" s="284"/>
      <c r="AM1367" s="112" t="s">
        <v>3432</v>
      </c>
      <c r="AN1367" s="107"/>
      <c r="AO1367" s="107"/>
      <c r="AP1367" s="107"/>
      <c r="AQ1367" s="107"/>
      <c r="AR1367" s="107"/>
      <c r="AS1367" s="107"/>
      <c r="AT1367" s="107"/>
      <c r="AU1367" s="107"/>
      <c r="AV1367" s="107"/>
      <c r="AW1367" s="107"/>
      <c r="AX1367" s="107"/>
      <c r="AY1367" s="107"/>
      <c r="AZ1367" s="107"/>
      <c r="BA1367" s="107"/>
      <c r="BB1367" s="107"/>
      <c r="BC1367" s="107"/>
      <c r="BD1367" s="107"/>
      <c r="BE1367" s="107"/>
      <c r="BF1367" s="107"/>
      <c r="BG1367" s="107"/>
      <c r="BH1367" s="107"/>
      <c r="BI1367" s="107"/>
      <c r="BJ1367" s="107"/>
      <c r="BK1367" s="107"/>
      <c r="BL1367" s="107"/>
      <c r="BM1367" s="107"/>
      <c r="BN1367" s="107"/>
      <c r="BO1367" s="107"/>
      <c r="BP1367" s="107"/>
      <c r="BQ1367" s="107"/>
      <c r="BR1367" s="107"/>
      <c r="BS1367" s="107"/>
      <c r="BT1367" s="107"/>
      <c r="BU1367" s="107"/>
      <c r="BV1367" s="107"/>
      <c r="BW1367" s="107"/>
      <c r="BX1367" s="107"/>
      <c r="BY1367" s="107"/>
      <c r="BZ1367" s="107"/>
      <c r="CA1367" s="107"/>
      <c r="CB1367" s="107"/>
      <c r="CC1367" s="107"/>
      <c r="CD1367" s="107"/>
      <c r="CE1367" s="107"/>
      <c r="CF1367" s="107"/>
      <c r="CG1367" s="107"/>
      <c r="CH1367" s="107"/>
      <c r="CI1367" s="107"/>
      <c r="CJ1367" s="107"/>
      <c r="CK1367" s="107"/>
      <c r="CL1367" s="107"/>
      <c r="CM1367" s="107"/>
      <c r="CN1367" s="118"/>
      <c r="CO1367" s="119"/>
      <c r="CP1367" s="118"/>
      <c r="CQ1367" s="119"/>
      <c r="CR1367" s="118"/>
      <c r="CS1367" s="119"/>
      <c r="CT1367" s="113"/>
      <c r="CU1367" s="118"/>
      <c r="CV1367" s="99">
        <f t="shared" si="131"/>
        <v>0</v>
      </c>
      <c r="CW1367" s="118"/>
      <c r="CX1367" s="119"/>
      <c r="CY1367" s="119"/>
      <c r="CZ1367" s="119"/>
      <c r="DA1367" s="118"/>
      <c r="DB1367" s="119"/>
      <c r="DC1367" s="111"/>
      <c r="DD1367" s="119"/>
      <c r="DE1367" s="111"/>
      <c r="DF1367" s="46"/>
    </row>
    <row r="1368" spans="1:110" s="42" customFormat="1" ht="48" x14ac:dyDescent="0.2">
      <c r="A1368" s="89">
        <v>40698</v>
      </c>
      <c r="B1368" s="106" t="s">
        <v>4282</v>
      </c>
      <c r="C1368" s="106" t="s">
        <v>1618</v>
      </c>
      <c r="D1368" s="90" t="s">
        <v>4264</v>
      </c>
      <c r="E1368" s="90" t="str">
        <f>VLOOKUP(B1368&amp;C1368,Divipola!$C$2:$F$1138,4,FALSE)</f>
        <v>23570</v>
      </c>
      <c r="F1368" s="90"/>
      <c r="G1368" s="129"/>
      <c r="H1368" s="129"/>
      <c r="I1368" s="129"/>
      <c r="J1368" s="129">
        <v>1584</v>
      </c>
      <c r="K1368" s="129">
        <v>352</v>
      </c>
      <c r="L1368" s="129"/>
      <c r="M1368" s="129">
        <v>352</v>
      </c>
      <c r="N1368" s="129"/>
      <c r="O1368" s="129"/>
      <c r="P1368" s="129"/>
      <c r="Q1368" s="129"/>
      <c r="R1368" s="129"/>
      <c r="S1368" s="129"/>
      <c r="T1368" s="129"/>
      <c r="U1368" s="129"/>
      <c r="V1368" s="129"/>
      <c r="W1368" s="107"/>
      <c r="X1368" s="105"/>
      <c r="Y1368" s="92">
        <f t="shared" si="126"/>
        <v>0</v>
      </c>
      <c r="Z1368" s="92">
        <f t="shared" si="127"/>
        <v>0</v>
      </c>
      <c r="AA1368" s="92">
        <f t="shared" si="128"/>
        <v>0</v>
      </c>
      <c r="AB1368" s="92">
        <f t="shared" si="129"/>
        <v>0</v>
      </c>
      <c r="AC1368" s="92"/>
      <c r="AD1368" s="92">
        <v>0</v>
      </c>
      <c r="AE1368" s="92">
        <f t="shared" si="130"/>
        <v>0</v>
      </c>
      <c r="AF1368" s="93">
        <v>0</v>
      </c>
      <c r="AG1368" s="105"/>
      <c r="AH1368" s="108"/>
      <c r="AI1368" s="109" t="s">
        <v>4336</v>
      </c>
      <c r="AJ1368" s="110" t="s">
        <v>4337</v>
      </c>
      <c r="AK1368" s="285"/>
      <c r="AL1368" s="284"/>
      <c r="AM1368" s="112" t="s">
        <v>3433</v>
      </c>
      <c r="AN1368" s="107"/>
      <c r="AO1368" s="107"/>
      <c r="AP1368" s="107"/>
      <c r="AQ1368" s="107"/>
      <c r="AR1368" s="107"/>
      <c r="AS1368" s="107"/>
      <c r="AT1368" s="107"/>
      <c r="AU1368" s="107"/>
      <c r="AV1368" s="107"/>
      <c r="AW1368" s="107"/>
      <c r="AX1368" s="107"/>
      <c r="AY1368" s="107"/>
      <c r="AZ1368" s="107"/>
      <c r="BA1368" s="107"/>
      <c r="BB1368" s="107"/>
      <c r="BC1368" s="107"/>
      <c r="BD1368" s="107"/>
      <c r="BE1368" s="107"/>
      <c r="BF1368" s="107"/>
      <c r="BG1368" s="107"/>
      <c r="BH1368" s="107"/>
      <c r="BI1368" s="107"/>
      <c r="BJ1368" s="107"/>
      <c r="BK1368" s="107"/>
      <c r="BL1368" s="107"/>
      <c r="BM1368" s="107"/>
      <c r="BN1368" s="107"/>
      <c r="BO1368" s="107"/>
      <c r="BP1368" s="107"/>
      <c r="BQ1368" s="107"/>
      <c r="BR1368" s="107"/>
      <c r="BS1368" s="107"/>
      <c r="BT1368" s="107"/>
      <c r="BU1368" s="107"/>
      <c r="BV1368" s="107"/>
      <c r="BW1368" s="107"/>
      <c r="BX1368" s="107"/>
      <c r="BY1368" s="107"/>
      <c r="BZ1368" s="107"/>
      <c r="CA1368" s="107"/>
      <c r="CB1368" s="107"/>
      <c r="CC1368" s="107"/>
      <c r="CD1368" s="107"/>
      <c r="CE1368" s="107"/>
      <c r="CF1368" s="107"/>
      <c r="CG1368" s="107"/>
      <c r="CH1368" s="107"/>
      <c r="CI1368" s="107"/>
      <c r="CJ1368" s="107"/>
      <c r="CK1368" s="107"/>
      <c r="CL1368" s="107"/>
      <c r="CM1368" s="107"/>
      <c r="CN1368" s="118"/>
      <c r="CO1368" s="119"/>
      <c r="CP1368" s="118"/>
      <c r="CQ1368" s="119"/>
      <c r="CR1368" s="118"/>
      <c r="CS1368" s="119"/>
      <c r="CT1368" s="113"/>
      <c r="CU1368" s="118"/>
      <c r="CV1368" s="99">
        <f t="shared" si="131"/>
        <v>0</v>
      </c>
      <c r="CW1368" s="118"/>
      <c r="CX1368" s="119"/>
      <c r="CY1368" s="119"/>
      <c r="CZ1368" s="119"/>
      <c r="DA1368" s="118"/>
      <c r="DB1368" s="119"/>
      <c r="DC1368" s="111"/>
      <c r="DD1368" s="119"/>
      <c r="DE1368" s="111"/>
      <c r="DF1368" s="46"/>
    </row>
    <row r="1369" spans="1:110" s="42" customFormat="1" x14ac:dyDescent="0.2">
      <c r="A1369" s="89">
        <v>40698</v>
      </c>
      <c r="B1369" s="106" t="s">
        <v>860</v>
      </c>
      <c r="C1369" s="106" t="s">
        <v>861</v>
      </c>
      <c r="D1369" s="90" t="s">
        <v>4264</v>
      </c>
      <c r="E1369" s="90" t="str">
        <f>VLOOKUP(B1369&amp;C1369,Divipola!$C$2:$F$1138,4,FALSE)</f>
        <v>50251</v>
      </c>
      <c r="F1369" s="90"/>
      <c r="G1369" s="279"/>
      <c r="H1369" s="279"/>
      <c r="I1369" s="279"/>
      <c r="J1369" s="101"/>
      <c r="K1369" s="101"/>
      <c r="L1369" s="101"/>
      <c r="M1369" s="101"/>
      <c r="N1369" s="129"/>
      <c r="O1369" s="129"/>
      <c r="P1369" s="129"/>
      <c r="Q1369" s="129"/>
      <c r="R1369" s="129"/>
      <c r="S1369" s="129"/>
      <c r="T1369" s="129"/>
      <c r="U1369" s="129"/>
      <c r="V1369" s="129"/>
      <c r="W1369" s="107"/>
      <c r="X1369" s="105"/>
      <c r="Y1369" s="92">
        <f t="shared" si="126"/>
        <v>0</v>
      </c>
      <c r="Z1369" s="92">
        <f t="shared" si="127"/>
        <v>0</v>
      </c>
      <c r="AA1369" s="92">
        <f t="shared" si="128"/>
        <v>0</v>
      </c>
      <c r="AB1369" s="92">
        <f t="shared" si="129"/>
        <v>0</v>
      </c>
      <c r="AC1369" s="92"/>
      <c r="AD1369" s="92">
        <v>0</v>
      </c>
      <c r="AE1369" s="92">
        <f t="shared" si="130"/>
        <v>0</v>
      </c>
      <c r="AF1369" s="93">
        <v>0</v>
      </c>
      <c r="AG1369" s="105"/>
      <c r="AH1369" s="108"/>
      <c r="AI1369" s="109" t="s">
        <v>4336</v>
      </c>
      <c r="AJ1369" s="110" t="s">
        <v>4337</v>
      </c>
      <c r="AK1369" s="133"/>
      <c r="AL1369" s="284"/>
      <c r="AM1369" s="112" t="s">
        <v>3530</v>
      </c>
      <c r="AN1369" s="107"/>
      <c r="AO1369" s="107"/>
      <c r="AP1369" s="107"/>
      <c r="AQ1369" s="107"/>
      <c r="AR1369" s="107"/>
      <c r="AS1369" s="107"/>
      <c r="AT1369" s="107"/>
      <c r="AU1369" s="107"/>
      <c r="AV1369" s="107"/>
      <c r="AW1369" s="107"/>
      <c r="AX1369" s="107"/>
      <c r="AY1369" s="107"/>
      <c r="AZ1369" s="107"/>
      <c r="BA1369" s="107"/>
      <c r="BB1369" s="107"/>
      <c r="BC1369" s="107"/>
      <c r="BD1369" s="107"/>
      <c r="BE1369" s="107"/>
      <c r="BF1369" s="107"/>
      <c r="BG1369" s="107"/>
      <c r="BH1369" s="107"/>
      <c r="BI1369" s="107"/>
      <c r="BJ1369" s="107"/>
      <c r="BK1369" s="107"/>
      <c r="BL1369" s="107"/>
      <c r="BM1369" s="107"/>
      <c r="BN1369" s="107"/>
      <c r="BO1369" s="107"/>
      <c r="BP1369" s="107"/>
      <c r="BQ1369" s="107"/>
      <c r="BR1369" s="107"/>
      <c r="BS1369" s="107"/>
      <c r="BT1369" s="107"/>
      <c r="BU1369" s="107"/>
      <c r="BV1369" s="107"/>
      <c r="BW1369" s="107"/>
      <c r="BX1369" s="107"/>
      <c r="BY1369" s="107"/>
      <c r="BZ1369" s="107"/>
      <c r="CA1369" s="107"/>
      <c r="CB1369" s="107"/>
      <c r="CC1369" s="107"/>
      <c r="CD1369" s="107"/>
      <c r="CE1369" s="107"/>
      <c r="CF1369" s="107"/>
      <c r="CG1369" s="107"/>
      <c r="CH1369" s="107"/>
      <c r="CI1369" s="107"/>
      <c r="CJ1369" s="107"/>
      <c r="CK1369" s="107"/>
      <c r="CL1369" s="107"/>
      <c r="CM1369" s="107"/>
      <c r="CN1369" s="118"/>
      <c r="CO1369" s="119"/>
      <c r="CP1369" s="118"/>
      <c r="CQ1369" s="119"/>
      <c r="CR1369" s="118"/>
      <c r="CS1369" s="119"/>
      <c r="CT1369" s="113"/>
      <c r="CU1369" s="118"/>
      <c r="CV1369" s="99">
        <f t="shared" si="131"/>
        <v>0</v>
      </c>
      <c r="CW1369" s="118"/>
      <c r="CX1369" s="119"/>
      <c r="CY1369" s="119"/>
      <c r="CZ1369" s="119"/>
      <c r="DA1369" s="118"/>
      <c r="DB1369" s="119"/>
      <c r="DC1369" s="111"/>
      <c r="DD1369" s="119"/>
      <c r="DE1369" s="111"/>
      <c r="DF1369" s="46"/>
    </row>
    <row r="1370" spans="1:110" s="42" customFormat="1" ht="36" x14ac:dyDescent="0.2">
      <c r="A1370" s="89">
        <v>40698</v>
      </c>
      <c r="B1370" s="106" t="s">
        <v>860</v>
      </c>
      <c r="C1370" s="106" t="s">
        <v>2859</v>
      </c>
      <c r="D1370" s="90" t="s">
        <v>4264</v>
      </c>
      <c r="E1370" s="90" t="str">
        <f>VLOOKUP(B1370&amp;C1370,Divipola!$C$2:$F$1138,4,FALSE)</f>
        <v>50001</v>
      </c>
      <c r="F1370" s="90"/>
      <c r="G1370" s="279"/>
      <c r="H1370" s="279"/>
      <c r="I1370" s="279"/>
      <c r="J1370" s="101">
        <v>200</v>
      </c>
      <c r="K1370" s="101">
        <v>40</v>
      </c>
      <c r="L1370" s="101"/>
      <c r="M1370" s="101"/>
      <c r="N1370" s="129"/>
      <c r="O1370" s="129"/>
      <c r="P1370" s="129"/>
      <c r="Q1370" s="129"/>
      <c r="R1370" s="129"/>
      <c r="S1370" s="129"/>
      <c r="T1370" s="129"/>
      <c r="U1370" s="129"/>
      <c r="V1370" s="129"/>
      <c r="W1370" s="107"/>
      <c r="X1370" s="105"/>
      <c r="Y1370" s="92">
        <f t="shared" si="126"/>
        <v>0</v>
      </c>
      <c r="Z1370" s="92">
        <f t="shared" si="127"/>
        <v>0</v>
      </c>
      <c r="AA1370" s="92">
        <f t="shared" si="128"/>
        <v>0</v>
      </c>
      <c r="AB1370" s="92">
        <f t="shared" si="129"/>
        <v>0</v>
      </c>
      <c r="AC1370" s="92"/>
      <c r="AD1370" s="92">
        <v>0</v>
      </c>
      <c r="AE1370" s="92">
        <f t="shared" si="130"/>
        <v>0</v>
      </c>
      <c r="AF1370" s="93">
        <v>0</v>
      </c>
      <c r="AG1370" s="105"/>
      <c r="AH1370" s="108"/>
      <c r="AI1370" s="102" t="s">
        <v>4336</v>
      </c>
      <c r="AJ1370" s="96" t="s">
        <v>4337</v>
      </c>
      <c r="AK1370" s="285"/>
      <c r="AL1370" s="284"/>
      <c r="AM1370" s="112" t="s">
        <v>3426</v>
      </c>
      <c r="AN1370" s="107"/>
      <c r="AO1370" s="107"/>
      <c r="AP1370" s="107"/>
      <c r="AQ1370" s="107"/>
      <c r="AR1370" s="107"/>
      <c r="AS1370" s="107"/>
      <c r="AT1370" s="107"/>
      <c r="AU1370" s="107"/>
      <c r="AV1370" s="107"/>
      <c r="AW1370" s="107"/>
      <c r="AX1370" s="107"/>
      <c r="AY1370" s="107"/>
      <c r="AZ1370" s="107"/>
      <c r="BA1370" s="107"/>
      <c r="BB1370" s="107"/>
      <c r="BC1370" s="107"/>
      <c r="BD1370" s="107"/>
      <c r="BE1370" s="107"/>
      <c r="BF1370" s="107"/>
      <c r="BG1370" s="107"/>
      <c r="BH1370" s="107"/>
      <c r="BI1370" s="107"/>
      <c r="BJ1370" s="107"/>
      <c r="BK1370" s="107"/>
      <c r="BL1370" s="107"/>
      <c r="BM1370" s="107"/>
      <c r="BN1370" s="107"/>
      <c r="BO1370" s="107"/>
      <c r="BP1370" s="107"/>
      <c r="BQ1370" s="107"/>
      <c r="BR1370" s="107"/>
      <c r="BS1370" s="107"/>
      <c r="BT1370" s="107"/>
      <c r="BU1370" s="107"/>
      <c r="BV1370" s="107"/>
      <c r="BW1370" s="107"/>
      <c r="BX1370" s="107"/>
      <c r="BY1370" s="107"/>
      <c r="BZ1370" s="107"/>
      <c r="CA1370" s="107"/>
      <c r="CB1370" s="107"/>
      <c r="CC1370" s="107"/>
      <c r="CD1370" s="107"/>
      <c r="CE1370" s="107"/>
      <c r="CF1370" s="107"/>
      <c r="CG1370" s="107"/>
      <c r="CH1370" s="107"/>
      <c r="CI1370" s="107"/>
      <c r="CJ1370" s="107"/>
      <c r="CK1370" s="107"/>
      <c r="CL1370" s="107"/>
      <c r="CM1370" s="107"/>
      <c r="CN1370" s="118"/>
      <c r="CO1370" s="119"/>
      <c r="CP1370" s="118"/>
      <c r="CQ1370" s="119"/>
      <c r="CR1370" s="118"/>
      <c r="CS1370" s="119"/>
      <c r="CT1370" s="113"/>
      <c r="CU1370" s="118"/>
      <c r="CV1370" s="99">
        <f t="shared" si="131"/>
        <v>0</v>
      </c>
      <c r="CW1370" s="118"/>
      <c r="CX1370" s="119"/>
      <c r="CY1370" s="119"/>
      <c r="CZ1370" s="119"/>
      <c r="DA1370" s="118"/>
      <c r="DB1370" s="119"/>
      <c r="DC1370" s="111"/>
      <c r="DD1370" s="119"/>
      <c r="DE1370" s="111"/>
      <c r="DF1370" s="46"/>
    </row>
    <row r="1371" spans="1:110" s="42" customFormat="1" ht="36" x14ac:dyDescent="0.2">
      <c r="A1371" s="89">
        <v>40698</v>
      </c>
      <c r="B1371" s="106" t="s">
        <v>4348</v>
      </c>
      <c r="C1371" s="106" t="s">
        <v>3338</v>
      </c>
      <c r="D1371" s="90" t="s">
        <v>3346</v>
      </c>
      <c r="E1371" s="90" t="str">
        <f>VLOOKUP(B1371&amp;C1371,Divipola!$C$2:$F$1138,4,FALSE)</f>
        <v>66088</v>
      </c>
      <c r="F1371" s="90"/>
      <c r="G1371" s="129"/>
      <c r="H1371" s="129"/>
      <c r="I1371" s="129"/>
      <c r="J1371" s="129">
        <v>205</v>
      </c>
      <c r="K1371" s="129">
        <v>41</v>
      </c>
      <c r="L1371" s="129"/>
      <c r="M1371" s="129">
        <v>41</v>
      </c>
      <c r="N1371" s="129"/>
      <c r="O1371" s="129"/>
      <c r="P1371" s="129"/>
      <c r="Q1371" s="129"/>
      <c r="R1371" s="129"/>
      <c r="S1371" s="129"/>
      <c r="T1371" s="129"/>
      <c r="U1371" s="129"/>
      <c r="V1371" s="129"/>
      <c r="W1371" s="107"/>
      <c r="X1371" s="105"/>
      <c r="Y1371" s="92">
        <f t="shared" si="126"/>
        <v>0</v>
      </c>
      <c r="Z1371" s="92">
        <f t="shared" si="127"/>
        <v>0</v>
      </c>
      <c r="AA1371" s="92">
        <f t="shared" si="128"/>
        <v>0</v>
      </c>
      <c r="AB1371" s="92">
        <f t="shared" si="129"/>
        <v>0</v>
      </c>
      <c r="AC1371" s="92"/>
      <c r="AD1371" s="92">
        <v>0</v>
      </c>
      <c r="AE1371" s="92">
        <f t="shared" si="130"/>
        <v>0</v>
      </c>
      <c r="AF1371" s="93">
        <v>0</v>
      </c>
      <c r="AG1371" s="105"/>
      <c r="AH1371" s="108"/>
      <c r="AI1371" s="109" t="s">
        <v>4336</v>
      </c>
      <c r="AJ1371" s="110" t="s">
        <v>4337</v>
      </c>
      <c r="AK1371" s="133"/>
      <c r="AL1371" s="284"/>
      <c r="AM1371" s="112" t="s">
        <v>3429</v>
      </c>
      <c r="AN1371" s="107"/>
      <c r="AO1371" s="107"/>
      <c r="AP1371" s="107"/>
      <c r="AQ1371" s="107"/>
      <c r="AR1371" s="107"/>
      <c r="AS1371" s="107"/>
      <c r="AT1371" s="107"/>
      <c r="AU1371" s="107"/>
      <c r="AV1371" s="107"/>
      <c r="AW1371" s="107"/>
      <c r="AX1371" s="107"/>
      <c r="AY1371" s="107"/>
      <c r="AZ1371" s="107"/>
      <c r="BA1371" s="107"/>
      <c r="BB1371" s="107"/>
      <c r="BC1371" s="107"/>
      <c r="BD1371" s="107"/>
      <c r="BE1371" s="107"/>
      <c r="BF1371" s="107"/>
      <c r="BG1371" s="107"/>
      <c r="BH1371" s="107"/>
      <c r="BI1371" s="107"/>
      <c r="BJ1371" s="107"/>
      <c r="BK1371" s="107"/>
      <c r="BL1371" s="107"/>
      <c r="BM1371" s="107"/>
      <c r="BN1371" s="107"/>
      <c r="BO1371" s="107"/>
      <c r="BP1371" s="107"/>
      <c r="BQ1371" s="107"/>
      <c r="BR1371" s="107"/>
      <c r="BS1371" s="107"/>
      <c r="BT1371" s="107"/>
      <c r="BU1371" s="107"/>
      <c r="BV1371" s="107"/>
      <c r="BW1371" s="107"/>
      <c r="BX1371" s="107"/>
      <c r="BY1371" s="107"/>
      <c r="BZ1371" s="107"/>
      <c r="CA1371" s="107"/>
      <c r="CB1371" s="107"/>
      <c r="CC1371" s="107"/>
      <c r="CD1371" s="107"/>
      <c r="CE1371" s="107"/>
      <c r="CF1371" s="107"/>
      <c r="CG1371" s="107"/>
      <c r="CH1371" s="107"/>
      <c r="CI1371" s="107"/>
      <c r="CJ1371" s="107"/>
      <c r="CK1371" s="107"/>
      <c r="CL1371" s="107"/>
      <c r="CM1371" s="107"/>
      <c r="CN1371" s="118"/>
      <c r="CO1371" s="119"/>
      <c r="CP1371" s="118"/>
      <c r="CQ1371" s="119"/>
      <c r="CR1371" s="118"/>
      <c r="CS1371" s="119"/>
      <c r="CT1371" s="113"/>
      <c r="CU1371" s="118"/>
      <c r="CV1371" s="99">
        <f t="shared" si="131"/>
        <v>0</v>
      </c>
      <c r="CW1371" s="118"/>
      <c r="CX1371" s="119"/>
      <c r="CY1371" s="119"/>
      <c r="CZ1371" s="119"/>
      <c r="DA1371" s="118"/>
      <c r="DB1371" s="119"/>
      <c r="DC1371" s="111"/>
      <c r="DD1371" s="119"/>
      <c r="DE1371" s="111"/>
      <c r="DF1371" s="46"/>
    </row>
    <row r="1372" spans="1:110" s="42" customFormat="1" x14ac:dyDescent="0.2">
      <c r="A1372" s="89">
        <v>40698</v>
      </c>
      <c r="B1372" s="106" t="s">
        <v>4348</v>
      </c>
      <c r="C1372" s="106" t="s">
        <v>1957</v>
      </c>
      <c r="D1372" s="90" t="s">
        <v>2860</v>
      </c>
      <c r="E1372" s="90" t="str">
        <f>VLOOKUP(B1372&amp;C1372,Divipola!$C$2:$F$1138,4,FALSE)</f>
        <v>66572</v>
      </c>
      <c r="F1372" s="90"/>
      <c r="G1372" s="129"/>
      <c r="H1372" s="129"/>
      <c r="I1372" s="129"/>
      <c r="J1372" s="129">
        <v>40</v>
      </c>
      <c r="K1372" s="129">
        <v>9</v>
      </c>
      <c r="L1372" s="129">
        <v>4</v>
      </c>
      <c r="M1372" s="129">
        <v>5</v>
      </c>
      <c r="N1372" s="129"/>
      <c r="O1372" s="129"/>
      <c r="P1372" s="129"/>
      <c r="Q1372" s="129"/>
      <c r="R1372" s="129"/>
      <c r="S1372" s="129"/>
      <c r="T1372" s="129"/>
      <c r="U1372" s="129"/>
      <c r="V1372" s="129"/>
      <c r="W1372" s="107"/>
      <c r="X1372" s="105"/>
      <c r="Y1372" s="92">
        <f t="shared" si="126"/>
        <v>0</v>
      </c>
      <c r="Z1372" s="92">
        <f t="shared" si="127"/>
        <v>0</v>
      </c>
      <c r="AA1372" s="92">
        <f t="shared" si="128"/>
        <v>0</v>
      </c>
      <c r="AB1372" s="92">
        <f t="shared" si="129"/>
        <v>0</v>
      </c>
      <c r="AC1372" s="92"/>
      <c r="AD1372" s="92">
        <v>0</v>
      </c>
      <c r="AE1372" s="92">
        <f t="shared" si="130"/>
        <v>0</v>
      </c>
      <c r="AF1372" s="93">
        <v>0</v>
      </c>
      <c r="AG1372" s="105"/>
      <c r="AH1372" s="108"/>
      <c r="AI1372" s="109" t="s">
        <v>4336</v>
      </c>
      <c r="AJ1372" s="110" t="s">
        <v>4337</v>
      </c>
      <c r="AK1372" s="133"/>
      <c r="AL1372" s="284"/>
      <c r="AM1372" s="112" t="s">
        <v>3430</v>
      </c>
      <c r="AN1372" s="107"/>
      <c r="AO1372" s="107"/>
      <c r="AP1372" s="107"/>
      <c r="AQ1372" s="107"/>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7"/>
      <c r="BL1372" s="107"/>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7"/>
      <c r="CG1372" s="107"/>
      <c r="CH1372" s="107"/>
      <c r="CI1372" s="107"/>
      <c r="CJ1372" s="107"/>
      <c r="CK1372" s="107"/>
      <c r="CL1372" s="107"/>
      <c r="CM1372" s="107"/>
      <c r="CN1372" s="118"/>
      <c r="CO1372" s="119"/>
      <c r="CP1372" s="118"/>
      <c r="CQ1372" s="119"/>
      <c r="CR1372" s="118"/>
      <c r="CS1372" s="119"/>
      <c r="CT1372" s="113"/>
      <c r="CU1372" s="118"/>
      <c r="CV1372" s="99">
        <f t="shared" si="131"/>
        <v>0</v>
      </c>
      <c r="CW1372" s="118"/>
      <c r="CX1372" s="119"/>
      <c r="CY1372" s="119"/>
      <c r="CZ1372" s="119"/>
      <c r="DA1372" s="118"/>
      <c r="DB1372" s="119"/>
      <c r="DC1372" s="111"/>
      <c r="DD1372" s="119"/>
      <c r="DE1372" s="111"/>
      <c r="DF1372" s="46"/>
    </row>
    <row r="1373" spans="1:110" s="42" customFormat="1" x14ac:dyDescent="0.2">
      <c r="A1373" s="89">
        <v>40698</v>
      </c>
      <c r="B1373" s="106" t="s">
        <v>3316</v>
      </c>
      <c r="C1373" s="106" t="s">
        <v>2285</v>
      </c>
      <c r="D1373" s="90" t="s">
        <v>2362</v>
      </c>
      <c r="E1373" s="90" t="str">
        <f>VLOOKUP(B1373&amp;C1373,Divipola!$C$2:$F$1138,4,FALSE)</f>
        <v>73168</v>
      </c>
      <c r="F1373" s="90"/>
      <c r="G1373" s="129"/>
      <c r="H1373" s="129"/>
      <c r="I1373" s="129"/>
      <c r="J1373" s="129"/>
      <c r="K1373" s="129"/>
      <c r="L1373" s="129"/>
      <c r="M1373" s="129"/>
      <c r="N1373" s="129"/>
      <c r="O1373" s="129"/>
      <c r="P1373" s="129"/>
      <c r="Q1373" s="129">
        <v>1</v>
      </c>
      <c r="R1373" s="129"/>
      <c r="S1373" s="129"/>
      <c r="T1373" s="129"/>
      <c r="U1373" s="129"/>
      <c r="V1373" s="129"/>
      <c r="W1373" s="107"/>
      <c r="X1373" s="105"/>
      <c r="Y1373" s="92">
        <f t="shared" si="126"/>
        <v>0</v>
      </c>
      <c r="Z1373" s="92">
        <f t="shared" si="127"/>
        <v>0</v>
      </c>
      <c r="AA1373" s="92">
        <f t="shared" si="128"/>
        <v>0</v>
      </c>
      <c r="AB1373" s="92">
        <f t="shared" si="129"/>
        <v>0</v>
      </c>
      <c r="AC1373" s="92"/>
      <c r="AD1373" s="92">
        <v>0</v>
      </c>
      <c r="AE1373" s="92">
        <f t="shared" si="130"/>
        <v>0</v>
      </c>
      <c r="AF1373" s="93">
        <v>0</v>
      </c>
      <c r="AG1373" s="105"/>
      <c r="AH1373" s="108"/>
      <c r="AI1373" s="109" t="s">
        <v>4336</v>
      </c>
      <c r="AJ1373" s="110" t="s">
        <v>4337</v>
      </c>
      <c r="AK1373" s="111"/>
      <c r="AL1373" s="105"/>
      <c r="AM1373" s="112"/>
      <c r="AN1373" s="107"/>
      <c r="AO1373" s="107"/>
      <c r="AP1373" s="107"/>
      <c r="AQ1373" s="107"/>
      <c r="AR1373" s="107"/>
      <c r="AS1373" s="107"/>
      <c r="AT1373" s="107"/>
      <c r="AU1373" s="107"/>
      <c r="AV1373" s="107"/>
      <c r="AW1373" s="107"/>
      <c r="AX1373" s="107"/>
      <c r="AY1373" s="107"/>
      <c r="AZ1373" s="107"/>
      <c r="BA1373" s="107"/>
      <c r="BB1373" s="107"/>
      <c r="BC1373" s="107"/>
      <c r="BD1373" s="107"/>
      <c r="BE1373" s="107"/>
      <c r="BF1373" s="107"/>
      <c r="BG1373" s="107"/>
      <c r="BH1373" s="107"/>
      <c r="BI1373" s="107"/>
      <c r="BJ1373" s="107"/>
      <c r="BK1373" s="107"/>
      <c r="BL1373" s="107"/>
      <c r="BM1373" s="107"/>
      <c r="BN1373" s="107"/>
      <c r="BO1373" s="107"/>
      <c r="BP1373" s="107"/>
      <c r="BQ1373" s="107"/>
      <c r="BR1373" s="107"/>
      <c r="BS1373" s="107"/>
      <c r="BT1373" s="107"/>
      <c r="BU1373" s="107"/>
      <c r="BV1373" s="107"/>
      <c r="BW1373" s="107"/>
      <c r="BX1373" s="107"/>
      <c r="BY1373" s="107"/>
      <c r="BZ1373" s="107"/>
      <c r="CA1373" s="107"/>
      <c r="CB1373" s="107"/>
      <c r="CC1373" s="107"/>
      <c r="CD1373" s="107"/>
      <c r="CE1373" s="107"/>
      <c r="CF1373" s="107"/>
      <c r="CG1373" s="107"/>
      <c r="CH1373" s="107"/>
      <c r="CI1373" s="107"/>
      <c r="CJ1373" s="107"/>
      <c r="CK1373" s="107"/>
      <c r="CL1373" s="107"/>
      <c r="CM1373" s="107"/>
      <c r="CN1373" s="118"/>
      <c r="CO1373" s="119"/>
      <c r="CP1373" s="118"/>
      <c r="CQ1373" s="119"/>
      <c r="CR1373" s="118"/>
      <c r="CS1373" s="119"/>
      <c r="CT1373" s="113"/>
      <c r="CU1373" s="118"/>
      <c r="CV1373" s="99">
        <f t="shared" si="131"/>
        <v>0</v>
      </c>
      <c r="CW1373" s="118"/>
      <c r="CX1373" s="119"/>
      <c r="CY1373" s="119"/>
      <c r="CZ1373" s="119"/>
      <c r="DA1373" s="118"/>
      <c r="DB1373" s="119"/>
      <c r="DC1373" s="111"/>
      <c r="DD1373" s="119"/>
      <c r="DE1373" s="111"/>
      <c r="DF1373" s="46"/>
    </row>
    <row r="1374" spans="1:110" s="42" customFormat="1" ht="36" x14ac:dyDescent="0.2">
      <c r="A1374" s="89">
        <v>40699</v>
      </c>
      <c r="B1374" s="106" t="s">
        <v>2218</v>
      </c>
      <c r="C1374" s="106" t="s">
        <v>3244</v>
      </c>
      <c r="D1374" s="90" t="s">
        <v>4264</v>
      </c>
      <c r="E1374" s="90" t="str">
        <f>VLOOKUP(B1374&amp;C1374,Divipola!$C$2:$F$1138,4,FALSE)</f>
        <v>05360</v>
      </c>
      <c r="F1374" s="90"/>
      <c r="G1374" s="129"/>
      <c r="H1374" s="279"/>
      <c r="I1374" s="279"/>
      <c r="J1374" s="129">
        <v>585</v>
      </c>
      <c r="K1374" s="129">
        <v>131</v>
      </c>
      <c r="L1374" s="129">
        <v>1</v>
      </c>
      <c r="M1374" s="129">
        <v>130</v>
      </c>
      <c r="N1374" s="129"/>
      <c r="O1374" s="129"/>
      <c r="P1374" s="129"/>
      <c r="Q1374" s="129"/>
      <c r="R1374" s="129"/>
      <c r="S1374" s="129"/>
      <c r="T1374" s="129"/>
      <c r="U1374" s="129"/>
      <c r="V1374" s="129"/>
      <c r="W1374" s="107"/>
      <c r="X1374" s="105"/>
      <c r="Y1374" s="92">
        <f t="shared" ref="Y1374:Y1437" si="132">CV1374</f>
        <v>0</v>
      </c>
      <c r="Z1374" s="92">
        <f t="shared" ref="Z1374:Z1437" si="133">CZ1374</f>
        <v>0</v>
      </c>
      <c r="AA1374" s="92">
        <f t="shared" ref="AA1374:AA1437" si="134">DB1374+DD1374</f>
        <v>0</v>
      </c>
      <c r="AB1374" s="92">
        <f t="shared" ref="AB1374:AB1437" si="135">CX1374</f>
        <v>0</v>
      </c>
      <c r="AC1374" s="92"/>
      <c r="AD1374" s="92">
        <v>0</v>
      </c>
      <c r="AE1374" s="92">
        <f t="shared" ref="AE1374:AE1437" si="136">Y1374+Z1374+AA1374+AB1374+AC1374+AD1374</f>
        <v>0</v>
      </c>
      <c r="AF1374" s="93">
        <v>0</v>
      </c>
      <c r="AG1374" s="105"/>
      <c r="AH1374" s="108"/>
      <c r="AI1374" s="109" t="s">
        <v>4336</v>
      </c>
      <c r="AJ1374" s="110" t="s">
        <v>4337</v>
      </c>
      <c r="AK1374" s="280"/>
      <c r="AL1374" s="281"/>
      <c r="AM1374" s="112" t="s">
        <v>2118</v>
      </c>
      <c r="AN1374" s="107"/>
      <c r="AO1374" s="107"/>
      <c r="AP1374" s="107"/>
      <c r="AQ1374" s="107"/>
      <c r="AR1374" s="107"/>
      <c r="AS1374" s="107"/>
      <c r="AT1374" s="107"/>
      <c r="AU1374" s="107"/>
      <c r="AV1374" s="107"/>
      <c r="AW1374" s="107"/>
      <c r="AX1374" s="107"/>
      <c r="AY1374" s="107"/>
      <c r="AZ1374" s="107"/>
      <c r="BA1374" s="107"/>
      <c r="BB1374" s="107"/>
      <c r="BC1374" s="107"/>
      <c r="BD1374" s="107"/>
      <c r="BE1374" s="107"/>
      <c r="BF1374" s="107"/>
      <c r="BG1374" s="107"/>
      <c r="BH1374" s="107"/>
      <c r="BI1374" s="107"/>
      <c r="BJ1374" s="107"/>
      <c r="BK1374" s="107"/>
      <c r="BL1374" s="107"/>
      <c r="BM1374" s="107"/>
      <c r="BN1374" s="107"/>
      <c r="BO1374" s="107"/>
      <c r="BP1374" s="107"/>
      <c r="BQ1374" s="107"/>
      <c r="BR1374" s="107"/>
      <c r="BS1374" s="107"/>
      <c r="BT1374" s="107"/>
      <c r="BU1374" s="107"/>
      <c r="BV1374" s="107"/>
      <c r="BW1374" s="107"/>
      <c r="BX1374" s="107"/>
      <c r="BY1374" s="107"/>
      <c r="BZ1374" s="107"/>
      <c r="CA1374" s="107"/>
      <c r="CB1374" s="107"/>
      <c r="CC1374" s="107"/>
      <c r="CD1374" s="107"/>
      <c r="CE1374" s="107"/>
      <c r="CF1374" s="107"/>
      <c r="CG1374" s="107"/>
      <c r="CH1374" s="107"/>
      <c r="CI1374" s="107"/>
      <c r="CJ1374" s="107"/>
      <c r="CK1374" s="107"/>
      <c r="CL1374" s="107"/>
      <c r="CM1374" s="107"/>
      <c r="CN1374" s="118"/>
      <c r="CO1374" s="119"/>
      <c r="CP1374" s="118"/>
      <c r="CQ1374" s="119"/>
      <c r="CR1374" s="118"/>
      <c r="CS1374" s="119"/>
      <c r="CT1374" s="113"/>
      <c r="CU1374" s="118"/>
      <c r="CV1374" s="99">
        <f t="shared" si="131"/>
        <v>0</v>
      </c>
      <c r="CW1374" s="118"/>
      <c r="CX1374" s="119"/>
      <c r="CY1374" s="119"/>
      <c r="CZ1374" s="119"/>
      <c r="DA1374" s="118"/>
      <c r="DB1374" s="119"/>
      <c r="DC1374" s="111"/>
      <c r="DD1374" s="119"/>
      <c r="DE1374" s="111"/>
      <c r="DF1374" s="46"/>
    </row>
    <row r="1375" spans="1:110" s="42" customFormat="1" ht="36" x14ac:dyDescent="0.2">
      <c r="A1375" s="89">
        <v>40699</v>
      </c>
      <c r="B1375" s="106" t="s">
        <v>2218</v>
      </c>
      <c r="C1375" s="106" t="s">
        <v>3297</v>
      </c>
      <c r="D1375" s="90" t="s">
        <v>4264</v>
      </c>
      <c r="E1375" s="90" t="str">
        <f>VLOOKUP(B1375&amp;C1375,Divipola!$C$2:$F$1138,4,FALSE)</f>
        <v>05001</v>
      </c>
      <c r="F1375" s="90"/>
      <c r="G1375" s="279"/>
      <c r="H1375" s="279"/>
      <c r="I1375" s="279"/>
      <c r="J1375" s="129">
        <v>200</v>
      </c>
      <c r="K1375" s="129">
        <v>40</v>
      </c>
      <c r="L1375" s="129"/>
      <c r="M1375" s="129">
        <v>40</v>
      </c>
      <c r="N1375" s="129"/>
      <c r="O1375" s="129"/>
      <c r="P1375" s="129"/>
      <c r="Q1375" s="129"/>
      <c r="R1375" s="129"/>
      <c r="S1375" s="129"/>
      <c r="T1375" s="129"/>
      <c r="U1375" s="129"/>
      <c r="V1375" s="129"/>
      <c r="W1375" s="107"/>
      <c r="X1375" s="105"/>
      <c r="Y1375" s="92">
        <f t="shared" si="132"/>
        <v>0</v>
      </c>
      <c r="Z1375" s="92">
        <f t="shared" si="133"/>
        <v>0</v>
      </c>
      <c r="AA1375" s="92">
        <f t="shared" si="134"/>
        <v>0</v>
      </c>
      <c r="AB1375" s="92">
        <f t="shared" si="135"/>
        <v>0</v>
      </c>
      <c r="AC1375" s="92"/>
      <c r="AD1375" s="92">
        <v>0</v>
      </c>
      <c r="AE1375" s="92">
        <f t="shared" si="136"/>
        <v>0</v>
      </c>
      <c r="AF1375" s="93">
        <v>0</v>
      </c>
      <c r="AG1375" s="105"/>
      <c r="AH1375" s="108"/>
      <c r="AI1375" s="109" t="s">
        <v>4336</v>
      </c>
      <c r="AJ1375" s="110" t="s">
        <v>4337</v>
      </c>
      <c r="AK1375" s="131"/>
      <c r="AL1375" s="281"/>
      <c r="AM1375" s="112" t="s">
        <v>2103</v>
      </c>
      <c r="AN1375" s="107"/>
      <c r="AO1375" s="107"/>
      <c r="AP1375" s="107"/>
      <c r="AQ1375" s="107"/>
      <c r="AR1375" s="107"/>
      <c r="AS1375" s="107"/>
      <c r="AT1375" s="107"/>
      <c r="AU1375" s="107"/>
      <c r="AV1375" s="107"/>
      <c r="AW1375" s="107"/>
      <c r="AX1375" s="107"/>
      <c r="AY1375" s="107"/>
      <c r="AZ1375" s="107"/>
      <c r="BA1375" s="107"/>
      <c r="BB1375" s="107"/>
      <c r="BC1375" s="107"/>
      <c r="BD1375" s="107"/>
      <c r="BE1375" s="107"/>
      <c r="BF1375" s="107"/>
      <c r="BG1375" s="107"/>
      <c r="BH1375" s="107"/>
      <c r="BI1375" s="107"/>
      <c r="BJ1375" s="107"/>
      <c r="BK1375" s="107"/>
      <c r="BL1375" s="107"/>
      <c r="BM1375" s="107"/>
      <c r="BN1375" s="107"/>
      <c r="BO1375" s="107"/>
      <c r="BP1375" s="107"/>
      <c r="BQ1375" s="107"/>
      <c r="BR1375" s="107"/>
      <c r="BS1375" s="107"/>
      <c r="BT1375" s="107"/>
      <c r="BU1375" s="107"/>
      <c r="BV1375" s="107"/>
      <c r="BW1375" s="107"/>
      <c r="BX1375" s="107"/>
      <c r="BY1375" s="107"/>
      <c r="BZ1375" s="107"/>
      <c r="CA1375" s="107"/>
      <c r="CB1375" s="107"/>
      <c r="CC1375" s="107"/>
      <c r="CD1375" s="107"/>
      <c r="CE1375" s="107"/>
      <c r="CF1375" s="107"/>
      <c r="CG1375" s="107"/>
      <c r="CH1375" s="107"/>
      <c r="CI1375" s="107"/>
      <c r="CJ1375" s="107"/>
      <c r="CK1375" s="107"/>
      <c r="CL1375" s="107"/>
      <c r="CM1375" s="107"/>
      <c r="CN1375" s="118"/>
      <c r="CO1375" s="119"/>
      <c r="CP1375" s="118"/>
      <c r="CQ1375" s="119"/>
      <c r="CR1375" s="118"/>
      <c r="CS1375" s="119"/>
      <c r="CT1375" s="113"/>
      <c r="CU1375" s="118"/>
      <c r="CV1375" s="99">
        <f t="shared" si="131"/>
        <v>0</v>
      </c>
      <c r="CW1375" s="118"/>
      <c r="CX1375" s="119"/>
      <c r="CY1375" s="119"/>
      <c r="CZ1375" s="119"/>
      <c r="DA1375" s="118"/>
      <c r="DB1375" s="119"/>
      <c r="DC1375" s="111"/>
      <c r="DD1375" s="119"/>
      <c r="DE1375" s="111"/>
      <c r="DF1375" s="46"/>
    </row>
    <row r="1376" spans="1:110" s="42" customFormat="1" ht="24" x14ac:dyDescent="0.2">
      <c r="A1376" s="89">
        <v>40699</v>
      </c>
      <c r="B1376" s="106" t="s">
        <v>4352</v>
      </c>
      <c r="C1376" s="106" t="s">
        <v>2552</v>
      </c>
      <c r="D1376" s="90" t="s">
        <v>2362</v>
      </c>
      <c r="E1376" s="90" t="str">
        <f>VLOOKUP(B1376&amp;C1376,Divipola!$C$2:$F$1138,4,FALSE)</f>
        <v>13688</v>
      </c>
      <c r="F1376" s="90"/>
      <c r="G1376" s="129">
        <v>2</v>
      </c>
      <c r="H1376" s="129"/>
      <c r="I1376" s="129">
        <v>1</v>
      </c>
      <c r="J1376" s="129">
        <v>8</v>
      </c>
      <c r="K1376" s="129">
        <v>2</v>
      </c>
      <c r="L1376" s="129">
        <v>2</v>
      </c>
      <c r="M1376" s="279"/>
      <c r="N1376" s="129"/>
      <c r="O1376" s="129"/>
      <c r="P1376" s="129"/>
      <c r="Q1376" s="129"/>
      <c r="R1376" s="129"/>
      <c r="S1376" s="129"/>
      <c r="T1376" s="129"/>
      <c r="U1376" s="129"/>
      <c r="V1376" s="129"/>
      <c r="W1376" s="107"/>
      <c r="X1376" s="105"/>
      <c r="Y1376" s="92">
        <f t="shared" si="132"/>
        <v>0</v>
      </c>
      <c r="Z1376" s="92">
        <f t="shared" si="133"/>
        <v>0</v>
      </c>
      <c r="AA1376" s="92">
        <f t="shared" si="134"/>
        <v>0</v>
      </c>
      <c r="AB1376" s="92">
        <f t="shared" si="135"/>
        <v>0</v>
      </c>
      <c r="AC1376" s="92"/>
      <c r="AD1376" s="92">
        <v>0</v>
      </c>
      <c r="AE1376" s="92">
        <f t="shared" si="136"/>
        <v>0</v>
      </c>
      <c r="AF1376" s="93">
        <v>0</v>
      </c>
      <c r="AG1376" s="105"/>
      <c r="AH1376" s="108"/>
      <c r="AI1376" s="102" t="s">
        <v>4336</v>
      </c>
      <c r="AJ1376" s="96" t="s">
        <v>4337</v>
      </c>
      <c r="AK1376" s="280"/>
      <c r="AL1376" s="281"/>
      <c r="AM1376" s="112" t="s">
        <v>2124</v>
      </c>
      <c r="AN1376" s="107"/>
      <c r="AO1376" s="107"/>
      <c r="AP1376" s="107"/>
      <c r="AQ1376" s="107"/>
      <c r="AR1376" s="107"/>
      <c r="AS1376" s="107"/>
      <c r="AT1376" s="107"/>
      <c r="AU1376" s="107"/>
      <c r="AV1376" s="107"/>
      <c r="AW1376" s="107"/>
      <c r="AX1376" s="107"/>
      <c r="AY1376" s="107"/>
      <c r="AZ1376" s="107"/>
      <c r="BA1376" s="107"/>
      <c r="BB1376" s="107"/>
      <c r="BC1376" s="107"/>
      <c r="BD1376" s="107"/>
      <c r="BE1376" s="107"/>
      <c r="BF1376" s="107"/>
      <c r="BG1376" s="107"/>
      <c r="BH1376" s="107"/>
      <c r="BI1376" s="107"/>
      <c r="BJ1376" s="107"/>
      <c r="BK1376" s="107"/>
      <c r="BL1376" s="107"/>
      <c r="BM1376" s="107"/>
      <c r="BN1376" s="107"/>
      <c r="BO1376" s="107"/>
      <c r="BP1376" s="107"/>
      <c r="BQ1376" s="107"/>
      <c r="BR1376" s="107"/>
      <c r="BS1376" s="107"/>
      <c r="BT1376" s="107"/>
      <c r="BU1376" s="107"/>
      <c r="BV1376" s="107"/>
      <c r="BW1376" s="107"/>
      <c r="BX1376" s="107"/>
      <c r="BY1376" s="107"/>
      <c r="BZ1376" s="107"/>
      <c r="CA1376" s="107"/>
      <c r="CB1376" s="107"/>
      <c r="CC1376" s="107"/>
      <c r="CD1376" s="107"/>
      <c r="CE1376" s="107"/>
      <c r="CF1376" s="107"/>
      <c r="CG1376" s="107"/>
      <c r="CH1376" s="107"/>
      <c r="CI1376" s="107"/>
      <c r="CJ1376" s="107"/>
      <c r="CK1376" s="107"/>
      <c r="CL1376" s="107"/>
      <c r="CM1376" s="107"/>
      <c r="CN1376" s="118"/>
      <c r="CO1376" s="119"/>
      <c r="CP1376" s="118"/>
      <c r="CQ1376" s="119"/>
      <c r="CR1376" s="118"/>
      <c r="CS1376" s="119"/>
      <c r="CT1376" s="113"/>
      <c r="CU1376" s="118"/>
      <c r="CV1376" s="99">
        <f t="shared" si="131"/>
        <v>0</v>
      </c>
      <c r="CW1376" s="118"/>
      <c r="CX1376" s="119"/>
      <c r="CY1376" s="119"/>
      <c r="CZ1376" s="119"/>
      <c r="DA1376" s="118"/>
      <c r="DB1376" s="119"/>
      <c r="DC1376" s="111"/>
      <c r="DD1376" s="119"/>
      <c r="DE1376" s="111"/>
      <c r="DF1376" s="46"/>
    </row>
    <row r="1377" spans="1:255" s="42" customFormat="1" x14ac:dyDescent="0.2">
      <c r="A1377" s="89">
        <v>40699</v>
      </c>
      <c r="B1377" s="106" t="s">
        <v>4261</v>
      </c>
      <c r="C1377" s="106" t="s">
        <v>1372</v>
      </c>
      <c r="D1377" s="90" t="s">
        <v>2362</v>
      </c>
      <c r="E1377" s="90" t="str">
        <f>VLOOKUP(B1377&amp;C1377,Divipola!$C$2:$F$1138,4,FALSE)</f>
        <v>15879</v>
      </c>
      <c r="F1377" s="90"/>
      <c r="G1377" s="279"/>
      <c r="H1377" s="279"/>
      <c r="I1377" s="279"/>
      <c r="J1377" s="129">
        <v>50</v>
      </c>
      <c r="K1377" s="129">
        <v>10</v>
      </c>
      <c r="L1377" s="129">
        <v>10</v>
      </c>
      <c r="M1377" s="129"/>
      <c r="N1377" s="129"/>
      <c r="O1377" s="129"/>
      <c r="P1377" s="129"/>
      <c r="Q1377" s="129"/>
      <c r="R1377" s="129"/>
      <c r="S1377" s="129"/>
      <c r="T1377" s="129"/>
      <c r="U1377" s="129"/>
      <c r="V1377" s="129"/>
      <c r="W1377" s="107"/>
      <c r="X1377" s="105"/>
      <c r="Y1377" s="92">
        <f t="shared" si="132"/>
        <v>0</v>
      </c>
      <c r="Z1377" s="92">
        <f t="shared" si="133"/>
        <v>0</v>
      </c>
      <c r="AA1377" s="92">
        <f t="shared" si="134"/>
        <v>0</v>
      </c>
      <c r="AB1377" s="92">
        <f t="shared" si="135"/>
        <v>0</v>
      </c>
      <c r="AC1377" s="92"/>
      <c r="AD1377" s="92">
        <v>0</v>
      </c>
      <c r="AE1377" s="92">
        <f t="shared" si="136"/>
        <v>0</v>
      </c>
      <c r="AF1377" s="93">
        <v>0</v>
      </c>
      <c r="AG1377" s="105"/>
      <c r="AH1377" s="108"/>
      <c r="AI1377" s="102" t="s">
        <v>4336</v>
      </c>
      <c r="AJ1377" s="96" t="s">
        <v>4337</v>
      </c>
      <c r="AK1377" s="280"/>
      <c r="AL1377" s="281"/>
      <c r="AM1377" s="112" t="s">
        <v>2125</v>
      </c>
      <c r="AN1377" s="107"/>
      <c r="AO1377" s="107"/>
      <c r="AP1377" s="107"/>
      <c r="AQ1377" s="107"/>
      <c r="AR1377" s="107"/>
      <c r="AS1377" s="107"/>
      <c r="AT1377" s="107"/>
      <c r="AU1377" s="107"/>
      <c r="AV1377" s="107"/>
      <c r="AW1377" s="107"/>
      <c r="AX1377" s="107"/>
      <c r="AY1377" s="107"/>
      <c r="AZ1377" s="107"/>
      <c r="BA1377" s="107"/>
      <c r="BB1377" s="107"/>
      <c r="BC1377" s="107"/>
      <c r="BD1377" s="107"/>
      <c r="BE1377" s="107"/>
      <c r="BF1377" s="107"/>
      <c r="BG1377" s="107"/>
      <c r="BH1377" s="107"/>
      <c r="BI1377" s="107"/>
      <c r="BJ1377" s="107"/>
      <c r="BK1377" s="107"/>
      <c r="BL1377" s="107"/>
      <c r="BM1377" s="107"/>
      <c r="BN1377" s="107"/>
      <c r="BO1377" s="107"/>
      <c r="BP1377" s="107"/>
      <c r="BQ1377" s="107"/>
      <c r="BR1377" s="107"/>
      <c r="BS1377" s="107"/>
      <c r="BT1377" s="107"/>
      <c r="BU1377" s="107"/>
      <c r="BV1377" s="107"/>
      <c r="BW1377" s="107"/>
      <c r="BX1377" s="107"/>
      <c r="BY1377" s="107"/>
      <c r="BZ1377" s="107"/>
      <c r="CA1377" s="107"/>
      <c r="CB1377" s="107"/>
      <c r="CC1377" s="107"/>
      <c r="CD1377" s="107"/>
      <c r="CE1377" s="107"/>
      <c r="CF1377" s="107"/>
      <c r="CG1377" s="107"/>
      <c r="CH1377" s="107"/>
      <c r="CI1377" s="107"/>
      <c r="CJ1377" s="107"/>
      <c r="CK1377" s="107"/>
      <c r="CL1377" s="107"/>
      <c r="CM1377" s="107"/>
      <c r="CN1377" s="118"/>
      <c r="CO1377" s="119"/>
      <c r="CP1377" s="118"/>
      <c r="CQ1377" s="119"/>
      <c r="CR1377" s="118"/>
      <c r="CS1377" s="119"/>
      <c r="CT1377" s="113"/>
      <c r="CU1377" s="118"/>
      <c r="CV1377" s="99">
        <f t="shared" si="131"/>
        <v>0</v>
      </c>
      <c r="CW1377" s="118"/>
      <c r="CX1377" s="119"/>
      <c r="CY1377" s="119"/>
      <c r="CZ1377" s="119"/>
      <c r="DA1377" s="118"/>
      <c r="DB1377" s="119"/>
      <c r="DC1377" s="111"/>
      <c r="DD1377" s="119"/>
      <c r="DE1377" s="111"/>
      <c r="DF1377" s="46"/>
    </row>
    <row r="1378" spans="1:255" s="42" customFormat="1" ht="60" x14ac:dyDescent="0.2">
      <c r="A1378" s="89">
        <v>40699</v>
      </c>
      <c r="B1378" s="106" t="s">
        <v>874</v>
      </c>
      <c r="C1378" s="106" t="s">
        <v>1563</v>
      </c>
      <c r="D1378" s="90" t="s">
        <v>4264</v>
      </c>
      <c r="E1378" s="90" t="str">
        <f>VLOOKUP(B1378&amp;C1378,Divipola!$C$2:$F$1138,4,FALSE)</f>
        <v>44560</v>
      </c>
      <c r="F1378" s="90"/>
      <c r="G1378" s="279"/>
      <c r="H1378" s="279"/>
      <c r="I1378" s="279"/>
      <c r="J1378" s="129">
        <v>2150</v>
      </c>
      <c r="K1378" s="129">
        <v>430</v>
      </c>
      <c r="L1378" s="129"/>
      <c r="M1378" s="129">
        <v>430</v>
      </c>
      <c r="N1378" s="129"/>
      <c r="O1378" s="129"/>
      <c r="P1378" s="129"/>
      <c r="Q1378" s="129"/>
      <c r="R1378" s="129"/>
      <c r="S1378" s="129"/>
      <c r="T1378" s="129"/>
      <c r="U1378" s="129"/>
      <c r="V1378" s="129"/>
      <c r="W1378" s="107"/>
      <c r="X1378" s="105"/>
      <c r="Y1378" s="92">
        <f t="shared" si="132"/>
        <v>0</v>
      </c>
      <c r="Z1378" s="92">
        <f t="shared" si="133"/>
        <v>0</v>
      </c>
      <c r="AA1378" s="92">
        <f t="shared" si="134"/>
        <v>0</v>
      </c>
      <c r="AB1378" s="92">
        <f t="shared" si="135"/>
        <v>0</v>
      </c>
      <c r="AC1378" s="92"/>
      <c r="AD1378" s="92">
        <v>0</v>
      </c>
      <c r="AE1378" s="92">
        <f t="shared" si="136"/>
        <v>0</v>
      </c>
      <c r="AF1378" s="93">
        <v>0</v>
      </c>
      <c r="AG1378" s="105"/>
      <c r="AH1378" s="108"/>
      <c r="AI1378" s="109" t="s">
        <v>4336</v>
      </c>
      <c r="AJ1378" s="110" t="s">
        <v>4337</v>
      </c>
      <c r="AK1378" s="280"/>
      <c r="AL1378" s="281"/>
      <c r="AM1378" s="121" t="s">
        <v>4869</v>
      </c>
      <c r="AN1378" s="107"/>
      <c r="AO1378" s="107"/>
      <c r="AP1378" s="107"/>
      <c r="AQ1378" s="107"/>
      <c r="AR1378" s="107"/>
      <c r="AS1378" s="107"/>
      <c r="AT1378" s="107"/>
      <c r="AU1378" s="107"/>
      <c r="AV1378" s="107"/>
      <c r="AW1378" s="107"/>
      <c r="AX1378" s="107"/>
      <c r="AY1378" s="107"/>
      <c r="AZ1378" s="107"/>
      <c r="BA1378" s="107"/>
      <c r="BB1378" s="107"/>
      <c r="BC1378" s="107"/>
      <c r="BD1378" s="107"/>
      <c r="BE1378" s="107"/>
      <c r="BF1378" s="107"/>
      <c r="BG1378" s="107"/>
      <c r="BH1378" s="107"/>
      <c r="BI1378" s="107"/>
      <c r="BJ1378" s="107"/>
      <c r="BK1378" s="107"/>
      <c r="BL1378" s="107"/>
      <c r="BM1378" s="107"/>
      <c r="BN1378" s="107"/>
      <c r="BO1378" s="107"/>
      <c r="BP1378" s="107"/>
      <c r="BQ1378" s="107"/>
      <c r="BR1378" s="107"/>
      <c r="BS1378" s="107"/>
      <c r="BT1378" s="107"/>
      <c r="BU1378" s="107"/>
      <c r="BV1378" s="107"/>
      <c r="BW1378" s="107"/>
      <c r="BX1378" s="107"/>
      <c r="BY1378" s="107"/>
      <c r="BZ1378" s="107"/>
      <c r="CA1378" s="107"/>
      <c r="CB1378" s="107"/>
      <c r="CC1378" s="107"/>
      <c r="CD1378" s="107"/>
      <c r="CE1378" s="107"/>
      <c r="CF1378" s="107"/>
      <c r="CG1378" s="107"/>
      <c r="CH1378" s="107"/>
      <c r="CI1378" s="107"/>
      <c r="CJ1378" s="107"/>
      <c r="CK1378" s="107"/>
      <c r="CL1378" s="107"/>
      <c r="CM1378" s="107"/>
      <c r="CN1378" s="118"/>
      <c r="CO1378" s="119"/>
      <c r="CP1378" s="118"/>
      <c r="CQ1378" s="119"/>
      <c r="CR1378" s="118"/>
      <c r="CS1378" s="119"/>
      <c r="CT1378" s="113"/>
      <c r="CU1378" s="118"/>
      <c r="CV1378" s="99">
        <f t="shared" si="131"/>
        <v>0</v>
      </c>
      <c r="CW1378" s="118"/>
      <c r="CX1378" s="119"/>
      <c r="CY1378" s="119"/>
      <c r="CZ1378" s="119"/>
      <c r="DA1378" s="118"/>
      <c r="DB1378" s="119"/>
      <c r="DC1378" s="111"/>
      <c r="DD1378" s="119"/>
      <c r="DE1378" s="111"/>
      <c r="DF1378" s="46"/>
    </row>
    <row r="1379" spans="1:255" s="42" customFormat="1" ht="36" x14ac:dyDescent="0.2">
      <c r="A1379" s="89">
        <v>40699</v>
      </c>
      <c r="B1379" s="106" t="s">
        <v>874</v>
      </c>
      <c r="C1379" s="106" t="s">
        <v>3541</v>
      </c>
      <c r="D1379" s="90" t="s">
        <v>4264</v>
      </c>
      <c r="E1379" s="90" t="str">
        <f>VLOOKUP(B1379&amp;C1379,Divipola!$C$2:$F$1138,4,FALSE)</f>
        <v>44001</v>
      </c>
      <c r="F1379" s="90"/>
      <c r="G1379" s="279"/>
      <c r="H1379" s="279"/>
      <c r="I1379" s="279"/>
      <c r="J1379" s="129">
        <v>480</v>
      </c>
      <c r="K1379" s="129">
        <v>96</v>
      </c>
      <c r="L1379" s="129"/>
      <c r="M1379" s="129">
        <v>96</v>
      </c>
      <c r="N1379" s="129"/>
      <c r="O1379" s="129"/>
      <c r="P1379" s="129"/>
      <c r="Q1379" s="129"/>
      <c r="R1379" s="129"/>
      <c r="S1379" s="129"/>
      <c r="T1379" s="129"/>
      <c r="U1379" s="129"/>
      <c r="V1379" s="129"/>
      <c r="W1379" s="107"/>
      <c r="X1379" s="105"/>
      <c r="Y1379" s="92">
        <f t="shared" si="132"/>
        <v>0</v>
      </c>
      <c r="Z1379" s="92">
        <f t="shared" si="133"/>
        <v>0</v>
      </c>
      <c r="AA1379" s="92">
        <f t="shared" si="134"/>
        <v>0</v>
      </c>
      <c r="AB1379" s="92">
        <f t="shared" si="135"/>
        <v>0</v>
      </c>
      <c r="AC1379" s="92"/>
      <c r="AD1379" s="92">
        <v>0</v>
      </c>
      <c r="AE1379" s="92">
        <f t="shared" si="136"/>
        <v>0</v>
      </c>
      <c r="AF1379" s="93">
        <v>0</v>
      </c>
      <c r="AG1379" s="105"/>
      <c r="AH1379" s="108"/>
      <c r="AI1379" s="109" t="s">
        <v>4336</v>
      </c>
      <c r="AJ1379" s="110" t="s">
        <v>4337</v>
      </c>
      <c r="AK1379" s="280"/>
      <c r="AL1379" s="281"/>
      <c r="AM1379" s="112" t="s">
        <v>2129</v>
      </c>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c r="BJ1379" s="107"/>
      <c r="BK1379" s="107"/>
      <c r="BL1379" s="107"/>
      <c r="BM1379" s="107"/>
      <c r="BN1379" s="107"/>
      <c r="BO1379" s="107"/>
      <c r="BP1379" s="107"/>
      <c r="BQ1379" s="107"/>
      <c r="BR1379" s="107"/>
      <c r="BS1379" s="107"/>
      <c r="BT1379" s="107"/>
      <c r="BU1379" s="107"/>
      <c r="BV1379" s="107"/>
      <c r="BW1379" s="107"/>
      <c r="BX1379" s="107"/>
      <c r="BY1379" s="107"/>
      <c r="BZ1379" s="107"/>
      <c r="CA1379" s="107"/>
      <c r="CB1379" s="107"/>
      <c r="CC1379" s="107"/>
      <c r="CD1379" s="107"/>
      <c r="CE1379" s="107"/>
      <c r="CF1379" s="107"/>
      <c r="CG1379" s="107"/>
      <c r="CH1379" s="107"/>
      <c r="CI1379" s="107"/>
      <c r="CJ1379" s="107"/>
      <c r="CK1379" s="107"/>
      <c r="CL1379" s="107"/>
      <c r="CM1379" s="107"/>
      <c r="CN1379" s="118"/>
      <c r="CO1379" s="119"/>
      <c r="CP1379" s="118"/>
      <c r="CQ1379" s="119"/>
      <c r="CR1379" s="118"/>
      <c r="CS1379" s="119"/>
      <c r="CT1379" s="113"/>
      <c r="CU1379" s="118"/>
      <c r="CV1379" s="99">
        <f t="shared" si="131"/>
        <v>0</v>
      </c>
      <c r="CW1379" s="118"/>
      <c r="CX1379" s="119"/>
      <c r="CY1379" s="119"/>
      <c r="CZ1379" s="119"/>
      <c r="DA1379" s="118"/>
      <c r="DB1379" s="119"/>
      <c r="DC1379" s="111"/>
      <c r="DD1379" s="119"/>
      <c r="DE1379" s="111"/>
      <c r="DF1379" s="46"/>
    </row>
    <row r="1380" spans="1:255" s="42" customFormat="1" ht="24" x14ac:dyDescent="0.2">
      <c r="A1380" s="89">
        <v>40699</v>
      </c>
      <c r="B1380" s="106" t="s">
        <v>4350</v>
      </c>
      <c r="C1380" s="106" t="s">
        <v>4351</v>
      </c>
      <c r="D1380" s="90" t="s">
        <v>2362</v>
      </c>
      <c r="E1380" s="90" t="str">
        <f>VLOOKUP(B1380&amp;C1380,Divipola!$C$2:$F$1138,4,FALSE)</f>
        <v>63001</v>
      </c>
      <c r="F1380" s="90"/>
      <c r="G1380" s="129"/>
      <c r="H1380" s="129"/>
      <c r="I1380" s="129"/>
      <c r="J1380" s="129">
        <v>10</v>
      </c>
      <c r="K1380" s="129">
        <v>1</v>
      </c>
      <c r="L1380" s="129"/>
      <c r="M1380" s="129">
        <v>1</v>
      </c>
      <c r="N1380" s="129"/>
      <c r="O1380" s="129"/>
      <c r="P1380" s="129"/>
      <c r="Q1380" s="129"/>
      <c r="R1380" s="129"/>
      <c r="S1380" s="129"/>
      <c r="T1380" s="129"/>
      <c r="U1380" s="129"/>
      <c r="V1380" s="129"/>
      <c r="W1380" s="107"/>
      <c r="X1380" s="105"/>
      <c r="Y1380" s="92">
        <f t="shared" si="132"/>
        <v>0</v>
      </c>
      <c r="Z1380" s="92">
        <f t="shared" si="133"/>
        <v>0</v>
      </c>
      <c r="AA1380" s="92">
        <f t="shared" si="134"/>
        <v>0</v>
      </c>
      <c r="AB1380" s="92">
        <f t="shared" si="135"/>
        <v>0</v>
      </c>
      <c r="AC1380" s="92"/>
      <c r="AD1380" s="92">
        <v>0</v>
      </c>
      <c r="AE1380" s="92">
        <f t="shared" si="136"/>
        <v>0</v>
      </c>
      <c r="AF1380" s="93">
        <v>0</v>
      </c>
      <c r="AG1380" s="105"/>
      <c r="AH1380" s="108"/>
      <c r="AI1380" s="109" t="s">
        <v>4336</v>
      </c>
      <c r="AJ1380" s="110" t="s">
        <v>4337</v>
      </c>
      <c r="AK1380" s="111"/>
      <c r="AL1380" s="284"/>
      <c r="AM1380" s="112" t="s">
        <v>3431</v>
      </c>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c r="BJ1380" s="107"/>
      <c r="BK1380" s="107"/>
      <c r="BL1380" s="107"/>
      <c r="BM1380" s="107"/>
      <c r="BN1380" s="107"/>
      <c r="BO1380" s="107"/>
      <c r="BP1380" s="107"/>
      <c r="BQ1380" s="107"/>
      <c r="BR1380" s="107"/>
      <c r="BS1380" s="107"/>
      <c r="BT1380" s="107"/>
      <c r="BU1380" s="107"/>
      <c r="BV1380" s="107"/>
      <c r="BW1380" s="107"/>
      <c r="BX1380" s="107"/>
      <c r="BY1380" s="107"/>
      <c r="BZ1380" s="107"/>
      <c r="CA1380" s="107"/>
      <c r="CB1380" s="107"/>
      <c r="CC1380" s="107"/>
      <c r="CD1380" s="107"/>
      <c r="CE1380" s="107"/>
      <c r="CF1380" s="107"/>
      <c r="CG1380" s="107"/>
      <c r="CH1380" s="107"/>
      <c r="CI1380" s="107"/>
      <c r="CJ1380" s="107"/>
      <c r="CK1380" s="107"/>
      <c r="CL1380" s="107"/>
      <c r="CM1380" s="107"/>
      <c r="CN1380" s="118"/>
      <c r="CO1380" s="119"/>
      <c r="CP1380" s="118"/>
      <c r="CQ1380" s="119"/>
      <c r="CR1380" s="118"/>
      <c r="CS1380" s="119"/>
      <c r="CT1380" s="113"/>
      <c r="CU1380" s="118"/>
      <c r="CV1380" s="99">
        <f t="shared" si="131"/>
        <v>0</v>
      </c>
      <c r="CW1380" s="118"/>
      <c r="CX1380" s="119"/>
      <c r="CY1380" s="119"/>
      <c r="CZ1380" s="119"/>
      <c r="DA1380" s="118"/>
      <c r="DB1380" s="119"/>
      <c r="DC1380" s="111"/>
      <c r="DD1380" s="119"/>
      <c r="DE1380" s="111"/>
      <c r="DF1380" s="46"/>
    </row>
    <row r="1381" spans="1:255" s="42" customFormat="1" ht="24" x14ac:dyDescent="0.2">
      <c r="A1381" s="89">
        <v>40699</v>
      </c>
      <c r="B1381" s="106" t="s">
        <v>4348</v>
      </c>
      <c r="C1381" s="106" t="s">
        <v>1957</v>
      </c>
      <c r="D1381" s="90" t="s">
        <v>2362</v>
      </c>
      <c r="E1381" s="90" t="str">
        <f>VLOOKUP(B1381&amp;C1381,Divipola!$C$2:$F$1138,4,FALSE)</f>
        <v>66572</v>
      </c>
      <c r="F1381" s="90"/>
      <c r="G1381" s="279"/>
      <c r="H1381" s="279"/>
      <c r="I1381" s="279"/>
      <c r="J1381" s="129">
        <v>290</v>
      </c>
      <c r="K1381" s="129">
        <v>65</v>
      </c>
      <c r="L1381" s="129"/>
      <c r="M1381" s="129">
        <v>65</v>
      </c>
      <c r="N1381" s="129"/>
      <c r="O1381" s="129"/>
      <c r="P1381" s="129"/>
      <c r="Q1381" s="129"/>
      <c r="R1381" s="129"/>
      <c r="S1381" s="129"/>
      <c r="T1381" s="129"/>
      <c r="U1381" s="129"/>
      <c r="V1381" s="129"/>
      <c r="W1381" s="107"/>
      <c r="X1381" s="105"/>
      <c r="Y1381" s="92">
        <f t="shared" si="132"/>
        <v>0</v>
      </c>
      <c r="Z1381" s="92">
        <f t="shared" si="133"/>
        <v>0</v>
      </c>
      <c r="AA1381" s="92">
        <f t="shared" si="134"/>
        <v>0</v>
      </c>
      <c r="AB1381" s="92">
        <f t="shared" si="135"/>
        <v>0</v>
      </c>
      <c r="AC1381" s="92"/>
      <c r="AD1381" s="92">
        <v>0</v>
      </c>
      <c r="AE1381" s="92">
        <f t="shared" si="136"/>
        <v>0</v>
      </c>
      <c r="AF1381" s="93">
        <v>0</v>
      </c>
      <c r="AG1381" s="105"/>
      <c r="AH1381" s="108"/>
      <c r="AI1381" s="109" t="s">
        <v>4336</v>
      </c>
      <c r="AJ1381" s="110" t="s">
        <v>4337</v>
      </c>
      <c r="AK1381" s="280"/>
      <c r="AL1381" s="281"/>
      <c r="AM1381" s="112" t="s">
        <v>2014</v>
      </c>
      <c r="AN1381" s="107"/>
      <c r="AO1381" s="107"/>
      <c r="AP1381" s="107"/>
      <c r="AQ1381" s="107"/>
      <c r="AR1381" s="107"/>
      <c r="AS1381" s="107"/>
      <c r="AT1381" s="107"/>
      <c r="AU1381" s="107"/>
      <c r="AV1381" s="107"/>
      <c r="AW1381" s="107"/>
      <c r="AX1381" s="107"/>
      <c r="AY1381" s="107"/>
      <c r="AZ1381" s="107"/>
      <c r="BA1381" s="107"/>
      <c r="BB1381" s="107"/>
      <c r="BC1381" s="107"/>
      <c r="BD1381" s="107"/>
      <c r="BE1381" s="107"/>
      <c r="BF1381" s="107"/>
      <c r="BG1381" s="107"/>
      <c r="BH1381" s="107"/>
      <c r="BI1381" s="107"/>
      <c r="BJ1381" s="107"/>
      <c r="BK1381" s="107"/>
      <c r="BL1381" s="107"/>
      <c r="BM1381" s="107"/>
      <c r="BN1381" s="107"/>
      <c r="BO1381" s="107"/>
      <c r="BP1381" s="107"/>
      <c r="BQ1381" s="107"/>
      <c r="BR1381" s="107"/>
      <c r="BS1381" s="107"/>
      <c r="BT1381" s="107"/>
      <c r="BU1381" s="107"/>
      <c r="BV1381" s="107"/>
      <c r="BW1381" s="107"/>
      <c r="BX1381" s="107"/>
      <c r="BY1381" s="107"/>
      <c r="BZ1381" s="107"/>
      <c r="CA1381" s="107"/>
      <c r="CB1381" s="107"/>
      <c r="CC1381" s="107"/>
      <c r="CD1381" s="107"/>
      <c r="CE1381" s="107"/>
      <c r="CF1381" s="107"/>
      <c r="CG1381" s="107"/>
      <c r="CH1381" s="107"/>
      <c r="CI1381" s="107"/>
      <c r="CJ1381" s="107"/>
      <c r="CK1381" s="107"/>
      <c r="CL1381" s="107"/>
      <c r="CM1381" s="107"/>
      <c r="CN1381" s="118"/>
      <c r="CO1381" s="119"/>
      <c r="CP1381" s="118"/>
      <c r="CQ1381" s="119"/>
      <c r="CR1381" s="118"/>
      <c r="CS1381" s="119"/>
      <c r="CT1381" s="113"/>
      <c r="CU1381" s="118"/>
      <c r="CV1381" s="99">
        <f t="shared" si="131"/>
        <v>0</v>
      </c>
      <c r="CW1381" s="118"/>
      <c r="CX1381" s="119"/>
      <c r="CY1381" s="119"/>
      <c r="CZ1381" s="119"/>
      <c r="DA1381" s="118"/>
      <c r="DB1381" s="119"/>
      <c r="DC1381" s="111"/>
      <c r="DD1381" s="119"/>
      <c r="DE1381" s="111"/>
      <c r="DF1381" s="46"/>
    </row>
    <row r="1382" spans="1:255" s="42" customFormat="1" ht="22.5" x14ac:dyDescent="0.2">
      <c r="A1382" s="89">
        <v>40699</v>
      </c>
      <c r="B1382" s="106" t="s">
        <v>4348</v>
      </c>
      <c r="C1382" s="106" t="s">
        <v>4365</v>
      </c>
      <c r="D1382" s="90" t="s">
        <v>4264</v>
      </c>
      <c r="E1382" s="90" t="str">
        <f>VLOOKUP(B1382&amp;C1382,Divipola!$C$2:$F$1138,4,FALSE)</f>
        <v>66682</v>
      </c>
      <c r="F1382" s="90"/>
      <c r="G1382" s="279"/>
      <c r="H1382" s="279"/>
      <c r="I1382" s="279"/>
      <c r="J1382" s="129">
        <v>124</v>
      </c>
      <c r="K1382" s="129">
        <v>24</v>
      </c>
      <c r="L1382" s="129"/>
      <c r="M1382" s="129">
        <v>24</v>
      </c>
      <c r="N1382" s="129"/>
      <c r="O1382" s="129"/>
      <c r="P1382" s="129"/>
      <c r="Q1382" s="129"/>
      <c r="R1382" s="129"/>
      <c r="S1382" s="129"/>
      <c r="T1382" s="129"/>
      <c r="U1382" s="129"/>
      <c r="V1382" s="129"/>
      <c r="W1382" s="107"/>
      <c r="X1382" s="105"/>
      <c r="Y1382" s="92">
        <f t="shared" si="132"/>
        <v>0</v>
      </c>
      <c r="Z1382" s="92">
        <f t="shared" si="133"/>
        <v>0</v>
      </c>
      <c r="AA1382" s="92">
        <f t="shared" si="134"/>
        <v>0</v>
      </c>
      <c r="AB1382" s="92">
        <f t="shared" si="135"/>
        <v>0</v>
      </c>
      <c r="AC1382" s="92"/>
      <c r="AD1382" s="92">
        <v>0</v>
      </c>
      <c r="AE1382" s="92">
        <f t="shared" si="136"/>
        <v>0</v>
      </c>
      <c r="AF1382" s="93">
        <v>0</v>
      </c>
      <c r="AG1382" s="105"/>
      <c r="AH1382" s="108"/>
      <c r="AI1382" s="109" t="s">
        <v>4336</v>
      </c>
      <c r="AJ1382" s="110" t="s">
        <v>4337</v>
      </c>
      <c r="AK1382" s="131"/>
      <c r="AL1382" s="281"/>
      <c r="AM1382" s="112" t="s">
        <v>2102</v>
      </c>
      <c r="AN1382" s="107"/>
      <c r="AO1382" s="107"/>
      <c r="AP1382" s="107"/>
      <c r="AQ1382" s="107"/>
      <c r="AR1382" s="107"/>
      <c r="AS1382" s="107"/>
      <c r="AT1382" s="107"/>
      <c r="AU1382" s="107"/>
      <c r="AV1382" s="107"/>
      <c r="AW1382" s="107"/>
      <c r="AX1382" s="107"/>
      <c r="AY1382" s="107"/>
      <c r="AZ1382" s="107"/>
      <c r="BA1382" s="107"/>
      <c r="BB1382" s="107"/>
      <c r="BC1382" s="107"/>
      <c r="BD1382" s="107"/>
      <c r="BE1382" s="107"/>
      <c r="BF1382" s="107"/>
      <c r="BG1382" s="107"/>
      <c r="BH1382" s="107"/>
      <c r="BI1382" s="107"/>
      <c r="BJ1382" s="107"/>
      <c r="BK1382" s="107"/>
      <c r="BL1382" s="107"/>
      <c r="BM1382" s="107"/>
      <c r="BN1382" s="107"/>
      <c r="BO1382" s="107"/>
      <c r="BP1382" s="107"/>
      <c r="BQ1382" s="107"/>
      <c r="BR1382" s="107"/>
      <c r="BS1382" s="107"/>
      <c r="BT1382" s="107"/>
      <c r="BU1382" s="107"/>
      <c r="BV1382" s="107"/>
      <c r="BW1382" s="107"/>
      <c r="BX1382" s="107"/>
      <c r="BY1382" s="107"/>
      <c r="BZ1382" s="107"/>
      <c r="CA1382" s="107"/>
      <c r="CB1382" s="107"/>
      <c r="CC1382" s="107"/>
      <c r="CD1382" s="107"/>
      <c r="CE1382" s="107"/>
      <c r="CF1382" s="107"/>
      <c r="CG1382" s="107"/>
      <c r="CH1382" s="107"/>
      <c r="CI1382" s="107"/>
      <c r="CJ1382" s="107"/>
      <c r="CK1382" s="107"/>
      <c r="CL1382" s="107"/>
      <c r="CM1382" s="107"/>
      <c r="CN1382" s="118"/>
      <c r="CO1382" s="119"/>
      <c r="CP1382" s="118"/>
      <c r="CQ1382" s="119"/>
      <c r="CR1382" s="118"/>
      <c r="CS1382" s="119"/>
      <c r="CT1382" s="113"/>
      <c r="CU1382" s="118"/>
      <c r="CV1382" s="99">
        <f t="shared" si="131"/>
        <v>0</v>
      </c>
      <c r="CW1382" s="118"/>
      <c r="CX1382" s="119"/>
      <c r="CY1382" s="119"/>
      <c r="CZ1382" s="119"/>
      <c r="DA1382" s="118"/>
      <c r="DB1382" s="119"/>
      <c r="DC1382" s="111"/>
      <c r="DD1382" s="119"/>
      <c r="DE1382" s="111"/>
      <c r="DF1382" s="46"/>
    </row>
    <row r="1383" spans="1:255" s="42" customFormat="1" ht="22.5" x14ac:dyDescent="0.2">
      <c r="A1383" s="89">
        <v>40699</v>
      </c>
      <c r="B1383" s="106" t="s">
        <v>3316</v>
      </c>
      <c r="C1383" s="106" t="s">
        <v>3348</v>
      </c>
      <c r="D1383" s="106" t="s">
        <v>4298</v>
      </c>
      <c r="E1383" s="90" t="str">
        <f>VLOOKUP(B1383&amp;C1383,Divipola!$C$2:$F$1138,4,FALSE)</f>
        <v>73411</v>
      </c>
      <c r="F1383" s="90"/>
      <c r="G1383" s="279"/>
      <c r="H1383" s="279"/>
      <c r="I1383" s="279"/>
      <c r="J1383" s="129">
        <v>5</v>
      </c>
      <c r="K1383" s="129">
        <v>1</v>
      </c>
      <c r="L1383" s="129">
        <v>1</v>
      </c>
      <c r="M1383" s="129"/>
      <c r="N1383" s="129"/>
      <c r="O1383" s="129"/>
      <c r="P1383" s="129"/>
      <c r="Q1383" s="129"/>
      <c r="R1383" s="129"/>
      <c r="S1383" s="129"/>
      <c r="T1383" s="129"/>
      <c r="U1383" s="129"/>
      <c r="V1383" s="129"/>
      <c r="W1383" s="107"/>
      <c r="X1383" s="105"/>
      <c r="Y1383" s="92">
        <f t="shared" si="132"/>
        <v>0</v>
      </c>
      <c r="Z1383" s="92">
        <f t="shared" si="133"/>
        <v>0</v>
      </c>
      <c r="AA1383" s="92">
        <f t="shared" si="134"/>
        <v>0</v>
      </c>
      <c r="AB1383" s="92">
        <f t="shared" si="135"/>
        <v>0</v>
      </c>
      <c r="AC1383" s="92"/>
      <c r="AD1383" s="92">
        <v>0</v>
      </c>
      <c r="AE1383" s="92">
        <f t="shared" si="136"/>
        <v>0</v>
      </c>
      <c r="AF1383" s="93">
        <v>0</v>
      </c>
      <c r="AG1383" s="105"/>
      <c r="AH1383" s="108"/>
      <c r="AI1383" s="109" t="s">
        <v>4336</v>
      </c>
      <c r="AJ1383" s="110" t="s">
        <v>4337</v>
      </c>
      <c r="AK1383" s="280"/>
      <c r="AL1383" s="281"/>
      <c r="AM1383" s="112" t="s">
        <v>903</v>
      </c>
      <c r="AN1383" s="107"/>
      <c r="AO1383" s="107"/>
      <c r="AP1383" s="107"/>
      <c r="AQ1383" s="107"/>
      <c r="AR1383" s="107"/>
      <c r="AS1383" s="107"/>
      <c r="AT1383" s="107"/>
      <c r="AU1383" s="107"/>
      <c r="AV1383" s="107"/>
      <c r="AW1383" s="107"/>
      <c r="AX1383" s="107"/>
      <c r="AY1383" s="107"/>
      <c r="AZ1383" s="107"/>
      <c r="BA1383" s="107"/>
      <c r="BB1383" s="107"/>
      <c r="BC1383" s="107"/>
      <c r="BD1383" s="107"/>
      <c r="BE1383" s="107"/>
      <c r="BF1383" s="107"/>
      <c r="BG1383" s="107"/>
      <c r="BH1383" s="107"/>
      <c r="BI1383" s="107"/>
      <c r="BJ1383" s="107"/>
      <c r="BK1383" s="107"/>
      <c r="BL1383" s="107"/>
      <c r="BM1383" s="107"/>
      <c r="BN1383" s="107"/>
      <c r="BO1383" s="107"/>
      <c r="BP1383" s="107"/>
      <c r="BQ1383" s="107"/>
      <c r="BR1383" s="107"/>
      <c r="BS1383" s="107"/>
      <c r="BT1383" s="107"/>
      <c r="BU1383" s="107"/>
      <c r="BV1383" s="107"/>
      <c r="BW1383" s="107"/>
      <c r="BX1383" s="107"/>
      <c r="BY1383" s="107"/>
      <c r="BZ1383" s="107"/>
      <c r="CA1383" s="107"/>
      <c r="CB1383" s="107"/>
      <c r="CC1383" s="107"/>
      <c r="CD1383" s="107"/>
      <c r="CE1383" s="107"/>
      <c r="CF1383" s="107"/>
      <c r="CG1383" s="107"/>
      <c r="CH1383" s="107"/>
      <c r="CI1383" s="107"/>
      <c r="CJ1383" s="107"/>
      <c r="CK1383" s="107"/>
      <c r="CL1383" s="107"/>
      <c r="CM1383" s="107"/>
      <c r="CN1383" s="118"/>
      <c r="CO1383" s="119"/>
      <c r="CP1383" s="118"/>
      <c r="CQ1383" s="119"/>
      <c r="CR1383" s="118"/>
      <c r="CS1383" s="119"/>
      <c r="CT1383" s="113"/>
      <c r="CU1383" s="118"/>
      <c r="CV1383" s="99">
        <f t="shared" si="131"/>
        <v>0</v>
      </c>
      <c r="CW1383" s="118"/>
      <c r="CX1383" s="119"/>
      <c r="CY1383" s="119"/>
      <c r="CZ1383" s="119"/>
      <c r="DA1383" s="118"/>
      <c r="DB1383" s="119"/>
      <c r="DC1383" s="111"/>
      <c r="DD1383" s="119"/>
      <c r="DE1383" s="111"/>
      <c r="DF1383" s="269">
        <v>1620</v>
      </c>
      <c r="DG1383" s="270"/>
      <c r="DH1383" s="270"/>
      <c r="DI1383" s="270"/>
      <c r="DJ1383" s="270"/>
      <c r="DK1383" s="270"/>
      <c r="DL1383" s="270"/>
      <c r="DM1383" s="270"/>
      <c r="DN1383" s="270"/>
      <c r="DO1383" s="270"/>
      <c r="DP1383" s="270"/>
      <c r="DQ1383" s="270"/>
      <c r="DR1383" s="270"/>
      <c r="DS1383" s="270"/>
      <c r="DT1383" s="270"/>
      <c r="DU1383" s="270"/>
      <c r="DV1383" s="270"/>
      <c r="DW1383" s="270"/>
      <c r="DX1383" s="270"/>
      <c r="DY1383" s="270"/>
      <c r="DZ1383" s="270"/>
      <c r="EA1383" s="270"/>
      <c r="EB1383" s="270"/>
      <c r="EC1383" s="270"/>
      <c r="ED1383" s="270"/>
      <c r="EE1383" s="270"/>
      <c r="EF1383" s="270"/>
      <c r="EG1383" s="270"/>
      <c r="EH1383" s="270"/>
      <c r="EI1383" s="270"/>
      <c r="EJ1383" s="270"/>
      <c r="EK1383" s="270"/>
      <c r="EL1383" s="270"/>
      <c r="EM1383" s="270"/>
      <c r="EN1383" s="270"/>
      <c r="EO1383" s="270"/>
      <c r="EP1383" s="270"/>
      <c r="EQ1383" s="270"/>
      <c r="ER1383" s="270"/>
      <c r="ES1383" s="270"/>
      <c r="ET1383" s="270"/>
      <c r="EU1383" s="270"/>
      <c r="EV1383" s="270"/>
      <c r="EW1383" s="270"/>
      <c r="EX1383" s="270"/>
      <c r="EY1383" s="270"/>
      <c r="EZ1383" s="270"/>
      <c r="FA1383" s="270"/>
      <c r="FB1383" s="270"/>
      <c r="FC1383" s="270"/>
      <c r="FD1383" s="270"/>
      <c r="FE1383" s="270"/>
      <c r="FF1383" s="270"/>
      <c r="FG1383" s="270"/>
      <c r="FH1383" s="270"/>
      <c r="FI1383" s="270"/>
      <c r="FJ1383" s="270"/>
      <c r="FK1383" s="270"/>
      <c r="FL1383" s="270"/>
      <c r="FM1383" s="270"/>
      <c r="FN1383" s="270"/>
      <c r="FO1383" s="270"/>
      <c r="FP1383" s="270"/>
      <c r="FQ1383" s="270"/>
      <c r="FR1383" s="270"/>
      <c r="FS1383" s="270"/>
      <c r="FT1383" s="270"/>
      <c r="FU1383" s="270"/>
      <c r="FV1383" s="270"/>
      <c r="FW1383" s="270"/>
      <c r="FX1383" s="270"/>
      <c r="FY1383" s="270"/>
      <c r="FZ1383" s="270"/>
      <c r="GA1383" s="270"/>
      <c r="GB1383" s="270"/>
      <c r="GC1383" s="270"/>
      <c r="GD1383" s="270"/>
      <c r="GE1383" s="270"/>
      <c r="GF1383" s="270"/>
      <c r="GG1383" s="270"/>
      <c r="GH1383" s="270"/>
      <c r="GI1383" s="270"/>
      <c r="GJ1383" s="270"/>
      <c r="GK1383" s="270"/>
      <c r="GL1383" s="270"/>
      <c r="GM1383" s="270"/>
      <c r="GN1383" s="270"/>
      <c r="GO1383" s="270"/>
      <c r="GP1383" s="270"/>
      <c r="GQ1383" s="270"/>
      <c r="GR1383" s="270"/>
      <c r="GS1383" s="270"/>
      <c r="GT1383" s="270"/>
      <c r="GU1383" s="270"/>
      <c r="GV1383" s="270"/>
      <c r="GW1383" s="270"/>
      <c r="GX1383" s="270"/>
      <c r="GY1383" s="270"/>
      <c r="GZ1383" s="270"/>
      <c r="HA1383" s="270"/>
      <c r="HB1383" s="270"/>
      <c r="HC1383" s="270"/>
      <c r="HD1383" s="270"/>
      <c r="HE1383" s="270"/>
      <c r="HF1383" s="270"/>
      <c r="HG1383" s="270"/>
      <c r="HH1383" s="270"/>
      <c r="HI1383" s="270"/>
      <c r="HJ1383" s="270"/>
      <c r="HK1383" s="270"/>
      <c r="HL1383" s="270"/>
      <c r="HM1383" s="270"/>
      <c r="HN1383" s="270"/>
      <c r="HO1383" s="270"/>
      <c r="HP1383" s="270"/>
      <c r="HQ1383" s="270"/>
      <c r="HR1383" s="270"/>
      <c r="HS1383" s="270"/>
      <c r="HT1383" s="270"/>
      <c r="HU1383" s="270"/>
      <c r="HV1383" s="270"/>
      <c r="HW1383" s="270"/>
      <c r="HX1383" s="270"/>
      <c r="HY1383" s="270"/>
      <c r="HZ1383" s="270"/>
      <c r="IA1383" s="270"/>
      <c r="IB1383" s="270"/>
      <c r="IC1383" s="270"/>
      <c r="ID1383" s="270"/>
      <c r="IE1383" s="270"/>
      <c r="IF1383" s="270"/>
      <c r="IG1383" s="270"/>
      <c r="IH1383" s="270"/>
      <c r="II1383" s="270"/>
      <c r="IJ1383" s="270"/>
      <c r="IK1383" s="270"/>
      <c r="IL1383" s="270"/>
      <c r="IM1383" s="270"/>
      <c r="IN1383" s="270"/>
      <c r="IO1383" s="270"/>
      <c r="IP1383" s="270"/>
      <c r="IQ1383" s="270"/>
      <c r="IR1383" s="270"/>
      <c r="IS1383" s="270"/>
      <c r="IT1383" s="270"/>
      <c r="IU1383" s="270"/>
    </row>
    <row r="1384" spans="1:255" s="42" customFormat="1" ht="36" x14ac:dyDescent="0.2">
      <c r="A1384" s="89">
        <v>40699</v>
      </c>
      <c r="B1384" s="106" t="s">
        <v>4244</v>
      </c>
      <c r="C1384" s="106" t="s">
        <v>2242</v>
      </c>
      <c r="D1384" s="106" t="s">
        <v>3346</v>
      </c>
      <c r="E1384" s="90" t="str">
        <f>VLOOKUP(B1384&amp;C1384,Divipola!$C$2:$F$1138,4,FALSE)</f>
        <v>76377</v>
      </c>
      <c r="F1384" s="90"/>
      <c r="G1384" s="279"/>
      <c r="H1384" s="279"/>
      <c r="I1384" s="279"/>
      <c r="J1384" s="129">
        <v>40</v>
      </c>
      <c r="K1384" s="129">
        <v>8</v>
      </c>
      <c r="L1384" s="129"/>
      <c r="M1384" s="129">
        <v>8</v>
      </c>
      <c r="N1384" s="129"/>
      <c r="O1384" s="129"/>
      <c r="P1384" s="129"/>
      <c r="Q1384" s="129"/>
      <c r="R1384" s="129"/>
      <c r="S1384" s="129"/>
      <c r="T1384" s="129"/>
      <c r="U1384" s="129"/>
      <c r="V1384" s="129"/>
      <c r="W1384" s="107"/>
      <c r="X1384" s="105"/>
      <c r="Y1384" s="92">
        <f t="shared" si="132"/>
        <v>0</v>
      </c>
      <c r="Z1384" s="92">
        <f t="shared" si="133"/>
        <v>0</v>
      </c>
      <c r="AA1384" s="92">
        <f t="shared" si="134"/>
        <v>0</v>
      </c>
      <c r="AB1384" s="92">
        <f t="shared" si="135"/>
        <v>0</v>
      </c>
      <c r="AC1384" s="92"/>
      <c r="AD1384" s="92">
        <v>0</v>
      </c>
      <c r="AE1384" s="92">
        <f t="shared" si="136"/>
        <v>0</v>
      </c>
      <c r="AF1384" s="93">
        <v>0</v>
      </c>
      <c r="AG1384" s="105"/>
      <c r="AH1384" s="108"/>
      <c r="AI1384" s="109" t="s">
        <v>4336</v>
      </c>
      <c r="AJ1384" s="110" t="s">
        <v>4337</v>
      </c>
      <c r="AK1384" s="280"/>
      <c r="AL1384" s="281"/>
      <c r="AM1384" s="112" t="s">
        <v>2412</v>
      </c>
      <c r="AN1384" s="107"/>
      <c r="AO1384" s="107"/>
      <c r="AP1384" s="107"/>
      <c r="AQ1384" s="107"/>
      <c r="AR1384" s="107"/>
      <c r="AS1384" s="107"/>
      <c r="AT1384" s="107"/>
      <c r="AU1384" s="107"/>
      <c r="AV1384" s="107"/>
      <c r="AW1384" s="107"/>
      <c r="AX1384" s="107"/>
      <c r="AY1384" s="107"/>
      <c r="AZ1384" s="107"/>
      <c r="BA1384" s="107"/>
      <c r="BB1384" s="107"/>
      <c r="BC1384" s="107"/>
      <c r="BD1384" s="107"/>
      <c r="BE1384" s="107"/>
      <c r="BF1384" s="107"/>
      <c r="BG1384" s="107"/>
      <c r="BH1384" s="107"/>
      <c r="BI1384" s="107"/>
      <c r="BJ1384" s="107"/>
      <c r="BK1384" s="107"/>
      <c r="BL1384" s="107"/>
      <c r="BM1384" s="107"/>
      <c r="BN1384" s="107"/>
      <c r="BO1384" s="107"/>
      <c r="BP1384" s="107"/>
      <c r="BQ1384" s="107"/>
      <c r="BR1384" s="107"/>
      <c r="BS1384" s="107"/>
      <c r="BT1384" s="107"/>
      <c r="BU1384" s="107"/>
      <c r="BV1384" s="107"/>
      <c r="BW1384" s="107"/>
      <c r="BX1384" s="107"/>
      <c r="BY1384" s="107"/>
      <c r="BZ1384" s="107"/>
      <c r="CA1384" s="107"/>
      <c r="CB1384" s="107"/>
      <c r="CC1384" s="107"/>
      <c r="CD1384" s="107"/>
      <c r="CE1384" s="107"/>
      <c r="CF1384" s="107"/>
      <c r="CG1384" s="107"/>
      <c r="CH1384" s="107"/>
      <c r="CI1384" s="107"/>
      <c r="CJ1384" s="107"/>
      <c r="CK1384" s="107"/>
      <c r="CL1384" s="107"/>
      <c r="CM1384" s="107"/>
      <c r="CN1384" s="118"/>
      <c r="CO1384" s="119"/>
      <c r="CP1384" s="118"/>
      <c r="CQ1384" s="119"/>
      <c r="CR1384" s="118"/>
      <c r="CS1384" s="119"/>
      <c r="CT1384" s="113"/>
      <c r="CU1384" s="118"/>
      <c r="CV1384" s="99">
        <f t="shared" si="131"/>
        <v>0</v>
      </c>
      <c r="CW1384" s="118"/>
      <c r="CX1384" s="119"/>
      <c r="CY1384" s="119"/>
      <c r="CZ1384" s="119"/>
      <c r="DA1384" s="118"/>
      <c r="DB1384" s="119"/>
      <c r="DC1384" s="111"/>
      <c r="DD1384" s="119"/>
      <c r="DE1384" s="111"/>
      <c r="DF1384" s="46"/>
    </row>
    <row r="1385" spans="1:255" s="42" customFormat="1" ht="24" x14ac:dyDescent="0.2">
      <c r="A1385" s="89">
        <v>40700</v>
      </c>
      <c r="B1385" s="106" t="s">
        <v>2218</v>
      </c>
      <c r="C1385" s="106" t="s">
        <v>4413</v>
      </c>
      <c r="D1385" s="90" t="s">
        <v>2362</v>
      </c>
      <c r="E1385" s="90" t="str">
        <f>VLOOKUP(B1385&amp;C1385,Divipola!$C$2:$F$1138,4,FALSE)</f>
        <v>05120</v>
      </c>
      <c r="F1385" s="90"/>
      <c r="G1385" s="279"/>
      <c r="H1385" s="279"/>
      <c r="I1385" s="279"/>
      <c r="J1385" s="129">
        <v>45</v>
      </c>
      <c r="K1385" s="129">
        <v>9</v>
      </c>
      <c r="L1385" s="129">
        <v>1</v>
      </c>
      <c r="M1385" s="129">
        <v>8</v>
      </c>
      <c r="N1385" s="129"/>
      <c r="O1385" s="129"/>
      <c r="P1385" s="129"/>
      <c r="Q1385" s="129"/>
      <c r="R1385" s="129"/>
      <c r="S1385" s="129"/>
      <c r="T1385" s="129"/>
      <c r="U1385" s="129"/>
      <c r="V1385" s="129"/>
      <c r="W1385" s="107"/>
      <c r="X1385" s="105"/>
      <c r="Y1385" s="92">
        <f t="shared" si="132"/>
        <v>0</v>
      </c>
      <c r="Z1385" s="92">
        <f t="shared" si="133"/>
        <v>0</v>
      </c>
      <c r="AA1385" s="92">
        <f t="shared" si="134"/>
        <v>0</v>
      </c>
      <c r="AB1385" s="92">
        <f t="shared" si="135"/>
        <v>0</v>
      </c>
      <c r="AC1385" s="92"/>
      <c r="AD1385" s="92">
        <v>0</v>
      </c>
      <c r="AE1385" s="92">
        <f t="shared" si="136"/>
        <v>0</v>
      </c>
      <c r="AF1385" s="93">
        <v>0</v>
      </c>
      <c r="AG1385" s="105"/>
      <c r="AH1385" s="108"/>
      <c r="AI1385" s="109" t="s">
        <v>4336</v>
      </c>
      <c r="AJ1385" s="110" t="s">
        <v>4337</v>
      </c>
      <c r="AK1385" s="280"/>
      <c r="AL1385" s="281"/>
      <c r="AM1385" s="112" t="s">
        <v>2116</v>
      </c>
      <c r="AN1385" s="107"/>
      <c r="AO1385" s="107"/>
      <c r="AP1385" s="107"/>
      <c r="AQ1385" s="107"/>
      <c r="AR1385" s="107"/>
      <c r="AS1385" s="107"/>
      <c r="AT1385" s="107"/>
      <c r="AU1385" s="107"/>
      <c r="AV1385" s="107"/>
      <c r="AW1385" s="107"/>
      <c r="AX1385" s="107"/>
      <c r="AY1385" s="107"/>
      <c r="AZ1385" s="107"/>
      <c r="BA1385" s="107"/>
      <c r="BB1385" s="107"/>
      <c r="BC1385" s="107"/>
      <c r="BD1385" s="107"/>
      <c r="BE1385" s="107"/>
      <c r="BF1385" s="107"/>
      <c r="BG1385" s="107"/>
      <c r="BH1385" s="107"/>
      <c r="BI1385" s="107"/>
      <c r="BJ1385" s="107"/>
      <c r="BK1385" s="107"/>
      <c r="BL1385" s="107"/>
      <c r="BM1385" s="107"/>
      <c r="BN1385" s="107"/>
      <c r="BO1385" s="107"/>
      <c r="BP1385" s="107"/>
      <c r="BQ1385" s="107"/>
      <c r="BR1385" s="107"/>
      <c r="BS1385" s="107"/>
      <c r="BT1385" s="107"/>
      <c r="BU1385" s="107"/>
      <c r="BV1385" s="107"/>
      <c r="BW1385" s="107"/>
      <c r="BX1385" s="107"/>
      <c r="BY1385" s="107"/>
      <c r="BZ1385" s="107"/>
      <c r="CA1385" s="107"/>
      <c r="CB1385" s="107"/>
      <c r="CC1385" s="107"/>
      <c r="CD1385" s="107"/>
      <c r="CE1385" s="107"/>
      <c r="CF1385" s="107"/>
      <c r="CG1385" s="107"/>
      <c r="CH1385" s="107"/>
      <c r="CI1385" s="107"/>
      <c r="CJ1385" s="107"/>
      <c r="CK1385" s="107"/>
      <c r="CL1385" s="107"/>
      <c r="CM1385" s="107"/>
      <c r="CN1385" s="118"/>
      <c r="CO1385" s="119"/>
      <c r="CP1385" s="118"/>
      <c r="CQ1385" s="119"/>
      <c r="CR1385" s="118"/>
      <c r="CS1385" s="119"/>
      <c r="CT1385" s="113"/>
      <c r="CU1385" s="118"/>
      <c r="CV1385" s="99">
        <f t="shared" si="131"/>
        <v>0</v>
      </c>
      <c r="CW1385" s="118"/>
      <c r="CX1385" s="119"/>
      <c r="CY1385" s="119"/>
      <c r="CZ1385" s="119"/>
      <c r="DA1385" s="118"/>
      <c r="DB1385" s="119"/>
      <c r="DC1385" s="111"/>
      <c r="DD1385" s="119"/>
      <c r="DE1385" s="111"/>
      <c r="DF1385" s="46"/>
    </row>
    <row r="1386" spans="1:255" s="42" customFormat="1" ht="36" x14ac:dyDescent="0.2">
      <c r="A1386" s="89">
        <v>40700</v>
      </c>
      <c r="B1386" s="106" t="s">
        <v>2218</v>
      </c>
      <c r="C1386" s="106" t="s">
        <v>3297</v>
      </c>
      <c r="D1386" s="90" t="s">
        <v>4264</v>
      </c>
      <c r="E1386" s="90" t="str">
        <f>VLOOKUP(B1386&amp;C1386,Divipola!$C$2:$F$1138,4,FALSE)</f>
        <v>05001</v>
      </c>
      <c r="F1386" s="90"/>
      <c r="G1386" s="279"/>
      <c r="H1386" s="279"/>
      <c r="I1386" s="279"/>
      <c r="J1386" s="129">
        <v>185</v>
      </c>
      <c r="K1386" s="129">
        <v>37</v>
      </c>
      <c r="L1386" s="129">
        <v>2</v>
      </c>
      <c r="M1386" s="129">
        <v>35</v>
      </c>
      <c r="N1386" s="129"/>
      <c r="O1386" s="129"/>
      <c r="P1386" s="129"/>
      <c r="Q1386" s="129"/>
      <c r="R1386" s="129"/>
      <c r="S1386" s="129"/>
      <c r="T1386" s="129"/>
      <c r="U1386" s="129"/>
      <c r="V1386" s="129"/>
      <c r="W1386" s="107"/>
      <c r="X1386" s="105"/>
      <c r="Y1386" s="92">
        <f t="shared" si="132"/>
        <v>0</v>
      </c>
      <c r="Z1386" s="92">
        <f t="shared" si="133"/>
        <v>0</v>
      </c>
      <c r="AA1386" s="92">
        <f t="shared" si="134"/>
        <v>0</v>
      </c>
      <c r="AB1386" s="92">
        <f t="shared" si="135"/>
        <v>0</v>
      </c>
      <c r="AC1386" s="92"/>
      <c r="AD1386" s="92">
        <v>0</v>
      </c>
      <c r="AE1386" s="92">
        <f t="shared" si="136"/>
        <v>0</v>
      </c>
      <c r="AF1386" s="93">
        <v>0</v>
      </c>
      <c r="AG1386" s="105"/>
      <c r="AH1386" s="108"/>
      <c r="AI1386" s="109" t="s">
        <v>4336</v>
      </c>
      <c r="AJ1386" s="110" t="s">
        <v>4337</v>
      </c>
      <c r="AK1386" s="280"/>
      <c r="AL1386" s="281"/>
      <c r="AM1386" s="112" t="s">
        <v>2115</v>
      </c>
      <c r="AN1386" s="107"/>
      <c r="AO1386" s="107"/>
      <c r="AP1386" s="107"/>
      <c r="AQ1386" s="107"/>
      <c r="AR1386" s="107"/>
      <c r="AS1386" s="107"/>
      <c r="AT1386" s="107"/>
      <c r="AU1386" s="107"/>
      <c r="AV1386" s="107"/>
      <c r="AW1386" s="107"/>
      <c r="AX1386" s="107"/>
      <c r="AY1386" s="107"/>
      <c r="AZ1386" s="107"/>
      <c r="BA1386" s="107"/>
      <c r="BB1386" s="107"/>
      <c r="BC1386" s="107"/>
      <c r="BD1386" s="107"/>
      <c r="BE1386" s="107"/>
      <c r="BF1386" s="107"/>
      <c r="BG1386" s="107"/>
      <c r="BH1386" s="107"/>
      <c r="BI1386" s="107"/>
      <c r="BJ1386" s="107"/>
      <c r="BK1386" s="107"/>
      <c r="BL1386" s="107"/>
      <c r="BM1386" s="107"/>
      <c r="BN1386" s="107"/>
      <c r="BO1386" s="107"/>
      <c r="BP1386" s="107"/>
      <c r="BQ1386" s="107"/>
      <c r="BR1386" s="107"/>
      <c r="BS1386" s="107"/>
      <c r="BT1386" s="107"/>
      <c r="BU1386" s="107"/>
      <c r="BV1386" s="107"/>
      <c r="BW1386" s="107"/>
      <c r="BX1386" s="107"/>
      <c r="BY1386" s="107"/>
      <c r="BZ1386" s="107"/>
      <c r="CA1386" s="107"/>
      <c r="CB1386" s="107"/>
      <c r="CC1386" s="107"/>
      <c r="CD1386" s="107"/>
      <c r="CE1386" s="107"/>
      <c r="CF1386" s="107"/>
      <c r="CG1386" s="107"/>
      <c r="CH1386" s="107"/>
      <c r="CI1386" s="107"/>
      <c r="CJ1386" s="107"/>
      <c r="CK1386" s="107"/>
      <c r="CL1386" s="107"/>
      <c r="CM1386" s="107"/>
      <c r="CN1386" s="118"/>
      <c r="CO1386" s="119"/>
      <c r="CP1386" s="118"/>
      <c r="CQ1386" s="119"/>
      <c r="CR1386" s="118"/>
      <c r="CS1386" s="119"/>
      <c r="CT1386" s="113"/>
      <c r="CU1386" s="118"/>
      <c r="CV1386" s="99">
        <f t="shared" si="131"/>
        <v>0</v>
      </c>
      <c r="CW1386" s="118"/>
      <c r="CX1386" s="119"/>
      <c r="CY1386" s="119"/>
      <c r="CZ1386" s="119"/>
      <c r="DA1386" s="118"/>
      <c r="DB1386" s="119"/>
      <c r="DC1386" s="111"/>
      <c r="DD1386" s="119"/>
      <c r="DE1386" s="111"/>
      <c r="DF1386" s="46"/>
    </row>
    <row r="1387" spans="1:255" s="42" customFormat="1" ht="48" x14ac:dyDescent="0.2">
      <c r="A1387" s="89">
        <v>40700</v>
      </c>
      <c r="B1387" s="90" t="s">
        <v>1116</v>
      </c>
      <c r="C1387" s="90" t="s">
        <v>1116</v>
      </c>
      <c r="D1387" s="90" t="s">
        <v>4264</v>
      </c>
      <c r="E1387" s="90" t="str">
        <f>VLOOKUP(B1387&amp;C1387,Divipola!$C$2:$F$1138,4,FALSE)</f>
        <v>11001</v>
      </c>
      <c r="F1387" s="90"/>
      <c r="G1387" s="279"/>
      <c r="H1387" s="279"/>
      <c r="I1387" s="279"/>
      <c r="J1387" s="279"/>
      <c r="K1387" s="279"/>
      <c r="L1387" s="279"/>
      <c r="M1387" s="279"/>
      <c r="N1387" s="129"/>
      <c r="O1387" s="129"/>
      <c r="P1387" s="129"/>
      <c r="Q1387" s="129"/>
      <c r="R1387" s="129"/>
      <c r="S1387" s="129"/>
      <c r="T1387" s="129"/>
      <c r="U1387" s="129"/>
      <c r="V1387" s="129"/>
      <c r="W1387" s="107"/>
      <c r="X1387" s="105"/>
      <c r="Y1387" s="92">
        <f t="shared" si="132"/>
        <v>0</v>
      </c>
      <c r="Z1387" s="92">
        <f t="shared" si="133"/>
        <v>0</v>
      </c>
      <c r="AA1387" s="92">
        <f t="shared" si="134"/>
        <v>0</v>
      </c>
      <c r="AB1387" s="92">
        <f t="shared" si="135"/>
        <v>0</v>
      </c>
      <c r="AC1387" s="92"/>
      <c r="AD1387" s="92">
        <v>0</v>
      </c>
      <c r="AE1387" s="92">
        <f t="shared" si="136"/>
        <v>0</v>
      </c>
      <c r="AF1387" s="93">
        <v>0</v>
      </c>
      <c r="AG1387" s="105"/>
      <c r="AH1387" s="108"/>
      <c r="AI1387" s="109" t="s">
        <v>4336</v>
      </c>
      <c r="AJ1387" s="110" t="s">
        <v>4337</v>
      </c>
      <c r="AK1387" s="280"/>
      <c r="AL1387" s="281"/>
      <c r="AM1387" s="112" t="s">
        <v>2123</v>
      </c>
      <c r="AN1387" s="107"/>
      <c r="AO1387" s="107"/>
      <c r="AP1387" s="107"/>
      <c r="AQ1387" s="107"/>
      <c r="AR1387" s="107"/>
      <c r="AS1387" s="107"/>
      <c r="AT1387" s="107"/>
      <c r="AU1387" s="107"/>
      <c r="AV1387" s="107"/>
      <c r="AW1387" s="107"/>
      <c r="AX1387" s="107"/>
      <c r="AY1387" s="107"/>
      <c r="AZ1387" s="107"/>
      <c r="BA1387" s="107"/>
      <c r="BB1387" s="107"/>
      <c r="BC1387" s="107"/>
      <c r="BD1387" s="107"/>
      <c r="BE1387" s="107"/>
      <c r="BF1387" s="107"/>
      <c r="BG1387" s="107"/>
      <c r="BH1387" s="107"/>
      <c r="BI1387" s="107"/>
      <c r="BJ1387" s="107"/>
      <c r="BK1387" s="107"/>
      <c r="BL1387" s="107"/>
      <c r="BM1387" s="107"/>
      <c r="BN1387" s="107"/>
      <c r="BO1387" s="107"/>
      <c r="BP1387" s="107"/>
      <c r="BQ1387" s="107"/>
      <c r="BR1387" s="107"/>
      <c r="BS1387" s="107"/>
      <c r="BT1387" s="107"/>
      <c r="BU1387" s="107"/>
      <c r="BV1387" s="107"/>
      <c r="BW1387" s="107"/>
      <c r="BX1387" s="107"/>
      <c r="BY1387" s="107"/>
      <c r="BZ1387" s="107"/>
      <c r="CA1387" s="107"/>
      <c r="CB1387" s="107"/>
      <c r="CC1387" s="107"/>
      <c r="CD1387" s="107"/>
      <c r="CE1387" s="107"/>
      <c r="CF1387" s="107"/>
      <c r="CG1387" s="107"/>
      <c r="CH1387" s="107"/>
      <c r="CI1387" s="107"/>
      <c r="CJ1387" s="107"/>
      <c r="CK1387" s="107"/>
      <c r="CL1387" s="107"/>
      <c r="CM1387" s="107"/>
      <c r="CN1387" s="118"/>
      <c r="CO1387" s="119"/>
      <c r="CP1387" s="118"/>
      <c r="CQ1387" s="119"/>
      <c r="CR1387" s="118"/>
      <c r="CS1387" s="119"/>
      <c r="CT1387" s="113"/>
      <c r="CU1387" s="118"/>
      <c r="CV1387" s="99">
        <f t="shared" si="131"/>
        <v>0</v>
      </c>
      <c r="CW1387" s="118"/>
      <c r="CX1387" s="119"/>
      <c r="CY1387" s="119"/>
      <c r="CZ1387" s="119"/>
      <c r="DA1387" s="118"/>
      <c r="DB1387" s="119"/>
      <c r="DC1387" s="111"/>
      <c r="DD1387" s="119"/>
      <c r="DE1387" s="111"/>
      <c r="DF1387" s="46"/>
    </row>
    <row r="1388" spans="1:255" s="42" customFormat="1" ht="108" x14ac:dyDescent="0.2">
      <c r="A1388" s="89">
        <v>40700</v>
      </c>
      <c r="B1388" s="16" t="s">
        <v>4296</v>
      </c>
      <c r="C1388" s="16" t="s">
        <v>4352</v>
      </c>
      <c r="D1388" s="90" t="s">
        <v>4264</v>
      </c>
      <c r="E1388" s="90" t="str">
        <f>VLOOKUP(B1388&amp;C1388,Divipola!$C$2:$F$1138,4,FALSE)</f>
        <v>19100</v>
      </c>
      <c r="F1388" s="4"/>
      <c r="G1388" s="208"/>
      <c r="H1388" s="208"/>
      <c r="I1388" s="208"/>
      <c r="J1388" s="208">
        <f>27*5</f>
        <v>135</v>
      </c>
      <c r="K1388" s="208">
        <v>27</v>
      </c>
      <c r="L1388" s="208"/>
      <c r="M1388" s="208"/>
      <c r="N1388" s="208"/>
      <c r="O1388" s="208"/>
      <c r="P1388" s="208"/>
      <c r="Q1388" s="208"/>
      <c r="R1388" s="208"/>
      <c r="S1388" s="208"/>
      <c r="T1388" s="208"/>
      <c r="U1388" s="208"/>
      <c r="V1388" s="208">
        <v>21.54</v>
      </c>
      <c r="W1388" s="19" t="s">
        <v>26</v>
      </c>
      <c r="X1388" s="17"/>
      <c r="Y1388" s="5">
        <f t="shared" si="132"/>
        <v>0</v>
      </c>
      <c r="Z1388" s="5">
        <f t="shared" si="133"/>
        <v>0</v>
      </c>
      <c r="AA1388" s="5">
        <f t="shared" si="134"/>
        <v>0</v>
      </c>
      <c r="AB1388" s="5">
        <f t="shared" si="135"/>
        <v>0</v>
      </c>
      <c r="AC1388" s="5"/>
      <c r="AD1388" s="5">
        <v>0</v>
      </c>
      <c r="AE1388" s="5">
        <f t="shared" si="136"/>
        <v>0</v>
      </c>
      <c r="AF1388" s="70">
        <v>0</v>
      </c>
      <c r="AG1388" s="17"/>
      <c r="AH1388" s="18"/>
      <c r="AI1388" s="47" t="s">
        <v>4336</v>
      </c>
      <c r="AJ1388" s="73" t="s">
        <v>4337</v>
      </c>
      <c r="AK1388" s="45"/>
      <c r="AL1388" s="17"/>
      <c r="AM1388" s="20" t="s">
        <v>25</v>
      </c>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19"/>
      <c r="BX1388" s="19"/>
      <c r="BY1388" s="19"/>
      <c r="BZ1388" s="19"/>
      <c r="CA1388" s="19"/>
      <c r="CB1388" s="19"/>
      <c r="CC1388" s="19"/>
      <c r="CD1388" s="19"/>
      <c r="CE1388" s="19"/>
      <c r="CF1388" s="19"/>
      <c r="CG1388" s="19"/>
      <c r="CH1388" s="19"/>
      <c r="CI1388" s="19"/>
      <c r="CJ1388" s="19"/>
      <c r="CK1388" s="19"/>
      <c r="CL1388" s="19"/>
      <c r="CM1388" s="19"/>
      <c r="CN1388" s="139"/>
      <c r="CO1388" s="138"/>
      <c r="CP1388" s="139"/>
      <c r="CQ1388" s="138"/>
      <c r="CR1388" s="139"/>
      <c r="CS1388" s="138"/>
      <c r="CT1388" s="72"/>
      <c r="CU1388" s="139"/>
      <c r="CV1388" s="99">
        <f t="shared" si="131"/>
        <v>0</v>
      </c>
      <c r="CW1388" s="139"/>
      <c r="CX1388" s="138"/>
      <c r="CY1388" s="138"/>
      <c r="CZ1388" s="138"/>
      <c r="DA1388" s="139"/>
      <c r="DB1388" s="138"/>
      <c r="DC1388" s="45"/>
      <c r="DD1388" s="138"/>
      <c r="DE1388" s="45"/>
      <c r="DF1388" s="46"/>
    </row>
    <row r="1389" spans="1:255" s="42" customFormat="1" ht="22.5" x14ac:dyDescent="0.2">
      <c r="A1389" s="89">
        <v>40700</v>
      </c>
      <c r="B1389" s="106" t="s">
        <v>4344</v>
      </c>
      <c r="C1389" s="106" t="s">
        <v>2154</v>
      </c>
      <c r="D1389" s="90" t="s">
        <v>2362</v>
      </c>
      <c r="E1389" s="90" t="str">
        <f>VLOOKUP(B1389&amp;C1389,Divipola!$C$2:$F$1138,4,FALSE)</f>
        <v>25645</v>
      </c>
      <c r="F1389" s="90"/>
      <c r="G1389" s="129"/>
      <c r="H1389" s="129"/>
      <c r="I1389" s="129"/>
      <c r="J1389" s="129">
        <v>50</v>
      </c>
      <c r="K1389" s="129">
        <v>10</v>
      </c>
      <c r="L1389" s="129"/>
      <c r="M1389" s="129">
        <v>10</v>
      </c>
      <c r="N1389" s="129"/>
      <c r="O1389" s="129"/>
      <c r="P1389" s="129"/>
      <c r="Q1389" s="129"/>
      <c r="R1389" s="129"/>
      <c r="S1389" s="129"/>
      <c r="T1389" s="129"/>
      <c r="U1389" s="129"/>
      <c r="V1389" s="129"/>
      <c r="W1389" s="107"/>
      <c r="X1389" s="105"/>
      <c r="Y1389" s="92">
        <f t="shared" si="132"/>
        <v>0</v>
      </c>
      <c r="Z1389" s="92">
        <f t="shared" si="133"/>
        <v>0</v>
      </c>
      <c r="AA1389" s="92">
        <f t="shared" si="134"/>
        <v>0</v>
      </c>
      <c r="AB1389" s="92">
        <f t="shared" si="135"/>
        <v>0</v>
      </c>
      <c r="AC1389" s="92"/>
      <c r="AD1389" s="92">
        <v>0</v>
      </c>
      <c r="AE1389" s="92">
        <f t="shared" si="136"/>
        <v>0</v>
      </c>
      <c r="AF1389" s="93">
        <v>0</v>
      </c>
      <c r="AG1389" s="105"/>
      <c r="AH1389" s="108"/>
      <c r="AI1389" s="109" t="s">
        <v>4346</v>
      </c>
      <c r="AJ1389" s="110" t="s">
        <v>4347</v>
      </c>
      <c r="AK1389" s="111"/>
      <c r="AL1389" s="105" t="s">
        <v>928</v>
      </c>
      <c r="AM1389" s="112" t="s">
        <v>2126</v>
      </c>
      <c r="AN1389" s="107"/>
      <c r="AO1389" s="107"/>
      <c r="AP1389" s="107"/>
      <c r="AQ1389" s="107"/>
      <c r="AR1389" s="107"/>
      <c r="AS1389" s="107"/>
      <c r="AT1389" s="107"/>
      <c r="AU1389" s="107"/>
      <c r="AV1389" s="107"/>
      <c r="AW1389" s="107"/>
      <c r="AX1389" s="107"/>
      <c r="AY1389" s="107"/>
      <c r="AZ1389" s="107"/>
      <c r="BA1389" s="107"/>
      <c r="BB1389" s="107"/>
      <c r="BC1389" s="107"/>
      <c r="BD1389" s="107"/>
      <c r="BE1389" s="107"/>
      <c r="BF1389" s="107"/>
      <c r="BG1389" s="107"/>
      <c r="BH1389" s="107"/>
      <c r="BI1389" s="107"/>
      <c r="BJ1389" s="107"/>
      <c r="BK1389" s="107"/>
      <c r="BL1389" s="107"/>
      <c r="BM1389" s="107"/>
      <c r="BN1389" s="107"/>
      <c r="BO1389" s="107"/>
      <c r="BP1389" s="107"/>
      <c r="BQ1389" s="107"/>
      <c r="BR1389" s="107"/>
      <c r="BS1389" s="107"/>
      <c r="BT1389" s="107"/>
      <c r="BU1389" s="107"/>
      <c r="BV1389" s="107"/>
      <c r="BW1389" s="107"/>
      <c r="BX1389" s="107"/>
      <c r="BY1389" s="107"/>
      <c r="BZ1389" s="107"/>
      <c r="CA1389" s="107"/>
      <c r="CB1389" s="107"/>
      <c r="CC1389" s="107"/>
      <c r="CD1389" s="107"/>
      <c r="CE1389" s="107"/>
      <c r="CF1389" s="107"/>
      <c r="CG1389" s="107"/>
      <c r="CH1389" s="107"/>
      <c r="CI1389" s="107"/>
      <c r="CJ1389" s="107"/>
      <c r="CK1389" s="107"/>
      <c r="CL1389" s="107"/>
      <c r="CM1389" s="107"/>
      <c r="CN1389" s="118"/>
      <c r="CO1389" s="119"/>
      <c r="CP1389" s="118"/>
      <c r="CQ1389" s="119"/>
      <c r="CR1389" s="118"/>
      <c r="CS1389" s="119"/>
      <c r="CT1389" s="113"/>
      <c r="CU1389" s="118"/>
      <c r="CV1389" s="99">
        <f t="shared" si="131"/>
        <v>0</v>
      </c>
      <c r="CW1389" s="118"/>
      <c r="CX1389" s="119"/>
      <c r="CY1389" s="119"/>
      <c r="CZ1389" s="119"/>
      <c r="DA1389" s="118"/>
      <c r="DB1389" s="119"/>
      <c r="DC1389" s="111"/>
      <c r="DD1389" s="119"/>
      <c r="DE1389" s="111"/>
      <c r="DF1389" s="46"/>
    </row>
    <row r="1390" spans="1:255" s="42" customFormat="1" ht="24" x14ac:dyDescent="0.2">
      <c r="A1390" s="89">
        <v>40700</v>
      </c>
      <c r="B1390" s="106" t="s">
        <v>874</v>
      </c>
      <c r="C1390" s="106" t="s">
        <v>715</v>
      </c>
      <c r="D1390" s="90" t="s">
        <v>4264</v>
      </c>
      <c r="E1390" s="90" t="str">
        <f>VLOOKUP(B1390&amp;C1390,Divipola!$C$2:$F$1138,4,FALSE)</f>
        <v>44110</v>
      </c>
      <c r="F1390" s="90"/>
      <c r="G1390" s="279"/>
      <c r="H1390" s="279"/>
      <c r="I1390" s="129"/>
      <c r="J1390" s="129">
        <v>550</v>
      </c>
      <c r="K1390" s="129">
        <v>110</v>
      </c>
      <c r="L1390" s="129"/>
      <c r="M1390" s="129">
        <v>110</v>
      </c>
      <c r="N1390" s="129"/>
      <c r="O1390" s="129"/>
      <c r="P1390" s="129"/>
      <c r="Q1390" s="129"/>
      <c r="R1390" s="129"/>
      <c r="S1390" s="129"/>
      <c r="T1390" s="129"/>
      <c r="U1390" s="129"/>
      <c r="V1390" s="129"/>
      <c r="W1390" s="107"/>
      <c r="X1390" s="105"/>
      <c r="Y1390" s="92">
        <f t="shared" si="132"/>
        <v>0</v>
      </c>
      <c r="Z1390" s="92">
        <f t="shared" si="133"/>
        <v>0</v>
      </c>
      <c r="AA1390" s="92">
        <f t="shared" si="134"/>
        <v>0</v>
      </c>
      <c r="AB1390" s="92">
        <f t="shared" si="135"/>
        <v>0</v>
      </c>
      <c r="AC1390" s="92"/>
      <c r="AD1390" s="92">
        <v>0</v>
      </c>
      <c r="AE1390" s="92">
        <f t="shared" si="136"/>
        <v>0</v>
      </c>
      <c r="AF1390" s="93">
        <v>0</v>
      </c>
      <c r="AG1390" s="105"/>
      <c r="AH1390" s="108"/>
      <c r="AI1390" s="109" t="s">
        <v>4336</v>
      </c>
      <c r="AJ1390" s="110" t="s">
        <v>4337</v>
      </c>
      <c r="AK1390" s="280"/>
      <c r="AL1390" s="281"/>
      <c r="AM1390" s="112" t="s">
        <v>2128</v>
      </c>
      <c r="AN1390" s="107"/>
      <c r="AO1390" s="107"/>
      <c r="AP1390" s="107"/>
      <c r="AQ1390" s="107"/>
      <c r="AR1390" s="107"/>
      <c r="AS1390" s="107"/>
      <c r="AT1390" s="107"/>
      <c r="AU1390" s="107"/>
      <c r="AV1390" s="107"/>
      <c r="AW1390" s="107"/>
      <c r="AX1390" s="107"/>
      <c r="AY1390" s="107"/>
      <c r="AZ1390" s="107"/>
      <c r="BA1390" s="107"/>
      <c r="BB1390" s="107"/>
      <c r="BC1390" s="107"/>
      <c r="BD1390" s="107"/>
      <c r="BE1390" s="107"/>
      <c r="BF1390" s="107"/>
      <c r="BG1390" s="107"/>
      <c r="BH1390" s="107"/>
      <c r="BI1390" s="107"/>
      <c r="BJ1390" s="107"/>
      <c r="BK1390" s="107"/>
      <c r="BL1390" s="107"/>
      <c r="BM1390" s="107"/>
      <c r="BN1390" s="107"/>
      <c r="BO1390" s="107"/>
      <c r="BP1390" s="107"/>
      <c r="BQ1390" s="107"/>
      <c r="BR1390" s="107"/>
      <c r="BS1390" s="107"/>
      <c r="BT1390" s="107"/>
      <c r="BU1390" s="107"/>
      <c r="BV1390" s="107"/>
      <c r="BW1390" s="107"/>
      <c r="BX1390" s="107"/>
      <c r="BY1390" s="107"/>
      <c r="BZ1390" s="107"/>
      <c r="CA1390" s="107"/>
      <c r="CB1390" s="107"/>
      <c r="CC1390" s="107"/>
      <c r="CD1390" s="107"/>
      <c r="CE1390" s="107"/>
      <c r="CF1390" s="107"/>
      <c r="CG1390" s="107"/>
      <c r="CH1390" s="107"/>
      <c r="CI1390" s="107"/>
      <c r="CJ1390" s="107"/>
      <c r="CK1390" s="107"/>
      <c r="CL1390" s="107"/>
      <c r="CM1390" s="107"/>
      <c r="CN1390" s="118"/>
      <c r="CO1390" s="119"/>
      <c r="CP1390" s="118"/>
      <c r="CQ1390" s="119"/>
      <c r="CR1390" s="118"/>
      <c r="CS1390" s="119"/>
      <c r="CT1390" s="113"/>
      <c r="CU1390" s="118"/>
      <c r="CV1390" s="99">
        <f t="shared" si="131"/>
        <v>0</v>
      </c>
      <c r="CW1390" s="118"/>
      <c r="CX1390" s="119"/>
      <c r="CY1390" s="119"/>
      <c r="CZ1390" s="119"/>
      <c r="DA1390" s="118"/>
      <c r="DB1390" s="119"/>
      <c r="DC1390" s="111"/>
      <c r="DD1390" s="119"/>
      <c r="DE1390" s="111"/>
      <c r="DF1390" s="46"/>
    </row>
    <row r="1391" spans="1:255" s="42" customFormat="1" ht="24" x14ac:dyDescent="0.2">
      <c r="A1391" s="89">
        <v>40701</v>
      </c>
      <c r="B1391" s="106" t="s">
        <v>2218</v>
      </c>
      <c r="C1391" s="106" t="s">
        <v>3960</v>
      </c>
      <c r="D1391" s="90" t="s">
        <v>4264</v>
      </c>
      <c r="E1391" s="90" t="str">
        <f>VLOOKUP(B1391&amp;C1391,Divipola!$C$2:$F$1138,4,FALSE)</f>
        <v>05411</v>
      </c>
      <c r="F1391" s="90"/>
      <c r="G1391" s="129"/>
      <c r="H1391" s="279"/>
      <c r="I1391" s="279"/>
      <c r="J1391" s="129">
        <v>585</v>
      </c>
      <c r="K1391" s="129">
        <v>130</v>
      </c>
      <c r="L1391" s="129"/>
      <c r="M1391" s="129">
        <v>130</v>
      </c>
      <c r="N1391" s="129"/>
      <c r="O1391" s="129"/>
      <c r="P1391" s="129"/>
      <c r="Q1391" s="129"/>
      <c r="R1391" s="129"/>
      <c r="S1391" s="129"/>
      <c r="T1391" s="129"/>
      <c r="U1391" s="129"/>
      <c r="V1391" s="129"/>
      <c r="W1391" s="107"/>
      <c r="X1391" s="105"/>
      <c r="Y1391" s="92">
        <f t="shared" si="132"/>
        <v>0</v>
      </c>
      <c r="Z1391" s="92">
        <f t="shared" si="133"/>
        <v>0</v>
      </c>
      <c r="AA1391" s="92">
        <f t="shared" si="134"/>
        <v>0</v>
      </c>
      <c r="AB1391" s="92">
        <f t="shared" si="135"/>
        <v>0</v>
      </c>
      <c r="AC1391" s="92"/>
      <c r="AD1391" s="92">
        <v>0</v>
      </c>
      <c r="AE1391" s="92">
        <f t="shared" si="136"/>
        <v>0</v>
      </c>
      <c r="AF1391" s="93">
        <v>0</v>
      </c>
      <c r="AG1391" s="105"/>
      <c r="AH1391" s="108"/>
      <c r="AI1391" s="109" t="s">
        <v>4336</v>
      </c>
      <c r="AJ1391" s="110" t="s">
        <v>4337</v>
      </c>
      <c r="AK1391" s="280"/>
      <c r="AL1391" s="281"/>
      <c r="AM1391" s="112" t="s">
        <v>2121</v>
      </c>
      <c r="AN1391" s="107"/>
      <c r="AO1391" s="107"/>
      <c r="AP1391" s="107"/>
      <c r="AQ1391" s="107"/>
      <c r="AR1391" s="107"/>
      <c r="AS1391" s="107"/>
      <c r="AT1391" s="107"/>
      <c r="AU1391" s="107"/>
      <c r="AV1391" s="107"/>
      <c r="AW1391" s="107"/>
      <c r="AX1391" s="107"/>
      <c r="AY1391" s="107"/>
      <c r="AZ1391" s="107"/>
      <c r="BA1391" s="107"/>
      <c r="BB1391" s="107"/>
      <c r="BC1391" s="107"/>
      <c r="BD1391" s="107"/>
      <c r="BE1391" s="107"/>
      <c r="BF1391" s="107"/>
      <c r="BG1391" s="107"/>
      <c r="BH1391" s="107"/>
      <c r="BI1391" s="107"/>
      <c r="BJ1391" s="107"/>
      <c r="BK1391" s="107"/>
      <c r="BL1391" s="107"/>
      <c r="BM1391" s="107"/>
      <c r="BN1391" s="107"/>
      <c r="BO1391" s="107"/>
      <c r="BP1391" s="107"/>
      <c r="BQ1391" s="107"/>
      <c r="BR1391" s="107"/>
      <c r="BS1391" s="107"/>
      <c r="BT1391" s="107"/>
      <c r="BU1391" s="107"/>
      <c r="BV1391" s="107"/>
      <c r="BW1391" s="107"/>
      <c r="BX1391" s="107"/>
      <c r="BY1391" s="107"/>
      <c r="BZ1391" s="107"/>
      <c r="CA1391" s="107"/>
      <c r="CB1391" s="107"/>
      <c r="CC1391" s="107"/>
      <c r="CD1391" s="107"/>
      <c r="CE1391" s="107"/>
      <c r="CF1391" s="107"/>
      <c r="CG1391" s="107"/>
      <c r="CH1391" s="107"/>
      <c r="CI1391" s="107"/>
      <c r="CJ1391" s="107"/>
      <c r="CK1391" s="107"/>
      <c r="CL1391" s="107"/>
      <c r="CM1391" s="107"/>
      <c r="CN1391" s="118"/>
      <c r="CO1391" s="119"/>
      <c r="CP1391" s="118"/>
      <c r="CQ1391" s="119"/>
      <c r="CR1391" s="118"/>
      <c r="CS1391" s="119"/>
      <c r="CT1391" s="113"/>
      <c r="CU1391" s="118"/>
      <c r="CV1391" s="99">
        <f t="shared" si="131"/>
        <v>0</v>
      </c>
      <c r="CW1391" s="118"/>
      <c r="CX1391" s="119"/>
      <c r="CY1391" s="119"/>
      <c r="CZ1391" s="119"/>
      <c r="DA1391" s="118"/>
      <c r="DB1391" s="119"/>
      <c r="DC1391" s="111"/>
      <c r="DD1391" s="119"/>
      <c r="DE1391" s="111"/>
      <c r="DF1391" s="46"/>
    </row>
    <row r="1392" spans="1:255" s="42" customFormat="1" x14ac:dyDescent="0.2">
      <c r="A1392" s="89">
        <v>40701</v>
      </c>
      <c r="B1392" s="106" t="s">
        <v>2218</v>
      </c>
      <c r="C1392" s="106" t="s">
        <v>3500</v>
      </c>
      <c r="D1392" s="90" t="s">
        <v>4264</v>
      </c>
      <c r="E1392" s="90" t="str">
        <f>VLOOKUP(B1392&amp;C1392,Divipola!$C$2:$F$1138,4,FALSE)</f>
        <v>05756</v>
      </c>
      <c r="F1392" s="90"/>
      <c r="G1392" s="129"/>
      <c r="H1392" s="279"/>
      <c r="I1392" s="279"/>
      <c r="J1392" s="129">
        <v>675</v>
      </c>
      <c r="K1392" s="129">
        <v>150</v>
      </c>
      <c r="L1392" s="129"/>
      <c r="M1392" s="129">
        <v>150</v>
      </c>
      <c r="N1392" s="129"/>
      <c r="O1392" s="129"/>
      <c r="P1392" s="129"/>
      <c r="Q1392" s="129"/>
      <c r="R1392" s="129"/>
      <c r="S1392" s="129"/>
      <c r="T1392" s="129"/>
      <c r="U1392" s="129"/>
      <c r="V1392" s="129"/>
      <c r="W1392" s="107"/>
      <c r="X1392" s="105"/>
      <c r="Y1392" s="92">
        <f t="shared" si="132"/>
        <v>0</v>
      </c>
      <c r="Z1392" s="92">
        <f t="shared" si="133"/>
        <v>0</v>
      </c>
      <c r="AA1392" s="92">
        <f t="shared" si="134"/>
        <v>0</v>
      </c>
      <c r="AB1392" s="92">
        <f t="shared" si="135"/>
        <v>0</v>
      </c>
      <c r="AC1392" s="92"/>
      <c r="AD1392" s="92">
        <v>0</v>
      </c>
      <c r="AE1392" s="92">
        <f t="shared" si="136"/>
        <v>0</v>
      </c>
      <c r="AF1392" s="93">
        <v>0</v>
      </c>
      <c r="AG1392" s="105"/>
      <c r="AH1392" s="108"/>
      <c r="AI1392" s="109" t="s">
        <v>4336</v>
      </c>
      <c r="AJ1392" s="110" t="s">
        <v>4337</v>
      </c>
      <c r="AK1392" s="280"/>
      <c r="AL1392" s="281"/>
      <c r="AM1392" s="112" t="s">
        <v>2119</v>
      </c>
      <c r="AN1392" s="107"/>
      <c r="AO1392" s="107"/>
      <c r="AP1392" s="107"/>
      <c r="AQ1392" s="107"/>
      <c r="AR1392" s="107"/>
      <c r="AS1392" s="107"/>
      <c r="AT1392" s="107"/>
      <c r="AU1392" s="107"/>
      <c r="AV1392" s="107"/>
      <c r="AW1392" s="107"/>
      <c r="AX1392" s="107"/>
      <c r="AY1392" s="107"/>
      <c r="AZ1392" s="107"/>
      <c r="BA1392" s="107"/>
      <c r="BB1392" s="107"/>
      <c r="BC1392" s="107"/>
      <c r="BD1392" s="107"/>
      <c r="BE1392" s="107"/>
      <c r="BF1392" s="107"/>
      <c r="BG1392" s="107"/>
      <c r="BH1392" s="107"/>
      <c r="BI1392" s="107"/>
      <c r="BJ1392" s="107"/>
      <c r="BK1392" s="107"/>
      <c r="BL1392" s="107"/>
      <c r="BM1392" s="107"/>
      <c r="BN1392" s="107"/>
      <c r="BO1392" s="107"/>
      <c r="BP1392" s="107"/>
      <c r="BQ1392" s="107"/>
      <c r="BR1392" s="107"/>
      <c r="BS1392" s="107"/>
      <c r="BT1392" s="107"/>
      <c r="BU1392" s="107"/>
      <c r="BV1392" s="107"/>
      <c r="BW1392" s="107"/>
      <c r="BX1392" s="107"/>
      <c r="BY1392" s="107"/>
      <c r="BZ1392" s="107"/>
      <c r="CA1392" s="107"/>
      <c r="CB1392" s="107"/>
      <c r="CC1392" s="107"/>
      <c r="CD1392" s="107"/>
      <c r="CE1392" s="107"/>
      <c r="CF1392" s="107"/>
      <c r="CG1392" s="107"/>
      <c r="CH1392" s="107"/>
      <c r="CI1392" s="107"/>
      <c r="CJ1392" s="107"/>
      <c r="CK1392" s="107"/>
      <c r="CL1392" s="107"/>
      <c r="CM1392" s="107"/>
      <c r="CN1392" s="118"/>
      <c r="CO1392" s="119"/>
      <c r="CP1392" s="118"/>
      <c r="CQ1392" s="119"/>
      <c r="CR1392" s="118"/>
      <c r="CS1392" s="119"/>
      <c r="CT1392" s="113"/>
      <c r="CU1392" s="118"/>
      <c r="CV1392" s="99">
        <f t="shared" si="131"/>
        <v>0</v>
      </c>
      <c r="CW1392" s="118"/>
      <c r="CX1392" s="119"/>
      <c r="CY1392" s="119"/>
      <c r="CZ1392" s="119"/>
      <c r="DA1392" s="118"/>
      <c r="DB1392" s="119"/>
      <c r="DC1392" s="111"/>
      <c r="DD1392" s="119"/>
      <c r="DE1392" s="111"/>
      <c r="DF1392" s="46"/>
    </row>
    <row r="1393" spans="1:255" s="42" customFormat="1" x14ac:dyDescent="0.2">
      <c r="A1393" s="89">
        <v>40701</v>
      </c>
      <c r="B1393" s="106" t="s">
        <v>2218</v>
      </c>
      <c r="C1393" s="106" t="s">
        <v>4093</v>
      </c>
      <c r="D1393" s="90" t="s">
        <v>4264</v>
      </c>
      <c r="E1393" s="90" t="str">
        <f>VLOOKUP(B1393&amp;C1393,Divipola!$C$2:$F$1138,4,FALSE)</f>
        <v>05858</v>
      </c>
      <c r="F1393" s="90"/>
      <c r="G1393" s="129"/>
      <c r="H1393" s="279"/>
      <c r="I1393" s="279"/>
      <c r="J1393" s="129">
        <v>450</v>
      </c>
      <c r="K1393" s="129">
        <v>100</v>
      </c>
      <c r="L1393" s="129"/>
      <c r="M1393" s="129">
        <v>100</v>
      </c>
      <c r="N1393" s="129"/>
      <c r="O1393" s="129"/>
      <c r="P1393" s="129"/>
      <c r="Q1393" s="129"/>
      <c r="R1393" s="129"/>
      <c r="S1393" s="129"/>
      <c r="T1393" s="129"/>
      <c r="U1393" s="129"/>
      <c r="V1393" s="129"/>
      <c r="W1393" s="107"/>
      <c r="X1393" s="105"/>
      <c r="Y1393" s="92">
        <f t="shared" si="132"/>
        <v>0</v>
      </c>
      <c r="Z1393" s="92">
        <f t="shared" si="133"/>
        <v>0</v>
      </c>
      <c r="AA1393" s="92">
        <f t="shared" si="134"/>
        <v>0</v>
      </c>
      <c r="AB1393" s="92">
        <f t="shared" si="135"/>
        <v>0</v>
      </c>
      <c r="AC1393" s="92"/>
      <c r="AD1393" s="92">
        <v>0</v>
      </c>
      <c r="AE1393" s="92">
        <f t="shared" si="136"/>
        <v>0</v>
      </c>
      <c r="AF1393" s="93">
        <v>0</v>
      </c>
      <c r="AG1393" s="105"/>
      <c r="AH1393" s="108"/>
      <c r="AI1393" s="109" t="s">
        <v>4336</v>
      </c>
      <c r="AJ1393" s="110" t="s">
        <v>4337</v>
      </c>
      <c r="AK1393" s="280"/>
      <c r="AL1393" s="281"/>
      <c r="AM1393" s="112" t="s">
        <v>2120</v>
      </c>
      <c r="AN1393" s="107"/>
      <c r="AO1393" s="107"/>
      <c r="AP1393" s="107"/>
      <c r="AQ1393" s="107"/>
      <c r="AR1393" s="107"/>
      <c r="AS1393" s="107"/>
      <c r="AT1393" s="107"/>
      <c r="AU1393" s="107"/>
      <c r="AV1393" s="107"/>
      <c r="AW1393" s="107"/>
      <c r="AX1393" s="107"/>
      <c r="AY1393" s="107"/>
      <c r="AZ1393" s="107"/>
      <c r="BA1393" s="107"/>
      <c r="BB1393" s="107"/>
      <c r="BC1393" s="107"/>
      <c r="BD1393" s="107"/>
      <c r="BE1393" s="107"/>
      <c r="BF1393" s="107"/>
      <c r="BG1393" s="107"/>
      <c r="BH1393" s="107"/>
      <c r="BI1393" s="107"/>
      <c r="BJ1393" s="107"/>
      <c r="BK1393" s="107"/>
      <c r="BL1393" s="107"/>
      <c r="BM1393" s="107"/>
      <c r="BN1393" s="107"/>
      <c r="BO1393" s="107"/>
      <c r="BP1393" s="107"/>
      <c r="BQ1393" s="107"/>
      <c r="BR1393" s="107"/>
      <c r="BS1393" s="107"/>
      <c r="BT1393" s="107"/>
      <c r="BU1393" s="107"/>
      <c r="BV1393" s="107"/>
      <c r="BW1393" s="107"/>
      <c r="BX1393" s="107"/>
      <c r="BY1393" s="107"/>
      <c r="BZ1393" s="107"/>
      <c r="CA1393" s="107"/>
      <c r="CB1393" s="107"/>
      <c r="CC1393" s="107"/>
      <c r="CD1393" s="107"/>
      <c r="CE1393" s="107"/>
      <c r="CF1393" s="107"/>
      <c r="CG1393" s="107"/>
      <c r="CH1393" s="107"/>
      <c r="CI1393" s="107"/>
      <c r="CJ1393" s="107"/>
      <c r="CK1393" s="107"/>
      <c r="CL1393" s="107"/>
      <c r="CM1393" s="107"/>
      <c r="CN1393" s="118"/>
      <c r="CO1393" s="119"/>
      <c r="CP1393" s="118"/>
      <c r="CQ1393" s="119"/>
      <c r="CR1393" s="118"/>
      <c r="CS1393" s="119"/>
      <c r="CT1393" s="113"/>
      <c r="CU1393" s="118"/>
      <c r="CV1393" s="99">
        <f t="shared" si="131"/>
        <v>0</v>
      </c>
      <c r="CW1393" s="118"/>
      <c r="CX1393" s="119"/>
      <c r="CY1393" s="119"/>
      <c r="CZ1393" s="119"/>
      <c r="DA1393" s="118"/>
      <c r="DB1393" s="119"/>
      <c r="DC1393" s="111"/>
      <c r="DD1393" s="119"/>
      <c r="DE1393" s="111"/>
      <c r="DF1393" s="46"/>
    </row>
    <row r="1394" spans="1:255" s="42" customFormat="1" ht="60" x14ac:dyDescent="0.2">
      <c r="A1394" s="89">
        <v>40701</v>
      </c>
      <c r="B1394" s="106" t="s">
        <v>4326</v>
      </c>
      <c r="C1394" s="106" t="s">
        <v>4338</v>
      </c>
      <c r="D1394" s="90" t="s">
        <v>4264</v>
      </c>
      <c r="E1394" s="90" t="str">
        <f>VLOOKUP(B1394&amp;C1394,Divipola!$C$2:$F$1138,4,FALSE)</f>
        <v>08001</v>
      </c>
      <c r="F1394" s="90"/>
      <c r="G1394" s="279"/>
      <c r="H1394" s="279"/>
      <c r="I1394" s="279"/>
      <c r="J1394" s="129">
        <v>3500</v>
      </c>
      <c r="K1394" s="129">
        <v>700</v>
      </c>
      <c r="L1394" s="129"/>
      <c r="M1394" s="129">
        <v>700</v>
      </c>
      <c r="N1394" s="129"/>
      <c r="O1394" s="129"/>
      <c r="P1394" s="129"/>
      <c r="Q1394" s="129"/>
      <c r="R1394" s="129"/>
      <c r="S1394" s="129"/>
      <c r="T1394" s="129"/>
      <c r="U1394" s="129"/>
      <c r="V1394" s="129"/>
      <c r="W1394" s="107"/>
      <c r="X1394" s="105"/>
      <c r="Y1394" s="92">
        <f t="shared" si="132"/>
        <v>0</v>
      </c>
      <c r="Z1394" s="92">
        <f t="shared" si="133"/>
        <v>0</v>
      </c>
      <c r="AA1394" s="92">
        <f t="shared" si="134"/>
        <v>0</v>
      </c>
      <c r="AB1394" s="92">
        <f t="shared" si="135"/>
        <v>0</v>
      </c>
      <c r="AC1394" s="92"/>
      <c r="AD1394" s="92">
        <v>0</v>
      </c>
      <c r="AE1394" s="92">
        <f t="shared" si="136"/>
        <v>0</v>
      </c>
      <c r="AF1394" s="93">
        <v>0</v>
      </c>
      <c r="AG1394" s="105"/>
      <c r="AH1394" s="108"/>
      <c r="AI1394" s="109" t="s">
        <v>4336</v>
      </c>
      <c r="AJ1394" s="110" t="s">
        <v>4337</v>
      </c>
      <c r="AK1394" s="280"/>
      <c r="AL1394" s="281"/>
      <c r="AM1394" s="112" t="s">
        <v>2122</v>
      </c>
      <c r="AN1394" s="107"/>
      <c r="AO1394" s="107"/>
      <c r="AP1394" s="107"/>
      <c r="AQ1394" s="107"/>
      <c r="AR1394" s="107"/>
      <c r="AS1394" s="107"/>
      <c r="AT1394" s="107"/>
      <c r="AU1394" s="107"/>
      <c r="AV1394" s="107"/>
      <c r="AW1394" s="107"/>
      <c r="AX1394" s="107"/>
      <c r="AY1394" s="107"/>
      <c r="AZ1394" s="107"/>
      <c r="BA1394" s="107"/>
      <c r="BB1394" s="107"/>
      <c r="BC1394" s="107"/>
      <c r="BD1394" s="107"/>
      <c r="BE1394" s="107"/>
      <c r="BF1394" s="107"/>
      <c r="BG1394" s="107"/>
      <c r="BH1394" s="107"/>
      <c r="BI1394" s="107"/>
      <c r="BJ1394" s="107"/>
      <c r="BK1394" s="107"/>
      <c r="BL1394" s="107"/>
      <c r="BM1394" s="107"/>
      <c r="BN1394" s="107"/>
      <c r="BO1394" s="107"/>
      <c r="BP1394" s="107"/>
      <c r="BQ1394" s="107"/>
      <c r="BR1394" s="107"/>
      <c r="BS1394" s="107"/>
      <c r="BT1394" s="107"/>
      <c r="BU1394" s="107"/>
      <c r="BV1394" s="107"/>
      <c r="BW1394" s="107"/>
      <c r="BX1394" s="107"/>
      <c r="BY1394" s="107"/>
      <c r="BZ1394" s="107"/>
      <c r="CA1394" s="107"/>
      <c r="CB1394" s="107"/>
      <c r="CC1394" s="107"/>
      <c r="CD1394" s="107"/>
      <c r="CE1394" s="107"/>
      <c r="CF1394" s="107"/>
      <c r="CG1394" s="107"/>
      <c r="CH1394" s="107"/>
      <c r="CI1394" s="107"/>
      <c r="CJ1394" s="107"/>
      <c r="CK1394" s="107"/>
      <c r="CL1394" s="107"/>
      <c r="CM1394" s="107"/>
      <c r="CN1394" s="118"/>
      <c r="CO1394" s="119"/>
      <c r="CP1394" s="118"/>
      <c r="CQ1394" s="119"/>
      <c r="CR1394" s="118"/>
      <c r="CS1394" s="119"/>
      <c r="CT1394" s="113"/>
      <c r="CU1394" s="118"/>
      <c r="CV1394" s="99">
        <f t="shared" si="131"/>
        <v>0</v>
      </c>
      <c r="CW1394" s="118"/>
      <c r="CX1394" s="119"/>
      <c r="CY1394" s="119"/>
      <c r="CZ1394" s="119"/>
      <c r="DA1394" s="118"/>
      <c r="DB1394" s="119"/>
      <c r="DC1394" s="111"/>
      <c r="DD1394" s="119"/>
      <c r="DE1394" s="111"/>
      <c r="DF1394" s="46"/>
    </row>
    <row r="1395" spans="1:255" s="42" customFormat="1" ht="36" x14ac:dyDescent="0.2">
      <c r="A1395" s="89">
        <v>40701</v>
      </c>
      <c r="B1395" s="106" t="s">
        <v>4261</v>
      </c>
      <c r="C1395" s="106" t="s">
        <v>70</v>
      </c>
      <c r="D1395" s="90" t="s">
        <v>2362</v>
      </c>
      <c r="E1395" s="90" t="str">
        <f>VLOOKUP(B1395&amp;C1395,Divipola!$C$2:$F$1138,4,FALSE)</f>
        <v>15097</v>
      </c>
      <c r="F1395" s="4"/>
      <c r="G1395" s="274"/>
      <c r="H1395" s="274"/>
      <c r="I1395" s="274"/>
      <c r="J1395" s="129">
        <v>800</v>
      </c>
      <c r="K1395" s="129">
        <v>160</v>
      </c>
      <c r="L1395" s="129">
        <v>1</v>
      </c>
      <c r="M1395" s="129">
        <v>54</v>
      </c>
      <c r="N1395" s="129"/>
      <c r="O1395" s="208"/>
      <c r="P1395" s="208"/>
      <c r="Q1395" s="208"/>
      <c r="R1395" s="208"/>
      <c r="S1395" s="208"/>
      <c r="T1395" s="208"/>
      <c r="U1395" s="208"/>
      <c r="V1395" s="208"/>
      <c r="W1395" s="19"/>
      <c r="X1395" s="17"/>
      <c r="Y1395" s="5">
        <f t="shared" si="132"/>
        <v>0</v>
      </c>
      <c r="Z1395" s="5">
        <f t="shared" si="133"/>
        <v>0</v>
      </c>
      <c r="AA1395" s="5">
        <f t="shared" si="134"/>
        <v>0</v>
      </c>
      <c r="AB1395" s="5">
        <f t="shared" si="135"/>
        <v>0</v>
      </c>
      <c r="AC1395" s="5"/>
      <c r="AD1395" s="5">
        <v>0</v>
      </c>
      <c r="AE1395" s="5">
        <f t="shared" si="136"/>
        <v>0</v>
      </c>
      <c r="AF1395" s="70">
        <v>0</v>
      </c>
      <c r="AG1395" s="17"/>
      <c r="AH1395" s="18"/>
      <c r="AI1395" s="47" t="s">
        <v>4336</v>
      </c>
      <c r="AJ1395" s="73" t="s">
        <v>4337</v>
      </c>
      <c r="AK1395" s="275"/>
      <c r="AL1395" s="276"/>
      <c r="AM1395" s="112" t="s">
        <v>1089</v>
      </c>
      <c r="AN1395" s="19"/>
      <c r="AO1395" s="19"/>
      <c r="AP1395" s="19"/>
      <c r="AQ1395" s="19"/>
      <c r="AR1395" s="19"/>
      <c r="AS1395" s="19"/>
      <c r="AT1395" s="19"/>
      <c r="AU1395" s="19"/>
      <c r="AV1395" s="19"/>
      <c r="AW1395" s="19"/>
      <c r="AX1395" s="107"/>
      <c r="AY1395" s="107"/>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c r="BW1395" s="19"/>
      <c r="BX1395" s="19"/>
      <c r="BY1395" s="19"/>
      <c r="BZ1395" s="19"/>
      <c r="CA1395" s="19"/>
      <c r="CB1395" s="19"/>
      <c r="CC1395" s="19"/>
      <c r="CD1395" s="19"/>
      <c r="CE1395" s="19"/>
      <c r="CF1395" s="19"/>
      <c r="CG1395" s="19"/>
      <c r="CH1395" s="19"/>
      <c r="CI1395" s="19"/>
      <c r="CJ1395" s="19"/>
      <c r="CK1395" s="19"/>
      <c r="CL1395" s="19"/>
      <c r="CM1395" s="19"/>
      <c r="CN1395" s="139"/>
      <c r="CO1395" s="138"/>
      <c r="CP1395" s="139"/>
      <c r="CQ1395" s="138"/>
      <c r="CR1395" s="139"/>
      <c r="CS1395" s="138"/>
      <c r="CT1395" s="72"/>
      <c r="CU1395" s="139"/>
      <c r="CV1395" s="99">
        <f t="shared" si="131"/>
        <v>0</v>
      </c>
      <c r="CW1395" s="139"/>
      <c r="CX1395" s="138"/>
      <c r="CY1395" s="138"/>
      <c r="CZ1395" s="138"/>
      <c r="DA1395" s="139"/>
      <c r="DB1395" s="138"/>
      <c r="DC1395" s="45"/>
      <c r="DD1395" s="138"/>
      <c r="DE1395" s="45"/>
      <c r="DF1395" s="46"/>
    </row>
    <row r="1396" spans="1:255" s="42" customFormat="1" ht="36" x14ac:dyDescent="0.2">
      <c r="A1396" s="89">
        <v>40701</v>
      </c>
      <c r="B1396" s="106" t="s">
        <v>4261</v>
      </c>
      <c r="C1396" s="106" t="s">
        <v>4261</v>
      </c>
      <c r="D1396" s="90" t="s">
        <v>4264</v>
      </c>
      <c r="E1396" s="90" t="str">
        <f>VLOOKUP(B1396&amp;C1396,Divipola!$C$2:$F$1138,4,FALSE)</f>
        <v>15104</v>
      </c>
      <c r="F1396" s="4"/>
      <c r="G1396" s="274"/>
      <c r="H1396" s="274"/>
      <c r="I1396" s="274"/>
      <c r="J1396" s="129">
        <v>90</v>
      </c>
      <c r="K1396" s="129">
        <v>18</v>
      </c>
      <c r="L1396" s="129">
        <v>2</v>
      </c>
      <c r="M1396" s="129">
        <v>11</v>
      </c>
      <c r="N1396" s="129"/>
      <c r="O1396" s="208"/>
      <c r="P1396" s="208"/>
      <c r="Q1396" s="208"/>
      <c r="R1396" s="208"/>
      <c r="S1396" s="208"/>
      <c r="T1396" s="208"/>
      <c r="U1396" s="208"/>
      <c r="V1396" s="208"/>
      <c r="W1396" s="19"/>
      <c r="X1396" s="17"/>
      <c r="Y1396" s="5">
        <f t="shared" si="132"/>
        <v>0</v>
      </c>
      <c r="Z1396" s="5">
        <f t="shared" si="133"/>
        <v>0</v>
      </c>
      <c r="AA1396" s="5">
        <f t="shared" si="134"/>
        <v>0</v>
      </c>
      <c r="AB1396" s="5">
        <f t="shared" si="135"/>
        <v>0</v>
      </c>
      <c r="AC1396" s="5"/>
      <c r="AD1396" s="5">
        <v>0</v>
      </c>
      <c r="AE1396" s="5">
        <f t="shared" si="136"/>
        <v>0</v>
      </c>
      <c r="AF1396" s="70">
        <v>0</v>
      </c>
      <c r="AG1396" s="17"/>
      <c r="AH1396" s="18"/>
      <c r="AI1396" s="47" t="s">
        <v>4336</v>
      </c>
      <c r="AJ1396" s="73" t="s">
        <v>4337</v>
      </c>
      <c r="AK1396" s="275"/>
      <c r="AL1396" s="276"/>
      <c r="AM1396" s="112" t="s">
        <v>1090</v>
      </c>
      <c r="AN1396" s="19"/>
      <c r="AO1396" s="19"/>
      <c r="AP1396" s="19"/>
      <c r="AQ1396" s="19"/>
      <c r="AR1396" s="19"/>
      <c r="AS1396" s="19"/>
      <c r="AT1396" s="19"/>
      <c r="AU1396" s="19"/>
      <c r="AV1396" s="19"/>
      <c r="AW1396" s="19"/>
      <c r="AX1396" s="107"/>
      <c r="AY1396" s="107"/>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39"/>
      <c r="CO1396" s="138"/>
      <c r="CP1396" s="139"/>
      <c r="CQ1396" s="138"/>
      <c r="CR1396" s="139"/>
      <c r="CS1396" s="138"/>
      <c r="CT1396" s="72"/>
      <c r="CU1396" s="139"/>
      <c r="CV1396" s="99">
        <f t="shared" si="131"/>
        <v>0</v>
      </c>
      <c r="CW1396" s="139"/>
      <c r="CX1396" s="138"/>
      <c r="CY1396" s="138"/>
      <c r="CZ1396" s="138"/>
      <c r="DA1396" s="139"/>
      <c r="DB1396" s="138"/>
      <c r="DC1396" s="45"/>
      <c r="DD1396" s="138"/>
      <c r="DE1396" s="45"/>
      <c r="DF1396" s="46"/>
    </row>
    <row r="1397" spans="1:255" s="42" customFormat="1" ht="36" x14ac:dyDescent="0.2">
      <c r="A1397" s="89">
        <v>40701</v>
      </c>
      <c r="B1397" s="90" t="s">
        <v>4261</v>
      </c>
      <c r="C1397" s="90" t="s">
        <v>2870</v>
      </c>
      <c r="D1397" s="90" t="s">
        <v>4264</v>
      </c>
      <c r="E1397" s="90" t="str">
        <f>VLOOKUP(B1397&amp;C1397,Divipola!$C$2:$F$1138,4,FALSE)</f>
        <v>15580</v>
      </c>
      <c r="F1397" s="4"/>
      <c r="G1397" s="274"/>
      <c r="H1397" s="274"/>
      <c r="I1397" s="274"/>
      <c r="J1397" s="101">
        <f>43*5</f>
        <v>215</v>
      </c>
      <c r="K1397" s="101">
        <v>43</v>
      </c>
      <c r="L1397" s="101">
        <v>42</v>
      </c>
      <c r="M1397" s="101"/>
      <c r="N1397" s="208"/>
      <c r="O1397" s="208"/>
      <c r="P1397" s="208"/>
      <c r="Q1397" s="208"/>
      <c r="R1397" s="208"/>
      <c r="S1397" s="208"/>
      <c r="T1397" s="208"/>
      <c r="U1397" s="208"/>
      <c r="V1397" s="208"/>
      <c r="W1397" s="19"/>
      <c r="X1397" s="17"/>
      <c r="Y1397" s="5">
        <f t="shared" si="132"/>
        <v>0</v>
      </c>
      <c r="Z1397" s="5">
        <f t="shared" si="133"/>
        <v>0</v>
      </c>
      <c r="AA1397" s="5">
        <f t="shared" si="134"/>
        <v>0</v>
      </c>
      <c r="AB1397" s="5">
        <f t="shared" si="135"/>
        <v>0</v>
      </c>
      <c r="AC1397" s="5"/>
      <c r="AD1397" s="5">
        <v>0</v>
      </c>
      <c r="AE1397" s="5">
        <f t="shared" si="136"/>
        <v>0</v>
      </c>
      <c r="AF1397" s="70">
        <v>0</v>
      </c>
      <c r="AG1397" s="17"/>
      <c r="AH1397" s="18"/>
      <c r="AI1397" s="47" t="s">
        <v>4336</v>
      </c>
      <c r="AJ1397" s="73" t="s">
        <v>4337</v>
      </c>
      <c r="AK1397" s="275"/>
      <c r="AL1397" s="276"/>
      <c r="AM1397" s="100" t="s">
        <v>1088</v>
      </c>
      <c r="AN1397" s="19"/>
      <c r="AO1397" s="19"/>
      <c r="AP1397" s="19"/>
      <c r="AQ1397" s="19"/>
      <c r="AR1397" s="19"/>
      <c r="AS1397" s="19"/>
      <c r="AT1397" s="19"/>
      <c r="AU1397" s="19"/>
      <c r="AV1397" s="19"/>
      <c r="AW1397" s="19"/>
      <c r="AX1397" s="107"/>
      <c r="AY1397" s="107"/>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39"/>
      <c r="CO1397" s="138"/>
      <c r="CP1397" s="139"/>
      <c r="CQ1397" s="138"/>
      <c r="CR1397" s="139"/>
      <c r="CS1397" s="138"/>
      <c r="CT1397" s="72"/>
      <c r="CU1397" s="139"/>
      <c r="CV1397" s="99">
        <f t="shared" si="131"/>
        <v>0</v>
      </c>
      <c r="CW1397" s="139"/>
      <c r="CX1397" s="138"/>
      <c r="CY1397" s="138"/>
      <c r="CZ1397" s="138"/>
      <c r="DA1397" s="139"/>
      <c r="DB1397" s="138"/>
      <c r="DC1397" s="45"/>
      <c r="DD1397" s="138"/>
      <c r="DE1397" s="45"/>
      <c r="DF1397" s="46"/>
    </row>
    <row r="1398" spans="1:255" s="42" customFormat="1" ht="24" x14ac:dyDescent="0.2">
      <c r="A1398" s="89">
        <v>40701</v>
      </c>
      <c r="B1398" s="106" t="s">
        <v>4219</v>
      </c>
      <c r="C1398" s="106" t="s">
        <v>796</v>
      </c>
      <c r="D1398" s="90" t="s">
        <v>4264</v>
      </c>
      <c r="E1398" s="90" t="str">
        <f>VLOOKUP(B1398&amp;C1398,Divipola!$C$2:$F$1138,4,FALSE)</f>
        <v>41006</v>
      </c>
      <c r="F1398" s="90"/>
      <c r="G1398" s="279"/>
      <c r="H1398" s="279"/>
      <c r="I1398" s="279"/>
      <c r="J1398" s="129">
        <v>6</v>
      </c>
      <c r="K1398" s="129">
        <v>1</v>
      </c>
      <c r="L1398" s="129">
        <v>1</v>
      </c>
      <c r="M1398" s="129"/>
      <c r="N1398" s="129"/>
      <c r="O1398" s="129"/>
      <c r="P1398" s="129"/>
      <c r="Q1398" s="129"/>
      <c r="R1398" s="129"/>
      <c r="S1398" s="129"/>
      <c r="T1398" s="129"/>
      <c r="U1398" s="129"/>
      <c r="V1398" s="129"/>
      <c r="W1398" s="107"/>
      <c r="X1398" s="105"/>
      <c r="Y1398" s="92">
        <f t="shared" si="132"/>
        <v>0</v>
      </c>
      <c r="Z1398" s="92">
        <f t="shared" si="133"/>
        <v>0</v>
      </c>
      <c r="AA1398" s="92">
        <f t="shared" si="134"/>
        <v>0</v>
      </c>
      <c r="AB1398" s="92">
        <f t="shared" si="135"/>
        <v>0</v>
      </c>
      <c r="AC1398" s="92"/>
      <c r="AD1398" s="92">
        <v>0</v>
      </c>
      <c r="AE1398" s="92">
        <f t="shared" si="136"/>
        <v>0</v>
      </c>
      <c r="AF1398" s="93">
        <v>0</v>
      </c>
      <c r="AG1398" s="105"/>
      <c r="AH1398" s="108"/>
      <c r="AI1398" s="109" t="s">
        <v>4336</v>
      </c>
      <c r="AJ1398" s="110" t="s">
        <v>4337</v>
      </c>
      <c r="AK1398" s="280"/>
      <c r="AL1398" s="281"/>
      <c r="AM1398" s="112" t="s">
        <v>904</v>
      </c>
      <c r="AN1398" s="107"/>
      <c r="AO1398" s="107"/>
      <c r="AP1398" s="107"/>
      <c r="AQ1398" s="107"/>
      <c r="AR1398" s="107"/>
      <c r="AS1398" s="107"/>
      <c r="AT1398" s="107"/>
      <c r="AU1398" s="107"/>
      <c r="AV1398" s="107"/>
      <c r="AW1398" s="107"/>
      <c r="AX1398" s="107"/>
      <c r="AY1398" s="107"/>
      <c r="AZ1398" s="107"/>
      <c r="BA1398" s="107"/>
      <c r="BB1398" s="107"/>
      <c r="BC1398" s="107"/>
      <c r="BD1398" s="107"/>
      <c r="BE1398" s="107"/>
      <c r="BF1398" s="107"/>
      <c r="BG1398" s="107"/>
      <c r="BH1398" s="107"/>
      <c r="BI1398" s="107"/>
      <c r="BJ1398" s="107"/>
      <c r="BK1398" s="107"/>
      <c r="BL1398" s="107"/>
      <c r="BM1398" s="107"/>
      <c r="BN1398" s="107"/>
      <c r="BO1398" s="107"/>
      <c r="BP1398" s="107"/>
      <c r="BQ1398" s="107"/>
      <c r="BR1398" s="107"/>
      <c r="BS1398" s="107"/>
      <c r="BT1398" s="107"/>
      <c r="BU1398" s="107"/>
      <c r="BV1398" s="107"/>
      <c r="BW1398" s="107"/>
      <c r="BX1398" s="107"/>
      <c r="BY1398" s="107"/>
      <c r="BZ1398" s="107"/>
      <c r="CA1398" s="107"/>
      <c r="CB1398" s="107"/>
      <c r="CC1398" s="107"/>
      <c r="CD1398" s="107"/>
      <c r="CE1398" s="107"/>
      <c r="CF1398" s="107"/>
      <c r="CG1398" s="107"/>
      <c r="CH1398" s="107"/>
      <c r="CI1398" s="107"/>
      <c r="CJ1398" s="107"/>
      <c r="CK1398" s="107"/>
      <c r="CL1398" s="107"/>
      <c r="CM1398" s="107"/>
      <c r="CN1398" s="118"/>
      <c r="CO1398" s="119"/>
      <c r="CP1398" s="118"/>
      <c r="CQ1398" s="119"/>
      <c r="CR1398" s="118"/>
      <c r="CS1398" s="119"/>
      <c r="CT1398" s="113"/>
      <c r="CU1398" s="118"/>
      <c r="CV1398" s="99">
        <f t="shared" si="131"/>
        <v>0</v>
      </c>
      <c r="CW1398" s="118"/>
      <c r="CX1398" s="119"/>
      <c r="CY1398" s="119"/>
      <c r="CZ1398" s="119"/>
      <c r="DA1398" s="118"/>
      <c r="DB1398" s="119"/>
      <c r="DC1398" s="111"/>
      <c r="DD1398" s="119"/>
      <c r="DE1398" s="111"/>
      <c r="DF1398" s="46"/>
    </row>
    <row r="1399" spans="1:255" s="42" customFormat="1" ht="48" x14ac:dyDescent="0.2">
      <c r="A1399" s="89">
        <v>40701</v>
      </c>
      <c r="B1399" s="90" t="s">
        <v>860</v>
      </c>
      <c r="C1399" s="90" t="s">
        <v>2859</v>
      </c>
      <c r="D1399" s="90" t="s">
        <v>4264</v>
      </c>
      <c r="E1399" s="90" t="str">
        <f>VLOOKUP(B1399&amp;C1399,Divipola!$C$2:$F$1138,4,FALSE)</f>
        <v>50001</v>
      </c>
      <c r="F1399" s="4"/>
      <c r="G1399" s="101"/>
      <c r="H1399" s="101"/>
      <c r="I1399" s="101"/>
      <c r="J1399" s="101"/>
      <c r="K1399" s="101"/>
      <c r="L1399" s="101"/>
      <c r="M1399" s="101"/>
      <c r="N1399" s="101"/>
      <c r="O1399" s="101"/>
      <c r="P1399" s="101"/>
      <c r="Q1399" s="101"/>
      <c r="R1399" s="101"/>
      <c r="S1399" s="101"/>
      <c r="T1399" s="101"/>
      <c r="U1399" s="101"/>
      <c r="V1399" s="101"/>
      <c r="W1399" s="19"/>
      <c r="X1399" s="17"/>
      <c r="Y1399" s="5">
        <f t="shared" si="132"/>
        <v>0</v>
      </c>
      <c r="Z1399" s="5">
        <f t="shared" si="133"/>
        <v>0</v>
      </c>
      <c r="AA1399" s="5">
        <f t="shared" si="134"/>
        <v>0</v>
      </c>
      <c r="AB1399" s="5">
        <f t="shared" si="135"/>
        <v>0</v>
      </c>
      <c r="AC1399" s="5"/>
      <c r="AD1399" s="5">
        <v>0</v>
      </c>
      <c r="AE1399" s="5">
        <f t="shared" si="136"/>
        <v>0</v>
      </c>
      <c r="AF1399" s="70">
        <v>0</v>
      </c>
      <c r="AG1399" s="17"/>
      <c r="AH1399" s="18"/>
      <c r="AI1399" s="47" t="s">
        <v>4336</v>
      </c>
      <c r="AJ1399" s="73" t="s">
        <v>4337</v>
      </c>
      <c r="AK1399" s="45"/>
      <c r="AL1399" s="17"/>
      <c r="AM1399" s="100" t="s">
        <v>1917</v>
      </c>
      <c r="AN1399" s="19"/>
      <c r="AO1399" s="19"/>
      <c r="AP1399" s="19"/>
      <c r="AQ1399" s="19"/>
      <c r="AR1399" s="19"/>
      <c r="AS1399" s="19"/>
      <c r="AT1399" s="19"/>
      <c r="AU1399" s="19"/>
      <c r="AV1399" s="19"/>
      <c r="AW1399" s="19"/>
      <c r="AX1399" s="107"/>
      <c r="AY1399" s="107"/>
      <c r="AZ1399" s="19"/>
      <c r="BA1399" s="19"/>
      <c r="BB1399" s="19"/>
      <c r="BC1399" s="19"/>
      <c r="BD1399" s="19"/>
      <c r="BE1399" s="19"/>
      <c r="BF1399" s="19"/>
      <c r="BG1399" s="19"/>
      <c r="BH1399" s="19"/>
      <c r="BI1399" s="19"/>
      <c r="BJ1399" s="19"/>
      <c r="BK1399" s="19"/>
      <c r="BL1399" s="19"/>
      <c r="BM1399" s="19"/>
      <c r="BN1399" s="19"/>
      <c r="BO1399" s="19"/>
      <c r="BP1399" s="19"/>
      <c r="BQ1399" s="19"/>
      <c r="BR1399" s="19"/>
      <c r="BS1399" s="19"/>
      <c r="BT1399" s="19"/>
      <c r="BU1399" s="19"/>
      <c r="BV1399" s="19"/>
      <c r="BW1399" s="19"/>
      <c r="BX1399" s="19"/>
      <c r="BY1399" s="19"/>
      <c r="BZ1399" s="19"/>
      <c r="CA1399" s="19"/>
      <c r="CB1399" s="19"/>
      <c r="CC1399" s="19"/>
      <c r="CD1399" s="19"/>
      <c r="CE1399" s="19"/>
      <c r="CF1399" s="19"/>
      <c r="CG1399" s="19"/>
      <c r="CH1399" s="19"/>
      <c r="CI1399" s="19"/>
      <c r="CJ1399" s="19"/>
      <c r="CK1399" s="19"/>
      <c r="CL1399" s="19"/>
      <c r="CM1399" s="19"/>
      <c r="CN1399" s="139"/>
      <c r="CO1399" s="138"/>
      <c r="CP1399" s="139"/>
      <c r="CQ1399" s="138"/>
      <c r="CR1399" s="139"/>
      <c r="CS1399" s="138"/>
      <c r="CT1399" s="72"/>
      <c r="CU1399" s="139"/>
      <c r="CV1399" s="99">
        <f t="shared" si="131"/>
        <v>0</v>
      </c>
      <c r="CW1399" s="139"/>
      <c r="CX1399" s="138"/>
      <c r="CY1399" s="138"/>
      <c r="CZ1399" s="138"/>
      <c r="DA1399" s="139"/>
      <c r="DB1399" s="138"/>
      <c r="DC1399" s="45"/>
      <c r="DD1399" s="138"/>
      <c r="DE1399" s="45"/>
      <c r="DF1399" s="46"/>
    </row>
    <row r="1400" spans="1:255" s="42" customFormat="1" x14ac:dyDescent="0.2">
      <c r="A1400" s="89">
        <v>40701</v>
      </c>
      <c r="B1400" s="90" t="s">
        <v>4387</v>
      </c>
      <c r="C1400" s="90" t="s">
        <v>848</v>
      </c>
      <c r="D1400" s="90" t="s">
        <v>2362</v>
      </c>
      <c r="E1400" s="90" t="str">
        <f>VLOOKUP(B1400&amp;C1400,Divipola!$C$2:$F$1138,4,FALSE)</f>
        <v>52019</v>
      </c>
      <c r="F1400" s="4"/>
      <c r="G1400" s="101"/>
      <c r="H1400" s="101"/>
      <c r="I1400" s="101"/>
      <c r="J1400" s="101">
        <v>2350</v>
      </c>
      <c r="K1400" s="101">
        <v>774</v>
      </c>
      <c r="L1400" s="101">
        <v>177</v>
      </c>
      <c r="M1400" s="101">
        <v>597</v>
      </c>
      <c r="N1400" s="101"/>
      <c r="O1400" s="101"/>
      <c r="P1400" s="101"/>
      <c r="Q1400" s="101"/>
      <c r="R1400" s="101"/>
      <c r="S1400" s="101"/>
      <c r="T1400" s="101"/>
      <c r="U1400" s="101"/>
      <c r="V1400" s="101"/>
      <c r="W1400" s="19"/>
      <c r="X1400" s="17"/>
      <c r="Y1400" s="5">
        <f t="shared" si="132"/>
        <v>0</v>
      </c>
      <c r="Z1400" s="5">
        <f t="shared" si="133"/>
        <v>0</v>
      </c>
      <c r="AA1400" s="5">
        <f t="shared" si="134"/>
        <v>0</v>
      </c>
      <c r="AB1400" s="5">
        <f t="shared" si="135"/>
        <v>0</v>
      </c>
      <c r="AC1400" s="5"/>
      <c r="AD1400" s="5">
        <v>0</v>
      </c>
      <c r="AE1400" s="5">
        <f t="shared" si="136"/>
        <v>0</v>
      </c>
      <c r="AF1400" s="70">
        <v>0</v>
      </c>
      <c r="AG1400" s="17"/>
      <c r="AH1400" s="18"/>
      <c r="AI1400" s="109" t="s">
        <v>4336</v>
      </c>
      <c r="AJ1400" s="110" t="s">
        <v>4337</v>
      </c>
      <c r="AK1400" s="45"/>
      <c r="AL1400" s="17"/>
      <c r="AM1400" s="100"/>
      <c r="AN1400" s="19"/>
      <c r="AO1400" s="19"/>
      <c r="AP1400" s="19"/>
      <c r="AQ1400" s="19"/>
      <c r="AR1400" s="19"/>
      <c r="AS1400" s="19"/>
      <c r="AT1400" s="19"/>
      <c r="AU1400" s="19"/>
      <c r="AV1400" s="19"/>
      <c r="AW1400" s="19"/>
      <c r="AX1400" s="107"/>
      <c r="AY1400" s="107"/>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39"/>
      <c r="CO1400" s="138"/>
      <c r="CP1400" s="139"/>
      <c r="CQ1400" s="138"/>
      <c r="CR1400" s="139"/>
      <c r="CS1400" s="138"/>
      <c r="CT1400" s="72"/>
      <c r="CU1400" s="139"/>
      <c r="CV1400" s="99">
        <f t="shared" si="131"/>
        <v>0</v>
      </c>
      <c r="CW1400" s="139"/>
      <c r="CX1400" s="138"/>
      <c r="CY1400" s="138"/>
      <c r="CZ1400" s="138"/>
      <c r="DA1400" s="139"/>
      <c r="DB1400" s="138"/>
      <c r="DC1400" s="45"/>
      <c r="DD1400" s="138"/>
      <c r="DE1400" s="45"/>
      <c r="DF1400" s="269"/>
      <c r="DG1400" s="270"/>
      <c r="DH1400" s="270"/>
      <c r="DI1400" s="270"/>
      <c r="DJ1400" s="270"/>
      <c r="DK1400" s="270"/>
      <c r="DL1400" s="270"/>
      <c r="DM1400" s="270"/>
      <c r="DN1400" s="270"/>
      <c r="DO1400" s="270"/>
      <c r="DP1400" s="270"/>
      <c r="DQ1400" s="270"/>
      <c r="DR1400" s="270"/>
      <c r="DS1400" s="270"/>
      <c r="DT1400" s="270"/>
      <c r="DU1400" s="270"/>
      <c r="DV1400" s="270"/>
      <c r="DW1400" s="270"/>
      <c r="DX1400" s="270"/>
      <c r="DY1400" s="270"/>
      <c r="DZ1400" s="270"/>
      <c r="EA1400" s="270"/>
      <c r="EB1400" s="270"/>
      <c r="EC1400" s="270"/>
      <c r="ED1400" s="270"/>
      <c r="EE1400" s="270"/>
      <c r="EF1400" s="270"/>
      <c r="EG1400" s="270"/>
      <c r="EH1400" s="270"/>
      <c r="EI1400" s="270"/>
      <c r="EJ1400" s="270"/>
      <c r="EK1400" s="270"/>
      <c r="EL1400" s="270"/>
      <c r="EM1400" s="270"/>
      <c r="EN1400" s="270"/>
      <c r="EO1400" s="270"/>
      <c r="EP1400" s="270"/>
      <c r="EQ1400" s="270"/>
      <c r="ER1400" s="270"/>
      <c r="ES1400" s="270"/>
      <c r="ET1400" s="270"/>
      <c r="EU1400" s="270"/>
      <c r="EV1400" s="270"/>
      <c r="EW1400" s="270"/>
      <c r="EX1400" s="270"/>
      <c r="EY1400" s="270"/>
      <c r="EZ1400" s="270"/>
      <c r="FA1400" s="270"/>
      <c r="FB1400" s="270"/>
      <c r="FC1400" s="270"/>
      <c r="FD1400" s="270"/>
      <c r="FE1400" s="270"/>
      <c r="FF1400" s="270"/>
      <c r="FG1400" s="270"/>
      <c r="FH1400" s="270"/>
      <c r="FI1400" s="270"/>
      <c r="FJ1400" s="270"/>
      <c r="FK1400" s="270"/>
      <c r="FL1400" s="270"/>
      <c r="FM1400" s="270"/>
      <c r="FN1400" s="270"/>
      <c r="FO1400" s="270"/>
      <c r="FP1400" s="270"/>
      <c r="FQ1400" s="270"/>
      <c r="FR1400" s="270"/>
      <c r="FS1400" s="270"/>
      <c r="FT1400" s="270"/>
      <c r="FU1400" s="270"/>
      <c r="FV1400" s="270"/>
      <c r="FW1400" s="270"/>
      <c r="FX1400" s="270"/>
      <c r="FY1400" s="270"/>
      <c r="FZ1400" s="270"/>
      <c r="GA1400" s="270"/>
      <c r="GB1400" s="270"/>
      <c r="GC1400" s="270"/>
      <c r="GD1400" s="270"/>
      <c r="GE1400" s="270"/>
      <c r="GF1400" s="270"/>
      <c r="GG1400" s="270"/>
      <c r="GH1400" s="270"/>
      <c r="GI1400" s="270"/>
      <c r="GJ1400" s="270"/>
      <c r="GK1400" s="270"/>
      <c r="GL1400" s="270"/>
      <c r="GM1400" s="270"/>
      <c r="GN1400" s="270"/>
      <c r="GO1400" s="270"/>
      <c r="GP1400" s="270"/>
      <c r="GQ1400" s="270"/>
      <c r="GR1400" s="270"/>
      <c r="GS1400" s="270"/>
      <c r="GT1400" s="270"/>
      <c r="GU1400" s="270"/>
      <c r="GV1400" s="270"/>
      <c r="GW1400" s="270"/>
      <c r="GX1400" s="270"/>
      <c r="GY1400" s="270"/>
      <c r="GZ1400" s="270"/>
      <c r="HA1400" s="270"/>
      <c r="HB1400" s="270"/>
      <c r="HC1400" s="270"/>
      <c r="HD1400" s="270"/>
      <c r="HE1400" s="270"/>
      <c r="HF1400" s="270"/>
      <c r="HG1400" s="270"/>
      <c r="HH1400" s="270"/>
      <c r="HI1400" s="270"/>
      <c r="HJ1400" s="270"/>
      <c r="HK1400" s="270"/>
      <c r="HL1400" s="270"/>
      <c r="HM1400" s="270"/>
      <c r="HN1400" s="270"/>
      <c r="HO1400" s="270"/>
      <c r="HP1400" s="270"/>
      <c r="HQ1400" s="270"/>
      <c r="HR1400" s="270"/>
      <c r="HS1400" s="270"/>
      <c r="HT1400" s="270"/>
      <c r="HU1400" s="270"/>
      <c r="HV1400" s="270"/>
      <c r="HW1400" s="270"/>
      <c r="HX1400" s="270"/>
      <c r="HY1400" s="270"/>
      <c r="HZ1400" s="270"/>
      <c r="IA1400" s="270"/>
      <c r="IB1400" s="270"/>
      <c r="IC1400" s="270"/>
      <c r="ID1400" s="270"/>
      <c r="IE1400" s="270"/>
      <c r="IF1400" s="270"/>
      <c r="IG1400" s="270"/>
      <c r="IH1400" s="270"/>
      <c r="II1400" s="270"/>
      <c r="IJ1400" s="270"/>
      <c r="IK1400" s="270"/>
      <c r="IL1400" s="270"/>
      <c r="IM1400" s="270"/>
      <c r="IN1400" s="270"/>
      <c r="IO1400" s="270"/>
      <c r="IP1400" s="270"/>
      <c r="IQ1400" s="270"/>
      <c r="IR1400" s="270"/>
      <c r="IS1400" s="270"/>
      <c r="IT1400" s="270"/>
      <c r="IU1400" s="270"/>
    </row>
    <row r="1401" spans="1:255" s="42" customFormat="1" ht="84" x14ac:dyDescent="0.2">
      <c r="A1401" s="89">
        <v>40701</v>
      </c>
      <c r="B1401" s="106" t="s">
        <v>4387</v>
      </c>
      <c r="C1401" s="106" t="s">
        <v>3333</v>
      </c>
      <c r="D1401" s="90" t="s">
        <v>2362</v>
      </c>
      <c r="E1401" s="90" t="str">
        <f>VLOOKUP(B1401&amp;C1401,Divipola!$C$2:$F$1138,4,FALSE)</f>
        <v>52683</v>
      </c>
      <c r="F1401" s="4"/>
      <c r="G1401" s="129"/>
      <c r="H1401" s="129"/>
      <c r="I1401" s="129"/>
      <c r="J1401" s="129"/>
      <c r="K1401" s="129"/>
      <c r="L1401" s="129"/>
      <c r="M1401" s="129"/>
      <c r="N1401" s="101">
        <v>1</v>
      </c>
      <c r="O1401" s="101"/>
      <c r="P1401" s="101"/>
      <c r="Q1401" s="101">
        <v>1</v>
      </c>
      <c r="R1401" s="101">
        <v>1</v>
      </c>
      <c r="S1401" s="101"/>
      <c r="T1401" s="101"/>
      <c r="U1401" s="101"/>
      <c r="V1401" s="101"/>
      <c r="W1401" s="19"/>
      <c r="X1401" s="17"/>
      <c r="Y1401" s="5">
        <f t="shared" si="132"/>
        <v>0</v>
      </c>
      <c r="Z1401" s="5">
        <f t="shared" si="133"/>
        <v>0</v>
      </c>
      <c r="AA1401" s="5">
        <f t="shared" si="134"/>
        <v>0</v>
      </c>
      <c r="AB1401" s="5">
        <f t="shared" si="135"/>
        <v>0</v>
      </c>
      <c r="AC1401" s="5"/>
      <c r="AD1401" s="5">
        <v>0</v>
      </c>
      <c r="AE1401" s="5">
        <f t="shared" si="136"/>
        <v>0</v>
      </c>
      <c r="AF1401" s="70">
        <v>0</v>
      </c>
      <c r="AG1401" s="17"/>
      <c r="AH1401" s="18"/>
      <c r="AI1401" s="109" t="s">
        <v>4336</v>
      </c>
      <c r="AJ1401" s="110" t="s">
        <v>4337</v>
      </c>
      <c r="AK1401" s="45"/>
      <c r="AL1401" s="17"/>
      <c r="AM1401" s="100" t="s">
        <v>1155</v>
      </c>
      <c r="AN1401" s="19"/>
      <c r="AO1401" s="19"/>
      <c r="AP1401" s="19"/>
      <c r="AQ1401" s="19"/>
      <c r="AR1401" s="19"/>
      <c r="AS1401" s="19"/>
      <c r="AT1401" s="19"/>
      <c r="AU1401" s="19"/>
      <c r="AV1401" s="19"/>
      <c r="AW1401" s="19"/>
      <c r="AX1401" s="107"/>
      <c r="AY1401" s="107"/>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39"/>
      <c r="CO1401" s="138"/>
      <c r="CP1401" s="139"/>
      <c r="CQ1401" s="138"/>
      <c r="CR1401" s="139"/>
      <c r="CS1401" s="138"/>
      <c r="CT1401" s="72"/>
      <c r="CU1401" s="139"/>
      <c r="CV1401" s="99">
        <f t="shared" si="131"/>
        <v>0</v>
      </c>
      <c r="CW1401" s="139"/>
      <c r="CX1401" s="138"/>
      <c r="CY1401" s="138"/>
      <c r="CZ1401" s="138"/>
      <c r="DA1401" s="139"/>
      <c r="DB1401" s="138"/>
      <c r="DC1401" s="45"/>
      <c r="DD1401" s="138"/>
      <c r="DE1401" s="45"/>
      <c r="DF1401" s="46"/>
    </row>
    <row r="1402" spans="1:255" s="42" customFormat="1" ht="24" x14ac:dyDescent="0.2">
      <c r="A1402" s="89">
        <v>40701</v>
      </c>
      <c r="B1402" s="106" t="s">
        <v>4387</v>
      </c>
      <c r="C1402" s="106" t="s">
        <v>3385</v>
      </c>
      <c r="D1402" s="90" t="s">
        <v>2362</v>
      </c>
      <c r="E1402" s="90" t="str">
        <f>VLOOKUP(B1402&amp;C1402,Divipola!$C$2:$F$1138,4,FALSE)</f>
        <v>52720</v>
      </c>
      <c r="F1402" s="4"/>
      <c r="G1402" s="129"/>
      <c r="H1402" s="129"/>
      <c r="I1402" s="129"/>
      <c r="J1402" s="129"/>
      <c r="K1402" s="129"/>
      <c r="L1402" s="129"/>
      <c r="M1402" s="129"/>
      <c r="N1402" s="101">
        <v>2</v>
      </c>
      <c r="O1402" s="101"/>
      <c r="P1402" s="101"/>
      <c r="Q1402" s="101"/>
      <c r="R1402" s="101"/>
      <c r="S1402" s="101"/>
      <c r="T1402" s="101"/>
      <c r="U1402" s="101"/>
      <c r="V1402" s="101"/>
      <c r="W1402" s="19"/>
      <c r="X1402" s="17"/>
      <c r="Y1402" s="5">
        <f t="shared" si="132"/>
        <v>0</v>
      </c>
      <c r="Z1402" s="5">
        <f t="shared" si="133"/>
        <v>0</v>
      </c>
      <c r="AA1402" s="5">
        <f t="shared" si="134"/>
        <v>0</v>
      </c>
      <c r="AB1402" s="5">
        <f t="shared" si="135"/>
        <v>0</v>
      </c>
      <c r="AC1402" s="5"/>
      <c r="AD1402" s="5">
        <v>0</v>
      </c>
      <c r="AE1402" s="5">
        <f t="shared" si="136"/>
        <v>0</v>
      </c>
      <c r="AF1402" s="70">
        <v>0</v>
      </c>
      <c r="AG1402" s="17"/>
      <c r="AH1402" s="18"/>
      <c r="AI1402" s="109" t="s">
        <v>4336</v>
      </c>
      <c r="AJ1402" s="110" t="s">
        <v>4337</v>
      </c>
      <c r="AK1402" s="45"/>
      <c r="AL1402" s="17"/>
      <c r="AM1402" s="103" t="s">
        <v>1156</v>
      </c>
      <c r="AN1402" s="19"/>
      <c r="AO1402" s="19"/>
      <c r="AP1402" s="19"/>
      <c r="AQ1402" s="19"/>
      <c r="AR1402" s="19"/>
      <c r="AS1402" s="19"/>
      <c r="AT1402" s="19"/>
      <c r="AU1402" s="19"/>
      <c r="AV1402" s="19"/>
      <c r="AW1402" s="19"/>
      <c r="AX1402" s="107"/>
      <c r="AY1402" s="107"/>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39"/>
      <c r="CO1402" s="138"/>
      <c r="CP1402" s="139"/>
      <c r="CQ1402" s="138"/>
      <c r="CR1402" s="139"/>
      <c r="CS1402" s="138"/>
      <c r="CT1402" s="72"/>
      <c r="CU1402" s="139"/>
      <c r="CV1402" s="99">
        <f t="shared" si="131"/>
        <v>0</v>
      </c>
      <c r="CW1402" s="139"/>
      <c r="CX1402" s="138"/>
      <c r="CY1402" s="138"/>
      <c r="CZ1402" s="138"/>
      <c r="DA1402" s="139"/>
      <c r="DB1402" s="138"/>
      <c r="DC1402" s="45"/>
      <c r="DD1402" s="138"/>
      <c r="DE1402" s="45"/>
      <c r="DF1402" s="269"/>
      <c r="DG1402" s="270"/>
      <c r="DH1402" s="270"/>
      <c r="DI1402" s="270"/>
      <c r="DJ1402" s="270"/>
      <c r="DK1402" s="270"/>
      <c r="DL1402" s="270"/>
      <c r="DM1402" s="270"/>
      <c r="DN1402" s="270"/>
      <c r="DO1402" s="270"/>
      <c r="DP1402" s="270"/>
      <c r="DQ1402" s="270"/>
      <c r="DR1402" s="270"/>
      <c r="DS1402" s="270"/>
      <c r="DT1402" s="270"/>
      <c r="DU1402" s="270"/>
      <c r="DV1402" s="270"/>
      <c r="DW1402" s="270"/>
      <c r="DX1402" s="270"/>
      <c r="DY1402" s="270"/>
      <c r="DZ1402" s="270"/>
      <c r="EA1402" s="270"/>
      <c r="EB1402" s="270"/>
      <c r="EC1402" s="270"/>
      <c r="ED1402" s="270"/>
      <c r="EE1402" s="270"/>
      <c r="EF1402" s="270"/>
      <c r="EG1402" s="270"/>
      <c r="EH1402" s="270"/>
      <c r="EI1402" s="270"/>
      <c r="EJ1402" s="270"/>
      <c r="EK1402" s="270"/>
      <c r="EL1402" s="270"/>
      <c r="EM1402" s="270"/>
      <c r="EN1402" s="270"/>
      <c r="EO1402" s="270"/>
      <c r="EP1402" s="270"/>
      <c r="EQ1402" s="270"/>
      <c r="ER1402" s="270"/>
      <c r="ES1402" s="270"/>
      <c r="ET1402" s="270"/>
      <c r="EU1402" s="270"/>
      <c r="EV1402" s="270"/>
      <c r="EW1402" s="270"/>
      <c r="EX1402" s="270"/>
      <c r="EY1402" s="270"/>
      <c r="EZ1402" s="270"/>
      <c r="FA1402" s="270"/>
      <c r="FB1402" s="270"/>
      <c r="FC1402" s="270"/>
      <c r="FD1402" s="270"/>
      <c r="FE1402" s="270"/>
      <c r="FF1402" s="270"/>
      <c r="FG1402" s="270"/>
      <c r="FH1402" s="270"/>
      <c r="FI1402" s="270"/>
      <c r="FJ1402" s="270"/>
      <c r="FK1402" s="270"/>
      <c r="FL1402" s="270"/>
      <c r="FM1402" s="270"/>
      <c r="FN1402" s="270"/>
      <c r="FO1402" s="270"/>
      <c r="FP1402" s="270"/>
      <c r="FQ1402" s="270"/>
      <c r="FR1402" s="270"/>
      <c r="FS1402" s="270"/>
      <c r="FT1402" s="270"/>
      <c r="FU1402" s="270"/>
      <c r="FV1402" s="270"/>
      <c r="FW1402" s="270"/>
      <c r="FX1402" s="270"/>
      <c r="FY1402" s="270"/>
      <c r="FZ1402" s="270"/>
      <c r="GA1402" s="270"/>
      <c r="GB1402" s="270"/>
      <c r="GC1402" s="270"/>
      <c r="GD1402" s="270"/>
      <c r="GE1402" s="270"/>
      <c r="GF1402" s="270"/>
      <c r="GG1402" s="270"/>
      <c r="GH1402" s="270"/>
      <c r="GI1402" s="270"/>
      <c r="GJ1402" s="270"/>
      <c r="GK1402" s="270"/>
      <c r="GL1402" s="270"/>
      <c r="GM1402" s="270"/>
      <c r="GN1402" s="270"/>
      <c r="GO1402" s="270"/>
      <c r="GP1402" s="270"/>
      <c r="GQ1402" s="270"/>
      <c r="GR1402" s="270"/>
      <c r="GS1402" s="270"/>
      <c r="GT1402" s="270"/>
      <c r="GU1402" s="270"/>
      <c r="GV1402" s="270"/>
      <c r="GW1402" s="270"/>
      <c r="GX1402" s="270"/>
      <c r="GY1402" s="270"/>
      <c r="GZ1402" s="270"/>
      <c r="HA1402" s="270"/>
      <c r="HB1402" s="270"/>
      <c r="HC1402" s="270"/>
      <c r="HD1402" s="270"/>
      <c r="HE1402" s="270"/>
      <c r="HF1402" s="270"/>
      <c r="HG1402" s="270"/>
      <c r="HH1402" s="270"/>
      <c r="HI1402" s="270"/>
      <c r="HJ1402" s="270"/>
      <c r="HK1402" s="270"/>
      <c r="HL1402" s="270"/>
      <c r="HM1402" s="270"/>
      <c r="HN1402" s="270"/>
      <c r="HO1402" s="270"/>
      <c r="HP1402" s="270"/>
      <c r="HQ1402" s="270"/>
      <c r="HR1402" s="270"/>
      <c r="HS1402" s="270"/>
      <c r="HT1402" s="270"/>
      <c r="HU1402" s="270"/>
      <c r="HV1402" s="270"/>
      <c r="HW1402" s="270"/>
      <c r="HX1402" s="270"/>
      <c r="HY1402" s="270"/>
      <c r="HZ1402" s="270"/>
      <c r="IA1402" s="270"/>
      <c r="IB1402" s="270"/>
      <c r="IC1402" s="270"/>
      <c r="ID1402" s="270"/>
      <c r="IE1402" s="270"/>
      <c r="IF1402" s="270"/>
      <c r="IG1402" s="270"/>
      <c r="IH1402" s="270"/>
      <c r="II1402" s="270"/>
      <c r="IJ1402" s="270"/>
      <c r="IK1402" s="270"/>
      <c r="IL1402" s="270"/>
      <c r="IM1402" s="270"/>
      <c r="IN1402" s="270"/>
      <c r="IO1402" s="270"/>
      <c r="IP1402" s="270"/>
      <c r="IQ1402" s="270"/>
      <c r="IR1402" s="270"/>
      <c r="IS1402" s="270"/>
      <c r="IT1402" s="270"/>
      <c r="IU1402" s="270"/>
    </row>
    <row r="1403" spans="1:255" s="42" customFormat="1" ht="48" x14ac:dyDescent="0.2">
      <c r="A1403" s="89">
        <v>40701</v>
      </c>
      <c r="B1403" s="106" t="s">
        <v>4387</v>
      </c>
      <c r="C1403" s="106" t="s">
        <v>3329</v>
      </c>
      <c r="D1403" s="90" t="s">
        <v>2362</v>
      </c>
      <c r="E1403" s="90" t="str">
        <f>VLOOKUP(B1403&amp;C1403,Divipola!$C$2:$F$1138,4,FALSE)</f>
        <v>52788</v>
      </c>
      <c r="F1403" s="4"/>
      <c r="G1403" s="279"/>
      <c r="H1403" s="279"/>
      <c r="I1403" s="279"/>
      <c r="J1403" s="129">
        <v>1137</v>
      </c>
      <c r="K1403" s="129">
        <v>255</v>
      </c>
      <c r="L1403" s="129">
        <v>9</v>
      </c>
      <c r="M1403" s="129">
        <v>245</v>
      </c>
      <c r="N1403" s="101"/>
      <c r="O1403" s="101"/>
      <c r="P1403" s="101"/>
      <c r="Q1403" s="101">
        <v>1</v>
      </c>
      <c r="R1403" s="101"/>
      <c r="S1403" s="101"/>
      <c r="T1403" s="101"/>
      <c r="U1403" s="101"/>
      <c r="V1403" s="101"/>
      <c r="W1403" s="19"/>
      <c r="X1403" s="17"/>
      <c r="Y1403" s="5">
        <f t="shared" si="132"/>
        <v>0</v>
      </c>
      <c r="Z1403" s="5">
        <f t="shared" si="133"/>
        <v>0</v>
      </c>
      <c r="AA1403" s="5">
        <f t="shared" si="134"/>
        <v>0</v>
      </c>
      <c r="AB1403" s="5">
        <f t="shared" si="135"/>
        <v>0</v>
      </c>
      <c r="AC1403" s="5"/>
      <c r="AD1403" s="5">
        <v>0</v>
      </c>
      <c r="AE1403" s="5">
        <f t="shared" si="136"/>
        <v>0</v>
      </c>
      <c r="AF1403" s="70">
        <v>0</v>
      </c>
      <c r="AG1403" s="17"/>
      <c r="AH1403" s="18"/>
      <c r="AI1403" s="109" t="s">
        <v>4336</v>
      </c>
      <c r="AJ1403" s="110" t="s">
        <v>4337</v>
      </c>
      <c r="AK1403" s="45"/>
      <c r="AL1403" s="17"/>
      <c r="AM1403" s="103" t="s">
        <v>1157</v>
      </c>
      <c r="AN1403" s="19"/>
      <c r="AO1403" s="19"/>
      <c r="AP1403" s="19"/>
      <c r="AQ1403" s="19"/>
      <c r="AR1403" s="19"/>
      <c r="AS1403" s="19"/>
      <c r="AT1403" s="19"/>
      <c r="AU1403" s="19"/>
      <c r="AV1403" s="19"/>
      <c r="AW1403" s="19"/>
      <c r="AX1403" s="107"/>
      <c r="AY1403" s="107"/>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39"/>
      <c r="CO1403" s="138"/>
      <c r="CP1403" s="139"/>
      <c r="CQ1403" s="138"/>
      <c r="CR1403" s="139"/>
      <c r="CS1403" s="138"/>
      <c r="CT1403" s="72"/>
      <c r="CU1403" s="139"/>
      <c r="CV1403" s="99">
        <f t="shared" si="131"/>
        <v>0</v>
      </c>
      <c r="CW1403" s="139"/>
      <c r="CX1403" s="138"/>
      <c r="CY1403" s="138"/>
      <c r="CZ1403" s="138"/>
      <c r="DA1403" s="139"/>
      <c r="DB1403" s="138"/>
      <c r="DC1403" s="45"/>
      <c r="DD1403" s="138"/>
      <c r="DE1403" s="45"/>
      <c r="DF1403" s="46"/>
    </row>
    <row r="1404" spans="1:255" s="42" customFormat="1" ht="48" x14ac:dyDescent="0.2">
      <c r="A1404" s="89">
        <v>40701</v>
      </c>
      <c r="B1404" s="106" t="s">
        <v>4221</v>
      </c>
      <c r="C1404" s="106" t="s">
        <v>803</v>
      </c>
      <c r="D1404" s="90" t="s">
        <v>4340</v>
      </c>
      <c r="E1404" s="90" t="str">
        <f>VLOOKUP(B1404&amp;C1404,Divipola!$C$2:$F$1138,4,FALSE)</f>
        <v>54051</v>
      </c>
      <c r="F1404" s="90"/>
      <c r="G1404" s="129">
        <v>1</v>
      </c>
      <c r="H1404" s="129"/>
      <c r="I1404" s="129"/>
      <c r="J1404" s="129"/>
      <c r="K1404" s="129"/>
      <c r="L1404" s="129"/>
      <c r="M1404" s="129"/>
      <c r="N1404" s="129"/>
      <c r="O1404" s="129"/>
      <c r="P1404" s="129"/>
      <c r="Q1404" s="129"/>
      <c r="R1404" s="129"/>
      <c r="S1404" s="129"/>
      <c r="T1404" s="129"/>
      <c r="U1404" s="129"/>
      <c r="V1404" s="129"/>
      <c r="W1404" s="107"/>
      <c r="X1404" s="105"/>
      <c r="Y1404" s="92">
        <f t="shared" si="132"/>
        <v>0</v>
      </c>
      <c r="Z1404" s="92">
        <f t="shared" si="133"/>
        <v>0</v>
      </c>
      <c r="AA1404" s="92">
        <f t="shared" si="134"/>
        <v>0</v>
      </c>
      <c r="AB1404" s="92">
        <f t="shared" si="135"/>
        <v>0</v>
      </c>
      <c r="AC1404" s="92"/>
      <c r="AD1404" s="92">
        <v>0</v>
      </c>
      <c r="AE1404" s="92">
        <f t="shared" si="136"/>
        <v>0</v>
      </c>
      <c r="AF1404" s="93">
        <v>0</v>
      </c>
      <c r="AG1404" s="105"/>
      <c r="AH1404" s="108"/>
      <c r="AI1404" s="109" t="s">
        <v>4336</v>
      </c>
      <c r="AJ1404" s="110" t="s">
        <v>4337</v>
      </c>
      <c r="AK1404" s="280"/>
      <c r="AL1404" s="281"/>
      <c r="AM1404" s="112" t="s">
        <v>2131</v>
      </c>
      <c r="AN1404" s="107"/>
      <c r="AO1404" s="107"/>
      <c r="AP1404" s="107"/>
      <c r="AQ1404" s="107"/>
      <c r="AR1404" s="107"/>
      <c r="AS1404" s="107"/>
      <c r="AT1404" s="107"/>
      <c r="AU1404" s="107"/>
      <c r="AV1404" s="107"/>
      <c r="AW1404" s="107"/>
      <c r="AX1404" s="107"/>
      <c r="AY1404" s="107"/>
      <c r="AZ1404" s="107"/>
      <c r="BA1404" s="107"/>
      <c r="BB1404" s="107"/>
      <c r="BC1404" s="107"/>
      <c r="BD1404" s="107"/>
      <c r="BE1404" s="107"/>
      <c r="BF1404" s="107"/>
      <c r="BG1404" s="107"/>
      <c r="BH1404" s="107"/>
      <c r="BI1404" s="107"/>
      <c r="BJ1404" s="107"/>
      <c r="BK1404" s="107"/>
      <c r="BL1404" s="107"/>
      <c r="BM1404" s="107"/>
      <c r="BN1404" s="107"/>
      <c r="BO1404" s="107"/>
      <c r="BP1404" s="107"/>
      <c r="BQ1404" s="107"/>
      <c r="BR1404" s="107"/>
      <c r="BS1404" s="107"/>
      <c r="BT1404" s="107"/>
      <c r="BU1404" s="107"/>
      <c r="BV1404" s="107"/>
      <c r="BW1404" s="107"/>
      <c r="BX1404" s="107"/>
      <c r="BY1404" s="107"/>
      <c r="BZ1404" s="107"/>
      <c r="CA1404" s="107"/>
      <c r="CB1404" s="107"/>
      <c r="CC1404" s="107"/>
      <c r="CD1404" s="107"/>
      <c r="CE1404" s="107"/>
      <c r="CF1404" s="107"/>
      <c r="CG1404" s="107"/>
      <c r="CH1404" s="107"/>
      <c r="CI1404" s="107"/>
      <c r="CJ1404" s="107"/>
      <c r="CK1404" s="107"/>
      <c r="CL1404" s="107"/>
      <c r="CM1404" s="107"/>
      <c r="CN1404" s="118"/>
      <c r="CO1404" s="119"/>
      <c r="CP1404" s="118"/>
      <c r="CQ1404" s="119"/>
      <c r="CR1404" s="118"/>
      <c r="CS1404" s="119"/>
      <c r="CT1404" s="113"/>
      <c r="CU1404" s="118"/>
      <c r="CV1404" s="99">
        <f t="shared" si="131"/>
        <v>0</v>
      </c>
      <c r="CW1404" s="118"/>
      <c r="CX1404" s="119"/>
      <c r="CY1404" s="119"/>
      <c r="CZ1404" s="119"/>
      <c r="DA1404" s="118"/>
      <c r="DB1404" s="119"/>
      <c r="DC1404" s="111"/>
      <c r="DD1404" s="119"/>
      <c r="DE1404" s="111"/>
      <c r="DF1404" s="46"/>
    </row>
    <row r="1405" spans="1:255" s="42" customFormat="1" ht="24" x14ac:dyDescent="0.2">
      <c r="A1405" s="89">
        <v>40701</v>
      </c>
      <c r="B1405" s="106" t="s">
        <v>2226</v>
      </c>
      <c r="C1405" s="106" t="s">
        <v>4232</v>
      </c>
      <c r="D1405" s="90" t="s">
        <v>2362</v>
      </c>
      <c r="E1405" s="90" t="str">
        <f>VLOOKUP(B1405&amp;C1405,Divipola!$C$2:$F$1138,4,FALSE)</f>
        <v>68001</v>
      </c>
      <c r="F1405" s="90"/>
      <c r="G1405" s="279"/>
      <c r="H1405" s="279"/>
      <c r="I1405" s="279"/>
      <c r="J1405" s="279"/>
      <c r="K1405" s="279"/>
      <c r="L1405" s="279"/>
      <c r="M1405" s="279"/>
      <c r="N1405" s="129">
        <v>1</v>
      </c>
      <c r="O1405" s="129"/>
      <c r="P1405" s="129"/>
      <c r="Q1405" s="129"/>
      <c r="R1405" s="129"/>
      <c r="S1405" s="129"/>
      <c r="T1405" s="129"/>
      <c r="U1405" s="129"/>
      <c r="V1405" s="129"/>
      <c r="W1405" s="107"/>
      <c r="X1405" s="105"/>
      <c r="Y1405" s="92">
        <f t="shared" si="132"/>
        <v>0</v>
      </c>
      <c r="Z1405" s="92">
        <f t="shared" si="133"/>
        <v>0</v>
      </c>
      <c r="AA1405" s="92">
        <f t="shared" si="134"/>
        <v>0</v>
      </c>
      <c r="AB1405" s="92">
        <f t="shared" si="135"/>
        <v>0</v>
      </c>
      <c r="AC1405" s="92"/>
      <c r="AD1405" s="92">
        <v>0</v>
      </c>
      <c r="AE1405" s="92">
        <f t="shared" si="136"/>
        <v>0</v>
      </c>
      <c r="AF1405" s="93">
        <v>0</v>
      </c>
      <c r="AG1405" s="105"/>
      <c r="AH1405" s="108"/>
      <c r="AI1405" s="109" t="s">
        <v>4336</v>
      </c>
      <c r="AJ1405" s="110" t="s">
        <v>4337</v>
      </c>
      <c r="AK1405" s="280"/>
      <c r="AL1405" s="281"/>
      <c r="AM1405" s="112" t="s">
        <v>902</v>
      </c>
      <c r="AN1405" s="107"/>
      <c r="AO1405" s="107"/>
      <c r="AP1405" s="107"/>
      <c r="AQ1405" s="107"/>
      <c r="AR1405" s="107"/>
      <c r="AS1405" s="107"/>
      <c r="AT1405" s="107"/>
      <c r="AU1405" s="107"/>
      <c r="AV1405" s="107"/>
      <c r="AW1405" s="107"/>
      <c r="AX1405" s="107"/>
      <c r="AY1405" s="107"/>
      <c r="AZ1405" s="107"/>
      <c r="BA1405" s="107"/>
      <c r="BB1405" s="107"/>
      <c r="BC1405" s="107"/>
      <c r="BD1405" s="107"/>
      <c r="BE1405" s="107"/>
      <c r="BF1405" s="107"/>
      <c r="BG1405" s="107"/>
      <c r="BH1405" s="107"/>
      <c r="BI1405" s="107"/>
      <c r="BJ1405" s="107"/>
      <c r="BK1405" s="107"/>
      <c r="BL1405" s="107"/>
      <c r="BM1405" s="107"/>
      <c r="BN1405" s="107"/>
      <c r="BO1405" s="107"/>
      <c r="BP1405" s="107"/>
      <c r="BQ1405" s="107"/>
      <c r="BR1405" s="107"/>
      <c r="BS1405" s="107"/>
      <c r="BT1405" s="107"/>
      <c r="BU1405" s="107"/>
      <c r="BV1405" s="107"/>
      <c r="BW1405" s="107"/>
      <c r="BX1405" s="107"/>
      <c r="BY1405" s="107"/>
      <c r="BZ1405" s="107"/>
      <c r="CA1405" s="107"/>
      <c r="CB1405" s="107"/>
      <c r="CC1405" s="107"/>
      <c r="CD1405" s="107"/>
      <c r="CE1405" s="107"/>
      <c r="CF1405" s="107"/>
      <c r="CG1405" s="107"/>
      <c r="CH1405" s="107"/>
      <c r="CI1405" s="107"/>
      <c r="CJ1405" s="107"/>
      <c r="CK1405" s="107"/>
      <c r="CL1405" s="107"/>
      <c r="CM1405" s="107"/>
      <c r="CN1405" s="118"/>
      <c r="CO1405" s="119"/>
      <c r="CP1405" s="118"/>
      <c r="CQ1405" s="119"/>
      <c r="CR1405" s="118"/>
      <c r="CS1405" s="119"/>
      <c r="CT1405" s="113"/>
      <c r="CU1405" s="118"/>
      <c r="CV1405" s="99">
        <f t="shared" si="131"/>
        <v>0</v>
      </c>
      <c r="CW1405" s="118"/>
      <c r="CX1405" s="119"/>
      <c r="CY1405" s="119"/>
      <c r="CZ1405" s="119"/>
      <c r="DA1405" s="118"/>
      <c r="DB1405" s="119"/>
      <c r="DC1405" s="111"/>
      <c r="DD1405" s="119"/>
      <c r="DE1405" s="111"/>
      <c r="DF1405" s="269"/>
      <c r="DG1405" s="270"/>
      <c r="DH1405" s="270"/>
      <c r="DI1405" s="270"/>
      <c r="DJ1405" s="270"/>
      <c r="DK1405" s="270"/>
      <c r="DL1405" s="270"/>
      <c r="DM1405" s="270"/>
      <c r="DN1405" s="270"/>
      <c r="DO1405" s="270"/>
      <c r="DP1405" s="270"/>
      <c r="DQ1405" s="270"/>
      <c r="DR1405" s="270"/>
      <c r="DS1405" s="270"/>
      <c r="DT1405" s="270"/>
      <c r="DU1405" s="270"/>
      <c r="DV1405" s="270"/>
      <c r="DW1405" s="270"/>
      <c r="DX1405" s="270"/>
      <c r="DY1405" s="270"/>
      <c r="DZ1405" s="270"/>
      <c r="EA1405" s="270"/>
      <c r="EB1405" s="270"/>
      <c r="EC1405" s="270"/>
      <c r="ED1405" s="270"/>
      <c r="EE1405" s="270"/>
      <c r="EF1405" s="270"/>
      <c r="EG1405" s="270"/>
      <c r="EH1405" s="270"/>
      <c r="EI1405" s="270"/>
      <c r="EJ1405" s="270"/>
      <c r="EK1405" s="270"/>
      <c r="EL1405" s="270"/>
      <c r="EM1405" s="270"/>
      <c r="EN1405" s="270"/>
      <c r="EO1405" s="270"/>
      <c r="EP1405" s="270"/>
      <c r="EQ1405" s="270"/>
      <c r="ER1405" s="270"/>
      <c r="ES1405" s="270"/>
      <c r="ET1405" s="270"/>
      <c r="EU1405" s="270"/>
      <c r="EV1405" s="270"/>
      <c r="EW1405" s="270"/>
      <c r="EX1405" s="270"/>
      <c r="EY1405" s="270"/>
      <c r="EZ1405" s="270"/>
      <c r="FA1405" s="270"/>
      <c r="FB1405" s="270"/>
      <c r="FC1405" s="270"/>
      <c r="FD1405" s="270"/>
      <c r="FE1405" s="270"/>
      <c r="FF1405" s="270"/>
      <c r="FG1405" s="270"/>
      <c r="FH1405" s="270"/>
      <c r="FI1405" s="270"/>
      <c r="FJ1405" s="270"/>
      <c r="FK1405" s="270"/>
      <c r="FL1405" s="270"/>
      <c r="FM1405" s="270"/>
      <c r="FN1405" s="270"/>
      <c r="FO1405" s="270"/>
      <c r="FP1405" s="270"/>
      <c r="FQ1405" s="270"/>
      <c r="FR1405" s="270"/>
      <c r="FS1405" s="270"/>
      <c r="FT1405" s="270"/>
      <c r="FU1405" s="270"/>
      <c r="FV1405" s="270"/>
      <c r="FW1405" s="270"/>
      <c r="FX1405" s="270"/>
      <c r="FY1405" s="270"/>
      <c r="FZ1405" s="270"/>
      <c r="GA1405" s="270"/>
      <c r="GB1405" s="270"/>
      <c r="GC1405" s="270"/>
      <c r="GD1405" s="270"/>
      <c r="GE1405" s="270"/>
      <c r="GF1405" s="270"/>
      <c r="GG1405" s="270"/>
      <c r="GH1405" s="270"/>
      <c r="GI1405" s="270"/>
      <c r="GJ1405" s="270"/>
      <c r="GK1405" s="270"/>
      <c r="GL1405" s="270"/>
      <c r="GM1405" s="270"/>
      <c r="GN1405" s="270"/>
      <c r="GO1405" s="270"/>
      <c r="GP1405" s="270"/>
      <c r="GQ1405" s="270"/>
      <c r="GR1405" s="270"/>
      <c r="GS1405" s="270"/>
      <c r="GT1405" s="270"/>
      <c r="GU1405" s="270"/>
      <c r="GV1405" s="270"/>
      <c r="GW1405" s="270"/>
      <c r="GX1405" s="270"/>
      <c r="GY1405" s="270"/>
      <c r="GZ1405" s="270"/>
      <c r="HA1405" s="270"/>
      <c r="HB1405" s="270"/>
      <c r="HC1405" s="270"/>
      <c r="HD1405" s="270"/>
      <c r="HE1405" s="270"/>
      <c r="HF1405" s="270"/>
      <c r="HG1405" s="270"/>
      <c r="HH1405" s="270"/>
      <c r="HI1405" s="270"/>
      <c r="HJ1405" s="270"/>
      <c r="HK1405" s="270"/>
      <c r="HL1405" s="270"/>
      <c r="HM1405" s="270"/>
      <c r="HN1405" s="270"/>
      <c r="HO1405" s="270"/>
      <c r="HP1405" s="270"/>
      <c r="HQ1405" s="270"/>
      <c r="HR1405" s="270"/>
      <c r="HS1405" s="270"/>
      <c r="HT1405" s="270"/>
      <c r="HU1405" s="270"/>
      <c r="HV1405" s="270"/>
      <c r="HW1405" s="270"/>
      <c r="HX1405" s="270"/>
      <c r="HY1405" s="270"/>
      <c r="HZ1405" s="270"/>
      <c r="IA1405" s="270"/>
      <c r="IB1405" s="270"/>
      <c r="IC1405" s="270"/>
      <c r="ID1405" s="270"/>
      <c r="IE1405" s="270"/>
      <c r="IF1405" s="270"/>
      <c r="IG1405" s="270"/>
      <c r="IH1405" s="270"/>
      <c r="II1405" s="270"/>
      <c r="IJ1405" s="270"/>
      <c r="IK1405" s="270"/>
      <c r="IL1405" s="270"/>
      <c r="IM1405" s="270"/>
      <c r="IN1405" s="270"/>
      <c r="IO1405" s="270"/>
      <c r="IP1405" s="270"/>
      <c r="IQ1405" s="270"/>
      <c r="IR1405" s="270"/>
      <c r="IS1405" s="270"/>
      <c r="IT1405" s="270"/>
      <c r="IU1405" s="270"/>
    </row>
    <row r="1406" spans="1:255" s="42" customFormat="1" x14ac:dyDescent="0.2">
      <c r="A1406" s="89">
        <v>40702</v>
      </c>
      <c r="B1406" s="106" t="s">
        <v>4352</v>
      </c>
      <c r="C1406" s="106" t="s">
        <v>2532</v>
      </c>
      <c r="D1406" s="90" t="s">
        <v>4264</v>
      </c>
      <c r="E1406" s="90" t="str">
        <f>VLOOKUP(B1406&amp;C1406,Divipola!$C$2:$F$1138,4,FALSE)</f>
        <v>13647</v>
      </c>
      <c r="F1406" s="90"/>
      <c r="G1406" s="129"/>
      <c r="H1406" s="129"/>
      <c r="I1406" s="129"/>
      <c r="J1406" s="129"/>
      <c r="K1406" s="129"/>
      <c r="L1406" s="129"/>
      <c r="M1406" s="129"/>
      <c r="N1406" s="129"/>
      <c r="O1406" s="129"/>
      <c r="P1406" s="129"/>
      <c r="Q1406" s="129"/>
      <c r="R1406" s="129"/>
      <c r="S1406" s="129"/>
      <c r="T1406" s="129"/>
      <c r="U1406" s="129"/>
      <c r="V1406" s="129"/>
      <c r="W1406" s="107"/>
      <c r="X1406" s="105"/>
      <c r="Y1406" s="92">
        <f t="shared" si="132"/>
        <v>5550000</v>
      </c>
      <c r="Z1406" s="92">
        <f t="shared" si="133"/>
        <v>12750000</v>
      </c>
      <c r="AA1406" s="92">
        <f t="shared" si="134"/>
        <v>0</v>
      </c>
      <c r="AB1406" s="92">
        <f t="shared" si="135"/>
        <v>0</v>
      </c>
      <c r="AC1406" s="92"/>
      <c r="AD1406" s="92">
        <v>0</v>
      </c>
      <c r="AE1406" s="92">
        <f t="shared" si="136"/>
        <v>18300000</v>
      </c>
      <c r="AF1406" s="93">
        <v>0</v>
      </c>
      <c r="AG1406" s="105"/>
      <c r="AH1406" s="108"/>
      <c r="AI1406" s="109" t="s">
        <v>4346</v>
      </c>
      <c r="AJ1406" s="110" t="s">
        <v>4347</v>
      </c>
      <c r="AK1406" s="111"/>
      <c r="AL1406" s="105"/>
      <c r="AM1406" s="112"/>
      <c r="AN1406" s="107"/>
      <c r="AO1406" s="107"/>
      <c r="AP1406" s="107"/>
      <c r="AQ1406" s="107"/>
      <c r="AR1406" s="107"/>
      <c r="AS1406" s="107"/>
      <c r="AT1406" s="107"/>
      <c r="AU1406" s="107"/>
      <c r="AV1406" s="107"/>
      <c r="AW1406" s="107"/>
      <c r="AX1406" s="107"/>
      <c r="AY1406" s="107"/>
      <c r="AZ1406" s="107"/>
      <c r="BA1406" s="107"/>
      <c r="BB1406" s="107"/>
      <c r="BC1406" s="107"/>
      <c r="BD1406" s="107"/>
      <c r="BE1406" s="107"/>
      <c r="BF1406" s="107"/>
      <c r="BG1406" s="107"/>
      <c r="BH1406" s="107"/>
      <c r="BI1406" s="107"/>
      <c r="BJ1406" s="107"/>
      <c r="BK1406" s="107"/>
      <c r="BL1406" s="107"/>
      <c r="BM1406" s="107"/>
      <c r="BN1406" s="107"/>
      <c r="BO1406" s="107"/>
      <c r="BP1406" s="107"/>
      <c r="BQ1406" s="107"/>
      <c r="BR1406" s="107"/>
      <c r="BS1406" s="107"/>
      <c r="BT1406" s="107"/>
      <c r="BU1406" s="107"/>
      <c r="BV1406" s="107"/>
      <c r="BW1406" s="107"/>
      <c r="BX1406" s="107"/>
      <c r="BY1406" s="107"/>
      <c r="BZ1406" s="107"/>
      <c r="CA1406" s="107"/>
      <c r="CB1406" s="107"/>
      <c r="CC1406" s="107"/>
      <c r="CD1406" s="107"/>
      <c r="CE1406" s="107"/>
      <c r="CF1406" s="107"/>
      <c r="CG1406" s="107"/>
      <c r="CH1406" s="107"/>
      <c r="CI1406" s="107"/>
      <c r="CJ1406" s="107"/>
      <c r="CK1406" s="107"/>
      <c r="CL1406" s="107"/>
      <c r="CM1406" s="107"/>
      <c r="CN1406" s="118"/>
      <c r="CO1406" s="119"/>
      <c r="CP1406" s="118">
        <v>150</v>
      </c>
      <c r="CQ1406" s="119">
        <f>150*37000</f>
        <v>5550000</v>
      </c>
      <c r="CR1406" s="118"/>
      <c r="CS1406" s="119"/>
      <c r="CT1406" s="113"/>
      <c r="CU1406" s="118"/>
      <c r="CV1406" s="99">
        <f t="shared" si="131"/>
        <v>5550000</v>
      </c>
      <c r="CW1406" s="118"/>
      <c r="CX1406" s="119"/>
      <c r="CY1406" s="119">
        <v>150</v>
      </c>
      <c r="CZ1406" s="119">
        <f>150*85000</f>
        <v>12750000</v>
      </c>
      <c r="DA1406" s="118"/>
      <c r="DB1406" s="119"/>
      <c r="DC1406" s="111"/>
      <c r="DD1406" s="119"/>
      <c r="DE1406" s="111"/>
      <c r="DF1406" s="46"/>
    </row>
    <row r="1407" spans="1:255" s="42" customFormat="1" x14ac:dyDescent="0.2">
      <c r="A1407" s="89">
        <v>40702</v>
      </c>
      <c r="B1407" s="106" t="s">
        <v>4261</v>
      </c>
      <c r="C1407" s="106" t="s">
        <v>1249</v>
      </c>
      <c r="D1407" s="90" t="s">
        <v>2362</v>
      </c>
      <c r="E1407" s="90" t="str">
        <f>VLOOKUP(B1407&amp;C1407,Divipola!$C$2:$F$1138,4,FALSE)</f>
        <v>15533</v>
      </c>
      <c r="F1407" s="90"/>
      <c r="G1407" s="279"/>
      <c r="H1407" s="279"/>
      <c r="I1407" s="279"/>
      <c r="J1407" s="129">
        <v>90</v>
      </c>
      <c r="K1407" s="129">
        <v>18</v>
      </c>
      <c r="L1407" s="129">
        <v>10</v>
      </c>
      <c r="M1407" s="129"/>
      <c r="N1407" s="129"/>
      <c r="O1407" s="129"/>
      <c r="P1407" s="129"/>
      <c r="Q1407" s="129"/>
      <c r="R1407" s="129"/>
      <c r="S1407" s="129"/>
      <c r="T1407" s="129"/>
      <c r="U1407" s="129"/>
      <c r="V1407" s="129"/>
      <c r="W1407" s="107"/>
      <c r="X1407" s="105"/>
      <c r="Y1407" s="92">
        <f t="shared" si="132"/>
        <v>0</v>
      </c>
      <c r="Z1407" s="92">
        <f t="shared" si="133"/>
        <v>0</v>
      </c>
      <c r="AA1407" s="92">
        <f t="shared" si="134"/>
        <v>0</v>
      </c>
      <c r="AB1407" s="92">
        <f t="shared" si="135"/>
        <v>0</v>
      </c>
      <c r="AC1407" s="92"/>
      <c r="AD1407" s="92">
        <v>0</v>
      </c>
      <c r="AE1407" s="92">
        <f t="shared" si="136"/>
        <v>0</v>
      </c>
      <c r="AF1407" s="93">
        <v>0</v>
      </c>
      <c r="AG1407" s="105"/>
      <c r="AH1407" s="108"/>
      <c r="AI1407" s="47" t="s">
        <v>4336</v>
      </c>
      <c r="AJ1407" s="73" t="s">
        <v>4337</v>
      </c>
      <c r="AK1407" s="280"/>
      <c r="AL1407" s="281"/>
      <c r="AM1407" s="112" t="s">
        <v>938</v>
      </c>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c r="BJ1407" s="107"/>
      <c r="BK1407" s="107"/>
      <c r="BL1407" s="107"/>
      <c r="BM1407" s="107"/>
      <c r="BN1407" s="107"/>
      <c r="BO1407" s="107"/>
      <c r="BP1407" s="107"/>
      <c r="BQ1407" s="107"/>
      <c r="BR1407" s="107"/>
      <c r="BS1407" s="107"/>
      <c r="BT1407" s="107"/>
      <c r="BU1407" s="107"/>
      <c r="BV1407" s="107"/>
      <c r="BW1407" s="107"/>
      <c r="BX1407" s="107"/>
      <c r="BY1407" s="107"/>
      <c r="BZ1407" s="107"/>
      <c r="CA1407" s="107"/>
      <c r="CB1407" s="107"/>
      <c r="CC1407" s="107"/>
      <c r="CD1407" s="107"/>
      <c r="CE1407" s="107"/>
      <c r="CF1407" s="107"/>
      <c r="CG1407" s="107"/>
      <c r="CH1407" s="107"/>
      <c r="CI1407" s="107"/>
      <c r="CJ1407" s="107"/>
      <c r="CK1407" s="107"/>
      <c r="CL1407" s="107"/>
      <c r="CM1407" s="107"/>
      <c r="CN1407" s="118"/>
      <c r="CO1407" s="119"/>
      <c r="CP1407" s="118"/>
      <c r="CQ1407" s="119"/>
      <c r="CR1407" s="118"/>
      <c r="CS1407" s="119"/>
      <c r="CT1407" s="113"/>
      <c r="CU1407" s="118"/>
      <c r="CV1407" s="99">
        <f t="shared" si="131"/>
        <v>0</v>
      </c>
      <c r="CW1407" s="118"/>
      <c r="CX1407" s="119"/>
      <c r="CY1407" s="119"/>
      <c r="CZ1407" s="119"/>
      <c r="DA1407" s="118"/>
      <c r="DB1407" s="119"/>
      <c r="DC1407" s="111"/>
      <c r="DD1407" s="119"/>
      <c r="DE1407" s="111"/>
      <c r="DF1407" s="46"/>
    </row>
    <row r="1408" spans="1:255" s="42" customFormat="1" ht="60" x14ac:dyDescent="0.2">
      <c r="A1408" s="89">
        <v>40702</v>
      </c>
      <c r="B1408" s="16" t="s">
        <v>3358</v>
      </c>
      <c r="C1408" s="16" t="s">
        <v>1436</v>
      </c>
      <c r="D1408" s="16" t="s">
        <v>3346</v>
      </c>
      <c r="E1408" s="90" t="str">
        <f>VLOOKUP(B1408&amp;C1408,Divipola!$C$2:$F$1138,4,FALSE)</f>
        <v>18247</v>
      </c>
      <c r="F1408" s="4"/>
      <c r="G1408" s="208"/>
      <c r="H1408" s="208"/>
      <c r="I1408" s="208"/>
      <c r="J1408" s="208">
        <f>46*5</f>
        <v>230</v>
      </c>
      <c r="K1408" s="208">
        <v>46</v>
      </c>
      <c r="L1408" s="208"/>
      <c r="M1408" s="208">
        <v>46</v>
      </c>
      <c r="N1408" s="208"/>
      <c r="O1408" s="208"/>
      <c r="P1408" s="208"/>
      <c r="Q1408" s="208"/>
      <c r="R1408" s="208"/>
      <c r="S1408" s="208"/>
      <c r="T1408" s="208"/>
      <c r="U1408" s="208"/>
      <c r="V1408" s="208"/>
      <c r="W1408" s="19"/>
      <c r="X1408" s="17"/>
      <c r="Y1408" s="5">
        <f t="shared" si="132"/>
        <v>4480000</v>
      </c>
      <c r="Z1408" s="5">
        <f t="shared" si="133"/>
        <v>2805000</v>
      </c>
      <c r="AA1408" s="5">
        <f t="shared" si="134"/>
        <v>27460000</v>
      </c>
      <c r="AB1408" s="5">
        <f t="shared" si="135"/>
        <v>0</v>
      </c>
      <c r="AC1408" s="5">
        <f>30*29000</f>
        <v>870000</v>
      </c>
      <c r="AD1408" s="5">
        <v>0</v>
      </c>
      <c r="AE1408" s="5">
        <f t="shared" si="136"/>
        <v>35615000</v>
      </c>
      <c r="AF1408" s="70">
        <v>0</v>
      </c>
      <c r="AG1408" s="17"/>
      <c r="AH1408" s="18"/>
      <c r="AI1408" s="95" t="s">
        <v>4346</v>
      </c>
      <c r="AJ1408" s="96" t="s">
        <v>4347</v>
      </c>
      <c r="AK1408" s="45"/>
      <c r="AL1408" s="17"/>
      <c r="AM1408" s="20" t="s">
        <v>6</v>
      </c>
      <c r="AN1408" s="19"/>
      <c r="AO1408" s="19"/>
      <c r="AP1408" s="19"/>
      <c r="AQ1408" s="19"/>
      <c r="AR1408" s="19"/>
      <c r="AS1408" s="19"/>
      <c r="AT1408" s="19"/>
      <c r="AU1408" s="19"/>
      <c r="AV1408" s="19"/>
      <c r="AW1408" s="19"/>
      <c r="AX1408" s="107"/>
      <c r="AY1408" s="107"/>
      <c r="AZ1408" s="19">
        <v>80</v>
      </c>
      <c r="BA1408" s="19">
        <f>80*56000</f>
        <v>4480000</v>
      </c>
      <c r="BB1408" s="19"/>
      <c r="BC1408" s="19"/>
      <c r="BD1408" s="19"/>
      <c r="BE1408" s="19"/>
      <c r="BF1408" s="19"/>
      <c r="BG1408" s="19"/>
      <c r="BH1408" s="19"/>
      <c r="BI1408" s="19"/>
      <c r="BJ1408" s="19"/>
      <c r="BK1408" s="19"/>
      <c r="BL1408" s="19"/>
      <c r="BM1408" s="19"/>
      <c r="BN1408" s="19"/>
      <c r="BO1408" s="19"/>
      <c r="BP1408" s="19"/>
      <c r="BQ1408" s="19"/>
      <c r="BR1408" s="19"/>
      <c r="BS1408" s="19"/>
      <c r="BT1408" s="19"/>
      <c r="BU1408" s="19"/>
      <c r="BV1408" s="19"/>
      <c r="BW1408" s="19"/>
      <c r="BX1408" s="19"/>
      <c r="BY1408" s="19"/>
      <c r="BZ1408" s="19"/>
      <c r="CA1408" s="19"/>
      <c r="CB1408" s="19"/>
      <c r="CC1408" s="19"/>
      <c r="CD1408" s="19"/>
      <c r="CE1408" s="19"/>
      <c r="CF1408" s="19"/>
      <c r="CG1408" s="19"/>
      <c r="CH1408" s="19"/>
      <c r="CI1408" s="19"/>
      <c r="CJ1408" s="19"/>
      <c r="CK1408" s="19"/>
      <c r="CL1408" s="19"/>
      <c r="CM1408" s="19"/>
      <c r="CN1408" s="139"/>
      <c r="CO1408" s="138"/>
      <c r="CP1408" s="139"/>
      <c r="CQ1408" s="138"/>
      <c r="CR1408" s="139"/>
      <c r="CS1408" s="138"/>
      <c r="CT1408" s="72"/>
      <c r="CU1408" s="139"/>
      <c r="CV1408" s="99">
        <f t="shared" si="131"/>
        <v>4480000</v>
      </c>
      <c r="CW1408" s="139"/>
      <c r="CX1408" s="138"/>
      <c r="CY1408" s="138">
        <v>33</v>
      </c>
      <c r="CZ1408" s="138">
        <f>33*85000</f>
        <v>2805000</v>
      </c>
      <c r="DA1408" s="139">
        <v>260</v>
      </c>
      <c r="DB1408" s="138">
        <f>260*26000</f>
        <v>6760000</v>
      </c>
      <c r="DC1408" s="45">
        <v>900</v>
      </c>
      <c r="DD1408" s="138">
        <f>900*23000</f>
        <v>20700000</v>
      </c>
      <c r="DE1408" s="45"/>
      <c r="DF1408" s="46"/>
    </row>
    <row r="1409" spans="1:255" s="42" customFormat="1" ht="48" x14ac:dyDescent="0.2">
      <c r="A1409" s="89">
        <v>40702</v>
      </c>
      <c r="B1409" s="106" t="s">
        <v>4344</v>
      </c>
      <c r="C1409" s="106" t="s">
        <v>3546</v>
      </c>
      <c r="D1409" s="90" t="s">
        <v>2362</v>
      </c>
      <c r="E1409" s="90" t="str">
        <f>VLOOKUP(B1409&amp;C1409,Divipola!$C$2:$F$1138,4,FALSE)</f>
        <v>25181</v>
      </c>
      <c r="F1409" s="90"/>
      <c r="G1409" s="279"/>
      <c r="H1409" s="279"/>
      <c r="I1409" s="279"/>
      <c r="J1409" s="129">
        <v>46</v>
      </c>
      <c r="K1409" s="129">
        <v>10</v>
      </c>
      <c r="L1409" s="129"/>
      <c r="M1409" s="129">
        <v>10</v>
      </c>
      <c r="N1409" s="129"/>
      <c r="O1409" s="129"/>
      <c r="P1409" s="129"/>
      <c r="Q1409" s="129"/>
      <c r="R1409" s="129"/>
      <c r="S1409" s="129"/>
      <c r="T1409" s="129"/>
      <c r="U1409" s="129"/>
      <c r="V1409" s="129"/>
      <c r="W1409" s="107"/>
      <c r="X1409" s="105"/>
      <c r="Y1409" s="92">
        <f t="shared" si="132"/>
        <v>0</v>
      </c>
      <c r="Z1409" s="92">
        <f t="shared" si="133"/>
        <v>0</v>
      </c>
      <c r="AA1409" s="92">
        <f t="shared" si="134"/>
        <v>0</v>
      </c>
      <c r="AB1409" s="92">
        <f t="shared" si="135"/>
        <v>0</v>
      </c>
      <c r="AC1409" s="92"/>
      <c r="AD1409" s="92">
        <v>0</v>
      </c>
      <c r="AE1409" s="92">
        <f t="shared" si="136"/>
        <v>0</v>
      </c>
      <c r="AF1409" s="93">
        <v>0</v>
      </c>
      <c r="AG1409" s="105"/>
      <c r="AH1409" s="108"/>
      <c r="AI1409" s="109" t="s">
        <v>4336</v>
      </c>
      <c r="AJ1409" s="110" t="s">
        <v>4337</v>
      </c>
      <c r="AK1409" s="280"/>
      <c r="AL1409" s="281"/>
      <c r="AM1409" s="112" t="s">
        <v>2366</v>
      </c>
      <c r="AN1409" s="107"/>
      <c r="AO1409" s="107"/>
      <c r="AP1409" s="107"/>
      <c r="AQ1409" s="107"/>
      <c r="AR1409" s="107"/>
      <c r="AS1409" s="107"/>
      <c r="AT1409" s="107"/>
      <c r="AU1409" s="107"/>
      <c r="AV1409" s="107"/>
      <c r="AW1409" s="107"/>
      <c r="AX1409" s="107"/>
      <c r="AY1409" s="107"/>
      <c r="AZ1409" s="107"/>
      <c r="BA1409" s="107"/>
      <c r="BB1409" s="107"/>
      <c r="BC1409" s="107"/>
      <c r="BD1409" s="107"/>
      <c r="BE1409" s="107"/>
      <c r="BF1409" s="107"/>
      <c r="BG1409" s="107"/>
      <c r="BH1409" s="107"/>
      <c r="BI1409" s="107"/>
      <c r="BJ1409" s="107"/>
      <c r="BK1409" s="107"/>
      <c r="BL1409" s="107"/>
      <c r="BM1409" s="107"/>
      <c r="BN1409" s="107"/>
      <c r="BO1409" s="107"/>
      <c r="BP1409" s="107"/>
      <c r="BQ1409" s="107"/>
      <c r="BR1409" s="107"/>
      <c r="BS1409" s="107"/>
      <c r="BT1409" s="107"/>
      <c r="BU1409" s="107"/>
      <c r="BV1409" s="107"/>
      <c r="BW1409" s="107"/>
      <c r="BX1409" s="107"/>
      <c r="BY1409" s="107"/>
      <c r="BZ1409" s="107"/>
      <c r="CA1409" s="107"/>
      <c r="CB1409" s="107"/>
      <c r="CC1409" s="107"/>
      <c r="CD1409" s="107"/>
      <c r="CE1409" s="107"/>
      <c r="CF1409" s="107"/>
      <c r="CG1409" s="107"/>
      <c r="CH1409" s="107"/>
      <c r="CI1409" s="107"/>
      <c r="CJ1409" s="107"/>
      <c r="CK1409" s="107"/>
      <c r="CL1409" s="107"/>
      <c r="CM1409" s="107"/>
      <c r="CN1409" s="118"/>
      <c r="CO1409" s="119"/>
      <c r="CP1409" s="118"/>
      <c r="CQ1409" s="119"/>
      <c r="CR1409" s="118"/>
      <c r="CS1409" s="119"/>
      <c r="CT1409" s="113"/>
      <c r="CU1409" s="118"/>
      <c r="CV1409" s="99">
        <f t="shared" si="131"/>
        <v>0</v>
      </c>
      <c r="CW1409" s="118"/>
      <c r="CX1409" s="119"/>
      <c r="CY1409" s="119"/>
      <c r="CZ1409" s="119"/>
      <c r="DA1409" s="118"/>
      <c r="DB1409" s="119"/>
      <c r="DC1409" s="111"/>
      <c r="DD1409" s="119"/>
      <c r="DE1409" s="111"/>
      <c r="DF1409" s="46"/>
    </row>
    <row r="1410" spans="1:255" s="42" customFormat="1" ht="24" x14ac:dyDescent="0.2">
      <c r="A1410" s="89">
        <v>40702</v>
      </c>
      <c r="B1410" s="106" t="s">
        <v>4344</v>
      </c>
      <c r="C1410" s="106" t="s">
        <v>1754</v>
      </c>
      <c r="D1410" s="90" t="s">
        <v>2362</v>
      </c>
      <c r="E1410" s="90" t="str">
        <f>VLOOKUP(B1410&amp;C1410,Divipola!$C$2:$F$1138,4,FALSE)</f>
        <v>25438</v>
      </c>
      <c r="F1410" s="106"/>
      <c r="G1410" s="90"/>
      <c r="H1410" s="279"/>
      <c r="I1410" s="279"/>
      <c r="J1410" s="129">
        <v>10</v>
      </c>
      <c r="K1410" s="129">
        <v>2</v>
      </c>
      <c r="L1410" s="129">
        <v>2</v>
      </c>
      <c r="M1410" s="279"/>
      <c r="N1410" s="129"/>
      <c r="O1410" s="129"/>
      <c r="P1410" s="129"/>
      <c r="Q1410" s="129"/>
      <c r="R1410" s="129"/>
      <c r="S1410" s="129"/>
      <c r="T1410" s="129"/>
      <c r="U1410" s="129"/>
      <c r="V1410" s="129"/>
      <c r="W1410" s="107"/>
      <c r="X1410" s="105"/>
      <c r="Y1410" s="92">
        <f t="shared" si="132"/>
        <v>0</v>
      </c>
      <c r="Z1410" s="92">
        <f t="shared" si="133"/>
        <v>0</v>
      </c>
      <c r="AA1410" s="92">
        <f t="shared" si="134"/>
        <v>0</v>
      </c>
      <c r="AB1410" s="92">
        <f t="shared" si="135"/>
        <v>0</v>
      </c>
      <c r="AC1410" s="92"/>
      <c r="AD1410" s="92">
        <v>0</v>
      </c>
      <c r="AE1410" s="92">
        <f t="shared" si="136"/>
        <v>0</v>
      </c>
      <c r="AF1410" s="93">
        <v>0</v>
      </c>
      <c r="AG1410" s="105"/>
      <c r="AH1410" s="108"/>
      <c r="AI1410" s="109" t="s">
        <v>4336</v>
      </c>
      <c r="AJ1410" s="110" t="s">
        <v>4337</v>
      </c>
      <c r="AK1410" s="280"/>
      <c r="AL1410" s="281"/>
      <c r="AM1410" s="112" t="s">
        <v>2367</v>
      </c>
      <c r="AN1410" s="107"/>
      <c r="AO1410" s="107"/>
      <c r="AP1410" s="107"/>
      <c r="AQ1410" s="107"/>
      <c r="AR1410" s="107"/>
      <c r="AS1410" s="107"/>
      <c r="AT1410" s="107"/>
      <c r="AU1410" s="107"/>
      <c r="AV1410" s="107"/>
      <c r="AW1410" s="107"/>
      <c r="AX1410" s="107"/>
      <c r="AY1410" s="107"/>
      <c r="AZ1410" s="107"/>
      <c r="BA1410" s="107"/>
      <c r="BB1410" s="107"/>
      <c r="BC1410" s="107"/>
      <c r="BD1410" s="107"/>
      <c r="BE1410" s="107"/>
      <c r="BF1410" s="107"/>
      <c r="BG1410" s="107"/>
      <c r="BH1410" s="107"/>
      <c r="BI1410" s="107"/>
      <c r="BJ1410" s="107"/>
      <c r="BK1410" s="107"/>
      <c r="BL1410" s="107"/>
      <c r="BM1410" s="107"/>
      <c r="BN1410" s="107"/>
      <c r="BO1410" s="107"/>
      <c r="BP1410" s="107"/>
      <c r="BQ1410" s="107"/>
      <c r="BR1410" s="107"/>
      <c r="BS1410" s="107"/>
      <c r="BT1410" s="107"/>
      <c r="BU1410" s="107"/>
      <c r="BV1410" s="107"/>
      <c r="BW1410" s="107"/>
      <c r="BX1410" s="107"/>
      <c r="BY1410" s="107"/>
      <c r="BZ1410" s="107"/>
      <c r="CA1410" s="107"/>
      <c r="CB1410" s="107"/>
      <c r="CC1410" s="107"/>
      <c r="CD1410" s="107"/>
      <c r="CE1410" s="107"/>
      <c r="CF1410" s="107"/>
      <c r="CG1410" s="107"/>
      <c r="CH1410" s="107"/>
      <c r="CI1410" s="107"/>
      <c r="CJ1410" s="107"/>
      <c r="CK1410" s="107"/>
      <c r="CL1410" s="107"/>
      <c r="CM1410" s="107"/>
      <c r="CN1410" s="118"/>
      <c r="CO1410" s="119"/>
      <c r="CP1410" s="118"/>
      <c r="CQ1410" s="119"/>
      <c r="CR1410" s="118"/>
      <c r="CS1410" s="119"/>
      <c r="CT1410" s="113"/>
      <c r="CU1410" s="118"/>
      <c r="CV1410" s="99">
        <f t="shared" si="131"/>
        <v>0</v>
      </c>
      <c r="CW1410" s="118"/>
      <c r="CX1410" s="119"/>
      <c r="CY1410" s="119"/>
      <c r="CZ1410" s="119"/>
      <c r="DA1410" s="118"/>
      <c r="DB1410" s="119"/>
      <c r="DC1410" s="111"/>
      <c r="DD1410" s="119"/>
      <c r="DE1410" s="111"/>
      <c r="DF1410" s="46"/>
    </row>
    <row r="1411" spans="1:255" s="42" customFormat="1" ht="60" x14ac:dyDescent="0.2">
      <c r="A1411" s="89">
        <v>40702</v>
      </c>
      <c r="B1411" s="106" t="s">
        <v>860</v>
      </c>
      <c r="C1411" s="106" t="s">
        <v>407</v>
      </c>
      <c r="D1411" s="90" t="s">
        <v>4264</v>
      </c>
      <c r="E1411" s="90" t="str">
        <f>VLOOKUP(B1411&amp;C1411,Divipola!$C$2:$F$1138,4,FALSE)</f>
        <v>50350</v>
      </c>
      <c r="F1411" s="90"/>
      <c r="G1411" s="279"/>
      <c r="H1411" s="279"/>
      <c r="I1411" s="279"/>
      <c r="J1411" s="101">
        <v>252</v>
      </c>
      <c r="K1411" s="101">
        <v>56</v>
      </c>
      <c r="L1411" s="101"/>
      <c r="M1411" s="101">
        <v>56</v>
      </c>
      <c r="N1411" s="129"/>
      <c r="O1411" s="129"/>
      <c r="P1411" s="129"/>
      <c r="Q1411" s="129"/>
      <c r="R1411" s="129"/>
      <c r="S1411" s="129"/>
      <c r="T1411" s="129"/>
      <c r="U1411" s="129"/>
      <c r="V1411" s="129"/>
      <c r="W1411" s="107"/>
      <c r="X1411" s="105"/>
      <c r="Y1411" s="92">
        <f t="shared" si="132"/>
        <v>0</v>
      </c>
      <c r="Z1411" s="92">
        <f t="shared" si="133"/>
        <v>0</v>
      </c>
      <c r="AA1411" s="92">
        <f t="shared" si="134"/>
        <v>0</v>
      </c>
      <c r="AB1411" s="92">
        <f t="shared" si="135"/>
        <v>0</v>
      </c>
      <c r="AC1411" s="92"/>
      <c r="AD1411" s="92">
        <v>0</v>
      </c>
      <c r="AE1411" s="92">
        <f t="shared" si="136"/>
        <v>0</v>
      </c>
      <c r="AF1411" s="93">
        <v>0</v>
      </c>
      <c r="AG1411" s="105"/>
      <c r="AH1411" s="108"/>
      <c r="AI1411" s="102" t="s">
        <v>4346</v>
      </c>
      <c r="AJ1411" s="96" t="s">
        <v>4347</v>
      </c>
      <c r="AK1411" s="111"/>
      <c r="AL1411" s="89" t="s">
        <v>2798</v>
      </c>
      <c r="AM1411" s="112" t="s">
        <v>2130</v>
      </c>
      <c r="AN1411" s="107"/>
      <c r="AO1411" s="107"/>
      <c r="AP1411" s="107"/>
      <c r="AQ1411" s="107"/>
      <c r="AR1411" s="107"/>
      <c r="AS1411" s="107"/>
      <c r="AT1411" s="107"/>
      <c r="AU1411" s="107"/>
      <c r="AV1411" s="107"/>
      <c r="AW1411" s="107"/>
      <c r="AX1411" s="107"/>
      <c r="AY1411" s="107"/>
      <c r="AZ1411" s="107"/>
      <c r="BA1411" s="107"/>
      <c r="BB1411" s="107"/>
      <c r="BC1411" s="107"/>
      <c r="BD1411" s="107"/>
      <c r="BE1411" s="107"/>
      <c r="BF1411" s="107"/>
      <c r="BG1411" s="107"/>
      <c r="BH1411" s="107"/>
      <c r="BI1411" s="107"/>
      <c r="BJ1411" s="107"/>
      <c r="BK1411" s="107"/>
      <c r="BL1411" s="107"/>
      <c r="BM1411" s="107"/>
      <c r="BN1411" s="107"/>
      <c r="BO1411" s="107"/>
      <c r="BP1411" s="107"/>
      <c r="BQ1411" s="107"/>
      <c r="BR1411" s="107"/>
      <c r="BS1411" s="107"/>
      <c r="BT1411" s="107"/>
      <c r="BU1411" s="107"/>
      <c r="BV1411" s="107"/>
      <c r="BW1411" s="107"/>
      <c r="BX1411" s="107"/>
      <c r="BY1411" s="107"/>
      <c r="BZ1411" s="107"/>
      <c r="CA1411" s="107"/>
      <c r="CB1411" s="107"/>
      <c r="CC1411" s="107"/>
      <c r="CD1411" s="107"/>
      <c r="CE1411" s="107"/>
      <c r="CF1411" s="107"/>
      <c r="CG1411" s="107"/>
      <c r="CH1411" s="107"/>
      <c r="CI1411" s="107"/>
      <c r="CJ1411" s="107"/>
      <c r="CK1411" s="107"/>
      <c r="CL1411" s="107"/>
      <c r="CM1411" s="107"/>
      <c r="CN1411" s="118"/>
      <c r="CO1411" s="119"/>
      <c r="CP1411" s="118"/>
      <c r="CQ1411" s="119"/>
      <c r="CR1411" s="118"/>
      <c r="CS1411" s="119"/>
      <c r="CT1411" s="113"/>
      <c r="CU1411" s="118"/>
      <c r="CV1411" s="99">
        <f t="shared" ref="CV1411:CV1474" si="137">AO1411+AQ1411+AS1411+AU1411+AW1411+AY1411+BA1411+BC1411+BE1411+BG1411+BI1411+BK1411+BM1411+BO1411+BQ1411+BS1411+BU1411+BW1411+BY1411+CA1411+CC1411+CE1411+CG1411+CI1411+CK1411+CM1411+CO1411+CQ1411+CS1411+CU1411</f>
        <v>0</v>
      </c>
      <c r="CW1411" s="118"/>
      <c r="CX1411" s="119"/>
      <c r="CY1411" s="119"/>
      <c r="CZ1411" s="119"/>
      <c r="DA1411" s="118"/>
      <c r="DB1411" s="119"/>
      <c r="DC1411" s="111"/>
      <c r="DD1411" s="119"/>
      <c r="DE1411" s="111"/>
      <c r="DF1411" s="46"/>
    </row>
    <row r="1412" spans="1:255" s="42" customFormat="1" ht="56.25" x14ac:dyDescent="0.2">
      <c r="A1412" s="89">
        <v>40702</v>
      </c>
      <c r="B1412" s="90" t="s">
        <v>4387</v>
      </c>
      <c r="C1412" s="90" t="s">
        <v>512</v>
      </c>
      <c r="D1412" s="90" t="s">
        <v>2362</v>
      </c>
      <c r="E1412" s="90" t="str">
        <f>VLOOKUP(B1412&amp;C1412,Divipola!$C$2:$F$1138,4,FALSE)</f>
        <v>52540</v>
      </c>
      <c r="F1412" s="4"/>
      <c r="G1412" s="101"/>
      <c r="H1412" s="101"/>
      <c r="I1412" s="101"/>
      <c r="J1412" s="101"/>
      <c r="K1412" s="101"/>
      <c r="L1412" s="101"/>
      <c r="M1412" s="101"/>
      <c r="N1412" s="101"/>
      <c r="O1412" s="101"/>
      <c r="P1412" s="101"/>
      <c r="Q1412" s="101"/>
      <c r="R1412" s="101"/>
      <c r="S1412" s="101"/>
      <c r="T1412" s="101">
        <v>15</v>
      </c>
      <c r="U1412" s="91"/>
      <c r="V1412" s="89"/>
      <c r="W1412" s="19"/>
      <c r="X1412" s="17"/>
      <c r="Y1412" s="5">
        <f t="shared" si="132"/>
        <v>0</v>
      </c>
      <c r="Z1412" s="5">
        <f t="shared" si="133"/>
        <v>0</v>
      </c>
      <c r="AA1412" s="5">
        <f t="shared" si="134"/>
        <v>0</v>
      </c>
      <c r="AB1412" s="5">
        <f t="shared" si="135"/>
        <v>0</v>
      </c>
      <c r="AC1412" s="5"/>
      <c r="AD1412" s="5">
        <v>0</v>
      </c>
      <c r="AE1412" s="5">
        <f t="shared" si="136"/>
        <v>0</v>
      </c>
      <c r="AF1412" s="70">
        <v>0</v>
      </c>
      <c r="AG1412" s="17"/>
      <c r="AH1412" s="18"/>
      <c r="AI1412" s="109" t="s">
        <v>4336</v>
      </c>
      <c r="AJ1412" s="110" t="s">
        <v>4337</v>
      </c>
      <c r="AK1412" s="45"/>
      <c r="AL1412" s="17"/>
      <c r="AM1412" s="90" t="s">
        <v>1152</v>
      </c>
      <c r="AN1412" s="19"/>
      <c r="AO1412" s="19"/>
      <c r="AP1412" s="19"/>
      <c r="AQ1412" s="19"/>
      <c r="AR1412" s="19"/>
      <c r="AS1412" s="19"/>
      <c r="AT1412" s="19"/>
      <c r="AU1412" s="19"/>
      <c r="AV1412" s="19"/>
      <c r="AW1412" s="19"/>
      <c r="AX1412" s="107"/>
      <c r="AY1412" s="107"/>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c r="BW1412" s="19"/>
      <c r="BX1412" s="19"/>
      <c r="BY1412" s="19"/>
      <c r="BZ1412" s="19"/>
      <c r="CA1412" s="19"/>
      <c r="CB1412" s="19"/>
      <c r="CC1412" s="19"/>
      <c r="CD1412" s="19"/>
      <c r="CE1412" s="19"/>
      <c r="CF1412" s="19"/>
      <c r="CG1412" s="19"/>
      <c r="CH1412" s="19"/>
      <c r="CI1412" s="19"/>
      <c r="CJ1412" s="19"/>
      <c r="CK1412" s="19"/>
      <c r="CL1412" s="19"/>
      <c r="CM1412" s="19"/>
      <c r="CN1412" s="139"/>
      <c r="CO1412" s="138"/>
      <c r="CP1412" s="139"/>
      <c r="CQ1412" s="138"/>
      <c r="CR1412" s="139"/>
      <c r="CS1412" s="138"/>
      <c r="CT1412" s="72"/>
      <c r="CU1412" s="139"/>
      <c r="CV1412" s="99">
        <f t="shared" si="137"/>
        <v>0</v>
      </c>
      <c r="CW1412" s="139"/>
      <c r="CX1412" s="138"/>
      <c r="CY1412" s="138"/>
      <c r="CZ1412" s="138"/>
      <c r="DA1412" s="139"/>
      <c r="DB1412" s="138"/>
      <c r="DC1412" s="45"/>
      <c r="DD1412" s="138"/>
      <c r="DE1412" s="45"/>
      <c r="DF1412" s="46"/>
    </row>
    <row r="1413" spans="1:255" s="42" customFormat="1" ht="24" x14ac:dyDescent="0.2">
      <c r="A1413" s="89">
        <v>40702</v>
      </c>
      <c r="B1413" s="106" t="s">
        <v>2226</v>
      </c>
      <c r="C1413" s="106" t="s">
        <v>3009</v>
      </c>
      <c r="D1413" s="90" t="s">
        <v>4264</v>
      </c>
      <c r="E1413" s="90" t="str">
        <f>VLOOKUP(B1413&amp;C1413,Divipola!$C$2:$F$1138,4,FALSE)</f>
        <v>68861</v>
      </c>
      <c r="F1413" s="90"/>
      <c r="G1413" s="129">
        <v>1</v>
      </c>
      <c r="H1413" s="129"/>
      <c r="I1413" s="129"/>
      <c r="J1413" s="129">
        <v>8175</v>
      </c>
      <c r="K1413" s="129">
        <v>1635</v>
      </c>
      <c r="L1413" s="129"/>
      <c r="M1413" s="129">
        <v>1635</v>
      </c>
      <c r="N1413" s="129">
        <v>11</v>
      </c>
      <c r="O1413" s="129"/>
      <c r="P1413" s="129"/>
      <c r="Q1413" s="129"/>
      <c r="R1413" s="129"/>
      <c r="S1413" s="129"/>
      <c r="T1413" s="129"/>
      <c r="U1413" s="129"/>
      <c r="V1413" s="129"/>
      <c r="W1413" s="107"/>
      <c r="X1413" s="105"/>
      <c r="Y1413" s="92">
        <f t="shared" si="132"/>
        <v>0</v>
      </c>
      <c r="Z1413" s="92">
        <f t="shared" si="133"/>
        <v>0</v>
      </c>
      <c r="AA1413" s="92">
        <f t="shared" si="134"/>
        <v>0</v>
      </c>
      <c r="AB1413" s="92">
        <f t="shared" si="135"/>
        <v>0</v>
      </c>
      <c r="AC1413" s="92"/>
      <c r="AD1413" s="92">
        <v>0</v>
      </c>
      <c r="AE1413" s="92">
        <f t="shared" si="136"/>
        <v>0</v>
      </c>
      <c r="AF1413" s="93">
        <v>0</v>
      </c>
      <c r="AG1413" s="105"/>
      <c r="AH1413" s="108"/>
      <c r="AI1413" s="109" t="s">
        <v>4336</v>
      </c>
      <c r="AJ1413" s="110" t="s">
        <v>4337</v>
      </c>
      <c r="AK1413" s="280"/>
      <c r="AL1413" s="281"/>
      <c r="AM1413" s="112" t="s">
        <v>901</v>
      </c>
      <c r="AN1413" s="107"/>
      <c r="AO1413" s="107"/>
      <c r="AP1413" s="107"/>
      <c r="AQ1413" s="107"/>
      <c r="AR1413" s="107"/>
      <c r="AS1413" s="107"/>
      <c r="AT1413" s="107"/>
      <c r="AU1413" s="107"/>
      <c r="AV1413" s="107"/>
      <c r="AW1413" s="107"/>
      <c r="AX1413" s="107"/>
      <c r="AY1413" s="107"/>
      <c r="AZ1413" s="107"/>
      <c r="BA1413" s="107"/>
      <c r="BB1413" s="107"/>
      <c r="BC1413" s="107"/>
      <c r="BD1413" s="107"/>
      <c r="BE1413" s="107"/>
      <c r="BF1413" s="107"/>
      <c r="BG1413" s="107"/>
      <c r="BH1413" s="107"/>
      <c r="BI1413" s="107"/>
      <c r="BJ1413" s="107"/>
      <c r="BK1413" s="107"/>
      <c r="BL1413" s="107"/>
      <c r="BM1413" s="107"/>
      <c r="BN1413" s="107"/>
      <c r="BO1413" s="107"/>
      <c r="BP1413" s="107"/>
      <c r="BQ1413" s="107"/>
      <c r="BR1413" s="107"/>
      <c r="BS1413" s="107"/>
      <c r="BT1413" s="107"/>
      <c r="BU1413" s="107"/>
      <c r="BV1413" s="107"/>
      <c r="BW1413" s="107"/>
      <c r="BX1413" s="107"/>
      <c r="BY1413" s="107"/>
      <c r="BZ1413" s="107"/>
      <c r="CA1413" s="107"/>
      <c r="CB1413" s="107"/>
      <c r="CC1413" s="107"/>
      <c r="CD1413" s="107"/>
      <c r="CE1413" s="107"/>
      <c r="CF1413" s="107"/>
      <c r="CG1413" s="107"/>
      <c r="CH1413" s="107"/>
      <c r="CI1413" s="107"/>
      <c r="CJ1413" s="107"/>
      <c r="CK1413" s="107"/>
      <c r="CL1413" s="107"/>
      <c r="CM1413" s="107"/>
      <c r="CN1413" s="118"/>
      <c r="CO1413" s="119"/>
      <c r="CP1413" s="118"/>
      <c r="CQ1413" s="119"/>
      <c r="CR1413" s="118"/>
      <c r="CS1413" s="119"/>
      <c r="CT1413" s="113"/>
      <c r="CU1413" s="118"/>
      <c r="CV1413" s="99">
        <f t="shared" si="137"/>
        <v>0</v>
      </c>
      <c r="CW1413" s="118"/>
      <c r="CX1413" s="119"/>
      <c r="CY1413" s="119"/>
      <c r="CZ1413" s="119"/>
      <c r="DA1413" s="118"/>
      <c r="DB1413" s="119"/>
      <c r="DC1413" s="111"/>
      <c r="DD1413" s="119"/>
      <c r="DE1413" s="111"/>
      <c r="DF1413" s="269"/>
      <c r="DG1413" s="270"/>
      <c r="DH1413" s="270"/>
      <c r="DI1413" s="270"/>
      <c r="DJ1413" s="270"/>
      <c r="DK1413" s="270"/>
      <c r="DL1413" s="270"/>
      <c r="DM1413" s="270"/>
      <c r="DN1413" s="270"/>
      <c r="DO1413" s="270"/>
      <c r="DP1413" s="270"/>
      <c r="DQ1413" s="270"/>
      <c r="DR1413" s="270"/>
      <c r="DS1413" s="270"/>
      <c r="DT1413" s="270"/>
      <c r="DU1413" s="270"/>
      <c r="DV1413" s="270"/>
      <c r="DW1413" s="270"/>
      <c r="DX1413" s="270"/>
      <c r="DY1413" s="270"/>
      <c r="DZ1413" s="270"/>
      <c r="EA1413" s="270"/>
      <c r="EB1413" s="270"/>
      <c r="EC1413" s="270"/>
      <c r="ED1413" s="270"/>
      <c r="EE1413" s="270"/>
      <c r="EF1413" s="270"/>
      <c r="EG1413" s="270"/>
      <c r="EH1413" s="270"/>
      <c r="EI1413" s="270"/>
      <c r="EJ1413" s="270"/>
      <c r="EK1413" s="270"/>
      <c r="EL1413" s="270"/>
      <c r="EM1413" s="270"/>
      <c r="EN1413" s="270"/>
      <c r="EO1413" s="270"/>
      <c r="EP1413" s="270"/>
      <c r="EQ1413" s="270"/>
      <c r="ER1413" s="270"/>
      <c r="ES1413" s="270"/>
      <c r="ET1413" s="270"/>
      <c r="EU1413" s="270"/>
      <c r="EV1413" s="270"/>
      <c r="EW1413" s="270"/>
      <c r="EX1413" s="270"/>
      <c r="EY1413" s="270"/>
      <c r="EZ1413" s="270"/>
      <c r="FA1413" s="270"/>
      <c r="FB1413" s="270"/>
      <c r="FC1413" s="270"/>
      <c r="FD1413" s="270"/>
      <c r="FE1413" s="270"/>
      <c r="FF1413" s="270"/>
      <c r="FG1413" s="270"/>
      <c r="FH1413" s="270"/>
      <c r="FI1413" s="270"/>
      <c r="FJ1413" s="270"/>
      <c r="FK1413" s="270"/>
      <c r="FL1413" s="270"/>
      <c r="FM1413" s="270"/>
      <c r="FN1413" s="270"/>
      <c r="FO1413" s="270"/>
      <c r="FP1413" s="270"/>
      <c r="FQ1413" s="270"/>
      <c r="FR1413" s="270"/>
      <c r="FS1413" s="270"/>
      <c r="FT1413" s="270"/>
      <c r="FU1413" s="270"/>
      <c r="FV1413" s="270"/>
      <c r="FW1413" s="270"/>
      <c r="FX1413" s="270"/>
      <c r="FY1413" s="270"/>
      <c r="FZ1413" s="270"/>
      <c r="GA1413" s="270"/>
      <c r="GB1413" s="270"/>
      <c r="GC1413" s="270"/>
      <c r="GD1413" s="270"/>
      <c r="GE1413" s="270"/>
      <c r="GF1413" s="270"/>
      <c r="GG1413" s="270"/>
      <c r="GH1413" s="270"/>
      <c r="GI1413" s="270"/>
      <c r="GJ1413" s="270"/>
      <c r="GK1413" s="270"/>
      <c r="GL1413" s="270"/>
      <c r="GM1413" s="270"/>
      <c r="GN1413" s="270"/>
      <c r="GO1413" s="270"/>
      <c r="GP1413" s="270"/>
      <c r="GQ1413" s="270"/>
      <c r="GR1413" s="270"/>
      <c r="GS1413" s="270"/>
      <c r="GT1413" s="270"/>
      <c r="GU1413" s="270"/>
      <c r="GV1413" s="270"/>
      <c r="GW1413" s="270"/>
      <c r="GX1413" s="270"/>
      <c r="GY1413" s="270"/>
      <c r="GZ1413" s="270"/>
      <c r="HA1413" s="270"/>
      <c r="HB1413" s="270"/>
      <c r="HC1413" s="270"/>
      <c r="HD1413" s="270"/>
      <c r="HE1413" s="270"/>
      <c r="HF1413" s="270"/>
      <c r="HG1413" s="270"/>
      <c r="HH1413" s="270"/>
      <c r="HI1413" s="270"/>
      <c r="HJ1413" s="270"/>
      <c r="HK1413" s="270"/>
      <c r="HL1413" s="270"/>
      <c r="HM1413" s="270"/>
      <c r="HN1413" s="270"/>
      <c r="HO1413" s="270"/>
      <c r="HP1413" s="270"/>
      <c r="HQ1413" s="270"/>
      <c r="HR1413" s="270"/>
      <c r="HS1413" s="270"/>
      <c r="HT1413" s="270"/>
      <c r="HU1413" s="270"/>
      <c r="HV1413" s="270"/>
      <c r="HW1413" s="270"/>
      <c r="HX1413" s="270"/>
      <c r="HY1413" s="270"/>
      <c r="HZ1413" s="270"/>
      <c r="IA1413" s="270"/>
      <c r="IB1413" s="270"/>
      <c r="IC1413" s="270"/>
      <c r="ID1413" s="270"/>
      <c r="IE1413" s="270"/>
      <c r="IF1413" s="270"/>
      <c r="IG1413" s="270"/>
      <c r="IH1413" s="270"/>
      <c r="II1413" s="270"/>
      <c r="IJ1413" s="270"/>
      <c r="IK1413" s="270"/>
      <c r="IL1413" s="270"/>
      <c r="IM1413" s="270"/>
      <c r="IN1413" s="270"/>
      <c r="IO1413" s="270"/>
      <c r="IP1413" s="270"/>
      <c r="IQ1413" s="270"/>
      <c r="IR1413" s="270"/>
      <c r="IS1413" s="270"/>
      <c r="IT1413" s="270"/>
      <c r="IU1413" s="270"/>
    </row>
    <row r="1414" spans="1:255" s="42" customFormat="1" x14ac:dyDescent="0.2">
      <c r="A1414" s="89">
        <v>40702</v>
      </c>
      <c r="B1414" s="16" t="s">
        <v>2204</v>
      </c>
      <c r="C1414" s="16" t="s">
        <v>2204</v>
      </c>
      <c r="D1414" s="90" t="s">
        <v>4264</v>
      </c>
      <c r="E1414" s="90" t="str">
        <f>VLOOKUP(B1414&amp;C1414,Divipola!$C$2:$F$1138,4,FALSE)</f>
        <v>70771</v>
      </c>
      <c r="F1414" s="4"/>
      <c r="G1414" s="208"/>
      <c r="H1414" s="208"/>
      <c r="I1414" s="208"/>
      <c r="J1414" s="208"/>
      <c r="K1414" s="208"/>
      <c r="L1414" s="208"/>
      <c r="M1414" s="208"/>
      <c r="N1414" s="208"/>
      <c r="O1414" s="208"/>
      <c r="P1414" s="208"/>
      <c r="Q1414" s="208"/>
      <c r="R1414" s="208"/>
      <c r="S1414" s="208"/>
      <c r="T1414" s="208"/>
      <c r="U1414" s="208"/>
      <c r="V1414" s="208"/>
      <c r="W1414" s="19"/>
      <c r="X1414" s="17"/>
      <c r="Y1414" s="5">
        <f t="shared" si="132"/>
        <v>0</v>
      </c>
      <c r="Z1414" s="5">
        <f t="shared" si="133"/>
        <v>0</v>
      </c>
      <c r="AA1414" s="5">
        <f t="shared" si="134"/>
        <v>0</v>
      </c>
      <c r="AB1414" s="5">
        <f t="shared" si="135"/>
        <v>0</v>
      </c>
      <c r="AC1414" s="5"/>
      <c r="AD1414" s="5">
        <v>0</v>
      </c>
      <c r="AE1414" s="5">
        <f t="shared" si="136"/>
        <v>0</v>
      </c>
      <c r="AF1414" s="70">
        <v>0</v>
      </c>
      <c r="AG1414" s="17"/>
      <c r="AH1414" s="18"/>
      <c r="AI1414" s="109" t="s">
        <v>4336</v>
      </c>
      <c r="AJ1414" s="110" t="s">
        <v>4337</v>
      </c>
      <c r="AK1414" s="45"/>
      <c r="AL1414" s="17"/>
      <c r="AM1414" s="20"/>
      <c r="AN1414" s="19"/>
      <c r="AO1414" s="19"/>
      <c r="AP1414" s="19"/>
      <c r="AQ1414" s="19"/>
      <c r="AR1414" s="19"/>
      <c r="AS1414" s="19"/>
      <c r="AT1414" s="19"/>
      <c r="AU1414" s="19"/>
      <c r="AV1414" s="19"/>
      <c r="AW1414" s="19"/>
      <c r="AX1414" s="107"/>
      <c r="AY1414" s="107"/>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39"/>
      <c r="CO1414" s="138"/>
      <c r="CP1414" s="139"/>
      <c r="CQ1414" s="138"/>
      <c r="CR1414" s="139"/>
      <c r="CS1414" s="138"/>
      <c r="CT1414" s="72"/>
      <c r="CU1414" s="139"/>
      <c r="CV1414" s="99">
        <f t="shared" si="137"/>
        <v>0</v>
      </c>
      <c r="CW1414" s="139"/>
      <c r="CX1414" s="138"/>
      <c r="CY1414" s="138"/>
      <c r="CZ1414" s="138"/>
      <c r="DA1414" s="139"/>
      <c r="DB1414" s="138"/>
      <c r="DC1414" s="45"/>
      <c r="DD1414" s="138"/>
      <c r="DE1414" s="45"/>
      <c r="DF1414" s="46"/>
    </row>
    <row r="1415" spans="1:255" s="42" customFormat="1" ht="22.5" x14ac:dyDescent="0.2">
      <c r="A1415" s="89">
        <v>40703</v>
      </c>
      <c r="B1415" s="106" t="s">
        <v>4344</v>
      </c>
      <c r="C1415" s="106" t="s">
        <v>3475</v>
      </c>
      <c r="D1415" s="90" t="s">
        <v>4298</v>
      </c>
      <c r="E1415" s="90" t="str">
        <f>VLOOKUP(B1415&amp;C1415,Divipola!$C$2:$F$1138,4,FALSE)</f>
        <v>25899</v>
      </c>
      <c r="F1415" s="90"/>
      <c r="G1415" s="129"/>
      <c r="H1415" s="129"/>
      <c r="I1415" s="129"/>
      <c r="J1415" s="129">
        <v>6</v>
      </c>
      <c r="K1415" s="129">
        <v>1</v>
      </c>
      <c r="L1415" s="129"/>
      <c r="M1415" s="129">
        <v>1</v>
      </c>
      <c r="N1415" s="129"/>
      <c r="O1415" s="129"/>
      <c r="P1415" s="129"/>
      <c r="Q1415" s="129"/>
      <c r="R1415" s="129"/>
      <c r="S1415" s="129"/>
      <c r="T1415" s="129"/>
      <c r="U1415" s="129"/>
      <c r="V1415" s="129"/>
      <c r="W1415" s="107"/>
      <c r="X1415" s="105"/>
      <c r="Y1415" s="92">
        <f t="shared" si="132"/>
        <v>0</v>
      </c>
      <c r="Z1415" s="92">
        <f t="shared" si="133"/>
        <v>0</v>
      </c>
      <c r="AA1415" s="92">
        <f t="shared" si="134"/>
        <v>0</v>
      </c>
      <c r="AB1415" s="92">
        <f t="shared" si="135"/>
        <v>0</v>
      </c>
      <c r="AC1415" s="92"/>
      <c r="AD1415" s="92">
        <v>0</v>
      </c>
      <c r="AE1415" s="92">
        <f t="shared" si="136"/>
        <v>0</v>
      </c>
      <c r="AF1415" s="93">
        <v>0</v>
      </c>
      <c r="AG1415" s="105"/>
      <c r="AH1415" s="108"/>
      <c r="AI1415" s="109" t="s">
        <v>4336</v>
      </c>
      <c r="AJ1415" s="110" t="s">
        <v>4337</v>
      </c>
      <c r="AK1415" s="280"/>
      <c r="AL1415" s="281"/>
      <c r="AM1415" s="112" t="s">
        <v>2127</v>
      </c>
      <c r="AN1415" s="107"/>
      <c r="AO1415" s="107"/>
      <c r="AP1415" s="107"/>
      <c r="AQ1415" s="107"/>
      <c r="AR1415" s="107"/>
      <c r="AS1415" s="107"/>
      <c r="AT1415" s="107"/>
      <c r="AU1415" s="107"/>
      <c r="AV1415" s="107"/>
      <c r="AW1415" s="107"/>
      <c r="AX1415" s="107"/>
      <c r="AY1415" s="107"/>
      <c r="AZ1415" s="107"/>
      <c r="BA1415" s="107"/>
      <c r="BB1415" s="107"/>
      <c r="BC1415" s="107"/>
      <c r="BD1415" s="107"/>
      <c r="BE1415" s="107"/>
      <c r="BF1415" s="107"/>
      <c r="BG1415" s="107"/>
      <c r="BH1415" s="107"/>
      <c r="BI1415" s="107"/>
      <c r="BJ1415" s="107"/>
      <c r="BK1415" s="107"/>
      <c r="BL1415" s="107"/>
      <c r="BM1415" s="107"/>
      <c r="BN1415" s="107"/>
      <c r="BO1415" s="107"/>
      <c r="BP1415" s="107"/>
      <c r="BQ1415" s="107"/>
      <c r="BR1415" s="107"/>
      <c r="BS1415" s="107"/>
      <c r="BT1415" s="107"/>
      <c r="BU1415" s="107"/>
      <c r="BV1415" s="107"/>
      <c r="BW1415" s="107"/>
      <c r="BX1415" s="107"/>
      <c r="BY1415" s="107"/>
      <c r="BZ1415" s="107"/>
      <c r="CA1415" s="107"/>
      <c r="CB1415" s="107"/>
      <c r="CC1415" s="107"/>
      <c r="CD1415" s="107"/>
      <c r="CE1415" s="107"/>
      <c r="CF1415" s="107"/>
      <c r="CG1415" s="107"/>
      <c r="CH1415" s="107"/>
      <c r="CI1415" s="107"/>
      <c r="CJ1415" s="107"/>
      <c r="CK1415" s="107"/>
      <c r="CL1415" s="107"/>
      <c r="CM1415" s="107"/>
      <c r="CN1415" s="118"/>
      <c r="CO1415" s="119"/>
      <c r="CP1415" s="118"/>
      <c r="CQ1415" s="119"/>
      <c r="CR1415" s="118"/>
      <c r="CS1415" s="119"/>
      <c r="CT1415" s="113"/>
      <c r="CU1415" s="118"/>
      <c r="CV1415" s="99">
        <f t="shared" si="137"/>
        <v>0</v>
      </c>
      <c r="CW1415" s="118"/>
      <c r="CX1415" s="119"/>
      <c r="CY1415" s="119"/>
      <c r="CZ1415" s="119"/>
      <c r="DA1415" s="118"/>
      <c r="DB1415" s="119"/>
      <c r="DC1415" s="111"/>
      <c r="DD1415" s="119"/>
      <c r="DE1415" s="111"/>
      <c r="DF1415" s="269"/>
      <c r="DG1415" s="270"/>
      <c r="DH1415" s="270"/>
      <c r="DI1415" s="270"/>
      <c r="DJ1415" s="270"/>
      <c r="DK1415" s="270"/>
      <c r="DL1415" s="270"/>
      <c r="DM1415" s="270"/>
      <c r="DN1415" s="270"/>
      <c r="DO1415" s="270"/>
      <c r="DP1415" s="270"/>
      <c r="DQ1415" s="270"/>
      <c r="DR1415" s="270"/>
      <c r="DS1415" s="270"/>
      <c r="DT1415" s="270"/>
      <c r="DU1415" s="270"/>
      <c r="DV1415" s="270"/>
      <c r="DW1415" s="270"/>
      <c r="DX1415" s="270"/>
      <c r="DY1415" s="270"/>
      <c r="DZ1415" s="270"/>
      <c r="EA1415" s="270"/>
      <c r="EB1415" s="270"/>
      <c r="EC1415" s="270"/>
      <c r="ED1415" s="270"/>
      <c r="EE1415" s="270"/>
      <c r="EF1415" s="270"/>
      <c r="EG1415" s="270"/>
      <c r="EH1415" s="270"/>
      <c r="EI1415" s="270"/>
      <c r="EJ1415" s="270"/>
      <c r="EK1415" s="270"/>
      <c r="EL1415" s="270"/>
      <c r="EM1415" s="270"/>
      <c r="EN1415" s="270"/>
      <c r="EO1415" s="270"/>
      <c r="EP1415" s="270"/>
      <c r="EQ1415" s="270"/>
      <c r="ER1415" s="270"/>
      <c r="ES1415" s="270"/>
      <c r="ET1415" s="270"/>
      <c r="EU1415" s="270"/>
      <c r="EV1415" s="270"/>
      <c r="EW1415" s="270"/>
      <c r="EX1415" s="270"/>
      <c r="EY1415" s="270"/>
      <c r="EZ1415" s="270"/>
      <c r="FA1415" s="270"/>
      <c r="FB1415" s="270"/>
      <c r="FC1415" s="270"/>
      <c r="FD1415" s="270"/>
      <c r="FE1415" s="270"/>
      <c r="FF1415" s="270"/>
      <c r="FG1415" s="270"/>
      <c r="FH1415" s="270"/>
      <c r="FI1415" s="270"/>
      <c r="FJ1415" s="270"/>
      <c r="FK1415" s="270"/>
      <c r="FL1415" s="270"/>
      <c r="FM1415" s="270"/>
      <c r="FN1415" s="270"/>
      <c r="FO1415" s="270"/>
      <c r="FP1415" s="270"/>
      <c r="FQ1415" s="270"/>
      <c r="FR1415" s="270"/>
      <c r="FS1415" s="270"/>
      <c r="FT1415" s="270"/>
      <c r="FU1415" s="270"/>
      <c r="FV1415" s="270"/>
      <c r="FW1415" s="270"/>
      <c r="FX1415" s="270"/>
      <c r="FY1415" s="270"/>
      <c r="FZ1415" s="270"/>
      <c r="GA1415" s="270"/>
      <c r="GB1415" s="270"/>
      <c r="GC1415" s="270"/>
      <c r="GD1415" s="270"/>
      <c r="GE1415" s="270"/>
      <c r="GF1415" s="270"/>
      <c r="GG1415" s="270"/>
      <c r="GH1415" s="270"/>
      <c r="GI1415" s="270"/>
      <c r="GJ1415" s="270"/>
      <c r="GK1415" s="270"/>
      <c r="GL1415" s="270"/>
      <c r="GM1415" s="270"/>
      <c r="GN1415" s="270"/>
      <c r="GO1415" s="270"/>
      <c r="GP1415" s="270"/>
      <c r="GQ1415" s="270"/>
      <c r="GR1415" s="270"/>
      <c r="GS1415" s="270"/>
      <c r="GT1415" s="270"/>
      <c r="GU1415" s="270"/>
      <c r="GV1415" s="270"/>
      <c r="GW1415" s="270"/>
      <c r="GX1415" s="270"/>
      <c r="GY1415" s="270"/>
      <c r="GZ1415" s="270"/>
      <c r="HA1415" s="270"/>
      <c r="HB1415" s="270"/>
      <c r="HC1415" s="270"/>
      <c r="HD1415" s="270"/>
      <c r="HE1415" s="270"/>
      <c r="HF1415" s="270"/>
      <c r="HG1415" s="270"/>
      <c r="HH1415" s="270"/>
      <c r="HI1415" s="270"/>
      <c r="HJ1415" s="270"/>
      <c r="HK1415" s="270"/>
      <c r="HL1415" s="270"/>
      <c r="HM1415" s="270"/>
      <c r="HN1415" s="270"/>
      <c r="HO1415" s="270"/>
      <c r="HP1415" s="270"/>
      <c r="HQ1415" s="270"/>
      <c r="HR1415" s="270"/>
      <c r="HS1415" s="270"/>
      <c r="HT1415" s="270"/>
      <c r="HU1415" s="270"/>
      <c r="HV1415" s="270"/>
      <c r="HW1415" s="270"/>
      <c r="HX1415" s="270"/>
      <c r="HY1415" s="270"/>
      <c r="HZ1415" s="270"/>
      <c r="IA1415" s="270"/>
      <c r="IB1415" s="270"/>
      <c r="IC1415" s="270"/>
      <c r="ID1415" s="270"/>
      <c r="IE1415" s="270"/>
      <c r="IF1415" s="270"/>
      <c r="IG1415" s="270"/>
      <c r="IH1415" s="270"/>
      <c r="II1415" s="270"/>
      <c r="IJ1415" s="270"/>
      <c r="IK1415" s="270"/>
      <c r="IL1415" s="270"/>
      <c r="IM1415" s="270"/>
      <c r="IN1415" s="270"/>
      <c r="IO1415" s="270"/>
      <c r="IP1415" s="270"/>
      <c r="IQ1415" s="270"/>
      <c r="IR1415" s="270"/>
      <c r="IS1415" s="270"/>
      <c r="IT1415" s="270"/>
      <c r="IU1415" s="270"/>
    </row>
    <row r="1416" spans="1:255" s="42" customFormat="1" ht="60" x14ac:dyDescent="0.2">
      <c r="A1416" s="89">
        <v>40703</v>
      </c>
      <c r="B1416" s="106" t="s">
        <v>4221</v>
      </c>
      <c r="C1416" s="106" t="s">
        <v>4299</v>
      </c>
      <c r="D1416" s="106" t="s">
        <v>4298</v>
      </c>
      <c r="E1416" s="90" t="str">
        <f>VLOOKUP(B1416&amp;C1416,Divipola!$C$2:$F$1138,4,FALSE)</f>
        <v>54001</v>
      </c>
      <c r="F1416" s="90"/>
      <c r="G1416" s="129"/>
      <c r="H1416" s="129"/>
      <c r="I1416" s="129"/>
      <c r="J1416" s="129"/>
      <c r="K1416" s="129"/>
      <c r="L1416" s="129"/>
      <c r="M1416" s="129"/>
      <c r="N1416" s="129"/>
      <c r="O1416" s="129"/>
      <c r="P1416" s="129"/>
      <c r="Q1416" s="129"/>
      <c r="R1416" s="129"/>
      <c r="S1416" s="129"/>
      <c r="T1416" s="129"/>
      <c r="U1416" s="129"/>
      <c r="V1416" s="129"/>
      <c r="W1416" s="107"/>
      <c r="X1416" s="105"/>
      <c r="Y1416" s="92">
        <f t="shared" si="132"/>
        <v>0</v>
      </c>
      <c r="Z1416" s="92">
        <f t="shared" si="133"/>
        <v>0</v>
      </c>
      <c r="AA1416" s="92">
        <f t="shared" si="134"/>
        <v>0</v>
      </c>
      <c r="AB1416" s="92">
        <f t="shared" si="135"/>
        <v>0</v>
      </c>
      <c r="AC1416" s="92"/>
      <c r="AD1416" s="92">
        <v>0</v>
      </c>
      <c r="AE1416" s="92">
        <f t="shared" si="136"/>
        <v>0</v>
      </c>
      <c r="AF1416" s="93">
        <v>0</v>
      </c>
      <c r="AG1416" s="105"/>
      <c r="AH1416" s="108"/>
      <c r="AI1416" s="109" t="s">
        <v>4336</v>
      </c>
      <c r="AJ1416" s="110" t="s">
        <v>4337</v>
      </c>
      <c r="AK1416" s="280"/>
      <c r="AL1416" s="281"/>
      <c r="AM1416" s="112" t="s">
        <v>899</v>
      </c>
      <c r="AN1416" s="107"/>
      <c r="AO1416" s="107"/>
      <c r="AP1416" s="107"/>
      <c r="AQ1416" s="107"/>
      <c r="AR1416" s="107"/>
      <c r="AS1416" s="107"/>
      <c r="AT1416" s="107"/>
      <c r="AU1416" s="107"/>
      <c r="AV1416" s="107"/>
      <c r="AW1416" s="107"/>
      <c r="AX1416" s="107"/>
      <c r="AY1416" s="107"/>
      <c r="AZ1416" s="107"/>
      <c r="BA1416" s="107"/>
      <c r="BB1416" s="107"/>
      <c r="BC1416" s="107"/>
      <c r="BD1416" s="107"/>
      <c r="BE1416" s="107"/>
      <c r="BF1416" s="107"/>
      <c r="BG1416" s="107"/>
      <c r="BH1416" s="107"/>
      <c r="BI1416" s="107"/>
      <c r="BJ1416" s="107"/>
      <c r="BK1416" s="107"/>
      <c r="BL1416" s="107"/>
      <c r="BM1416" s="107"/>
      <c r="BN1416" s="107"/>
      <c r="BO1416" s="107"/>
      <c r="BP1416" s="107"/>
      <c r="BQ1416" s="107"/>
      <c r="BR1416" s="107"/>
      <c r="BS1416" s="107"/>
      <c r="BT1416" s="107"/>
      <c r="BU1416" s="107"/>
      <c r="BV1416" s="107"/>
      <c r="BW1416" s="107"/>
      <c r="BX1416" s="107"/>
      <c r="BY1416" s="107"/>
      <c r="BZ1416" s="107"/>
      <c r="CA1416" s="107"/>
      <c r="CB1416" s="107"/>
      <c r="CC1416" s="107"/>
      <c r="CD1416" s="107"/>
      <c r="CE1416" s="107"/>
      <c r="CF1416" s="107"/>
      <c r="CG1416" s="107"/>
      <c r="CH1416" s="107"/>
      <c r="CI1416" s="107"/>
      <c r="CJ1416" s="107"/>
      <c r="CK1416" s="107"/>
      <c r="CL1416" s="107"/>
      <c r="CM1416" s="107"/>
      <c r="CN1416" s="118"/>
      <c r="CO1416" s="119"/>
      <c r="CP1416" s="118"/>
      <c r="CQ1416" s="119"/>
      <c r="CR1416" s="118"/>
      <c r="CS1416" s="119"/>
      <c r="CT1416" s="113"/>
      <c r="CU1416" s="118"/>
      <c r="CV1416" s="99">
        <f t="shared" si="137"/>
        <v>0</v>
      </c>
      <c r="CW1416" s="118"/>
      <c r="CX1416" s="119"/>
      <c r="CY1416" s="119"/>
      <c r="CZ1416" s="119"/>
      <c r="DA1416" s="118"/>
      <c r="DB1416" s="119"/>
      <c r="DC1416" s="111"/>
      <c r="DD1416" s="119"/>
      <c r="DE1416" s="111"/>
      <c r="DF1416" s="46"/>
    </row>
    <row r="1417" spans="1:255" s="42" customFormat="1" ht="60" x14ac:dyDescent="0.2">
      <c r="A1417" s="89">
        <v>40703</v>
      </c>
      <c r="B1417" s="106" t="s">
        <v>4348</v>
      </c>
      <c r="C1417" s="106" t="s">
        <v>1957</v>
      </c>
      <c r="D1417" s="90" t="s">
        <v>2362</v>
      </c>
      <c r="E1417" s="90" t="str">
        <f>VLOOKUP(B1417&amp;C1417,Divipola!$C$2:$F$1138,4,FALSE)</f>
        <v>66572</v>
      </c>
      <c r="F1417" s="90"/>
      <c r="G1417" s="129">
        <v>1</v>
      </c>
      <c r="H1417" s="279"/>
      <c r="I1417" s="279"/>
      <c r="J1417" s="129"/>
      <c r="K1417" s="129"/>
      <c r="L1417" s="129"/>
      <c r="M1417" s="129"/>
      <c r="N1417" s="129"/>
      <c r="O1417" s="129"/>
      <c r="P1417" s="129"/>
      <c r="Q1417" s="129"/>
      <c r="R1417" s="129"/>
      <c r="S1417" s="129"/>
      <c r="T1417" s="129"/>
      <c r="U1417" s="129"/>
      <c r="V1417" s="129"/>
      <c r="W1417" s="107"/>
      <c r="X1417" s="105"/>
      <c r="Y1417" s="92">
        <f t="shared" si="132"/>
        <v>0</v>
      </c>
      <c r="Z1417" s="92">
        <f t="shared" si="133"/>
        <v>0</v>
      </c>
      <c r="AA1417" s="92">
        <f t="shared" si="134"/>
        <v>0</v>
      </c>
      <c r="AB1417" s="92">
        <f t="shared" si="135"/>
        <v>0</v>
      </c>
      <c r="AC1417" s="92"/>
      <c r="AD1417" s="92">
        <v>0</v>
      </c>
      <c r="AE1417" s="92">
        <f t="shared" si="136"/>
        <v>0</v>
      </c>
      <c r="AF1417" s="93">
        <v>0</v>
      </c>
      <c r="AG1417" s="105"/>
      <c r="AH1417" s="108"/>
      <c r="AI1417" s="109" t="s">
        <v>4336</v>
      </c>
      <c r="AJ1417" s="110" t="s">
        <v>4337</v>
      </c>
      <c r="AK1417" s="280"/>
      <c r="AL1417" s="281"/>
      <c r="AM1417" s="112" t="s">
        <v>900</v>
      </c>
      <c r="AN1417" s="107"/>
      <c r="AO1417" s="107"/>
      <c r="AP1417" s="107"/>
      <c r="AQ1417" s="107"/>
      <c r="AR1417" s="107"/>
      <c r="AS1417" s="107"/>
      <c r="AT1417" s="107"/>
      <c r="AU1417" s="107"/>
      <c r="AV1417" s="107"/>
      <c r="AW1417" s="107"/>
      <c r="AX1417" s="107"/>
      <c r="AY1417" s="107"/>
      <c r="AZ1417" s="107"/>
      <c r="BA1417" s="107"/>
      <c r="BB1417" s="107"/>
      <c r="BC1417" s="107"/>
      <c r="BD1417" s="107"/>
      <c r="BE1417" s="107"/>
      <c r="BF1417" s="107"/>
      <c r="BG1417" s="107"/>
      <c r="BH1417" s="107"/>
      <c r="BI1417" s="107"/>
      <c r="BJ1417" s="107"/>
      <c r="BK1417" s="107"/>
      <c r="BL1417" s="107"/>
      <c r="BM1417" s="107"/>
      <c r="BN1417" s="107"/>
      <c r="BO1417" s="107"/>
      <c r="BP1417" s="107"/>
      <c r="BQ1417" s="107"/>
      <c r="BR1417" s="107"/>
      <c r="BS1417" s="107"/>
      <c r="BT1417" s="107"/>
      <c r="BU1417" s="107"/>
      <c r="BV1417" s="107"/>
      <c r="BW1417" s="107"/>
      <c r="BX1417" s="107"/>
      <c r="BY1417" s="107"/>
      <c r="BZ1417" s="107"/>
      <c r="CA1417" s="107"/>
      <c r="CB1417" s="107"/>
      <c r="CC1417" s="107"/>
      <c r="CD1417" s="107"/>
      <c r="CE1417" s="107"/>
      <c r="CF1417" s="107"/>
      <c r="CG1417" s="107"/>
      <c r="CH1417" s="107"/>
      <c r="CI1417" s="107"/>
      <c r="CJ1417" s="107"/>
      <c r="CK1417" s="107"/>
      <c r="CL1417" s="107"/>
      <c r="CM1417" s="107"/>
      <c r="CN1417" s="118"/>
      <c r="CO1417" s="119"/>
      <c r="CP1417" s="118"/>
      <c r="CQ1417" s="119"/>
      <c r="CR1417" s="118"/>
      <c r="CS1417" s="119"/>
      <c r="CT1417" s="113"/>
      <c r="CU1417" s="118"/>
      <c r="CV1417" s="99">
        <f t="shared" si="137"/>
        <v>0</v>
      </c>
      <c r="CW1417" s="118"/>
      <c r="CX1417" s="119"/>
      <c r="CY1417" s="119"/>
      <c r="CZ1417" s="119"/>
      <c r="DA1417" s="118"/>
      <c r="DB1417" s="119"/>
      <c r="DC1417" s="111"/>
      <c r="DD1417" s="119"/>
      <c r="DE1417" s="111"/>
      <c r="DF1417" s="269"/>
      <c r="DG1417" s="270"/>
      <c r="DH1417" s="270"/>
      <c r="DI1417" s="270"/>
      <c r="DJ1417" s="270"/>
      <c r="DK1417" s="270"/>
      <c r="DL1417" s="270"/>
      <c r="DM1417" s="270"/>
      <c r="DN1417" s="270"/>
      <c r="DO1417" s="270"/>
      <c r="DP1417" s="270"/>
      <c r="DQ1417" s="270"/>
      <c r="DR1417" s="270"/>
      <c r="DS1417" s="270"/>
      <c r="DT1417" s="270"/>
      <c r="DU1417" s="270"/>
      <c r="DV1417" s="270"/>
      <c r="DW1417" s="270"/>
      <c r="DX1417" s="270"/>
      <c r="DY1417" s="270"/>
      <c r="DZ1417" s="270"/>
      <c r="EA1417" s="270"/>
      <c r="EB1417" s="270"/>
      <c r="EC1417" s="270"/>
      <c r="ED1417" s="270"/>
      <c r="EE1417" s="270"/>
      <c r="EF1417" s="270"/>
      <c r="EG1417" s="270"/>
      <c r="EH1417" s="270"/>
      <c r="EI1417" s="270"/>
      <c r="EJ1417" s="270"/>
      <c r="EK1417" s="270"/>
      <c r="EL1417" s="270"/>
      <c r="EM1417" s="270"/>
      <c r="EN1417" s="270"/>
      <c r="EO1417" s="270"/>
      <c r="EP1417" s="270"/>
      <c r="EQ1417" s="270"/>
      <c r="ER1417" s="270"/>
      <c r="ES1417" s="270"/>
      <c r="ET1417" s="270"/>
      <c r="EU1417" s="270"/>
      <c r="EV1417" s="270"/>
      <c r="EW1417" s="270"/>
      <c r="EX1417" s="270"/>
      <c r="EY1417" s="270"/>
      <c r="EZ1417" s="270"/>
      <c r="FA1417" s="270"/>
      <c r="FB1417" s="270"/>
      <c r="FC1417" s="270"/>
      <c r="FD1417" s="270"/>
      <c r="FE1417" s="270"/>
      <c r="FF1417" s="270"/>
      <c r="FG1417" s="270"/>
      <c r="FH1417" s="270"/>
      <c r="FI1417" s="270"/>
      <c r="FJ1417" s="270"/>
      <c r="FK1417" s="270"/>
      <c r="FL1417" s="270"/>
      <c r="FM1417" s="270"/>
      <c r="FN1417" s="270"/>
      <c r="FO1417" s="270"/>
      <c r="FP1417" s="270"/>
      <c r="FQ1417" s="270"/>
      <c r="FR1417" s="270"/>
      <c r="FS1417" s="270"/>
      <c r="FT1417" s="270"/>
      <c r="FU1417" s="270"/>
      <c r="FV1417" s="270"/>
      <c r="FW1417" s="270"/>
      <c r="FX1417" s="270"/>
      <c r="FY1417" s="270"/>
      <c r="FZ1417" s="270"/>
      <c r="GA1417" s="270"/>
      <c r="GB1417" s="270"/>
      <c r="GC1417" s="270"/>
      <c r="GD1417" s="270"/>
      <c r="GE1417" s="270"/>
      <c r="GF1417" s="270"/>
      <c r="GG1417" s="270"/>
      <c r="GH1417" s="270"/>
      <c r="GI1417" s="270"/>
      <c r="GJ1417" s="270"/>
      <c r="GK1417" s="270"/>
      <c r="GL1417" s="270"/>
      <c r="GM1417" s="270"/>
      <c r="GN1417" s="270"/>
      <c r="GO1417" s="270"/>
      <c r="GP1417" s="270"/>
      <c r="GQ1417" s="270"/>
      <c r="GR1417" s="270"/>
      <c r="GS1417" s="270"/>
      <c r="GT1417" s="270"/>
      <c r="GU1417" s="270"/>
      <c r="GV1417" s="270"/>
      <c r="GW1417" s="270"/>
      <c r="GX1417" s="270"/>
      <c r="GY1417" s="270"/>
      <c r="GZ1417" s="270"/>
      <c r="HA1417" s="270"/>
      <c r="HB1417" s="270"/>
      <c r="HC1417" s="270"/>
      <c r="HD1417" s="270"/>
      <c r="HE1417" s="270"/>
      <c r="HF1417" s="270"/>
      <c r="HG1417" s="270"/>
      <c r="HH1417" s="270"/>
      <c r="HI1417" s="270"/>
      <c r="HJ1417" s="270"/>
      <c r="HK1417" s="270"/>
      <c r="HL1417" s="270"/>
      <c r="HM1417" s="270"/>
      <c r="HN1417" s="270"/>
      <c r="HO1417" s="270"/>
      <c r="HP1417" s="270"/>
      <c r="HQ1417" s="270"/>
      <c r="HR1417" s="270"/>
      <c r="HS1417" s="270"/>
      <c r="HT1417" s="270"/>
      <c r="HU1417" s="270"/>
      <c r="HV1417" s="270"/>
      <c r="HW1417" s="270"/>
      <c r="HX1417" s="270"/>
      <c r="HY1417" s="270"/>
      <c r="HZ1417" s="270"/>
      <c r="IA1417" s="270"/>
      <c r="IB1417" s="270"/>
      <c r="IC1417" s="270"/>
      <c r="ID1417" s="270"/>
      <c r="IE1417" s="270"/>
      <c r="IF1417" s="270"/>
      <c r="IG1417" s="270"/>
      <c r="IH1417" s="270"/>
      <c r="II1417" s="270"/>
      <c r="IJ1417" s="270"/>
      <c r="IK1417" s="270"/>
      <c r="IL1417" s="270"/>
      <c r="IM1417" s="270"/>
      <c r="IN1417" s="270"/>
      <c r="IO1417" s="270"/>
      <c r="IP1417" s="270"/>
      <c r="IQ1417" s="270"/>
      <c r="IR1417" s="270"/>
      <c r="IS1417" s="270"/>
      <c r="IT1417" s="270"/>
      <c r="IU1417" s="270"/>
    </row>
    <row r="1418" spans="1:255" s="42" customFormat="1" ht="36" x14ac:dyDescent="0.2">
      <c r="A1418" s="89">
        <v>40704</v>
      </c>
      <c r="B1418" s="106" t="s">
        <v>4296</v>
      </c>
      <c r="C1418" s="106" t="s">
        <v>1485</v>
      </c>
      <c r="D1418" s="90" t="s">
        <v>2362</v>
      </c>
      <c r="E1418" s="90" t="str">
        <f>VLOOKUP(B1418&amp;C1418,Divipola!$C$2:$F$1138,4,FALSE)</f>
        <v>19392</v>
      </c>
      <c r="F1418" s="90"/>
      <c r="G1418" s="129"/>
      <c r="H1418" s="129"/>
      <c r="I1418" s="129"/>
      <c r="J1418" s="129"/>
      <c r="K1418" s="129"/>
      <c r="L1418" s="129"/>
      <c r="M1418" s="129"/>
      <c r="N1418" s="129"/>
      <c r="O1418" s="129"/>
      <c r="P1418" s="129"/>
      <c r="Q1418" s="129"/>
      <c r="R1418" s="129"/>
      <c r="S1418" s="129"/>
      <c r="T1418" s="129"/>
      <c r="U1418" s="129"/>
      <c r="V1418" s="129"/>
      <c r="W1418" s="107"/>
      <c r="X1418" s="105"/>
      <c r="Y1418" s="92">
        <f t="shared" si="132"/>
        <v>0</v>
      </c>
      <c r="Z1418" s="92">
        <f t="shared" si="133"/>
        <v>0</v>
      </c>
      <c r="AA1418" s="92">
        <f t="shared" si="134"/>
        <v>0</v>
      </c>
      <c r="AB1418" s="92">
        <f t="shared" si="135"/>
        <v>0</v>
      </c>
      <c r="AC1418" s="92"/>
      <c r="AD1418" s="92">
        <v>70000000</v>
      </c>
      <c r="AE1418" s="92">
        <f t="shared" si="136"/>
        <v>70000000</v>
      </c>
      <c r="AF1418" s="93">
        <v>0</v>
      </c>
      <c r="AG1418" s="105"/>
      <c r="AH1418" s="108"/>
      <c r="AI1418" s="102" t="s">
        <v>4346</v>
      </c>
      <c r="AJ1418" s="96" t="s">
        <v>4347</v>
      </c>
      <c r="AK1418" s="111"/>
      <c r="AL1418" s="105"/>
      <c r="AM1418" s="112" t="s">
        <v>2782</v>
      </c>
      <c r="AN1418" s="107"/>
      <c r="AO1418" s="107"/>
      <c r="AP1418" s="107"/>
      <c r="AQ1418" s="107"/>
      <c r="AR1418" s="107"/>
      <c r="AS1418" s="107"/>
      <c r="AT1418" s="107"/>
      <c r="AU1418" s="107"/>
      <c r="AV1418" s="107"/>
      <c r="AW1418" s="107"/>
      <c r="AX1418" s="107"/>
      <c r="AY1418" s="107"/>
      <c r="AZ1418" s="107"/>
      <c r="BA1418" s="107"/>
      <c r="BB1418" s="107"/>
      <c r="BC1418" s="107"/>
      <c r="BD1418" s="107"/>
      <c r="BE1418" s="107"/>
      <c r="BF1418" s="107"/>
      <c r="BG1418" s="107"/>
      <c r="BH1418" s="107"/>
      <c r="BI1418" s="107"/>
      <c r="BJ1418" s="107"/>
      <c r="BK1418" s="107"/>
      <c r="BL1418" s="107"/>
      <c r="BM1418" s="107"/>
      <c r="BN1418" s="107"/>
      <c r="BO1418" s="107"/>
      <c r="BP1418" s="107"/>
      <c r="BQ1418" s="107"/>
      <c r="BR1418" s="107"/>
      <c r="BS1418" s="107"/>
      <c r="BT1418" s="107"/>
      <c r="BU1418" s="107"/>
      <c r="BV1418" s="107"/>
      <c r="BW1418" s="107"/>
      <c r="BX1418" s="107"/>
      <c r="BY1418" s="107"/>
      <c r="BZ1418" s="107"/>
      <c r="CA1418" s="107"/>
      <c r="CB1418" s="107"/>
      <c r="CC1418" s="107"/>
      <c r="CD1418" s="107"/>
      <c r="CE1418" s="107"/>
      <c r="CF1418" s="107"/>
      <c r="CG1418" s="107"/>
      <c r="CH1418" s="107"/>
      <c r="CI1418" s="107"/>
      <c r="CJ1418" s="107"/>
      <c r="CK1418" s="107"/>
      <c r="CL1418" s="107"/>
      <c r="CM1418" s="107"/>
      <c r="CN1418" s="118"/>
      <c r="CO1418" s="119"/>
      <c r="CP1418" s="118"/>
      <c r="CQ1418" s="119"/>
      <c r="CR1418" s="118"/>
      <c r="CS1418" s="119"/>
      <c r="CT1418" s="113"/>
      <c r="CU1418" s="118"/>
      <c r="CV1418" s="99">
        <f t="shared" si="137"/>
        <v>0</v>
      </c>
      <c r="CW1418" s="118"/>
      <c r="CX1418" s="119"/>
      <c r="CY1418" s="119"/>
      <c r="CZ1418" s="119"/>
      <c r="DA1418" s="118"/>
      <c r="DB1418" s="119"/>
      <c r="DC1418" s="111"/>
      <c r="DD1418" s="119"/>
      <c r="DE1418" s="111"/>
      <c r="DF1418" s="46"/>
    </row>
    <row r="1419" spans="1:255" s="42" customFormat="1" ht="48" x14ac:dyDescent="0.2">
      <c r="A1419" s="89">
        <v>40704</v>
      </c>
      <c r="B1419" s="90" t="s">
        <v>4387</v>
      </c>
      <c r="C1419" s="90" t="s">
        <v>963</v>
      </c>
      <c r="D1419" s="90" t="s">
        <v>2362</v>
      </c>
      <c r="E1419" s="90" t="str">
        <f>VLOOKUP(B1419&amp;C1419,Divipola!$C$2:$F$1138,4,FALSE)</f>
        <v>52573</v>
      </c>
      <c r="F1419" s="4"/>
      <c r="G1419" s="101"/>
      <c r="H1419" s="101"/>
      <c r="I1419" s="101"/>
      <c r="J1419" s="101">
        <v>349</v>
      </c>
      <c r="K1419" s="101">
        <v>88</v>
      </c>
      <c r="L1419" s="101">
        <v>8</v>
      </c>
      <c r="M1419" s="101">
        <v>70</v>
      </c>
      <c r="N1419" s="101"/>
      <c r="O1419" s="101"/>
      <c r="P1419" s="101"/>
      <c r="Q1419" s="101"/>
      <c r="R1419" s="101"/>
      <c r="S1419" s="101">
        <v>1</v>
      </c>
      <c r="T1419" s="101">
        <v>5</v>
      </c>
      <c r="U1419" s="101"/>
      <c r="V1419" s="101"/>
      <c r="W1419" s="19"/>
      <c r="X1419" s="17"/>
      <c r="Y1419" s="5">
        <f t="shared" si="132"/>
        <v>0</v>
      </c>
      <c r="Z1419" s="5">
        <f t="shared" si="133"/>
        <v>0</v>
      </c>
      <c r="AA1419" s="5">
        <f t="shared" si="134"/>
        <v>0</v>
      </c>
      <c r="AB1419" s="5">
        <f t="shared" si="135"/>
        <v>0</v>
      </c>
      <c r="AC1419" s="5"/>
      <c r="AD1419" s="5">
        <v>0</v>
      </c>
      <c r="AE1419" s="5">
        <f t="shared" si="136"/>
        <v>0</v>
      </c>
      <c r="AF1419" s="70">
        <v>0</v>
      </c>
      <c r="AG1419" s="17"/>
      <c r="AH1419" s="18"/>
      <c r="AI1419" s="109" t="s">
        <v>4336</v>
      </c>
      <c r="AJ1419" s="110" t="s">
        <v>4337</v>
      </c>
      <c r="AK1419" s="45"/>
      <c r="AL1419" s="17"/>
      <c r="AM1419" s="100" t="s">
        <v>1153</v>
      </c>
      <c r="AN1419" s="19"/>
      <c r="AO1419" s="19"/>
      <c r="AP1419" s="19"/>
      <c r="AQ1419" s="19"/>
      <c r="AR1419" s="19"/>
      <c r="AS1419" s="19"/>
      <c r="AT1419" s="19"/>
      <c r="AU1419" s="19"/>
      <c r="AV1419" s="19"/>
      <c r="AW1419" s="19"/>
      <c r="AX1419" s="107"/>
      <c r="AY1419" s="107"/>
      <c r="AZ1419" s="19"/>
      <c r="BA1419" s="19"/>
      <c r="BB1419" s="19"/>
      <c r="BC1419" s="19"/>
      <c r="BD1419" s="19"/>
      <c r="BE1419" s="19"/>
      <c r="BF1419" s="19"/>
      <c r="BG1419" s="19"/>
      <c r="BH1419" s="19"/>
      <c r="BI1419" s="19"/>
      <c r="BJ1419" s="19"/>
      <c r="BK1419" s="19"/>
      <c r="BL1419" s="19"/>
      <c r="BM1419" s="19"/>
      <c r="BN1419" s="19"/>
      <c r="BO1419" s="19"/>
      <c r="BP1419" s="19"/>
      <c r="BQ1419" s="19"/>
      <c r="BR1419" s="19"/>
      <c r="BS1419" s="19"/>
      <c r="BT1419" s="19"/>
      <c r="BU1419" s="19"/>
      <c r="BV1419" s="19"/>
      <c r="BW1419" s="19"/>
      <c r="BX1419" s="19"/>
      <c r="BY1419" s="19"/>
      <c r="BZ1419" s="19"/>
      <c r="CA1419" s="19"/>
      <c r="CB1419" s="19"/>
      <c r="CC1419" s="19"/>
      <c r="CD1419" s="19"/>
      <c r="CE1419" s="19"/>
      <c r="CF1419" s="19"/>
      <c r="CG1419" s="19"/>
      <c r="CH1419" s="19"/>
      <c r="CI1419" s="19"/>
      <c r="CJ1419" s="19"/>
      <c r="CK1419" s="19"/>
      <c r="CL1419" s="19"/>
      <c r="CM1419" s="19"/>
      <c r="CN1419" s="139"/>
      <c r="CO1419" s="138"/>
      <c r="CP1419" s="139"/>
      <c r="CQ1419" s="138"/>
      <c r="CR1419" s="139"/>
      <c r="CS1419" s="138"/>
      <c r="CT1419" s="72"/>
      <c r="CU1419" s="139"/>
      <c r="CV1419" s="99">
        <f t="shared" si="137"/>
        <v>0</v>
      </c>
      <c r="CW1419" s="139"/>
      <c r="CX1419" s="138"/>
      <c r="CY1419" s="138"/>
      <c r="CZ1419" s="138"/>
      <c r="DA1419" s="139"/>
      <c r="DB1419" s="138"/>
      <c r="DC1419" s="45"/>
      <c r="DD1419" s="138"/>
      <c r="DE1419" s="45"/>
      <c r="DF1419" s="269"/>
      <c r="DG1419" s="270"/>
      <c r="DH1419" s="270"/>
      <c r="DI1419" s="270"/>
      <c r="DJ1419" s="270"/>
      <c r="DK1419" s="270"/>
      <c r="DL1419" s="270"/>
      <c r="DM1419" s="270"/>
      <c r="DN1419" s="270"/>
      <c r="DO1419" s="270"/>
      <c r="DP1419" s="270"/>
      <c r="DQ1419" s="270"/>
      <c r="DR1419" s="270"/>
      <c r="DS1419" s="270"/>
      <c r="DT1419" s="270"/>
      <c r="DU1419" s="270"/>
      <c r="DV1419" s="270"/>
      <c r="DW1419" s="270"/>
      <c r="DX1419" s="270"/>
      <c r="DY1419" s="270"/>
      <c r="DZ1419" s="270"/>
      <c r="EA1419" s="270"/>
      <c r="EB1419" s="270"/>
      <c r="EC1419" s="270"/>
      <c r="ED1419" s="270"/>
      <c r="EE1419" s="270"/>
      <c r="EF1419" s="270"/>
      <c r="EG1419" s="270"/>
      <c r="EH1419" s="270"/>
      <c r="EI1419" s="270"/>
      <c r="EJ1419" s="270"/>
      <c r="EK1419" s="270"/>
      <c r="EL1419" s="270"/>
      <c r="EM1419" s="270"/>
      <c r="EN1419" s="270"/>
      <c r="EO1419" s="270"/>
      <c r="EP1419" s="270"/>
      <c r="EQ1419" s="270"/>
      <c r="ER1419" s="270"/>
      <c r="ES1419" s="270"/>
      <c r="ET1419" s="270"/>
      <c r="EU1419" s="270"/>
      <c r="EV1419" s="270"/>
      <c r="EW1419" s="270"/>
      <c r="EX1419" s="270"/>
      <c r="EY1419" s="270"/>
      <c r="EZ1419" s="270"/>
      <c r="FA1419" s="270"/>
      <c r="FB1419" s="270"/>
      <c r="FC1419" s="270"/>
      <c r="FD1419" s="270"/>
      <c r="FE1419" s="270"/>
      <c r="FF1419" s="270"/>
      <c r="FG1419" s="270"/>
      <c r="FH1419" s="270"/>
      <c r="FI1419" s="270"/>
      <c r="FJ1419" s="270"/>
      <c r="FK1419" s="270"/>
      <c r="FL1419" s="270"/>
      <c r="FM1419" s="270"/>
      <c r="FN1419" s="270"/>
      <c r="FO1419" s="270"/>
      <c r="FP1419" s="270"/>
      <c r="FQ1419" s="270"/>
      <c r="FR1419" s="270"/>
      <c r="FS1419" s="270"/>
      <c r="FT1419" s="270"/>
      <c r="FU1419" s="270"/>
      <c r="FV1419" s="270"/>
      <c r="FW1419" s="270"/>
      <c r="FX1419" s="270"/>
      <c r="FY1419" s="270"/>
      <c r="FZ1419" s="270"/>
      <c r="GA1419" s="270"/>
      <c r="GB1419" s="270"/>
      <c r="GC1419" s="270"/>
      <c r="GD1419" s="270"/>
      <c r="GE1419" s="270"/>
      <c r="GF1419" s="270"/>
      <c r="GG1419" s="270"/>
      <c r="GH1419" s="270"/>
      <c r="GI1419" s="270"/>
      <c r="GJ1419" s="270"/>
      <c r="GK1419" s="270"/>
      <c r="GL1419" s="270"/>
      <c r="GM1419" s="270"/>
      <c r="GN1419" s="270"/>
      <c r="GO1419" s="270"/>
      <c r="GP1419" s="270"/>
      <c r="GQ1419" s="270"/>
      <c r="GR1419" s="270"/>
      <c r="GS1419" s="270"/>
      <c r="GT1419" s="270"/>
      <c r="GU1419" s="270"/>
      <c r="GV1419" s="270"/>
      <c r="GW1419" s="270"/>
      <c r="GX1419" s="270"/>
      <c r="GY1419" s="270"/>
      <c r="GZ1419" s="270"/>
      <c r="HA1419" s="270"/>
      <c r="HB1419" s="270"/>
      <c r="HC1419" s="270"/>
      <c r="HD1419" s="270"/>
      <c r="HE1419" s="270"/>
      <c r="HF1419" s="270"/>
      <c r="HG1419" s="270"/>
      <c r="HH1419" s="270"/>
      <c r="HI1419" s="270"/>
      <c r="HJ1419" s="270"/>
      <c r="HK1419" s="270"/>
      <c r="HL1419" s="270"/>
      <c r="HM1419" s="270"/>
      <c r="HN1419" s="270"/>
      <c r="HO1419" s="270"/>
      <c r="HP1419" s="270"/>
      <c r="HQ1419" s="270"/>
      <c r="HR1419" s="270"/>
      <c r="HS1419" s="270"/>
      <c r="HT1419" s="270"/>
      <c r="HU1419" s="270"/>
      <c r="HV1419" s="270"/>
      <c r="HW1419" s="270"/>
      <c r="HX1419" s="270"/>
      <c r="HY1419" s="270"/>
      <c r="HZ1419" s="270"/>
      <c r="IA1419" s="270"/>
      <c r="IB1419" s="270"/>
      <c r="IC1419" s="270"/>
      <c r="ID1419" s="270"/>
      <c r="IE1419" s="270"/>
      <c r="IF1419" s="270"/>
      <c r="IG1419" s="270"/>
      <c r="IH1419" s="270"/>
      <c r="II1419" s="270"/>
      <c r="IJ1419" s="270"/>
      <c r="IK1419" s="270"/>
      <c r="IL1419" s="270"/>
      <c r="IM1419" s="270"/>
      <c r="IN1419" s="270"/>
      <c r="IO1419" s="270"/>
      <c r="IP1419" s="270"/>
      <c r="IQ1419" s="270"/>
      <c r="IR1419" s="270"/>
      <c r="IS1419" s="270"/>
      <c r="IT1419" s="270"/>
      <c r="IU1419" s="270"/>
    </row>
    <row r="1420" spans="1:255" s="42" customFormat="1" x14ac:dyDescent="0.2">
      <c r="A1420" s="89">
        <v>40704</v>
      </c>
      <c r="B1420" s="106" t="s">
        <v>4348</v>
      </c>
      <c r="C1420" s="106" t="s">
        <v>1957</v>
      </c>
      <c r="D1420" s="90" t="s">
        <v>4264</v>
      </c>
      <c r="E1420" s="90" t="str">
        <f>VLOOKUP(B1420&amp;C1420,Divipola!$C$2:$F$1138,4,FALSE)</f>
        <v>66572</v>
      </c>
      <c r="F1420" s="90"/>
      <c r="G1420" s="279"/>
      <c r="H1420" s="279"/>
      <c r="I1420" s="279"/>
      <c r="J1420" s="129">
        <v>64</v>
      </c>
      <c r="K1420" s="129">
        <v>8</v>
      </c>
      <c r="L1420" s="129"/>
      <c r="M1420" s="129">
        <v>8</v>
      </c>
      <c r="N1420" s="129"/>
      <c r="O1420" s="129"/>
      <c r="P1420" s="129"/>
      <c r="Q1420" s="129"/>
      <c r="R1420" s="129"/>
      <c r="S1420" s="129"/>
      <c r="T1420" s="129"/>
      <c r="U1420" s="129"/>
      <c r="V1420" s="129"/>
      <c r="W1420" s="107"/>
      <c r="X1420" s="105"/>
      <c r="Y1420" s="92">
        <f t="shared" si="132"/>
        <v>0</v>
      </c>
      <c r="Z1420" s="92">
        <f t="shared" si="133"/>
        <v>0</v>
      </c>
      <c r="AA1420" s="92">
        <f t="shared" si="134"/>
        <v>0</v>
      </c>
      <c r="AB1420" s="92">
        <f t="shared" si="135"/>
        <v>0</v>
      </c>
      <c r="AC1420" s="92"/>
      <c r="AD1420" s="92">
        <v>0</v>
      </c>
      <c r="AE1420" s="92">
        <f t="shared" si="136"/>
        <v>0</v>
      </c>
      <c r="AF1420" s="93">
        <v>0</v>
      </c>
      <c r="AG1420" s="105"/>
      <c r="AH1420" s="108"/>
      <c r="AI1420" s="109" t="s">
        <v>4336</v>
      </c>
      <c r="AJ1420" s="110" t="s">
        <v>4337</v>
      </c>
      <c r="AK1420" s="280"/>
      <c r="AL1420" s="281"/>
      <c r="AM1420" s="112" t="s">
        <v>2012</v>
      </c>
      <c r="AN1420" s="107"/>
      <c r="AO1420" s="107"/>
      <c r="AP1420" s="107"/>
      <c r="AQ1420" s="107"/>
      <c r="AR1420" s="107"/>
      <c r="AS1420" s="107"/>
      <c r="AT1420" s="107"/>
      <c r="AU1420" s="107"/>
      <c r="AV1420" s="107"/>
      <c r="AW1420" s="107"/>
      <c r="AX1420" s="107"/>
      <c r="AY1420" s="107"/>
      <c r="AZ1420" s="107"/>
      <c r="BA1420" s="107"/>
      <c r="BB1420" s="107"/>
      <c r="BC1420" s="107"/>
      <c r="BD1420" s="107"/>
      <c r="BE1420" s="107"/>
      <c r="BF1420" s="107"/>
      <c r="BG1420" s="107"/>
      <c r="BH1420" s="107"/>
      <c r="BI1420" s="107"/>
      <c r="BJ1420" s="107"/>
      <c r="BK1420" s="107"/>
      <c r="BL1420" s="107"/>
      <c r="BM1420" s="107"/>
      <c r="BN1420" s="107"/>
      <c r="BO1420" s="107"/>
      <c r="BP1420" s="107"/>
      <c r="BQ1420" s="107"/>
      <c r="BR1420" s="107"/>
      <c r="BS1420" s="107"/>
      <c r="BT1420" s="107"/>
      <c r="BU1420" s="107"/>
      <c r="BV1420" s="107"/>
      <c r="BW1420" s="107"/>
      <c r="BX1420" s="107"/>
      <c r="BY1420" s="107"/>
      <c r="BZ1420" s="107"/>
      <c r="CA1420" s="107"/>
      <c r="CB1420" s="107"/>
      <c r="CC1420" s="107"/>
      <c r="CD1420" s="107"/>
      <c r="CE1420" s="107"/>
      <c r="CF1420" s="107"/>
      <c r="CG1420" s="107"/>
      <c r="CH1420" s="107"/>
      <c r="CI1420" s="107"/>
      <c r="CJ1420" s="107"/>
      <c r="CK1420" s="107"/>
      <c r="CL1420" s="107"/>
      <c r="CM1420" s="107"/>
      <c r="CN1420" s="118"/>
      <c r="CO1420" s="119"/>
      <c r="CP1420" s="118"/>
      <c r="CQ1420" s="119"/>
      <c r="CR1420" s="118"/>
      <c r="CS1420" s="119"/>
      <c r="CT1420" s="113"/>
      <c r="CU1420" s="118"/>
      <c r="CV1420" s="99">
        <f t="shared" si="137"/>
        <v>0</v>
      </c>
      <c r="CW1420" s="118"/>
      <c r="CX1420" s="119"/>
      <c r="CY1420" s="119"/>
      <c r="CZ1420" s="119"/>
      <c r="DA1420" s="118"/>
      <c r="DB1420" s="119"/>
      <c r="DC1420" s="111"/>
      <c r="DD1420" s="119"/>
      <c r="DE1420" s="111"/>
      <c r="DF1420" s="46"/>
    </row>
    <row r="1421" spans="1:255" s="42" customFormat="1" x14ac:dyDescent="0.2">
      <c r="A1421" s="89">
        <v>40704</v>
      </c>
      <c r="B1421" s="106" t="s">
        <v>2226</v>
      </c>
      <c r="C1421" s="106" t="s">
        <v>4345</v>
      </c>
      <c r="D1421" s="90" t="s">
        <v>4264</v>
      </c>
      <c r="E1421" s="90">
        <f>VLOOKUP(B1421&amp;C1421,Divipola!$C$2:$F$1138,4,FALSE)</f>
        <v>68</v>
      </c>
      <c r="F1421" s="90"/>
      <c r="G1421" s="129"/>
      <c r="H1421" s="129"/>
      <c r="I1421" s="129"/>
      <c r="J1421" s="129"/>
      <c r="K1421" s="129"/>
      <c r="L1421" s="129"/>
      <c r="M1421" s="129"/>
      <c r="N1421" s="129"/>
      <c r="O1421" s="129"/>
      <c r="P1421" s="129"/>
      <c r="Q1421" s="129"/>
      <c r="R1421" s="129"/>
      <c r="S1421" s="129"/>
      <c r="T1421" s="129"/>
      <c r="U1421" s="129"/>
      <c r="V1421" s="129"/>
      <c r="W1421" s="107"/>
      <c r="X1421" s="105"/>
      <c r="Y1421" s="92">
        <f t="shared" si="132"/>
        <v>197500000</v>
      </c>
      <c r="Z1421" s="92">
        <f t="shared" si="133"/>
        <v>425000000</v>
      </c>
      <c r="AA1421" s="92">
        <f t="shared" si="134"/>
        <v>0</v>
      </c>
      <c r="AB1421" s="92">
        <f t="shared" si="135"/>
        <v>0</v>
      </c>
      <c r="AC1421" s="92"/>
      <c r="AD1421" s="92">
        <v>0</v>
      </c>
      <c r="AE1421" s="92">
        <f t="shared" si="136"/>
        <v>622500000</v>
      </c>
      <c r="AF1421" s="93">
        <v>0</v>
      </c>
      <c r="AG1421" s="105"/>
      <c r="AH1421" s="108"/>
      <c r="AI1421" s="102" t="s">
        <v>4346</v>
      </c>
      <c r="AJ1421" s="96" t="s">
        <v>4347</v>
      </c>
      <c r="AK1421" s="111"/>
      <c r="AL1421" s="105"/>
      <c r="AM1421" s="112"/>
      <c r="AN1421" s="107"/>
      <c r="AO1421" s="107"/>
      <c r="AP1421" s="107"/>
      <c r="AQ1421" s="107"/>
      <c r="AR1421" s="107"/>
      <c r="AS1421" s="107"/>
      <c r="AT1421" s="107"/>
      <c r="AU1421" s="107"/>
      <c r="AV1421" s="107"/>
      <c r="AW1421" s="107"/>
      <c r="AX1421" s="107"/>
      <c r="AY1421" s="107"/>
      <c r="AZ1421" s="107">
        <v>1000</v>
      </c>
      <c r="BA1421" s="107">
        <f>1000*56000</f>
        <v>56000000</v>
      </c>
      <c r="BB1421" s="107"/>
      <c r="BC1421" s="107"/>
      <c r="BD1421" s="107"/>
      <c r="BE1421" s="107"/>
      <c r="BF1421" s="107"/>
      <c r="BG1421" s="107"/>
      <c r="BH1421" s="107"/>
      <c r="BI1421" s="107"/>
      <c r="BJ1421" s="107"/>
      <c r="BK1421" s="107"/>
      <c r="BL1421" s="107">
        <v>1000</v>
      </c>
      <c r="BM1421" s="107">
        <f>1000*25500</f>
        <v>25500000</v>
      </c>
      <c r="BN1421" s="107"/>
      <c r="BO1421" s="107"/>
      <c r="BP1421" s="107"/>
      <c r="BQ1421" s="107"/>
      <c r="BR1421" s="107"/>
      <c r="BS1421" s="107"/>
      <c r="BT1421" s="107"/>
      <c r="BU1421" s="107"/>
      <c r="BV1421" s="107"/>
      <c r="BW1421" s="107"/>
      <c r="BX1421" s="107"/>
      <c r="BY1421" s="107"/>
      <c r="BZ1421" s="107"/>
      <c r="CA1421" s="107"/>
      <c r="CB1421" s="107"/>
      <c r="CC1421" s="107"/>
      <c r="CD1421" s="107"/>
      <c r="CE1421" s="107"/>
      <c r="CF1421" s="107"/>
      <c r="CG1421" s="107"/>
      <c r="CH1421" s="107"/>
      <c r="CI1421" s="107"/>
      <c r="CJ1421" s="107">
        <v>2000</v>
      </c>
      <c r="CK1421" s="107">
        <f>2000*21000</f>
        <v>42000000</v>
      </c>
      <c r="CL1421" s="107"/>
      <c r="CM1421" s="107"/>
      <c r="CN1421" s="118"/>
      <c r="CO1421" s="119"/>
      <c r="CP1421" s="118">
        <v>2000</v>
      </c>
      <c r="CQ1421" s="119">
        <f>2000*37000</f>
        <v>74000000</v>
      </c>
      <c r="CR1421" s="118"/>
      <c r="CS1421" s="119"/>
      <c r="CT1421" s="113"/>
      <c r="CU1421" s="118"/>
      <c r="CV1421" s="99">
        <f t="shared" si="137"/>
        <v>197500000</v>
      </c>
      <c r="CW1421" s="118"/>
      <c r="CX1421" s="119"/>
      <c r="CY1421" s="119">
        <v>5000</v>
      </c>
      <c r="CZ1421" s="119">
        <f>5000*85000</f>
        <v>425000000</v>
      </c>
      <c r="DA1421" s="118"/>
      <c r="DB1421" s="119"/>
      <c r="DC1421" s="111"/>
      <c r="DD1421" s="119"/>
      <c r="DE1421" s="111"/>
      <c r="DF1421" s="46"/>
    </row>
    <row r="1422" spans="1:255" s="42" customFormat="1" ht="36" x14ac:dyDescent="0.2">
      <c r="A1422" s="89">
        <v>40704</v>
      </c>
      <c r="B1422" s="16" t="s">
        <v>2226</v>
      </c>
      <c r="C1422" s="90" t="s">
        <v>3453</v>
      </c>
      <c r="D1422" s="90" t="s">
        <v>4264</v>
      </c>
      <c r="E1422" s="90" t="str">
        <f>VLOOKUP(B1422&amp;C1422,Divipola!$C$2:$F$1138,4,FALSE)</f>
        <v>68689</v>
      </c>
      <c r="F1422" s="4"/>
      <c r="G1422" s="208"/>
      <c r="H1422" s="208"/>
      <c r="I1422" s="208"/>
      <c r="J1422" s="208"/>
      <c r="K1422" s="208"/>
      <c r="L1422" s="208"/>
      <c r="M1422" s="208"/>
      <c r="N1422" s="208"/>
      <c r="O1422" s="208"/>
      <c r="P1422" s="208"/>
      <c r="Q1422" s="208"/>
      <c r="R1422" s="208"/>
      <c r="S1422" s="208"/>
      <c r="T1422" s="208"/>
      <c r="U1422" s="208"/>
      <c r="V1422" s="208"/>
      <c r="W1422" s="19"/>
      <c r="X1422" s="17"/>
      <c r="Y1422" s="5">
        <f t="shared" si="132"/>
        <v>0</v>
      </c>
      <c r="Z1422" s="5">
        <f t="shared" si="133"/>
        <v>0</v>
      </c>
      <c r="AA1422" s="5">
        <f t="shared" si="134"/>
        <v>0</v>
      </c>
      <c r="AB1422" s="5">
        <f t="shared" si="135"/>
        <v>0</v>
      </c>
      <c r="AC1422" s="5"/>
      <c r="AD1422" s="5">
        <v>20000000</v>
      </c>
      <c r="AE1422" s="5">
        <f t="shared" si="136"/>
        <v>20000000</v>
      </c>
      <c r="AF1422" s="70">
        <v>0</v>
      </c>
      <c r="AG1422" s="17"/>
      <c r="AH1422" s="18"/>
      <c r="AI1422" s="95" t="s">
        <v>4346</v>
      </c>
      <c r="AJ1422" s="96" t="s">
        <v>4347</v>
      </c>
      <c r="AK1422" s="45"/>
      <c r="AL1422" s="17"/>
      <c r="AM1422" s="20" t="s">
        <v>3759</v>
      </c>
      <c r="AN1422" s="19"/>
      <c r="AO1422" s="19"/>
      <c r="AP1422" s="19"/>
      <c r="AQ1422" s="19"/>
      <c r="AR1422" s="19"/>
      <c r="AS1422" s="19"/>
      <c r="AT1422" s="19"/>
      <c r="AU1422" s="19"/>
      <c r="AV1422" s="19"/>
      <c r="AW1422" s="19"/>
      <c r="AX1422" s="107"/>
      <c r="AY1422" s="107"/>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39"/>
      <c r="CO1422" s="138"/>
      <c r="CP1422" s="139"/>
      <c r="CQ1422" s="138"/>
      <c r="CR1422" s="139"/>
      <c r="CS1422" s="138"/>
      <c r="CT1422" s="72"/>
      <c r="CU1422" s="139"/>
      <c r="CV1422" s="99">
        <f t="shared" si="137"/>
        <v>0</v>
      </c>
      <c r="CW1422" s="139"/>
      <c r="CX1422" s="138"/>
      <c r="CY1422" s="138"/>
      <c r="CZ1422" s="138"/>
      <c r="DA1422" s="139"/>
      <c r="DB1422" s="138"/>
      <c r="DC1422" s="45"/>
      <c r="DD1422" s="138"/>
      <c r="DE1422" s="45"/>
      <c r="DF1422" s="46"/>
    </row>
    <row r="1423" spans="1:255" s="42" customFormat="1" ht="36" x14ac:dyDescent="0.2">
      <c r="A1423" s="89">
        <v>40705</v>
      </c>
      <c r="B1423" s="106" t="s">
        <v>2218</v>
      </c>
      <c r="C1423" s="106" t="s">
        <v>4413</v>
      </c>
      <c r="D1423" s="106" t="s">
        <v>3346</v>
      </c>
      <c r="E1423" s="90" t="str">
        <f>VLOOKUP(B1423&amp;C1423,Divipola!$C$2:$F$1138,4,FALSE)</f>
        <v>05120</v>
      </c>
      <c r="F1423" s="90"/>
      <c r="G1423" s="305"/>
      <c r="H1423" s="305"/>
      <c r="I1423" s="305"/>
      <c r="J1423" s="129">
        <v>150</v>
      </c>
      <c r="K1423" s="129">
        <v>30</v>
      </c>
      <c r="L1423" s="129"/>
      <c r="M1423" s="129">
        <v>30</v>
      </c>
      <c r="N1423" s="129"/>
      <c r="O1423" s="129"/>
      <c r="P1423" s="129"/>
      <c r="Q1423" s="129"/>
      <c r="R1423" s="129"/>
      <c r="S1423" s="129"/>
      <c r="T1423" s="129"/>
      <c r="U1423" s="129"/>
      <c r="V1423" s="129"/>
      <c r="W1423" s="107"/>
      <c r="X1423" s="105"/>
      <c r="Y1423" s="92">
        <f t="shared" si="132"/>
        <v>0</v>
      </c>
      <c r="Z1423" s="92">
        <f t="shared" si="133"/>
        <v>0</v>
      </c>
      <c r="AA1423" s="92">
        <f t="shared" si="134"/>
        <v>0</v>
      </c>
      <c r="AB1423" s="92">
        <f t="shared" si="135"/>
        <v>0</v>
      </c>
      <c r="AC1423" s="92"/>
      <c r="AD1423" s="92">
        <v>0</v>
      </c>
      <c r="AE1423" s="92">
        <f t="shared" si="136"/>
        <v>0</v>
      </c>
      <c r="AF1423" s="93">
        <v>0</v>
      </c>
      <c r="AG1423" s="105"/>
      <c r="AH1423" s="108"/>
      <c r="AI1423" s="109" t="s">
        <v>4336</v>
      </c>
      <c r="AJ1423" s="110" t="s">
        <v>4337</v>
      </c>
      <c r="AK1423" s="312"/>
      <c r="AL1423" s="312"/>
      <c r="AM1423" s="112" t="s">
        <v>912</v>
      </c>
      <c r="AN1423" s="107"/>
      <c r="AO1423" s="107"/>
      <c r="AP1423" s="107"/>
      <c r="AQ1423" s="107"/>
      <c r="AR1423" s="107"/>
      <c r="AS1423" s="107"/>
      <c r="AT1423" s="107"/>
      <c r="AU1423" s="107"/>
      <c r="AV1423" s="107"/>
      <c r="AW1423" s="107"/>
      <c r="AX1423" s="107"/>
      <c r="AY1423" s="107"/>
      <c r="AZ1423" s="107"/>
      <c r="BA1423" s="107"/>
      <c r="BB1423" s="107"/>
      <c r="BC1423" s="107"/>
      <c r="BD1423" s="107"/>
      <c r="BE1423" s="107"/>
      <c r="BF1423" s="107"/>
      <c r="BG1423" s="107"/>
      <c r="BH1423" s="107"/>
      <c r="BI1423" s="107"/>
      <c r="BJ1423" s="107"/>
      <c r="BK1423" s="107"/>
      <c r="BL1423" s="107"/>
      <c r="BM1423" s="107"/>
      <c r="BN1423" s="107"/>
      <c r="BO1423" s="107"/>
      <c r="BP1423" s="107"/>
      <c r="BQ1423" s="107"/>
      <c r="BR1423" s="107"/>
      <c r="BS1423" s="107"/>
      <c r="BT1423" s="107"/>
      <c r="BU1423" s="107"/>
      <c r="BV1423" s="107"/>
      <c r="BW1423" s="107"/>
      <c r="BX1423" s="107"/>
      <c r="BY1423" s="107"/>
      <c r="BZ1423" s="107"/>
      <c r="CA1423" s="107"/>
      <c r="CB1423" s="107"/>
      <c r="CC1423" s="107"/>
      <c r="CD1423" s="107"/>
      <c r="CE1423" s="107"/>
      <c r="CF1423" s="107"/>
      <c r="CG1423" s="107"/>
      <c r="CH1423" s="107"/>
      <c r="CI1423" s="107"/>
      <c r="CJ1423" s="107"/>
      <c r="CK1423" s="107"/>
      <c r="CL1423" s="107"/>
      <c r="CM1423" s="107"/>
      <c r="CN1423" s="118"/>
      <c r="CO1423" s="119"/>
      <c r="CP1423" s="118"/>
      <c r="CQ1423" s="119"/>
      <c r="CR1423" s="118"/>
      <c r="CS1423" s="119"/>
      <c r="CT1423" s="113"/>
      <c r="CU1423" s="118"/>
      <c r="CV1423" s="99">
        <f t="shared" si="137"/>
        <v>0</v>
      </c>
      <c r="CW1423" s="118"/>
      <c r="CX1423" s="119"/>
      <c r="CY1423" s="119"/>
      <c r="CZ1423" s="119"/>
      <c r="DA1423" s="118"/>
      <c r="DB1423" s="119"/>
      <c r="DC1423" s="111"/>
      <c r="DD1423" s="119"/>
      <c r="DE1423" s="111"/>
      <c r="DF1423" s="46"/>
    </row>
    <row r="1424" spans="1:255" s="42" customFormat="1" ht="24" x14ac:dyDescent="0.2">
      <c r="A1424" s="89">
        <v>40705</v>
      </c>
      <c r="B1424" s="106" t="s">
        <v>4344</v>
      </c>
      <c r="C1424" s="106" t="s">
        <v>2281</v>
      </c>
      <c r="D1424" s="90" t="s">
        <v>4264</v>
      </c>
      <c r="E1424" s="90" t="str">
        <f>VLOOKUP(B1424&amp;C1424,Divipola!$C$2:$F$1138,4,FALSE)</f>
        <v>25335</v>
      </c>
      <c r="F1424" s="90"/>
      <c r="G1424" s="305"/>
      <c r="H1424" s="305"/>
      <c r="I1424" s="305"/>
      <c r="J1424" s="129">
        <v>9</v>
      </c>
      <c r="K1424" s="129">
        <v>2</v>
      </c>
      <c r="L1424" s="129"/>
      <c r="M1424" s="129">
        <v>2</v>
      </c>
      <c r="N1424" s="129"/>
      <c r="O1424" s="129"/>
      <c r="P1424" s="129"/>
      <c r="Q1424" s="129"/>
      <c r="R1424" s="129"/>
      <c r="S1424" s="129"/>
      <c r="T1424" s="129"/>
      <c r="U1424" s="129"/>
      <c r="V1424" s="129"/>
      <c r="W1424" s="107"/>
      <c r="X1424" s="105"/>
      <c r="Y1424" s="92">
        <f t="shared" si="132"/>
        <v>0</v>
      </c>
      <c r="Z1424" s="92">
        <f t="shared" si="133"/>
        <v>0</v>
      </c>
      <c r="AA1424" s="92">
        <f t="shared" si="134"/>
        <v>0</v>
      </c>
      <c r="AB1424" s="92">
        <f t="shared" si="135"/>
        <v>0</v>
      </c>
      <c r="AC1424" s="92"/>
      <c r="AD1424" s="92">
        <v>0</v>
      </c>
      <c r="AE1424" s="92">
        <f t="shared" si="136"/>
        <v>0</v>
      </c>
      <c r="AF1424" s="93">
        <v>0</v>
      </c>
      <c r="AG1424" s="105"/>
      <c r="AH1424" s="108"/>
      <c r="AI1424" s="109" t="s">
        <v>4346</v>
      </c>
      <c r="AJ1424" s="110" t="s">
        <v>4347</v>
      </c>
      <c r="AK1424" s="111"/>
      <c r="AL1424" s="105" t="s">
        <v>928</v>
      </c>
      <c r="AM1424" s="112" t="s">
        <v>914</v>
      </c>
      <c r="AN1424" s="107"/>
      <c r="AO1424" s="107"/>
      <c r="AP1424" s="107"/>
      <c r="AQ1424" s="107"/>
      <c r="AR1424" s="107"/>
      <c r="AS1424" s="107"/>
      <c r="AT1424" s="107"/>
      <c r="AU1424" s="107"/>
      <c r="AV1424" s="107"/>
      <c r="AW1424" s="107"/>
      <c r="AX1424" s="107"/>
      <c r="AY1424" s="107"/>
      <c r="AZ1424" s="107"/>
      <c r="BA1424" s="107"/>
      <c r="BB1424" s="107"/>
      <c r="BC1424" s="107"/>
      <c r="BD1424" s="107"/>
      <c r="BE1424" s="107"/>
      <c r="BF1424" s="107"/>
      <c r="BG1424" s="107"/>
      <c r="BH1424" s="107"/>
      <c r="BI1424" s="107"/>
      <c r="BJ1424" s="107"/>
      <c r="BK1424" s="107"/>
      <c r="BL1424" s="107"/>
      <c r="BM1424" s="107"/>
      <c r="BN1424" s="107"/>
      <c r="BO1424" s="107"/>
      <c r="BP1424" s="107"/>
      <c r="BQ1424" s="107"/>
      <c r="BR1424" s="107"/>
      <c r="BS1424" s="107"/>
      <c r="BT1424" s="107"/>
      <c r="BU1424" s="107"/>
      <c r="BV1424" s="107"/>
      <c r="BW1424" s="107"/>
      <c r="BX1424" s="107"/>
      <c r="BY1424" s="107"/>
      <c r="BZ1424" s="107"/>
      <c r="CA1424" s="107"/>
      <c r="CB1424" s="107"/>
      <c r="CC1424" s="107"/>
      <c r="CD1424" s="107"/>
      <c r="CE1424" s="107"/>
      <c r="CF1424" s="107"/>
      <c r="CG1424" s="107"/>
      <c r="CH1424" s="107"/>
      <c r="CI1424" s="107"/>
      <c r="CJ1424" s="107"/>
      <c r="CK1424" s="107"/>
      <c r="CL1424" s="107"/>
      <c r="CM1424" s="107"/>
      <c r="CN1424" s="118"/>
      <c r="CO1424" s="119"/>
      <c r="CP1424" s="118"/>
      <c r="CQ1424" s="119"/>
      <c r="CR1424" s="118"/>
      <c r="CS1424" s="119"/>
      <c r="CT1424" s="113"/>
      <c r="CU1424" s="118"/>
      <c r="CV1424" s="99">
        <f t="shared" si="137"/>
        <v>0</v>
      </c>
      <c r="CW1424" s="118"/>
      <c r="CX1424" s="119"/>
      <c r="CY1424" s="119"/>
      <c r="CZ1424" s="119"/>
      <c r="DA1424" s="118"/>
      <c r="DB1424" s="119"/>
      <c r="DC1424" s="111"/>
      <c r="DD1424" s="119"/>
      <c r="DE1424" s="111"/>
      <c r="DF1424" s="269"/>
      <c r="DG1424" s="270"/>
      <c r="DH1424" s="270"/>
      <c r="DI1424" s="270"/>
      <c r="DJ1424" s="270"/>
      <c r="DK1424" s="270"/>
      <c r="DL1424" s="270"/>
      <c r="DM1424" s="270"/>
      <c r="DN1424" s="270"/>
      <c r="DO1424" s="270"/>
      <c r="DP1424" s="270"/>
      <c r="DQ1424" s="270"/>
      <c r="DR1424" s="270"/>
      <c r="DS1424" s="270"/>
      <c r="DT1424" s="270"/>
      <c r="DU1424" s="270"/>
      <c r="DV1424" s="270"/>
      <c r="DW1424" s="270"/>
      <c r="DX1424" s="270"/>
      <c r="DY1424" s="270"/>
      <c r="DZ1424" s="270"/>
      <c r="EA1424" s="270"/>
      <c r="EB1424" s="270"/>
      <c r="EC1424" s="270"/>
      <c r="ED1424" s="270"/>
      <c r="EE1424" s="270"/>
      <c r="EF1424" s="270"/>
      <c r="EG1424" s="270"/>
      <c r="EH1424" s="270"/>
      <c r="EI1424" s="270"/>
      <c r="EJ1424" s="270"/>
      <c r="EK1424" s="270"/>
      <c r="EL1424" s="270"/>
      <c r="EM1424" s="270"/>
      <c r="EN1424" s="270"/>
      <c r="EO1424" s="270"/>
      <c r="EP1424" s="270"/>
      <c r="EQ1424" s="270"/>
      <c r="ER1424" s="270"/>
      <c r="ES1424" s="270"/>
      <c r="ET1424" s="270"/>
      <c r="EU1424" s="270"/>
      <c r="EV1424" s="270"/>
      <c r="EW1424" s="270"/>
      <c r="EX1424" s="270"/>
      <c r="EY1424" s="270"/>
      <c r="EZ1424" s="270"/>
      <c r="FA1424" s="270"/>
      <c r="FB1424" s="270"/>
      <c r="FC1424" s="270"/>
      <c r="FD1424" s="270"/>
      <c r="FE1424" s="270"/>
      <c r="FF1424" s="270"/>
      <c r="FG1424" s="270"/>
      <c r="FH1424" s="270"/>
      <c r="FI1424" s="270"/>
      <c r="FJ1424" s="270"/>
      <c r="FK1424" s="270"/>
      <c r="FL1424" s="270"/>
      <c r="FM1424" s="270"/>
      <c r="FN1424" s="270"/>
      <c r="FO1424" s="270"/>
      <c r="FP1424" s="270"/>
      <c r="FQ1424" s="270"/>
      <c r="FR1424" s="270"/>
      <c r="FS1424" s="270"/>
      <c r="FT1424" s="270"/>
      <c r="FU1424" s="270"/>
      <c r="FV1424" s="270"/>
      <c r="FW1424" s="270"/>
      <c r="FX1424" s="270"/>
      <c r="FY1424" s="270"/>
      <c r="FZ1424" s="270"/>
      <c r="GA1424" s="270"/>
      <c r="GB1424" s="270"/>
      <c r="GC1424" s="270"/>
      <c r="GD1424" s="270"/>
      <c r="GE1424" s="270"/>
      <c r="GF1424" s="270"/>
      <c r="GG1424" s="270"/>
      <c r="GH1424" s="270"/>
      <c r="GI1424" s="270"/>
      <c r="GJ1424" s="270"/>
      <c r="GK1424" s="270"/>
      <c r="GL1424" s="270"/>
      <c r="GM1424" s="270"/>
      <c r="GN1424" s="270"/>
      <c r="GO1424" s="270"/>
      <c r="GP1424" s="270"/>
      <c r="GQ1424" s="270"/>
      <c r="GR1424" s="270"/>
      <c r="GS1424" s="270"/>
      <c r="GT1424" s="270"/>
      <c r="GU1424" s="270"/>
      <c r="GV1424" s="270"/>
      <c r="GW1424" s="270"/>
      <c r="GX1424" s="270"/>
      <c r="GY1424" s="270"/>
      <c r="GZ1424" s="270"/>
      <c r="HA1424" s="270"/>
      <c r="HB1424" s="270"/>
      <c r="HC1424" s="270"/>
      <c r="HD1424" s="270"/>
      <c r="HE1424" s="270"/>
      <c r="HF1424" s="270"/>
      <c r="HG1424" s="270"/>
      <c r="HH1424" s="270"/>
      <c r="HI1424" s="270"/>
      <c r="HJ1424" s="270"/>
      <c r="HK1424" s="270"/>
      <c r="HL1424" s="270"/>
      <c r="HM1424" s="270"/>
      <c r="HN1424" s="270"/>
      <c r="HO1424" s="270"/>
      <c r="HP1424" s="270"/>
      <c r="HQ1424" s="270"/>
      <c r="HR1424" s="270"/>
      <c r="HS1424" s="270"/>
      <c r="HT1424" s="270"/>
      <c r="HU1424" s="270"/>
      <c r="HV1424" s="270"/>
      <c r="HW1424" s="270"/>
      <c r="HX1424" s="270"/>
      <c r="HY1424" s="270"/>
      <c r="HZ1424" s="270"/>
      <c r="IA1424" s="270"/>
      <c r="IB1424" s="270"/>
      <c r="IC1424" s="270"/>
      <c r="ID1424" s="270"/>
      <c r="IE1424" s="270"/>
      <c r="IF1424" s="270"/>
      <c r="IG1424" s="270"/>
      <c r="IH1424" s="270"/>
      <c r="II1424" s="270"/>
      <c r="IJ1424" s="270"/>
      <c r="IK1424" s="270"/>
      <c r="IL1424" s="270"/>
      <c r="IM1424" s="270"/>
      <c r="IN1424" s="270"/>
      <c r="IO1424" s="270"/>
      <c r="IP1424" s="270"/>
      <c r="IQ1424" s="270"/>
      <c r="IR1424" s="270"/>
      <c r="IS1424" s="270"/>
      <c r="IT1424" s="270"/>
      <c r="IU1424" s="270"/>
    </row>
    <row r="1425" spans="1:255" s="42" customFormat="1" ht="36" x14ac:dyDescent="0.2">
      <c r="A1425" s="89">
        <v>40705</v>
      </c>
      <c r="B1425" s="106" t="s">
        <v>4350</v>
      </c>
      <c r="C1425" s="106" t="s">
        <v>797</v>
      </c>
      <c r="D1425" s="90" t="s">
        <v>3346</v>
      </c>
      <c r="E1425" s="90" t="str">
        <f>VLOOKUP(B1425&amp;C1425,Divipola!$C$2:$F$1138,4,FALSE)</f>
        <v>63272</v>
      </c>
      <c r="F1425" s="90"/>
      <c r="G1425" s="305"/>
      <c r="H1425" s="305"/>
      <c r="I1425" s="305"/>
      <c r="J1425" s="129">
        <v>15</v>
      </c>
      <c r="K1425" s="129">
        <v>3</v>
      </c>
      <c r="L1425" s="129"/>
      <c r="M1425" s="129">
        <v>3</v>
      </c>
      <c r="N1425" s="129"/>
      <c r="O1425" s="129"/>
      <c r="P1425" s="129"/>
      <c r="Q1425" s="129"/>
      <c r="R1425" s="129"/>
      <c r="S1425" s="129"/>
      <c r="T1425" s="129"/>
      <c r="U1425" s="129"/>
      <c r="V1425" s="129"/>
      <c r="W1425" s="107"/>
      <c r="X1425" s="105"/>
      <c r="Y1425" s="92">
        <f t="shared" si="132"/>
        <v>0</v>
      </c>
      <c r="Z1425" s="92">
        <f t="shared" si="133"/>
        <v>0</v>
      </c>
      <c r="AA1425" s="92">
        <f t="shared" si="134"/>
        <v>0</v>
      </c>
      <c r="AB1425" s="92">
        <f t="shared" si="135"/>
        <v>0</v>
      </c>
      <c r="AC1425" s="92"/>
      <c r="AD1425" s="92">
        <v>0</v>
      </c>
      <c r="AE1425" s="92">
        <f t="shared" si="136"/>
        <v>0</v>
      </c>
      <c r="AF1425" s="93">
        <v>0</v>
      </c>
      <c r="AG1425" s="105"/>
      <c r="AH1425" s="108"/>
      <c r="AI1425" s="109" t="s">
        <v>4336</v>
      </c>
      <c r="AJ1425" s="110" t="s">
        <v>4337</v>
      </c>
      <c r="AK1425" s="313"/>
      <c r="AL1425" s="312"/>
      <c r="AM1425" s="112" t="s">
        <v>913</v>
      </c>
      <c r="AN1425" s="107"/>
      <c r="AO1425" s="107"/>
      <c r="AP1425" s="107"/>
      <c r="AQ1425" s="107"/>
      <c r="AR1425" s="107"/>
      <c r="AS1425" s="107"/>
      <c r="AT1425" s="107"/>
      <c r="AU1425" s="107"/>
      <c r="AV1425" s="107"/>
      <c r="AW1425" s="107"/>
      <c r="AX1425" s="107"/>
      <c r="AY1425" s="107"/>
      <c r="AZ1425" s="107"/>
      <c r="BA1425" s="107"/>
      <c r="BB1425" s="107"/>
      <c r="BC1425" s="107"/>
      <c r="BD1425" s="107"/>
      <c r="BE1425" s="107"/>
      <c r="BF1425" s="107"/>
      <c r="BG1425" s="107"/>
      <c r="BH1425" s="107"/>
      <c r="BI1425" s="107"/>
      <c r="BJ1425" s="107"/>
      <c r="BK1425" s="107"/>
      <c r="BL1425" s="107"/>
      <c r="BM1425" s="107"/>
      <c r="BN1425" s="107"/>
      <c r="BO1425" s="107"/>
      <c r="BP1425" s="107"/>
      <c r="BQ1425" s="107"/>
      <c r="BR1425" s="107"/>
      <c r="BS1425" s="107"/>
      <c r="BT1425" s="107"/>
      <c r="BU1425" s="107"/>
      <c r="BV1425" s="107"/>
      <c r="BW1425" s="107"/>
      <c r="BX1425" s="107"/>
      <c r="BY1425" s="107"/>
      <c r="BZ1425" s="107"/>
      <c r="CA1425" s="107"/>
      <c r="CB1425" s="107"/>
      <c r="CC1425" s="107"/>
      <c r="CD1425" s="107"/>
      <c r="CE1425" s="107"/>
      <c r="CF1425" s="107"/>
      <c r="CG1425" s="107"/>
      <c r="CH1425" s="107"/>
      <c r="CI1425" s="107"/>
      <c r="CJ1425" s="107"/>
      <c r="CK1425" s="107"/>
      <c r="CL1425" s="107"/>
      <c r="CM1425" s="107"/>
      <c r="CN1425" s="118"/>
      <c r="CO1425" s="119"/>
      <c r="CP1425" s="118"/>
      <c r="CQ1425" s="119"/>
      <c r="CR1425" s="118"/>
      <c r="CS1425" s="119"/>
      <c r="CT1425" s="113"/>
      <c r="CU1425" s="118"/>
      <c r="CV1425" s="99">
        <f t="shared" si="137"/>
        <v>0</v>
      </c>
      <c r="CW1425" s="118"/>
      <c r="CX1425" s="119"/>
      <c r="CY1425" s="119"/>
      <c r="CZ1425" s="119"/>
      <c r="DA1425" s="118"/>
      <c r="DB1425" s="119"/>
      <c r="DC1425" s="111"/>
      <c r="DD1425" s="119"/>
      <c r="DE1425" s="111"/>
      <c r="DF1425" s="46"/>
    </row>
    <row r="1426" spans="1:255" s="42" customFormat="1" ht="22.5" x14ac:dyDescent="0.2">
      <c r="A1426" s="89">
        <v>40706</v>
      </c>
      <c r="B1426" s="106" t="s">
        <v>860</v>
      </c>
      <c r="C1426" s="106" t="s">
        <v>2859</v>
      </c>
      <c r="D1426" s="90" t="s">
        <v>4298</v>
      </c>
      <c r="E1426" s="90" t="str">
        <f>VLOOKUP(B1426&amp;C1426,Divipola!$C$2:$F$1138,4,FALSE)</f>
        <v>50001</v>
      </c>
      <c r="F1426" s="90"/>
      <c r="G1426" s="305"/>
      <c r="H1426" s="305"/>
      <c r="I1426" s="305"/>
      <c r="J1426" s="101">
        <v>5</v>
      </c>
      <c r="K1426" s="101">
        <v>1</v>
      </c>
      <c r="L1426" s="101"/>
      <c r="M1426" s="101">
        <v>1</v>
      </c>
      <c r="N1426" s="129"/>
      <c r="O1426" s="129"/>
      <c r="P1426" s="129"/>
      <c r="Q1426" s="129"/>
      <c r="R1426" s="129"/>
      <c r="S1426" s="129"/>
      <c r="T1426" s="129"/>
      <c r="U1426" s="129"/>
      <c r="V1426" s="129"/>
      <c r="W1426" s="107"/>
      <c r="X1426" s="105"/>
      <c r="Y1426" s="92">
        <f t="shared" si="132"/>
        <v>0</v>
      </c>
      <c r="Z1426" s="92">
        <f t="shared" si="133"/>
        <v>0</v>
      </c>
      <c r="AA1426" s="92">
        <f t="shared" si="134"/>
        <v>0</v>
      </c>
      <c r="AB1426" s="92">
        <f t="shared" si="135"/>
        <v>0</v>
      </c>
      <c r="AC1426" s="92"/>
      <c r="AD1426" s="92">
        <v>0</v>
      </c>
      <c r="AE1426" s="92">
        <f t="shared" si="136"/>
        <v>0</v>
      </c>
      <c r="AF1426" s="93">
        <v>0</v>
      </c>
      <c r="AG1426" s="105"/>
      <c r="AH1426" s="108"/>
      <c r="AI1426" s="102" t="s">
        <v>4336</v>
      </c>
      <c r="AJ1426" s="96" t="s">
        <v>4337</v>
      </c>
      <c r="AK1426" s="313"/>
      <c r="AL1426" s="312"/>
      <c r="AM1426" s="112" t="s">
        <v>915</v>
      </c>
      <c r="AN1426" s="107"/>
      <c r="AO1426" s="107"/>
      <c r="AP1426" s="107"/>
      <c r="AQ1426" s="107"/>
      <c r="AR1426" s="107"/>
      <c r="AS1426" s="107"/>
      <c r="AT1426" s="107"/>
      <c r="AU1426" s="107"/>
      <c r="AV1426" s="107"/>
      <c r="AW1426" s="107"/>
      <c r="AX1426" s="107"/>
      <c r="AY1426" s="107"/>
      <c r="AZ1426" s="107"/>
      <c r="BA1426" s="107"/>
      <c r="BB1426" s="107"/>
      <c r="BC1426" s="107"/>
      <c r="BD1426" s="107"/>
      <c r="BE1426" s="107"/>
      <c r="BF1426" s="107"/>
      <c r="BG1426" s="107"/>
      <c r="BH1426" s="107"/>
      <c r="BI1426" s="107"/>
      <c r="BJ1426" s="107"/>
      <c r="BK1426" s="107"/>
      <c r="BL1426" s="107"/>
      <c r="BM1426" s="107"/>
      <c r="BN1426" s="107"/>
      <c r="BO1426" s="107"/>
      <c r="BP1426" s="107"/>
      <c r="BQ1426" s="107"/>
      <c r="BR1426" s="107"/>
      <c r="BS1426" s="107"/>
      <c r="BT1426" s="107"/>
      <c r="BU1426" s="107"/>
      <c r="BV1426" s="107"/>
      <c r="BW1426" s="107"/>
      <c r="BX1426" s="107"/>
      <c r="BY1426" s="107"/>
      <c r="BZ1426" s="107"/>
      <c r="CA1426" s="107"/>
      <c r="CB1426" s="107"/>
      <c r="CC1426" s="107"/>
      <c r="CD1426" s="107"/>
      <c r="CE1426" s="107"/>
      <c r="CF1426" s="107"/>
      <c r="CG1426" s="107"/>
      <c r="CH1426" s="107"/>
      <c r="CI1426" s="107"/>
      <c r="CJ1426" s="107"/>
      <c r="CK1426" s="107"/>
      <c r="CL1426" s="107"/>
      <c r="CM1426" s="107"/>
      <c r="CN1426" s="118"/>
      <c r="CO1426" s="119"/>
      <c r="CP1426" s="118"/>
      <c r="CQ1426" s="119"/>
      <c r="CR1426" s="118"/>
      <c r="CS1426" s="119"/>
      <c r="CT1426" s="113"/>
      <c r="CU1426" s="118"/>
      <c r="CV1426" s="99">
        <f t="shared" si="137"/>
        <v>0</v>
      </c>
      <c r="CW1426" s="118"/>
      <c r="CX1426" s="119"/>
      <c r="CY1426" s="119"/>
      <c r="CZ1426" s="119"/>
      <c r="DA1426" s="118"/>
      <c r="DB1426" s="119"/>
      <c r="DC1426" s="111"/>
      <c r="DD1426" s="119"/>
      <c r="DE1426" s="111"/>
      <c r="DF1426" s="46"/>
    </row>
    <row r="1427" spans="1:255" s="42" customFormat="1" ht="24" x14ac:dyDescent="0.2">
      <c r="A1427" s="89">
        <v>40706</v>
      </c>
      <c r="B1427" s="106" t="s">
        <v>4348</v>
      </c>
      <c r="C1427" s="106" t="s">
        <v>1957</v>
      </c>
      <c r="D1427" s="106" t="s">
        <v>3346</v>
      </c>
      <c r="E1427" s="90" t="str">
        <f>VLOOKUP(B1427&amp;C1427,Divipola!$C$2:$F$1138,4,FALSE)</f>
        <v>66572</v>
      </c>
      <c r="F1427" s="90"/>
      <c r="G1427" s="279"/>
      <c r="H1427" s="279"/>
      <c r="I1427" s="279"/>
      <c r="J1427" s="129">
        <v>195</v>
      </c>
      <c r="K1427" s="129">
        <v>28</v>
      </c>
      <c r="L1427" s="129"/>
      <c r="M1427" s="129">
        <v>28</v>
      </c>
      <c r="N1427" s="129"/>
      <c r="O1427" s="129"/>
      <c r="P1427" s="129"/>
      <c r="Q1427" s="129"/>
      <c r="R1427" s="129"/>
      <c r="S1427" s="129"/>
      <c r="T1427" s="129"/>
      <c r="U1427" s="129"/>
      <c r="V1427" s="129"/>
      <c r="W1427" s="107"/>
      <c r="X1427" s="105"/>
      <c r="Y1427" s="92">
        <f t="shared" si="132"/>
        <v>0</v>
      </c>
      <c r="Z1427" s="92">
        <f t="shared" si="133"/>
        <v>0</v>
      </c>
      <c r="AA1427" s="92">
        <f t="shared" si="134"/>
        <v>0</v>
      </c>
      <c r="AB1427" s="92">
        <f t="shared" si="135"/>
        <v>0</v>
      </c>
      <c r="AC1427" s="92"/>
      <c r="AD1427" s="92">
        <v>0</v>
      </c>
      <c r="AE1427" s="92">
        <f t="shared" si="136"/>
        <v>0</v>
      </c>
      <c r="AF1427" s="93">
        <v>0</v>
      </c>
      <c r="AG1427" s="105"/>
      <c r="AH1427" s="108"/>
      <c r="AI1427" s="109" t="s">
        <v>4336</v>
      </c>
      <c r="AJ1427" s="110" t="s">
        <v>4337</v>
      </c>
      <c r="AK1427" s="280"/>
      <c r="AL1427" s="281"/>
      <c r="AM1427" s="112" t="s">
        <v>2013</v>
      </c>
      <c r="AN1427" s="107"/>
      <c r="AO1427" s="107"/>
      <c r="AP1427" s="107"/>
      <c r="AQ1427" s="107"/>
      <c r="AR1427" s="107"/>
      <c r="AS1427" s="107"/>
      <c r="AT1427" s="107"/>
      <c r="AU1427" s="107"/>
      <c r="AV1427" s="107"/>
      <c r="AW1427" s="107"/>
      <c r="AX1427" s="107"/>
      <c r="AY1427" s="107"/>
      <c r="AZ1427" s="107"/>
      <c r="BA1427" s="107"/>
      <c r="BB1427" s="107"/>
      <c r="BC1427" s="107"/>
      <c r="BD1427" s="107"/>
      <c r="BE1427" s="107"/>
      <c r="BF1427" s="107"/>
      <c r="BG1427" s="107"/>
      <c r="BH1427" s="107"/>
      <c r="BI1427" s="107"/>
      <c r="BJ1427" s="107"/>
      <c r="BK1427" s="107"/>
      <c r="BL1427" s="107"/>
      <c r="BM1427" s="107"/>
      <c r="BN1427" s="107"/>
      <c r="BO1427" s="107"/>
      <c r="BP1427" s="107"/>
      <c r="BQ1427" s="107"/>
      <c r="BR1427" s="107"/>
      <c r="BS1427" s="107"/>
      <c r="BT1427" s="107"/>
      <c r="BU1427" s="107"/>
      <c r="BV1427" s="107"/>
      <c r="BW1427" s="107"/>
      <c r="BX1427" s="107"/>
      <c r="BY1427" s="107"/>
      <c r="BZ1427" s="107"/>
      <c r="CA1427" s="107"/>
      <c r="CB1427" s="107"/>
      <c r="CC1427" s="107"/>
      <c r="CD1427" s="107"/>
      <c r="CE1427" s="107"/>
      <c r="CF1427" s="107"/>
      <c r="CG1427" s="107"/>
      <c r="CH1427" s="107"/>
      <c r="CI1427" s="107"/>
      <c r="CJ1427" s="107"/>
      <c r="CK1427" s="107"/>
      <c r="CL1427" s="107"/>
      <c r="CM1427" s="107"/>
      <c r="CN1427" s="118"/>
      <c r="CO1427" s="119"/>
      <c r="CP1427" s="118"/>
      <c r="CQ1427" s="119"/>
      <c r="CR1427" s="118"/>
      <c r="CS1427" s="119"/>
      <c r="CT1427" s="113"/>
      <c r="CU1427" s="118"/>
      <c r="CV1427" s="99">
        <f t="shared" si="137"/>
        <v>0</v>
      </c>
      <c r="CW1427" s="118"/>
      <c r="CX1427" s="119"/>
      <c r="CY1427" s="119"/>
      <c r="CZ1427" s="119"/>
      <c r="DA1427" s="118"/>
      <c r="DB1427" s="119"/>
      <c r="DC1427" s="111"/>
      <c r="DD1427" s="119"/>
      <c r="DE1427" s="111"/>
      <c r="DF1427" s="46"/>
    </row>
    <row r="1428" spans="1:255" s="42" customFormat="1" ht="22.5" x14ac:dyDescent="0.2">
      <c r="A1428" s="89">
        <v>40706</v>
      </c>
      <c r="B1428" s="106" t="s">
        <v>4244</v>
      </c>
      <c r="C1428" s="106" t="s">
        <v>4322</v>
      </c>
      <c r="D1428" s="106" t="s">
        <v>4298</v>
      </c>
      <c r="E1428" s="90" t="str">
        <f>VLOOKUP(B1428&amp;C1428,Divipola!$C$2:$F$1138,4,FALSE)</f>
        <v>76109</v>
      </c>
      <c r="F1428" s="90"/>
      <c r="G1428" s="305"/>
      <c r="H1428" s="305"/>
      <c r="I1428" s="305"/>
      <c r="J1428" s="129">
        <v>25</v>
      </c>
      <c r="K1428" s="129">
        <v>5</v>
      </c>
      <c r="L1428" s="129">
        <v>5</v>
      </c>
      <c r="M1428" s="129"/>
      <c r="N1428" s="129"/>
      <c r="O1428" s="129"/>
      <c r="P1428" s="129"/>
      <c r="Q1428" s="129"/>
      <c r="R1428" s="129"/>
      <c r="S1428" s="129"/>
      <c r="T1428" s="129"/>
      <c r="U1428" s="129"/>
      <c r="V1428" s="129"/>
      <c r="W1428" s="107"/>
      <c r="X1428" s="105"/>
      <c r="Y1428" s="92">
        <f t="shared" si="132"/>
        <v>0</v>
      </c>
      <c r="Z1428" s="92">
        <f t="shared" si="133"/>
        <v>0</v>
      </c>
      <c r="AA1428" s="92">
        <f t="shared" si="134"/>
        <v>0</v>
      </c>
      <c r="AB1428" s="92">
        <f t="shared" si="135"/>
        <v>0</v>
      </c>
      <c r="AC1428" s="92"/>
      <c r="AD1428" s="92">
        <v>0</v>
      </c>
      <c r="AE1428" s="92">
        <f t="shared" si="136"/>
        <v>0</v>
      </c>
      <c r="AF1428" s="93">
        <v>0</v>
      </c>
      <c r="AG1428" s="105"/>
      <c r="AH1428" s="108"/>
      <c r="AI1428" s="109" t="s">
        <v>4336</v>
      </c>
      <c r="AJ1428" s="110" t="s">
        <v>4337</v>
      </c>
      <c r="AK1428" s="313"/>
      <c r="AL1428" s="312"/>
      <c r="AM1428" s="112" t="s">
        <v>916</v>
      </c>
      <c r="AN1428" s="107"/>
      <c r="AO1428" s="107"/>
      <c r="AP1428" s="107"/>
      <c r="AQ1428" s="107"/>
      <c r="AR1428" s="107"/>
      <c r="AS1428" s="107"/>
      <c r="AT1428" s="107"/>
      <c r="AU1428" s="107"/>
      <c r="AV1428" s="107"/>
      <c r="AW1428" s="107"/>
      <c r="AX1428" s="107"/>
      <c r="AY1428" s="107"/>
      <c r="AZ1428" s="107"/>
      <c r="BA1428" s="107"/>
      <c r="BB1428" s="107"/>
      <c r="BC1428" s="107"/>
      <c r="BD1428" s="107"/>
      <c r="BE1428" s="107"/>
      <c r="BF1428" s="107"/>
      <c r="BG1428" s="107"/>
      <c r="BH1428" s="107"/>
      <c r="BI1428" s="107"/>
      <c r="BJ1428" s="107"/>
      <c r="BK1428" s="107"/>
      <c r="BL1428" s="107"/>
      <c r="BM1428" s="107"/>
      <c r="BN1428" s="107"/>
      <c r="BO1428" s="107"/>
      <c r="BP1428" s="107"/>
      <c r="BQ1428" s="107"/>
      <c r="BR1428" s="107"/>
      <c r="BS1428" s="107"/>
      <c r="BT1428" s="107"/>
      <c r="BU1428" s="107"/>
      <c r="BV1428" s="107"/>
      <c r="BW1428" s="107"/>
      <c r="BX1428" s="107"/>
      <c r="BY1428" s="107"/>
      <c r="BZ1428" s="107"/>
      <c r="CA1428" s="107"/>
      <c r="CB1428" s="107"/>
      <c r="CC1428" s="107"/>
      <c r="CD1428" s="107"/>
      <c r="CE1428" s="107"/>
      <c r="CF1428" s="107"/>
      <c r="CG1428" s="107"/>
      <c r="CH1428" s="107"/>
      <c r="CI1428" s="107"/>
      <c r="CJ1428" s="107"/>
      <c r="CK1428" s="107"/>
      <c r="CL1428" s="107"/>
      <c r="CM1428" s="107"/>
      <c r="CN1428" s="118"/>
      <c r="CO1428" s="119"/>
      <c r="CP1428" s="118"/>
      <c r="CQ1428" s="119"/>
      <c r="CR1428" s="118"/>
      <c r="CS1428" s="119"/>
      <c r="CT1428" s="113"/>
      <c r="CU1428" s="118"/>
      <c r="CV1428" s="99">
        <f t="shared" si="137"/>
        <v>0</v>
      </c>
      <c r="CW1428" s="118"/>
      <c r="CX1428" s="119"/>
      <c r="CY1428" s="119"/>
      <c r="CZ1428" s="119"/>
      <c r="DA1428" s="118"/>
      <c r="DB1428" s="119"/>
      <c r="DC1428" s="111"/>
      <c r="DD1428" s="119"/>
      <c r="DE1428" s="111"/>
      <c r="DF1428" s="46"/>
    </row>
    <row r="1429" spans="1:255" s="42" customFormat="1" ht="24" x14ac:dyDescent="0.2">
      <c r="A1429" s="89">
        <v>40707</v>
      </c>
      <c r="B1429" s="106" t="s">
        <v>2218</v>
      </c>
      <c r="C1429" s="106" t="s">
        <v>3547</v>
      </c>
      <c r="D1429" s="106" t="s">
        <v>3311</v>
      </c>
      <c r="E1429" s="90" t="str">
        <f>VLOOKUP(B1429&amp;C1429,Divipola!$C$2:$F$1138,4,FALSE)</f>
        <v>05579</v>
      </c>
      <c r="F1429" s="90"/>
      <c r="G1429" s="305"/>
      <c r="H1429" s="129">
        <v>6</v>
      </c>
      <c r="I1429" s="305"/>
      <c r="J1429" s="129">
        <v>10</v>
      </c>
      <c r="K1429" s="129">
        <v>2</v>
      </c>
      <c r="L1429" s="129"/>
      <c r="M1429" s="129">
        <v>2</v>
      </c>
      <c r="N1429" s="129"/>
      <c r="O1429" s="129"/>
      <c r="P1429" s="129"/>
      <c r="Q1429" s="129"/>
      <c r="R1429" s="129"/>
      <c r="S1429" s="129"/>
      <c r="T1429" s="129"/>
      <c r="U1429" s="129"/>
      <c r="V1429" s="129"/>
      <c r="W1429" s="107"/>
      <c r="X1429" s="105"/>
      <c r="Y1429" s="92">
        <f t="shared" si="132"/>
        <v>0</v>
      </c>
      <c r="Z1429" s="92">
        <f t="shared" si="133"/>
        <v>0</v>
      </c>
      <c r="AA1429" s="92">
        <f t="shared" si="134"/>
        <v>0</v>
      </c>
      <c r="AB1429" s="92">
        <f t="shared" si="135"/>
        <v>0</v>
      </c>
      <c r="AC1429" s="92"/>
      <c r="AD1429" s="92">
        <v>0</v>
      </c>
      <c r="AE1429" s="92">
        <f t="shared" si="136"/>
        <v>0</v>
      </c>
      <c r="AF1429" s="93">
        <v>0</v>
      </c>
      <c r="AG1429" s="105"/>
      <c r="AH1429" s="108"/>
      <c r="AI1429" s="109" t="s">
        <v>4336</v>
      </c>
      <c r="AJ1429" s="110" t="s">
        <v>4337</v>
      </c>
      <c r="AK1429" s="280"/>
      <c r="AL1429" s="281"/>
      <c r="AM1429" s="112" t="s">
        <v>2373</v>
      </c>
      <c r="AN1429" s="107"/>
      <c r="AO1429" s="107"/>
      <c r="AP1429" s="107"/>
      <c r="AQ1429" s="107"/>
      <c r="AR1429" s="107"/>
      <c r="AS1429" s="107"/>
      <c r="AT1429" s="107"/>
      <c r="AU1429" s="107"/>
      <c r="AV1429" s="107"/>
      <c r="AW1429" s="107"/>
      <c r="AX1429" s="107"/>
      <c r="AY1429" s="107"/>
      <c r="AZ1429" s="107"/>
      <c r="BA1429" s="107"/>
      <c r="BB1429" s="107"/>
      <c r="BC1429" s="107"/>
      <c r="BD1429" s="107"/>
      <c r="BE1429" s="107"/>
      <c r="BF1429" s="107"/>
      <c r="BG1429" s="107"/>
      <c r="BH1429" s="107"/>
      <c r="BI1429" s="107"/>
      <c r="BJ1429" s="107"/>
      <c r="BK1429" s="107"/>
      <c r="BL1429" s="107"/>
      <c r="BM1429" s="107"/>
      <c r="BN1429" s="107"/>
      <c r="BO1429" s="107"/>
      <c r="BP1429" s="107"/>
      <c r="BQ1429" s="107"/>
      <c r="BR1429" s="107"/>
      <c r="BS1429" s="107"/>
      <c r="BT1429" s="107"/>
      <c r="BU1429" s="107"/>
      <c r="BV1429" s="107"/>
      <c r="BW1429" s="107"/>
      <c r="BX1429" s="107"/>
      <c r="BY1429" s="107"/>
      <c r="BZ1429" s="107"/>
      <c r="CA1429" s="107"/>
      <c r="CB1429" s="107"/>
      <c r="CC1429" s="107"/>
      <c r="CD1429" s="107"/>
      <c r="CE1429" s="107"/>
      <c r="CF1429" s="107"/>
      <c r="CG1429" s="107"/>
      <c r="CH1429" s="107"/>
      <c r="CI1429" s="107"/>
      <c r="CJ1429" s="107"/>
      <c r="CK1429" s="107"/>
      <c r="CL1429" s="107"/>
      <c r="CM1429" s="107"/>
      <c r="CN1429" s="118"/>
      <c r="CO1429" s="119"/>
      <c r="CP1429" s="118"/>
      <c r="CQ1429" s="119"/>
      <c r="CR1429" s="118"/>
      <c r="CS1429" s="119"/>
      <c r="CT1429" s="113"/>
      <c r="CU1429" s="118"/>
      <c r="CV1429" s="99">
        <f t="shared" si="137"/>
        <v>0</v>
      </c>
      <c r="CW1429" s="118"/>
      <c r="CX1429" s="119"/>
      <c r="CY1429" s="119"/>
      <c r="CZ1429" s="119"/>
      <c r="DA1429" s="118"/>
      <c r="DB1429" s="119"/>
      <c r="DC1429" s="111"/>
      <c r="DD1429" s="119"/>
      <c r="DE1429" s="111"/>
      <c r="DF1429" s="46">
        <v>25</v>
      </c>
    </row>
    <row r="1430" spans="1:255" s="42" customFormat="1" ht="84" x14ac:dyDescent="0.2">
      <c r="A1430" s="89">
        <v>40707</v>
      </c>
      <c r="B1430" s="106" t="s">
        <v>3301</v>
      </c>
      <c r="C1430" s="106" t="s">
        <v>4229</v>
      </c>
      <c r="D1430" s="90" t="s">
        <v>4264</v>
      </c>
      <c r="E1430" s="90" t="str">
        <f>VLOOKUP(B1430&amp;C1430,Divipola!$C$2:$F$1138,4,FALSE)</f>
        <v>81794</v>
      </c>
      <c r="F1430" s="90"/>
      <c r="G1430" s="279"/>
      <c r="H1430" s="279"/>
      <c r="I1430" s="279"/>
      <c r="J1430" s="129">
        <v>1500</v>
      </c>
      <c r="K1430" s="129">
        <v>300</v>
      </c>
      <c r="L1430" s="129"/>
      <c r="M1430" s="129">
        <v>300</v>
      </c>
      <c r="N1430" s="129"/>
      <c r="O1430" s="129"/>
      <c r="P1430" s="129"/>
      <c r="Q1430" s="129"/>
      <c r="R1430" s="129"/>
      <c r="S1430" s="129"/>
      <c r="T1430" s="129"/>
      <c r="U1430" s="129"/>
      <c r="V1430" s="129"/>
      <c r="W1430" s="107"/>
      <c r="X1430" s="105"/>
      <c r="Y1430" s="92">
        <f t="shared" si="132"/>
        <v>100010000</v>
      </c>
      <c r="Z1430" s="92">
        <f t="shared" si="133"/>
        <v>25500000</v>
      </c>
      <c r="AA1430" s="92">
        <f t="shared" si="134"/>
        <v>0</v>
      </c>
      <c r="AB1430" s="92">
        <f t="shared" si="135"/>
        <v>0</v>
      </c>
      <c r="AC1430" s="92"/>
      <c r="AD1430" s="92">
        <v>0</v>
      </c>
      <c r="AE1430" s="92">
        <f t="shared" si="136"/>
        <v>125510000</v>
      </c>
      <c r="AF1430" s="93">
        <v>0</v>
      </c>
      <c r="AG1430" s="105"/>
      <c r="AH1430" s="108"/>
      <c r="AI1430" s="102" t="s">
        <v>4346</v>
      </c>
      <c r="AJ1430" s="96" t="s">
        <v>4347</v>
      </c>
      <c r="AK1430" s="280"/>
      <c r="AL1430" s="281"/>
      <c r="AM1430" s="112" t="s">
        <v>937</v>
      </c>
      <c r="AN1430" s="107"/>
      <c r="AO1430" s="107"/>
      <c r="AP1430" s="107"/>
      <c r="AQ1430" s="107"/>
      <c r="AR1430" s="107"/>
      <c r="AS1430" s="107"/>
      <c r="AT1430" s="107"/>
      <c r="AU1430" s="107"/>
      <c r="AV1430" s="107"/>
      <c r="AW1430" s="107"/>
      <c r="AX1430" s="107"/>
      <c r="AY1430" s="107"/>
      <c r="AZ1430" s="107">
        <v>1000</v>
      </c>
      <c r="BA1430" s="107">
        <f>1000*56000</f>
        <v>56000000</v>
      </c>
      <c r="BB1430" s="107"/>
      <c r="BC1430" s="107"/>
      <c r="BD1430" s="107"/>
      <c r="BE1430" s="107"/>
      <c r="BF1430" s="107"/>
      <c r="BG1430" s="107"/>
      <c r="BH1430" s="107"/>
      <c r="BI1430" s="107"/>
      <c r="BJ1430" s="107"/>
      <c r="BK1430" s="107"/>
      <c r="BL1430" s="107"/>
      <c r="BM1430" s="107"/>
      <c r="BN1430" s="107"/>
      <c r="BO1430" s="107"/>
      <c r="BP1430" s="107"/>
      <c r="BQ1430" s="107"/>
      <c r="BR1430" s="107"/>
      <c r="BS1430" s="107"/>
      <c r="BT1430" s="107"/>
      <c r="BU1430" s="107"/>
      <c r="BV1430" s="107"/>
      <c r="BW1430" s="107"/>
      <c r="BX1430" s="107"/>
      <c r="BY1430" s="107"/>
      <c r="BZ1430" s="107"/>
      <c r="CA1430" s="107"/>
      <c r="CB1430" s="107"/>
      <c r="CC1430" s="107"/>
      <c r="CD1430" s="107"/>
      <c r="CE1430" s="107"/>
      <c r="CF1430" s="107"/>
      <c r="CG1430" s="107"/>
      <c r="CH1430" s="107"/>
      <c r="CI1430" s="107"/>
      <c r="CJ1430" s="107">
        <v>1000</v>
      </c>
      <c r="CK1430" s="107">
        <f>1000*21000</f>
        <v>21000000</v>
      </c>
      <c r="CL1430" s="107"/>
      <c r="CM1430" s="107"/>
      <c r="CN1430" s="118"/>
      <c r="CO1430" s="119"/>
      <c r="CP1430" s="118">
        <v>300</v>
      </c>
      <c r="CQ1430" s="119">
        <f>300*37000</f>
        <v>11100000</v>
      </c>
      <c r="CR1430" s="118">
        <v>300</v>
      </c>
      <c r="CS1430" s="119">
        <f>300*39700</f>
        <v>11910000</v>
      </c>
      <c r="CT1430" s="113"/>
      <c r="CU1430" s="118"/>
      <c r="CV1430" s="99">
        <f t="shared" si="137"/>
        <v>100010000</v>
      </c>
      <c r="CW1430" s="118"/>
      <c r="CX1430" s="119"/>
      <c r="CY1430" s="119">
        <v>300</v>
      </c>
      <c r="CZ1430" s="119">
        <f>300*85000</f>
        <v>25500000</v>
      </c>
      <c r="DA1430" s="118"/>
      <c r="DB1430" s="119"/>
      <c r="DC1430" s="111"/>
      <c r="DD1430" s="119"/>
      <c r="DE1430" s="111"/>
      <c r="DF1430" s="269"/>
      <c r="DG1430" s="270"/>
      <c r="DH1430" s="270"/>
      <c r="DI1430" s="270"/>
      <c r="DJ1430" s="270"/>
      <c r="DK1430" s="270"/>
      <c r="DL1430" s="270"/>
      <c r="DM1430" s="270"/>
      <c r="DN1430" s="270"/>
      <c r="DO1430" s="270"/>
      <c r="DP1430" s="270"/>
      <c r="DQ1430" s="270"/>
      <c r="DR1430" s="270"/>
      <c r="DS1430" s="270"/>
      <c r="DT1430" s="270"/>
      <c r="DU1430" s="270"/>
      <c r="DV1430" s="270"/>
      <c r="DW1430" s="270"/>
      <c r="DX1430" s="270"/>
      <c r="DY1430" s="270"/>
      <c r="DZ1430" s="270"/>
      <c r="EA1430" s="270"/>
      <c r="EB1430" s="270"/>
      <c r="EC1430" s="270"/>
      <c r="ED1430" s="270"/>
      <c r="EE1430" s="270"/>
      <c r="EF1430" s="270"/>
      <c r="EG1430" s="270"/>
      <c r="EH1430" s="270"/>
      <c r="EI1430" s="270"/>
      <c r="EJ1430" s="270"/>
      <c r="EK1430" s="270"/>
      <c r="EL1430" s="270"/>
      <c r="EM1430" s="270"/>
      <c r="EN1430" s="270"/>
      <c r="EO1430" s="270"/>
      <c r="EP1430" s="270"/>
      <c r="EQ1430" s="270"/>
      <c r="ER1430" s="270"/>
      <c r="ES1430" s="270"/>
      <c r="ET1430" s="270"/>
      <c r="EU1430" s="270"/>
      <c r="EV1430" s="270"/>
      <c r="EW1430" s="270"/>
      <c r="EX1430" s="270"/>
      <c r="EY1430" s="270"/>
      <c r="EZ1430" s="270"/>
      <c r="FA1430" s="270"/>
      <c r="FB1430" s="270"/>
      <c r="FC1430" s="270"/>
      <c r="FD1430" s="270"/>
      <c r="FE1430" s="270"/>
      <c r="FF1430" s="270"/>
      <c r="FG1430" s="270"/>
      <c r="FH1430" s="270"/>
      <c r="FI1430" s="270"/>
      <c r="FJ1430" s="270"/>
      <c r="FK1430" s="270"/>
      <c r="FL1430" s="270"/>
      <c r="FM1430" s="270"/>
      <c r="FN1430" s="270"/>
      <c r="FO1430" s="270"/>
      <c r="FP1430" s="270"/>
      <c r="FQ1430" s="270"/>
      <c r="FR1430" s="270"/>
      <c r="FS1430" s="270"/>
      <c r="FT1430" s="270"/>
      <c r="FU1430" s="270"/>
      <c r="FV1430" s="270"/>
      <c r="FW1430" s="270"/>
      <c r="FX1430" s="270"/>
      <c r="FY1430" s="270"/>
      <c r="FZ1430" s="270"/>
      <c r="GA1430" s="270"/>
      <c r="GB1430" s="270"/>
      <c r="GC1430" s="270"/>
      <c r="GD1430" s="270"/>
      <c r="GE1430" s="270"/>
      <c r="GF1430" s="270"/>
      <c r="GG1430" s="270"/>
      <c r="GH1430" s="270"/>
      <c r="GI1430" s="270"/>
      <c r="GJ1430" s="270"/>
      <c r="GK1430" s="270"/>
      <c r="GL1430" s="270"/>
      <c r="GM1430" s="270"/>
      <c r="GN1430" s="270"/>
      <c r="GO1430" s="270"/>
      <c r="GP1430" s="270"/>
      <c r="GQ1430" s="270"/>
      <c r="GR1430" s="270"/>
      <c r="GS1430" s="270"/>
      <c r="GT1430" s="270"/>
      <c r="GU1430" s="270"/>
      <c r="GV1430" s="270"/>
      <c r="GW1430" s="270"/>
      <c r="GX1430" s="270"/>
      <c r="GY1430" s="270"/>
      <c r="GZ1430" s="270"/>
      <c r="HA1430" s="270"/>
      <c r="HB1430" s="270"/>
      <c r="HC1430" s="270"/>
      <c r="HD1430" s="270"/>
      <c r="HE1430" s="270"/>
      <c r="HF1430" s="270"/>
      <c r="HG1430" s="270"/>
      <c r="HH1430" s="270"/>
      <c r="HI1430" s="270"/>
      <c r="HJ1430" s="270"/>
      <c r="HK1430" s="270"/>
      <c r="HL1430" s="270"/>
      <c r="HM1430" s="270"/>
      <c r="HN1430" s="270"/>
      <c r="HO1430" s="270"/>
      <c r="HP1430" s="270"/>
      <c r="HQ1430" s="270"/>
      <c r="HR1430" s="270"/>
      <c r="HS1430" s="270"/>
      <c r="HT1430" s="270"/>
      <c r="HU1430" s="270"/>
      <c r="HV1430" s="270"/>
      <c r="HW1430" s="270"/>
      <c r="HX1430" s="270"/>
      <c r="HY1430" s="270"/>
      <c r="HZ1430" s="270"/>
      <c r="IA1430" s="270"/>
      <c r="IB1430" s="270"/>
      <c r="IC1430" s="270"/>
      <c r="ID1430" s="270"/>
      <c r="IE1430" s="270"/>
      <c r="IF1430" s="270"/>
      <c r="IG1430" s="270"/>
      <c r="IH1430" s="270"/>
      <c r="II1430" s="270"/>
      <c r="IJ1430" s="270"/>
      <c r="IK1430" s="270"/>
      <c r="IL1430" s="270"/>
      <c r="IM1430" s="270"/>
      <c r="IN1430" s="270"/>
      <c r="IO1430" s="270"/>
      <c r="IP1430" s="270"/>
      <c r="IQ1430" s="270"/>
      <c r="IR1430" s="270"/>
      <c r="IS1430" s="270"/>
      <c r="IT1430" s="270"/>
      <c r="IU1430" s="270"/>
    </row>
    <row r="1431" spans="1:255" s="42" customFormat="1" ht="48" x14ac:dyDescent="0.2">
      <c r="A1431" s="89">
        <v>40707</v>
      </c>
      <c r="B1431" s="106" t="s">
        <v>4296</v>
      </c>
      <c r="C1431" s="106" t="s">
        <v>936</v>
      </c>
      <c r="D1431" s="106" t="s">
        <v>2865</v>
      </c>
      <c r="E1431" s="90" t="str">
        <f>VLOOKUP(B1431&amp;C1431,Divipola!$C$2:$F$1138,4,FALSE)</f>
        <v>19418</v>
      </c>
      <c r="F1431" s="90"/>
      <c r="G1431" s="129">
        <v>5</v>
      </c>
      <c r="H1431" s="129">
        <v>1</v>
      </c>
      <c r="I1431" s="279"/>
      <c r="J1431" s="279"/>
      <c r="K1431" s="279"/>
      <c r="L1431" s="279"/>
      <c r="M1431" s="279"/>
      <c r="N1431" s="129"/>
      <c r="O1431" s="129"/>
      <c r="P1431" s="129"/>
      <c r="Q1431" s="129"/>
      <c r="R1431" s="129"/>
      <c r="S1431" s="129"/>
      <c r="T1431" s="129"/>
      <c r="U1431" s="129"/>
      <c r="V1431" s="129"/>
      <c r="W1431" s="107"/>
      <c r="X1431" s="105"/>
      <c r="Y1431" s="92">
        <f t="shared" si="132"/>
        <v>0</v>
      </c>
      <c r="Z1431" s="92">
        <f t="shared" si="133"/>
        <v>0</v>
      </c>
      <c r="AA1431" s="92">
        <f t="shared" si="134"/>
        <v>0</v>
      </c>
      <c r="AB1431" s="92">
        <f t="shared" si="135"/>
        <v>0</v>
      </c>
      <c r="AC1431" s="92"/>
      <c r="AD1431" s="92">
        <v>0</v>
      </c>
      <c r="AE1431" s="92">
        <f t="shared" si="136"/>
        <v>0</v>
      </c>
      <c r="AF1431" s="93">
        <v>0</v>
      </c>
      <c r="AG1431" s="105"/>
      <c r="AH1431" s="108"/>
      <c r="AI1431" s="109" t="s">
        <v>4336</v>
      </c>
      <c r="AJ1431" s="110" t="s">
        <v>102</v>
      </c>
      <c r="AK1431" s="280"/>
      <c r="AL1431" s="281"/>
      <c r="AM1431" s="112" t="s">
        <v>939</v>
      </c>
      <c r="AN1431" s="107"/>
      <c r="AO1431" s="107"/>
      <c r="AP1431" s="107"/>
      <c r="AQ1431" s="107"/>
      <c r="AR1431" s="107"/>
      <c r="AS1431" s="107"/>
      <c r="AT1431" s="107"/>
      <c r="AU1431" s="107"/>
      <c r="AV1431" s="107"/>
      <c r="AW1431" s="107"/>
      <c r="AX1431" s="107"/>
      <c r="AY1431" s="107"/>
      <c r="AZ1431" s="107"/>
      <c r="BA1431" s="107"/>
      <c r="BB1431" s="107"/>
      <c r="BC1431" s="107"/>
      <c r="BD1431" s="107"/>
      <c r="BE1431" s="107"/>
      <c r="BF1431" s="107"/>
      <c r="BG1431" s="107"/>
      <c r="BH1431" s="107"/>
      <c r="BI1431" s="107"/>
      <c r="BJ1431" s="107"/>
      <c r="BK1431" s="107"/>
      <c r="BL1431" s="107"/>
      <c r="BM1431" s="107"/>
      <c r="BN1431" s="107"/>
      <c r="BO1431" s="107"/>
      <c r="BP1431" s="107"/>
      <c r="BQ1431" s="107"/>
      <c r="BR1431" s="107"/>
      <c r="BS1431" s="107"/>
      <c r="BT1431" s="107"/>
      <c r="BU1431" s="107"/>
      <c r="BV1431" s="107"/>
      <c r="BW1431" s="107"/>
      <c r="BX1431" s="107"/>
      <c r="BY1431" s="107"/>
      <c r="BZ1431" s="107"/>
      <c r="CA1431" s="107"/>
      <c r="CB1431" s="107"/>
      <c r="CC1431" s="107"/>
      <c r="CD1431" s="107"/>
      <c r="CE1431" s="107"/>
      <c r="CF1431" s="107"/>
      <c r="CG1431" s="107"/>
      <c r="CH1431" s="107"/>
      <c r="CI1431" s="107"/>
      <c r="CJ1431" s="107"/>
      <c r="CK1431" s="107"/>
      <c r="CL1431" s="107"/>
      <c r="CM1431" s="107"/>
      <c r="CN1431" s="118"/>
      <c r="CO1431" s="119"/>
      <c r="CP1431" s="118"/>
      <c r="CQ1431" s="119"/>
      <c r="CR1431" s="118"/>
      <c r="CS1431" s="119"/>
      <c r="CT1431" s="113"/>
      <c r="CU1431" s="118"/>
      <c r="CV1431" s="99">
        <f t="shared" si="137"/>
        <v>0</v>
      </c>
      <c r="CW1431" s="118"/>
      <c r="CX1431" s="119"/>
      <c r="CY1431" s="119"/>
      <c r="CZ1431" s="119"/>
      <c r="DA1431" s="118"/>
      <c r="DB1431" s="119"/>
      <c r="DC1431" s="111"/>
      <c r="DD1431" s="119"/>
      <c r="DE1431" s="111"/>
      <c r="DF1431" s="46"/>
    </row>
    <row r="1432" spans="1:255" s="42" customFormat="1" ht="48" x14ac:dyDescent="0.2">
      <c r="A1432" s="89">
        <v>40707</v>
      </c>
      <c r="B1432" s="90" t="s">
        <v>4387</v>
      </c>
      <c r="C1432" s="90" t="s">
        <v>468</v>
      </c>
      <c r="D1432" s="90" t="s">
        <v>2362</v>
      </c>
      <c r="E1432" s="90" t="str">
        <f>VLOOKUP(B1432&amp;C1432,Divipola!$C$2:$F$1138,4,FALSE)</f>
        <v>52258</v>
      </c>
      <c r="F1432" s="4"/>
      <c r="G1432" s="101"/>
      <c r="H1432" s="101"/>
      <c r="I1432" s="101"/>
      <c r="J1432" s="101">
        <v>1498</v>
      </c>
      <c r="K1432" s="101">
        <v>435</v>
      </c>
      <c r="L1432" s="101"/>
      <c r="M1432" s="101">
        <v>435</v>
      </c>
      <c r="N1432" s="101"/>
      <c r="O1432" s="101">
        <v>1</v>
      </c>
      <c r="P1432" s="101"/>
      <c r="Q1432" s="101">
        <v>1</v>
      </c>
      <c r="R1432" s="101"/>
      <c r="S1432" s="101"/>
      <c r="T1432" s="101">
        <v>2</v>
      </c>
      <c r="U1432" s="101"/>
      <c r="V1432" s="101"/>
      <c r="W1432" s="19"/>
      <c r="X1432" s="17"/>
      <c r="Y1432" s="5">
        <f t="shared" si="132"/>
        <v>0</v>
      </c>
      <c r="Z1432" s="5">
        <f t="shared" si="133"/>
        <v>0</v>
      </c>
      <c r="AA1432" s="5">
        <f t="shared" si="134"/>
        <v>0</v>
      </c>
      <c r="AB1432" s="5">
        <f t="shared" si="135"/>
        <v>0</v>
      </c>
      <c r="AC1432" s="5"/>
      <c r="AD1432" s="5">
        <v>0</v>
      </c>
      <c r="AE1432" s="5">
        <f t="shared" si="136"/>
        <v>0</v>
      </c>
      <c r="AF1432" s="70">
        <v>0</v>
      </c>
      <c r="AG1432" s="17"/>
      <c r="AH1432" s="18"/>
      <c r="AI1432" s="109" t="s">
        <v>4336</v>
      </c>
      <c r="AJ1432" s="110" t="s">
        <v>4337</v>
      </c>
      <c r="AK1432" s="45"/>
      <c r="AL1432" s="17"/>
      <c r="AM1432" s="100" t="s">
        <v>1149</v>
      </c>
      <c r="AN1432" s="19"/>
      <c r="AO1432" s="19"/>
      <c r="AP1432" s="19"/>
      <c r="AQ1432" s="19"/>
      <c r="AR1432" s="19"/>
      <c r="AS1432" s="19"/>
      <c r="AT1432" s="19"/>
      <c r="AU1432" s="19"/>
      <c r="AV1432" s="19"/>
      <c r="AW1432" s="19"/>
      <c r="AX1432" s="107"/>
      <c r="AY1432" s="107"/>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39"/>
      <c r="CO1432" s="138"/>
      <c r="CP1432" s="139"/>
      <c r="CQ1432" s="138"/>
      <c r="CR1432" s="139"/>
      <c r="CS1432" s="138"/>
      <c r="CT1432" s="72"/>
      <c r="CU1432" s="139"/>
      <c r="CV1432" s="99">
        <f t="shared" si="137"/>
        <v>0</v>
      </c>
      <c r="CW1432" s="139"/>
      <c r="CX1432" s="138"/>
      <c r="CY1432" s="138"/>
      <c r="CZ1432" s="138"/>
      <c r="DA1432" s="139"/>
      <c r="DB1432" s="138"/>
      <c r="DC1432" s="45"/>
      <c r="DD1432" s="138"/>
      <c r="DE1432" s="45"/>
      <c r="DF1432" s="46"/>
    </row>
    <row r="1433" spans="1:255" s="42" customFormat="1" x14ac:dyDescent="0.2">
      <c r="A1433" s="89">
        <v>40707</v>
      </c>
      <c r="B1433" s="90" t="s">
        <v>4387</v>
      </c>
      <c r="C1433" s="90" t="s">
        <v>849</v>
      </c>
      <c r="D1433" s="90" t="s">
        <v>2362</v>
      </c>
      <c r="E1433" s="90" t="str">
        <f>VLOOKUP(B1433&amp;C1433,Divipola!$C$2:$F$1138,4,FALSE)</f>
        <v>52506</v>
      </c>
      <c r="F1433" s="4"/>
      <c r="G1433" s="101"/>
      <c r="H1433" s="101"/>
      <c r="I1433" s="101"/>
      <c r="J1433" s="101">
        <v>532</v>
      </c>
      <c r="K1433" s="101">
        <v>133</v>
      </c>
      <c r="L1433" s="101"/>
      <c r="M1433" s="101">
        <v>133</v>
      </c>
      <c r="N1433" s="101"/>
      <c r="O1433" s="101"/>
      <c r="P1433" s="101"/>
      <c r="Q1433" s="101"/>
      <c r="R1433" s="101"/>
      <c r="S1433" s="101"/>
      <c r="T1433" s="101"/>
      <c r="U1433" s="101"/>
      <c r="V1433" s="101"/>
      <c r="W1433" s="19"/>
      <c r="X1433" s="17"/>
      <c r="Y1433" s="5">
        <f t="shared" si="132"/>
        <v>0</v>
      </c>
      <c r="Z1433" s="5">
        <f t="shared" si="133"/>
        <v>0</v>
      </c>
      <c r="AA1433" s="5">
        <f t="shared" si="134"/>
        <v>0</v>
      </c>
      <c r="AB1433" s="5">
        <f t="shared" si="135"/>
        <v>0</v>
      </c>
      <c r="AC1433" s="5"/>
      <c r="AD1433" s="5">
        <v>0</v>
      </c>
      <c r="AE1433" s="5">
        <f t="shared" si="136"/>
        <v>0</v>
      </c>
      <c r="AF1433" s="70">
        <v>0</v>
      </c>
      <c r="AG1433" s="17"/>
      <c r="AH1433" s="18"/>
      <c r="AI1433" s="109" t="s">
        <v>4336</v>
      </c>
      <c r="AJ1433" s="110" t="s">
        <v>4337</v>
      </c>
      <c r="AK1433" s="45"/>
      <c r="AL1433" s="17"/>
      <c r="AM1433" s="100"/>
      <c r="AN1433" s="19"/>
      <c r="AO1433" s="19"/>
      <c r="AP1433" s="19"/>
      <c r="AQ1433" s="19"/>
      <c r="AR1433" s="19"/>
      <c r="AS1433" s="19"/>
      <c r="AT1433" s="19"/>
      <c r="AU1433" s="19"/>
      <c r="AV1433" s="19"/>
      <c r="AW1433" s="19"/>
      <c r="AX1433" s="107"/>
      <c r="AY1433" s="107"/>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39"/>
      <c r="CO1433" s="138"/>
      <c r="CP1433" s="139"/>
      <c r="CQ1433" s="138"/>
      <c r="CR1433" s="139"/>
      <c r="CS1433" s="138"/>
      <c r="CT1433" s="72"/>
      <c r="CU1433" s="139"/>
      <c r="CV1433" s="99">
        <f t="shared" si="137"/>
        <v>0</v>
      </c>
      <c r="CW1433" s="139"/>
      <c r="CX1433" s="138"/>
      <c r="CY1433" s="138"/>
      <c r="CZ1433" s="138"/>
      <c r="DA1433" s="139"/>
      <c r="DB1433" s="138"/>
      <c r="DC1433" s="45"/>
      <c r="DD1433" s="138"/>
      <c r="DE1433" s="45"/>
      <c r="DF1433" s="46"/>
    </row>
    <row r="1434" spans="1:255" s="42" customFormat="1" ht="24" x14ac:dyDescent="0.2">
      <c r="A1434" s="89">
        <v>40707</v>
      </c>
      <c r="B1434" s="106" t="s">
        <v>2226</v>
      </c>
      <c r="C1434" s="106" t="s">
        <v>3534</v>
      </c>
      <c r="D1434" s="90" t="s">
        <v>4264</v>
      </c>
      <c r="E1434" s="90" t="str">
        <f>VLOOKUP(B1434&amp;C1434,Divipola!$C$2:$F$1138,4,FALSE)</f>
        <v>68276</v>
      </c>
      <c r="F1434" s="90"/>
      <c r="G1434" s="129"/>
      <c r="H1434" s="129">
        <v>1</v>
      </c>
      <c r="I1434" s="129"/>
      <c r="J1434" s="129">
        <v>75</v>
      </c>
      <c r="K1434" s="129">
        <v>15</v>
      </c>
      <c r="L1434" s="129"/>
      <c r="M1434" s="129">
        <v>15</v>
      </c>
      <c r="N1434" s="129"/>
      <c r="O1434" s="129"/>
      <c r="P1434" s="129"/>
      <c r="Q1434" s="129"/>
      <c r="R1434" s="129"/>
      <c r="S1434" s="129"/>
      <c r="T1434" s="129"/>
      <c r="U1434" s="129"/>
      <c r="V1434" s="129"/>
      <c r="W1434" s="107"/>
      <c r="X1434" s="105"/>
      <c r="Y1434" s="92">
        <f t="shared" si="132"/>
        <v>0</v>
      </c>
      <c r="Z1434" s="92">
        <f t="shared" si="133"/>
        <v>0</v>
      </c>
      <c r="AA1434" s="92">
        <f t="shared" si="134"/>
        <v>0</v>
      </c>
      <c r="AB1434" s="92">
        <f t="shared" si="135"/>
        <v>0</v>
      </c>
      <c r="AC1434" s="92"/>
      <c r="AD1434" s="92">
        <v>0</v>
      </c>
      <c r="AE1434" s="92">
        <f t="shared" si="136"/>
        <v>0</v>
      </c>
      <c r="AF1434" s="93">
        <v>0</v>
      </c>
      <c r="AG1434" s="105"/>
      <c r="AH1434" s="108"/>
      <c r="AI1434" s="109" t="s">
        <v>4336</v>
      </c>
      <c r="AJ1434" s="110" t="s">
        <v>4337</v>
      </c>
      <c r="AK1434" s="280"/>
      <c r="AL1434" s="281"/>
      <c r="AM1434" s="112" t="s">
        <v>2370</v>
      </c>
      <c r="AN1434" s="107"/>
      <c r="AO1434" s="107"/>
      <c r="AP1434" s="107"/>
      <c r="AQ1434" s="107"/>
      <c r="AR1434" s="107"/>
      <c r="AS1434" s="107"/>
      <c r="AT1434" s="107"/>
      <c r="AU1434" s="107"/>
      <c r="AV1434" s="107"/>
      <c r="AW1434" s="107"/>
      <c r="AX1434" s="107"/>
      <c r="AY1434" s="107"/>
      <c r="AZ1434" s="107"/>
      <c r="BA1434" s="107"/>
      <c r="BB1434" s="107"/>
      <c r="BC1434" s="107"/>
      <c r="BD1434" s="107"/>
      <c r="BE1434" s="107"/>
      <c r="BF1434" s="107"/>
      <c r="BG1434" s="107"/>
      <c r="BH1434" s="107"/>
      <c r="BI1434" s="107"/>
      <c r="BJ1434" s="107"/>
      <c r="BK1434" s="107"/>
      <c r="BL1434" s="107"/>
      <c r="BM1434" s="107"/>
      <c r="BN1434" s="107"/>
      <c r="BO1434" s="107"/>
      <c r="BP1434" s="107"/>
      <c r="BQ1434" s="107"/>
      <c r="BR1434" s="107"/>
      <c r="BS1434" s="107"/>
      <c r="BT1434" s="107"/>
      <c r="BU1434" s="107"/>
      <c r="BV1434" s="107"/>
      <c r="BW1434" s="107"/>
      <c r="BX1434" s="107"/>
      <c r="BY1434" s="107"/>
      <c r="BZ1434" s="107"/>
      <c r="CA1434" s="107"/>
      <c r="CB1434" s="107"/>
      <c r="CC1434" s="107"/>
      <c r="CD1434" s="107"/>
      <c r="CE1434" s="107"/>
      <c r="CF1434" s="107"/>
      <c r="CG1434" s="107"/>
      <c r="CH1434" s="107"/>
      <c r="CI1434" s="107"/>
      <c r="CJ1434" s="107"/>
      <c r="CK1434" s="107"/>
      <c r="CL1434" s="107"/>
      <c r="CM1434" s="107"/>
      <c r="CN1434" s="118"/>
      <c r="CO1434" s="119"/>
      <c r="CP1434" s="118"/>
      <c r="CQ1434" s="119"/>
      <c r="CR1434" s="118"/>
      <c r="CS1434" s="119"/>
      <c r="CT1434" s="113"/>
      <c r="CU1434" s="118"/>
      <c r="CV1434" s="99">
        <f t="shared" si="137"/>
        <v>0</v>
      </c>
      <c r="CW1434" s="118"/>
      <c r="CX1434" s="119"/>
      <c r="CY1434" s="119"/>
      <c r="CZ1434" s="119"/>
      <c r="DA1434" s="118"/>
      <c r="DB1434" s="119"/>
      <c r="DC1434" s="111"/>
      <c r="DD1434" s="119"/>
      <c r="DE1434" s="111"/>
      <c r="DF1434" s="46"/>
    </row>
    <row r="1435" spans="1:255" s="42" customFormat="1" ht="84" x14ac:dyDescent="0.2">
      <c r="A1435" s="89">
        <v>40707</v>
      </c>
      <c r="B1435" s="16" t="s">
        <v>2226</v>
      </c>
      <c r="C1435" s="16" t="s">
        <v>3322</v>
      </c>
      <c r="D1435" s="90" t="s">
        <v>4264</v>
      </c>
      <c r="E1435" s="90" t="str">
        <f>VLOOKUP(B1435&amp;C1435,Divipola!$C$2:$F$1138,4,FALSE)</f>
        <v>68320</v>
      </c>
      <c r="F1435" s="4"/>
      <c r="G1435" s="208"/>
      <c r="H1435" s="208"/>
      <c r="I1435" s="208"/>
      <c r="J1435" s="208">
        <f>15*5</f>
        <v>75</v>
      </c>
      <c r="K1435" s="208">
        <v>15</v>
      </c>
      <c r="L1435" s="208"/>
      <c r="M1435" s="208">
        <v>15</v>
      </c>
      <c r="N1435" s="208"/>
      <c r="O1435" s="208"/>
      <c r="P1435" s="208"/>
      <c r="Q1435" s="208">
        <v>1</v>
      </c>
      <c r="R1435" s="208"/>
      <c r="S1435" s="208"/>
      <c r="T1435" s="208"/>
      <c r="U1435" s="208"/>
      <c r="V1435" s="208">
        <v>200</v>
      </c>
      <c r="W1435" s="19" t="s">
        <v>1134</v>
      </c>
      <c r="X1435" s="17"/>
      <c r="Y1435" s="5">
        <f t="shared" si="132"/>
        <v>0</v>
      </c>
      <c r="Z1435" s="5">
        <f t="shared" si="133"/>
        <v>0</v>
      </c>
      <c r="AA1435" s="5">
        <f t="shared" si="134"/>
        <v>0</v>
      </c>
      <c r="AB1435" s="5">
        <f t="shared" si="135"/>
        <v>0</v>
      </c>
      <c r="AC1435" s="5"/>
      <c r="AD1435" s="5">
        <v>0</v>
      </c>
      <c r="AE1435" s="5">
        <f t="shared" si="136"/>
        <v>0</v>
      </c>
      <c r="AF1435" s="70">
        <v>0</v>
      </c>
      <c r="AG1435" s="17"/>
      <c r="AH1435" s="18"/>
      <c r="AI1435" s="109" t="s">
        <v>4336</v>
      </c>
      <c r="AJ1435" s="110" t="s">
        <v>4337</v>
      </c>
      <c r="AK1435" s="45"/>
      <c r="AL1435" s="17"/>
      <c r="AM1435" s="20" t="s">
        <v>1133</v>
      </c>
      <c r="AN1435" s="19"/>
      <c r="AO1435" s="19"/>
      <c r="AP1435" s="19"/>
      <c r="AQ1435" s="19"/>
      <c r="AR1435" s="19"/>
      <c r="AS1435" s="19"/>
      <c r="AT1435" s="19"/>
      <c r="AU1435" s="19"/>
      <c r="AV1435" s="19"/>
      <c r="AW1435" s="19"/>
      <c r="AX1435" s="107"/>
      <c r="AY1435" s="107"/>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39"/>
      <c r="CO1435" s="138"/>
      <c r="CP1435" s="139"/>
      <c r="CQ1435" s="138"/>
      <c r="CR1435" s="139"/>
      <c r="CS1435" s="138"/>
      <c r="CT1435" s="72"/>
      <c r="CU1435" s="139"/>
      <c r="CV1435" s="99">
        <f t="shared" si="137"/>
        <v>0</v>
      </c>
      <c r="CW1435" s="139"/>
      <c r="CX1435" s="138"/>
      <c r="CY1435" s="138"/>
      <c r="CZ1435" s="138"/>
      <c r="DA1435" s="139"/>
      <c r="DB1435" s="138"/>
      <c r="DC1435" s="45"/>
      <c r="DD1435" s="138"/>
      <c r="DE1435" s="45"/>
      <c r="DF1435" s="46"/>
    </row>
    <row r="1436" spans="1:255" s="42" customFormat="1" ht="24" x14ac:dyDescent="0.2">
      <c r="A1436" s="89">
        <v>40707</v>
      </c>
      <c r="B1436" s="90" t="s">
        <v>2226</v>
      </c>
      <c r="C1436" s="90" t="s">
        <v>2962</v>
      </c>
      <c r="D1436" s="90" t="s">
        <v>3346</v>
      </c>
      <c r="E1436" s="90" t="str">
        <f>VLOOKUP(B1436&amp;C1436,Divipola!$C$2:$F$1138,4,FALSE)</f>
        <v>68500</v>
      </c>
      <c r="F1436" s="90"/>
      <c r="G1436" s="302"/>
      <c r="H1436" s="302"/>
      <c r="I1436" s="302"/>
      <c r="J1436" s="129">
        <v>50</v>
      </c>
      <c r="K1436" s="129">
        <v>10</v>
      </c>
      <c r="L1436" s="129">
        <v>1</v>
      </c>
      <c r="M1436" s="129">
        <v>9</v>
      </c>
      <c r="N1436" s="129"/>
      <c r="O1436" s="129"/>
      <c r="P1436" s="129"/>
      <c r="Q1436" s="129"/>
      <c r="R1436" s="129"/>
      <c r="S1436" s="129"/>
      <c r="T1436" s="129">
        <v>1</v>
      </c>
      <c r="U1436" s="129"/>
      <c r="V1436" s="129"/>
      <c r="W1436" s="107" t="s">
        <v>3337</v>
      </c>
      <c r="X1436" s="105"/>
      <c r="Y1436" s="92">
        <f t="shared" si="132"/>
        <v>0</v>
      </c>
      <c r="Z1436" s="92">
        <f t="shared" si="133"/>
        <v>0</v>
      </c>
      <c r="AA1436" s="92">
        <f t="shared" si="134"/>
        <v>0</v>
      </c>
      <c r="AB1436" s="92">
        <f t="shared" si="135"/>
        <v>0</v>
      </c>
      <c r="AC1436" s="92"/>
      <c r="AD1436" s="92">
        <v>0</v>
      </c>
      <c r="AE1436" s="92">
        <f t="shared" si="136"/>
        <v>0</v>
      </c>
      <c r="AF1436" s="93">
        <v>0</v>
      </c>
      <c r="AG1436" s="105"/>
      <c r="AH1436" s="108"/>
      <c r="AI1436" s="109" t="s">
        <v>4336</v>
      </c>
      <c r="AJ1436" s="110" t="s">
        <v>4337</v>
      </c>
      <c r="AK1436" s="285"/>
      <c r="AL1436" s="284"/>
      <c r="AM1436" s="112" t="s">
        <v>381</v>
      </c>
      <c r="AN1436" s="107"/>
      <c r="AO1436" s="107"/>
      <c r="AP1436" s="107"/>
      <c r="AQ1436" s="107"/>
      <c r="AR1436" s="107"/>
      <c r="AS1436" s="107"/>
      <c r="AT1436" s="107"/>
      <c r="AU1436" s="107"/>
      <c r="AV1436" s="107"/>
      <c r="AW1436" s="107"/>
      <c r="AX1436" s="107"/>
      <c r="AY1436" s="107"/>
      <c r="AZ1436" s="107"/>
      <c r="BA1436" s="107"/>
      <c r="BB1436" s="107"/>
      <c r="BC1436" s="107"/>
      <c r="BD1436" s="107"/>
      <c r="BE1436" s="107"/>
      <c r="BF1436" s="107"/>
      <c r="BG1436" s="107"/>
      <c r="BH1436" s="107"/>
      <c r="BI1436" s="107"/>
      <c r="BJ1436" s="107"/>
      <c r="BK1436" s="107"/>
      <c r="BL1436" s="107"/>
      <c r="BM1436" s="107"/>
      <c r="BN1436" s="107"/>
      <c r="BO1436" s="107"/>
      <c r="BP1436" s="107"/>
      <c r="BQ1436" s="107"/>
      <c r="BR1436" s="107"/>
      <c r="BS1436" s="107"/>
      <c r="BT1436" s="107"/>
      <c r="BU1436" s="107"/>
      <c r="BV1436" s="107"/>
      <c r="BW1436" s="107"/>
      <c r="BX1436" s="107"/>
      <c r="BY1436" s="107"/>
      <c r="BZ1436" s="107"/>
      <c r="CA1436" s="107"/>
      <c r="CB1436" s="107"/>
      <c r="CC1436" s="107"/>
      <c r="CD1436" s="107"/>
      <c r="CE1436" s="107"/>
      <c r="CF1436" s="107"/>
      <c r="CG1436" s="107"/>
      <c r="CH1436" s="107"/>
      <c r="CI1436" s="107"/>
      <c r="CJ1436" s="107"/>
      <c r="CK1436" s="107"/>
      <c r="CL1436" s="107"/>
      <c r="CM1436" s="107"/>
      <c r="CN1436" s="118"/>
      <c r="CO1436" s="119"/>
      <c r="CP1436" s="118"/>
      <c r="CQ1436" s="119"/>
      <c r="CR1436" s="118"/>
      <c r="CS1436" s="119"/>
      <c r="CT1436" s="113"/>
      <c r="CU1436" s="118"/>
      <c r="CV1436" s="99">
        <f t="shared" si="137"/>
        <v>0</v>
      </c>
      <c r="CW1436" s="118"/>
      <c r="CX1436" s="119"/>
      <c r="CY1436" s="119"/>
      <c r="CZ1436" s="119"/>
      <c r="DA1436" s="118"/>
      <c r="DB1436" s="119"/>
      <c r="DC1436" s="111"/>
      <c r="DD1436" s="119"/>
      <c r="DE1436" s="111"/>
      <c r="DF1436" s="46"/>
    </row>
    <row r="1437" spans="1:255" s="42" customFormat="1" ht="36" x14ac:dyDescent="0.2">
      <c r="A1437" s="89">
        <v>40707</v>
      </c>
      <c r="B1437" s="106" t="s">
        <v>2226</v>
      </c>
      <c r="C1437" s="106" t="s">
        <v>3454</v>
      </c>
      <c r="D1437" s="106" t="s">
        <v>3346</v>
      </c>
      <c r="E1437" s="90" t="str">
        <f>VLOOKUP(B1437&amp;C1437,Divipola!$C$2:$F$1138,4,FALSE)</f>
        <v>68745</v>
      </c>
      <c r="F1437" s="90"/>
      <c r="G1437" s="129"/>
      <c r="H1437" s="129"/>
      <c r="I1437" s="129"/>
      <c r="J1437" s="129">
        <v>240</v>
      </c>
      <c r="K1437" s="129">
        <v>48</v>
      </c>
      <c r="L1437" s="129"/>
      <c r="M1437" s="129">
        <v>48</v>
      </c>
      <c r="N1437" s="129"/>
      <c r="O1437" s="129"/>
      <c r="P1437" s="129"/>
      <c r="Q1437" s="129"/>
      <c r="R1437" s="129"/>
      <c r="S1437" s="129">
        <v>1</v>
      </c>
      <c r="T1437" s="129">
        <v>1</v>
      </c>
      <c r="U1437" s="129"/>
      <c r="V1437" s="129"/>
      <c r="W1437" s="107"/>
      <c r="X1437" s="105"/>
      <c r="Y1437" s="92">
        <f t="shared" si="132"/>
        <v>0</v>
      </c>
      <c r="Z1437" s="92">
        <f t="shared" si="133"/>
        <v>0</v>
      </c>
      <c r="AA1437" s="92">
        <f t="shared" si="134"/>
        <v>0</v>
      </c>
      <c r="AB1437" s="92">
        <f t="shared" si="135"/>
        <v>0</v>
      </c>
      <c r="AC1437" s="92"/>
      <c r="AD1437" s="92">
        <v>0</v>
      </c>
      <c r="AE1437" s="92">
        <f t="shared" si="136"/>
        <v>0</v>
      </c>
      <c r="AF1437" s="93">
        <v>0</v>
      </c>
      <c r="AG1437" s="105"/>
      <c r="AH1437" s="108"/>
      <c r="AI1437" s="109" t="s">
        <v>4336</v>
      </c>
      <c r="AJ1437" s="110" t="s">
        <v>4337</v>
      </c>
      <c r="AK1437" s="280"/>
      <c r="AL1437" s="281"/>
      <c r="AM1437" s="112" t="s">
        <v>2371</v>
      </c>
      <c r="AN1437" s="107"/>
      <c r="AO1437" s="107"/>
      <c r="AP1437" s="107"/>
      <c r="AQ1437" s="107"/>
      <c r="AR1437" s="107"/>
      <c r="AS1437" s="107"/>
      <c r="AT1437" s="107"/>
      <c r="AU1437" s="107"/>
      <c r="AV1437" s="107"/>
      <c r="AW1437" s="107"/>
      <c r="AX1437" s="107"/>
      <c r="AY1437" s="107"/>
      <c r="AZ1437" s="107"/>
      <c r="BA1437" s="107"/>
      <c r="BB1437" s="107"/>
      <c r="BC1437" s="107"/>
      <c r="BD1437" s="107"/>
      <c r="BE1437" s="107"/>
      <c r="BF1437" s="107"/>
      <c r="BG1437" s="107"/>
      <c r="BH1437" s="107"/>
      <c r="BI1437" s="107"/>
      <c r="BJ1437" s="107"/>
      <c r="BK1437" s="107"/>
      <c r="BL1437" s="107"/>
      <c r="BM1437" s="107"/>
      <c r="BN1437" s="107"/>
      <c r="BO1437" s="107"/>
      <c r="BP1437" s="107"/>
      <c r="BQ1437" s="107"/>
      <c r="BR1437" s="107"/>
      <c r="BS1437" s="107"/>
      <c r="BT1437" s="107"/>
      <c r="BU1437" s="107"/>
      <c r="BV1437" s="107"/>
      <c r="BW1437" s="107"/>
      <c r="BX1437" s="107"/>
      <c r="BY1437" s="107"/>
      <c r="BZ1437" s="107"/>
      <c r="CA1437" s="107"/>
      <c r="CB1437" s="107"/>
      <c r="CC1437" s="107"/>
      <c r="CD1437" s="107"/>
      <c r="CE1437" s="107"/>
      <c r="CF1437" s="107"/>
      <c r="CG1437" s="107"/>
      <c r="CH1437" s="107"/>
      <c r="CI1437" s="107"/>
      <c r="CJ1437" s="107"/>
      <c r="CK1437" s="107"/>
      <c r="CL1437" s="107"/>
      <c r="CM1437" s="107"/>
      <c r="CN1437" s="118"/>
      <c r="CO1437" s="119"/>
      <c r="CP1437" s="118"/>
      <c r="CQ1437" s="119"/>
      <c r="CR1437" s="118"/>
      <c r="CS1437" s="119"/>
      <c r="CT1437" s="113"/>
      <c r="CU1437" s="118"/>
      <c r="CV1437" s="99">
        <f t="shared" si="137"/>
        <v>0</v>
      </c>
      <c r="CW1437" s="118"/>
      <c r="CX1437" s="119"/>
      <c r="CY1437" s="119"/>
      <c r="CZ1437" s="119"/>
      <c r="DA1437" s="118"/>
      <c r="DB1437" s="119"/>
      <c r="DC1437" s="111"/>
      <c r="DD1437" s="119"/>
      <c r="DE1437" s="111"/>
      <c r="DF1437" s="269"/>
      <c r="DG1437" s="270"/>
      <c r="DH1437" s="270"/>
      <c r="DI1437" s="270"/>
      <c r="DJ1437" s="270"/>
      <c r="DK1437" s="270"/>
      <c r="DL1437" s="270"/>
      <c r="DM1437" s="270"/>
      <c r="DN1437" s="270"/>
      <c r="DO1437" s="270"/>
      <c r="DP1437" s="270"/>
      <c r="DQ1437" s="270"/>
      <c r="DR1437" s="270"/>
      <c r="DS1437" s="270"/>
      <c r="DT1437" s="270"/>
      <c r="DU1437" s="270"/>
      <c r="DV1437" s="270"/>
      <c r="DW1437" s="270"/>
      <c r="DX1437" s="270"/>
      <c r="DY1437" s="270"/>
      <c r="DZ1437" s="270"/>
      <c r="EA1437" s="270"/>
      <c r="EB1437" s="270"/>
      <c r="EC1437" s="270"/>
      <c r="ED1437" s="270"/>
      <c r="EE1437" s="270"/>
      <c r="EF1437" s="270"/>
      <c r="EG1437" s="270"/>
      <c r="EH1437" s="270"/>
      <c r="EI1437" s="270"/>
      <c r="EJ1437" s="270"/>
      <c r="EK1437" s="270"/>
      <c r="EL1437" s="270"/>
      <c r="EM1437" s="270"/>
      <c r="EN1437" s="270"/>
      <c r="EO1437" s="270"/>
      <c r="EP1437" s="270"/>
      <c r="EQ1437" s="270"/>
      <c r="ER1437" s="270"/>
      <c r="ES1437" s="270"/>
      <c r="ET1437" s="270"/>
      <c r="EU1437" s="270"/>
      <c r="EV1437" s="270"/>
      <c r="EW1437" s="270"/>
      <c r="EX1437" s="270"/>
      <c r="EY1437" s="270"/>
      <c r="EZ1437" s="270"/>
      <c r="FA1437" s="270"/>
      <c r="FB1437" s="270"/>
      <c r="FC1437" s="270"/>
      <c r="FD1437" s="270"/>
      <c r="FE1437" s="270"/>
      <c r="FF1437" s="270"/>
      <c r="FG1437" s="270"/>
      <c r="FH1437" s="270"/>
      <c r="FI1437" s="270"/>
      <c r="FJ1437" s="270"/>
      <c r="FK1437" s="270"/>
      <c r="FL1437" s="270"/>
      <c r="FM1437" s="270"/>
      <c r="FN1437" s="270"/>
      <c r="FO1437" s="270"/>
      <c r="FP1437" s="270"/>
      <c r="FQ1437" s="270"/>
      <c r="FR1437" s="270"/>
      <c r="FS1437" s="270"/>
      <c r="FT1437" s="270"/>
      <c r="FU1437" s="270"/>
      <c r="FV1437" s="270"/>
      <c r="FW1437" s="270"/>
      <c r="FX1437" s="270"/>
      <c r="FY1437" s="270"/>
      <c r="FZ1437" s="270"/>
      <c r="GA1437" s="270"/>
      <c r="GB1437" s="270"/>
      <c r="GC1437" s="270"/>
      <c r="GD1437" s="270"/>
      <c r="GE1437" s="270"/>
      <c r="GF1437" s="270"/>
      <c r="GG1437" s="270"/>
      <c r="GH1437" s="270"/>
      <c r="GI1437" s="270"/>
      <c r="GJ1437" s="270"/>
      <c r="GK1437" s="270"/>
      <c r="GL1437" s="270"/>
      <c r="GM1437" s="270"/>
      <c r="GN1437" s="270"/>
      <c r="GO1437" s="270"/>
      <c r="GP1437" s="270"/>
      <c r="GQ1437" s="270"/>
      <c r="GR1437" s="270"/>
      <c r="GS1437" s="270"/>
      <c r="GT1437" s="270"/>
      <c r="GU1437" s="270"/>
      <c r="GV1437" s="270"/>
      <c r="GW1437" s="270"/>
      <c r="GX1437" s="270"/>
      <c r="GY1437" s="270"/>
      <c r="GZ1437" s="270"/>
      <c r="HA1437" s="270"/>
      <c r="HB1437" s="270"/>
      <c r="HC1437" s="270"/>
      <c r="HD1437" s="270"/>
      <c r="HE1437" s="270"/>
      <c r="HF1437" s="270"/>
      <c r="HG1437" s="270"/>
      <c r="HH1437" s="270"/>
      <c r="HI1437" s="270"/>
      <c r="HJ1437" s="270"/>
      <c r="HK1437" s="270"/>
      <c r="HL1437" s="270"/>
      <c r="HM1437" s="270"/>
      <c r="HN1437" s="270"/>
      <c r="HO1437" s="270"/>
      <c r="HP1437" s="270"/>
      <c r="HQ1437" s="270"/>
      <c r="HR1437" s="270"/>
      <c r="HS1437" s="270"/>
      <c r="HT1437" s="270"/>
      <c r="HU1437" s="270"/>
      <c r="HV1437" s="270"/>
      <c r="HW1437" s="270"/>
      <c r="HX1437" s="270"/>
      <c r="HY1437" s="270"/>
      <c r="HZ1437" s="270"/>
      <c r="IA1437" s="270"/>
      <c r="IB1437" s="270"/>
      <c r="IC1437" s="270"/>
      <c r="ID1437" s="270"/>
      <c r="IE1437" s="270"/>
      <c r="IF1437" s="270"/>
      <c r="IG1437" s="270"/>
      <c r="IH1437" s="270"/>
      <c r="II1437" s="270"/>
      <c r="IJ1437" s="270"/>
      <c r="IK1437" s="270"/>
      <c r="IL1437" s="270"/>
      <c r="IM1437" s="270"/>
      <c r="IN1437" s="270"/>
      <c r="IO1437" s="270"/>
      <c r="IP1437" s="270"/>
      <c r="IQ1437" s="270"/>
      <c r="IR1437" s="270"/>
      <c r="IS1437" s="270"/>
      <c r="IT1437" s="270"/>
      <c r="IU1437" s="270"/>
    </row>
    <row r="1438" spans="1:255" s="42" customFormat="1" ht="36" x14ac:dyDescent="0.2">
      <c r="A1438" s="89">
        <v>40707</v>
      </c>
      <c r="B1438" s="106" t="s">
        <v>2204</v>
      </c>
      <c r="C1438" s="106" t="s">
        <v>2204</v>
      </c>
      <c r="D1438" s="90" t="s">
        <v>4264</v>
      </c>
      <c r="E1438" s="90" t="str">
        <f>VLOOKUP(B1438&amp;C1438,Divipola!$C$2:$F$1138,4,FALSE)</f>
        <v>70771</v>
      </c>
      <c r="F1438" s="90"/>
      <c r="G1438" s="129"/>
      <c r="H1438" s="129"/>
      <c r="I1438" s="129"/>
      <c r="J1438" s="129"/>
      <c r="K1438" s="129"/>
      <c r="L1438" s="129"/>
      <c r="M1438" s="129"/>
      <c r="N1438" s="129"/>
      <c r="O1438" s="129"/>
      <c r="P1438" s="129"/>
      <c r="Q1438" s="129"/>
      <c r="R1438" s="129"/>
      <c r="S1438" s="129"/>
      <c r="T1438" s="129"/>
      <c r="U1438" s="129"/>
      <c r="V1438" s="129"/>
      <c r="W1438" s="107"/>
      <c r="X1438" s="105"/>
      <c r="Y1438" s="92">
        <f t="shared" ref="Y1438:Y1501" si="138">CV1438</f>
        <v>0</v>
      </c>
      <c r="Z1438" s="92">
        <f t="shared" ref="Z1438:Z1501" si="139">CZ1438</f>
        <v>0</v>
      </c>
      <c r="AA1438" s="92">
        <f t="shared" ref="AA1438:AA1501" si="140">DB1438+DD1438</f>
        <v>0</v>
      </c>
      <c r="AB1438" s="92">
        <f t="shared" ref="AB1438:AB1501" si="141">CX1438</f>
        <v>0</v>
      </c>
      <c r="AC1438" s="92"/>
      <c r="AD1438" s="92">
        <v>20000000</v>
      </c>
      <c r="AE1438" s="92">
        <f t="shared" ref="AE1438:AE1501" si="142">Y1438+Z1438+AA1438+AB1438+AC1438+AD1438</f>
        <v>20000000</v>
      </c>
      <c r="AF1438" s="93">
        <v>0</v>
      </c>
      <c r="AG1438" s="105"/>
      <c r="AH1438" s="108"/>
      <c r="AI1438" s="102" t="s">
        <v>4346</v>
      </c>
      <c r="AJ1438" s="96" t="s">
        <v>4347</v>
      </c>
      <c r="AK1438" s="111"/>
      <c r="AL1438" s="105"/>
      <c r="AM1438" s="112" t="s">
        <v>924</v>
      </c>
      <c r="AN1438" s="107"/>
      <c r="AO1438" s="107"/>
      <c r="AP1438" s="107"/>
      <c r="AQ1438" s="107"/>
      <c r="AR1438" s="107"/>
      <c r="AS1438" s="107"/>
      <c r="AT1438" s="107"/>
      <c r="AU1438" s="107"/>
      <c r="AV1438" s="107"/>
      <c r="AW1438" s="107"/>
      <c r="AX1438" s="107"/>
      <c r="AY1438" s="107"/>
      <c r="AZ1438" s="107"/>
      <c r="BA1438" s="107"/>
      <c r="BB1438" s="107"/>
      <c r="BC1438" s="107"/>
      <c r="BD1438" s="107"/>
      <c r="BE1438" s="107"/>
      <c r="BF1438" s="107"/>
      <c r="BG1438" s="107"/>
      <c r="BH1438" s="107"/>
      <c r="BI1438" s="107"/>
      <c r="BJ1438" s="107"/>
      <c r="BK1438" s="107"/>
      <c r="BL1438" s="107"/>
      <c r="BM1438" s="107"/>
      <c r="BN1438" s="107"/>
      <c r="BO1438" s="107"/>
      <c r="BP1438" s="107"/>
      <c r="BQ1438" s="107"/>
      <c r="BR1438" s="107"/>
      <c r="BS1438" s="107"/>
      <c r="BT1438" s="107"/>
      <c r="BU1438" s="107"/>
      <c r="BV1438" s="107"/>
      <c r="BW1438" s="107"/>
      <c r="BX1438" s="107"/>
      <c r="BY1438" s="107"/>
      <c r="BZ1438" s="107"/>
      <c r="CA1438" s="107"/>
      <c r="CB1438" s="107"/>
      <c r="CC1438" s="107"/>
      <c r="CD1438" s="107"/>
      <c r="CE1438" s="107"/>
      <c r="CF1438" s="107"/>
      <c r="CG1438" s="107"/>
      <c r="CH1438" s="107"/>
      <c r="CI1438" s="107"/>
      <c r="CJ1438" s="107"/>
      <c r="CK1438" s="107"/>
      <c r="CL1438" s="107"/>
      <c r="CM1438" s="107"/>
      <c r="CN1438" s="118"/>
      <c r="CO1438" s="119"/>
      <c r="CP1438" s="118"/>
      <c r="CQ1438" s="119"/>
      <c r="CR1438" s="118"/>
      <c r="CS1438" s="119"/>
      <c r="CT1438" s="113"/>
      <c r="CU1438" s="118"/>
      <c r="CV1438" s="99">
        <f t="shared" si="137"/>
        <v>0</v>
      </c>
      <c r="CW1438" s="118"/>
      <c r="CX1438" s="119"/>
      <c r="CY1438" s="119"/>
      <c r="CZ1438" s="119"/>
      <c r="DA1438" s="118"/>
      <c r="DB1438" s="119"/>
      <c r="DC1438" s="111"/>
      <c r="DD1438" s="119"/>
      <c r="DE1438" s="111"/>
      <c r="DF1438" s="269"/>
      <c r="DG1438" s="270"/>
      <c r="DH1438" s="270"/>
      <c r="DI1438" s="270"/>
      <c r="DJ1438" s="270"/>
      <c r="DK1438" s="270"/>
      <c r="DL1438" s="270"/>
      <c r="DM1438" s="270"/>
      <c r="DN1438" s="270"/>
      <c r="DO1438" s="270"/>
      <c r="DP1438" s="270"/>
      <c r="DQ1438" s="270"/>
      <c r="DR1438" s="270"/>
      <c r="DS1438" s="270"/>
      <c r="DT1438" s="270"/>
      <c r="DU1438" s="270"/>
      <c r="DV1438" s="270"/>
      <c r="DW1438" s="270"/>
      <c r="DX1438" s="270"/>
      <c r="DY1438" s="270"/>
      <c r="DZ1438" s="270"/>
      <c r="EA1438" s="270"/>
      <c r="EB1438" s="270"/>
      <c r="EC1438" s="270"/>
      <c r="ED1438" s="270"/>
      <c r="EE1438" s="270"/>
      <c r="EF1438" s="270"/>
      <c r="EG1438" s="270"/>
      <c r="EH1438" s="270"/>
      <c r="EI1438" s="270"/>
      <c r="EJ1438" s="270"/>
      <c r="EK1438" s="270"/>
      <c r="EL1438" s="270"/>
      <c r="EM1438" s="270"/>
      <c r="EN1438" s="270"/>
      <c r="EO1438" s="270"/>
      <c r="EP1438" s="270"/>
      <c r="EQ1438" s="270"/>
      <c r="ER1438" s="270"/>
      <c r="ES1438" s="270"/>
      <c r="ET1438" s="270"/>
      <c r="EU1438" s="270"/>
      <c r="EV1438" s="270"/>
      <c r="EW1438" s="270"/>
      <c r="EX1438" s="270"/>
      <c r="EY1438" s="270"/>
      <c r="EZ1438" s="270"/>
      <c r="FA1438" s="270"/>
      <c r="FB1438" s="270"/>
      <c r="FC1438" s="270"/>
      <c r="FD1438" s="270"/>
      <c r="FE1438" s="270"/>
      <c r="FF1438" s="270"/>
      <c r="FG1438" s="270"/>
      <c r="FH1438" s="270"/>
      <c r="FI1438" s="270"/>
      <c r="FJ1438" s="270"/>
      <c r="FK1438" s="270"/>
      <c r="FL1438" s="270"/>
      <c r="FM1438" s="270"/>
      <c r="FN1438" s="270"/>
      <c r="FO1438" s="270"/>
      <c r="FP1438" s="270"/>
      <c r="FQ1438" s="270"/>
      <c r="FR1438" s="270"/>
      <c r="FS1438" s="270"/>
      <c r="FT1438" s="270"/>
      <c r="FU1438" s="270"/>
      <c r="FV1438" s="270"/>
      <c r="FW1438" s="270"/>
      <c r="FX1438" s="270"/>
      <c r="FY1438" s="270"/>
      <c r="FZ1438" s="270"/>
      <c r="GA1438" s="270"/>
      <c r="GB1438" s="270"/>
      <c r="GC1438" s="270"/>
      <c r="GD1438" s="270"/>
      <c r="GE1438" s="270"/>
      <c r="GF1438" s="270"/>
      <c r="GG1438" s="270"/>
      <c r="GH1438" s="270"/>
      <c r="GI1438" s="270"/>
      <c r="GJ1438" s="270"/>
      <c r="GK1438" s="270"/>
      <c r="GL1438" s="270"/>
      <c r="GM1438" s="270"/>
      <c r="GN1438" s="270"/>
      <c r="GO1438" s="270"/>
      <c r="GP1438" s="270"/>
      <c r="GQ1438" s="270"/>
      <c r="GR1438" s="270"/>
      <c r="GS1438" s="270"/>
      <c r="GT1438" s="270"/>
      <c r="GU1438" s="270"/>
      <c r="GV1438" s="270"/>
      <c r="GW1438" s="270"/>
      <c r="GX1438" s="270"/>
      <c r="GY1438" s="270"/>
      <c r="GZ1438" s="270"/>
      <c r="HA1438" s="270"/>
      <c r="HB1438" s="270"/>
      <c r="HC1438" s="270"/>
      <c r="HD1438" s="270"/>
      <c r="HE1438" s="270"/>
      <c r="HF1438" s="270"/>
      <c r="HG1438" s="270"/>
      <c r="HH1438" s="270"/>
      <c r="HI1438" s="270"/>
      <c r="HJ1438" s="270"/>
      <c r="HK1438" s="270"/>
      <c r="HL1438" s="270"/>
      <c r="HM1438" s="270"/>
      <c r="HN1438" s="270"/>
      <c r="HO1438" s="270"/>
      <c r="HP1438" s="270"/>
      <c r="HQ1438" s="270"/>
      <c r="HR1438" s="270"/>
      <c r="HS1438" s="270"/>
      <c r="HT1438" s="270"/>
      <c r="HU1438" s="270"/>
      <c r="HV1438" s="270"/>
      <c r="HW1438" s="270"/>
      <c r="HX1438" s="270"/>
      <c r="HY1438" s="270"/>
      <c r="HZ1438" s="270"/>
      <c r="IA1438" s="270"/>
      <c r="IB1438" s="270"/>
      <c r="IC1438" s="270"/>
      <c r="ID1438" s="270"/>
      <c r="IE1438" s="270"/>
      <c r="IF1438" s="270"/>
      <c r="IG1438" s="270"/>
      <c r="IH1438" s="270"/>
      <c r="II1438" s="270"/>
      <c r="IJ1438" s="270"/>
      <c r="IK1438" s="270"/>
      <c r="IL1438" s="270"/>
      <c r="IM1438" s="270"/>
      <c r="IN1438" s="270"/>
      <c r="IO1438" s="270"/>
      <c r="IP1438" s="270"/>
      <c r="IQ1438" s="270"/>
      <c r="IR1438" s="270"/>
      <c r="IS1438" s="270"/>
      <c r="IT1438" s="270"/>
      <c r="IU1438" s="270"/>
    </row>
    <row r="1439" spans="1:255" s="42" customFormat="1" ht="24" x14ac:dyDescent="0.2">
      <c r="A1439" s="89">
        <v>40708</v>
      </c>
      <c r="B1439" s="106" t="s">
        <v>2218</v>
      </c>
      <c r="C1439" s="106" t="s">
        <v>3980</v>
      </c>
      <c r="D1439" s="106" t="s">
        <v>3346</v>
      </c>
      <c r="E1439" s="90" t="str">
        <f>VLOOKUP(B1439&amp;C1439,Divipola!$C$2:$F$1138,4,FALSE)</f>
        <v>05490</v>
      </c>
      <c r="F1439" s="90"/>
      <c r="G1439" s="279"/>
      <c r="H1439" s="279"/>
      <c r="I1439" s="279"/>
      <c r="J1439" s="129">
        <v>100</v>
      </c>
      <c r="K1439" s="129">
        <v>20</v>
      </c>
      <c r="L1439" s="129"/>
      <c r="M1439" s="129">
        <v>20</v>
      </c>
      <c r="N1439" s="129"/>
      <c r="O1439" s="129"/>
      <c r="P1439" s="129"/>
      <c r="Q1439" s="129"/>
      <c r="R1439" s="129"/>
      <c r="S1439" s="129"/>
      <c r="T1439" s="129"/>
      <c r="U1439" s="129"/>
      <c r="V1439" s="129"/>
      <c r="W1439" s="107"/>
      <c r="X1439" s="105"/>
      <c r="Y1439" s="92">
        <f t="shared" si="138"/>
        <v>0</v>
      </c>
      <c r="Z1439" s="92">
        <f t="shared" si="139"/>
        <v>0</v>
      </c>
      <c r="AA1439" s="92">
        <f t="shared" si="140"/>
        <v>0</v>
      </c>
      <c r="AB1439" s="92">
        <f t="shared" si="141"/>
        <v>0</v>
      </c>
      <c r="AC1439" s="92"/>
      <c r="AD1439" s="92">
        <v>0</v>
      </c>
      <c r="AE1439" s="92">
        <f t="shared" si="142"/>
        <v>0</v>
      </c>
      <c r="AF1439" s="93">
        <v>0</v>
      </c>
      <c r="AG1439" s="105"/>
      <c r="AH1439" s="108"/>
      <c r="AI1439" s="109" t="s">
        <v>4336</v>
      </c>
      <c r="AJ1439" s="110" t="s">
        <v>4337</v>
      </c>
      <c r="AK1439" s="280"/>
      <c r="AL1439" s="281"/>
      <c r="AM1439" s="112" t="s">
        <v>2374</v>
      </c>
      <c r="AN1439" s="107"/>
      <c r="AO1439" s="107"/>
      <c r="AP1439" s="107"/>
      <c r="AQ1439" s="107"/>
      <c r="AR1439" s="107"/>
      <c r="AS1439" s="107"/>
      <c r="AT1439" s="107"/>
      <c r="AU1439" s="107"/>
      <c r="AV1439" s="107"/>
      <c r="AW1439" s="107"/>
      <c r="AX1439" s="107"/>
      <c r="AY1439" s="107"/>
      <c r="AZ1439" s="107"/>
      <c r="BA1439" s="107"/>
      <c r="BB1439" s="107"/>
      <c r="BC1439" s="107"/>
      <c r="BD1439" s="107"/>
      <c r="BE1439" s="107"/>
      <c r="BF1439" s="107"/>
      <c r="BG1439" s="107"/>
      <c r="BH1439" s="107"/>
      <c r="BI1439" s="107"/>
      <c r="BJ1439" s="107"/>
      <c r="BK1439" s="107"/>
      <c r="BL1439" s="107"/>
      <c r="BM1439" s="107"/>
      <c r="BN1439" s="107"/>
      <c r="BO1439" s="107"/>
      <c r="BP1439" s="107"/>
      <c r="BQ1439" s="107"/>
      <c r="BR1439" s="107"/>
      <c r="BS1439" s="107"/>
      <c r="BT1439" s="107"/>
      <c r="BU1439" s="107"/>
      <c r="BV1439" s="107"/>
      <c r="BW1439" s="107"/>
      <c r="BX1439" s="107"/>
      <c r="BY1439" s="107"/>
      <c r="BZ1439" s="107"/>
      <c r="CA1439" s="107"/>
      <c r="CB1439" s="107"/>
      <c r="CC1439" s="107"/>
      <c r="CD1439" s="107"/>
      <c r="CE1439" s="107"/>
      <c r="CF1439" s="107"/>
      <c r="CG1439" s="107"/>
      <c r="CH1439" s="107"/>
      <c r="CI1439" s="107"/>
      <c r="CJ1439" s="107"/>
      <c r="CK1439" s="107"/>
      <c r="CL1439" s="107"/>
      <c r="CM1439" s="107"/>
      <c r="CN1439" s="118"/>
      <c r="CO1439" s="119"/>
      <c r="CP1439" s="118"/>
      <c r="CQ1439" s="119"/>
      <c r="CR1439" s="118"/>
      <c r="CS1439" s="119"/>
      <c r="CT1439" s="113"/>
      <c r="CU1439" s="118"/>
      <c r="CV1439" s="99">
        <f t="shared" si="137"/>
        <v>0</v>
      </c>
      <c r="CW1439" s="118"/>
      <c r="CX1439" s="119"/>
      <c r="CY1439" s="119"/>
      <c r="CZ1439" s="119"/>
      <c r="DA1439" s="118"/>
      <c r="DB1439" s="119"/>
      <c r="DC1439" s="111"/>
      <c r="DD1439" s="119"/>
      <c r="DE1439" s="111"/>
      <c r="DF1439" s="46"/>
    </row>
    <row r="1440" spans="1:255" s="42" customFormat="1" ht="24" x14ac:dyDescent="0.2">
      <c r="A1440" s="89">
        <v>40708</v>
      </c>
      <c r="B1440" s="16" t="s">
        <v>2218</v>
      </c>
      <c r="C1440" s="16" t="s">
        <v>4079</v>
      </c>
      <c r="D1440" s="16" t="s">
        <v>3346</v>
      </c>
      <c r="E1440" s="90" t="str">
        <f>VLOOKUP(B1440&amp;C1440,Divipola!$C$2:$F$1138,4,FALSE)</f>
        <v>05837</v>
      </c>
      <c r="F1440" s="4"/>
      <c r="G1440" s="208"/>
      <c r="H1440" s="208"/>
      <c r="I1440" s="208"/>
      <c r="J1440" s="208">
        <f>109*5</f>
        <v>545</v>
      </c>
      <c r="K1440" s="208">
        <v>109</v>
      </c>
      <c r="L1440" s="208"/>
      <c r="M1440" s="208">
        <v>109</v>
      </c>
      <c r="N1440" s="208"/>
      <c r="O1440" s="208"/>
      <c r="P1440" s="208"/>
      <c r="Q1440" s="208"/>
      <c r="R1440" s="208"/>
      <c r="S1440" s="208"/>
      <c r="T1440" s="208"/>
      <c r="U1440" s="208">
        <v>1</v>
      </c>
      <c r="V1440" s="208"/>
      <c r="W1440" s="19"/>
      <c r="X1440" s="17"/>
      <c r="Y1440" s="5">
        <f t="shared" si="138"/>
        <v>0</v>
      </c>
      <c r="Z1440" s="5">
        <f t="shared" si="139"/>
        <v>0</v>
      </c>
      <c r="AA1440" s="5">
        <f t="shared" si="140"/>
        <v>56703410</v>
      </c>
      <c r="AB1440" s="5">
        <f t="shared" si="141"/>
        <v>0</v>
      </c>
      <c r="AC1440" s="5"/>
      <c r="AD1440" s="5">
        <v>0</v>
      </c>
      <c r="AE1440" s="5">
        <f t="shared" si="142"/>
        <v>56703410</v>
      </c>
      <c r="AF1440" s="70">
        <v>0</v>
      </c>
      <c r="AG1440" s="17"/>
      <c r="AH1440" s="18"/>
      <c r="AI1440" s="95" t="s">
        <v>4346</v>
      </c>
      <c r="AJ1440" s="96" t="s">
        <v>4347</v>
      </c>
      <c r="AK1440" s="45"/>
      <c r="AL1440" s="17"/>
      <c r="AM1440" s="20" t="s">
        <v>1158</v>
      </c>
      <c r="AN1440" s="19"/>
      <c r="AO1440" s="19"/>
      <c r="AP1440" s="19"/>
      <c r="AQ1440" s="19"/>
      <c r="AR1440" s="19"/>
      <c r="AS1440" s="19"/>
      <c r="AT1440" s="19"/>
      <c r="AU1440" s="19"/>
      <c r="AV1440" s="19"/>
      <c r="AW1440" s="19"/>
      <c r="AX1440" s="107"/>
      <c r="AY1440" s="107"/>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39"/>
      <c r="CO1440" s="138"/>
      <c r="CP1440" s="139"/>
      <c r="CQ1440" s="138"/>
      <c r="CR1440" s="139"/>
      <c r="CS1440" s="138"/>
      <c r="CT1440" s="72"/>
      <c r="CU1440" s="139"/>
      <c r="CV1440" s="99">
        <f t="shared" si="137"/>
        <v>0</v>
      </c>
      <c r="CW1440" s="139"/>
      <c r="CX1440" s="138"/>
      <c r="CY1440" s="138"/>
      <c r="CZ1440" s="138"/>
      <c r="DA1440" s="139"/>
      <c r="DB1440" s="138"/>
      <c r="DC1440" s="45">
        <f>362+1263</f>
        <v>1625</v>
      </c>
      <c r="DD1440" s="138">
        <f>362*25424.88+20*27119.64+262*33899.84+819*40678.88+162*29379.32</f>
        <v>56703410</v>
      </c>
      <c r="DE1440" s="45"/>
      <c r="DF1440" s="269"/>
      <c r="DG1440" s="270"/>
      <c r="DH1440" s="270"/>
      <c r="DI1440" s="270"/>
      <c r="DJ1440" s="270"/>
      <c r="DK1440" s="270"/>
      <c r="DL1440" s="270"/>
      <c r="DM1440" s="270"/>
      <c r="DN1440" s="270"/>
      <c r="DO1440" s="270"/>
      <c r="DP1440" s="270"/>
      <c r="DQ1440" s="270"/>
      <c r="DR1440" s="270"/>
      <c r="DS1440" s="270"/>
      <c r="DT1440" s="270"/>
      <c r="DU1440" s="270"/>
      <c r="DV1440" s="270"/>
      <c r="DW1440" s="270"/>
      <c r="DX1440" s="270"/>
      <c r="DY1440" s="270"/>
      <c r="DZ1440" s="270"/>
      <c r="EA1440" s="270"/>
      <c r="EB1440" s="270"/>
      <c r="EC1440" s="270"/>
      <c r="ED1440" s="270"/>
      <c r="EE1440" s="270"/>
      <c r="EF1440" s="270"/>
      <c r="EG1440" s="270"/>
      <c r="EH1440" s="270"/>
      <c r="EI1440" s="270"/>
      <c r="EJ1440" s="270"/>
      <c r="EK1440" s="270"/>
      <c r="EL1440" s="270"/>
      <c r="EM1440" s="270"/>
      <c r="EN1440" s="270"/>
      <c r="EO1440" s="270"/>
      <c r="EP1440" s="270"/>
      <c r="EQ1440" s="270"/>
      <c r="ER1440" s="270"/>
      <c r="ES1440" s="270"/>
      <c r="ET1440" s="270"/>
      <c r="EU1440" s="270"/>
      <c r="EV1440" s="270"/>
      <c r="EW1440" s="270"/>
      <c r="EX1440" s="270"/>
      <c r="EY1440" s="270"/>
      <c r="EZ1440" s="270"/>
      <c r="FA1440" s="270"/>
      <c r="FB1440" s="270"/>
      <c r="FC1440" s="270"/>
      <c r="FD1440" s="270"/>
      <c r="FE1440" s="270"/>
      <c r="FF1440" s="270"/>
      <c r="FG1440" s="270"/>
      <c r="FH1440" s="270"/>
      <c r="FI1440" s="270"/>
      <c r="FJ1440" s="270"/>
      <c r="FK1440" s="270"/>
      <c r="FL1440" s="270"/>
      <c r="FM1440" s="270"/>
      <c r="FN1440" s="270"/>
      <c r="FO1440" s="270"/>
      <c r="FP1440" s="270"/>
      <c r="FQ1440" s="270"/>
      <c r="FR1440" s="270"/>
      <c r="FS1440" s="270"/>
      <c r="FT1440" s="270"/>
      <c r="FU1440" s="270"/>
      <c r="FV1440" s="270"/>
      <c r="FW1440" s="270"/>
      <c r="FX1440" s="270"/>
      <c r="FY1440" s="270"/>
      <c r="FZ1440" s="270"/>
      <c r="GA1440" s="270"/>
      <c r="GB1440" s="270"/>
      <c r="GC1440" s="270"/>
      <c r="GD1440" s="270"/>
      <c r="GE1440" s="270"/>
      <c r="GF1440" s="270"/>
      <c r="GG1440" s="270"/>
      <c r="GH1440" s="270"/>
      <c r="GI1440" s="270"/>
      <c r="GJ1440" s="270"/>
      <c r="GK1440" s="270"/>
      <c r="GL1440" s="270"/>
      <c r="GM1440" s="270"/>
      <c r="GN1440" s="270"/>
      <c r="GO1440" s="270"/>
      <c r="GP1440" s="270"/>
      <c r="GQ1440" s="270"/>
      <c r="GR1440" s="270"/>
      <c r="GS1440" s="270"/>
      <c r="GT1440" s="270"/>
      <c r="GU1440" s="270"/>
      <c r="GV1440" s="270"/>
      <c r="GW1440" s="270"/>
      <c r="GX1440" s="270"/>
      <c r="GY1440" s="270"/>
      <c r="GZ1440" s="270"/>
      <c r="HA1440" s="270"/>
      <c r="HB1440" s="270"/>
      <c r="HC1440" s="270"/>
      <c r="HD1440" s="270"/>
      <c r="HE1440" s="270"/>
      <c r="HF1440" s="270"/>
      <c r="HG1440" s="270"/>
      <c r="HH1440" s="270"/>
      <c r="HI1440" s="270"/>
      <c r="HJ1440" s="270"/>
      <c r="HK1440" s="270"/>
      <c r="HL1440" s="270"/>
      <c r="HM1440" s="270"/>
      <c r="HN1440" s="270"/>
      <c r="HO1440" s="270"/>
      <c r="HP1440" s="270"/>
      <c r="HQ1440" s="270"/>
      <c r="HR1440" s="270"/>
      <c r="HS1440" s="270"/>
      <c r="HT1440" s="270"/>
      <c r="HU1440" s="270"/>
      <c r="HV1440" s="270"/>
      <c r="HW1440" s="270"/>
      <c r="HX1440" s="270"/>
      <c r="HY1440" s="270"/>
      <c r="HZ1440" s="270"/>
      <c r="IA1440" s="270"/>
      <c r="IB1440" s="270"/>
      <c r="IC1440" s="270"/>
      <c r="ID1440" s="270"/>
      <c r="IE1440" s="270"/>
      <c r="IF1440" s="270"/>
      <c r="IG1440" s="270"/>
      <c r="IH1440" s="270"/>
      <c r="II1440" s="270"/>
      <c r="IJ1440" s="270"/>
      <c r="IK1440" s="270"/>
      <c r="IL1440" s="270"/>
      <c r="IM1440" s="270"/>
      <c r="IN1440" s="270"/>
      <c r="IO1440" s="270"/>
      <c r="IP1440" s="270"/>
      <c r="IQ1440" s="270"/>
      <c r="IR1440" s="270"/>
      <c r="IS1440" s="270"/>
      <c r="IT1440" s="270"/>
      <c r="IU1440" s="270"/>
    </row>
    <row r="1441" spans="1:110" s="42" customFormat="1" ht="48" x14ac:dyDescent="0.2">
      <c r="A1441" s="89">
        <v>40708</v>
      </c>
      <c r="B1441" s="90" t="s">
        <v>1116</v>
      </c>
      <c r="C1441" s="90" t="s">
        <v>1116</v>
      </c>
      <c r="D1441" s="106" t="s">
        <v>4298</v>
      </c>
      <c r="E1441" s="90" t="str">
        <f>VLOOKUP(B1441&amp;C1441,Divipola!$C$2:$F$1138,4,FALSE)</f>
        <v>11001</v>
      </c>
      <c r="F1441" s="90"/>
      <c r="G1441" s="279"/>
      <c r="H1441" s="129">
        <v>2</v>
      </c>
      <c r="I1441" s="129"/>
      <c r="J1441" s="129">
        <v>4</v>
      </c>
      <c r="K1441" s="129">
        <v>1</v>
      </c>
      <c r="L1441" s="129"/>
      <c r="M1441" s="129">
        <v>1</v>
      </c>
      <c r="N1441" s="129"/>
      <c r="O1441" s="129"/>
      <c r="P1441" s="129"/>
      <c r="Q1441" s="129"/>
      <c r="R1441" s="129"/>
      <c r="S1441" s="129"/>
      <c r="T1441" s="129"/>
      <c r="U1441" s="129"/>
      <c r="V1441" s="129"/>
      <c r="W1441" s="107"/>
      <c r="X1441" s="105"/>
      <c r="Y1441" s="92">
        <f t="shared" si="138"/>
        <v>0</v>
      </c>
      <c r="Z1441" s="92">
        <f t="shared" si="139"/>
        <v>0</v>
      </c>
      <c r="AA1441" s="92">
        <f t="shared" si="140"/>
        <v>0</v>
      </c>
      <c r="AB1441" s="92">
        <f t="shared" si="141"/>
        <v>0</v>
      </c>
      <c r="AC1441" s="92"/>
      <c r="AD1441" s="92">
        <v>0</v>
      </c>
      <c r="AE1441" s="92">
        <f t="shared" si="142"/>
        <v>0</v>
      </c>
      <c r="AF1441" s="93">
        <v>0</v>
      </c>
      <c r="AG1441" s="105"/>
      <c r="AH1441" s="108"/>
      <c r="AI1441" s="109" t="s">
        <v>4336</v>
      </c>
      <c r="AJ1441" s="110" t="s">
        <v>4337</v>
      </c>
      <c r="AK1441" s="280"/>
      <c r="AL1441" s="281"/>
      <c r="AM1441" s="112" t="s">
        <v>2375</v>
      </c>
      <c r="AN1441" s="107"/>
      <c r="AO1441" s="107"/>
      <c r="AP1441" s="107"/>
      <c r="AQ1441" s="107"/>
      <c r="AR1441" s="107"/>
      <c r="AS1441" s="107"/>
      <c r="AT1441" s="107"/>
      <c r="AU1441" s="107"/>
      <c r="AV1441" s="107"/>
      <c r="AW1441" s="107"/>
      <c r="AX1441" s="107"/>
      <c r="AY1441" s="107"/>
      <c r="AZ1441" s="107"/>
      <c r="BA1441" s="107"/>
      <c r="BB1441" s="107"/>
      <c r="BC1441" s="107"/>
      <c r="BD1441" s="107"/>
      <c r="BE1441" s="107"/>
      <c r="BF1441" s="107"/>
      <c r="BG1441" s="107"/>
      <c r="BH1441" s="107"/>
      <c r="BI1441" s="107"/>
      <c r="BJ1441" s="107"/>
      <c r="BK1441" s="107"/>
      <c r="BL1441" s="107"/>
      <c r="BM1441" s="107"/>
      <c r="BN1441" s="107"/>
      <c r="BO1441" s="107"/>
      <c r="BP1441" s="107"/>
      <c r="BQ1441" s="107"/>
      <c r="BR1441" s="107"/>
      <c r="BS1441" s="107"/>
      <c r="BT1441" s="107"/>
      <c r="BU1441" s="107"/>
      <c r="BV1441" s="107"/>
      <c r="BW1441" s="107"/>
      <c r="BX1441" s="107"/>
      <c r="BY1441" s="107"/>
      <c r="BZ1441" s="107"/>
      <c r="CA1441" s="107"/>
      <c r="CB1441" s="107"/>
      <c r="CC1441" s="107"/>
      <c r="CD1441" s="107"/>
      <c r="CE1441" s="107"/>
      <c r="CF1441" s="107"/>
      <c r="CG1441" s="107"/>
      <c r="CH1441" s="107"/>
      <c r="CI1441" s="107"/>
      <c r="CJ1441" s="107"/>
      <c r="CK1441" s="107"/>
      <c r="CL1441" s="107"/>
      <c r="CM1441" s="107"/>
      <c r="CN1441" s="118"/>
      <c r="CO1441" s="119"/>
      <c r="CP1441" s="118"/>
      <c r="CQ1441" s="119"/>
      <c r="CR1441" s="118"/>
      <c r="CS1441" s="119"/>
      <c r="CT1441" s="113"/>
      <c r="CU1441" s="118"/>
      <c r="CV1441" s="99">
        <f t="shared" si="137"/>
        <v>0</v>
      </c>
      <c r="CW1441" s="118"/>
      <c r="CX1441" s="119"/>
      <c r="CY1441" s="119"/>
      <c r="CZ1441" s="119"/>
      <c r="DA1441" s="118"/>
      <c r="DB1441" s="119"/>
      <c r="DC1441" s="111"/>
      <c r="DD1441" s="119"/>
      <c r="DE1441" s="111"/>
      <c r="DF1441" s="46"/>
    </row>
    <row r="1442" spans="1:110" s="42" customFormat="1" ht="96" x14ac:dyDescent="0.2">
      <c r="A1442" s="89">
        <v>40708</v>
      </c>
      <c r="B1442" s="106" t="s">
        <v>4219</v>
      </c>
      <c r="C1442" s="106" t="s">
        <v>209</v>
      </c>
      <c r="D1442" s="90" t="s">
        <v>4264</v>
      </c>
      <c r="E1442" s="90" t="str">
        <f>VLOOKUP(B1442&amp;C1442,Divipola!$C$2:$F$1138,4,FALSE)</f>
        <v>41206</v>
      </c>
      <c r="F1442" s="90"/>
      <c r="G1442" s="279"/>
      <c r="H1442" s="279"/>
      <c r="I1442" s="279"/>
      <c r="J1442" s="129">
        <v>2</v>
      </c>
      <c r="K1442" s="279"/>
      <c r="L1442" s="279"/>
      <c r="M1442" s="279"/>
      <c r="N1442" s="129"/>
      <c r="O1442" s="129"/>
      <c r="P1442" s="129"/>
      <c r="Q1442" s="129"/>
      <c r="R1442" s="129"/>
      <c r="S1442" s="129"/>
      <c r="T1442" s="129"/>
      <c r="U1442" s="129"/>
      <c r="V1442" s="129"/>
      <c r="W1442" s="107"/>
      <c r="X1442" s="105"/>
      <c r="Y1442" s="92">
        <f t="shared" si="138"/>
        <v>0</v>
      </c>
      <c r="Z1442" s="92">
        <f t="shared" si="139"/>
        <v>0</v>
      </c>
      <c r="AA1442" s="92">
        <f t="shared" si="140"/>
        <v>0</v>
      </c>
      <c r="AB1442" s="92">
        <f t="shared" si="141"/>
        <v>0</v>
      </c>
      <c r="AC1442" s="92"/>
      <c r="AD1442" s="92">
        <v>0</v>
      </c>
      <c r="AE1442" s="92">
        <f t="shared" si="142"/>
        <v>0</v>
      </c>
      <c r="AF1442" s="93">
        <v>0</v>
      </c>
      <c r="AG1442" s="105"/>
      <c r="AH1442" s="108"/>
      <c r="AI1442" s="109" t="s">
        <v>4336</v>
      </c>
      <c r="AJ1442" s="110" t="s">
        <v>4337</v>
      </c>
      <c r="AK1442" s="280"/>
      <c r="AL1442" s="281"/>
      <c r="AM1442" s="112" t="s">
        <v>2368</v>
      </c>
      <c r="AN1442" s="107"/>
      <c r="AO1442" s="107"/>
      <c r="AP1442" s="107"/>
      <c r="AQ1442" s="107"/>
      <c r="AR1442" s="107"/>
      <c r="AS1442" s="107"/>
      <c r="AT1442" s="107"/>
      <c r="AU1442" s="107"/>
      <c r="AV1442" s="107"/>
      <c r="AW1442" s="107"/>
      <c r="AX1442" s="107"/>
      <c r="AY1442" s="107"/>
      <c r="AZ1442" s="107"/>
      <c r="BA1442" s="107"/>
      <c r="BB1442" s="107"/>
      <c r="BC1442" s="107"/>
      <c r="BD1442" s="107"/>
      <c r="BE1442" s="107"/>
      <c r="BF1442" s="107"/>
      <c r="BG1442" s="107"/>
      <c r="BH1442" s="107"/>
      <c r="BI1442" s="107"/>
      <c r="BJ1442" s="107"/>
      <c r="BK1442" s="107"/>
      <c r="BL1442" s="107"/>
      <c r="BM1442" s="107"/>
      <c r="BN1442" s="107"/>
      <c r="BO1442" s="107"/>
      <c r="BP1442" s="107"/>
      <c r="BQ1442" s="107"/>
      <c r="BR1442" s="107"/>
      <c r="BS1442" s="107"/>
      <c r="BT1442" s="107"/>
      <c r="BU1442" s="107"/>
      <c r="BV1442" s="107"/>
      <c r="BW1442" s="107"/>
      <c r="BX1442" s="107"/>
      <c r="BY1442" s="107"/>
      <c r="BZ1442" s="107"/>
      <c r="CA1442" s="107"/>
      <c r="CB1442" s="107"/>
      <c r="CC1442" s="107"/>
      <c r="CD1442" s="107"/>
      <c r="CE1442" s="107"/>
      <c r="CF1442" s="107"/>
      <c r="CG1442" s="107"/>
      <c r="CH1442" s="107"/>
      <c r="CI1442" s="107"/>
      <c r="CJ1442" s="107"/>
      <c r="CK1442" s="107"/>
      <c r="CL1442" s="107"/>
      <c r="CM1442" s="107"/>
      <c r="CN1442" s="118"/>
      <c r="CO1442" s="119"/>
      <c r="CP1442" s="118"/>
      <c r="CQ1442" s="119"/>
      <c r="CR1442" s="118"/>
      <c r="CS1442" s="119"/>
      <c r="CT1442" s="113"/>
      <c r="CU1442" s="118"/>
      <c r="CV1442" s="99">
        <f t="shared" si="137"/>
        <v>0</v>
      </c>
      <c r="CW1442" s="118"/>
      <c r="CX1442" s="119"/>
      <c r="CY1442" s="119"/>
      <c r="CZ1442" s="119"/>
      <c r="DA1442" s="118"/>
      <c r="DB1442" s="119"/>
      <c r="DC1442" s="111"/>
      <c r="DD1442" s="119"/>
      <c r="DE1442" s="111"/>
      <c r="DF1442" s="46"/>
    </row>
    <row r="1443" spans="1:110" s="42" customFormat="1" ht="24" x14ac:dyDescent="0.2">
      <c r="A1443" s="89">
        <v>40708</v>
      </c>
      <c r="B1443" s="106" t="s">
        <v>4308</v>
      </c>
      <c r="C1443" s="106" t="s">
        <v>767</v>
      </c>
      <c r="D1443" s="90" t="s">
        <v>4264</v>
      </c>
      <c r="E1443" s="90" t="str">
        <f>VLOOKUP(B1443&amp;C1443,Divipola!$C$2:$F$1138,4,FALSE)</f>
        <v>47545</v>
      </c>
      <c r="F1443" s="90"/>
      <c r="G1443" s="129"/>
      <c r="H1443" s="129"/>
      <c r="I1443" s="129"/>
      <c r="J1443" s="129">
        <f>209*5</f>
        <v>1045</v>
      </c>
      <c r="K1443" s="129">
        <f>150+59</f>
        <v>209</v>
      </c>
      <c r="L1443" s="129"/>
      <c r="M1443" s="129"/>
      <c r="N1443" s="129"/>
      <c r="O1443" s="129"/>
      <c r="P1443" s="129"/>
      <c r="Q1443" s="129"/>
      <c r="R1443" s="129"/>
      <c r="S1443" s="129"/>
      <c r="T1443" s="129"/>
      <c r="U1443" s="129"/>
      <c r="V1443" s="129"/>
      <c r="W1443" s="107"/>
      <c r="X1443" s="105"/>
      <c r="Y1443" s="92">
        <f t="shared" si="138"/>
        <v>0</v>
      </c>
      <c r="Z1443" s="92">
        <f t="shared" si="139"/>
        <v>0</v>
      </c>
      <c r="AA1443" s="92">
        <f t="shared" si="140"/>
        <v>0</v>
      </c>
      <c r="AB1443" s="92">
        <f t="shared" si="141"/>
        <v>0</v>
      </c>
      <c r="AC1443" s="92"/>
      <c r="AD1443" s="92">
        <v>0</v>
      </c>
      <c r="AE1443" s="92">
        <f t="shared" si="142"/>
        <v>0</v>
      </c>
      <c r="AF1443" s="93">
        <v>0</v>
      </c>
      <c r="AG1443" s="105"/>
      <c r="AH1443" s="108"/>
      <c r="AI1443" s="109" t="s">
        <v>4346</v>
      </c>
      <c r="AJ1443" s="110" t="s">
        <v>4347</v>
      </c>
      <c r="AK1443" s="111"/>
      <c r="AL1443" s="105"/>
      <c r="AM1443" s="112" t="s">
        <v>2024</v>
      </c>
      <c r="AN1443" s="107"/>
      <c r="AO1443" s="107"/>
      <c r="AP1443" s="107"/>
      <c r="AQ1443" s="107"/>
      <c r="AR1443" s="107"/>
      <c r="AS1443" s="107"/>
      <c r="AT1443" s="107"/>
      <c r="AU1443" s="107"/>
      <c r="AV1443" s="107"/>
      <c r="AW1443" s="107"/>
      <c r="AX1443" s="107"/>
      <c r="AY1443" s="107"/>
      <c r="AZ1443" s="107"/>
      <c r="BA1443" s="107"/>
      <c r="BB1443" s="107"/>
      <c r="BC1443" s="107"/>
      <c r="BD1443" s="107"/>
      <c r="BE1443" s="107"/>
      <c r="BF1443" s="107"/>
      <c r="BG1443" s="107"/>
      <c r="BH1443" s="107"/>
      <c r="BI1443" s="107"/>
      <c r="BJ1443" s="107"/>
      <c r="BK1443" s="107"/>
      <c r="BL1443" s="107"/>
      <c r="BM1443" s="107"/>
      <c r="BN1443" s="107"/>
      <c r="BO1443" s="107"/>
      <c r="BP1443" s="107"/>
      <c r="BQ1443" s="107"/>
      <c r="BR1443" s="107"/>
      <c r="BS1443" s="107"/>
      <c r="BT1443" s="107"/>
      <c r="BU1443" s="107"/>
      <c r="BV1443" s="107"/>
      <c r="BW1443" s="107"/>
      <c r="BX1443" s="107"/>
      <c r="BY1443" s="107"/>
      <c r="BZ1443" s="107"/>
      <c r="CA1443" s="107"/>
      <c r="CB1443" s="107"/>
      <c r="CC1443" s="107"/>
      <c r="CD1443" s="107"/>
      <c r="CE1443" s="107"/>
      <c r="CF1443" s="107"/>
      <c r="CG1443" s="107"/>
      <c r="CH1443" s="107"/>
      <c r="CI1443" s="107"/>
      <c r="CJ1443" s="107"/>
      <c r="CK1443" s="107"/>
      <c r="CL1443" s="107"/>
      <c r="CM1443" s="107"/>
      <c r="CN1443" s="118"/>
      <c r="CO1443" s="119"/>
      <c r="CP1443" s="118"/>
      <c r="CQ1443" s="119"/>
      <c r="CR1443" s="118"/>
      <c r="CS1443" s="119"/>
      <c r="CT1443" s="113"/>
      <c r="CU1443" s="118"/>
      <c r="CV1443" s="99">
        <f t="shared" si="137"/>
        <v>0</v>
      </c>
      <c r="CW1443" s="118"/>
      <c r="CX1443" s="119"/>
      <c r="CY1443" s="119"/>
      <c r="CZ1443" s="119"/>
      <c r="DA1443" s="118"/>
      <c r="DB1443" s="119"/>
      <c r="DC1443" s="111"/>
      <c r="DD1443" s="119"/>
      <c r="DE1443" s="111"/>
      <c r="DF1443" s="46"/>
    </row>
    <row r="1444" spans="1:110" s="42" customFormat="1" x14ac:dyDescent="0.2">
      <c r="A1444" s="89">
        <v>40708</v>
      </c>
      <c r="B1444" s="106" t="s">
        <v>4387</v>
      </c>
      <c r="C1444" s="106" t="s">
        <v>4279</v>
      </c>
      <c r="D1444" s="90" t="s">
        <v>4264</v>
      </c>
      <c r="E1444" s="90" t="str">
        <f>VLOOKUP(B1444&amp;C1444,Divipola!$C$2:$F$1138,4,FALSE)</f>
        <v>52079</v>
      </c>
      <c r="F1444" s="4"/>
      <c r="G1444" s="129"/>
      <c r="H1444" s="129"/>
      <c r="I1444" s="129"/>
      <c r="J1444" s="129">
        <v>2262</v>
      </c>
      <c r="K1444" s="129">
        <v>566</v>
      </c>
      <c r="L1444" s="129"/>
      <c r="M1444" s="129"/>
      <c r="N1444" s="101"/>
      <c r="O1444" s="101"/>
      <c r="P1444" s="101"/>
      <c r="Q1444" s="101"/>
      <c r="R1444" s="101"/>
      <c r="S1444" s="101"/>
      <c r="T1444" s="101"/>
      <c r="U1444" s="101"/>
      <c r="V1444" s="101">
        <v>2524</v>
      </c>
      <c r="W1444" s="19"/>
      <c r="X1444" s="17"/>
      <c r="Y1444" s="5">
        <f t="shared" si="138"/>
        <v>0</v>
      </c>
      <c r="Z1444" s="5">
        <f t="shared" si="139"/>
        <v>0</v>
      </c>
      <c r="AA1444" s="5">
        <f t="shared" si="140"/>
        <v>0</v>
      </c>
      <c r="AB1444" s="5">
        <f t="shared" si="141"/>
        <v>0</v>
      </c>
      <c r="AC1444" s="5"/>
      <c r="AD1444" s="5">
        <v>0</v>
      </c>
      <c r="AE1444" s="5">
        <f t="shared" si="142"/>
        <v>0</v>
      </c>
      <c r="AF1444" s="70">
        <v>0</v>
      </c>
      <c r="AG1444" s="17"/>
      <c r="AH1444" s="18"/>
      <c r="AI1444" s="109" t="s">
        <v>4336</v>
      </c>
      <c r="AJ1444" s="110" t="s">
        <v>4337</v>
      </c>
      <c r="AK1444" s="45"/>
      <c r="AL1444" s="17"/>
      <c r="AM1444" s="100" t="s">
        <v>1145</v>
      </c>
      <c r="AN1444" s="19"/>
      <c r="AO1444" s="19"/>
      <c r="AP1444" s="19"/>
      <c r="AQ1444" s="19"/>
      <c r="AR1444" s="19"/>
      <c r="AS1444" s="19"/>
      <c r="AT1444" s="19"/>
      <c r="AU1444" s="19"/>
      <c r="AV1444" s="19"/>
      <c r="AW1444" s="19"/>
      <c r="AX1444" s="107"/>
      <c r="AY1444" s="107"/>
      <c r="AZ1444" s="19"/>
      <c r="BA1444" s="19"/>
      <c r="BB1444" s="19"/>
      <c r="BC1444" s="19"/>
      <c r="BD1444" s="19"/>
      <c r="BE1444" s="19"/>
      <c r="BF1444" s="19"/>
      <c r="BG1444" s="19"/>
      <c r="BH1444" s="19"/>
      <c r="BI1444" s="19"/>
      <c r="BJ1444" s="19"/>
      <c r="BK1444" s="19"/>
      <c r="BL1444" s="19"/>
      <c r="BM1444" s="19"/>
      <c r="BN1444" s="19"/>
      <c r="BO1444" s="19"/>
      <c r="BP1444" s="19"/>
      <c r="BQ1444" s="19"/>
      <c r="BR1444" s="19"/>
      <c r="BS1444" s="19"/>
      <c r="BT1444" s="19"/>
      <c r="BU1444" s="19"/>
      <c r="BV1444" s="19"/>
      <c r="BW1444" s="19"/>
      <c r="BX1444" s="19"/>
      <c r="BY1444" s="19"/>
      <c r="BZ1444" s="19"/>
      <c r="CA1444" s="19"/>
      <c r="CB1444" s="19"/>
      <c r="CC1444" s="19"/>
      <c r="CD1444" s="19"/>
      <c r="CE1444" s="19"/>
      <c r="CF1444" s="19"/>
      <c r="CG1444" s="19"/>
      <c r="CH1444" s="19"/>
      <c r="CI1444" s="19"/>
      <c r="CJ1444" s="19"/>
      <c r="CK1444" s="19"/>
      <c r="CL1444" s="19"/>
      <c r="CM1444" s="19"/>
      <c r="CN1444" s="139"/>
      <c r="CO1444" s="138"/>
      <c r="CP1444" s="139"/>
      <c r="CQ1444" s="138"/>
      <c r="CR1444" s="139"/>
      <c r="CS1444" s="138"/>
      <c r="CT1444" s="72"/>
      <c r="CU1444" s="139"/>
      <c r="CV1444" s="99">
        <f t="shared" si="137"/>
        <v>0</v>
      </c>
      <c r="CW1444" s="139"/>
      <c r="CX1444" s="138"/>
      <c r="CY1444" s="138"/>
      <c r="CZ1444" s="138"/>
      <c r="DA1444" s="139"/>
      <c r="DB1444" s="138"/>
      <c r="DC1444" s="45"/>
      <c r="DD1444" s="138"/>
      <c r="DE1444" s="45"/>
      <c r="DF1444" s="46"/>
    </row>
    <row r="1445" spans="1:110" s="42" customFormat="1" ht="36" x14ac:dyDescent="0.2">
      <c r="A1445" s="89">
        <v>40708</v>
      </c>
      <c r="B1445" s="106" t="s">
        <v>4348</v>
      </c>
      <c r="C1445" s="106" t="s">
        <v>2228</v>
      </c>
      <c r="D1445" s="106" t="s">
        <v>3346</v>
      </c>
      <c r="E1445" s="90" t="str">
        <f>VLOOKUP(B1445&amp;C1445,Divipola!$C$2:$F$1138,4,FALSE)</f>
        <v>66001</v>
      </c>
      <c r="F1445" s="90"/>
      <c r="G1445" s="279"/>
      <c r="H1445" s="279"/>
      <c r="I1445" s="279"/>
      <c r="J1445" s="129">
        <v>240</v>
      </c>
      <c r="K1445" s="129">
        <v>48</v>
      </c>
      <c r="L1445" s="129"/>
      <c r="M1445" s="129">
        <v>48</v>
      </c>
      <c r="N1445" s="129"/>
      <c r="O1445" s="129"/>
      <c r="P1445" s="129"/>
      <c r="Q1445" s="129"/>
      <c r="R1445" s="129"/>
      <c r="S1445" s="129"/>
      <c r="T1445" s="129"/>
      <c r="U1445" s="129"/>
      <c r="V1445" s="129"/>
      <c r="W1445" s="107"/>
      <c r="X1445" s="105"/>
      <c r="Y1445" s="92">
        <f t="shared" si="138"/>
        <v>28322693.400000002</v>
      </c>
      <c r="Z1445" s="92">
        <f t="shared" si="139"/>
        <v>7990000</v>
      </c>
      <c r="AA1445" s="92">
        <f t="shared" si="140"/>
        <v>19374839.68</v>
      </c>
      <c r="AB1445" s="92">
        <f t="shared" si="141"/>
        <v>0</v>
      </c>
      <c r="AC1445" s="92"/>
      <c r="AD1445" s="92">
        <v>0</v>
      </c>
      <c r="AE1445" s="92">
        <f t="shared" si="142"/>
        <v>55687533.080000006</v>
      </c>
      <c r="AF1445" s="93">
        <v>0</v>
      </c>
      <c r="AG1445" s="105"/>
      <c r="AH1445" s="108"/>
      <c r="AI1445" s="109" t="s">
        <v>4346</v>
      </c>
      <c r="AJ1445" s="110" t="s">
        <v>4347</v>
      </c>
      <c r="AK1445" s="280"/>
      <c r="AL1445" s="281"/>
      <c r="AM1445" s="112" t="s">
        <v>2369</v>
      </c>
      <c r="AN1445" s="107"/>
      <c r="AO1445" s="107"/>
      <c r="AP1445" s="107"/>
      <c r="AQ1445" s="107"/>
      <c r="AR1445" s="107"/>
      <c r="AS1445" s="107"/>
      <c r="AT1445" s="107"/>
      <c r="AU1445" s="107"/>
      <c r="AV1445" s="107"/>
      <c r="AW1445" s="107"/>
      <c r="AX1445" s="107"/>
      <c r="AY1445" s="107"/>
      <c r="AZ1445" s="107">
        <v>261</v>
      </c>
      <c r="BA1445" s="107">
        <f>261*55999</f>
        <v>14615739</v>
      </c>
      <c r="BB1445" s="107"/>
      <c r="BC1445" s="107"/>
      <c r="BD1445" s="107"/>
      <c r="BE1445" s="107"/>
      <c r="BF1445" s="107"/>
      <c r="BG1445" s="107"/>
      <c r="BH1445" s="107"/>
      <c r="BI1445" s="107"/>
      <c r="BJ1445" s="107"/>
      <c r="BK1445" s="107"/>
      <c r="BL1445" s="107"/>
      <c r="BM1445" s="107"/>
      <c r="BN1445" s="107"/>
      <c r="BO1445" s="107"/>
      <c r="BP1445" s="107"/>
      <c r="BQ1445" s="107"/>
      <c r="BR1445" s="107"/>
      <c r="BS1445" s="107"/>
      <c r="BT1445" s="107"/>
      <c r="BU1445" s="107"/>
      <c r="BV1445" s="107"/>
      <c r="BW1445" s="107"/>
      <c r="BX1445" s="107"/>
      <c r="BY1445" s="107"/>
      <c r="BZ1445" s="107"/>
      <c r="CA1445" s="107"/>
      <c r="CB1445" s="107"/>
      <c r="CC1445" s="107"/>
      <c r="CD1445" s="107"/>
      <c r="CE1445" s="107"/>
      <c r="CF1445" s="107"/>
      <c r="CG1445" s="107"/>
      <c r="CH1445" s="107">
        <v>261</v>
      </c>
      <c r="CI1445" s="107">
        <f>261*17999.72</f>
        <v>4697926.92</v>
      </c>
      <c r="CJ1445" s="107">
        <v>261</v>
      </c>
      <c r="CK1445" s="107">
        <f>261*20999.48</f>
        <v>5480864.2800000003</v>
      </c>
      <c r="CL1445" s="107"/>
      <c r="CM1445" s="107"/>
      <c r="CN1445" s="118"/>
      <c r="CO1445" s="119"/>
      <c r="CP1445" s="118">
        <v>46</v>
      </c>
      <c r="CQ1445" s="119">
        <f>46*36999.36</f>
        <v>1701970.56</v>
      </c>
      <c r="CR1445" s="118">
        <v>46</v>
      </c>
      <c r="CS1445" s="119">
        <f>46*39699.84</f>
        <v>1826192.64</v>
      </c>
      <c r="CT1445" s="113"/>
      <c r="CU1445" s="118"/>
      <c r="CV1445" s="99">
        <f t="shared" si="137"/>
        <v>28322693.400000002</v>
      </c>
      <c r="CW1445" s="118"/>
      <c r="CX1445" s="119"/>
      <c r="CY1445" s="119">
        <v>94</v>
      </c>
      <c r="CZ1445" s="119">
        <f>94*85000</f>
        <v>7990000</v>
      </c>
      <c r="DA1445" s="118"/>
      <c r="DB1445" s="119"/>
      <c r="DC1445" s="111">
        <v>788</v>
      </c>
      <c r="DD1445" s="119">
        <f>788*22499.36+4728*348</f>
        <v>19374839.68</v>
      </c>
      <c r="DE1445" s="111"/>
      <c r="DF1445" s="46"/>
    </row>
    <row r="1446" spans="1:110" s="42" customFormat="1" ht="36" x14ac:dyDescent="0.2">
      <c r="A1446" s="89">
        <v>40709</v>
      </c>
      <c r="B1446" s="16" t="s">
        <v>4326</v>
      </c>
      <c r="C1446" s="16" t="s">
        <v>2459</v>
      </c>
      <c r="D1446" s="90" t="s">
        <v>4264</v>
      </c>
      <c r="E1446" s="90" t="str">
        <f>VLOOKUP(B1446&amp;C1446,Divipola!$C$2:$F$1138,4,FALSE)</f>
        <v>08685</v>
      </c>
      <c r="F1446" s="4"/>
      <c r="G1446" s="208"/>
      <c r="H1446" s="208"/>
      <c r="I1446" s="208"/>
      <c r="J1446" s="208"/>
      <c r="K1446" s="208"/>
      <c r="L1446" s="208"/>
      <c r="M1446" s="208"/>
      <c r="N1446" s="208"/>
      <c r="O1446" s="208"/>
      <c r="P1446" s="208"/>
      <c r="Q1446" s="208"/>
      <c r="R1446" s="208"/>
      <c r="S1446" s="208"/>
      <c r="T1446" s="208"/>
      <c r="U1446" s="208"/>
      <c r="V1446" s="208"/>
      <c r="W1446" s="19"/>
      <c r="X1446" s="17"/>
      <c r="Y1446" s="5">
        <f t="shared" si="138"/>
        <v>0</v>
      </c>
      <c r="Z1446" s="5">
        <f t="shared" si="139"/>
        <v>0</v>
      </c>
      <c r="AA1446" s="5">
        <f t="shared" si="140"/>
        <v>0</v>
      </c>
      <c r="AB1446" s="5">
        <f t="shared" si="141"/>
        <v>0</v>
      </c>
      <c r="AC1446" s="5"/>
      <c r="AD1446" s="5">
        <v>30000000</v>
      </c>
      <c r="AE1446" s="5">
        <f t="shared" si="142"/>
        <v>30000000</v>
      </c>
      <c r="AF1446" s="70">
        <v>0</v>
      </c>
      <c r="AG1446" s="17"/>
      <c r="AH1446" s="18"/>
      <c r="AI1446" s="102" t="s">
        <v>4346</v>
      </c>
      <c r="AJ1446" s="96" t="s">
        <v>4347</v>
      </c>
      <c r="AK1446" s="45"/>
      <c r="AL1446" s="17"/>
      <c r="AM1446" s="20" t="s">
        <v>2782</v>
      </c>
      <c r="AN1446" s="19"/>
      <c r="AO1446" s="19"/>
      <c r="AP1446" s="19"/>
      <c r="AQ1446" s="19"/>
      <c r="AR1446" s="19"/>
      <c r="AS1446" s="19"/>
      <c r="AT1446" s="19"/>
      <c r="AU1446" s="19"/>
      <c r="AV1446" s="19"/>
      <c r="AW1446" s="19"/>
      <c r="AX1446" s="107"/>
      <c r="AY1446" s="107"/>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39"/>
      <c r="CO1446" s="138"/>
      <c r="CP1446" s="139"/>
      <c r="CQ1446" s="138"/>
      <c r="CR1446" s="139"/>
      <c r="CS1446" s="138"/>
      <c r="CT1446" s="72"/>
      <c r="CU1446" s="139"/>
      <c r="CV1446" s="99">
        <f t="shared" si="137"/>
        <v>0</v>
      </c>
      <c r="CW1446" s="139"/>
      <c r="CX1446" s="138"/>
      <c r="CY1446" s="138"/>
      <c r="CZ1446" s="138"/>
      <c r="DA1446" s="139"/>
      <c r="DB1446" s="138"/>
      <c r="DC1446" s="45"/>
      <c r="DD1446" s="138"/>
      <c r="DE1446" s="45"/>
      <c r="DF1446" s="46"/>
    </row>
    <row r="1447" spans="1:110" s="42" customFormat="1" ht="36" x14ac:dyDescent="0.2">
      <c r="A1447" s="89">
        <v>40709</v>
      </c>
      <c r="B1447" s="106" t="s">
        <v>3533</v>
      </c>
      <c r="C1447" s="106" t="s">
        <v>1399</v>
      </c>
      <c r="D1447" s="90" t="s">
        <v>2362</v>
      </c>
      <c r="E1447" s="90" t="str">
        <f>VLOOKUP(B1447&amp;C1447,Divipola!$C$2:$F$1138,4,FALSE)</f>
        <v>17486</v>
      </c>
      <c r="F1447" s="90"/>
      <c r="G1447" s="129"/>
      <c r="H1447" s="129"/>
      <c r="I1447" s="129"/>
      <c r="J1447" s="129"/>
      <c r="K1447" s="129"/>
      <c r="L1447" s="129"/>
      <c r="M1447" s="129"/>
      <c r="N1447" s="129"/>
      <c r="O1447" s="129"/>
      <c r="P1447" s="129"/>
      <c r="Q1447" s="129"/>
      <c r="R1447" s="129"/>
      <c r="S1447" s="129"/>
      <c r="T1447" s="129"/>
      <c r="U1447" s="129"/>
      <c r="V1447" s="129"/>
      <c r="W1447" s="107"/>
      <c r="X1447" s="105"/>
      <c r="Y1447" s="92">
        <f t="shared" si="138"/>
        <v>0</v>
      </c>
      <c r="Z1447" s="92">
        <f t="shared" si="139"/>
        <v>0</v>
      </c>
      <c r="AA1447" s="92">
        <f t="shared" si="140"/>
        <v>0</v>
      </c>
      <c r="AB1447" s="92">
        <f t="shared" si="141"/>
        <v>0</v>
      </c>
      <c r="AC1447" s="92"/>
      <c r="AD1447" s="92">
        <v>50000000</v>
      </c>
      <c r="AE1447" s="92">
        <f t="shared" si="142"/>
        <v>50000000</v>
      </c>
      <c r="AF1447" s="93">
        <v>0</v>
      </c>
      <c r="AG1447" s="105"/>
      <c r="AH1447" s="108"/>
      <c r="AI1447" s="102" t="s">
        <v>4346</v>
      </c>
      <c r="AJ1447" s="96" t="s">
        <v>4347</v>
      </c>
      <c r="AK1447" s="111"/>
      <c r="AL1447" s="105"/>
      <c r="AM1447" s="112" t="s">
        <v>2030</v>
      </c>
      <c r="AN1447" s="107"/>
      <c r="AO1447" s="107"/>
      <c r="AP1447" s="107"/>
      <c r="AQ1447" s="107"/>
      <c r="AR1447" s="107"/>
      <c r="AS1447" s="107"/>
      <c r="AT1447" s="107"/>
      <c r="AU1447" s="107"/>
      <c r="AV1447" s="107"/>
      <c r="AW1447" s="107"/>
      <c r="AX1447" s="107"/>
      <c r="AY1447" s="107"/>
      <c r="AZ1447" s="107"/>
      <c r="BA1447" s="107"/>
      <c r="BB1447" s="107"/>
      <c r="BC1447" s="107"/>
      <c r="BD1447" s="107"/>
      <c r="BE1447" s="107"/>
      <c r="BF1447" s="107"/>
      <c r="BG1447" s="107"/>
      <c r="BH1447" s="107"/>
      <c r="BI1447" s="107"/>
      <c r="BJ1447" s="107"/>
      <c r="BK1447" s="107"/>
      <c r="BL1447" s="107"/>
      <c r="BM1447" s="107"/>
      <c r="BN1447" s="107"/>
      <c r="BO1447" s="107"/>
      <c r="BP1447" s="107"/>
      <c r="BQ1447" s="107"/>
      <c r="BR1447" s="107"/>
      <c r="BS1447" s="107"/>
      <c r="BT1447" s="107"/>
      <c r="BU1447" s="107"/>
      <c r="BV1447" s="107"/>
      <c r="BW1447" s="107"/>
      <c r="BX1447" s="107"/>
      <c r="BY1447" s="107"/>
      <c r="BZ1447" s="107"/>
      <c r="CA1447" s="107"/>
      <c r="CB1447" s="107"/>
      <c r="CC1447" s="107"/>
      <c r="CD1447" s="107"/>
      <c r="CE1447" s="107"/>
      <c r="CF1447" s="107"/>
      <c r="CG1447" s="107"/>
      <c r="CH1447" s="107"/>
      <c r="CI1447" s="107"/>
      <c r="CJ1447" s="107"/>
      <c r="CK1447" s="107"/>
      <c r="CL1447" s="107"/>
      <c r="CM1447" s="107"/>
      <c r="CN1447" s="118"/>
      <c r="CO1447" s="119"/>
      <c r="CP1447" s="118"/>
      <c r="CQ1447" s="119"/>
      <c r="CR1447" s="118"/>
      <c r="CS1447" s="119"/>
      <c r="CT1447" s="113"/>
      <c r="CU1447" s="118"/>
      <c r="CV1447" s="99">
        <f t="shared" si="137"/>
        <v>0</v>
      </c>
      <c r="CW1447" s="118"/>
      <c r="CX1447" s="119"/>
      <c r="CY1447" s="119"/>
      <c r="CZ1447" s="119"/>
      <c r="DA1447" s="118"/>
      <c r="DB1447" s="119"/>
      <c r="DC1447" s="111"/>
      <c r="DD1447" s="119"/>
      <c r="DE1447" s="111"/>
      <c r="DF1447" s="46"/>
    </row>
    <row r="1448" spans="1:110" s="42" customFormat="1" ht="36" x14ac:dyDescent="0.2">
      <c r="A1448" s="89">
        <v>40709</v>
      </c>
      <c r="B1448" s="106" t="s">
        <v>4296</v>
      </c>
      <c r="C1448" s="106" t="s">
        <v>4253</v>
      </c>
      <c r="D1448" s="90" t="s">
        <v>2362</v>
      </c>
      <c r="E1448" s="90" t="str">
        <f>VLOOKUP(B1448&amp;C1448,Divipola!$C$2:$F$1138,4,FALSE)</f>
        <v>19290</v>
      </c>
      <c r="F1448" s="90"/>
      <c r="G1448" s="129"/>
      <c r="H1448" s="129"/>
      <c r="I1448" s="129"/>
      <c r="J1448" s="129"/>
      <c r="K1448" s="129"/>
      <c r="L1448" s="129"/>
      <c r="M1448" s="129"/>
      <c r="N1448" s="129"/>
      <c r="O1448" s="129"/>
      <c r="P1448" s="129"/>
      <c r="Q1448" s="129"/>
      <c r="R1448" s="129"/>
      <c r="S1448" s="129"/>
      <c r="T1448" s="129"/>
      <c r="U1448" s="129"/>
      <c r="V1448" s="129"/>
      <c r="W1448" s="107"/>
      <c r="X1448" s="105"/>
      <c r="Y1448" s="92">
        <f t="shared" si="138"/>
        <v>0</v>
      </c>
      <c r="Z1448" s="92">
        <f t="shared" si="139"/>
        <v>0</v>
      </c>
      <c r="AA1448" s="92">
        <f t="shared" si="140"/>
        <v>0</v>
      </c>
      <c r="AB1448" s="92">
        <f t="shared" si="141"/>
        <v>0</v>
      </c>
      <c r="AC1448" s="92"/>
      <c r="AD1448" s="92">
        <v>20000000</v>
      </c>
      <c r="AE1448" s="92">
        <f t="shared" si="142"/>
        <v>20000000</v>
      </c>
      <c r="AF1448" s="93">
        <v>0</v>
      </c>
      <c r="AG1448" s="105"/>
      <c r="AH1448" s="108"/>
      <c r="AI1448" s="109" t="s">
        <v>4346</v>
      </c>
      <c r="AJ1448" s="110" t="s">
        <v>4347</v>
      </c>
      <c r="AK1448" s="111"/>
      <c r="AL1448" s="105"/>
      <c r="AM1448" s="112" t="s">
        <v>933</v>
      </c>
      <c r="AN1448" s="107"/>
      <c r="AO1448" s="107"/>
      <c r="AP1448" s="107"/>
      <c r="AQ1448" s="107"/>
      <c r="AR1448" s="107"/>
      <c r="AS1448" s="107"/>
      <c r="AT1448" s="107"/>
      <c r="AU1448" s="107"/>
      <c r="AV1448" s="107"/>
      <c r="AW1448" s="107"/>
      <c r="AX1448" s="107"/>
      <c r="AY1448" s="107"/>
      <c r="AZ1448" s="107"/>
      <c r="BA1448" s="107"/>
      <c r="BB1448" s="107"/>
      <c r="BC1448" s="107"/>
      <c r="BD1448" s="107"/>
      <c r="BE1448" s="107"/>
      <c r="BF1448" s="107"/>
      <c r="BG1448" s="107"/>
      <c r="BH1448" s="107"/>
      <c r="BI1448" s="107"/>
      <c r="BJ1448" s="107"/>
      <c r="BK1448" s="107"/>
      <c r="BL1448" s="107"/>
      <c r="BM1448" s="107"/>
      <c r="BN1448" s="107"/>
      <c r="BO1448" s="107"/>
      <c r="BP1448" s="107"/>
      <c r="BQ1448" s="107"/>
      <c r="BR1448" s="107"/>
      <c r="BS1448" s="107"/>
      <c r="BT1448" s="107"/>
      <c r="BU1448" s="107"/>
      <c r="BV1448" s="107"/>
      <c r="BW1448" s="107"/>
      <c r="BX1448" s="107"/>
      <c r="BY1448" s="107"/>
      <c r="BZ1448" s="107"/>
      <c r="CA1448" s="107"/>
      <c r="CB1448" s="107"/>
      <c r="CC1448" s="107"/>
      <c r="CD1448" s="107"/>
      <c r="CE1448" s="107"/>
      <c r="CF1448" s="107"/>
      <c r="CG1448" s="107"/>
      <c r="CH1448" s="107"/>
      <c r="CI1448" s="107"/>
      <c r="CJ1448" s="107"/>
      <c r="CK1448" s="107"/>
      <c r="CL1448" s="107"/>
      <c r="CM1448" s="107"/>
      <c r="CN1448" s="118"/>
      <c r="CO1448" s="119"/>
      <c r="CP1448" s="118"/>
      <c r="CQ1448" s="119"/>
      <c r="CR1448" s="118"/>
      <c r="CS1448" s="119"/>
      <c r="CT1448" s="113"/>
      <c r="CU1448" s="118"/>
      <c r="CV1448" s="99">
        <f t="shared" si="137"/>
        <v>0</v>
      </c>
      <c r="CW1448" s="118"/>
      <c r="CX1448" s="119"/>
      <c r="CY1448" s="119"/>
      <c r="CZ1448" s="119"/>
      <c r="DA1448" s="118"/>
      <c r="DB1448" s="119"/>
      <c r="DC1448" s="111"/>
      <c r="DD1448" s="119"/>
      <c r="DE1448" s="111"/>
      <c r="DF1448" s="46"/>
    </row>
    <row r="1449" spans="1:110" s="42" customFormat="1" ht="24" x14ac:dyDescent="0.2">
      <c r="A1449" s="89">
        <v>40709</v>
      </c>
      <c r="B1449" s="106" t="s">
        <v>4308</v>
      </c>
      <c r="C1449" s="106" t="s">
        <v>2248</v>
      </c>
      <c r="D1449" s="90" t="s">
        <v>4264</v>
      </c>
      <c r="E1449" s="90" t="str">
        <f>VLOOKUP(B1449&amp;C1449,Divipola!$C$2:$F$1138,4,FALSE)</f>
        <v>47675</v>
      </c>
      <c r="F1449" s="90"/>
      <c r="G1449" s="129"/>
      <c r="H1449" s="129"/>
      <c r="I1449" s="129"/>
      <c r="J1449" s="129">
        <f>405*5</f>
        <v>2025</v>
      </c>
      <c r="K1449" s="129">
        <f>180+225</f>
        <v>405</v>
      </c>
      <c r="L1449" s="129"/>
      <c r="M1449" s="129"/>
      <c r="N1449" s="129"/>
      <c r="O1449" s="129"/>
      <c r="P1449" s="129"/>
      <c r="Q1449" s="129"/>
      <c r="R1449" s="129"/>
      <c r="S1449" s="129"/>
      <c r="T1449" s="129"/>
      <c r="U1449" s="129"/>
      <c r="V1449" s="129"/>
      <c r="W1449" s="107"/>
      <c r="X1449" s="105"/>
      <c r="Y1449" s="92">
        <f t="shared" si="138"/>
        <v>0</v>
      </c>
      <c r="Z1449" s="92">
        <f t="shared" si="139"/>
        <v>0</v>
      </c>
      <c r="AA1449" s="92">
        <f t="shared" si="140"/>
        <v>0</v>
      </c>
      <c r="AB1449" s="92">
        <f t="shared" si="141"/>
        <v>0</v>
      </c>
      <c r="AC1449" s="92"/>
      <c r="AD1449" s="92">
        <v>0</v>
      </c>
      <c r="AE1449" s="92">
        <f t="shared" si="142"/>
        <v>0</v>
      </c>
      <c r="AF1449" s="93">
        <v>0</v>
      </c>
      <c r="AG1449" s="105"/>
      <c r="AH1449" s="108"/>
      <c r="AI1449" s="109" t="s">
        <v>4346</v>
      </c>
      <c r="AJ1449" s="110" t="s">
        <v>4347</v>
      </c>
      <c r="AK1449" s="111"/>
      <c r="AL1449" s="105"/>
      <c r="AM1449" s="112" t="s">
        <v>2026</v>
      </c>
      <c r="AN1449" s="107"/>
      <c r="AO1449" s="107"/>
      <c r="AP1449" s="107"/>
      <c r="AQ1449" s="107"/>
      <c r="AR1449" s="107"/>
      <c r="AS1449" s="107"/>
      <c r="AT1449" s="107"/>
      <c r="AU1449" s="107"/>
      <c r="AV1449" s="107"/>
      <c r="AW1449" s="107"/>
      <c r="AX1449" s="107"/>
      <c r="AY1449" s="107"/>
      <c r="AZ1449" s="107"/>
      <c r="BA1449" s="107"/>
      <c r="BB1449" s="107"/>
      <c r="BC1449" s="107"/>
      <c r="BD1449" s="107"/>
      <c r="BE1449" s="107"/>
      <c r="BF1449" s="107"/>
      <c r="BG1449" s="107"/>
      <c r="BH1449" s="107"/>
      <c r="BI1449" s="107"/>
      <c r="BJ1449" s="107"/>
      <c r="BK1449" s="107"/>
      <c r="BL1449" s="107"/>
      <c r="BM1449" s="107"/>
      <c r="BN1449" s="107"/>
      <c r="BO1449" s="107"/>
      <c r="BP1449" s="107"/>
      <c r="BQ1449" s="107"/>
      <c r="BR1449" s="107"/>
      <c r="BS1449" s="107"/>
      <c r="BT1449" s="107"/>
      <c r="BU1449" s="107"/>
      <c r="BV1449" s="107"/>
      <c r="BW1449" s="107"/>
      <c r="BX1449" s="107"/>
      <c r="BY1449" s="107"/>
      <c r="BZ1449" s="107"/>
      <c r="CA1449" s="107"/>
      <c r="CB1449" s="107"/>
      <c r="CC1449" s="107"/>
      <c r="CD1449" s="107"/>
      <c r="CE1449" s="107"/>
      <c r="CF1449" s="107"/>
      <c r="CG1449" s="107"/>
      <c r="CH1449" s="107"/>
      <c r="CI1449" s="107"/>
      <c r="CJ1449" s="107"/>
      <c r="CK1449" s="107"/>
      <c r="CL1449" s="107"/>
      <c r="CM1449" s="107"/>
      <c r="CN1449" s="118"/>
      <c r="CO1449" s="119"/>
      <c r="CP1449" s="118"/>
      <c r="CQ1449" s="119"/>
      <c r="CR1449" s="118"/>
      <c r="CS1449" s="119"/>
      <c r="CT1449" s="113"/>
      <c r="CU1449" s="118"/>
      <c r="CV1449" s="99">
        <f t="shared" si="137"/>
        <v>0</v>
      </c>
      <c r="CW1449" s="118"/>
      <c r="CX1449" s="119"/>
      <c r="CY1449" s="119"/>
      <c r="CZ1449" s="119"/>
      <c r="DA1449" s="118"/>
      <c r="DB1449" s="119"/>
      <c r="DC1449" s="111"/>
      <c r="DD1449" s="119"/>
      <c r="DE1449" s="111"/>
      <c r="DF1449" s="46"/>
    </row>
    <row r="1450" spans="1:110" s="42" customFormat="1" ht="24" x14ac:dyDescent="0.2">
      <c r="A1450" s="89">
        <v>40709</v>
      </c>
      <c r="B1450" s="106" t="s">
        <v>4308</v>
      </c>
      <c r="C1450" s="106" t="s">
        <v>782</v>
      </c>
      <c r="D1450" s="90" t="s">
        <v>4264</v>
      </c>
      <c r="E1450" s="90" t="str">
        <f>VLOOKUP(B1450&amp;C1450,Divipola!$C$2:$F$1138,4,FALSE)</f>
        <v>47692</v>
      </c>
      <c r="F1450" s="90"/>
      <c r="G1450" s="129"/>
      <c r="H1450" s="129"/>
      <c r="I1450" s="129"/>
      <c r="J1450" s="129">
        <f>200*5</f>
        <v>1000</v>
      </c>
      <c r="K1450" s="129">
        <v>200</v>
      </c>
      <c r="L1450" s="129"/>
      <c r="M1450" s="129"/>
      <c r="N1450" s="129"/>
      <c r="O1450" s="129"/>
      <c r="P1450" s="129"/>
      <c r="Q1450" s="129"/>
      <c r="R1450" s="129"/>
      <c r="S1450" s="129"/>
      <c r="T1450" s="129"/>
      <c r="U1450" s="129"/>
      <c r="V1450" s="129"/>
      <c r="W1450" s="107"/>
      <c r="X1450" s="105"/>
      <c r="Y1450" s="92">
        <f t="shared" si="138"/>
        <v>0</v>
      </c>
      <c r="Z1450" s="92">
        <f t="shared" si="139"/>
        <v>0</v>
      </c>
      <c r="AA1450" s="92">
        <f t="shared" si="140"/>
        <v>0</v>
      </c>
      <c r="AB1450" s="92">
        <f t="shared" si="141"/>
        <v>0</v>
      </c>
      <c r="AC1450" s="92"/>
      <c r="AD1450" s="92">
        <v>0</v>
      </c>
      <c r="AE1450" s="92">
        <f t="shared" si="142"/>
        <v>0</v>
      </c>
      <c r="AF1450" s="93">
        <v>0</v>
      </c>
      <c r="AG1450" s="105"/>
      <c r="AH1450" s="108"/>
      <c r="AI1450" s="109" t="s">
        <v>4346</v>
      </c>
      <c r="AJ1450" s="110" t="s">
        <v>4347</v>
      </c>
      <c r="AK1450" s="111"/>
      <c r="AL1450" s="105"/>
      <c r="AM1450" s="112" t="s">
        <v>2025</v>
      </c>
      <c r="AN1450" s="107"/>
      <c r="AO1450" s="107"/>
      <c r="AP1450" s="107"/>
      <c r="AQ1450" s="107"/>
      <c r="AR1450" s="107"/>
      <c r="AS1450" s="107"/>
      <c r="AT1450" s="107"/>
      <c r="AU1450" s="107"/>
      <c r="AV1450" s="107"/>
      <c r="AW1450" s="107"/>
      <c r="AX1450" s="107"/>
      <c r="AY1450" s="107"/>
      <c r="AZ1450" s="107"/>
      <c r="BA1450" s="107"/>
      <c r="BB1450" s="107"/>
      <c r="BC1450" s="107"/>
      <c r="BD1450" s="107"/>
      <c r="BE1450" s="107"/>
      <c r="BF1450" s="107"/>
      <c r="BG1450" s="107"/>
      <c r="BH1450" s="107"/>
      <c r="BI1450" s="107"/>
      <c r="BJ1450" s="107"/>
      <c r="BK1450" s="107"/>
      <c r="BL1450" s="107"/>
      <c r="BM1450" s="107"/>
      <c r="BN1450" s="107"/>
      <c r="BO1450" s="107"/>
      <c r="BP1450" s="107"/>
      <c r="BQ1450" s="107"/>
      <c r="BR1450" s="107"/>
      <c r="BS1450" s="107"/>
      <c r="BT1450" s="107"/>
      <c r="BU1450" s="107"/>
      <c r="BV1450" s="107"/>
      <c r="BW1450" s="107"/>
      <c r="BX1450" s="107"/>
      <c r="BY1450" s="107"/>
      <c r="BZ1450" s="107"/>
      <c r="CA1450" s="107"/>
      <c r="CB1450" s="107"/>
      <c r="CC1450" s="107"/>
      <c r="CD1450" s="107"/>
      <c r="CE1450" s="107"/>
      <c r="CF1450" s="107"/>
      <c r="CG1450" s="107"/>
      <c r="CH1450" s="107"/>
      <c r="CI1450" s="107"/>
      <c r="CJ1450" s="107"/>
      <c r="CK1450" s="107"/>
      <c r="CL1450" s="107"/>
      <c r="CM1450" s="107"/>
      <c r="CN1450" s="118"/>
      <c r="CO1450" s="119"/>
      <c r="CP1450" s="118"/>
      <c r="CQ1450" s="119"/>
      <c r="CR1450" s="118"/>
      <c r="CS1450" s="119"/>
      <c r="CT1450" s="113"/>
      <c r="CU1450" s="118"/>
      <c r="CV1450" s="99">
        <f t="shared" si="137"/>
        <v>0</v>
      </c>
      <c r="CW1450" s="118"/>
      <c r="CX1450" s="119"/>
      <c r="CY1450" s="119"/>
      <c r="CZ1450" s="119"/>
      <c r="DA1450" s="118"/>
      <c r="DB1450" s="119"/>
      <c r="DC1450" s="111"/>
      <c r="DD1450" s="119"/>
      <c r="DE1450" s="111"/>
      <c r="DF1450" s="46"/>
    </row>
    <row r="1451" spans="1:110" s="42" customFormat="1" x14ac:dyDescent="0.2">
      <c r="A1451" s="89">
        <v>40709</v>
      </c>
      <c r="B1451" s="4" t="s">
        <v>4349</v>
      </c>
      <c r="C1451" s="4" t="s">
        <v>4349</v>
      </c>
      <c r="D1451" s="90" t="s">
        <v>4264</v>
      </c>
      <c r="E1451" s="90" t="str">
        <f>VLOOKUP(B1451&amp;C1451,Divipola!$C$2:$F$1138,4,FALSE)</f>
        <v>00000</v>
      </c>
      <c r="F1451" s="4"/>
      <c r="G1451" s="208"/>
      <c r="H1451" s="208"/>
      <c r="I1451" s="208"/>
      <c r="J1451" s="208"/>
      <c r="K1451" s="208"/>
      <c r="L1451" s="208"/>
      <c r="M1451" s="208"/>
      <c r="N1451" s="208"/>
      <c r="O1451" s="208"/>
      <c r="P1451" s="208"/>
      <c r="Q1451" s="208"/>
      <c r="R1451" s="208"/>
      <c r="S1451" s="208"/>
      <c r="T1451" s="208"/>
      <c r="U1451" s="208"/>
      <c r="V1451" s="208"/>
      <c r="W1451" s="19"/>
      <c r="X1451" s="17"/>
      <c r="Y1451" s="5">
        <f t="shared" si="138"/>
        <v>0</v>
      </c>
      <c r="Z1451" s="5">
        <f t="shared" si="139"/>
        <v>0</v>
      </c>
      <c r="AA1451" s="5">
        <f t="shared" si="140"/>
        <v>0</v>
      </c>
      <c r="AB1451" s="5">
        <f t="shared" si="141"/>
        <v>181888000</v>
      </c>
      <c r="AC1451" s="5"/>
      <c r="AD1451" s="5">
        <v>0</v>
      </c>
      <c r="AE1451" s="5">
        <f t="shared" si="142"/>
        <v>181888000</v>
      </c>
      <c r="AF1451" s="70">
        <v>0</v>
      </c>
      <c r="AG1451" s="17"/>
      <c r="AH1451" s="18"/>
      <c r="AI1451" s="102" t="s">
        <v>4346</v>
      </c>
      <c r="AJ1451" s="96" t="s">
        <v>4347</v>
      </c>
      <c r="AK1451" s="45"/>
      <c r="AL1451" s="17"/>
      <c r="AM1451" s="20"/>
      <c r="AN1451" s="19"/>
      <c r="AO1451" s="19"/>
      <c r="AP1451" s="19"/>
      <c r="AQ1451" s="19"/>
      <c r="AR1451" s="19"/>
      <c r="AS1451" s="19"/>
      <c r="AT1451" s="19"/>
      <c r="AU1451" s="19"/>
      <c r="AV1451" s="19"/>
      <c r="AW1451" s="19"/>
      <c r="AX1451" s="107"/>
      <c r="AY1451" s="107"/>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c r="BV1451" s="19"/>
      <c r="BW1451" s="19"/>
      <c r="BX1451" s="19"/>
      <c r="BY1451" s="19"/>
      <c r="BZ1451" s="19"/>
      <c r="CA1451" s="19"/>
      <c r="CB1451" s="19"/>
      <c r="CC1451" s="19"/>
      <c r="CD1451" s="19"/>
      <c r="CE1451" s="19"/>
      <c r="CF1451" s="19"/>
      <c r="CG1451" s="19"/>
      <c r="CH1451" s="19"/>
      <c r="CI1451" s="19"/>
      <c r="CJ1451" s="19"/>
      <c r="CK1451" s="19"/>
      <c r="CL1451" s="19"/>
      <c r="CM1451" s="19"/>
      <c r="CN1451" s="139"/>
      <c r="CO1451" s="138"/>
      <c r="CP1451" s="139"/>
      <c r="CQ1451" s="138"/>
      <c r="CR1451" s="139"/>
      <c r="CS1451" s="138"/>
      <c r="CT1451" s="72"/>
      <c r="CU1451" s="139"/>
      <c r="CV1451" s="99">
        <f t="shared" si="137"/>
        <v>0</v>
      </c>
      <c r="CW1451" s="139">
        <v>200000</v>
      </c>
      <c r="CX1451" s="138">
        <f>200000*909.44</f>
        <v>181888000</v>
      </c>
      <c r="CY1451" s="138"/>
      <c r="CZ1451" s="138"/>
      <c r="DA1451" s="139"/>
      <c r="DB1451" s="138"/>
      <c r="DC1451" s="45"/>
      <c r="DD1451" s="138"/>
      <c r="DE1451" s="45"/>
      <c r="DF1451" s="46"/>
    </row>
    <row r="1452" spans="1:110" s="42" customFormat="1" x14ac:dyDescent="0.2">
      <c r="A1452" s="89">
        <v>40709</v>
      </c>
      <c r="B1452" s="106" t="s">
        <v>2226</v>
      </c>
      <c r="C1452" s="106" t="s">
        <v>1594</v>
      </c>
      <c r="D1452" s="90" t="s">
        <v>2362</v>
      </c>
      <c r="E1452" s="90" t="str">
        <f>VLOOKUP(B1452&amp;C1452,Divipola!$C$2:$F$1138,4,FALSE)</f>
        <v>68176</v>
      </c>
      <c r="F1452" s="90"/>
      <c r="G1452" s="129">
        <v>1</v>
      </c>
      <c r="H1452" s="129"/>
      <c r="I1452" s="129"/>
      <c r="J1452" s="129">
        <v>6</v>
      </c>
      <c r="K1452" s="129">
        <v>2</v>
      </c>
      <c r="L1452" s="129"/>
      <c r="M1452" s="129">
        <v>1</v>
      </c>
      <c r="N1452" s="129"/>
      <c r="O1452" s="129"/>
      <c r="P1452" s="129"/>
      <c r="Q1452" s="129"/>
      <c r="R1452" s="129"/>
      <c r="S1452" s="129"/>
      <c r="T1452" s="129"/>
      <c r="U1452" s="129"/>
      <c r="V1452" s="129"/>
      <c r="W1452" s="107"/>
      <c r="X1452" s="105"/>
      <c r="Y1452" s="92">
        <f t="shared" si="138"/>
        <v>0</v>
      </c>
      <c r="Z1452" s="92">
        <f t="shared" si="139"/>
        <v>0</v>
      </c>
      <c r="AA1452" s="92">
        <f t="shared" si="140"/>
        <v>0</v>
      </c>
      <c r="AB1452" s="92">
        <f t="shared" si="141"/>
        <v>0</v>
      </c>
      <c r="AC1452" s="92"/>
      <c r="AD1452" s="92">
        <v>0</v>
      </c>
      <c r="AE1452" s="92">
        <f t="shared" si="142"/>
        <v>0</v>
      </c>
      <c r="AF1452" s="93">
        <v>0</v>
      </c>
      <c r="AG1452" s="105"/>
      <c r="AH1452" s="108"/>
      <c r="AI1452" s="109" t="s">
        <v>4336</v>
      </c>
      <c r="AJ1452" s="110" t="s">
        <v>4337</v>
      </c>
      <c r="AK1452" s="280"/>
      <c r="AL1452" s="281"/>
      <c r="AM1452" s="112" t="s">
        <v>2372</v>
      </c>
      <c r="AN1452" s="107"/>
      <c r="AO1452" s="107"/>
      <c r="AP1452" s="107"/>
      <c r="AQ1452" s="107"/>
      <c r="AR1452" s="107"/>
      <c r="AS1452" s="107"/>
      <c r="AT1452" s="107"/>
      <c r="AU1452" s="107"/>
      <c r="AV1452" s="107"/>
      <c r="AW1452" s="107"/>
      <c r="AX1452" s="107"/>
      <c r="AY1452" s="107"/>
      <c r="AZ1452" s="107"/>
      <c r="BA1452" s="107"/>
      <c r="BB1452" s="107"/>
      <c r="BC1452" s="107"/>
      <c r="BD1452" s="107"/>
      <c r="BE1452" s="107"/>
      <c r="BF1452" s="107"/>
      <c r="BG1452" s="107"/>
      <c r="BH1452" s="107"/>
      <c r="BI1452" s="107"/>
      <c r="BJ1452" s="107"/>
      <c r="BK1452" s="107"/>
      <c r="BL1452" s="107"/>
      <c r="BM1452" s="107"/>
      <c r="BN1452" s="107"/>
      <c r="BO1452" s="107"/>
      <c r="BP1452" s="107"/>
      <c r="BQ1452" s="107"/>
      <c r="BR1452" s="107"/>
      <c r="BS1452" s="107"/>
      <c r="BT1452" s="107"/>
      <c r="BU1452" s="107"/>
      <c r="BV1452" s="107"/>
      <c r="BW1452" s="107"/>
      <c r="BX1452" s="107"/>
      <c r="BY1452" s="107"/>
      <c r="BZ1452" s="107"/>
      <c r="CA1452" s="107"/>
      <c r="CB1452" s="107"/>
      <c r="CC1452" s="107"/>
      <c r="CD1452" s="107"/>
      <c r="CE1452" s="107"/>
      <c r="CF1452" s="107"/>
      <c r="CG1452" s="107"/>
      <c r="CH1452" s="107"/>
      <c r="CI1452" s="107"/>
      <c r="CJ1452" s="107"/>
      <c r="CK1452" s="107"/>
      <c r="CL1452" s="107"/>
      <c r="CM1452" s="107"/>
      <c r="CN1452" s="118"/>
      <c r="CO1452" s="119"/>
      <c r="CP1452" s="118"/>
      <c r="CQ1452" s="119"/>
      <c r="CR1452" s="118"/>
      <c r="CS1452" s="119"/>
      <c r="CT1452" s="113"/>
      <c r="CU1452" s="118"/>
      <c r="CV1452" s="99">
        <f t="shared" si="137"/>
        <v>0</v>
      </c>
      <c r="CW1452" s="118"/>
      <c r="CX1452" s="119"/>
      <c r="CY1452" s="119"/>
      <c r="CZ1452" s="119"/>
      <c r="DA1452" s="118"/>
      <c r="DB1452" s="119"/>
      <c r="DC1452" s="111"/>
      <c r="DD1452" s="119"/>
      <c r="DE1452" s="111"/>
      <c r="DF1452" s="46">
        <v>1763</v>
      </c>
    </row>
    <row r="1453" spans="1:110" s="42" customFormat="1" ht="60" x14ac:dyDescent="0.2">
      <c r="A1453" s="89">
        <v>40710</v>
      </c>
      <c r="B1453" s="90" t="s">
        <v>1116</v>
      </c>
      <c r="C1453" s="90" t="s">
        <v>1116</v>
      </c>
      <c r="D1453" s="106" t="s">
        <v>4298</v>
      </c>
      <c r="E1453" s="90" t="str">
        <f>VLOOKUP(B1453&amp;C1453,Divipola!$C$2:$F$1138,4,FALSE)</f>
        <v>11001</v>
      </c>
      <c r="F1453" s="90"/>
      <c r="G1453" s="279"/>
      <c r="H1453" s="129">
        <v>3</v>
      </c>
      <c r="I1453" s="129"/>
      <c r="J1453" s="129">
        <v>4</v>
      </c>
      <c r="K1453" s="129">
        <v>1</v>
      </c>
      <c r="L1453" s="129"/>
      <c r="M1453" s="129"/>
      <c r="N1453" s="129"/>
      <c r="O1453" s="129"/>
      <c r="P1453" s="129"/>
      <c r="Q1453" s="129"/>
      <c r="R1453" s="129"/>
      <c r="S1453" s="129"/>
      <c r="T1453" s="129"/>
      <c r="U1453" s="129"/>
      <c r="V1453" s="129"/>
      <c r="W1453" s="107"/>
      <c r="X1453" s="105"/>
      <c r="Y1453" s="92">
        <f t="shared" si="138"/>
        <v>0</v>
      </c>
      <c r="Z1453" s="92">
        <f t="shared" si="139"/>
        <v>0</v>
      </c>
      <c r="AA1453" s="92">
        <f t="shared" si="140"/>
        <v>0</v>
      </c>
      <c r="AB1453" s="92">
        <f t="shared" si="141"/>
        <v>0</v>
      </c>
      <c r="AC1453" s="92"/>
      <c r="AD1453" s="92">
        <v>0</v>
      </c>
      <c r="AE1453" s="92">
        <f t="shared" si="142"/>
        <v>0</v>
      </c>
      <c r="AF1453" s="93">
        <v>0</v>
      </c>
      <c r="AG1453" s="105"/>
      <c r="AH1453" s="108"/>
      <c r="AI1453" s="109" t="s">
        <v>4336</v>
      </c>
      <c r="AJ1453" s="110" t="s">
        <v>4337</v>
      </c>
      <c r="AK1453" s="280"/>
      <c r="AL1453" s="281"/>
      <c r="AM1453" s="112" t="s">
        <v>2376</v>
      </c>
      <c r="AN1453" s="107"/>
      <c r="AO1453" s="107"/>
      <c r="AP1453" s="107"/>
      <c r="AQ1453" s="107"/>
      <c r="AR1453" s="107"/>
      <c r="AS1453" s="107"/>
      <c r="AT1453" s="107"/>
      <c r="AU1453" s="107"/>
      <c r="AV1453" s="107"/>
      <c r="AW1453" s="107"/>
      <c r="AX1453" s="107"/>
      <c r="AY1453" s="107"/>
      <c r="AZ1453" s="107"/>
      <c r="BA1453" s="107"/>
      <c r="BB1453" s="107"/>
      <c r="BC1453" s="107"/>
      <c r="BD1453" s="107"/>
      <c r="BE1453" s="107"/>
      <c r="BF1453" s="107"/>
      <c r="BG1453" s="107"/>
      <c r="BH1453" s="107"/>
      <c r="BI1453" s="107"/>
      <c r="BJ1453" s="107"/>
      <c r="BK1453" s="107"/>
      <c r="BL1453" s="107"/>
      <c r="BM1453" s="107"/>
      <c r="BN1453" s="107"/>
      <c r="BO1453" s="107"/>
      <c r="BP1453" s="107"/>
      <c r="BQ1453" s="107"/>
      <c r="BR1453" s="107"/>
      <c r="BS1453" s="107"/>
      <c r="BT1453" s="107"/>
      <c r="BU1453" s="107"/>
      <c r="BV1453" s="107"/>
      <c r="BW1453" s="107"/>
      <c r="BX1453" s="107"/>
      <c r="BY1453" s="107"/>
      <c r="BZ1453" s="107"/>
      <c r="CA1453" s="107"/>
      <c r="CB1453" s="107"/>
      <c r="CC1453" s="107"/>
      <c r="CD1453" s="107"/>
      <c r="CE1453" s="107"/>
      <c r="CF1453" s="107"/>
      <c r="CG1453" s="107"/>
      <c r="CH1453" s="107"/>
      <c r="CI1453" s="107"/>
      <c r="CJ1453" s="107"/>
      <c r="CK1453" s="107"/>
      <c r="CL1453" s="107"/>
      <c r="CM1453" s="107"/>
      <c r="CN1453" s="118"/>
      <c r="CO1453" s="119"/>
      <c r="CP1453" s="118"/>
      <c r="CQ1453" s="119"/>
      <c r="CR1453" s="118"/>
      <c r="CS1453" s="119"/>
      <c r="CT1453" s="113"/>
      <c r="CU1453" s="118"/>
      <c r="CV1453" s="99">
        <f t="shared" si="137"/>
        <v>0</v>
      </c>
      <c r="CW1453" s="118"/>
      <c r="CX1453" s="119"/>
      <c r="CY1453" s="119"/>
      <c r="CZ1453" s="119"/>
      <c r="DA1453" s="118"/>
      <c r="DB1453" s="119"/>
      <c r="DC1453" s="111"/>
      <c r="DD1453" s="119"/>
      <c r="DE1453" s="111"/>
      <c r="DF1453" s="46"/>
    </row>
    <row r="1454" spans="1:110" s="42" customFormat="1" ht="60" x14ac:dyDescent="0.2">
      <c r="A1454" s="89">
        <v>40710</v>
      </c>
      <c r="B1454" s="106" t="s">
        <v>4261</v>
      </c>
      <c r="C1454" s="106" t="s">
        <v>2662</v>
      </c>
      <c r="D1454" s="90" t="s">
        <v>2362</v>
      </c>
      <c r="E1454" s="90" t="str">
        <f>VLOOKUP(B1454&amp;C1454,Divipola!$C$2:$F$1138,4,FALSE)</f>
        <v>15272</v>
      </c>
      <c r="F1454" s="90"/>
      <c r="G1454" s="129"/>
      <c r="H1454" s="129"/>
      <c r="I1454" s="129"/>
      <c r="J1454" s="129">
        <v>120</v>
      </c>
      <c r="K1454" s="129">
        <v>31</v>
      </c>
      <c r="L1454" s="129">
        <v>3</v>
      </c>
      <c r="M1454" s="129">
        <v>13</v>
      </c>
      <c r="N1454" s="129"/>
      <c r="O1454" s="129"/>
      <c r="P1454" s="129"/>
      <c r="Q1454" s="129"/>
      <c r="R1454" s="129"/>
      <c r="S1454" s="129"/>
      <c r="T1454" s="129"/>
      <c r="U1454" s="129"/>
      <c r="V1454" s="129">
        <v>98</v>
      </c>
      <c r="W1454" s="107"/>
      <c r="X1454" s="105"/>
      <c r="Y1454" s="92">
        <f t="shared" si="138"/>
        <v>0</v>
      </c>
      <c r="Z1454" s="92">
        <f t="shared" si="139"/>
        <v>0</v>
      </c>
      <c r="AA1454" s="92">
        <f t="shared" si="140"/>
        <v>0</v>
      </c>
      <c r="AB1454" s="92">
        <f t="shared" si="141"/>
        <v>0</v>
      </c>
      <c r="AC1454" s="92"/>
      <c r="AD1454" s="92">
        <v>10000000</v>
      </c>
      <c r="AE1454" s="92">
        <f t="shared" si="142"/>
        <v>10000000</v>
      </c>
      <c r="AF1454" s="93">
        <v>0</v>
      </c>
      <c r="AG1454" s="105"/>
      <c r="AH1454" s="108"/>
      <c r="AI1454" s="102" t="s">
        <v>4346</v>
      </c>
      <c r="AJ1454" s="96" t="s">
        <v>4347</v>
      </c>
      <c r="AK1454" s="111"/>
      <c r="AL1454" s="105"/>
      <c r="AM1454" s="112" t="s">
        <v>2378</v>
      </c>
      <c r="AN1454" s="107"/>
      <c r="AO1454" s="107"/>
      <c r="AP1454" s="107"/>
      <c r="AQ1454" s="107"/>
      <c r="AR1454" s="107"/>
      <c r="AS1454" s="107"/>
      <c r="AT1454" s="107"/>
      <c r="AU1454" s="107"/>
      <c r="AV1454" s="107"/>
      <c r="AW1454" s="107"/>
      <c r="AX1454" s="107"/>
      <c r="AY1454" s="107"/>
      <c r="AZ1454" s="107"/>
      <c r="BA1454" s="107"/>
      <c r="BB1454" s="107"/>
      <c r="BC1454" s="107"/>
      <c r="BD1454" s="107"/>
      <c r="BE1454" s="107"/>
      <c r="BF1454" s="107"/>
      <c r="BG1454" s="107"/>
      <c r="BH1454" s="107"/>
      <c r="BI1454" s="107"/>
      <c r="BJ1454" s="107"/>
      <c r="BK1454" s="107"/>
      <c r="BL1454" s="107"/>
      <c r="BM1454" s="107"/>
      <c r="BN1454" s="107"/>
      <c r="BO1454" s="107"/>
      <c r="BP1454" s="107"/>
      <c r="BQ1454" s="107"/>
      <c r="BR1454" s="107"/>
      <c r="BS1454" s="107"/>
      <c r="BT1454" s="107"/>
      <c r="BU1454" s="107"/>
      <c r="BV1454" s="107"/>
      <c r="BW1454" s="107"/>
      <c r="BX1454" s="107"/>
      <c r="BY1454" s="107"/>
      <c r="BZ1454" s="107"/>
      <c r="CA1454" s="107"/>
      <c r="CB1454" s="107"/>
      <c r="CC1454" s="107"/>
      <c r="CD1454" s="107"/>
      <c r="CE1454" s="107"/>
      <c r="CF1454" s="107"/>
      <c r="CG1454" s="107"/>
      <c r="CH1454" s="107"/>
      <c r="CI1454" s="107"/>
      <c r="CJ1454" s="107"/>
      <c r="CK1454" s="107"/>
      <c r="CL1454" s="107"/>
      <c r="CM1454" s="107"/>
      <c r="CN1454" s="118"/>
      <c r="CO1454" s="119"/>
      <c r="CP1454" s="118"/>
      <c r="CQ1454" s="119"/>
      <c r="CR1454" s="118"/>
      <c r="CS1454" s="119"/>
      <c r="CT1454" s="113"/>
      <c r="CU1454" s="118"/>
      <c r="CV1454" s="99">
        <f t="shared" si="137"/>
        <v>0</v>
      </c>
      <c r="CW1454" s="118"/>
      <c r="CX1454" s="119"/>
      <c r="CY1454" s="119"/>
      <c r="CZ1454" s="119"/>
      <c r="DA1454" s="118"/>
      <c r="DB1454" s="119"/>
      <c r="DC1454" s="111"/>
      <c r="DD1454" s="119"/>
      <c r="DE1454" s="111"/>
      <c r="DF1454" s="46"/>
    </row>
    <row r="1455" spans="1:110" s="42" customFormat="1" ht="36" x14ac:dyDescent="0.2">
      <c r="A1455" s="89">
        <v>40710</v>
      </c>
      <c r="B1455" s="106" t="s">
        <v>4261</v>
      </c>
      <c r="C1455" s="106" t="s">
        <v>1184</v>
      </c>
      <c r="D1455" s="90" t="s">
        <v>2362</v>
      </c>
      <c r="E1455" s="90" t="str">
        <f>VLOOKUP(B1455&amp;C1455,Divipola!$C$2:$F$1138,4,FALSE)</f>
        <v>15362</v>
      </c>
      <c r="F1455" s="90"/>
      <c r="G1455" s="129"/>
      <c r="H1455" s="129"/>
      <c r="I1455" s="129"/>
      <c r="J1455" s="129">
        <v>50</v>
      </c>
      <c r="K1455" s="129">
        <v>10</v>
      </c>
      <c r="L1455" s="129"/>
      <c r="M1455" s="129">
        <v>10</v>
      </c>
      <c r="N1455" s="129"/>
      <c r="O1455" s="129"/>
      <c r="P1455" s="129"/>
      <c r="Q1455" s="129"/>
      <c r="R1455" s="129"/>
      <c r="S1455" s="129"/>
      <c r="T1455" s="129"/>
      <c r="U1455" s="129"/>
      <c r="V1455" s="129"/>
      <c r="W1455" s="107"/>
      <c r="X1455" s="105"/>
      <c r="Y1455" s="92">
        <f t="shared" si="138"/>
        <v>0</v>
      </c>
      <c r="Z1455" s="92">
        <f t="shared" si="139"/>
        <v>0</v>
      </c>
      <c r="AA1455" s="92">
        <f t="shared" si="140"/>
        <v>0</v>
      </c>
      <c r="AB1455" s="92">
        <f t="shared" si="141"/>
        <v>0</v>
      </c>
      <c r="AC1455" s="92"/>
      <c r="AD1455" s="92">
        <v>22500000</v>
      </c>
      <c r="AE1455" s="92">
        <f t="shared" si="142"/>
        <v>22500000</v>
      </c>
      <c r="AF1455" s="93">
        <v>0</v>
      </c>
      <c r="AG1455" s="105"/>
      <c r="AH1455" s="108"/>
      <c r="AI1455" s="109" t="s">
        <v>4346</v>
      </c>
      <c r="AJ1455" s="110" t="s">
        <v>4347</v>
      </c>
      <c r="AK1455" s="111"/>
      <c r="AL1455" s="105"/>
      <c r="AM1455" s="112" t="s">
        <v>2381</v>
      </c>
      <c r="AN1455" s="107"/>
      <c r="AO1455" s="107"/>
      <c r="AP1455" s="107"/>
      <c r="AQ1455" s="107"/>
      <c r="AR1455" s="107"/>
      <c r="AS1455" s="107"/>
      <c r="AT1455" s="107"/>
      <c r="AU1455" s="107"/>
      <c r="AV1455" s="107"/>
      <c r="AW1455" s="107"/>
      <c r="AX1455" s="107"/>
      <c r="AY1455" s="107"/>
      <c r="AZ1455" s="107"/>
      <c r="BA1455" s="107"/>
      <c r="BB1455" s="107"/>
      <c r="BC1455" s="107"/>
      <c r="BD1455" s="107"/>
      <c r="BE1455" s="107"/>
      <c r="BF1455" s="107"/>
      <c r="BG1455" s="107"/>
      <c r="BH1455" s="107"/>
      <c r="BI1455" s="107"/>
      <c r="BJ1455" s="107"/>
      <c r="BK1455" s="107"/>
      <c r="BL1455" s="107"/>
      <c r="BM1455" s="107"/>
      <c r="BN1455" s="107"/>
      <c r="BO1455" s="107"/>
      <c r="BP1455" s="107"/>
      <c r="BQ1455" s="107"/>
      <c r="BR1455" s="107"/>
      <c r="BS1455" s="107"/>
      <c r="BT1455" s="107"/>
      <c r="BU1455" s="107"/>
      <c r="BV1455" s="107"/>
      <c r="BW1455" s="107"/>
      <c r="BX1455" s="107"/>
      <c r="BY1455" s="107"/>
      <c r="BZ1455" s="107"/>
      <c r="CA1455" s="107"/>
      <c r="CB1455" s="107"/>
      <c r="CC1455" s="107"/>
      <c r="CD1455" s="107"/>
      <c r="CE1455" s="107"/>
      <c r="CF1455" s="107"/>
      <c r="CG1455" s="107"/>
      <c r="CH1455" s="107"/>
      <c r="CI1455" s="107"/>
      <c r="CJ1455" s="107"/>
      <c r="CK1455" s="107"/>
      <c r="CL1455" s="107"/>
      <c r="CM1455" s="107"/>
      <c r="CN1455" s="118"/>
      <c r="CO1455" s="119"/>
      <c r="CP1455" s="118"/>
      <c r="CQ1455" s="119"/>
      <c r="CR1455" s="118"/>
      <c r="CS1455" s="119"/>
      <c r="CT1455" s="113"/>
      <c r="CU1455" s="118"/>
      <c r="CV1455" s="99">
        <f t="shared" si="137"/>
        <v>0</v>
      </c>
      <c r="CW1455" s="118"/>
      <c r="CX1455" s="119"/>
      <c r="CY1455" s="119"/>
      <c r="CZ1455" s="119"/>
      <c r="DA1455" s="118"/>
      <c r="DB1455" s="119"/>
      <c r="DC1455" s="111"/>
      <c r="DD1455" s="119"/>
      <c r="DE1455" s="111"/>
      <c r="DF1455" s="46"/>
    </row>
    <row r="1456" spans="1:110" s="42" customFormat="1" ht="36" x14ac:dyDescent="0.2">
      <c r="A1456" s="89">
        <v>40710</v>
      </c>
      <c r="B1456" s="106" t="s">
        <v>4261</v>
      </c>
      <c r="C1456" s="106" t="s">
        <v>1252</v>
      </c>
      <c r="D1456" s="90" t="s">
        <v>2362</v>
      </c>
      <c r="E1456" s="90" t="str">
        <f>VLOOKUP(B1456&amp;C1456,Divipola!$C$2:$F$1138,4,FALSE)</f>
        <v>15537</v>
      </c>
      <c r="F1456" s="90"/>
      <c r="G1456" s="129"/>
      <c r="H1456" s="129"/>
      <c r="I1456" s="129"/>
      <c r="J1456" s="129"/>
      <c r="K1456" s="129"/>
      <c r="L1456" s="129"/>
      <c r="M1456" s="129"/>
      <c r="N1456" s="129"/>
      <c r="O1456" s="129"/>
      <c r="P1456" s="129"/>
      <c r="Q1456" s="129"/>
      <c r="R1456" s="129"/>
      <c r="S1456" s="129"/>
      <c r="T1456" s="129"/>
      <c r="U1456" s="129"/>
      <c r="V1456" s="129"/>
      <c r="W1456" s="107"/>
      <c r="X1456" s="105"/>
      <c r="Y1456" s="92">
        <f t="shared" si="138"/>
        <v>0</v>
      </c>
      <c r="Z1456" s="92">
        <f t="shared" si="139"/>
        <v>0</v>
      </c>
      <c r="AA1456" s="92">
        <f t="shared" si="140"/>
        <v>0</v>
      </c>
      <c r="AB1456" s="92">
        <f t="shared" si="141"/>
        <v>0</v>
      </c>
      <c r="AC1456" s="92"/>
      <c r="AD1456" s="92">
        <v>30000000</v>
      </c>
      <c r="AE1456" s="92">
        <f t="shared" si="142"/>
        <v>30000000</v>
      </c>
      <c r="AF1456" s="93">
        <v>0</v>
      </c>
      <c r="AG1456" s="105"/>
      <c r="AH1456" s="108"/>
      <c r="AI1456" s="109" t="s">
        <v>4346</v>
      </c>
      <c r="AJ1456" s="110" t="s">
        <v>4347</v>
      </c>
      <c r="AK1456" s="111"/>
      <c r="AL1456" s="105"/>
      <c r="AM1456" s="112" t="s">
        <v>935</v>
      </c>
      <c r="AN1456" s="107"/>
      <c r="AO1456" s="107"/>
      <c r="AP1456" s="107"/>
      <c r="AQ1456" s="107"/>
      <c r="AR1456" s="107"/>
      <c r="AS1456" s="107"/>
      <c r="AT1456" s="107"/>
      <c r="AU1456" s="107"/>
      <c r="AV1456" s="107"/>
      <c r="AW1456" s="107"/>
      <c r="AX1456" s="107"/>
      <c r="AY1456" s="107"/>
      <c r="AZ1456" s="107"/>
      <c r="BA1456" s="107"/>
      <c r="BB1456" s="107"/>
      <c r="BC1456" s="107"/>
      <c r="BD1456" s="107"/>
      <c r="BE1456" s="107"/>
      <c r="BF1456" s="107"/>
      <c r="BG1456" s="107"/>
      <c r="BH1456" s="107"/>
      <c r="BI1456" s="107"/>
      <c r="BJ1456" s="107"/>
      <c r="BK1456" s="107"/>
      <c r="BL1456" s="107"/>
      <c r="BM1456" s="107"/>
      <c r="BN1456" s="107"/>
      <c r="BO1456" s="107"/>
      <c r="BP1456" s="107"/>
      <c r="BQ1456" s="107"/>
      <c r="BR1456" s="107"/>
      <c r="BS1456" s="107"/>
      <c r="BT1456" s="107"/>
      <c r="BU1456" s="107"/>
      <c r="BV1456" s="107"/>
      <c r="BW1456" s="107"/>
      <c r="BX1456" s="107"/>
      <c r="BY1456" s="107"/>
      <c r="BZ1456" s="107"/>
      <c r="CA1456" s="107"/>
      <c r="CB1456" s="107"/>
      <c r="CC1456" s="107"/>
      <c r="CD1456" s="107"/>
      <c r="CE1456" s="107"/>
      <c r="CF1456" s="107"/>
      <c r="CG1456" s="107"/>
      <c r="CH1456" s="107"/>
      <c r="CI1456" s="107"/>
      <c r="CJ1456" s="107"/>
      <c r="CK1456" s="107"/>
      <c r="CL1456" s="107"/>
      <c r="CM1456" s="107"/>
      <c r="CN1456" s="118"/>
      <c r="CO1456" s="119"/>
      <c r="CP1456" s="118"/>
      <c r="CQ1456" s="119"/>
      <c r="CR1456" s="118"/>
      <c r="CS1456" s="119"/>
      <c r="CT1456" s="113"/>
      <c r="CU1456" s="118"/>
      <c r="CV1456" s="99">
        <f t="shared" si="137"/>
        <v>0</v>
      </c>
      <c r="CW1456" s="118"/>
      <c r="CX1456" s="119"/>
      <c r="CY1456" s="119"/>
      <c r="CZ1456" s="119"/>
      <c r="DA1456" s="118"/>
      <c r="DB1456" s="119"/>
      <c r="DC1456" s="111"/>
      <c r="DD1456" s="119"/>
      <c r="DE1456" s="111"/>
      <c r="DF1456" s="46"/>
    </row>
    <row r="1457" spans="1:110" s="42" customFormat="1" ht="60" x14ac:dyDescent="0.2">
      <c r="A1457" s="89">
        <v>40710</v>
      </c>
      <c r="B1457" s="90" t="s">
        <v>4296</v>
      </c>
      <c r="C1457" s="90" t="s">
        <v>4297</v>
      </c>
      <c r="D1457" s="90" t="s">
        <v>4264</v>
      </c>
      <c r="E1457" s="90" t="str">
        <f>VLOOKUP(B1457&amp;C1457,Divipola!$C$2:$F$1138,4,FALSE)</f>
        <v>19001</v>
      </c>
      <c r="F1457" s="90"/>
      <c r="G1457" s="129"/>
      <c r="H1457" s="129"/>
      <c r="I1457" s="129"/>
      <c r="J1457" s="129"/>
      <c r="K1457" s="129"/>
      <c r="L1457" s="129"/>
      <c r="M1457" s="129"/>
      <c r="N1457" s="129"/>
      <c r="O1457" s="129"/>
      <c r="P1457" s="129"/>
      <c r="Q1457" s="129"/>
      <c r="R1457" s="129"/>
      <c r="S1457" s="129"/>
      <c r="T1457" s="129"/>
      <c r="U1457" s="129"/>
      <c r="V1457" s="129"/>
      <c r="W1457" s="107"/>
      <c r="X1457" s="105"/>
      <c r="Y1457" s="92">
        <f t="shared" si="138"/>
        <v>46140000</v>
      </c>
      <c r="Z1457" s="92">
        <f t="shared" si="139"/>
        <v>0</v>
      </c>
      <c r="AA1457" s="92">
        <f t="shared" si="140"/>
        <v>53000000</v>
      </c>
      <c r="AB1457" s="92">
        <f t="shared" si="141"/>
        <v>0</v>
      </c>
      <c r="AC1457" s="92">
        <f>40*156000</f>
        <v>6240000</v>
      </c>
      <c r="AD1457" s="92">
        <v>150000000</v>
      </c>
      <c r="AE1457" s="92">
        <f t="shared" si="142"/>
        <v>255380000</v>
      </c>
      <c r="AF1457" s="93">
        <v>0</v>
      </c>
      <c r="AG1457" s="105"/>
      <c r="AH1457" s="108"/>
      <c r="AI1457" s="102" t="s">
        <v>4346</v>
      </c>
      <c r="AJ1457" s="96" t="s">
        <v>4347</v>
      </c>
      <c r="AK1457" s="111"/>
      <c r="AL1457" s="105"/>
      <c r="AM1457" s="112" t="s">
        <v>8</v>
      </c>
      <c r="AN1457" s="107"/>
      <c r="AO1457" s="107"/>
      <c r="AP1457" s="107"/>
      <c r="AQ1457" s="107"/>
      <c r="AR1457" s="107"/>
      <c r="AS1457" s="107"/>
      <c r="AT1457" s="107"/>
      <c r="AU1457" s="107"/>
      <c r="AV1457" s="107"/>
      <c r="AW1457" s="107"/>
      <c r="AX1457" s="107"/>
      <c r="AY1457" s="107"/>
      <c r="AZ1457" s="107">
        <v>400</v>
      </c>
      <c r="BA1457" s="107">
        <f>400*56000</f>
        <v>22400000</v>
      </c>
      <c r="BB1457" s="107"/>
      <c r="BC1457" s="107"/>
      <c r="BD1457" s="107"/>
      <c r="BE1457" s="107"/>
      <c r="BF1457" s="107"/>
      <c r="BG1457" s="107"/>
      <c r="BH1457" s="107"/>
      <c r="BI1457" s="107"/>
      <c r="BJ1457" s="107"/>
      <c r="BK1457" s="107"/>
      <c r="BL1457" s="107"/>
      <c r="BM1457" s="107"/>
      <c r="BN1457" s="107"/>
      <c r="BO1457" s="107"/>
      <c r="BP1457" s="107"/>
      <c r="BQ1457" s="107"/>
      <c r="BR1457" s="107"/>
      <c r="BS1457" s="107"/>
      <c r="BT1457" s="107"/>
      <c r="BU1457" s="107"/>
      <c r="BV1457" s="107"/>
      <c r="BW1457" s="107"/>
      <c r="BX1457" s="107"/>
      <c r="BY1457" s="107"/>
      <c r="BZ1457" s="107"/>
      <c r="CA1457" s="107"/>
      <c r="CB1457" s="107"/>
      <c r="CC1457" s="107"/>
      <c r="CD1457" s="107"/>
      <c r="CE1457" s="107"/>
      <c r="CF1457" s="107"/>
      <c r="CG1457" s="107"/>
      <c r="CH1457" s="107"/>
      <c r="CI1457" s="107"/>
      <c r="CJ1457" s="107">
        <v>400</v>
      </c>
      <c r="CK1457" s="107">
        <f>400*21000</f>
        <v>8400000</v>
      </c>
      <c r="CL1457" s="107"/>
      <c r="CM1457" s="107"/>
      <c r="CN1457" s="118"/>
      <c r="CO1457" s="119"/>
      <c r="CP1457" s="118">
        <v>200</v>
      </c>
      <c r="CQ1457" s="119">
        <f>200*37000</f>
        <v>7400000</v>
      </c>
      <c r="CR1457" s="118">
        <v>200</v>
      </c>
      <c r="CS1457" s="119">
        <f>200*39700</f>
        <v>7940000</v>
      </c>
      <c r="CT1457" s="113"/>
      <c r="CU1457" s="118"/>
      <c r="CV1457" s="99">
        <f t="shared" si="137"/>
        <v>46140000</v>
      </c>
      <c r="CW1457" s="118"/>
      <c r="CX1457" s="119"/>
      <c r="CY1457" s="119"/>
      <c r="CZ1457" s="119"/>
      <c r="DA1457" s="118"/>
      <c r="DB1457" s="119"/>
      <c r="DC1457" s="111">
        <f>1000+1000</f>
        <v>2000</v>
      </c>
      <c r="DD1457" s="119">
        <f>1000*23000+1000*30000</f>
        <v>53000000</v>
      </c>
      <c r="DE1457" s="111"/>
      <c r="DF1457" s="46"/>
    </row>
    <row r="1458" spans="1:110" s="42" customFormat="1" ht="36" x14ac:dyDescent="0.2">
      <c r="A1458" s="89">
        <v>40710</v>
      </c>
      <c r="B1458" s="16" t="s">
        <v>4344</v>
      </c>
      <c r="C1458" s="16" t="s">
        <v>1709</v>
      </c>
      <c r="D1458" s="90" t="s">
        <v>2362</v>
      </c>
      <c r="E1458" s="90" t="str">
        <f>VLOOKUP(B1458&amp;C1458,Divipola!$C$2:$F$1138,4,FALSE)</f>
        <v>25299</v>
      </c>
      <c r="F1458" s="4"/>
      <c r="G1458" s="208"/>
      <c r="H1458" s="208"/>
      <c r="I1458" s="208"/>
      <c r="J1458" s="208">
        <v>873</v>
      </c>
      <c r="K1458" s="208">
        <v>288</v>
      </c>
      <c r="L1458" s="208"/>
      <c r="M1458" s="208">
        <v>288</v>
      </c>
      <c r="N1458" s="208"/>
      <c r="O1458" s="208"/>
      <c r="P1458" s="208"/>
      <c r="Q1458" s="208"/>
      <c r="R1458" s="208"/>
      <c r="S1458" s="208"/>
      <c r="T1458" s="208"/>
      <c r="U1458" s="208"/>
      <c r="V1458" s="208"/>
      <c r="W1458" s="19"/>
      <c r="X1458" s="17"/>
      <c r="Y1458" s="5">
        <f t="shared" si="138"/>
        <v>0</v>
      </c>
      <c r="Z1458" s="5">
        <f t="shared" si="139"/>
        <v>0</v>
      </c>
      <c r="AA1458" s="5">
        <f t="shared" si="140"/>
        <v>0</v>
      </c>
      <c r="AB1458" s="5">
        <f t="shared" si="141"/>
        <v>0</v>
      </c>
      <c r="AC1458" s="5"/>
      <c r="AD1458" s="5">
        <v>10000000</v>
      </c>
      <c r="AE1458" s="5">
        <f t="shared" si="142"/>
        <v>10000000</v>
      </c>
      <c r="AF1458" s="70">
        <v>0</v>
      </c>
      <c r="AG1458" s="17"/>
      <c r="AH1458" s="18"/>
      <c r="AI1458" s="47" t="s">
        <v>4346</v>
      </c>
      <c r="AJ1458" s="73" t="s">
        <v>4347</v>
      </c>
      <c r="AK1458" s="45"/>
      <c r="AL1458" s="17"/>
      <c r="AM1458" s="20" t="s">
        <v>952</v>
      </c>
      <c r="AN1458" s="19"/>
      <c r="AO1458" s="19"/>
      <c r="AP1458" s="19"/>
      <c r="AQ1458" s="19"/>
      <c r="AR1458" s="19"/>
      <c r="AS1458" s="19"/>
      <c r="AT1458" s="19"/>
      <c r="AU1458" s="19"/>
      <c r="AV1458" s="19"/>
      <c r="AW1458" s="19"/>
      <c r="AX1458" s="107"/>
      <c r="AY1458" s="107"/>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c r="BV1458" s="19"/>
      <c r="BW1458" s="19"/>
      <c r="BX1458" s="19"/>
      <c r="BY1458" s="19"/>
      <c r="BZ1458" s="19"/>
      <c r="CA1458" s="19"/>
      <c r="CB1458" s="19"/>
      <c r="CC1458" s="19"/>
      <c r="CD1458" s="19"/>
      <c r="CE1458" s="19"/>
      <c r="CF1458" s="19"/>
      <c r="CG1458" s="19"/>
      <c r="CH1458" s="19"/>
      <c r="CI1458" s="19"/>
      <c r="CJ1458" s="19"/>
      <c r="CK1458" s="19"/>
      <c r="CL1458" s="19"/>
      <c r="CM1458" s="19"/>
      <c r="CN1458" s="139"/>
      <c r="CO1458" s="138"/>
      <c r="CP1458" s="139"/>
      <c r="CQ1458" s="138"/>
      <c r="CR1458" s="139"/>
      <c r="CS1458" s="138"/>
      <c r="CT1458" s="72"/>
      <c r="CU1458" s="139"/>
      <c r="CV1458" s="99">
        <f t="shared" si="137"/>
        <v>0</v>
      </c>
      <c r="CW1458" s="139"/>
      <c r="CX1458" s="138"/>
      <c r="CY1458" s="138"/>
      <c r="CZ1458" s="138"/>
      <c r="DA1458" s="139"/>
      <c r="DB1458" s="138"/>
      <c r="DC1458" s="45"/>
      <c r="DD1458" s="138"/>
      <c r="DE1458" s="45"/>
      <c r="DF1458" s="46"/>
    </row>
    <row r="1459" spans="1:110" s="42" customFormat="1" ht="84" x14ac:dyDescent="0.2">
      <c r="A1459" s="89">
        <v>40710</v>
      </c>
      <c r="B1459" s="90" t="s">
        <v>4308</v>
      </c>
      <c r="C1459" s="90" t="s">
        <v>4306</v>
      </c>
      <c r="D1459" s="90" t="s">
        <v>4264</v>
      </c>
      <c r="E1459" s="90" t="str">
        <f>VLOOKUP(B1459&amp;C1459,Divipola!$C$2:$F$1138,4,FALSE)</f>
        <v>47001</v>
      </c>
      <c r="F1459" s="90"/>
      <c r="G1459" s="129">
        <v>1</v>
      </c>
      <c r="H1459" s="302"/>
      <c r="I1459" s="302"/>
      <c r="J1459" s="302"/>
      <c r="K1459" s="302"/>
      <c r="L1459" s="302"/>
      <c r="M1459" s="302"/>
      <c r="N1459" s="129"/>
      <c r="O1459" s="129"/>
      <c r="P1459" s="129"/>
      <c r="Q1459" s="129"/>
      <c r="R1459" s="129"/>
      <c r="S1459" s="129"/>
      <c r="T1459" s="129"/>
      <c r="U1459" s="129"/>
      <c r="V1459" s="129"/>
      <c r="W1459" s="107"/>
      <c r="X1459" s="105"/>
      <c r="Y1459" s="92">
        <f t="shared" si="138"/>
        <v>0</v>
      </c>
      <c r="Z1459" s="92">
        <f t="shared" si="139"/>
        <v>0</v>
      </c>
      <c r="AA1459" s="92">
        <f t="shared" si="140"/>
        <v>0</v>
      </c>
      <c r="AB1459" s="92">
        <f t="shared" si="141"/>
        <v>0</v>
      </c>
      <c r="AC1459" s="92"/>
      <c r="AD1459" s="92">
        <v>0</v>
      </c>
      <c r="AE1459" s="92">
        <f t="shared" si="142"/>
        <v>0</v>
      </c>
      <c r="AF1459" s="93">
        <v>0</v>
      </c>
      <c r="AG1459" s="105"/>
      <c r="AH1459" s="108"/>
      <c r="AI1459" s="109" t="s">
        <v>4336</v>
      </c>
      <c r="AJ1459" s="110" t="s">
        <v>4337</v>
      </c>
      <c r="AK1459" s="285"/>
      <c r="AL1459" s="284"/>
      <c r="AM1459" s="112" t="s">
        <v>376</v>
      </c>
      <c r="AN1459" s="107"/>
      <c r="AO1459" s="107"/>
      <c r="AP1459" s="107"/>
      <c r="AQ1459" s="107"/>
      <c r="AR1459" s="107"/>
      <c r="AS1459" s="107"/>
      <c r="AT1459" s="107"/>
      <c r="AU1459" s="107"/>
      <c r="AV1459" s="107"/>
      <c r="AW1459" s="107"/>
      <c r="AX1459" s="107"/>
      <c r="AY1459" s="107"/>
      <c r="AZ1459" s="107"/>
      <c r="BA1459" s="107"/>
      <c r="BB1459" s="107"/>
      <c r="BC1459" s="107"/>
      <c r="BD1459" s="107"/>
      <c r="BE1459" s="107"/>
      <c r="BF1459" s="107"/>
      <c r="BG1459" s="107"/>
      <c r="BH1459" s="107"/>
      <c r="BI1459" s="107"/>
      <c r="BJ1459" s="107"/>
      <c r="BK1459" s="107"/>
      <c r="BL1459" s="107"/>
      <c r="BM1459" s="107"/>
      <c r="BN1459" s="107"/>
      <c r="BO1459" s="107"/>
      <c r="BP1459" s="107"/>
      <c r="BQ1459" s="107"/>
      <c r="BR1459" s="107"/>
      <c r="BS1459" s="107"/>
      <c r="BT1459" s="107"/>
      <c r="BU1459" s="107"/>
      <c r="BV1459" s="107"/>
      <c r="BW1459" s="107"/>
      <c r="BX1459" s="107"/>
      <c r="BY1459" s="107"/>
      <c r="BZ1459" s="107"/>
      <c r="CA1459" s="107"/>
      <c r="CB1459" s="107"/>
      <c r="CC1459" s="107"/>
      <c r="CD1459" s="107"/>
      <c r="CE1459" s="107"/>
      <c r="CF1459" s="107"/>
      <c r="CG1459" s="107"/>
      <c r="CH1459" s="107"/>
      <c r="CI1459" s="107"/>
      <c r="CJ1459" s="107"/>
      <c r="CK1459" s="107"/>
      <c r="CL1459" s="107"/>
      <c r="CM1459" s="107"/>
      <c r="CN1459" s="118"/>
      <c r="CO1459" s="119"/>
      <c r="CP1459" s="118"/>
      <c r="CQ1459" s="119"/>
      <c r="CR1459" s="118"/>
      <c r="CS1459" s="119"/>
      <c r="CT1459" s="113"/>
      <c r="CU1459" s="118"/>
      <c r="CV1459" s="99">
        <f t="shared" si="137"/>
        <v>0</v>
      </c>
      <c r="CW1459" s="118"/>
      <c r="CX1459" s="119"/>
      <c r="CY1459" s="119"/>
      <c r="CZ1459" s="119"/>
      <c r="DA1459" s="118"/>
      <c r="DB1459" s="119"/>
      <c r="DC1459" s="111"/>
      <c r="DD1459" s="119"/>
      <c r="DE1459" s="111"/>
      <c r="DF1459" s="46"/>
    </row>
    <row r="1460" spans="1:110" s="42" customFormat="1" ht="36" x14ac:dyDescent="0.2">
      <c r="A1460" s="89">
        <v>40710</v>
      </c>
      <c r="B1460" s="90" t="s">
        <v>4387</v>
      </c>
      <c r="C1460" s="90" t="s">
        <v>461</v>
      </c>
      <c r="D1460" s="90" t="s">
        <v>4264</v>
      </c>
      <c r="E1460" s="90" t="str">
        <f>VLOOKUP(B1460&amp;C1460,Divipola!$C$2:$F$1138,4,FALSE)</f>
        <v>52250</v>
      </c>
      <c r="F1460" s="90"/>
      <c r="G1460" s="302"/>
      <c r="H1460" s="302"/>
      <c r="I1460" s="302"/>
      <c r="J1460" s="129">
        <v>1500</v>
      </c>
      <c r="K1460" s="129">
        <v>300</v>
      </c>
      <c r="L1460" s="129">
        <v>16</v>
      </c>
      <c r="M1460" s="129">
        <v>284</v>
      </c>
      <c r="N1460" s="129"/>
      <c r="O1460" s="129"/>
      <c r="P1460" s="129"/>
      <c r="Q1460" s="129"/>
      <c r="R1460" s="129"/>
      <c r="S1460" s="129"/>
      <c r="T1460" s="129"/>
      <c r="U1460" s="129"/>
      <c r="V1460" s="129"/>
      <c r="W1460" s="107"/>
      <c r="X1460" s="105"/>
      <c r="Y1460" s="92">
        <f t="shared" si="138"/>
        <v>11100155.999999998</v>
      </c>
      <c r="Z1460" s="92">
        <f t="shared" si="139"/>
        <v>25500000</v>
      </c>
      <c r="AA1460" s="92">
        <f t="shared" si="140"/>
        <v>0</v>
      </c>
      <c r="AB1460" s="92">
        <f t="shared" si="141"/>
        <v>0</v>
      </c>
      <c r="AC1460" s="92"/>
      <c r="AD1460" s="92">
        <v>0</v>
      </c>
      <c r="AE1460" s="92">
        <f t="shared" si="142"/>
        <v>36600156</v>
      </c>
      <c r="AF1460" s="93">
        <v>0</v>
      </c>
      <c r="AG1460" s="105"/>
      <c r="AH1460" s="108"/>
      <c r="AI1460" s="102" t="s">
        <v>4346</v>
      </c>
      <c r="AJ1460" s="96" t="s">
        <v>4347</v>
      </c>
      <c r="AK1460" s="285"/>
      <c r="AL1460" s="284"/>
      <c r="AM1460" s="112" t="s">
        <v>380</v>
      </c>
      <c r="AN1460" s="107"/>
      <c r="AO1460" s="107"/>
      <c r="AP1460" s="107"/>
      <c r="AQ1460" s="107"/>
      <c r="AR1460" s="107"/>
      <c r="AS1460" s="107"/>
      <c r="AT1460" s="107"/>
      <c r="AU1460" s="107"/>
      <c r="AV1460" s="107"/>
      <c r="AW1460" s="107"/>
      <c r="AX1460" s="107"/>
      <c r="AY1460" s="107"/>
      <c r="AZ1460" s="107"/>
      <c r="BA1460" s="107"/>
      <c r="BB1460" s="107"/>
      <c r="BC1460" s="107"/>
      <c r="BD1460" s="107"/>
      <c r="BE1460" s="107"/>
      <c r="BF1460" s="107"/>
      <c r="BG1460" s="107"/>
      <c r="BH1460" s="107"/>
      <c r="BI1460" s="107"/>
      <c r="BJ1460" s="107"/>
      <c r="BK1460" s="107"/>
      <c r="BL1460" s="107"/>
      <c r="BM1460" s="107"/>
      <c r="BN1460" s="107"/>
      <c r="BO1460" s="107"/>
      <c r="BP1460" s="107"/>
      <c r="BQ1460" s="107"/>
      <c r="BR1460" s="107"/>
      <c r="BS1460" s="107"/>
      <c r="BT1460" s="107"/>
      <c r="BU1460" s="107"/>
      <c r="BV1460" s="107"/>
      <c r="BW1460" s="107"/>
      <c r="BX1460" s="107"/>
      <c r="BY1460" s="107"/>
      <c r="BZ1460" s="107"/>
      <c r="CA1460" s="107"/>
      <c r="CB1460" s="107"/>
      <c r="CC1460" s="107"/>
      <c r="CD1460" s="107"/>
      <c r="CE1460" s="107"/>
      <c r="CF1460" s="107"/>
      <c r="CG1460" s="107"/>
      <c r="CH1460" s="107"/>
      <c r="CI1460" s="107"/>
      <c r="CJ1460" s="107"/>
      <c r="CK1460" s="107"/>
      <c r="CL1460" s="107"/>
      <c r="CM1460" s="107"/>
      <c r="CN1460" s="118"/>
      <c r="CO1460" s="119"/>
      <c r="CP1460" s="118">
        <v>300</v>
      </c>
      <c r="CQ1460" s="119">
        <f>300*37000.52</f>
        <v>11100155.999999998</v>
      </c>
      <c r="CR1460" s="118"/>
      <c r="CS1460" s="119"/>
      <c r="CT1460" s="113"/>
      <c r="CU1460" s="118"/>
      <c r="CV1460" s="99">
        <f t="shared" si="137"/>
        <v>11100155.999999998</v>
      </c>
      <c r="CW1460" s="118"/>
      <c r="CX1460" s="119"/>
      <c r="CY1460" s="119">
        <v>300</v>
      </c>
      <c r="CZ1460" s="119">
        <f>300*85000</f>
        <v>25500000</v>
      </c>
      <c r="DA1460" s="118"/>
      <c r="DB1460" s="119"/>
      <c r="DC1460" s="111"/>
      <c r="DD1460" s="119"/>
      <c r="DE1460" s="111"/>
      <c r="DF1460" s="46"/>
    </row>
    <row r="1461" spans="1:110" s="42" customFormat="1" ht="36" x14ac:dyDescent="0.2">
      <c r="A1461" s="89">
        <v>40710</v>
      </c>
      <c r="B1461" s="106" t="s">
        <v>4221</v>
      </c>
      <c r="C1461" s="106" t="s">
        <v>4345</v>
      </c>
      <c r="D1461" s="90" t="s">
        <v>4264</v>
      </c>
      <c r="E1461" s="90">
        <f>VLOOKUP(B1461&amp;C1461,Divipola!$C$2:$F$1138,4,FALSE)</f>
        <v>54</v>
      </c>
      <c r="F1461" s="90"/>
      <c r="G1461" s="129"/>
      <c r="H1461" s="129"/>
      <c r="I1461" s="129"/>
      <c r="J1461" s="129"/>
      <c r="K1461" s="129"/>
      <c r="L1461" s="129"/>
      <c r="M1461" s="129"/>
      <c r="N1461" s="129"/>
      <c r="O1461" s="129"/>
      <c r="P1461" s="129"/>
      <c r="Q1461" s="129"/>
      <c r="R1461" s="129"/>
      <c r="S1461" s="129"/>
      <c r="T1461" s="129"/>
      <c r="U1461" s="129"/>
      <c r="V1461" s="129"/>
      <c r="W1461" s="107"/>
      <c r="X1461" s="105"/>
      <c r="Y1461" s="92">
        <f t="shared" si="138"/>
        <v>0</v>
      </c>
      <c r="Z1461" s="92">
        <f t="shared" si="139"/>
        <v>0</v>
      </c>
      <c r="AA1461" s="92">
        <f t="shared" si="140"/>
        <v>0</v>
      </c>
      <c r="AB1461" s="92">
        <f t="shared" si="141"/>
        <v>0</v>
      </c>
      <c r="AC1461" s="92"/>
      <c r="AD1461" s="92">
        <v>300000000</v>
      </c>
      <c r="AE1461" s="92">
        <f t="shared" si="142"/>
        <v>300000000</v>
      </c>
      <c r="AF1461" s="93">
        <v>0</v>
      </c>
      <c r="AG1461" s="105"/>
      <c r="AH1461" s="108"/>
      <c r="AI1461" s="109" t="s">
        <v>4346</v>
      </c>
      <c r="AJ1461" s="110" t="s">
        <v>4347</v>
      </c>
      <c r="AK1461" s="111"/>
      <c r="AL1461" s="105"/>
      <c r="AM1461" s="112" t="s">
        <v>934</v>
      </c>
      <c r="AN1461" s="107"/>
      <c r="AO1461" s="107"/>
      <c r="AP1461" s="107"/>
      <c r="AQ1461" s="107"/>
      <c r="AR1461" s="107"/>
      <c r="AS1461" s="107"/>
      <c r="AT1461" s="107"/>
      <c r="AU1461" s="107"/>
      <c r="AV1461" s="107"/>
      <c r="AW1461" s="107"/>
      <c r="AX1461" s="107"/>
      <c r="AY1461" s="107"/>
      <c r="AZ1461" s="107"/>
      <c r="BA1461" s="107"/>
      <c r="BB1461" s="107"/>
      <c r="BC1461" s="107"/>
      <c r="BD1461" s="107"/>
      <c r="BE1461" s="107"/>
      <c r="BF1461" s="107"/>
      <c r="BG1461" s="107"/>
      <c r="BH1461" s="107"/>
      <c r="BI1461" s="107"/>
      <c r="BJ1461" s="107"/>
      <c r="BK1461" s="107"/>
      <c r="BL1461" s="107"/>
      <c r="BM1461" s="107"/>
      <c r="BN1461" s="107"/>
      <c r="BO1461" s="107"/>
      <c r="BP1461" s="107"/>
      <c r="BQ1461" s="107"/>
      <c r="BR1461" s="107"/>
      <c r="BS1461" s="107"/>
      <c r="BT1461" s="107"/>
      <c r="BU1461" s="107"/>
      <c r="BV1461" s="107"/>
      <c r="BW1461" s="107"/>
      <c r="BX1461" s="107"/>
      <c r="BY1461" s="107"/>
      <c r="BZ1461" s="107"/>
      <c r="CA1461" s="107"/>
      <c r="CB1461" s="107"/>
      <c r="CC1461" s="107"/>
      <c r="CD1461" s="107"/>
      <c r="CE1461" s="107"/>
      <c r="CF1461" s="107"/>
      <c r="CG1461" s="107"/>
      <c r="CH1461" s="107"/>
      <c r="CI1461" s="107"/>
      <c r="CJ1461" s="107"/>
      <c r="CK1461" s="107"/>
      <c r="CL1461" s="107"/>
      <c r="CM1461" s="107"/>
      <c r="CN1461" s="118"/>
      <c r="CO1461" s="119"/>
      <c r="CP1461" s="118"/>
      <c r="CQ1461" s="119"/>
      <c r="CR1461" s="118"/>
      <c r="CS1461" s="119"/>
      <c r="CT1461" s="113"/>
      <c r="CU1461" s="118"/>
      <c r="CV1461" s="99">
        <f t="shared" si="137"/>
        <v>0</v>
      </c>
      <c r="CW1461" s="118"/>
      <c r="CX1461" s="119"/>
      <c r="CY1461" s="119"/>
      <c r="CZ1461" s="119"/>
      <c r="DA1461" s="118"/>
      <c r="DB1461" s="119"/>
      <c r="DC1461" s="111"/>
      <c r="DD1461" s="119"/>
      <c r="DE1461" s="111"/>
      <c r="DF1461" s="46"/>
    </row>
    <row r="1462" spans="1:110" s="42" customFormat="1" ht="24" x14ac:dyDescent="0.2">
      <c r="A1462" s="89">
        <v>40710</v>
      </c>
      <c r="B1462" s="106" t="s">
        <v>4221</v>
      </c>
      <c r="C1462" s="106" t="s">
        <v>4345</v>
      </c>
      <c r="D1462" s="90" t="s">
        <v>4264</v>
      </c>
      <c r="E1462" s="90">
        <f>VLOOKUP(B1462&amp;C1462,Divipola!$C$2:$F$1138,4,FALSE)</f>
        <v>54</v>
      </c>
      <c r="F1462" s="90"/>
      <c r="G1462" s="129"/>
      <c r="H1462" s="129"/>
      <c r="I1462" s="129"/>
      <c r="J1462" s="129"/>
      <c r="K1462" s="129"/>
      <c r="L1462" s="129"/>
      <c r="M1462" s="129"/>
      <c r="N1462" s="129"/>
      <c r="O1462" s="129"/>
      <c r="P1462" s="129"/>
      <c r="Q1462" s="129"/>
      <c r="R1462" s="129"/>
      <c r="S1462" s="129"/>
      <c r="T1462" s="129"/>
      <c r="U1462" s="129"/>
      <c r="V1462" s="129"/>
      <c r="W1462" s="107"/>
      <c r="X1462" s="105"/>
      <c r="Y1462" s="92">
        <f t="shared" si="138"/>
        <v>15340000</v>
      </c>
      <c r="Z1462" s="92">
        <f t="shared" si="139"/>
        <v>17000000</v>
      </c>
      <c r="AA1462" s="92">
        <f t="shared" si="140"/>
        <v>0</v>
      </c>
      <c r="AB1462" s="92">
        <f t="shared" si="141"/>
        <v>0</v>
      </c>
      <c r="AC1462" s="92"/>
      <c r="AD1462" s="92">
        <v>0</v>
      </c>
      <c r="AE1462" s="92">
        <f t="shared" si="142"/>
        <v>32340000</v>
      </c>
      <c r="AF1462" s="93">
        <v>0</v>
      </c>
      <c r="AG1462" s="105"/>
      <c r="AH1462" s="108"/>
      <c r="AI1462" s="102" t="s">
        <v>4346</v>
      </c>
      <c r="AJ1462" s="96" t="s">
        <v>4347</v>
      </c>
      <c r="AK1462" s="111"/>
      <c r="AL1462" s="105"/>
      <c r="AM1462" s="112" t="s">
        <v>2784</v>
      </c>
      <c r="AN1462" s="107"/>
      <c r="AO1462" s="107"/>
      <c r="AP1462" s="107"/>
      <c r="AQ1462" s="107"/>
      <c r="AR1462" s="107"/>
      <c r="AS1462" s="107"/>
      <c r="AT1462" s="107"/>
      <c r="AU1462" s="107"/>
      <c r="AV1462" s="107"/>
      <c r="AW1462" s="107"/>
      <c r="AX1462" s="107"/>
      <c r="AY1462" s="107"/>
      <c r="AZ1462" s="107"/>
      <c r="BA1462" s="107"/>
      <c r="BB1462" s="107"/>
      <c r="BC1462" s="107"/>
      <c r="BD1462" s="107"/>
      <c r="BE1462" s="107"/>
      <c r="BF1462" s="107"/>
      <c r="BG1462" s="107"/>
      <c r="BH1462" s="107"/>
      <c r="BI1462" s="107"/>
      <c r="BJ1462" s="107"/>
      <c r="BK1462" s="107"/>
      <c r="BL1462" s="107"/>
      <c r="BM1462" s="107"/>
      <c r="BN1462" s="107"/>
      <c r="BO1462" s="107"/>
      <c r="BP1462" s="107"/>
      <c r="BQ1462" s="107"/>
      <c r="BR1462" s="107"/>
      <c r="BS1462" s="107"/>
      <c r="BT1462" s="107"/>
      <c r="BU1462" s="107"/>
      <c r="BV1462" s="107"/>
      <c r="BW1462" s="107"/>
      <c r="BX1462" s="107"/>
      <c r="BY1462" s="107"/>
      <c r="BZ1462" s="107"/>
      <c r="CA1462" s="107"/>
      <c r="CB1462" s="107"/>
      <c r="CC1462" s="107"/>
      <c r="CD1462" s="107"/>
      <c r="CE1462" s="107"/>
      <c r="CF1462" s="107"/>
      <c r="CG1462" s="107"/>
      <c r="CH1462" s="107"/>
      <c r="CI1462" s="107"/>
      <c r="CJ1462" s="107"/>
      <c r="CK1462" s="107"/>
      <c r="CL1462" s="107"/>
      <c r="CM1462" s="107"/>
      <c r="CN1462" s="118"/>
      <c r="CO1462" s="119"/>
      <c r="CP1462" s="118">
        <v>200</v>
      </c>
      <c r="CQ1462" s="119">
        <f>200*37000</f>
        <v>7400000</v>
      </c>
      <c r="CR1462" s="118">
        <v>200</v>
      </c>
      <c r="CS1462" s="119">
        <f>200*39700</f>
        <v>7940000</v>
      </c>
      <c r="CT1462" s="113"/>
      <c r="CU1462" s="118"/>
      <c r="CV1462" s="99">
        <f t="shared" si="137"/>
        <v>15340000</v>
      </c>
      <c r="CW1462" s="118"/>
      <c r="CX1462" s="119"/>
      <c r="CY1462" s="119">
        <v>200</v>
      </c>
      <c r="CZ1462" s="119">
        <f>200*85000</f>
        <v>17000000</v>
      </c>
      <c r="DA1462" s="118"/>
      <c r="DB1462" s="119"/>
      <c r="DC1462" s="111"/>
      <c r="DD1462" s="119"/>
      <c r="DE1462" s="111"/>
      <c r="DF1462" s="46"/>
    </row>
    <row r="1463" spans="1:110" s="42" customFormat="1" ht="84" x14ac:dyDescent="0.2">
      <c r="A1463" s="89">
        <v>40710</v>
      </c>
      <c r="B1463" s="16" t="s">
        <v>4244</v>
      </c>
      <c r="C1463" s="16" t="s">
        <v>4322</v>
      </c>
      <c r="D1463" s="90" t="s">
        <v>4264</v>
      </c>
      <c r="E1463" s="90" t="str">
        <f>VLOOKUP(B1463&amp;C1463,Divipola!$C$2:$F$1138,4,FALSE)</f>
        <v>76109</v>
      </c>
      <c r="F1463" s="4"/>
      <c r="G1463" s="208"/>
      <c r="H1463" s="208"/>
      <c r="I1463" s="208"/>
      <c r="J1463" s="208"/>
      <c r="K1463" s="208"/>
      <c r="L1463" s="208"/>
      <c r="M1463" s="208"/>
      <c r="N1463" s="208"/>
      <c r="O1463" s="208"/>
      <c r="P1463" s="208"/>
      <c r="Q1463" s="208"/>
      <c r="R1463" s="208"/>
      <c r="S1463" s="208"/>
      <c r="T1463" s="208"/>
      <c r="U1463" s="208"/>
      <c r="V1463" s="208"/>
      <c r="W1463" s="19"/>
      <c r="X1463" s="17"/>
      <c r="Y1463" s="5">
        <f t="shared" si="138"/>
        <v>0</v>
      </c>
      <c r="Z1463" s="5">
        <f t="shared" si="139"/>
        <v>0</v>
      </c>
      <c r="AA1463" s="5">
        <f t="shared" si="140"/>
        <v>34998940</v>
      </c>
      <c r="AB1463" s="5">
        <f t="shared" si="141"/>
        <v>0</v>
      </c>
      <c r="AC1463" s="5">
        <f>100*17922+100*14442+50*250000</f>
        <v>15736400</v>
      </c>
      <c r="AD1463" s="5">
        <v>0</v>
      </c>
      <c r="AE1463" s="5">
        <f t="shared" si="142"/>
        <v>50735340</v>
      </c>
      <c r="AF1463" s="70">
        <v>0</v>
      </c>
      <c r="AG1463" s="17"/>
      <c r="AH1463" s="18"/>
      <c r="AI1463" s="47" t="s">
        <v>4346</v>
      </c>
      <c r="AJ1463" s="73" t="s">
        <v>4347</v>
      </c>
      <c r="AK1463" s="45"/>
      <c r="AL1463" s="17"/>
      <c r="AM1463" s="20" t="s">
        <v>4566</v>
      </c>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c r="BV1463" s="19"/>
      <c r="BW1463" s="19"/>
      <c r="BX1463" s="19"/>
      <c r="BY1463" s="19"/>
      <c r="BZ1463" s="19"/>
      <c r="CA1463" s="19"/>
      <c r="CB1463" s="19"/>
      <c r="CC1463" s="19"/>
      <c r="CD1463" s="139"/>
      <c r="CE1463" s="138"/>
      <c r="CF1463" s="139"/>
      <c r="CG1463" s="138"/>
      <c r="CH1463" s="139"/>
      <c r="CI1463" s="138"/>
      <c r="CJ1463" s="72"/>
      <c r="CK1463" s="139"/>
      <c r="CL1463" s="71"/>
      <c r="CM1463" s="139"/>
      <c r="CN1463" s="138"/>
      <c r="CO1463" s="138"/>
      <c r="CP1463" s="138"/>
      <c r="CQ1463" s="139"/>
      <c r="CR1463" s="138"/>
      <c r="CS1463" s="45"/>
      <c r="CT1463" s="138"/>
      <c r="CU1463" s="45"/>
      <c r="CV1463" s="99">
        <f t="shared" si="137"/>
        <v>0</v>
      </c>
      <c r="CW1463" s="139"/>
      <c r="CX1463" s="138"/>
      <c r="CY1463" s="138"/>
      <c r="CZ1463" s="138"/>
      <c r="DA1463" s="139">
        <v>500</v>
      </c>
      <c r="DB1463" s="138">
        <f>500*24999.16</f>
        <v>12499580</v>
      </c>
      <c r="DC1463" s="158">
        <v>1000</v>
      </c>
      <c r="DD1463" s="157">
        <f>1000*22499.36</f>
        <v>22499360</v>
      </c>
      <c r="DE1463" s="45"/>
      <c r="DF1463" s="46"/>
    </row>
    <row r="1464" spans="1:110" s="42" customFormat="1" ht="36" x14ac:dyDescent="0.2">
      <c r="A1464" s="89">
        <v>40710</v>
      </c>
      <c r="B1464" s="106" t="s">
        <v>4244</v>
      </c>
      <c r="C1464" s="106" t="s">
        <v>4268</v>
      </c>
      <c r="D1464" s="90" t="s">
        <v>2362</v>
      </c>
      <c r="E1464" s="90" t="str">
        <f>VLOOKUP(B1464&amp;C1464,Divipola!$C$2:$F$1138,4,FALSE)</f>
        <v>76243</v>
      </c>
      <c r="F1464" s="90"/>
      <c r="G1464" s="129"/>
      <c r="H1464" s="129"/>
      <c r="I1464" s="129"/>
      <c r="J1464" s="129"/>
      <c r="K1464" s="129"/>
      <c r="L1464" s="129"/>
      <c r="M1464" s="129"/>
      <c r="N1464" s="129"/>
      <c r="O1464" s="129"/>
      <c r="P1464" s="129"/>
      <c r="Q1464" s="129"/>
      <c r="R1464" s="129"/>
      <c r="S1464" s="129"/>
      <c r="T1464" s="129"/>
      <c r="U1464" s="129"/>
      <c r="V1464" s="129"/>
      <c r="W1464" s="107"/>
      <c r="X1464" s="105"/>
      <c r="Y1464" s="92">
        <f t="shared" si="138"/>
        <v>0</v>
      </c>
      <c r="Z1464" s="92">
        <f t="shared" si="139"/>
        <v>0</v>
      </c>
      <c r="AA1464" s="92">
        <f t="shared" si="140"/>
        <v>0</v>
      </c>
      <c r="AB1464" s="92">
        <f t="shared" si="141"/>
        <v>0</v>
      </c>
      <c r="AC1464" s="92"/>
      <c r="AD1464" s="92">
        <v>15000000</v>
      </c>
      <c r="AE1464" s="92">
        <f t="shared" si="142"/>
        <v>15000000</v>
      </c>
      <c r="AF1464" s="93">
        <v>0</v>
      </c>
      <c r="AG1464" s="105"/>
      <c r="AH1464" s="108"/>
      <c r="AI1464" s="109" t="s">
        <v>4346</v>
      </c>
      <c r="AJ1464" s="110" t="s">
        <v>4347</v>
      </c>
      <c r="AK1464" s="111"/>
      <c r="AL1464" s="105"/>
      <c r="AM1464" s="112" t="s">
        <v>933</v>
      </c>
      <c r="AN1464" s="107"/>
      <c r="AO1464" s="107"/>
      <c r="AP1464" s="107"/>
      <c r="AQ1464" s="107"/>
      <c r="AR1464" s="107"/>
      <c r="AS1464" s="107"/>
      <c r="AT1464" s="107"/>
      <c r="AU1464" s="107"/>
      <c r="AV1464" s="107"/>
      <c r="AW1464" s="107"/>
      <c r="AX1464" s="107"/>
      <c r="AY1464" s="107"/>
      <c r="AZ1464" s="107"/>
      <c r="BA1464" s="107"/>
      <c r="BB1464" s="107"/>
      <c r="BC1464" s="107"/>
      <c r="BD1464" s="107"/>
      <c r="BE1464" s="107"/>
      <c r="BF1464" s="107"/>
      <c r="BG1464" s="107"/>
      <c r="BH1464" s="107"/>
      <c r="BI1464" s="107"/>
      <c r="BJ1464" s="107"/>
      <c r="BK1464" s="107"/>
      <c r="BL1464" s="107"/>
      <c r="BM1464" s="107"/>
      <c r="BN1464" s="107"/>
      <c r="BO1464" s="107"/>
      <c r="BP1464" s="107"/>
      <c r="BQ1464" s="107"/>
      <c r="BR1464" s="107"/>
      <c r="BS1464" s="107"/>
      <c r="BT1464" s="107"/>
      <c r="BU1464" s="107"/>
      <c r="BV1464" s="107"/>
      <c r="BW1464" s="107"/>
      <c r="BX1464" s="107"/>
      <c r="BY1464" s="107"/>
      <c r="BZ1464" s="107"/>
      <c r="CA1464" s="107"/>
      <c r="CB1464" s="107"/>
      <c r="CC1464" s="107"/>
      <c r="CD1464" s="107"/>
      <c r="CE1464" s="107"/>
      <c r="CF1464" s="107"/>
      <c r="CG1464" s="107"/>
      <c r="CH1464" s="107"/>
      <c r="CI1464" s="107"/>
      <c r="CJ1464" s="107"/>
      <c r="CK1464" s="107"/>
      <c r="CL1464" s="107"/>
      <c r="CM1464" s="107"/>
      <c r="CN1464" s="118"/>
      <c r="CO1464" s="119"/>
      <c r="CP1464" s="118"/>
      <c r="CQ1464" s="119"/>
      <c r="CR1464" s="118"/>
      <c r="CS1464" s="119"/>
      <c r="CT1464" s="113"/>
      <c r="CU1464" s="118"/>
      <c r="CV1464" s="99">
        <f t="shared" si="137"/>
        <v>0</v>
      </c>
      <c r="CW1464" s="118"/>
      <c r="CX1464" s="119"/>
      <c r="CY1464" s="119"/>
      <c r="CZ1464" s="119"/>
      <c r="DA1464" s="118"/>
      <c r="DB1464" s="119"/>
      <c r="DC1464" s="111"/>
      <c r="DD1464" s="119"/>
      <c r="DE1464" s="111"/>
      <c r="DF1464" s="46"/>
    </row>
    <row r="1465" spans="1:110" s="42" customFormat="1" ht="36" x14ac:dyDescent="0.2">
      <c r="A1465" s="89">
        <v>40711</v>
      </c>
      <c r="B1465" s="106" t="s">
        <v>4261</v>
      </c>
      <c r="C1465" s="106" t="s">
        <v>3356</v>
      </c>
      <c r="D1465" s="90" t="s">
        <v>2362</v>
      </c>
      <c r="E1465" s="90" t="str">
        <f>VLOOKUP(B1465&amp;C1465,Divipola!$C$2:$F$1138,4,FALSE)</f>
        <v>15690</v>
      </c>
      <c r="F1465" s="90"/>
      <c r="G1465" s="129"/>
      <c r="H1465" s="129"/>
      <c r="I1465" s="129"/>
      <c r="J1465" s="129"/>
      <c r="K1465" s="129"/>
      <c r="L1465" s="129"/>
      <c r="M1465" s="129"/>
      <c r="N1465" s="129"/>
      <c r="O1465" s="129"/>
      <c r="P1465" s="129"/>
      <c r="Q1465" s="129"/>
      <c r="R1465" s="129"/>
      <c r="S1465" s="129"/>
      <c r="T1465" s="129"/>
      <c r="U1465" s="129"/>
      <c r="V1465" s="129"/>
      <c r="W1465" s="107"/>
      <c r="X1465" s="105"/>
      <c r="Y1465" s="92">
        <f t="shared" si="138"/>
        <v>0</v>
      </c>
      <c r="Z1465" s="92">
        <f t="shared" si="139"/>
        <v>0</v>
      </c>
      <c r="AA1465" s="92">
        <f t="shared" si="140"/>
        <v>0</v>
      </c>
      <c r="AB1465" s="92">
        <f t="shared" si="141"/>
        <v>0</v>
      </c>
      <c r="AC1465" s="92"/>
      <c r="AD1465" s="92">
        <v>35000000</v>
      </c>
      <c r="AE1465" s="92">
        <f t="shared" si="142"/>
        <v>35000000</v>
      </c>
      <c r="AF1465" s="93">
        <v>0</v>
      </c>
      <c r="AG1465" s="105"/>
      <c r="AH1465" s="108"/>
      <c r="AI1465" s="102" t="s">
        <v>4346</v>
      </c>
      <c r="AJ1465" s="96" t="s">
        <v>4347</v>
      </c>
      <c r="AK1465" s="111"/>
      <c r="AL1465" s="105"/>
      <c r="AM1465" s="112" t="s">
        <v>2782</v>
      </c>
      <c r="AN1465" s="107"/>
      <c r="AO1465" s="107"/>
      <c r="AP1465" s="107"/>
      <c r="AQ1465" s="107"/>
      <c r="AR1465" s="107"/>
      <c r="AS1465" s="107"/>
      <c r="AT1465" s="107"/>
      <c r="AU1465" s="107"/>
      <c r="AV1465" s="107"/>
      <c r="AW1465" s="107"/>
      <c r="AX1465" s="107"/>
      <c r="AY1465" s="107"/>
      <c r="AZ1465" s="107"/>
      <c r="BA1465" s="107"/>
      <c r="BB1465" s="107"/>
      <c r="BC1465" s="107"/>
      <c r="BD1465" s="107"/>
      <c r="BE1465" s="107"/>
      <c r="BF1465" s="107"/>
      <c r="BG1465" s="107"/>
      <c r="BH1465" s="107"/>
      <c r="BI1465" s="107"/>
      <c r="BJ1465" s="107"/>
      <c r="BK1465" s="107"/>
      <c r="BL1465" s="107"/>
      <c r="BM1465" s="107"/>
      <c r="BN1465" s="107"/>
      <c r="BO1465" s="107"/>
      <c r="BP1465" s="107"/>
      <c r="BQ1465" s="107"/>
      <c r="BR1465" s="107"/>
      <c r="BS1465" s="107"/>
      <c r="BT1465" s="107"/>
      <c r="BU1465" s="107"/>
      <c r="BV1465" s="107"/>
      <c r="BW1465" s="107"/>
      <c r="BX1465" s="107"/>
      <c r="BY1465" s="107"/>
      <c r="BZ1465" s="107"/>
      <c r="CA1465" s="107"/>
      <c r="CB1465" s="107"/>
      <c r="CC1465" s="107"/>
      <c r="CD1465" s="107"/>
      <c r="CE1465" s="107"/>
      <c r="CF1465" s="107"/>
      <c r="CG1465" s="107"/>
      <c r="CH1465" s="107"/>
      <c r="CI1465" s="107"/>
      <c r="CJ1465" s="107"/>
      <c r="CK1465" s="107"/>
      <c r="CL1465" s="107"/>
      <c r="CM1465" s="107"/>
      <c r="CN1465" s="118"/>
      <c r="CO1465" s="119"/>
      <c r="CP1465" s="118"/>
      <c r="CQ1465" s="119"/>
      <c r="CR1465" s="118"/>
      <c r="CS1465" s="119"/>
      <c r="CT1465" s="113"/>
      <c r="CU1465" s="118"/>
      <c r="CV1465" s="99">
        <f t="shared" si="137"/>
        <v>0</v>
      </c>
      <c r="CW1465" s="118"/>
      <c r="CX1465" s="119"/>
      <c r="CY1465" s="119"/>
      <c r="CZ1465" s="119"/>
      <c r="DA1465" s="118"/>
      <c r="DB1465" s="119"/>
      <c r="DC1465" s="111"/>
      <c r="DD1465" s="119"/>
      <c r="DE1465" s="111"/>
      <c r="DF1465" s="46"/>
    </row>
    <row r="1466" spans="1:110" s="42" customFormat="1" ht="48" x14ac:dyDescent="0.2">
      <c r="A1466" s="89">
        <v>40711</v>
      </c>
      <c r="B1466" s="90" t="s">
        <v>4386</v>
      </c>
      <c r="C1466" s="90" t="s">
        <v>3502</v>
      </c>
      <c r="D1466" s="90" t="s">
        <v>4264</v>
      </c>
      <c r="E1466" s="90" t="str">
        <f>VLOOKUP(B1466&amp;C1466,Divipola!$C$2:$F$1138,4,FALSE)</f>
        <v>20001</v>
      </c>
      <c r="F1466" s="90"/>
      <c r="G1466" s="302"/>
      <c r="H1466" s="129"/>
      <c r="I1466" s="129"/>
      <c r="J1466" s="129">
        <v>50</v>
      </c>
      <c r="K1466" s="129">
        <v>10</v>
      </c>
      <c r="L1466" s="129"/>
      <c r="M1466" s="129">
        <v>10</v>
      </c>
      <c r="N1466" s="129"/>
      <c r="O1466" s="129"/>
      <c r="P1466" s="129"/>
      <c r="Q1466" s="129"/>
      <c r="R1466" s="129"/>
      <c r="S1466" s="129"/>
      <c r="T1466" s="129">
        <v>1</v>
      </c>
      <c r="U1466" s="129"/>
      <c r="V1466" s="129"/>
      <c r="W1466" s="107"/>
      <c r="X1466" s="105"/>
      <c r="Y1466" s="92">
        <f t="shared" si="138"/>
        <v>0</v>
      </c>
      <c r="Z1466" s="92">
        <f t="shared" si="139"/>
        <v>0</v>
      </c>
      <c r="AA1466" s="92">
        <f t="shared" si="140"/>
        <v>0</v>
      </c>
      <c r="AB1466" s="92">
        <f t="shared" si="141"/>
        <v>0</v>
      </c>
      <c r="AC1466" s="92"/>
      <c r="AD1466" s="92">
        <v>0</v>
      </c>
      <c r="AE1466" s="92">
        <f t="shared" si="142"/>
        <v>0</v>
      </c>
      <c r="AF1466" s="93">
        <v>0</v>
      </c>
      <c r="AG1466" s="105"/>
      <c r="AH1466" s="108"/>
      <c r="AI1466" s="109" t="s">
        <v>4336</v>
      </c>
      <c r="AJ1466" s="110" t="s">
        <v>4337</v>
      </c>
      <c r="AK1466" s="285"/>
      <c r="AL1466" s="284"/>
      <c r="AM1466" s="112" t="s">
        <v>2695</v>
      </c>
      <c r="AN1466" s="107"/>
      <c r="AO1466" s="107"/>
      <c r="AP1466" s="107"/>
      <c r="AQ1466" s="107"/>
      <c r="AR1466" s="107"/>
      <c r="AS1466" s="107"/>
      <c r="AT1466" s="107"/>
      <c r="AU1466" s="107"/>
      <c r="AV1466" s="107"/>
      <c r="AW1466" s="107"/>
      <c r="AX1466" s="107"/>
      <c r="AY1466" s="107"/>
      <c r="AZ1466" s="107"/>
      <c r="BA1466" s="107"/>
      <c r="BB1466" s="107"/>
      <c r="BC1466" s="107"/>
      <c r="BD1466" s="107"/>
      <c r="BE1466" s="107"/>
      <c r="BF1466" s="107"/>
      <c r="BG1466" s="107"/>
      <c r="BH1466" s="107"/>
      <c r="BI1466" s="107"/>
      <c r="BJ1466" s="107"/>
      <c r="BK1466" s="107"/>
      <c r="BL1466" s="107"/>
      <c r="BM1466" s="107"/>
      <c r="BN1466" s="107"/>
      <c r="BO1466" s="107"/>
      <c r="BP1466" s="107"/>
      <c r="BQ1466" s="107"/>
      <c r="BR1466" s="107"/>
      <c r="BS1466" s="107"/>
      <c r="BT1466" s="107"/>
      <c r="BU1466" s="107"/>
      <c r="BV1466" s="107"/>
      <c r="BW1466" s="107"/>
      <c r="BX1466" s="107"/>
      <c r="BY1466" s="107"/>
      <c r="BZ1466" s="107"/>
      <c r="CA1466" s="107"/>
      <c r="CB1466" s="107"/>
      <c r="CC1466" s="107"/>
      <c r="CD1466" s="107"/>
      <c r="CE1466" s="107"/>
      <c r="CF1466" s="107"/>
      <c r="CG1466" s="107"/>
      <c r="CH1466" s="107"/>
      <c r="CI1466" s="107"/>
      <c r="CJ1466" s="107"/>
      <c r="CK1466" s="107"/>
      <c r="CL1466" s="107"/>
      <c r="CM1466" s="107"/>
      <c r="CN1466" s="118"/>
      <c r="CO1466" s="119"/>
      <c r="CP1466" s="118"/>
      <c r="CQ1466" s="119"/>
      <c r="CR1466" s="118"/>
      <c r="CS1466" s="119"/>
      <c r="CT1466" s="113"/>
      <c r="CU1466" s="118"/>
      <c r="CV1466" s="99">
        <f t="shared" si="137"/>
        <v>0</v>
      </c>
      <c r="CW1466" s="118"/>
      <c r="CX1466" s="119"/>
      <c r="CY1466" s="119"/>
      <c r="CZ1466" s="119"/>
      <c r="DA1466" s="118"/>
      <c r="DB1466" s="119"/>
      <c r="DC1466" s="111"/>
      <c r="DD1466" s="119"/>
      <c r="DE1466" s="111"/>
      <c r="DF1466" s="46"/>
    </row>
    <row r="1467" spans="1:110" s="42" customFormat="1" ht="48" x14ac:dyDescent="0.2">
      <c r="A1467" s="89">
        <v>40711</v>
      </c>
      <c r="B1467" s="90" t="s">
        <v>4282</v>
      </c>
      <c r="C1467" s="90" t="s">
        <v>1590</v>
      </c>
      <c r="D1467" s="90" t="s">
        <v>4264</v>
      </c>
      <c r="E1467" s="90" t="str">
        <f>VLOOKUP(B1467&amp;C1467,Divipola!$C$2:$F$1138,4,FALSE)</f>
        <v>23090</v>
      </c>
      <c r="F1467" s="90"/>
      <c r="G1467" s="302"/>
      <c r="H1467" s="302"/>
      <c r="I1467" s="302"/>
      <c r="J1467" s="129">
        <f>419*4</f>
        <v>1676</v>
      </c>
      <c r="K1467" s="129">
        <v>419</v>
      </c>
      <c r="L1467" s="129"/>
      <c r="M1467" s="129">
        <v>73</v>
      </c>
      <c r="N1467" s="129"/>
      <c r="O1467" s="129"/>
      <c r="P1467" s="129"/>
      <c r="Q1467" s="129"/>
      <c r="R1467" s="129"/>
      <c r="S1467" s="129"/>
      <c r="T1467" s="129"/>
      <c r="U1467" s="129"/>
      <c r="V1467" s="129"/>
      <c r="W1467" s="107"/>
      <c r="X1467" s="105"/>
      <c r="Y1467" s="92">
        <f t="shared" si="138"/>
        <v>0</v>
      </c>
      <c r="Z1467" s="92">
        <f t="shared" si="139"/>
        <v>0</v>
      </c>
      <c r="AA1467" s="92">
        <f t="shared" si="140"/>
        <v>0</v>
      </c>
      <c r="AB1467" s="92">
        <f t="shared" si="141"/>
        <v>0</v>
      </c>
      <c r="AC1467" s="92"/>
      <c r="AD1467" s="92">
        <v>0</v>
      </c>
      <c r="AE1467" s="92">
        <f t="shared" si="142"/>
        <v>0</v>
      </c>
      <c r="AF1467" s="93">
        <v>0</v>
      </c>
      <c r="AG1467" s="105"/>
      <c r="AH1467" s="108"/>
      <c r="AI1467" s="109" t="s">
        <v>4336</v>
      </c>
      <c r="AJ1467" s="110" t="s">
        <v>4337</v>
      </c>
      <c r="AK1467" s="285"/>
      <c r="AL1467" s="284"/>
      <c r="AM1467" s="112" t="s">
        <v>3399</v>
      </c>
      <c r="AN1467" s="107"/>
      <c r="AO1467" s="107"/>
      <c r="AP1467" s="107"/>
      <c r="AQ1467" s="107"/>
      <c r="AR1467" s="107"/>
      <c r="AS1467" s="107"/>
      <c r="AT1467" s="107"/>
      <c r="AU1467" s="107"/>
      <c r="AV1467" s="107"/>
      <c r="AW1467" s="107"/>
      <c r="AX1467" s="107"/>
      <c r="AY1467" s="107"/>
      <c r="AZ1467" s="107"/>
      <c r="BA1467" s="107"/>
      <c r="BB1467" s="107"/>
      <c r="BC1467" s="107"/>
      <c r="BD1467" s="107"/>
      <c r="BE1467" s="107"/>
      <c r="BF1467" s="107"/>
      <c r="BG1467" s="107"/>
      <c r="BH1467" s="107"/>
      <c r="BI1467" s="107"/>
      <c r="BJ1467" s="107"/>
      <c r="BK1467" s="107"/>
      <c r="BL1467" s="107"/>
      <c r="BM1467" s="107"/>
      <c r="BN1467" s="107"/>
      <c r="BO1467" s="107"/>
      <c r="BP1467" s="107"/>
      <c r="BQ1467" s="107"/>
      <c r="BR1467" s="107"/>
      <c r="BS1467" s="107"/>
      <c r="BT1467" s="107"/>
      <c r="BU1467" s="107"/>
      <c r="BV1467" s="107"/>
      <c r="BW1467" s="107"/>
      <c r="BX1467" s="107"/>
      <c r="BY1467" s="107"/>
      <c r="BZ1467" s="107"/>
      <c r="CA1467" s="107"/>
      <c r="CB1467" s="107"/>
      <c r="CC1467" s="107"/>
      <c r="CD1467" s="107"/>
      <c r="CE1467" s="107"/>
      <c r="CF1467" s="107"/>
      <c r="CG1467" s="107"/>
      <c r="CH1467" s="107"/>
      <c r="CI1467" s="107"/>
      <c r="CJ1467" s="107"/>
      <c r="CK1467" s="107"/>
      <c r="CL1467" s="107"/>
      <c r="CM1467" s="107"/>
      <c r="CN1467" s="118"/>
      <c r="CO1467" s="119"/>
      <c r="CP1467" s="118"/>
      <c r="CQ1467" s="119"/>
      <c r="CR1467" s="118"/>
      <c r="CS1467" s="119"/>
      <c r="CT1467" s="113"/>
      <c r="CU1467" s="118"/>
      <c r="CV1467" s="99">
        <f t="shared" si="137"/>
        <v>0</v>
      </c>
      <c r="CW1467" s="118"/>
      <c r="CX1467" s="119"/>
      <c r="CY1467" s="119"/>
      <c r="CZ1467" s="119"/>
      <c r="DA1467" s="118"/>
      <c r="DB1467" s="119"/>
      <c r="DC1467" s="111"/>
      <c r="DD1467" s="119"/>
      <c r="DE1467" s="111"/>
      <c r="DF1467" s="46"/>
    </row>
    <row r="1468" spans="1:110" s="42" customFormat="1" x14ac:dyDescent="0.2">
      <c r="A1468" s="89">
        <v>40711</v>
      </c>
      <c r="B1468" s="16" t="s">
        <v>4282</v>
      </c>
      <c r="C1468" s="16" t="s">
        <v>1594</v>
      </c>
      <c r="D1468" s="90" t="s">
        <v>4264</v>
      </c>
      <c r="E1468" s="90" t="str">
        <f>VLOOKUP(B1468&amp;C1468,Divipola!$C$2:$F$1138,4,FALSE)</f>
        <v>23168</v>
      </c>
      <c r="F1468" s="4"/>
      <c r="G1468" s="208"/>
      <c r="H1468" s="208"/>
      <c r="I1468" s="208"/>
      <c r="J1468" s="208">
        <f>791*4</f>
        <v>3164</v>
      </c>
      <c r="K1468" s="208">
        <v>791</v>
      </c>
      <c r="L1468" s="208"/>
      <c r="M1468" s="208"/>
      <c r="N1468" s="208"/>
      <c r="O1468" s="208"/>
      <c r="P1468" s="208"/>
      <c r="Q1468" s="208"/>
      <c r="R1468" s="208"/>
      <c r="S1468" s="208"/>
      <c r="T1468" s="208"/>
      <c r="U1468" s="208"/>
      <c r="V1468" s="208"/>
      <c r="W1468" s="19"/>
      <c r="X1468" s="17"/>
      <c r="Y1468" s="5">
        <f t="shared" si="138"/>
        <v>0</v>
      </c>
      <c r="Z1468" s="5">
        <f t="shared" si="139"/>
        <v>0</v>
      </c>
      <c r="AA1468" s="5">
        <f t="shared" si="140"/>
        <v>0</v>
      </c>
      <c r="AB1468" s="5">
        <f t="shared" si="141"/>
        <v>0</v>
      </c>
      <c r="AC1468" s="5"/>
      <c r="AD1468" s="5">
        <v>0</v>
      </c>
      <c r="AE1468" s="5">
        <f t="shared" si="142"/>
        <v>0</v>
      </c>
      <c r="AF1468" s="70">
        <v>0</v>
      </c>
      <c r="AG1468" s="17"/>
      <c r="AH1468" s="18"/>
      <c r="AI1468" s="47" t="s">
        <v>4336</v>
      </c>
      <c r="AJ1468" s="73" t="s">
        <v>4337</v>
      </c>
      <c r="AK1468" s="45"/>
      <c r="AL1468" s="17"/>
      <c r="AM1468" s="47" t="s">
        <v>3530</v>
      </c>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c r="BV1468" s="19"/>
      <c r="BW1468" s="19"/>
      <c r="BX1468" s="19"/>
      <c r="BY1468" s="19"/>
      <c r="BZ1468" s="19"/>
      <c r="CA1468" s="19"/>
      <c r="CB1468" s="19"/>
      <c r="CC1468" s="19"/>
      <c r="CD1468" s="139"/>
      <c r="CE1468" s="138"/>
      <c r="CF1468" s="139"/>
      <c r="CG1468" s="138"/>
      <c r="CH1468" s="139"/>
      <c r="CI1468" s="138"/>
      <c r="CJ1468" s="72"/>
      <c r="CK1468" s="139"/>
      <c r="CL1468" s="71"/>
      <c r="CM1468" s="139"/>
      <c r="CN1468" s="138"/>
      <c r="CO1468" s="138"/>
      <c r="CP1468" s="138"/>
      <c r="CQ1468" s="139"/>
      <c r="CR1468" s="138"/>
      <c r="CS1468" s="45"/>
      <c r="CT1468" s="138"/>
      <c r="CU1468" s="45"/>
      <c r="CV1468" s="99">
        <f t="shared" si="137"/>
        <v>0</v>
      </c>
      <c r="CW1468" s="139"/>
      <c r="CX1468" s="138"/>
      <c r="CY1468" s="138"/>
      <c r="CZ1468" s="138"/>
      <c r="DA1468" s="139"/>
      <c r="DB1468" s="138"/>
      <c r="DC1468" s="45"/>
      <c r="DD1468" s="138"/>
      <c r="DE1468" s="45"/>
      <c r="DF1468" s="46"/>
    </row>
    <row r="1469" spans="1:110" s="42" customFormat="1" ht="24" x14ac:dyDescent="0.2">
      <c r="A1469" s="89">
        <v>40711</v>
      </c>
      <c r="B1469" s="106" t="s">
        <v>4344</v>
      </c>
      <c r="C1469" s="106" t="s">
        <v>4345</v>
      </c>
      <c r="D1469" s="90" t="s">
        <v>4264</v>
      </c>
      <c r="E1469" s="90">
        <f>VLOOKUP(B1469&amp;C1469,Divipola!$C$2:$F$1138,4,FALSE)</f>
        <v>25</v>
      </c>
      <c r="F1469" s="90"/>
      <c r="G1469" s="129"/>
      <c r="H1469" s="129"/>
      <c r="I1469" s="129"/>
      <c r="J1469" s="129"/>
      <c r="K1469" s="129"/>
      <c r="L1469" s="129"/>
      <c r="M1469" s="129"/>
      <c r="N1469" s="129"/>
      <c r="O1469" s="129"/>
      <c r="P1469" s="129"/>
      <c r="Q1469" s="129"/>
      <c r="R1469" s="129"/>
      <c r="S1469" s="129"/>
      <c r="T1469" s="129"/>
      <c r="U1469" s="129"/>
      <c r="V1469" s="129"/>
      <c r="W1469" s="107"/>
      <c r="X1469" s="105"/>
      <c r="Y1469" s="92">
        <f t="shared" si="138"/>
        <v>56850000</v>
      </c>
      <c r="Z1469" s="92">
        <f t="shared" si="139"/>
        <v>170000000</v>
      </c>
      <c r="AA1469" s="92">
        <f t="shared" si="140"/>
        <v>0</v>
      </c>
      <c r="AB1469" s="92">
        <f t="shared" si="141"/>
        <v>0</v>
      </c>
      <c r="AC1469" s="92">
        <f>400*7800</f>
        <v>3120000</v>
      </c>
      <c r="AD1469" s="92">
        <v>0</v>
      </c>
      <c r="AE1469" s="92">
        <f t="shared" si="142"/>
        <v>229970000</v>
      </c>
      <c r="AF1469" s="93">
        <v>0</v>
      </c>
      <c r="AG1469" s="105"/>
      <c r="AH1469" s="108"/>
      <c r="AI1469" s="102" t="s">
        <v>4346</v>
      </c>
      <c r="AJ1469" s="96" t="s">
        <v>4347</v>
      </c>
      <c r="AK1469" s="111"/>
      <c r="AL1469" s="105"/>
      <c r="AM1469" s="112" t="s">
        <v>2896</v>
      </c>
      <c r="AN1469" s="107"/>
      <c r="AO1469" s="107"/>
      <c r="AP1469" s="107"/>
      <c r="AQ1469" s="107"/>
      <c r="AR1469" s="107"/>
      <c r="AS1469" s="107"/>
      <c r="AT1469" s="107"/>
      <c r="AU1469" s="107"/>
      <c r="AV1469" s="107"/>
      <c r="AW1469" s="107"/>
      <c r="AX1469" s="107"/>
      <c r="AY1469" s="107"/>
      <c r="AZ1469" s="107"/>
      <c r="BA1469" s="107"/>
      <c r="BB1469" s="107"/>
      <c r="BC1469" s="107"/>
      <c r="BD1469" s="107"/>
      <c r="BE1469" s="107"/>
      <c r="BF1469" s="107"/>
      <c r="BG1469" s="107"/>
      <c r="BH1469" s="107"/>
      <c r="BI1469" s="107"/>
      <c r="BJ1469" s="107"/>
      <c r="BK1469" s="107"/>
      <c r="BL1469" s="107"/>
      <c r="BM1469" s="107"/>
      <c r="BN1469" s="107"/>
      <c r="BO1469" s="107"/>
      <c r="BP1469" s="107"/>
      <c r="BQ1469" s="107"/>
      <c r="BR1469" s="107"/>
      <c r="BS1469" s="107"/>
      <c r="BT1469" s="107"/>
      <c r="BU1469" s="107"/>
      <c r="BV1469" s="107"/>
      <c r="BW1469" s="107"/>
      <c r="BX1469" s="107"/>
      <c r="BY1469" s="107"/>
      <c r="BZ1469" s="107"/>
      <c r="CA1469" s="107"/>
      <c r="CB1469" s="107"/>
      <c r="CC1469" s="107"/>
      <c r="CD1469" s="107"/>
      <c r="CE1469" s="107"/>
      <c r="CF1469" s="107"/>
      <c r="CG1469" s="107"/>
      <c r="CH1469" s="107"/>
      <c r="CI1469" s="107"/>
      <c r="CJ1469" s="107"/>
      <c r="CK1469" s="107"/>
      <c r="CL1469" s="107"/>
      <c r="CM1469" s="107"/>
      <c r="CN1469" s="118"/>
      <c r="CO1469" s="119"/>
      <c r="CP1469" s="118">
        <v>1000</v>
      </c>
      <c r="CQ1469" s="119">
        <f>1000*37000</f>
        <v>37000000</v>
      </c>
      <c r="CR1469" s="118">
        <v>500</v>
      </c>
      <c r="CS1469" s="119">
        <f>500*39700</f>
        <v>19850000</v>
      </c>
      <c r="CT1469" s="113"/>
      <c r="CU1469" s="118"/>
      <c r="CV1469" s="99">
        <f t="shared" si="137"/>
        <v>56850000</v>
      </c>
      <c r="CW1469" s="118"/>
      <c r="CX1469" s="119"/>
      <c r="CY1469" s="119">
        <v>2000</v>
      </c>
      <c r="CZ1469" s="119">
        <f>2000*85000</f>
        <v>170000000</v>
      </c>
      <c r="DA1469" s="118"/>
      <c r="DB1469" s="119"/>
      <c r="DC1469" s="111"/>
      <c r="DD1469" s="119"/>
      <c r="DE1469" s="111"/>
      <c r="DF1469" s="46"/>
    </row>
    <row r="1470" spans="1:110" s="42" customFormat="1" ht="48" x14ac:dyDescent="0.2">
      <c r="A1470" s="89">
        <v>40711</v>
      </c>
      <c r="B1470" s="16" t="s">
        <v>4308</v>
      </c>
      <c r="C1470" s="16" t="s">
        <v>760</v>
      </c>
      <c r="D1470" s="90" t="s">
        <v>4264</v>
      </c>
      <c r="E1470" s="90" t="str">
        <f>VLOOKUP(B1470&amp;C1470,Divipola!$C$2:$F$1138,4,FALSE)</f>
        <v>47318</v>
      </c>
      <c r="F1470" s="4"/>
      <c r="G1470" s="208"/>
      <c r="H1470" s="208"/>
      <c r="I1470" s="208"/>
      <c r="J1470" s="208"/>
      <c r="K1470" s="208"/>
      <c r="L1470" s="208"/>
      <c r="M1470" s="208"/>
      <c r="N1470" s="208">
        <v>1</v>
      </c>
      <c r="O1470" s="208"/>
      <c r="P1470" s="208"/>
      <c r="Q1470" s="208"/>
      <c r="R1470" s="208"/>
      <c r="S1470" s="208"/>
      <c r="T1470" s="208"/>
      <c r="U1470" s="208"/>
      <c r="V1470" s="208"/>
      <c r="W1470" s="19"/>
      <c r="X1470" s="17"/>
      <c r="Y1470" s="5">
        <f t="shared" si="138"/>
        <v>0</v>
      </c>
      <c r="Z1470" s="5">
        <f t="shared" si="139"/>
        <v>0</v>
      </c>
      <c r="AA1470" s="5">
        <f t="shared" si="140"/>
        <v>0</v>
      </c>
      <c r="AB1470" s="5">
        <f t="shared" si="141"/>
        <v>0</v>
      </c>
      <c r="AC1470" s="5"/>
      <c r="AD1470" s="5">
        <v>15000000</v>
      </c>
      <c r="AE1470" s="5">
        <f t="shared" si="142"/>
        <v>15000000</v>
      </c>
      <c r="AF1470" s="70">
        <v>0</v>
      </c>
      <c r="AG1470" s="17"/>
      <c r="AH1470" s="18"/>
      <c r="AI1470" s="95" t="s">
        <v>4346</v>
      </c>
      <c r="AJ1470" s="96" t="s">
        <v>4347</v>
      </c>
      <c r="AK1470" s="45"/>
      <c r="AL1470" s="17"/>
      <c r="AM1470" s="20" t="s">
        <v>4430</v>
      </c>
      <c r="AN1470" s="19"/>
      <c r="AO1470" s="19"/>
      <c r="AP1470" s="19"/>
      <c r="AQ1470" s="19"/>
      <c r="AR1470" s="19"/>
      <c r="AS1470" s="19"/>
      <c r="AT1470" s="19"/>
      <c r="AU1470" s="19"/>
      <c r="AV1470" s="19"/>
      <c r="AW1470" s="19"/>
      <c r="AX1470" s="107"/>
      <c r="AY1470" s="107"/>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39"/>
      <c r="CO1470" s="138"/>
      <c r="CP1470" s="139"/>
      <c r="CQ1470" s="138"/>
      <c r="CR1470" s="139"/>
      <c r="CS1470" s="138"/>
      <c r="CT1470" s="72"/>
      <c r="CU1470" s="139"/>
      <c r="CV1470" s="99">
        <f t="shared" si="137"/>
        <v>0</v>
      </c>
      <c r="CW1470" s="139"/>
      <c r="CX1470" s="138"/>
      <c r="CY1470" s="138"/>
      <c r="CZ1470" s="138"/>
      <c r="DA1470" s="139"/>
      <c r="DB1470" s="138"/>
      <c r="DC1470" s="45"/>
      <c r="DD1470" s="138"/>
      <c r="DE1470" s="45"/>
      <c r="DF1470" s="46"/>
    </row>
    <row r="1471" spans="1:110" s="42" customFormat="1" x14ac:dyDescent="0.2">
      <c r="A1471" s="89">
        <v>40711</v>
      </c>
      <c r="B1471" s="106" t="s">
        <v>4387</v>
      </c>
      <c r="C1471" s="106" t="s">
        <v>4282</v>
      </c>
      <c r="D1471" s="90" t="s">
        <v>2362</v>
      </c>
      <c r="E1471" s="90" t="str">
        <f>VLOOKUP(B1471&amp;C1471,Divipola!$C$2:$F$1138,4,FALSE)</f>
        <v>52215</v>
      </c>
      <c r="F1471" s="4"/>
      <c r="G1471" s="279"/>
      <c r="H1471" s="279"/>
      <c r="I1471" s="279"/>
      <c r="J1471" s="129">
        <v>163</v>
      </c>
      <c r="K1471" s="129">
        <v>88</v>
      </c>
      <c r="L1471" s="129"/>
      <c r="M1471" s="129">
        <v>14</v>
      </c>
      <c r="N1471" s="101"/>
      <c r="O1471" s="101"/>
      <c r="P1471" s="101"/>
      <c r="Q1471" s="101"/>
      <c r="R1471" s="101"/>
      <c r="S1471" s="101"/>
      <c r="T1471" s="101"/>
      <c r="U1471" s="101"/>
      <c r="V1471" s="101">
        <v>109</v>
      </c>
      <c r="W1471" s="19"/>
      <c r="X1471" s="17"/>
      <c r="Y1471" s="5">
        <f t="shared" si="138"/>
        <v>0</v>
      </c>
      <c r="Z1471" s="5">
        <f t="shared" si="139"/>
        <v>0</v>
      </c>
      <c r="AA1471" s="5">
        <f t="shared" si="140"/>
        <v>0</v>
      </c>
      <c r="AB1471" s="5">
        <f t="shared" si="141"/>
        <v>0</v>
      </c>
      <c r="AC1471" s="5"/>
      <c r="AD1471" s="5">
        <v>0</v>
      </c>
      <c r="AE1471" s="5">
        <f t="shared" si="142"/>
        <v>0</v>
      </c>
      <c r="AF1471" s="70">
        <v>0</v>
      </c>
      <c r="AG1471" s="17"/>
      <c r="AH1471" s="18"/>
      <c r="AI1471" s="109" t="s">
        <v>4336</v>
      </c>
      <c r="AJ1471" s="110" t="s">
        <v>4337</v>
      </c>
      <c r="AK1471" s="45"/>
      <c r="AL1471" s="17"/>
      <c r="AM1471" s="100" t="s">
        <v>1145</v>
      </c>
      <c r="AN1471" s="19"/>
      <c r="AO1471" s="19"/>
      <c r="AP1471" s="19"/>
      <c r="AQ1471" s="19"/>
      <c r="AR1471" s="19"/>
      <c r="AS1471" s="19"/>
      <c r="AT1471" s="19"/>
      <c r="AU1471" s="19"/>
      <c r="AV1471" s="19"/>
      <c r="AW1471" s="19"/>
      <c r="AX1471" s="107"/>
      <c r="AY1471" s="107"/>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39"/>
      <c r="CO1471" s="138"/>
      <c r="CP1471" s="139"/>
      <c r="CQ1471" s="138"/>
      <c r="CR1471" s="139"/>
      <c r="CS1471" s="138"/>
      <c r="CT1471" s="72"/>
      <c r="CU1471" s="139"/>
      <c r="CV1471" s="99">
        <f t="shared" si="137"/>
        <v>0</v>
      </c>
      <c r="CW1471" s="139"/>
      <c r="CX1471" s="138"/>
      <c r="CY1471" s="138"/>
      <c r="CZ1471" s="138"/>
      <c r="DA1471" s="139"/>
      <c r="DB1471" s="138"/>
      <c r="DC1471" s="45"/>
      <c r="DD1471" s="138"/>
      <c r="DE1471" s="45"/>
      <c r="DF1471" s="46"/>
    </row>
    <row r="1472" spans="1:110" s="42" customFormat="1" ht="48" x14ac:dyDescent="0.2">
      <c r="A1472" s="89">
        <v>40711</v>
      </c>
      <c r="B1472" s="90" t="s">
        <v>4387</v>
      </c>
      <c r="C1472" s="90" t="s">
        <v>485</v>
      </c>
      <c r="D1472" s="90" t="s">
        <v>2362</v>
      </c>
      <c r="E1472" s="90" t="str">
        <f>VLOOKUP(B1472&amp;C1472,Divipola!$C$2:$F$1138,4,FALSE)</f>
        <v>52356</v>
      </c>
      <c r="F1472" s="4"/>
      <c r="G1472" s="101"/>
      <c r="H1472" s="101"/>
      <c r="I1472" s="101"/>
      <c r="J1472" s="101">
        <v>982</v>
      </c>
      <c r="K1472" s="101">
        <v>249</v>
      </c>
      <c r="L1472" s="101">
        <v>120</v>
      </c>
      <c r="M1472" s="101">
        <v>114</v>
      </c>
      <c r="N1472" s="101">
        <v>1</v>
      </c>
      <c r="O1472" s="101"/>
      <c r="P1472" s="101"/>
      <c r="Q1472" s="101">
        <v>1</v>
      </c>
      <c r="R1472" s="101"/>
      <c r="S1472" s="101"/>
      <c r="T1472" s="101"/>
      <c r="U1472" s="101"/>
      <c r="V1472" s="101">
        <v>44</v>
      </c>
      <c r="W1472" s="19"/>
      <c r="X1472" s="17"/>
      <c r="Y1472" s="5">
        <f t="shared" si="138"/>
        <v>0</v>
      </c>
      <c r="Z1472" s="5">
        <f t="shared" si="139"/>
        <v>0</v>
      </c>
      <c r="AA1472" s="5">
        <f t="shared" si="140"/>
        <v>0</v>
      </c>
      <c r="AB1472" s="5">
        <f t="shared" si="141"/>
        <v>0</v>
      </c>
      <c r="AC1472" s="5"/>
      <c r="AD1472" s="5">
        <v>0</v>
      </c>
      <c r="AE1472" s="5">
        <f t="shared" si="142"/>
        <v>0</v>
      </c>
      <c r="AF1472" s="70">
        <v>0</v>
      </c>
      <c r="AG1472" s="17"/>
      <c r="AH1472" s="18"/>
      <c r="AI1472" s="109" t="s">
        <v>4336</v>
      </c>
      <c r="AJ1472" s="110" t="s">
        <v>4337</v>
      </c>
      <c r="AK1472" s="45"/>
      <c r="AL1472" s="17"/>
      <c r="AM1472" s="100" t="s">
        <v>1151</v>
      </c>
      <c r="AN1472" s="19"/>
      <c r="AO1472" s="19"/>
      <c r="AP1472" s="19"/>
      <c r="AQ1472" s="19"/>
      <c r="AR1472" s="19"/>
      <c r="AS1472" s="19"/>
      <c r="AT1472" s="19"/>
      <c r="AU1472" s="19"/>
      <c r="AV1472" s="19"/>
      <c r="AW1472" s="19"/>
      <c r="AX1472" s="107"/>
      <c r="AY1472" s="107"/>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39"/>
      <c r="CO1472" s="138"/>
      <c r="CP1472" s="139"/>
      <c r="CQ1472" s="138"/>
      <c r="CR1472" s="139"/>
      <c r="CS1472" s="138"/>
      <c r="CT1472" s="72"/>
      <c r="CU1472" s="139"/>
      <c r="CV1472" s="99">
        <f t="shared" si="137"/>
        <v>0</v>
      </c>
      <c r="CW1472" s="139"/>
      <c r="CX1472" s="138"/>
      <c r="CY1472" s="138"/>
      <c r="CZ1472" s="138"/>
      <c r="DA1472" s="139"/>
      <c r="DB1472" s="138"/>
      <c r="DC1472" s="45"/>
      <c r="DD1472" s="138"/>
      <c r="DE1472" s="45"/>
      <c r="DF1472" s="46"/>
    </row>
    <row r="1473" spans="1:110" s="42" customFormat="1" ht="24" x14ac:dyDescent="0.2">
      <c r="A1473" s="89">
        <v>40712</v>
      </c>
      <c r="B1473" s="90" t="s">
        <v>4261</v>
      </c>
      <c r="C1473" s="90" t="s">
        <v>2256</v>
      </c>
      <c r="D1473" s="90" t="s">
        <v>3311</v>
      </c>
      <c r="E1473" s="90" t="str">
        <f>VLOOKUP(B1473&amp;C1473,Divipola!$C$2:$F$1138,4,FALSE)</f>
        <v>15759</v>
      </c>
      <c r="F1473" s="90"/>
      <c r="G1473" s="129">
        <v>1</v>
      </c>
      <c r="H1473" s="129">
        <v>4</v>
      </c>
      <c r="I1473" s="302"/>
      <c r="J1473" s="302"/>
      <c r="K1473" s="302"/>
      <c r="L1473" s="302"/>
      <c r="M1473" s="302"/>
      <c r="N1473" s="129"/>
      <c r="O1473" s="129"/>
      <c r="P1473" s="129"/>
      <c r="Q1473" s="129"/>
      <c r="R1473" s="129"/>
      <c r="S1473" s="129"/>
      <c r="T1473" s="129"/>
      <c r="U1473" s="129"/>
      <c r="V1473" s="129"/>
      <c r="W1473" s="107"/>
      <c r="X1473" s="105"/>
      <c r="Y1473" s="92">
        <f t="shared" si="138"/>
        <v>0</v>
      </c>
      <c r="Z1473" s="92">
        <f t="shared" si="139"/>
        <v>0</v>
      </c>
      <c r="AA1473" s="92">
        <f t="shared" si="140"/>
        <v>0</v>
      </c>
      <c r="AB1473" s="92">
        <f t="shared" si="141"/>
        <v>0</v>
      </c>
      <c r="AC1473" s="92"/>
      <c r="AD1473" s="92">
        <v>0</v>
      </c>
      <c r="AE1473" s="92">
        <f t="shared" si="142"/>
        <v>0</v>
      </c>
      <c r="AF1473" s="93">
        <v>0</v>
      </c>
      <c r="AG1473" s="105"/>
      <c r="AH1473" s="108"/>
      <c r="AI1473" s="47" t="s">
        <v>4336</v>
      </c>
      <c r="AJ1473" s="73" t="s">
        <v>4337</v>
      </c>
      <c r="AK1473" s="285"/>
      <c r="AL1473" s="284"/>
      <c r="AM1473" s="112" t="s">
        <v>378</v>
      </c>
      <c r="AN1473" s="107"/>
      <c r="AO1473" s="107"/>
      <c r="AP1473" s="107"/>
      <c r="AQ1473" s="107"/>
      <c r="AR1473" s="107"/>
      <c r="AS1473" s="107"/>
      <c r="AT1473" s="107"/>
      <c r="AU1473" s="107"/>
      <c r="AV1473" s="107"/>
      <c r="AW1473" s="107"/>
      <c r="AX1473" s="107"/>
      <c r="AY1473" s="107"/>
      <c r="AZ1473" s="107"/>
      <c r="BA1473" s="107"/>
      <c r="BB1473" s="107"/>
      <c r="BC1473" s="107"/>
      <c r="BD1473" s="107"/>
      <c r="BE1473" s="107"/>
      <c r="BF1473" s="107"/>
      <c r="BG1473" s="107"/>
      <c r="BH1473" s="107"/>
      <c r="BI1473" s="107"/>
      <c r="BJ1473" s="107"/>
      <c r="BK1473" s="107"/>
      <c r="BL1473" s="107"/>
      <c r="BM1473" s="107"/>
      <c r="BN1473" s="107"/>
      <c r="BO1473" s="107"/>
      <c r="BP1473" s="107"/>
      <c r="BQ1473" s="107"/>
      <c r="BR1473" s="107"/>
      <c r="BS1473" s="107"/>
      <c r="BT1473" s="107"/>
      <c r="BU1473" s="107"/>
      <c r="BV1473" s="107"/>
      <c r="BW1473" s="107"/>
      <c r="BX1473" s="107"/>
      <c r="BY1473" s="107"/>
      <c r="BZ1473" s="107"/>
      <c r="CA1473" s="107"/>
      <c r="CB1473" s="107"/>
      <c r="CC1473" s="107"/>
      <c r="CD1473" s="107"/>
      <c r="CE1473" s="107"/>
      <c r="CF1473" s="107"/>
      <c r="CG1473" s="107"/>
      <c r="CH1473" s="107"/>
      <c r="CI1473" s="107"/>
      <c r="CJ1473" s="107"/>
      <c r="CK1473" s="107"/>
      <c r="CL1473" s="107"/>
      <c r="CM1473" s="107"/>
      <c r="CN1473" s="118"/>
      <c r="CO1473" s="119"/>
      <c r="CP1473" s="118"/>
      <c r="CQ1473" s="119"/>
      <c r="CR1473" s="118"/>
      <c r="CS1473" s="119"/>
      <c r="CT1473" s="113"/>
      <c r="CU1473" s="118"/>
      <c r="CV1473" s="99">
        <f t="shared" si="137"/>
        <v>0</v>
      </c>
      <c r="CW1473" s="118"/>
      <c r="CX1473" s="119"/>
      <c r="CY1473" s="119"/>
      <c r="CZ1473" s="119"/>
      <c r="DA1473" s="118"/>
      <c r="DB1473" s="119"/>
      <c r="DC1473" s="111"/>
      <c r="DD1473" s="119"/>
      <c r="DE1473" s="111"/>
      <c r="DF1473" s="46"/>
    </row>
    <row r="1474" spans="1:110" s="42" customFormat="1" ht="24" x14ac:dyDescent="0.2">
      <c r="A1474" s="89">
        <v>40712</v>
      </c>
      <c r="B1474" s="106" t="s">
        <v>4348</v>
      </c>
      <c r="C1474" s="106" t="s">
        <v>3338</v>
      </c>
      <c r="D1474" s="90" t="s">
        <v>3346</v>
      </c>
      <c r="E1474" s="90" t="str">
        <f>VLOOKUP(B1474&amp;C1474,Divipola!$C$2:$F$1138,4,FALSE)</f>
        <v>66088</v>
      </c>
      <c r="F1474" s="90"/>
      <c r="G1474" s="279"/>
      <c r="H1474" s="279"/>
      <c r="I1474" s="279"/>
      <c r="J1474" s="129">
        <v>20</v>
      </c>
      <c r="K1474" s="129">
        <v>5</v>
      </c>
      <c r="L1474" s="129"/>
      <c r="M1474" s="129">
        <v>5</v>
      </c>
      <c r="N1474" s="129"/>
      <c r="O1474" s="129"/>
      <c r="P1474" s="129"/>
      <c r="Q1474" s="129"/>
      <c r="R1474" s="129"/>
      <c r="S1474" s="129"/>
      <c r="T1474" s="129"/>
      <c r="U1474" s="129"/>
      <c r="V1474" s="129"/>
      <c r="W1474" s="107"/>
      <c r="X1474" s="105"/>
      <c r="Y1474" s="92">
        <f t="shared" si="138"/>
        <v>0</v>
      </c>
      <c r="Z1474" s="92">
        <f t="shared" si="139"/>
        <v>0</v>
      </c>
      <c r="AA1474" s="92">
        <f t="shared" si="140"/>
        <v>0</v>
      </c>
      <c r="AB1474" s="92">
        <f t="shared" si="141"/>
        <v>0</v>
      </c>
      <c r="AC1474" s="92"/>
      <c r="AD1474" s="92">
        <v>0</v>
      </c>
      <c r="AE1474" s="92">
        <f t="shared" si="142"/>
        <v>0</v>
      </c>
      <c r="AF1474" s="93">
        <v>0</v>
      </c>
      <c r="AG1474" s="105"/>
      <c r="AH1474" s="108"/>
      <c r="AI1474" s="109" t="s">
        <v>4336</v>
      </c>
      <c r="AJ1474" s="110" t="s">
        <v>4337</v>
      </c>
      <c r="AK1474" s="280"/>
      <c r="AL1474" s="281"/>
      <c r="AM1474" s="112" t="s">
        <v>2002</v>
      </c>
      <c r="AN1474" s="107"/>
      <c r="AO1474" s="107"/>
      <c r="AP1474" s="107"/>
      <c r="AQ1474" s="107"/>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7"/>
      <c r="BL1474" s="107"/>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7"/>
      <c r="CG1474" s="107"/>
      <c r="CH1474" s="107"/>
      <c r="CI1474" s="107"/>
      <c r="CJ1474" s="107"/>
      <c r="CK1474" s="107"/>
      <c r="CL1474" s="107"/>
      <c r="CM1474" s="107"/>
      <c r="CN1474" s="118"/>
      <c r="CO1474" s="119"/>
      <c r="CP1474" s="118"/>
      <c r="CQ1474" s="119"/>
      <c r="CR1474" s="118"/>
      <c r="CS1474" s="119"/>
      <c r="CT1474" s="113"/>
      <c r="CU1474" s="118"/>
      <c r="CV1474" s="99">
        <f t="shared" si="137"/>
        <v>0</v>
      </c>
      <c r="CW1474" s="118"/>
      <c r="CX1474" s="119"/>
      <c r="CY1474" s="119"/>
      <c r="CZ1474" s="119"/>
      <c r="DA1474" s="118"/>
      <c r="DB1474" s="119"/>
      <c r="DC1474" s="111"/>
      <c r="DD1474" s="119"/>
      <c r="DE1474" s="111"/>
      <c r="DF1474" s="46"/>
    </row>
    <row r="1475" spans="1:110" s="42" customFormat="1" ht="24" x14ac:dyDescent="0.2">
      <c r="A1475" s="89">
        <v>40712</v>
      </c>
      <c r="B1475" s="90" t="s">
        <v>3316</v>
      </c>
      <c r="C1475" s="90" t="s">
        <v>2276</v>
      </c>
      <c r="D1475" s="90" t="s">
        <v>4264</v>
      </c>
      <c r="E1475" s="90" t="str">
        <f>VLOOKUP(B1475&amp;C1475,Divipola!$C$2:$F$1138,4,FALSE)</f>
        <v>73678</v>
      </c>
      <c r="F1475" s="90"/>
      <c r="G1475" s="302"/>
      <c r="H1475" s="302"/>
      <c r="I1475" s="302"/>
      <c r="J1475" s="129">
        <v>105</v>
      </c>
      <c r="K1475" s="129">
        <v>22</v>
      </c>
      <c r="L1475" s="129"/>
      <c r="M1475" s="129">
        <v>22</v>
      </c>
      <c r="N1475" s="129"/>
      <c r="O1475" s="129"/>
      <c r="P1475" s="129"/>
      <c r="Q1475" s="129"/>
      <c r="R1475" s="129"/>
      <c r="S1475" s="129"/>
      <c r="T1475" s="129"/>
      <c r="U1475" s="129"/>
      <c r="V1475" s="129"/>
      <c r="W1475" s="107"/>
      <c r="X1475" s="105"/>
      <c r="Y1475" s="92">
        <f t="shared" si="138"/>
        <v>0</v>
      </c>
      <c r="Z1475" s="92">
        <f t="shared" si="139"/>
        <v>0</v>
      </c>
      <c r="AA1475" s="92">
        <f t="shared" si="140"/>
        <v>0</v>
      </c>
      <c r="AB1475" s="92">
        <f t="shared" si="141"/>
        <v>0</v>
      </c>
      <c r="AC1475" s="92"/>
      <c r="AD1475" s="92">
        <v>0</v>
      </c>
      <c r="AE1475" s="92">
        <f t="shared" si="142"/>
        <v>0</v>
      </c>
      <c r="AF1475" s="93">
        <v>0</v>
      </c>
      <c r="AG1475" s="105"/>
      <c r="AH1475" s="108"/>
      <c r="AI1475" s="109" t="s">
        <v>4336</v>
      </c>
      <c r="AJ1475" s="110" t="s">
        <v>4337</v>
      </c>
      <c r="AK1475" s="285"/>
      <c r="AL1475" s="284"/>
      <c r="AM1475" s="112" t="s">
        <v>377</v>
      </c>
      <c r="AN1475" s="107"/>
      <c r="AO1475" s="107"/>
      <c r="AP1475" s="107"/>
      <c r="AQ1475" s="107"/>
      <c r="AR1475" s="107"/>
      <c r="AS1475" s="107"/>
      <c r="AT1475" s="107"/>
      <c r="AU1475" s="107"/>
      <c r="AV1475" s="107"/>
      <c r="AW1475" s="107"/>
      <c r="AX1475" s="107"/>
      <c r="AY1475" s="107"/>
      <c r="AZ1475" s="107"/>
      <c r="BA1475" s="107"/>
      <c r="BB1475" s="107"/>
      <c r="BC1475" s="107"/>
      <c r="BD1475" s="107"/>
      <c r="BE1475" s="107"/>
      <c r="BF1475" s="107"/>
      <c r="BG1475" s="107"/>
      <c r="BH1475" s="107"/>
      <c r="BI1475" s="107"/>
      <c r="BJ1475" s="107"/>
      <c r="BK1475" s="107"/>
      <c r="BL1475" s="107"/>
      <c r="BM1475" s="107"/>
      <c r="BN1475" s="107"/>
      <c r="BO1475" s="107"/>
      <c r="BP1475" s="107"/>
      <c r="BQ1475" s="107"/>
      <c r="BR1475" s="107"/>
      <c r="BS1475" s="107"/>
      <c r="BT1475" s="107"/>
      <c r="BU1475" s="107"/>
      <c r="BV1475" s="107"/>
      <c r="BW1475" s="107"/>
      <c r="BX1475" s="107"/>
      <c r="BY1475" s="107"/>
      <c r="BZ1475" s="107"/>
      <c r="CA1475" s="107"/>
      <c r="CB1475" s="107"/>
      <c r="CC1475" s="107"/>
      <c r="CD1475" s="107"/>
      <c r="CE1475" s="107"/>
      <c r="CF1475" s="107"/>
      <c r="CG1475" s="107"/>
      <c r="CH1475" s="107"/>
      <c r="CI1475" s="107"/>
      <c r="CJ1475" s="107"/>
      <c r="CK1475" s="107"/>
      <c r="CL1475" s="107"/>
      <c r="CM1475" s="107"/>
      <c r="CN1475" s="118"/>
      <c r="CO1475" s="119"/>
      <c r="CP1475" s="118"/>
      <c r="CQ1475" s="119"/>
      <c r="CR1475" s="118"/>
      <c r="CS1475" s="119"/>
      <c r="CT1475" s="113"/>
      <c r="CU1475" s="118"/>
      <c r="CV1475" s="99">
        <f t="shared" ref="CV1475:CV1538" si="143">AO1475+AQ1475+AS1475+AU1475+AW1475+AY1475+BA1475+BC1475+BE1475+BG1475+BI1475+BK1475+BM1475+BO1475+BQ1475+BS1475+BU1475+BW1475+BY1475+CA1475+CC1475+CE1475+CG1475+CI1475+CK1475+CM1475+CO1475+CQ1475+CS1475+CU1475</f>
        <v>0</v>
      </c>
      <c r="CW1475" s="118"/>
      <c r="CX1475" s="119"/>
      <c r="CY1475" s="119"/>
      <c r="CZ1475" s="119"/>
      <c r="DA1475" s="118"/>
      <c r="DB1475" s="119"/>
      <c r="DC1475" s="111"/>
      <c r="DD1475" s="119"/>
      <c r="DE1475" s="111"/>
      <c r="DF1475" s="46"/>
    </row>
    <row r="1476" spans="1:110" s="42" customFormat="1" ht="48" x14ac:dyDescent="0.2">
      <c r="A1476" s="89">
        <v>40713</v>
      </c>
      <c r="B1476" s="90" t="s">
        <v>4282</v>
      </c>
      <c r="C1476" s="90" t="s">
        <v>846</v>
      </c>
      <c r="D1476" s="90" t="s">
        <v>4264</v>
      </c>
      <c r="E1476" s="90" t="str">
        <f>VLOOKUP(B1476&amp;C1476,Divipola!$C$2:$F$1138,4,FALSE)</f>
        <v>23419</v>
      </c>
      <c r="F1476" s="90"/>
      <c r="G1476" s="302"/>
      <c r="H1476" s="302"/>
      <c r="I1476" s="302"/>
      <c r="J1476" s="129">
        <v>700</v>
      </c>
      <c r="K1476" s="129">
        <v>140</v>
      </c>
      <c r="L1476" s="129"/>
      <c r="M1476" s="129">
        <v>140</v>
      </c>
      <c r="N1476" s="129"/>
      <c r="O1476" s="129"/>
      <c r="P1476" s="129"/>
      <c r="Q1476" s="129"/>
      <c r="R1476" s="129"/>
      <c r="S1476" s="129"/>
      <c r="T1476" s="129"/>
      <c r="U1476" s="129"/>
      <c r="V1476" s="129"/>
      <c r="W1476" s="107"/>
      <c r="X1476" s="105"/>
      <c r="Y1476" s="92">
        <f t="shared" si="138"/>
        <v>0</v>
      </c>
      <c r="Z1476" s="92">
        <f t="shared" si="139"/>
        <v>0</v>
      </c>
      <c r="AA1476" s="92">
        <f t="shared" si="140"/>
        <v>0</v>
      </c>
      <c r="AB1476" s="92">
        <f t="shared" si="141"/>
        <v>0</v>
      </c>
      <c r="AC1476" s="92"/>
      <c r="AD1476" s="92">
        <v>0</v>
      </c>
      <c r="AE1476" s="92">
        <f t="shared" si="142"/>
        <v>0</v>
      </c>
      <c r="AF1476" s="93">
        <v>0</v>
      </c>
      <c r="AG1476" s="105"/>
      <c r="AH1476" s="108"/>
      <c r="AI1476" s="109" t="s">
        <v>4336</v>
      </c>
      <c r="AJ1476" s="110" t="s">
        <v>4337</v>
      </c>
      <c r="AK1476" s="285"/>
      <c r="AL1476" s="284"/>
      <c r="AM1476" s="112" t="s">
        <v>384</v>
      </c>
      <c r="AN1476" s="107"/>
      <c r="AO1476" s="107"/>
      <c r="AP1476" s="107"/>
      <c r="AQ1476" s="107"/>
      <c r="AR1476" s="107"/>
      <c r="AS1476" s="107"/>
      <c r="AT1476" s="107"/>
      <c r="AU1476" s="107"/>
      <c r="AV1476" s="107"/>
      <c r="AW1476" s="107"/>
      <c r="AX1476" s="107"/>
      <c r="AY1476" s="107"/>
      <c r="AZ1476" s="107"/>
      <c r="BA1476" s="107"/>
      <c r="BB1476" s="107"/>
      <c r="BC1476" s="107"/>
      <c r="BD1476" s="107"/>
      <c r="BE1476" s="107"/>
      <c r="BF1476" s="107"/>
      <c r="BG1476" s="107"/>
      <c r="BH1476" s="107"/>
      <c r="BI1476" s="107"/>
      <c r="BJ1476" s="107"/>
      <c r="BK1476" s="107"/>
      <c r="BL1476" s="107"/>
      <c r="BM1476" s="107"/>
      <c r="BN1476" s="107"/>
      <c r="BO1476" s="107"/>
      <c r="BP1476" s="107"/>
      <c r="BQ1476" s="107"/>
      <c r="BR1476" s="107"/>
      <c r="BS1476" s="107"/>
      <c r="BT1476" s="107"/>
      <c r="BU1476" s="107"/>
      <c r="BV1476" s="107"/>
      <c r="BW1476" s="107"/>
      <c r="BX1476" s="107"/>
      <c r="BY1476" s="107"/>
      <c r="BZ1476" s="107"/>
      <c r="CA1476" s="107"/>
      <c r="CB1476" s="107"/>
      <c r="CC1476" s="107"/>
      <c r="CD1476" s="107"/>
      <c r="CE1476" s="107"/>
      <c r="CF1476" s="107"/>
      <c r="CG1476" s="107"/>
      <c r="CH1476" s="107"/>
      <c r="CI1476" s="107"/>
      <c r="CJ1476" s="107"/>
      <c r="CK1476" s="107"/>
      <c r="CL1476" s="107"/>
      <c r="CM1476" s="107"/>
      <c r="CN1476" s="118"/>
      <c r="CO1476" s="119"/>
      <c r="CP1476" s="118"/>
      <c r="CQ1476" s="119"/>
      <c r="CR1476" s="118"/>
      <c r="CS1476" s="119"/>
      <c r="CT1476" s="113"/>
      <c r="CU1476" s="118"/>
      <c r="CV1476" s="99">
        <f t="shared" si="143"/>
        <v>0</v>
      </c>
      <c r="CW1476" s="118"/>
      <c r="CX1476" s="119"/>
      <c r="CY1476" s="119"/>
      <c r="CZ1476" s="119"/>
      <c r="DA1476" s="118"/>
      <c r="DB1476" s="119"/>
      <c r="DC1476" s="111"/>
      <c r="DD1476" s="119"/>
      <c r="DE1476" s="111"/>
      <c r="DF1476" s="46"/>
    </row>
    <row r="1477" spans="1:110" s="42" customFormat="1" ht="60" x14ac:dyDescent="0.2">
      <c r="A1477" s="89">
        <v>40713</v>
      </c>
      <c r="B1477" s="90" t="s">
        <v>4282</v>
      </c>
      <c r="C1477" s="90" t="s">
        <v>1616</v>
      </c>
      <c r="D1477" s="90" t="s">
        <v>4264</v>
      </c>
      <c r="E1477" s="90" t="str">
        <f>VLOOKUP(B1477&amp;C1477,Divipola!$C$2:$F$1138,4,FALSE)</f>
        <v>23555</v>
      </c>
      <c r="F1477" s="90"/>
      <c r="G1477" s="302"/>
      <c r="H1477" s="302"/>
      <c r="I1477" s="302"/>
      <c r="J1477" s="129">
        <v>550</v>
      </c>
      <c r="K1477" s="129">
        <v>110</v>
      </c>
      <c r="L1477" s="129">
        <v>4</v>
      </c>
      <c r="M1477" s="129">
        <v>106</v>
      </c>
      <c r="N1477" s="129"/>
      <c r="O1477" s="129"/>
      <c r="P1477" s="129"/>
      <c r="Q1477" s="129"/>
      <c r="R1477" s="129"/>
      <c r="S1477" s="129"/>
      <c r="T1477" s="129"/>
      <c r="U1477" s="129"/>
      <c r="V1477" s="129"/>
      <c r="W1477" s="107"/>
      <c r="X1477" s="105"/>
      <c r="Y1477" s="92">
        <f t="shared" si="138"/>
        <v>32499740</v>
      </c>
      <c r="Z1477" s="92">
        <f t="shared" si="139"/>
        <v>20825000</v>
      </c>
      <c r="AA1477" s="92">
        <f t="shared" si="140"/>
        <v>0</v>
      </c>
      <c r="AB1477" s="92">
        <f t="shared" si="141"/>
        <v>0</v>
      </c>
      <c r="AC1477" s="92"/>
      <c r="AD1477" s="92">
        <v>0</v>
      </c>
      <c r="AE1477" s="92">
        <f t="shared" si="142"/>
        <v>53324740</v>
      </c>
      <c r="AF1477" s="93">
        <v>0</v>
      </c>
      <c r="AG1477" s="105"/>
      <c r="AH1477" s="108"/>
      <c r="AI1477" s="95" t="s">
        <v>4346</v>
      </c>
      <c r="AJ1477" s="96" t="s">
        <v>4347</v>
      </c>
      <c r="AK1477" s="285"/>
      <c r="AL1477" s="284"/>
      <c r="AM1477" s="112" t="s">
        <v>379</v>
      </c>
      <c r="AN1477" s="107"/>
      <c r="AO1477" s="107"/>
      <c r="AP1477" s="107"/>
      <c r="AQ1477" s="107"/>
      <c r="AR1477" s="107"/>
      <c r="AS1477" s="107"/>
      <c r="AT1477" s="107"/>
      <c r="AU1477" s="107"/>
      <c r="AV1477" s="107"/>
      <c r="AW1477" s="107"/>
      <c r="AX1477" s="107"/>
      <c r="AY1477" s="107"/>
      <c r="AZ1477" s="107">
        <v>245</v>
      </c>
      <c r="BA1477" s="107">
        <f>245*56000</f>
        <v>13720000</v>
      </c>
      <c r="BB1477" s="107"/>
      <c r="BC1477" s="107"/>
      <c r="BD1477" s="107"/>
      <c r="BE1477" s="107"/>
      <c r="BF1477" s="107"/>
      <c r="BG1477" s="107"/>
      <c r="BH1477" s="107"/>
      <c r="BI1477" s="107"/>
      <c r="BJ1477" s="107"/>
      <c r="BK1477" s="107"/>
      <c r="BL1477" s="107"/>
      <c r="BM1477" s="107"/>
      <c r="BN1477" s="107"/>
      <c r="BO1477" s="107"/>
      <c r="BP1477" s="107"/>
      <c r="BQ1477" s="107"/>
      <c r="BR1477" s="107"/>
      <c r="BS1477" s="107"/>
      <c r="BT1477" s="107"/>
      <c r="BU1477" s="107"/>
      <c r="BV1477" s="107"/>
      <c r="BW1477" s="107"/>
      <c r="BX1477" s="107"/>
      <c r="BY1477" s="107"/>
      <c r="BZ1477" s="107"/>
      <c r="CA1477" s="107"/>
      <c r="CB1477" s="107"/>
      <c r="CC1477" s="107"/>
      <c r="CD1477" s="107"/>
      <c r="CE1477" s="107"/>
      <c r="CF1477" s="107"/>
      <c r="CG1477" s="107"/>
      <c r="CH1477" s="107"/>
      <c r="CI1477" s="107"/>
      <c r="CJ1477" s="107"/>
      <c r="CK1477" s="107"/>
      <c r="CL1477" s="107"/>
      <c r="CM1477" s="107"/>
      <c r="CN1477" s="118"/>
      <c r="CO1477" s="119"/>
      <c r="CP1477" s="118">
        <v>245</v>
      </c>
      <c r="CQ1477" s="119">
        <f>245*36952</f>
        <v>9053240</v>
      </c>
      <c r="CR1477" s="118">
        <v>245</v>
      </c>
      <c r="CS1477" s="119">
        <f>245*39700</f>
        <v>9726500</v>
      </c>
      <c r="CT1477" s="113"/>
      <c r="CU1477" s="118"/>
      <c r="CV1477" s="99">
        <f t="shared" si="143"/>
        <v>32499740</v>
      </c>
      <c r="CW1477" s="118"/>
      <c r="CX1477" s="119"/>
      <c r="CY1477" s="119">
        <v>245</v>
      </c>
      <c r="CZ1477" s="119">
        <f>245*85000</f>
        <v>20825000</v>
      </c>
      <c r="DA1477" s="118"/>
      <c r="DB1477" s="119"/>
      <c r="DC1477" s="111"/>
      <c r="DD1477" s="119"/>
      <c r="DE1477" s="111"/>
      <c r="DF1477" s="46"/>
    </row>
    <row r="1478" spans="1:110" s="42" customFormat="1" ht="72" x14ac:dyDescent="0.2">
      <c r="A1478" s="89">
        <v>40713</v>
      </c>
      <c r="B1478" s="90" t="s">
        <v>4350</v>
      </c>
      <c r="C1478" s="90" t="s">
        <v>4339</v>
      </c>
      <c r="D1478" s="90" t="s">
        <v>3346</v>
      </c>
      <c r="E1478" s="90" t="str">
        <f>VLOOKUP(B1478&amp;C1478,Divipola!$C$2:$F$1138,4,FALSE)</f>
        <v>63401</v>
      </c>
      <c r="F1478" s="90"/>
      <c r="G1478" s="302"/>
      <c r="H1478" s="302"/>
      <c r="I1478" s="302"/>
      <c r="J1478" s="129">
        <v>84</v>
      </c>
      <c r="K1478" s="129">
        <v>20</v>
      </c>
      <c r="L1478" s="129"/>
      <c r="M1478" s="129">
        <v>20</v>
      </c>
      <c r="N1478" s="129"/>
      <c r="O1478" s="129"/>
      <c r="P1478" s="129"/>
      <c r="Q1478" s="129"/>
      <c r="R1478" s="129"/>
      <c r="S1478" s="129"/>
      <c r="T1478" s="129"/>
      <c r="U1478" s="129"/>
      <c r="V1478" s="129"/>
      <c r="W1478" s="107"/>
      <c r="X1478" s="105"/>
      <c r="Y1478" s="92">
        <f t="shared" si="138"/>
        <v>0</v>
      </c>
      <c r="Z1478" s="92">
        <f t="shared" si="139"/>
        <v>0</v>
      </c>
      <c r="AA1478" s="92">
        <f t="shared" si="140"/>
        <v>0</v>
      </c>
      <c r="AB1478" s="92">
        <f t="shared" si="141"/>
        <v>0</v>
      </c>
      <c r="AC1478" s="92"/>
      <c r="AD1478" s="92">
        <v>0</v>
      </c>
      <c r="AE1478" s="92">
        <f t="shared" si="142"/>
        <v>0</v>
      </c>
      <c r="AF1478" s="93">
        <v>0</v>
      </c>
      <c r="AG1478" s="105"/>
      <c r="AH1478" s="108"/>
      <c r="AI1478" s="109" t="s">
        <v>4336</v>
      </c>
      <c r="AJ1478" s="110" t="s">
        <v>4337</v>
      </c>
      <c r="AK1478" s="285"/>
      <c r="AL1478" s="284"/>
      <c r="AM1478" s="112" t="s">
        <v>382</v>
      </c>
      <c r="AN1478" s="107"/>
      <c r="AO1478" s="107"/>
      <c r="AP1478" s="107"/>
      <c r="AQ1478" s="107"/>
      <c r="AR1478" s="107"/>
      <c r="AS1478" s="107"/>
      <c r="AT1478" s="107"/>
      <c r="AU1478" s="107"/>
      <c r="AV1478" s="107"/>
      <c r="AW1478" s="107"/>
      <c r="AX1478" s="107"/>
      <c r="AY1478" s="107"/>
      <c r="AZ1478" s="107"/>
      <c r="BA1478" s="107"/>
      <c r="BB1478" s="107"/>
      <c r="BC1478" s="107"/>
      <c r="BD1478" s="107"/>
      <c r="BE1478" s="107"/>
      <c r="BF1478" s="107"/>
      <c r="BG1478" s="107"/>
      <c r="BH1478" s="107"/>
      <c r="BI1478" s="107"/>
      <c r="BJ1478" s="107"/>
      <c r="BK1478" s="107"/>
      <c r="BL1478" s="107"/>
      <c r="BM1478" s="107"/>
      <c r="BN1478" s="107"/>
      <c r="BO1478" s="107"/>
      <c r="BP1478" s="107"/>
      <c r="BQ1478" s="107"/>
      <c r="BR1478" s="107"/>
      <c r="BS1478" s="107"/>
      <c r="BT1478" s="107"/>
      <c r="BU1478" s="107"/>
      <c r="BV1478" s="107"/>
      <c r="BW1478" s="107"/>
      <c r="BX1478" s="107"/>
      <c r="BY1478" s="107"/>
      <c r="BZ1478" s="107"/>
      <c r="CA1478" s="107"/>
      <c r="CB1478" s="107"/>
      <c r="CC1478" s="107"/>
      <c r="CD1478" s="107"/>
      <c r="CE1478" s="107"/>
      <c r="CF1478" s="107"/>
      <c r="CG1478" s="107"/>
      <c r="CH1478" s="107"/>
      <c r="CI1478" s="107"/>
      <c r="CJ1478" s="107"/>
      <c r="CK1478" s="107"/>
      <c r="CL1478" s="107"/>
      <c r="CM1478" s="107"/>
      <c r="CN1478" s="118"/>
      <c r="CO1478" s="119"/>
      <c r="CP1478" s="118"/>
      <c r="CQ1478" s="119"/>
      <c r="CR1478" s="118"/>
      <c r="CS1478" s="119"/>
      <c r="CT1478" s="113"/>
      <c r="CU1478" s="118"/>
      <c r="CV1478" s="99">
        <f t="shared" si="143"/>
        <v>0</v>
      </c>
      <c r="CW1478" s="118"/>
      <c r="CX1478" s="119"/>
      <c r="CY1478" s="119"/>
      <c r="CZ1478" s="119"/>
      <c r="DA1478" s="118"/>
      <c r="DB1478" s="119"/>
      <c r="DC1478" s="111"/>
      <c r="DD1478" s="119"/>
      <c r="DE1478" s="111"/>
      <c r="DF1478" s="46"/>
    </row>
    <row r="1479" spans="1:110" s="42" customFormat="1" ht="24" x14ac:dyDescent="0.2">
      <c r="A1479" s="89">
        <v>40713</v>
      </c>
      <c r="B1479" s="90" t="s">
        <v>4350</v>
      </c>
      <c r="C1479" s="90" t="s">
        <v>3507</v>
      </c>
      <c r="D1479" s="90" t="s">
        <v>3346</v>
      </c>
      <c r="E1479" s="90" t="str">
        <f>VLOOKUP(B1479&amp;C1479,Divipola!$C$2:$F$1138,4,FALSE)</f>
        <v>63470</v>
      </c>
      <c r="F1479" s="90"/>
      <c r="G1479" s="302"/>
      <c r="H1479" s="302"/>
      <c r="I1479" s="302"/>
      <c r="J1479" s="129">
        <v>21</v>
      </c>
      <c r="K1479" s="129">
        <v>7</v>
      </c>
      <c r="L1479" s="129"/>
      <c r="M1479" s="129">
        <v>7</v>
      </c>
      <c r="N1479" s="129"/>
      <c r="O1479" s="129"/>
      <c r="P1479" s="129"/>
      <c r="Q1479" s="129"/>
      <c r="R1479" s="129"/>
      <c r="S1479" s="129"/>
      <c r="T1479" s="129">
        <v>1</v>
      </c>
      <c r="U1479" s="129">
        <v>1</v>
      </c>
      <c r="V1479" s="129"/>
      <c r="W1479" s="107"/>
      <c r="X1479" s="105"/>
      <c r="Y1479" s="92">
        <f t="shared" si="138"/>
        <v>0</v>
      </c>
      <c r="Z1479" s="92">
        <f t="shared" si="139"/>
        <v>0</v>
      </c>
      <c r="AA1479" s="92">
        <f t="shared" si="140"/>
        <v>0</v>
      </c>
      <c r="AB1479" s="92">
        <f t="shared" si="141"/>
        <v>0</v>
      </c>
      <c r="AC1479" s="92"/>
      <c r="AD1479" s="92">
        <v>0</v>
      </c>
      <c r="AE1479" s="92">
        <f t="shared" si="142"/>
        <v>0</v>
      </c>
      <c r="AF1479" s="93">
        <v>0</v>
      </c>
      <c r="AG1479" s="105"/>
      <c r="AH1479" s="108"/>
      <c r="AI1479" s="109" t="s">
        <v>4336</v>
      </c>
      <c r="AJ1479" s="110" t="s">
        <v>4337</v>
      </c>
      <c r="AK1479" s="285"/>
      <c r="AL1479" s="284"/>
      <c r="AM1479" s="112" t="s">
        <v>383</v>
      </c>
      <c r="AN1479" s="107"/>
      <c r="AO1479" s="107"/>
      <c r="AP1479" s="107"/>
      <c r="AQ1479" s="107"/>
      <c r="AR1479" s="107"/>
      <c r="AS1479" s="107"/>
      <c r="AT1479" s="107"/>
      <c r="AU1479" s="107"/>
      <c r="AV1479" s="107"/>
      <c r="AW1479" s="107"/>
      <c r="AX1479" s="107"/>
      <c r="AY1479" s="107"/>
      <c r="AZ1479" s="107"/>
      <c r="BA1479" s="107"/>
      <c r="BB1479" s="107"/>
      <c r="BC1479" s="107"/>
      <c r="BD1479" s="107"/>
      <c r="BE1479" s="107"/>
      <c r="BF1479" s="107"/>
      <c r="BG1479" s="107"/>
      <c r="BH1479" s="107"/>
      <c r="BI1479" s="107"/>
      <c r="BJ1479" s="107"/>
      <c r="BK1479" s="107"/>
      <c r="BL1479" s="107"/>
      <c r="BM1479" s="107"/>
      <c r="BN1479" s="107"/>
      <c r="BO1479" s="107"/>
      <c r="BP1479" s="107"/>
      <c r="BQ1479" s="107"/>
      <c r="BR1479" s="107"/>
      <c r="BS1479" s="107"/>
      <c r="BT1479" s="107"/>
      <c r="BU1479" s="107"/>
      <c r="BV1479" s="107"/>
      <c r="BW1479" s="107"/>
      <c r="BX1479" s="107"/>
      <c r="BY1479" s="107"/>
      <c r="BZ1479" s="107"/>
      <c r="CA1479" s="107"/>
      <c r="CB1479" s="107"/>
      <c r="CC1479" s="107"/>
      <c r="CD1479" s="107"/>
      <c r="CE1479" s="107"/>
      <c r="CF1479" s="107"/>
      <c r="CG1479" s="107"/>
      <c r="CH1479" s="107"/>
      <c r="CI1479" s="107"/>
      <c r="CJ1479" s="107"/>
      <c r="CK1479" s="107"/>
      <c r="CL1479" s="107"/>
      <c r="CM1479" s="107"/>
      <c r="CN1479" s="118"/>
      <c r="CO1479" s="119"/>
      <c r="CP1479" s="118"/>
      <c r="CQ1479" s="119"/>
      <c r="CR1479" s="118"/>
      <c r="CS1479" s="119"/>
      <c r="CT1479" s="113"/>
      <c r="CU1479" s="118"/>
      <c r="CV1479" s="99">
        <f t="shared" si="143"/>
        <v>0</v>
      </c>
      <c r="CW1479" s="118"/>
      <c r="CX1479" s="119"/>
      <c r="CY1479" s="119"/>
      <c r="CZ1479" s="119"/>
      <c r="DA1479" s="118"/>
      <c r="DB1479" s="119"/>
      <c r="DC1479" s="111"/>
      <c r="DD1479" s="119"/>
      <c r="DE1479" s="111"/>
      <c r="DF1479" s="46"/>
    </row>
    <row r="1480" spans="1:110" s="42" customFormat="1" ht="60" x14ac:dyDescent="0.2">
      <c r="A1480" s="89">
        <v>40714</v>
      </c>
      <c r="B1480" s="90" t="s">
        <v>4261</v>
      </c>
      <c r="C1480" s="90" t="s">
        <v>2617</v>
      </c>
      <c r="D1480" s="90" t="s">
        <v>4264</v>
      </c>
      <c r="E1480" s="90" t="str">
        <f>VLOOKUP(B1480&amp;C1480,Divipola!$C$2:$F$1138,4,FALSE)</f>
        <v>15180</v>
      </c>
      <c r="F1480" s="4"/>
      <c r="G1480" s="101"/>
      <c r="H1480" s="101"/>
      <c r="I1480" s="101"/>
      <c r="J1480" s="101">
        <v>615</v>
      </c>
      <c r="K1480" s="101">
        <v>123</v>
      </c>
      <c r="L1480" s="101"/>
      <c r="M1480" s="101">
        <v>123</v>
      </c>
      <c r="N1480" s="101"/>
      <c r="O1480" s="101"/>
      <c r="P1480" s="101"/>
      <c r="Q1480" s="101"/>
      <c r="R1480" s="101"/>
      <c r="S1480" s="101"/>
      <c r="T1480" s="101"/>
      <c r="U1480" s="101"/>
      <c r="V1480" s="101">
        <v>193</v>
      </c>
      <c r="W1480" s="19"/>
      <c r="X1480" s="17"/>
      <c r="Y1480" s="5">
        <f t="shared" si="138"/>
        <v>0</v>
      </c>
      <c r="Z1480" s="5">
        <f t="shared" si="139"/>
        <v>0</v>
      </c>
      <c r="AA1480" s="5">
        <f t="shared" si="140"/>
        <v>0</v>
      </c>
      <c r="AB1480" s="5">
        <f t="shared" si="141"/>
        <v>0</v>
      </c>
      <c r="AC1480" s="5"/>
      <c r="AD1480" s="5">
        <v>0</v>
      </c>
      <c r="AE1480" s="5">
        <f t="shared" si="142"/>
        <v>0</v>
      </c>
      <c r="AF1480" s="70">
        <v>0</v>
      </c>
      <c r="AG1480" s="17"/>
      <c r="AH1480" s="18"/>
      <c r="AI1480" s="47" t="s">
        <v>4336</v>
      </c>
      <c r="AJ1480" s="73" t="s">
        <v>4337</v>
      </c>
      <c r="AK1480" s="45"/>
      <c r="AL1480" s="17" t="s">
        <v>119</v>
      </c>
      <c r="AM1480" s="100" t="s">
        <v>108</v>
      </c>
      <c r="AN1480" s="19"/>
      <c r="AO1480" s="19"/>
      <c r="AP1480" s="19"/>
      <c r="AQ1480" s="19"/>
      <c r="AR1480" s="19"/>
      <c r="AS1480" s="19"/>
      <c r="AT1480" s="19"/>
      <c r="AU1480" s="19"/>
      <c r="AV1480" s="19"/>
      <c r="AW1480" s="19"/>
      <c r="AX1480" s="107"/>
      <c r="AY1480" s="107"/>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39"/>
      <c r="CO1480" s="138"/>
      <c r="CP1480" s="139"/>
      <c r="CQ1480" s="138"/>
      <c r="CR1480" s="139"/>
      <c r="CS1480" s="138"/>
      <c r="CT1480" s="72"/>
      <c r="CU1480" s="139"/>
      <c r="CV1480" s="99">
        <f t="shared" si="143"/>
        <v>0</v>
      </c>
      <c r="CW1480" s="139"/>
      <c r="CX1480" s="138"/>
      <c r="CY1480" s="138"/>
      <c r="CZ1480" s="138"/>
      <c r="DA1480" s="139"/>
      <c r="DB1480" s="138"/>
      <c r="DC1480" s="45"/>
      <c r="DD1480" s="138"/>
      <c r="DE1480" s="45"/>
      <c r="DF1480" s="46"/>
    </row>
    <row r="1481" spans="1:110" s="42" customFormat="1" ht="36" x14ac:dyDescent="0.2">
      <c r="A1481" s="89">
        <v>40714</v>
      </c>
      <c r="B1481" s="106" t="s">
        <v>4261</v>
      </c>
      <c r="C1481" s="106" t="s">
        <v>2668</v>
      </c>
      <c r="D1481" s="90" t="s">
        <v>2362</v>
      </c>
      <c r="E1481" s="90" t="str">
        <f>VLOOKUP(B1481&amp;C1481,Divipola!$C$2:$F$1138,4,FALSE)</f>
        <v>15293</v>
      </c>
      <c r="F1481" s="90"/>
      <c r="G1481" s="129"/>
      <c r="H1481" s="129"/>
      <c r="I1481" s="129"/>
      <c r="J1481" s="129"/>
      <c r="K1481" s="129"/>
      <c r="L1481" s="129"/>
      <c r="M1481" s="129"/>
      <c r="N1481" s="129">
        <v>4</v>
      </c>
      <c r="O1481" s="129"/>
      <c r="P1481" s="129"/>
      <c r="Q1481" s="129"/>
      <c r="R1481" s="129"/>
      <c r="S1481" s="129"/>
      <c r="T1481" s="129"/>
      <c r="U1481" s="129"/>
      <c r="V1481" s="129"/>
      <c r="W1481" s="107"/>
      <c r="X1481" s="105"/>
      <c r="Y1481" s="92">
        <f t="shared" si="138"/>
        <v>0</v>
      </c>
      <c r="Z1481" s="92">
        <f t="shared" si="139"/>
        <v>0</v>
      </c>
      <c r="AA1481" s="92">
        <f t="shared" si="140"/>
        <v>0</v>
      </c>
      <c r="AB1481" s="92">
        <f t="shared" si="141"/>
        <v>0</v>
      </c>
      <c r="AC1481" s="92"/>
      <c r="AD1481" s="92">
        <v>30000000</v>
      </c>
      <c r="AE1481" s="92">
        <f t="shared" si="142"/>
        <v>30000000</v>
      </c>
      <c r="AF1481" s="93">
        <v>0</v>
      </c>
      <c r="AG1481" s="105"/>
      <c r="AH1481" s="108"/>
      <c r="AI1481" s="102" t="s">
        <v>4346</v>
      </c>
      <c r="AJ1481" s="96" t="s">
        <v>4347</v>
      </c>
      <c r="AK1481" s="111"/>
      <c r="AL1481" s="105"/>
      <c r="AM1481" s="112" t="s">
        <v>2018</v>
      </c>
      <c r="AN1481" s="107"/>
      <c r="AO1481" s="107"/>
      <c r="AP1481" s="107"/>
      <c r="AQ1481" s="107"/>
      <c r="AR1481" s="107"/>
      <c r="AS1481" s="107"/>
      <c r="AT1481" s="107"/>
      <c r="AU1481" s="107"/>
      <c r="AV1481" s="107"/>
      <c r="AW1481" s="107"/>
      <c r="AX1481" s="107"/>
      <c r="AY1481" s="107"/>
      <c r="AZ1481" s="107"/>
      <c r="BA1481" s="107"/>
      <c r="BB1481" s="107"/>
      <c r="BC1481" s="107"/>
      <c r="BD1481" s="107"/>
      <c r="BE1481" s="107"/>
      <c r="BF1481" s="107"/>
      <c r="BG1481" s="107"/>
      <c r="BH1481" s="107"/>
      <c r="BI1481" s="107"/>
      <c r="BJ1481" s="107"/>
      <c r="BK1481" s="107"/>
      <c r="BL1481" s="107"/>
      <c r="BM1481" s="107"/>
      <c r="BN1481" s="107"/>
      <c r="BO1481" s="107"/>
      <c r="BP1481" s="107"/>
      <c r="BQ1481" s="107"/>
      <c r="BR1481" s="107"/>
      <c r="BS1481" s="107"/>
      <c r="BT1481" s="107"/>
      <c r="BU1481" s="107"/>
      <c r="BV1481" s="107"/>
      <c r="BW1481" s="107"/>
      <c r="BX1481" s="107"/>
      <c r="BY1481" s="107"/>
      <c r="BZ1481" s="107"/>
      <c r="CA1481" s="107"/>
      <c r="CB1481" s="107"/>
      <c r="CC1481" s="107"/>
      <c r="CD1481" s="107"/>
      <c r="CE1481" s="107"/>
      <c r="CF1481" s="107"/>
      <c r="CG1481" s="107"/>
      <c r="CH1481" s="107"/>
      <c r="CI1481" s="107"/>
      <c r="CJ1481" s="107"/>
      <c r="CK1481" s="107"/>
      <c r="CL1481" s="107"/>
      <c r="CM1481" s="107"/>
      <c r="CN1481" s="118"/>
      <c r="CO1481" s="119"/>
      <c r="CP1481" s="118"/>
      <c r="CQ1481" s="119"/>
      <c r="CR1481" s="118"/>
      <c r="CS1481" s="119"/>
      <c r="CT1481" s="113"/>
      <c r="CU1481" s="118"/>
      <c r="CV1481" s="99">
        <f t="shared" si="143"/>
        <v>0</v>
      </c>
      <c r="CW1481" s="118"/>
      <c r="CX1481" s="119"/>
      <c r="CY1481" s="119"/>
      <c r="CZ1481" s="119"/>
      <c r="DA1481" s="118"/>
      <c r="DB1481" s="119"/>
      <c r="DC1481" s="111"/>
      <c r="DD1481" s="119"/>
      <c r="DE1481" s="111"/>
      <c r="DF1481" s="46"/>
    </row>
    <row r="1482" spans="1:110" s="42" customFormat="1" ht="48" x14ac:dyDescent="0.2">
      <c r="A1482" s="89">
        <v>40714</v>
      </c>
      <c r="B1482" s="90" t="s">
        <v>4261</v>
      </c>
      <c r="C1482" s="90" t="s">
        <v>1198</v>
      </c>
      <c r="D1482" s="90" t="s">
        <v>4264</v>
      </c>
      <c r="E1482" s="90" t="str">
        <f>VLOOKUP(B1482&amp;C1482,Divipola!$C$2:$F$1138,4,FALSE)</f>
        <v>15403</v>
      </c>
      <c r="F1482" s="4"/>
      <c r="G1482" s="101"/>
      <c r="H1482" s="101"/>
      <c r="I1482" s="101"/>
      <c r="J1482" s="101">
        <v>625</v>
      </c>
      <c r="K1482" s="101">
        <v>125</v>
      </c>
      <c r="L1482" s="101"/>
      <c r="M1482" s="101">
        <v>125</v>
      </c>
      <c r="N1482" s="101"/>
      <c r="O1482" s="101"/>
      <c r="P1482" s="101"/>
      <c r="Q1482" s="101"/>
      <c r="R1482" s="101"/>
      <c r="S1482" s="101"/>
      <c r="T1482" s="101"/>
      <c r="U1482" s="101"/>
      <c r="V1482" s="101"/>
      <c r="W1482" s="19"/>
      <c r="X1482" s="17"/>
      <c r="Y1482" s="5">
        <f t="shared" si="138"/>
        <v>0</v>
      </c>
      <c r="Z1482" s="5">
        <f t="shared" si="139"/>
        <v>0</v>
      </c>
      <c r="AA1482" s="5">
        <f t="shared" si="140"/>
        <v>0</v>
      </c>
      <c r="AB1482" s="5">
        <f t="shared" si="141"/>
        <v>0</v>
      </c>
      <c r="AC1482" s="5"/>
      <c r="AD1482" s="5">
        <v>0</v>
      </c>
      <c r="AE1482" s="5">
        <f t="shared" si="142"/>
        <v>0</v>
      </c>
      <c r="AF1482" s="70">
        <v>0</v>
      </c>
      <c r="AG1482" s="17"/>
      <c r="AH1482" s="18"/>
      <c r="AI1482" s="47" t="s">
        <v>4336</v>
      </c>
      <c r="AJ1482" s="73" t="s">
        <v>4337</v>
      </c>
      <c r="AK1482" s="45"/>
      <c r="AL1482" s="17" t="s">
        <v>119</v>
      </c>
      <c r="AM1482" s="100" t="s">
        <v>110</v>
      </c>
      <c r="AN1482" s="19"/>
      <c r="AO1482" s="19"/>
      <c r="AP1482" s="19"/>
      <c r="AQ1482" s="19"/>
      <c r="AR1482" s="19"/>
      <c r="AS1482" s="19"/>
      <c r="AT1482" s="19"/>
      <c r="AU1482" s="19"/>
      <c r="AV1482" s="19"/>
      <c r="AW1482" s="19"/>
      <c r="AX1482" s="107"/>
      <c r="AY1482" s="107"/>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39"/>
      <c r="CO1482" s="138"/>
      <c r="CP1482" s="139"/>
      <c r="CQ1482" s="138"/>
      <c r="CR1482" s="139"/>
      <c r="CS1482" s="138"/>
      <c r="CT1482" s="72"/>
      <c r="CU1482" s="139"/>
      <c r="CV1482" s="99">
        <f t="shared" si="143"/>
        <v>0</v>
      </c>
      <c r="CW1482" s="139"/>
      <c r="CX1482" s="138"/>
      <c r="CY1482" s="138"/>
      <c r="CZ1482" s="138"/>
      <c r="DA1482" s="139"/>
      <c r="DB1482" s="138"/>
      <c r="DC1482" s="45"/>
      <c r="DD1482" s="138"/>
      <c r="DE1482" s="45"/>
      <c r="DF1482" s="46">
        <v>1831</v>
      </c>
    </row>
    <row r="1483" spans="1:110" s="42" customFormat="1" ht="72" x14ac:dyDescent="0.2">
      <c r="A1483" s="89">
        <v>40714</v>
      </c>
      <c r="B1483" s="90" t="s">
        <v>4261</v>
      </c>
      <c r="C1483" s="90" t="s">
        <v>1329</v>
      </c>
      <c r="D1483" s="90" t="s">
        <v>4264</v>
      </c>
      <c r="E1483" s="90" t="str">
        <f>VLOOKUP(B1483&amp;C1483,Divipola!$C$2:$F$1138,4,FALSE)</f>
        <v>15776</v>
      </c>
      <c r="F1483" s="4"/>
      <c r="G1483" s="101"/>
      <c r="H1483" s="101"/>
      <c r="I1483" s="101"/>
      <c r="J1483" s="101">
        <v>1225</v>
      </c>
      <c r="K1483" s="101">
        <v>245</v>
      </c>
      <c r="L1483" s="101"/>
      <c r="M1483" s="101">
        <v>245</v>
      </c>
      <c r="N1483" s="101"/>
      <c r="O1483" s="101"/>
      <c r="P1483" s="101"/>
      <c r="Q1483" s="101"/>
      <c r="R1483" s="101"/>
      <c r="S1483" s="101"/>
      <c r="T1483" s="101"/>
      <c r="U1483" s="101"/>
      <c r="V1483" s="101">
        <v>174</v>
      </c>
      <c r="W1483" s="19"/>
      <c r="X1483" s="17"/>
      <c r="Y1483" s="5">
        <f t="shared" si="138"/>
        <v>0</v>
      </c>
      <c r="Z1483" s="5">
        <f t="shared" si="139"/>
        <v>0</v>
      </c>
      <c r="AA1483" s="5">
        <f t="shared" si="140"/>
        <v>0</v>
      </c>
      <c r="AB1483" s="5">
        <f t="shared" si="141"/>
        <v>0</v>
      </c>
      <c r="AC1483" s="5"/>
      <c r="AD1483" s="5">
        <v>0</v>
      </c>
      <c r="AE1483" s="5">
        <f t="shared" si="142"/>
        <v>0</v>
      </c>
      <c r="AF1483" s="70">
        <v>0</v>
      </c>
      <c r="AG1483" s="17"/>
      <c r="AH1483" s="18"/>
      <c r="AI1483" s="47" t="s">
        <v>4336</v>
      </c>
      <c r="AJ1483" s="73" t="s">
        <v>4337</v>
      </c>
      <c r="AK1483" s="45"/>
      <c r="AL1483" s="17" t="s">
        <v>119</v>
      </c>
      <c r="AM1483" s="100" t="s">
        <v>107</v>
      </c>
      <c r="AN1483" s="19"/>
      <c r="AO1483" s="19"/>
      <c r="AP1483" s="19"/>
      <c r="AQ1483" s="19"/>
      <c r="AR1483" s="19"/>
      <c r="AS1483" s="19"/>
      <c r="AT1483" s="19"/>
      <c r="AU1483" s="19"/>
      <c r="AV1483" s="19"/>
      <c r="AW1483" s="19"/>
      <c r="AX1483" s="107"/>
      <c r="AY1483" s="107"/>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39"/>
      <c r="CO1483" s="138"/>
      <c r="CP1483" s="139"/>
      <c r="CQ1483" s="138"/>
      <c r="CR1483" s="139"/>
      <c r="CS1483" s="138"/>
      <c r="CT1483" s="72"/>
      <c r="CU1483" s="139"/>
      <c r="CV1483" s="99">
        <f t="shared" si="143"/>
        <v>0</v>
      </c>
      <c r="CW1483" s="139"/>
      <c r="CX1483" s="138"/>
      <c r="CY1483" s="138"/>
      <c r="CZ1483" s="138"/>
      <c r="DA1483" s="139"/>
      <c r="DB1483" s="138"/>
      <c r="DC1483" s="45"/>
      <c r="DD1483" s="138"/>
      <c r="DE1483" s="45"/>
      <c r="DF1483" s="46"/>
    </row>
    <row r="1484" spans="1:110" s="42" customFormat="1" x14ac:dyDescent="0.2">
      <c r="A1484" s="89">
        <v>40714</v>
      </c>
      <c r="B1484" s="4" t="s">
        <v>4282</v>
      </c>
      <c r="C1484" s="4" t="s">
        <v>4345</v>
      </c>
      <c r="D1484" s="90" t="s">
        <v>4264</v>
      </c>
      <c r="E1484" s="90">
        <f>VLOOKUP(B1484&amp;C1484,Divipola!$C$2:$F$1138,4,FALSE)</f>
        <v>23</v>
      </c>
      <c r="F1484" s="4"/>
      <c r="G1484" s="208"/>
      <c r="H1484" s="208"/>
      <c r="I1484" s="208"/>
      <c r="J1484" s="208"/>
      <c r="K1484" s="208"/>
      <c r="L1484" s="208"/>
      <c r="M1484" s="208"/>
      <c r="N1484" s="208"/>
      <c r="O1484" s="208"/>
      <c r="P1484" s="208"/>
      <c r="Q1484" s="208"/>
      <c r="R1484" s="208"/>
      <c r="S1484" s="208"/>
      <c r="T1484" s="208"/>
      <c r="U1484" s="208"/>
      <c r="V1484" s="208"/>
      <c r="W1484" s="19"/>
      <c r="X1484" s="17"/>
      <c r="Y1484" s="5">
        <f t="shared" si="138"/>
        <v>0</v>
      </c>
      <c r="Z1484" s="5">
        <f t="shared" si="139"/>
        <v>0</v>
      </c>
      <c r="AA1484" s="5">
        <f t="shared" si="140"/>
        <v>0</v>
      </c>
      <c r="AB1484" s="5">
        <f t="shared" si="141"/>
        <v>91060000</v>
      </c>
      <c r="AC1484" s="5"/>
      <c r="AD1484" s="5">
        <v>0</v>
      </c>
      <c r="AE1484" s="5">
        <f t="shared" si="142"/>
        <v>91060000</v>
      </c>
      <c r="AF1484" s="70">
        <v>0</v>
      </c>
      <c r="AG1484" s="17"/>
      <c r="AH1484" s="18"/>
      <c r="AI1484" s="95" t="s">
        <v>4346</v>
      </c>
      <c r="AJ1484" s="96" t="s">
        <v>4347</v>
      </c>
      <c r="AK1484" s="45"/>
      <c r="AL1484" s="17"/>
      <c r="AM1484" s="20"/>
      <c r="AN1484" s="19"/>
      <c r="AO1484" s="19"/>
      <c r="AP1484" s="19"/>
      <c r="AQ1484" s="19"/>
      <c r="AR1484" s="19"/>
      <c r="AS1484" s="19"/>
      <c r="AT1484" s="19"/>
      <c r="AU1484" s="19"/>
      <c r="AV1484" s="19"/>
      <c r="AW1484" s="19"/>
      <c r="AX1484" s="107"/>
      <c r="AY1484" s="107"/>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39"/>
      <c r="CO1484" s="138"/>
      <c r="CP1484" s="139"/>
      <c r="CQ1484" s="138"/>
      <c r="CR1484" s="139"/>
      <c r="CS1484" s="138"/>
      <c r="CT1484" s="72"/>
      <c r="CU1484" s="139"/>
      <c r="CV1484" s="99">
        <f t="shared" si="143"/>
        <v>0</v>
      </c>
      <c r="CW1484" s="139">
        <v>100000</v>
      </c>
      <c r="CX1484" s="138">
        <f>100000*910.6</f>
        <v>91060000</v>
      </c>
      <c r="CY1484" s="138"/>
      <c r="CZ1484" s="138"/>
      <c r="DA1484" s="139"/>
      <c r="DB1484" s="138"/>
      <c r="DC1484" s="45"/>
      <c r="DD1484" s="138"/>
      <c r="DE1484" s="45"/>
      <c r="DF1484" s="46"/>
    </row>
    <row r="1485" spans="1:110" s="42" customFormat="1" ht="22.5" x14ac:dyDescent="0.2">
      <c r="A1485" s="89">
        <v>40714</v>
      </c>
      <c r="B1485" s="90" t="s">
        <v>4344</v>
      </c>
      <c r="C1485" s="90" t="s">
        <v>2214</v>
      </c>
      <c r="D1485" s="90" t="s">
        <v>3346</v>
      </c>
      <c r="E1485" s="90" t="str">
        <f>VLOOKUP(B1485&amp;C1485,Divipola!$C$2:$F$1138,4,FALSE)</f>
        <v>25394</v>
      </c>
      <c r="F1485" s="90"/>
      <c r="G1485" s="124"/>
      <c r="H1485" s="124"/>
      <c r="I1485" s="308"/>
      <c r="J1485" s="124">
        <v>95</v>
      </c>
      <c r="K1485" s="124">
        <v>19</v>
      </c>
      <c r="L1485" s="124"/>
      <c r="M1485" s="124">
        <v>19</v>
      </c>
      <c r="N1485" s="129"/>
      <c r="O1485" s="129"/>
      <c r="P1485" s="129"/>
      <c r="Q1485" s="129"/>
      <c r="R1485" s="129"/>
      <c r="S1485" s="129"/>
      <c r="T1485" s="129"/>
      <c r="U1485" s="129"/>
      <c r="V1485" s="129"/>
      <c r="W1485" s="107"/>
      <c r="X1485" s="105"/>
      <c r="Y1485" s="92">
        <f t="shared" si="138"/>
        <v>0</v>
      </c>
      <c r="Z1485" s="92">
        <f t="shared" si="139"/>
        <v>0</v>
      </c>
      <c r="AA1485" s="92">
        <f t="shared" si="140"/>
        <v>0</v>
      </c>
      <c r="AB1485" s="92">
        <f t="shared" si="141"/>
        <v>0</v>
      </c>
      <c r="AC1485" s="92"/>
      <c r="AD1485" s="92">
        <v>0</v>
      </c>
      <c r="AE1485" s="92">
        <f t="shared" si="142"/>
        <v>0</v>
      </c>
      <c r="AF1485" s="93">
        <v>0</v>
      </c>
      <c r="AG1485" s="105"/>
      <c r="AH1485" s="108"/>
      <c r="AI1485" s="109" t="s">
        <v>4336</v>
      </c>
      <c r="AJ1485" s="110" t="s">
        <v>4337</v>
      </c>
      <c r="AK1485" s="285"/>
      <c r="AL1485" s="284"/>
      <c r="AM1485" s="128" t="s">
        <v>3400</v>
      </c>
      <c r="AN1485" s="107"/>
      <c r="AO1485" s="107"/>
      <c r="AP1485" s="107"/>
      <c r="AQ1485" s="107"/>
      <c r="AR1485" s="107"/>
      <c r="AS1485" s="107"/>
      <c r="AT1485" s="107"/>
      <c r="AU1485" s="107"/>
      <c r="AV1485" s="107"/>
      <c r="AW1485" s="107"/>
      <c r="AX1485" s="107"/>
      <c r="AY1485" s="107"/>
      <c r="AZ1485" s="107"/>
      <c r="BA1485" s="107"/>
      <c r="BB1485" s="107"/>
      <c r="BC1485" s="107"/>
      <c r="BD1485" s="107"/>
      <c r="BE1485" s="107"/>
      <c r="BF1485" s="107"/>
      <c r="BG1485" s="107"/>
      <c r="BH1485" s="107"/>
      <c r="BI1485" s="107"/>
      <c r="BJ1485" s="107"/>
      <c r="BK1485" s="107"/>
      <c r="BL1485" s="107"/>
      <c r="BM1485" s="107"/>
      <c r="BN1485" s="107"/>
      <c r="BO1485" s="107"/>
      <c r="BP1485" s="107"/>
      <c r="BQ1485" s="107"/>
      <c r="BR1485" s="107"/>
      <c r="BS1485" s="107"/>
      <c r="BT1485" s="107"/>
      <c r="BU1485" s="107"/>
      <c r="BV1485" s="107"/>
      <c r="BW1485" s="107"/>
      <c r="BX1485" s="107"/>
      <c r="BY1485" s="107"/>
      <c r="BZ1485" s="107"/>
      <c r="CA1485" s="107"/>
      <c r="CB1485" s="107"/>
      <c r="CC1485" s="107"/>
      <c r="CD1485" s="107"/>
      <c r="CE1485" s="107"/>
      <c r="CF1485" s="107"/>
      <c r="CG1485" s="107"/>
      <c r="CH1485" s="107"/>
      <c r="CI1485" s="107"/>
      <c r="CJ1485" s="107"/>
      <c r="CK1485" s="107"/>
      <c r="CL1485" s="107"/>
      <c r="CM1485" s="107"/>
      <c r="CN1485" s="118"/>
      <c r="CO1485" s="119"/>
      <c r="CP1485" s="118"/>
      <c r="CQ1485" s="119"/>
      <c r="CR1485" s="118"/>
      <c r="CS1485" s="119"/>
      <c r="CT1485" s="113"/>
      <c r="CU1485" s="118"/>
      <c r="CV1485" s="99">
        <f t="shared" si="143"/>
        <v>0</v>
      </c>
      <c r="CW1485" s="118"/>
      <c r="CX1485" s="119"/>
      <c r="CY1485" s="119"/>
      <c r="CZ1485" s="119"/>
      <c r="DA1485" s="118"/>
      <c r="DB1485" s="119"/>
      <c r="DC1485" s="111"/>
      <c r="DD1485" s="119"/>
      <c r="DE1485" s="111"/>
      <c r="DF1485" s="46"/>
    </row>
    <row r="1486" spans="1:110" s="42" customFormat="1" x14ac:dyDescent="0.2">
      <c r="A1486" s="89">
        <v>40714</v>
      </c>
      <c r="B1486" s="106" t="s">
        <v>4387</v>
      </c>
      <c r="C1486" s="106" t="s">
        <v>855</v>
      </c>
      <c r="D1486" s="90" t="s">
        <v>2362</v>
      </c>
      <c r="E1486" s="90" t="str">
        <f>VLOOKUP(B1486&amp;C1486,Divipola!$C$2:$F$1138,4,FALSE)</f>
        <v>52260</v>
      </c>
      <c r="F1486" s="4"/>
      <c r="G1486" s="129"/>
      <c r="H1486" s="129"/>
      <c r="I1486" s="129"/>
      <c r="J1486" s="129">
        <v>327</v>
      </c>
      <c r="K1486" s="129">
        <v>118</v>
      </c>
      <c r="L1486" s="129">
        <v>8</v>
      </c>
      <c r="M1486" s="129">
        <v>63</v>
      </c>
      <c r="N1486" s="101"/>
      <c r="O1486" s="101"/>
      <c r="P1486" s="101"/>
      <c r="Q1486" s="101"/>
      <c r="R1486" s="101"/>
      <c r="S1486" s="101"/>
      <c r="T1486" s="101"/>
      <c r="U1486" s="101"/>
      <c r="V1486" s="101">
        <v>47</v>
      </c>
      <c r="W1486" s="19"/>
      <c r="X1486" s="17"/>
      <c r="Y1486" s="5">
        <f t="shared" si="138"/>
        <v>0</v>
      </c>
      <c r="Z1486" s="5">
        <f t="shared" si="139"/>
        <v>0</v>
      </c>
      <c r="AA1486" s="5">
        <f t="shared" si="140"/>
        <v>0</v>
      </c>
      <c r="AB1486" s="5">
        <f t="shared" si="141"/>
        <v>0</v>
      </c>
      <c r="AC1486" s="5"/>
      <c r="AD1486" s="5">
        <v>0</v>
      </c>
      <c r="AE1486" s="5">
        <f t="shared" si="142"/>
        <v>0</v>
      </c>
      <c r="AF1486" s="70">
        <v>0</v>
      </c>
      <c r="AG1486" s="17"/>
      <c r="AH1486" s="18"/>
      <c r="AI1486" s="109" t="s">
        <v>4336</v>
      </c>
      <c r="AJ1486" s="110" t="s">
        <v>4337</v>
      </c>
      <c r="AK1486" s="45"/>
      <c r="AL1486" s="17"/>
      <c r="AM1486" s="100" t="s">
        <v>1150</v>
      </c>
      <c r="AN1486" s="19"/>
      <c r="AO1486" s="19"/>
      <c r="AP1486" s="19"/>
      <c r="AQ1486" s="19"/>
      <c r="AR1486" s="19"/>
      <c r="AS1486" s="19"/>
      <c r="AT1486" s="19"/>
      <c r="AU1486" s="19"/>
      <c r="AV1486" s="19"/>
      <c r="AW1486" s="19"/>
      <c r="AX1486" s="107"/>
      <c r="AY1486" s="107"/>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39"/>
      <c r="CO1486" s="138"/>
      <c r="CP1486" s="139"/>
      <c r="CQ1486" s="138"/>
      <c r="CR1486" s="139"/>
      <c r="CS1486" s="138"/>
      <c r="CT1486" s="72"/>
      <c r="CU1486" s="139"/>
      <c r="CV1486" s="99">
        <f t="shared" si="143"/>
        <v>0</v>
      </c>
      <c r="CW1486" s="139"/>
      <c r="CX1486" s="138"/>
      <c r="CY1486" s="138"/>
      <c r="CZ1486" s="138"/>
      <c r="DA1486" s="139"/>
      <c r="DB1486" s="138"/>
      <c r="DC1486" s="45"/>
      <c r="DD1486" s="138"/>
      <c r="DE1486" s="45"/>
      <c r="DF1486" s="46"/>
    </row>
    <row r="1487" spans="1:110" s="42" customFormat="1" ht="72" x14ac:dyDescent="0.2">
      <c r="A1487" s="89">
        <v>40714</v>
      </c>
      <c r="B1487" s="16" t="s">
        <v>3697</v>
      </c>
      <c r="C1487" s="16" t="s">
        <v>3700</v>
      </c>
      <c r="D1487" s="90" t="s">
        <v>4264</v>
      </c>
      <c r="E1487" s="90" t="str">
        <f>VLOOKUP(B1487&amp;C1487,Divipola!$C$2:$F$1138,4,FALSE)</f>
        <v>97161</v>
      </c>
      <c r="F1487" s="4"/>
      <c r="G1487" s="208"/>
      <c r="H1487" s="208"/>
      <c r="I1487" s="208"/>
      <c r="J1487" s="208"/>
      <c r="K1487" s="208"/>
      <c r="L1487" s="208"/>
      <c r="M1487" s="208"/>
      <c r="N1487" s="208"/>
      <c r="O1487" s="208"/>
      <c r="P1487" s="208"/>
      <c r="Q1487" s="208"/>
      <c r="R1487" s="208"/>
      <c r="S1487" s="208"/>
      <c r="T1487" s="208"/>
      <c r="U1487" s="208"/>
      <c r="V1487" s="208"/>
      <c r="W1487" s="19" t="s">
        <v>1141</v>
      </c>
      <c r="X1487" s="17"/>
      <c r="Y1487" s="5">
        <f t="shared" si="138"/>
        <v>0</v>
      </c>
      <c r="Z1487" s="5">
        <f t="shared" si="139"/>
        <v>0</v>
      </c>
      <c r="AA1487" s="5">
        <f t="shared" si="140"/>
        <v>0</v>
      </c>
      <c r="AB1487" s="5">
        <f t="shared" si="141"/>
        <v>0</v>
      </c>
      <c r="AC1487" s="5"/>
      <c r="AD1487" s="5">
        <v>100000000</v>
      </c>
      <c r="AE1487" s="5">
        <f t="shared" si="142"/>
        <v>100000000</v>
      </c>
      <c r="AF1487" s="70">
        <v>0</v>
      </c>
      <c r="AG1487" s="17"/>
      <c r="AH1487" s="18"/>
      <c r="AI1487" s="95" t="s">
        <v>4346</v>
      </c>
      <c r="AJ1487" s="96" t="s">
        <v>4347</v>
      </c>
      <c r="AK1487" s="45"/>
      <c r="AL1487" s="17"/>
      <c r="AM1487" s="137" t="s">
        <v>1114</v>
      </c>
      <c r="AN1487" s="19"/>
      <c r="AO1487" s="19"/>
      <c r="AP1487" s="19"/>
      <c r="AQ1487" s="19"/>
      <c r="AR1487" s="19"/>
      <c r="AS1487" s="19"/>
      <c r="AT1487" s="19"/>
      <c r="AU1487" s="19"/>
      <c r="AV1487" s="19"/>
      <c r="AW1487" s="19"/>
      <c r="AX1487" s="107"/>
      <c r="AY1487" s="107"/>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39"/>
      <c r="CO1487" s="138"/>
      <c r="CP1487" s="139"/>
      <c r="CQ1487" s="138"/>
      <c r="CR1487" s="139"/>
      <c r="CS1487" s="138"/>
      <c r="CT1487" s="72"/>
      <c r="CU1487" s="139"/>
      <c r="CV1487" s="99">
        <f t="shared" si="143"/>
        <v>0</v>
      </c>
      <c r="CW1487" s="139"/>
      <c r="CX1487" s="138"/>
      <c r="CY1487" s="138"/>
      <c r="CZ1487" s="138"/>
      <c r="DA1487" s="139"/>
      <c r="DB1487" s="138"/>
      <c r="DC1487" s="45"/>
      <c r="DD1487" s="138"/>
      <c r="DE1487" s="45"/>
      <c r="DF1487" s="46"/>
    </row>
    <row r="1488" spans="1:110" s="42" customFormat="1" ht="36" x14ac:dyDescent="0.2">
      <c r="A1488" s="89">
        <v>40715</v>
      </c>
      <c r="B1488" s="90" t="s">
        <v>4261</v>
      </c>
      <c r="C1488" s="90" t="s">
        <v>2626</v>
      </c>
      <c r="D1488" s="90" t="s">
        <v>4264</v>
      </c>
      <c r="E1488" s="90" t="str">
        <f>VLOOKUP(B1488&amp;C1488,Divipola!$C$2:$F$1138,4,FALSE)</f>
        <v>15187</v>
      </c>
      <c r="F1488" s="4"/>
      <c r="G1488" s="101"/>
      <c r="H1488" s="101"/>
      <c r="I1488" s="101"/>
      <c r="J1488" s="101">
        <v>270</v>
      </c>
      <c r="K1488" s="101">
        <v>54</v>
      </c>
      <c r="L1488" s="101"/>
      <c r="M1488" s="101">
        <v>54</v>
      </c>
      <c r="N1488" s="101"/>
      <c r="O1488" s="101"/>
      <c r="P1488" s="101"/>
      <c r="Q1488" s="101"/>
      <c r="R1488" s="101"/>
      <c r="S1488" s="101"/>
      <c r="T1488" s="101"/>
      <c r="U1488" s="101"/>
      <c r="V1488" s="101">
        <v>218</v>
      </c>
      <c r="W1488" s="19"/>
      <c r="X1488" s="17"/>
      <c r="Y1488" s="5">
        <f t="shared" si="138"/>
        <v>0</v>
      </c>
      <c r="Z1488" s="5">
        <f t="shared" si="139"/>
        <v>0</v>
      </c>
      <c r="AA1488" s="5">
        <f t="shared" si="140"/>
        <v>0</v>
      </c>
      <c r="AB1488" s="5">
        <f t="shared" si="141"/>
        <v>0</v>
      </c>
      <c r="AC1488" s="5"/>
      <c r="AD1488" s="5">
        <v>0</v>
      </c>
      <c r="AE1488" s="5">
        <f t="shared" si="142"/>
        <v>0</v>
      </c>
      <c r="AF1488" s="70">
        <v>0</v>
      </c>
      <c r="AG1488" s="17"/>
      <c r="AH1488" s="18"/>
      <c r="AI1488" s="47" t="s">
        <v>4336</v>
      </c>
      <c r="AJ1488" s="73" t="s">
        <v>4337</v>
      </c>
      <c r="AK1488" s="45"/>
      <c r="AL1488" s="17" t="s">
        <v>119</v>
      </c>
      <c r="AM1488" s="100" t="s">
        <v>112</v>
      </c>
      <c r="AN1488" s="19"/>
      <c r="AO1488" s="19"/>
      <c r="AP1488" s="19"/>
      <c r="AQ1488" s="19"/>
      <c r="AR1488" s="19"/>
      <c r="AS1488" s="19"/>
      <c r="AT1488" s="19"/>
      <c r="AU1488" s="19"/>
      <c r="AV1488" s="19"/>
      <c r="AW1488" s="19"/>
      <c r="AX1488" s="107"/>
      <c r="AY1488" s="107"/>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39"/>
      <c r="CO1488" s="138"/>
      <c r="CP1488" s="139"/>
      <c r="CQ1488" s="138"/>
      <c r="CR1488" s="139"/>
      <c r="CS1488" s="138"/>
      <c r="CT1488" s="72"/>
      <c r="CU1488" s="139"/>
      <c r="CV1488" s="99">
        <f t="shared" si="143"/>
        <v>0</v>
      </c>
      <c r="CW1488" s="139"/>
      <c r="CX1488" s="138"/>
      <c r="CY1488" s="138"/>
      <c r="CZ1488" s="138"/>
      <c r="DA1488" s="139"/>
      <c r="DB1488" s="138"/>
      <c r="DC1488" s="45"/>
      <c r="DD1488" s="138"/>
      <c r="DE1488" s="45"/>
      <c r="DF1488" s="46"/>
    </row>
    <row r="1489" spans="1:110" s="42" customFormat="1" ht="24" x14ac:dyDescent="0.2">
      <c r="A1489" s="89">
        <v>40715</v>
      </c>
      <c r="B1489" s="90" t="s">
        <v>4261</v>
      </c>
      <c r="C1489" s="90" t="s">
        <v>1228</v>
      </c>
      <c r="D1489" s="90" t="s">
        <v>4264</v>
      </c>
      <c r="E1489" s="90" t="str">
        <f>VLOOKUP(B1489&amp;C1489,Divipola!$C$2:$F$1138,4,FALSE)</f>
        <v>15500</v>
      </c>
      <c r="F1489" s="4"/>
      <c r="G1489" s="101"/>
      <c r="H1489" s="101"/>
      <c r="I1489" s="101"/>
      <c r="J1489" s="101">
        <v>475</v>
      </c>
      <c r="K1489" s="101">
        <v>95</v>
      </c>
      <c r="L1489" s="101">
        <v>6</v>
      </c>
      <c r="M1489" s="101">
        <v>89</v>
      </c>
      <c r="N1489" s="101"/>
      <c r="O1489" s="101"/>
      <c r="P1489" s="101"/>
      <c r="Q1489" s="101"/>
      <c r="R1489" s="101"/>
      <c r="S1489" s="101"/>
      <c r="T1489" s="101"/>
      <c r="U1489" s="101"/>
      <c r="V1489" s="101"/>
      <c r="W1489" s="19"/>
      <c r="X1489" s="17"/>
      <c r="Y1489" s="5">
        <f t="shared" si="138"/>
        <v>0</v>
      </c>
      <c r="Z1489" s="5">
        <f t="shared" si="139"/>
        <v>0</v>
      </c>
      <c r="AA1489" s="5">
        <f t="shared" si="140"/>
        <v>0</v>
      </c>
      <c r="AB1489" s="5">
        <f t="shared" si="141"/>
        <v>0</v>
      </c>
      <c r="AC1489" s="5"/>
      <c r="AD1489" s="5">
        <v>0</v>
      </c>
      <c r="AE1489" s="5">
        <f t="shared" si="142"/>
        <v>0</v>
      </c>
      <c r="AF1489" s="70">
        <v>0</v>
      </c>
      <c r="AG1489" s="17"/>
      <c r="AH1489" s="18"/>
      <c r="AI1489" s="47" t="s">
        <v>4336</v>
      </c>
      <c r="AJ1489" s="73" t="s">
        <v>4337</v>
      </c>
      <c r="AK1489" s="45"/>
      <c r="AL1489" s="17" t="s">
        <v>119</v>
      </c>
      <c r="AM1489" s="100" t="s">
        <v>113</v>
      </c>
      <c r="AN1489" s="19"/>
      <c r="AO1489" s="19"/>
      <c r="AP1489" s="19"/>
      <c r="AQ1489" s="19"/>
      <c r="AR1489" s="19"/>
      <c r="AS1489" s="19"/>
      <c r="AT1489" s="19"/>
      <c r="AU1489" s="19"/>
      <c r="AV1489" s="19"/>
      <c r="AW1489" s="19"/>
      <c r="AX1489" s="107"/>
      <c r="AY1489" s="107"/>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39"/>
      <c r="CO1489" s="138"/>
      <c r="CP1489" s="139"/>
      <c r="CQ1489" s="138"/>
      <c r="CR1489" s="139"/>
      <c r="CS1489" s="138"/>
      <c r="CT1489" s="72"/>
      <c r="CU1489" s="139"/>
      <c r="CV1489" s="99">
        <f t="shared" si="143"/>
        <v>0</v>
      </c>
      <c r="CW1489" s="139"/>
      <c r="CX1489" s="138"/>
      <c r="CY1489" s="138"/>
      <c r="CZ1489" s="138"/>
      <c r="DA1489" s="139"/>
      <c r="DB1489" s="138"/>
      <c r="DC1489" s="45"/>
      <c r="DD1489" s="138"/>
      <c r="DE1489" s="45"/>
      <c r="DF1489" s="46">
        <v>1832</v>
      </c>
    </row>
    <row r="1490" spans="1:110" s="42" customFormat="1" ht="48" x14ac:dyDescent="0.2">
      <c r="A1490" s="89">
        <v>40715</v>
      </c>
      <c r="B1490" s="90" t="s">
        <v>4261</v>
      </c>
      <c r="C1490" s="90" t="s">
        <v>2256</v>
      </c>
      <c r="D1490" s="90" t="s">
        <v>2362</v>
      </c>
      <c r="E1490" s="90" t="str">
        <f>VLOOKUP(B1490&amp;C1490,Divipola!$C$2:$F$1138,4,FALSE)</f>
        <v>15759</v>
      </c>
      <c r="F1490" s="4"/>
      <c r="G1490" s="101"/>
      <c r="H1490" s="101"/>
      <c r="I1490" s="101"/>
      <c r="J1490" s="101">
        <v>2495</v>
      </c>
      <c r="K1490" s="101">
        <v>499</v>
      </c>
      <c r="L1490" s="101">
        <v>21</v>
      </c>
      <c r="M1490" s="101">
        <v>478</v>
      </c>
      <c r="N1490" s="101"/>
      <c r="O1490" s="101"/>
      <c r="P1490" s="101"/>
      <c r="Q1490" s="101"/>
      <c r="R1490" s="101"/>
      <c r="S1490" s="101"/>
      <c r="T1490" s="101"/>
      <c r="U1490" s="101"/>
      <c r="V1490" s="101"/>
      <c r="W1490" s="19"/>
      <c r="X1490" s="17"/>
      <c r="Y1490" s="5">
        <f t="shared" si="138"/>
        <v>0</v>
      </c>
      <c r="Z1490" s="5">
        <f t="shared" si="139"/>
        <v>0</v>
      </c>
      <c r="AA1490" s="5">
        <f t="shared" si="140"/>
        <v>0</v>
      </c>
      <c r="AB1490" s="5">
        <f t="shared" si="141"/>
        <v>0</v>
      </c>
      <c r="AC1490" s="5"/>
      <c r="AD1490" s="5">
        <v>0</v>
      </c>
      <c r="AE1490" s="5">
        <f t="shared" si="142"/>
        <v>0</v>
      </c>
      <c r="AF1490" s="70">
        <v>0</v>
      </c>
      <c r="AG1490" s="17"/>
      <c r="AH1490" s="18"/>
      <c r="AI1490" s="47" t="s">
        <v>4336</v>
      </c>
      <c r="AJ1490" s="73" t="s">
        <v>4337</v>
      </c>
      <c r="AK1490" s="45"/>
      <c r="AL1490" s="17" t="s">
        <v>119</v>
      </c>
      <c r="AM1490" s="100" t="s">
        <v>111</v>
      </c>
      <c r="AN1490" s="19"/>
      <c r="AO1490" s="19"/>
      <c r="AP1490" s="19"/>
      <c r="AQ1490" s="19"/>
      <c r="AR1490" s="19"/>
      <c r="AS1490" s="19"/>
      <c r="AT1490" s="19"/>
      <c r="AU1490" s="19"/>
      <c r="AV1490" s="19"/>
      <c r="AW1490" s="19"/>
      <c r="AX1490" s="107"/>
      <c r="AY1490" s="107"/>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39"/>
      <c r="CO1490" s="138"/>
      <c r="CP1490" s="139"/>
      <c r="CQ1490" s="138"/>
      <c r="CR1490" s="139"/>
      <c r="CS1490" s="138"/>
      <c r="CT1490" s="72"/>
      <c r="CU1490" s="139"/>
      <c r="CV1490" s="99">
        <f t="shared" si="143"/>
        <v>0</v>
      </c>
      <c r="CW1490" s="139"/>
      <c r="CX1490" s="138"/>
      <c r="CY1490" s="138"/>
      <c r="CZ1490" s="138"/>
      <c r="DA1490" s="139"/>
      <c r="DB1490" s="138"/>
      <c r="DC1490" s="45"/>
      <c r="DD1490" s="138"/>
      <c r="DE1490" s="45"/>
      <c r="DF1490" s="46"/>
    </row>
    <row r="1491" spans="1:110" s="42" customFormat="1" x14ac:dyDescent="0.2">
      <c r="A1491" s="89">
        <v>40715</v>
      </c>
      <c r="B1491" s="106" t="s">
        <v>4387</v>
      </c>
      <c r="C1491" s="106" t="s">
        <v>847</v>
      </c>
      <c r="D1491" s="90" t="s">
        <v>2362</v>
      </c>
      <c r="E1491" s="90" t="str">
        <f>VLOOKUP(B1491&amp;C1491,Divipola!$C$2:$F$1138,4,FALSE)</f>
        <v>52110</v>
      </c>
      <c r="F1491" s="4"/>
      <c r="G1491" s="129"/>
      <c r="H1491" s="129"/>
      <c r="I1491" s="129"/>
      <c r="J1491" s="129">
        <v>674</v>
      </c>
      <c r="K1491" s="129">
        <v>198</v>
      </c>
      <c r="L1491" s="129">
        <v>1</v>
      </c>
      <c r="M1491" s="129">
        <v>197</v>
      </c>
      <c r="N1491" s="101"/>
      <c r="O1491" s="101"/>
      <c r="P1491" s="101"/>
      <c r="Q1491" s="101"/>
      <c r="R1491" s="101"/>
      <c r="S1491" s="101"/>
      <c r="T1491" s="101"/>
      <c r="U1491" s="101"/>
      <c r="V1491" s="101"/>
      <c r="W1491" s="19"/>
      <c r="X1491" s="17"/>
      <c r="Y1491" s="5">
        <f t="shared" si="138"/>
        <v>0</v>
      </c>
      <c r="Z1491" s="5">
        <f t="shared" si="139"/>
        <v>0</v>
      </c>
      <c r="AA1491" s="5">
        <f t="shared" si="140"/>
        <v>0</v>
      </c>
      <c r="AB1491" s="5">
        <f t="shared" si="141"/>
        <v>0</v>
      </c>
      <c r="AC1491" s="5"/>
      <c r="AD1491" s="5">
        <v>0</v>
      </c>
      <c r="AE1491" s="5">
        <f t="shared" si="142"/>
        <v>0</v>
      </c>
      <c r="AF1491" s="70">
        <v>0</v>
      </c>
      <c r="AG1491" s="17"/>
      <c r="AH1491" s="18"/>
      <c r="AI1491" s="109" t="s">
        <v>4336</v>
      </c>
      <c r="AJ1491" s="110" t="s">
        <v>4337</v>
      </c>
      <c r="AK1491" s="45"/>
      <c r="AL1491" s="17"/>
      <c r="AM1491" s="100"/>
      <c r="AN1491" s="19"/>
      <c r="AO1491" s="19"/>
      <c r="AP1491" s="19"/>
      <c r="AQ1491" s="19"/>
      <c r="AR1491" s="19"/>
      <c r="AS1491" s="19"/>
      <c r="AT1491" s="19"/>
      <c r="AU1491" s="19"/>
      <c r="AV1491" s="19"/>
      <c r="AW1491" s="19"/>
      <c r="AX1491" s="107"/>
      <c r="AY1491" s="107"/>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39"/>
      <c r="CO1491" s="138"/>
      <c r="CP1491" s="139"/>
      <c r="CQ1491" s="138"/>
      <c r="CR1491" s="139"/>
      <c r="CS1491" s="138"/>
      <c r="CT1491" s="72"/>
      <c r="CU1491" s="139"/>
      <c r="CV1491" s="99">
        <f t="shared" si="143"/>
        <v>0</v>
      </c>
      <c r="CW1491" s="139"/>
      <c r="CX1491" s="138"/>
      <c r="CY1491" s="138"/>
      <c r="CZ1491" s="138"/>
      <c r="DA1491" s="139"/>
      <c r="DB1491" s="138"/>
      <c r="DC1491" s="45"/>
      <c r="DD1491" s="138"/>
      <c r="DE1491" s="45"/>
      <c r="DF1491" s="46"/>
    </row>
    <row r="1492" spans="1:110" s="42" customFormat="1" x14ac:dyDescent="0.2">
      <c r="A1492" s="89">
        <v>40715</v>
      </c>
      <c r="B1492" s="90" t="s">
        <v>4387</v>
      </c>
      <c r="C1492" s="90" t="s">
        <v>512</v>
      </c>
      <c r="D1492" s="90" t="s">
        <v>2362</v>
      </c>
      <c r="E1492" s="90" t="str">
        <f>VLOOKUP(B1492&amp;C1492,Divipola!$C$2:$F$1138,4,FALSE)</f>
        <v>52540</v>
      </c>
      <c r="F1492" s="4"/>
      <c r="G1492" s="101"/>
      <c r="H1492" s="101"/>
      <c r="I1492" s="101"/>
      <c r="J1492" s="101">
        <v>264</v>
      </c>
      <c r="K1492" s="101">
        <v>66</v>
      </c>
      <c r="L1492" s="101">
        <v>1</v>
      </c>
      <c r="M1492" s="101">
        <v>40</v>
      </c>
      <c r="N1492" s="101"/>
      <c r="O1492" s="101"/>
      <c r="P1492" s="101"/>
      <c r="Q1492" s="101"/>
      <c r="R1492" s="101"/>
      <c r="S1492" s="101"/>
      <c r="T1492" s="101"/>
      <c r="U1492" s="101"/>
      <c r="V1492" s="101">
        <v>279</v>
      </c>
      <c r="W1492" s="19"/>
      <c r="X1492" s="17"/>
      <c r="Y1492" s="5">
        <f t="shared" si="138"/>
        <v>0</v>
      </c>
      <c r="Z1492" s="5">
        <f t="shared" si="139"/>
        <v>0</v>
      </c>
      <c r="AA1492" s="5">
        <f t="shared" si="140"/>
        <v>0</v>
      </c>
      <c r="AB1492" s="5">
        <f t="shared" si="141"/>
        <v>0</v>
      </c>
      <c r="AC1492" s="5"/>
      <c r="AD1492" s="5">
        <v>0</v>
      </c>
      <c r="AE1492" s="5">
        <f t="shared" si="142"/>
        <v>0</v>
      </c>
      <c r="AF1492" s="70">
        <v>0</v>
      </c>
      <c r="AG1492" s="17"/>
      <c r="AH1492" s="18"/>
      <c r="AI1492" s="109" t="s">
        <v>4336</v>
      </c>
      <c r="AJ1492" s="110" t="s">
        <v>4337</v>
      </c>
      <c r="AK1492" s="45"/>
      <c r="AL1492" s="17"/>
      <c r="AM1492" s="100" t="s">
        <v>1150</v>
      </c>
      <c r="AN1492" s="19"/>
      <c r="AO1492" s="19"/>
      <c r="AP1492" s="19"/>
      <c r="AQ1492" s="19"/>
      <c r="AR1492" s="19"/>
      <c r="AS1492" s="19"/>
      <c r="AT1492" s="19"/>
      <c r="AU1492" s="19"/>
      <c r="AV1492" s="19"/>
      <c r="AW1492" s="19"/>
      <c r="AX1492" s="107"/>
      <c r="AY1492" s="107"/>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39"/>
      <c r="CO1492" s="138"/>
      <c r="CP1492" s="139"/>
      <c r="CQ1492" s="138"/>
      <c r="CR1492" s="139"/>
      <c r="CS1492" s="138"/>
      <c r="CT1492" s="72"/>
      <c r="CU1492" s="139"/>
      <c r="CV1492" s="99">
        <f t="shared" si="143"/>
        <v>0</v>
      </c>
      <c r="CW1492" s="139"/>
      <c r="CX1492" s="138"/>
      <c r="CY1492" s="138"/>
      <c r="CZ1492" s="138"/>
      <c r="DA1492" s="139"/>
      <c r="DB1492" s="138"/>
      <c r="DC1492" s="45"/>
      <c r="DD1492" s="138"/>
      <c r="DE1492" s="45"/>
      <c r="DF1492" s="46"/>
    </row>
    <row r="1493" spans="1:110" s="42" customFormat="1" ht="36" x14ac:dyDescent="0.2">
      <c r="A1493" s="89">
        <v>40716</v>
      </c>
      <c r="B1493" s="106" t="s">
        <v>2218</v>
      </c>
      <c r="C1493" s="106" t="s">
        <v>3390</v>
      </c>
      <c r="D1493" s="90" t="s">
        <v>4264</v>
      </c>
      <c r="E1493" s="90" t="str">
        <f>VLOOKUP(B1493&amp;C1493,Divipola!$C$2:$F$1138,4,FALSE)</f>
        <v>05380</v>
      </c>
      <c r="F1493" s="90"/>
      <c r="G1493" s="279"/>
      <c r="H1493" s="279"/>
      <c r="I1493" s="279"/>
      <c r="J1493" s="129">
        <v>70</v>
      </c>
      <c r="K1493" s="129">
        <v>14</v>
      </c>
      <c r="L1493" s="129"/>
      <c r="M1493" s="129">
        <v>14</v>
      </c>
      <c r="N1493" s="129"/>
      <c r="O1493" s="129"/>
      <c r="P1493" s="129"/>
      <c r="Q1493" s="129"/>
      <c r="R1493" s="129"/>
      <c r="S1493" s="129"/>
      <c r="T1493" s="129"/>
      <c r="U1493" s="129"/>
      <c r="V1493" s="129"/>
      <c r="W1493" s="107"/>
      <c r="X1493" s="105"/>
      <c r="Y1493" s="92">
        <f t="shared" si="138"/>
        <v>0</v>
      </c>
      <c r="Z1493" s="92">
        <f t="shared" si="139"/>
        <v>0</v>
      </c>
      <c r="AA1493" s="92">
        <f t="shared" si="140"/>
        <v>0</v>
      </c>
      <c r="AB1493" s="92">
        <f t="shared" si="141"/>
        <v>0</v>
      </c>
      <c r="AC1493" s="92"/>
      <c r="AD1493" s="92">
        <v>0</v>
      </c>
      <c r="AE1493" s="92">
        <f t="shared" si="142"/>
        <v>0</v>
      </c>
      <c r="AF1493" s="93">
        <v>0</v>
      </c>
      <c r="AG1493" s="105"/>
      <c r="AH1493" s="108"/>
      <c r="AI1493" s="109" t="s">
        <v>4336</v>
      </c>
      <c r="AJ1493" s="110" t="s">
        <v>4337</v>
      </c>
      <c r="AK1493" s="285"/>
      <c r="AL1493" s="284"/>
      <c r="AM1493" s="112" t="s">
        <v>3397</v>
      </c>
      <c r="AN1493" s="107"/>
      <c r="AO1493" s="107"/>
      <c r="AP1493" s="107"/>
      <c r="AQ1493" s="107"/>
      <c r="AR1493" s="107"/>
      <c r="AS1493" s="107"/>
      <c r="AT1493" s="107"/>
      <c r="AU1493" s="107"/>
      <c r="AV1493" s="107"/>
      <c r="AW1493" s="107"/>
      <c r="AX1493" s="107"/>
      <c r="AY1493" s="107"/>
      <c r="AZ1493" s="107"/>
      <c r="BA1493" s="107"/>
      <c r="BB1493" s="107"/>
      <c r="BC1493" s="107"/>
      <c r="BD1493" s="107"/>
      <c r="BE1493" s="107"/>
      <c r="BF1493" s="107"/>
      <c r="BG1493" s="107"/>
      <c r="BH1493" s="107"/>
      <c r="BI1493" s="107"/>
      <c r="BJ1493" s="107"/>
      <c r="BK1493" s="107"/>
      <c r="BL1493" s="107"/>
      <c r="BM1493" s="107"/>
      <c r="BN1493" s="107"/>
      <c r="BO1493" s="107"/>
      <c r="BP1493" s="107"/>
      <c r="BQ1493" s="107"/>
      <c r="BR1493" s="107"/>
      <c r="BS1493" s="107"/>
      <c r="BT1493" s="107"/>
      <c r="BU1493" s="107"/>
      <c r="BV1493" s="107"/>
      <c r="BW1493" s="107"/>
      <c r="BX1493" s="107"/>
      <c r="BY1493" s="107"/>
      <c r="BZ1493" s="107"/>
      <c r="CA1493" s="107"/>
      <c r="CB1493" s="107"/>
      <c r="CC1493" s="107"/>
      <c r="CD1493" s="107"/>
      <c r="CE1493" s="107"/>
      <c r="CF1493" s="107"/>
      <c r="CG1493" s="107"/>
      <c r="CH1493" s="107"/>
      <c r="CI1493" s="107"/>
      <c r="CJ1493" s="107"/>
      <c r="CK1493" s="107"/>
      <c r="CL1493" s="107"/>
      <c r="CM1493" s="107"/>
      <c r="CN1493" s="118"/>
      <c r="CO1493" s="119"/>
      <c r="CP1493" s="118"/>
      <c r="CQ1493" s="119"/>
      <c r="CR1493" s="118"/>
      <c r="CS1493" s="119"/>
      <c r="CT1493" s="113"/>
      <c r="CU1493" s="118"/>
      <c r="CV1493" s="99">
        <f t="shared" si="143"/>
        <v>0</v>
      </c>
      <c r="CW1493" s="118"/>
      <c r="CX1493" s="119"/>
      <c r="CY1493" s="119"/>
      <c r="CZ1493" s="119"/>
      <c r="DA1493" s="118"/>
      <c r="DB1493" s="119"/>
      <c r="DC1493" s="111"/>
      <c r="DD1493" s="119"/>
      <c r="DE1493" s="111"/>
      <c r="DF1493" s="46"/>
    </row>
    <row r="1494" spans="1:110" s="42" customFormat="1" ht="120" x14ac:dyDescent="0.2">
      <c r="A1494" s="89">
        <v>40716</v>
      </c>
      <c r="B1494" s="106" t="s">
        <v>4352</v>
      </c>
      <c r="C1494" s="106" t="s">
        <v>4358</v>
      </c>
      <c r="D1494" s="90" t="s">
        <v>4340</v>
      </c>
      <c r="E1494" s="90" t="str">
        <f>VLOOKUP(B1494&amp;C1494,Divipola!$C$2:$F$1138,4,FALSE)</f>
        <v>13001</v>
      </c>
      <c r="F1494" s="90"/>
      <c r="G1494" s="129">
        <v>1</v>
      </c>
      <c r="H1494" s="129"/>
      <c r="I1494" s="129"/>
      <c r="J1494" s="129">
        <v>250</v>
      </c>
      <c r="K1494" s="129">
        <v>50</v>
      </c>
      <c r="L1494" s="129"/>
      <c r="M1494" s="129">
        <v>50</v>
      </c>
      <c r="N1494" s="129"/>
      <c r="O1494" s="129"/>
      <c r="P1494" s="129"/>
      <c r="Q1494" s="129"/>
      <c r="R1494" s="129"/>
      <c r="S1494" s="129"/>
      <c r="T1494" s="129"/>
      <c r="U1494" s="129"/>
      <c r="V1494" s="129"/>
      <c r="W1494" s="107"/>
      <c r="X1494" s="105"/>
      <c r="Y1494" s="92">
        <f t="shared" si="138"/>
        <v>0</v>
      </c>
      <c r="Z1494" s="92">
        <f t="shared" si="139"/>
        <v>0</v>
      </c>
      <c r="AA1494" s="92">
        <f t="shared" si="140"/>
        <v>0</v>
      </c>
      <c r="AB1494" s="92">
        <f t="shared" si="141"/>
        <v>0</v>
      </c>
      <c r="AC1494" s="92"/>
      <c r="AD1494" s="92">
        <v>0</v>
      </c>
      <c r="AE1494" s="92">
        <f t="shared" si="142"/>
        <v>0</v>
      </c>
      <c r="AF1494" s="93">
        <v>0</v>
      </c>
      <c r="AG1494" s="105"/>
      <c r="AH1494" s="108"/>
      <c r="AI1494" s="109" t="s">
        <v>4336</v>
      </c>
      <c r="AJ1494" s="110" t="s">
        <v>4337</v>
      </c>
      <c r="AK1494" s="285"/>
      <c r="AL1494" s="284"/>
      <c r="AM1494" s="112" t="s">
        <v>3398</v>
      </c>
      <c r="AN1494" s="107"/>
      <c r="AO1494" s="107"/>
      <c r="AP1494" s="107"/>
      <c r="AQ1494" s="107"/>
      <c r="AR1494" s="107"/>
      <c r="AS1494" s="107"/>
      <c r="AT1494" s="107"/>
      <c r="AU1494" s="107"/>
      <c r="AV1494" s="107"/>
      <c r="AW1494" s="107"/>
      <c r="AX1494" s="107"/>
      <c r="AY1494" s="107"/>
      <c r="AZ1494" s="107"/>
      <c r="BA1494" s="107"/>
      <c r="BB1494" s="107"/>
      <c r="BC1494" s="107"/>
      <c r="BD1494" s="107"/>
      <c r="BE1494" s="107"/>
      <c r="BF1494" s="107"/>
      <c r="BG1494" s="107"/>
      <c r="BH1494" s="107"/>
      <c r="BI1494" s="107"/>
      <c r="BJ1494" s="107"/>
      <c r="BK1494" s="107"/>
      <c r="BL1494" s="107"/>
      <c r="BM1494" s="107"/>
      <c r="BN1494" s="107"/>
      <c r="BO1494" s="107"/>
      <c r="BP1494" s="107"/>
      <c r="BQ1494" s="107"/>
      <c r="BR1494" s="107"/>
      <c r="BS1494" s="107"/>
      <c r="BT1494" s="107"/>
      <c r="BU1494" s="107"/>
      <c r="BV1494" s="107"/>
      <c r="BW1494" s="107"/>
      <c r="BX1494" s="107"/>
      <c r="BY1494" s="107"/>
      <c r="BZ1494" s="107"/>
      <c r="CA1494" s="107"/>
      <c r="CB1494" s="107"/>
      <c r="CC1494" s="107"/>
      <c r="CD1494" s="107"/>
      <c r="CE1494" s="107"/>
      <c r="CF1494" s="107"/>
      <c r="CG1494" s="107"/>
      <c r="CH1494" s="107"/>
      <c r="CI1494" s="107"/>
      <c r="CJ1494" s="107"/>
      <c r="CK1494" s="107"/>
      <c r="CL1494" s="107"/>
      <c r="CM1494" s="107"/>
      <c r="CN1494" s="118"/>
      <c r="CO1494" s="119"/>
      <c r="CP1494" s="118"/>
      <c r="CQ1494" s="119"/>
      <c r="CR1494" s="118"/>
      <c r="CS1494" s="119"/>
      <c r="CT1494" s="113"/>
      <c r="CU1494" s="118"/>
      <c r="CV1494" s="99">
        <f t="shared" si="143"/>
        <v>0</v>
      </c>
      <c r="CW1494" s="118"/>
      <c r="CX1494" s="119"/>
      <c r="CY1494" s="119"/>
      <c r="CZ1494" s="119"/>
      <c r="DA1494" s="118"/>
      <c r="DB1494" s="119"/>
      <c r="DC1494" s="111"/>
      <c r="DD1494" s="119"/>
      <c r="DE1494" s="111"/>
      <c r="DF1494" s="46"/>
    </row>
    <row r="1495" spans="1:110" s="42" customFormat="1" ht="36" x14ac:dyDescent="0.2">
      <c r="A1495" s="89">
        <v>40716</v>
      </c>
      <c r="B1495" s="16" t="s">
        <v>4261</v>
      </c>
      <c r="C1495" s="16" t="s">
        <v>1203</v>
      </c>
      <c r="D1495" s="90" t="s">
        <v>4264</v>
      </c>
      <c r="E1495" s="90" t="str">
        <f>VLOOKUP(B1495&amp;C1495,Divipola!$C$2:$F$1138,4,FALSE)</f>
        <v>15425</v>
      </c>
      <c r="F1495" s="4"/>
      <c r="G1495" s="208"/>
      <c r="H1495" s="208"/>
      <c r="I1495" s="208"/>
      <c r="J1495" s="208"/>
      <c r="K1495" s="208"/>
      <c r="L1495" s="208"/>
      <c r="M1495" s="208"/>
      <c r="N1495" s="208"/>
      <c r="O1495" s="208">
        <v>2</v>
      </c>
      <c r="P1495" s="208"/>
      <c r="Q1495" s="208"/>
      <c r="R1495" s="208"/>
      <c r="S1495" s="208"/>
      <c r="T1495" s="208"/>
      <c r="U1495" s="208"/>
      <c r="V1495" s="208"/>
      <c r="W1495" s="19"/>
      <c r="X1495" s="17"/>
      <c r="Y1495" s="5">
        <f t="shared" si="138"/>
        <v>0</v>
      </c>
      <c r="Z1495" s="5">
        <f t="shared" si="139"/>
        <v>0</v>
      </c>
      <c r="AA1495" s="5">
        <f t="shared" si="140"/>
        <v>0</v>
      </c>
      <c r="AB1495" s="5">
        <f t="shared" si="141"/>
        <v>0</v>
      </c>
      <c r="AC1495" s="5"/>
      <c r="AD1495" s="5">
        <v>20000000</v>
      </c>
      <c r="AE1495" s="5">
        <f t="shared" si="142"/>
        <v>20000000</v>
      </c>
      <c r="AF1495" s="70">
        <v>0</v>
      </c>
      <c r="AG1495" s="17"/>
      <c r="AH1495" s="18"/>
      <c r="AI1495" s="47" t="s">
        <v>4346</v>
      </c>
      <c r="AJ1495" s="73" t="s">
        <v>4347</v>
      </c>
      <c r="AK1495" s="45"/>
      <c r="AL1495" s="17"/>
      <c r="AM1495" s="137" t="s">
        <v>103</v>
      </c>
      <c r="AN1495" s="19"/>
      <c r="AO1495" s="19"/>
      <c r="AP1495" s="19"/>
      <c r="AQ1495" s="19"/>
      <c r="AR1495" s="19"/>
      <c r="AS1495" s="19"/>
      <c r="AT1495" s="19"/>
      <c r="AU1495" s="19"/>
      <c r="AV1495" s="19"/>
      <c r="AW1495" s="19"/>
      <c r="AX1495" s="107"/>
      <c r="AY1495" s="107"/>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39"/>
      <c r="CO1495" s="138"/>
      <c r="CP1495" s="139"/>
      <c r="CQ1495" s="138"/>
      <c r="CR1495" s="139"/>
      <c r="CS1495" s="138"/>
      <c r="CT1495" s="72"/>
      <c r="CU1495" s="139"/>
      <c r="CV1495" s="99">
        <f t="shared" si="143"/>
        <v>0</v>
      </c>
      <c r="CW1495" s="139"/>
      <c r="CX1495" s="138"/>
      <c r="CY1495" s="138"/>
      <c r="CZ1495" s="138"/>
      <c r="DA1495" s="139"/>
      <c r="DB1495" s="138"/>
      <c r="DC1495" s="45"/>
      <c r="DD1495" s="138"/>
      <c r="DE1495" s="45"/>
      <c r="DF1495" s="46"/>
    </row>
    <row r="1496" spans="1:110" s="42" customFormat="1" x14ac:dyDescent="0.2">
      <c r="A1496" s="89">
        <v>40716</v>
      </c>
      <c r="B1496" s="90" t="s">
        <v>4353</v>
      </c>
      <c r="C1496" s="90" t="s">
        <v>3531</v>
      </c>
      <c r="D1496" s="90" t="s">
        <v>4264</v>
      </c>
      <c r="E1496" s="90" t="str">
        <f>VLOOKUP(B1496&amp;C1496,Divipola!$C$2:$F$1138,4,FALSE)</f>
        <v>85010</v>
      </c>
      <c r="F1496" s="90"/>
      <c r="G1496" s="101"/>
      <c r="H1496" s="101"/>
      <c r="I1496" s="101"/>
      <c r="J1496" s="101">
        <v>250</v>
      </c>
      <c r="K1496" s="101">
        <v>50</v>
      </c>
      <c r="L1496" s="101"/>
      <c r="M1496" s="101">
        <v>50</v>
      </c>
      <c r="N1496" s="129"/>
      <c r="O1496" s="129"/>
      <c r="P1496" s="129"/>
      <c r="Q1496" s="129"/>
      <c r="R1496" s="129"/>
      <c r="S1496" s="129"/>
      <c r="T1496" s="129"/>
      <c r="U1496" s="129"/>
      <c r="V1496" s="129"/>
      <c r="W1496" s="107"/>
      <c r="X1496" s="105"/>
      <c r="Y1496" s="92">
        <f t="shared" si="138"/>
        <v>0</v>
      </c>
      <c r="Z1496" s="92">
        <f t="shared" si="139"/>
        <v>0</v>
      </c>
      <c r="AA1496" s="92">
        <f t="shared" si="140"/>
        <v>0</v>
      </c>
      <c r="AB1496" s="92">
        <f t="shared" si="141"/>
        <v>0</v>
      </c>
      <c r="AC1496" s="92"/>
      <c r="AD1496" s="92">
        <v>0</v>
      </c>
      <c r="AE1496" s="92">
        <f t="shared" si="142"/>
        <v>0</v>
      </c>
      <c r="AF1496" s="93">
        <v>0</v>
      </c>
      <c r="AG1496" s="105"/>
      <c r="AH1496" s="108"/>
      <c r="AI1496" s="109" t="s">
        <v>4336</v>
      </c>
      <c r="AJ1496" s="110" t="s">
        <v>4337</v>
      </c>
      <c r="AK1496" s="285"/>
      <c r="AL1496" s="284"/>
      <c r="AM1496" s="112" t="s">
        <v>3530</v>
      </c>
      <c r="AN1496" s="107"/>
      <c r="AO1496" s="107"/>
      <c r="AP1496" s="107"/>
      <c r="AQ1496" s="107"/>
      <c r="AR1496" s="107"/>
      <c r="AS1496" s="107"/>
      <c r="AT1496" s="107"/>
      <c r="AU1496" s="107"/>
      <c r="AV1496" s="107"/>
      <c r="AW1496" s="107"/>
      <c r="AX1496" s="107"/>
      <c r="AY1496" s="107"/>
      <c r="AZ1496" s="107"/>
      <c r="BA1496" s="107"/>
      <c r="BB1496" s="107"/>
      <c r="BC1496" s="107"/>
      <c r="BD1496" s="107"/>
      <c r="BE1496" s="107"/>
      <c r="BF1496" s="107"/>
      <c r="BG1496" s="107"/>
      <c r="BH1496" s="107"/>
      <c r="BI1496" s="107"/>
      <c r="BJ1496" s="107"/>
      <c r="BK1496" s="107"/>
      <c r="BL1496" s="107"/>
      <c r="BM1496" s="107"/>
      <c r="BN1496" s="107"/>
      <c r="BO1496" s="107"/>
      <c r="BP1496" s="107"/>
      <c r="BQ1496" s="107"/>
      <c r="BR1496" s="107"/>
      <c r="BS1496" s="107"/>
      <c r="BT1496" s="107"/>
      <c r="BU1496" s="107"/>
      <c r="BV1496" s="107"/>
      <c r="BW1496" s="107"/>
      <c r="BX1496" s="107"/>
      <c r="BY1496" s="107"/>
      <c r="BZ1496" s="107"/>
      <c r="CA1496" s="107"/>
      <c r="CB1496" s="107"/>
      <c r="CC1496" s="107"/>
      <c r="CD1496" s="107"/>
      <c r="CE1496" s="107"/>
      <c r="CF1496" s="107"/>
      <c r="CG1496" s="107"/>
      <c r="CH1496" s="107"/>
      <c r="CI1496" s="107"/>
      <c r="CJ1496" s="107"/>
      <c r="CK1496" s="107"/>
      <c r="CL1496" s="107"/>
      <c r="CM1496" s="107"/>
      <c r="CN1496" s="118"/>
      <c r="CO1496" s="119"/>
      <c r="CP1496" s="118"/>
      <c r="CQ1496" s="119"/>
      <c r="CR1496" s="118"/>
      <c r="CS1496" s="119"/>
      <c r="CT1496" s="113"/>
      <c r="CU1496" s="118"/>
      <c r="CV1496" s="99">
        <f t="shared" si="143"/>
        <v>0</v>
      </c>
      <c r="CW1496" s="118"/>
      <c r="CX1496" s="119"/>
      <c r="CY1496" s="119"/>
      <c r="CZ1496" s="119"/>
      <c r="DA1496" s="118"/>
      <c r="DB1496" s="119"/>
      <c r="DC1496" s="111"/>
      <c r="DD1496" s="119"/>
      <c r="DE1496" s="111"/>
      <c r="DF1496" s="46"/>
    </row>
    <row r="1497" spans="1:110" s="42" customFormat="1" x14ac:dyDescent="0.2">
      <c r="A1497" s="89">
        <v>40716</v>
      </c>
      <c r="B1497" s="16" t="s">
        <v>4296</v>
      </c>
      <c r="C1497" s="16" t="s">
        <v>1490</v>
      </c>
      <c r="D1497" s="16" t="s">
        <v>3346</v>
      </c>
      <c r="E1497" s="90" t="str">
        <f>VLOOKUP(B1497&amp;C1497,Divipola!$C$2:$F$1138,4,FALSE)</f>
        <v>19450</v>
      </c>
      <c r="F1497" s="4"/>
      <c r="G1497" s="208"/>
      <c r="H1497" s="208"/>
      <c r="I1497" s="208"/>
      <c r="J1497" s="208">
        <f>60*5</f>
        <v>300</v>
      </c>
      <c r="K1497" s="208">
        <v>60</v>
      </c>
      <c r="L1497" s="208"/>
      <c r="M1497" s="208">
        <v>60</v>
      </c>
      <c r="N1497" s="208"/>
      <c r="O1497" s="208"/>
      <c r="P1497" s="208"/>
      <c r="Q1497" s="208"/>
      <c r="R1497" s="208"/>
      <c r="S1497" s="208"/>
      <c r="T1497" s="208"/>
      <c r="U1497" s="208"/>
      <c r="V1497" s="208"/>
      <c r="W1497" s="19"/>
      <c r="X1497" s="17"/>
      <c r="Y1497" s="5">
        <f t="shared" si="138"/>
        <v>0</v>
      </c>
      <c r="Z1497" s="5">
        <f t="shared" si="139"/>
        <v>0</v>
      </c>
      <c r="AA1497" s="5">
        <f t="shared" si="140"/>
        <v>32210880</v>
      </c>
      <c r="AB1497" s="5">
        <f t="shared" si="141"/>
        <v>0</v>
      </c>
      <c r="AC1497" s="5"/>
      <c r="AD1497" s="5">
        <v>0</v>
      </c>
      <c r="AE1497" s="5">
        <f t="shared" si="142"/>
        <v>32210880</v>
      </c>
      <c r="AF1497" s="70">
        <v>0</v>
      </c>
      <c r="AG1497" s="17"/>
      <c r="AH1497" s="18"/>
      <c r="AI1497" s="47" t="s">
        <v>4346</v>
      </c>
      <c r="AJ1497" s="73" t="s">
        <v>4347</v>
      </c>
      <c r="AK1497" s="45"/>
      <c r="AL1497" s="17"/>
      <c r="AM1497" s="20" t="s">
        <v>3530</v>
      </c>
      <c r="AN1497" s="19"/>
      <c r="AO1497" s="19"/>
      <c r="AP1497" s="19"/>
      <c r="AQ1497" s="19"/>
      <c r="AR1497" s="19"/>
      <c r="AS1497" s="19"/>
      <c r="AT1497" s="19"/>
      <c r="AU1497" s="19"/>
      <c r="AV1497" s="19"/>
      <c r="AW1497" s="19"/>
      <c r="AX1497" s="107"/>
      <c r="AY1497" s="107"/>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39"/>
      <c r="CO1497" s="138"/>
      <c r="CP1497" s="139"/>
      <c r="CQ1497" s="138"/>
      <c r="CR1497" s="139"/>
      <c r="CS1497" s="138"/>
      <c r="CT1497" s="72"/>
      <c r="CU1497" s="139"/>
      <c r="CV1497" s="99">
        <f t="shared" si="143"/>
        <v>0</v>
      </c>
      <c r="CW1497" s="139"/>
      <c r="CX1497" s="138"/>
      <c r="CY1497" s="138"/>
      <c r="CZ1497" s="138"/>
      <c r="DA1497" s="139"/>
      <c r="DB1497" s="138"/>
      <c r="DC1497" s="45">
        <v>1200</v>
      </c>
      <c r="DD1497" s="138">
        <f>1200*25520+7200*220.4</f>
        <v>32210880</v>
      </c>
      <c r="DE1497" s="45"/>
      <c r="DF1497" s="46"/>
    </row>
    <row r="1498" spans="1:110" s="42" customFormat="1" ht="24" x14ac:dyDescent="0.2">
      <c r="A1498" s="89">
        <v>40716</v>
      </c>
      <c r="B1498" s="90" t="s">
        <v>4387</v>
      </c>
      <c r="C1498" s="90" t="s">
        <v>859</v>
      </c>
      <c r="D1498" s="90" t="s">
        <v>2362</v>
      </c>
      <c r="E1498" s="90" t="str">
        <f>VLOOKUP(B1498&amp;C1498,Divipola!$C$2:$F$1138,4,FALSE)</f>
        <v>52687</v>
      </c>
      <c r="F1498" s="4"/>
      <c r="G1498" s="101"/>
      <c r="H1498" s="101"/>
      <c r="I1498" s="101"/>
      <c r="J1498" s="101">
        <v>993</v>
      </c>
      <c r="K1498" s="101">
        <v>248</v>
      </c>
      <c r="L1498" s="101">
        <v>6</v>
      </c>
      <c r="M1498" s="101">
        <v>206</v>
      </c>
      <c r="N1498" s="101">
        <v>1</v>
      </c>
      <c r="O1498" s="101"/>
      <c r="P1498" s="101"/>
      <c r="Q1498" s="101"/>
      <c r="R1498" s="101"/>
      <c r="S1498" s="101"/>
      <c r="T1498" s="101"/>
      <c r="U1498" s="101"/>
      <c r="V1498" s="101">
        <v>108</v>
      </c>
      <c r="W1498" s="19"/>
      <c r="X1498" s="17"/>
      <c r="Y1498" s="5">
        <f t="shared" si="138"/>
        <v>0</v>
      </c>
      <c r="Z1498" s="5">
        <f t="shared" si="139"/>
        <v>0</v>
      </c>
      <c r="AA1498" s="5">
        <f t="shared" si="140"/>
        <v>0</v>
      </c>
      <c r="AB1498" s="5">
        <f t="shared" si="141"/>
        <v>0</v>
      </c>
      <c r="AC1498" s="5"/>
      <c r="AD1498" s="5">
        <v>0</v>
      </c>
      <c r="AE1498" s="5">
        <f t="shared" si="142"/>
        <v>0</v>
      </c>
      <c r="AF1498" s="70">
        <v>0</v>
      </c>
      <c r="AG1498" s="17"/>
      <c r="AH1498" s="18"/>
      <c r="AI1498" s="109" t="s">
        <v>4336</v>
      </c>
      <c r="AJ1498" s="110" t="s">
        <v>4337</v>
      </c>
      <c r="AK1498" s="45"/>
      <c r="AL1498" s="17"/>
      <c r="AM1498" s="100" t="s">
        <v>1154</v>
      </c>
      <c r="AN1498" s="19"/>
      <c r="AO1498" s="19"/>
      <c r="AP1498" s="19"/>
      <c r="AQ1498" s="19"/>
      <c r="AR1498" s="19"/>
      <c r="AS1498" s="19"/>
      <c r="AT1498" s="19"/>
      <c r="AU1498" s="19"/>
      <c r="AV1498" s="19"/>
      <c r="AW1498" s="19"/>
      <c r="AX1498" s="107"/>
      <c r="AY1498" s="107"/>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39"/>
      <c r="CO1498" s="138"/>
      <c r="CP1498" s="139"/>
      <c r="CQ1498" s="138"/>
      <c r="CR1498" s="139"/>
      <c r="CS1498" s="138"/>
      <c r="CT1498" s="72"/>
      <c r="CU1498" s="139"/>
      <c r="CV1498" s="99">
        <f t="shared" si="143"/>
        <v>0</v>
      </c>
      <c r="CW1498" s="139"/>
      <c r="CX1498" s="138"/>
      <c r="CY1498" s="138"/>
      <c r="CZ1498" s="138"/>
      <c r="DA1498" s="139"/>
      <c r="DB1498" s="138"/>
      <c r="DC1498" s="45"/>
      <c r="DD1498" s="138"/>
      <c r="DE1498" s="45"/>
      <c r="DF1498" s="46"/>
    </row>
    <row r="1499" spans="1:110" s="42" customFormat="1" ht="22.5" x14ac:dyDescent="0.2">
      <c r="A1499" s="89">
        <v>40716</v>
      </c>
      <c r="B1499" s="16" t="s">
        <v>4244</v>
      </c>
      <c r="C1499" s="16" t="s">
        <v>3372</v>
      </c>
      <c r="D1499" s="16" t="s">
        <v>3346</v>
      </c>
      <c r="E1499" s="90" t="str">
        <f>VLOOKUP(B1499&amp;C1499,Divipola!$C$2:$F$1138,4,FALSE)</f>
        <v>76036</v>
      </c>
      <c r="F1499" s="4"/>
      <c r="G1499" s="208"/>
      <c r="H1499" s="208"/>
      <c r="I1499" s="208"/>
      <c r="J1499" s="208">
        <f>400*5</f>
        <v>2000</v>
      </c>
      <c r="K1499" s="208">
        <v>400</v>
      </c>
      <c r="L1499" s="208"/>
      <c r="M1499" s="208">
        <v>400</v>
      </c>
      <c r="N1499" s="208"/>
      <c r="O1499" s="208"/>
      <c r="P1499" s="208"/>
      <c r="Q1499" s="208"/>
      <c r="R1499" s="208"/>
      <c r="S1499" s="208"/>
      <c r="T1499" s="208"/>
      <c r="U1499" s="208"/>
      <c r="V1499" s="208"/>
      <c r="W1499" s="19"/>
      <c r="X1499" s="17"/>
      <c r="Y1499" s="5">
        <f t="shared" si="138"/>
        <v>30680000</v>
      </c>
      <c r="Z1499" s="5">
        <f t="shared" si="139"/>
        <v>34000000</v>
      </c>
      <c r="AA1499" s="5">
        <f t="shared" si="140"/>
        <v>0</v>
      </c>
      <c r="AB1499" s="5">
        <f t="shared" si="141"/>
        <v>0</v>
      </c>
      <c r="AC1499" s="5"/>
      <c r="AD1499" s="5">
        <v>0</v>
      </c>
      <c r="AE1499" s="5">
        <f t="shared" si="142"/>
        <v>64680000</v>
      </c>
      <c r="AF1499" s="70">
        <v>0</v>
      </c>
      <c r="AG1499" s="17"/>
      <c r="AH1499" s="18"/>
      <c r="AI1499" s="47" t="s">
        <v>4346</v>
      </c>
      <c r="AJ1499" s="73" t="s">
        <v>4347</v>
      </c>
      <c r="AK1499" s="45"/>
      <c r="AL1499" s="17"/>
      <c r="AM1499" s="20" t="s">
        <v>1115</v>
      </c>
      <c r="AN1499" s="19"/>
      <c r="AO1499" s="19"/>
      <c r="AP1499" s="19"/>
      <c r="AQ1499" s="19"/>
      <c r="AR1499" s="19"/>
      <c r="AS1499" s="19"/>
      <c r="AT1499" s="19"/>
      <c r="AU1499" s="19"/>
      <c r="AV1499" s="19"/>
      <c r="AW1499" s="19"/>
      <c r="AX1499" s="107"/>
      <c r="AY1499" s="107"/>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39"/>
      <c r="CO1499" s="138"/>
      <c r="CP1499" s="139">
        <v>400</v>
      </c>
      <c r="CQ1499" s="138">
        <f>400*37000</f>
        <v>14800000</v>
      </c>
      <c r="CR1499" s="139">
        <v>400</v>
      </c>
      <c r="CS1499" s="138">
        <f>400*39700</f>
        <v>15880000</v>
      </c>
      <c r="CT1499" s="72"/>
      <c r="CU1499" s="139"/>
      <c r="CV1499" s="99">
        <f t="shared" si="143"/>
        <v>30680000</v>
      </c>
      <c r="CW1499" s="139"/>
      <c r="CX1499" s="138"/>
      <c r="CY1499" s="138">
        <v>400</v>
      </c>
      <c r="CZ1499" s="138">
        <f>400*85000</f>
        <v>34000000</v>
      </c>
      <c r="DA1499" s="139"/>
      <c r="DB1499" s="138"/>
      <c r="DC1499" s="45"/>
      <c r="DD1499" s="138"/>
      <c r="DE1499" s="45"/>
      <c r="DF1499" s="46"/>
    </row>
    <row r="1500" spans="1:110" s="42" customFormat="1" ht="60" x14ac:dyDescent="0.2">
      <c r="A1500" s="89">
        <v>40717</v>
      </c>
      <c r="B1500" s="106" t="s">
        <v>4344</v>
      </c>
      <c r="C1500" s="106" t="s">
        <v>4223</v>
      </c>
      <c r="D1500" s="106" t="s">
        <v>4298</v>
      </c>
      <c r="E1500" s="90" t="str">
        <f>VLOOKUP(B1500&amp;C1500,Divipola!$C$2:$F$1138,4,FALSE)</f>
        <v>25815</v>
      </c>
      <c r="F1500" s="90"/>
      <c r="G1500" s="302"/>
      <c r="H1500" s="302"/>
      <c r="I1500" s="302"/>
      <c r="J1500" s="129">
        <v>5</v>
      </c>
      <c r="K1500" s="129">
        <v>1</v>
      </c>
      <c r="L1500" s="129">
        <v>1</v>
      </c>
      <c r="M1500" s="302"/>
      <c r="N1500" s="129"/>
      <c r="O1500" s="129"/>
      <c r="P1500" s="129"/>
      <c r="Q1500" s="129"/>
      <c r="R1500" s="129"/>
      <c r="S1500" s="129"/>
      <c r="T1500" s="129"/>
      <c r="U1500" s="129"/>
      <c r="V1500" s="129"/>
      <c r="W1500" s="107"/>
      <c r="X1500" s="105"/>
      <c r="Y1500" s="92">
        <f t="shared" si="138"/>
        <v>0</v>
      </c>
      <c r="Z1500" s="92">
        <f t="shared" si="139"/>
        <v>0</v>
      </c>
      <c r="AA1500" s="92">
        <f t="shared" si="140"/>
        <v>0</v>
      </c>
      <c r="AB1500" s="92">
        <f t="shared" si="141"/>
        <v>0</v>
      </c>
      <c r="AC1500" s="92"/>
      <c r="AD1500" s="92">
        <v>0</v>
      </c>
      <c r="AE1500" s="92">
        <f t="shared" si="142"/>
        <v>0</v>
      </c>
      <c r="AF1500" s="93">
        <v>0</v>
      </c>
      <c r="AG1500" s="105"/>
      <c r="AH1500" s="108"/>
      <c r="AI1500" s="109" t="s">
        <v>4336</v>
      </c>
      <c r="AJ1500" s="110" t="s">
        <v>4337</v>
      </c>
      <c r="AK1500" s="285"/>
      <c r="AL1500" s="284"/>
      <c r="AM1500" s="112" t="s">
        <v>3401</v>
      </c>
      <c r="AN1500" s="107"/>
      <c r="AO1500" s="107"/>
      <c r="AP1500" s="107"/>
      <c r="AQ1500" s="107"/>
      <c r="AR1500" s="107"/>
      <c r="AS1500" s="107"/>
      <c r="AT1500" s="107"/>
      <c r="AU1500" s="107"/>
      <c r="AV1500" s="107"/>
      <c r="AW1500" s="107"/>
      <c r="AX1500" s="107"/>
      <c r="AY1500" s="107"/>
      <c r="AZ1500" s="107"/>
      <c r="BA1500" s="107"/>
      <c r="BB1500" s="107"/>
      <c r="BC1500" s="107"/>
      <c r="BD1500" s="107"/>
      <c r="BE1500" s="107"/>
      <c r="BF1500" s="107"/>
      <c r="BG1500" s="107"/>
      <c r="BH1500" s="107"/>
      <c r="BI1500" s="107"/>
      <c r="BJ1500" s="107"/>
      <c r="BK1500" s="107"/>
      <c r="BL1500" s="107"/>
      <c r="BM1500" s="107"/>
      <c r="BN1500" s="107"/>
      <c r="BO1500" s="107"/>
      <c r="BP1500" s="107"/>
      <c r="BQ1500" s="107"/>
      <c r="BR1500" s="107"/>
      <c r="BS1500" s="107"/>
      <c r="BT1500" s="107"/>
      <c r="BU1500" s="107"/>
      <c r="BV1500" s="107"/>
      <c r="BW1500" s="107"/>
      <c r="BX1500" s="107"/>
      <c r="BY1500" s="107"/>
      <c r="BZ1500" s="107"/>
      <c r="CA1500" s="107"/>
      <c r="CB1500" s="107"/>
      <c r="CC1500" s="107"/>
      <c r="CD1500" s="107"/>
      <c r="CE1500" s="107"/>
      <c r="CF1500" s="107"/>
      <c r="CG1500" s="107"/>
      <c r="CH1500" s="107"/>
      <c r="CI1500" s="107"/>
      <c r="CJ1500" s="107"/>
      <c r="CK1500" s="107"/>
      <c r="CL1500" s="107"/>
      <c r="CM1500" s="107"/>
      <c r="CN1500" s="118"/>
      <c r="CO1500" s="119"/>
      <c r="CP1500" s="118"/>
      <c r="CQ1500" s="119"/>
      <c r="CR1500" s="118"/>
      <c r="CS1500" s="119"/>
      <c r="CT1500" s="113"/>
      <c r="CU1500" s="118"/>
      <c r="CV1500" s="99">
        <f t="shared" si="143"/>
        <v>0</v>
      </c>
      <c r="CW1500" s="118"/>
      <c r="CX1500" s="119"/>
      <c r="CY1500" s="119"/>
      <c r="CZ1500" s="119"/>
      <c r="DA1500" s="118"/>
      <c r="DB1500" s="119"/>
      <c r="DC1500" s="111"/>
      <c r="DD1500" s="119"/>
      <c r="DE1500" s="111"/>
      <c r="DF1500" s="46"/>
    </row>
    <row r="1501" spans="1:110" s="42" customFormat="1" ht="60" x14ac:dyDescent="0.2">
      <c r="A1501" s="89">
        <v>40717</v>
      </c>
      <c r="B1501" s="106" t="s">
        <v>860</v>
      </c>
      <c r="C1501" s="106" t="s">
        <v>2859</v>
      </c>
      <c r="D1501" s="90" t="s">
        <v>2362</v>
      </c>
      <c r="E1501" s="90" t="str">
        <f>VLOOKUP(B1501&amp;C1501,Divipola!$C$2:$F$1138,4,FALSE)</f>
        <v>50001</v>
      </c>
      <c r="F1501" s="90"/>
      <c r="G1501" s="302"/>
      <c r="H1501" s="129">
        <v>2</v>
      </c>
      <c r="I1501" s="305"/>
      <c r="J1501" s="101">
        <v>13</v>
      </c>
      <c r="K1501" s="101">
        <v>3</v>
      </c>
      <c r="L1501" s="101"/>
      <c r="M1501" s="101">
        <v>3</v>
      </c>
      <c r="N1501" s="129"/>
      <c r="O1501" s="129"/>
      <c r="P1501" s="129"/>
      <c r="Q1501" s="129"/>
      <c r="R1501" s="129"/>
      <c r="S1501" s="129"/>
      <c r="T1501" s="129"/>
      <c r="U1501" s="129"/>
      <c r="V1501" s="129"/>
      <c r="W1501" s="107"/>
      <c r="X1501" s="105"/>
      <c r="Y1501" s="92">
        <f t="shared" si="138"/>
        <v>0</v>
      </c>
      <c r="Z1501" s="92">
        <f t="shared" si="139"/>
        <v>0</v>
      </c>
      <c r="AA1501" s="92">
        <f t="shared" si="140"/>
        <v>0</v>
      </c>
      <c r="AB1501" s="92">
        <f t="shared" si="141"/>
        <v>0</v>
      </c>
      <c r="AC1501" s="92"/>
      <c r="AD1501" s="92">
        <v>0</v>
      </c>
      <c r="AE1501" s="92">
        <f t="shared" si="142"/>
        <v>0</v>
      </c>
      <c r="AF1501" s="93">
        <v>0</v>
      </c>
      <c r="AG1501" s="105"/>
      <c r="AH1501" s="108"/>
      <c r="AI1501" s="47" t="s">
        <v>4336</v>
      </c>
      <c r="AJ1501" s="73" t="s">
        <v>4337</v>
      </c>
      <c r="AK1501" s="285"/>
      <c r="AL1501" s="284"/>
      <c r="AM1501" s="112" t="s">
        <v>3405</v>
      </c>
      <c r="AN1501" s="107"/>
      <c r="AO1501" s="107"/>
      <c r="AP1501" s="107"/>
      <c r="AQ1501" s="107"/>
      <c r="AR1501" s="107"/>
      <c r="AS1501" s="107"/>
      <c r="AT1501" s="107"/>
      <c r="AU1501" s="107"/>
      <c r="AV1501" s="107"/>
      <c r="AW1501" s="107"/>
      <c r="AX1501" s="107"/>
      <c r="AY1501" s="107"/>
      <c r="AZ1501" s="107"/>
      <c r="BA1501" s="107"/>
      <c r="BB1501" s="107"/>
      <c r="BC1501" s="107"/>
      <c r="BD1501" s="107"/>
      <c r="BE1501" s="107"/>
      <c r="BF1501" s="107"/>
      <c r="BG1501" s="107"/>
      <c r="BH1501" s="107"/>
      <c r="BI1501" s="107"/>
      <c r="BJ1501" s="107"/>
      <c r="BK1501" s="107"/>
      <c r="BL1501" s="107"/>
      <c r="BM1501" s="107"/>
      <c r="BN1501" s="107"/>
      <c r="BO1501" s="107"/>
      <c r="BP1501" s="107"/>
      <c r="BQ1501" s="107"/>
      <c r="BR1501" s="107"/>
      <c r="BS1501" s="107"/>
      <c r="BT1501" s="107"/>
      <c r="BU1501" s="107"/>
      <c r="BV1501" s="107"/>
      <c r="BW1501" s="107"/>
      <c r="BX1501" s="107"/>
      <c r="BY1501" s="107"/>
      <c r="BZ1501" s="107"/>
      <c r="CA1501" s="107"/>
      <c r="CB1501" s="107"/>
      <c r="CC1501" s="107"/>
      <c r="CD1501" s="107"/>
      <c r="CE1501" s="107"/>
      <c r="CF1501" s="107"/>
      <c r="CG1501" s="107"/>
      <c r="CH1501" s="107"/>
      <c r="CI1501" s="107"/>
      <c r="CJ1501" s="107"/>
      <c r="CK1501" s="107"/>
      <c r="CL1501" s="107"/>
      <c r="CM1501" s="107"/>
      <c r="CN1501" s="118"/>
      <c r="CO1501" s="119"/>
      <c r="CP1501" s="118"/>
      <c r="CQ1501" s="119"/>
      <c r="CR1501" s="118"/>
      <c r="CS1501" s="119"/>
      <c r="CT1501" s="113"/>
      <c r="CU1501" s="118"/>
      <c r="CV1501" s="99">
        <f t="shared" si="143"/>
        <v>0</v>
      </c>
      <c r="CW1501" s="118"/>
      <c r="CX1501" s="119"/>
      <c r="CY1501" s="119"/>
      <c r="CZ1501" s="119"/>
      <c r="DA1501" s="118"/>
      <c r="DB1501" s="119"/>
      <c r="DC1501" s="111"/>
      <c r="DD1501" s="119"/>
      <c r="DE1501" s="111"/>
      <c r="DF1501" s="46"/>
    </row>
    <row r="1502" spans="1:110" s="42" customFormat="1" ht="24" x14ac:dyDescent="0.2">
      <c r="A1502" s="89">
        <v>40717</v>
      </c>
      <c r="B1502" s="106" t="s">
        <v>4348</v>
      </c>
      <c r="C1502" s="106" t="s">
        <v>3342</v>
      </c>
      <c r="D1502" s="90" t="s">
        <v>3346</v>
      </c>
      <c r="E1502" s="90" t="str">
        <f>VLOOKUP(B1502&amp;C1502,Divipola!$C$2:$F$1138,4,FALSE)</f>
        <v>66383</v>
      </c>
      <c r="F1502" s="90"/>
      <c r="G1502" s="302"/>
      <c r="H1502" s="302"/>
      <c r="I1502" s="302"/>
      <c r="J1502" s="129">
        <v>20</v>
      </c>
      <c r="K1502" s="129">
        <v>4</v>
      </c>
      <c r="L1502" s="129"/>
      <c r="M1502" s="129">
        <v>4</v>
      </c>
      <c r="N1502" s="129"/>
      <c r="O1502" s="129"/>
      <c r="P1502" s="129"/>
      <c r="Q1502" s="129"/>
      <c r="R1502" s="129"/>
      <c r="S1502" s="129"/>
      <c r="T1502" s="129"/>
      <c r="U1502" s="129"/>
      <c r="V1502" s="129"/>
      <c r="W1502" s="107"/>
      <c r="X1502" s="105"/>
      <c r="Y1502" s="92">
        <f t="shared" ref="Y1502:Y1565" si="144">CV1502</f>
        <v>0</v>
      </c>
      <c r="Z1502" s="92">
        <f t="shared" ref="Z1502:Z1565" si="145">CZ1502</f>
        <v>0</v>
      </c>
      <c r="AA1502" s="92">
        <f t="shared" ref="AA1502:AA1565" si="146">DB1502+DD1502</f>
        <v>0</v>
      </c>
      <c r="AB1502" s="92">
        <f t="shared" ref="AB1502:AB1565" si="147">CX1502</f>
        <v>0</v>
      </c>
      <c r="AC1502" s="92"/>
      <c r="AD1502" s="92">
        <v>0</v>
      </c>
      <c r="AE1502" s="92">
        <f t="shared" ref="AE1502:AE1565" si="148">Y1502+Z1502+AA1502+AB1502+AC1502+AD1502</f>
        <v>0</v>
      </c>
      <c r="AF1502" s="93">
        <v>0</v>
      </c>
      <c r="AG1502" s="105"/>
      <c r="AH1502" s="108"/>
      <c r="AI1502" s="109" t="s">
        <v>4336</v>
      </c>
      <c r="AJ1502" s="110" t="s">
        <v>4337</v>
      </c>
      <c r="AK1502" s="285"/>
      <c r="AL1502" s="284"/>
      <c r="AM1502" s="112" t="s">
        <v>3408</v>
      </c>
      <c r="AN1502" s="107"/>
      <c r="AO1502" s="107"/>
      <c r="AP1502" s="107"/>
      <c r="AQ1502" s="107"/>
      <c r="AR1502" s="107"/>
      <c r="AS1502" s="107"/>
      <c r="AT1502" s="107"/>
      <c r="AU1502" s="107"/>
      <c r="AV1502" s="107"/>
      <c r="AW1502" s="107"/>
      <c r="AX1502" s="107"/>
      <c r="AY1502" s="107"/>
      <c r="AZ1502" s="107"/>
      <c r="BA1502" s="107"/>
      <c r="BB1502" s="107"/>
      <c r="BC1502" s="107"/>
      <c r="BD1502" s="107"/>
      <c r="BE1502" s="107"/>
      <c r="BF1502" s="107"/>
      <c r="BG1502" s="107"/>
      <c r="BH1502" s="107"/>
      <c r="BI1502" s="107"/>
      <c r="BJ1502" s="107"/>
      <c r="BK1502" s="107"/>
      <c r="BL1502" s="107"/>
      <c r="BM1502" s="107"/>
      <c r="BN1502" s="107"/>
      <c r="BO1502" s="107"/>
      <c r="BP1502" s="107"/>
      <c r="BQ1502" s="107"/>
      <c r="BR1502" s="107"/>
      <c r="BS1502" s="107"/>
      <c r="BT1502" s="107"/>
      <c r="BU1502" s="107"/>
      <c r="BV1502" s="107"/>
      <c r="BW1502" s="107"/>
      <c r="BX1502" s="107"/>
      <c r="BY1502" s="107"/>
      <c r="BZ1502" s="107"/>
      <c r="CA1502" s="107"/>
      <c r="CB1502" s="107"/>
      <c r="CC1502" s="107"/>
      <c r="CD1502" s="107"/>
      <c r="CE1502" s="107"/>
      <c r="CF1502" s="107"/>
      <c r="CG1502" s="107"/>
      <c r="CH1502" s="107"/>
      <c r="CI1502" s="107"/>
      <c r="CJ1502" s="107"/>
      <c r="CK1502" s="107"/>
      <c r="CL1502" s="107"/>
      <c r="CM1502" s="107"/>
      <c r="CN1502" s="118"/>
      <c r="CO1502" s="119"/>
      <c r="CP1502" s="118"/>
      <c r="CQ1502" s="119"/>
      <c r="CR1502" s="118"/>
      <c r="CS1502" s="119"/>
      <c r="CT1502" s="113"/>
      <c r="CU1502" s="118"/>
      <c r="CV1502" s="99">
        <f t="shared" si="143"/>
        <v>0</v>
      </c>
      <c r="CW1502" s="118"/>
      <c r="CX1502" s="119"/>
      <c r="CY1502" s="119"/>
      <c r="CZ1502" s="119"/>
      <c r="DA1502" s="118"/>
      <c r="DB1502" s="119"/>
      <c r="DC1502" s="111"/>
      <c r="DD1502" s="119"/>
      <c r="DE1502" s="111"/>
      <c r="DF1502" s="46"/>
    </row>
    <row r="1503" spans="1:110" s="42" customFormat="1" ht="48" x14ac:dyDescent="0.2">
      <c r="A1503" s="89">
        <v>40717</v>
      </c>
      <c r="B1503" s="106" t="s">
        <v>4244</v>
      </c>
      <c r="C1503" s="106" t="s">
        <v>3157</v>
      </c>
      <c r="D1503" s="106" t="s">
        <v>3346</v>
      </c>
      <c r="E1503" s="90" t="str">
        <f>VLOOKUP(B1503&amp;C1503,Divipola!$C$2:$F$1138,4,FALSE)</f>
        <v>76122</v>
      </c>
      <c r="F1503" s="90"/>
      <c r="G1503" s="302"/>
      <c r="H1503" s="302"/>
      <c r="I1503" s="302"/>
      <c r="J1503" s="129">
        <v>640</v>
      </c>
      <c r="K1503" s="129">
        <v>160</v>
      </c>
      <c r="L1503" s="129"/>
      <c r="M1503" s="129">
        <v>160</v>
      </c>
      <c r="N1503" s="129"/>
      <c r="O1503" s="129"/>
      <c r="P1503" s="129"/>
      <c r="Q1503" s="129"/>
      <c r="R1503" s="129"/>
      <c r="S1503" s="129"/>
      <c r="T1503" s="129"/>
      <c r="U1503" s="129"/>
      <c r="V1503" s="129"/>
      <c r="W1503" s="107"/>
      <c r="X1503" s="105"/>
      <c r="Y1503" s="92">
        <f t="shared" si="144"/>
        <v>0</v>
      </c>
      <c r="Z1503" s="92">
        <f t="shared" si="145"/>
        <v>0</v>
      </c>
      <c r="AA1503" s="92">
        <f t="shared" si="146"/>
        <v>59195482.079999998</v>
      </c>
      <c r="AB1503" s="92">
        <f t="shared" si="147"/>
        <v>0</v>
      </c>
      <c r="AC1503" s="143">
        <f>2000*18999.64+3500*9499.24+400*6899.68</f>
        <v>74006492</v>
      </c>
      <c r="AD1503" s="92">
        <v>0</v>
      </c>
      <c r="AE1503" s="92">
        <f t="shared" si="148"/>
        <v>133201974.08</v>
      </c>
      <c r="AF1503" s="93">
        <v>0</v>
      </c>
      <c r="AG1503" s="105"/>
      <c r="AH1503" s="108"/>
      <c r="AI1503" s="95" t="s">
        <v>4346</v>
      </c>
      <c r="AJ1503" s="96" t="s">
        <v>4347</v>
      </c>
      <c r="AK1503" s="285"/>
      <c r="AL1503" s="284"/>
      <c r="AM1503" s="112" t="s">
        <v>2</v>
      </c>
      <c r="AN1503" s="107"/>
      <c r="AO1503" s="107"/>
      <c r="AP1503" s="107"/>
      <c r="AQ1503" s="107"/>
      <c r="AR1503" s="107"/>
      <c r="AS1503" s="107"/>
      <c r="AT1503" s="107"/>
      <c r="AU1503" s="107"/>
      <c r="AV1503" s="107"/>
      <c r="AW1503" s="107"/>
      <c r="AX1503" s="107"/>
      <c r="AY1503" s="107"/>
      <c r="AZ1503" s="107"/>
      <c r="BA1503" s="107"/>
      <c r="BB1503" s="107"/>
      <c r="BC1503" s="107"/>
      <c r="BD1503" s="107"/>
      <c r="BE1503" s="107"/>
      <c r="BF1503" s="107"/>
      <c r="BG1503" s="107"/>
      <c r="BH1503" s="107"/>
      <c r="BI1503" s="107"/>
      <c r="BJ1503" s="107"/>
      <c r="BK1503" s="107"/>
      <c r="BL1503" s="107"/>
      <c r="BM1503" s="107"/>
      <c r="BN1503" s="107"/>
      <c r="BO1503" s="107"/>
      <c r="BP1503" s="107"/>
      <c r="BQ1503" s="107"/>
      <c r="BR1503" s="107"/>
      <c r="BS1503" s="107"/>
      <c r="BT1503" s="107"/>
      <c r="BU1503" s="107"/>
      <c r="BV1503" s="107"/>
      <c r="BW1503" s="107"/>
      <c r="BX1503" s="107"/>
      <c r="BY1503" s="107"/>
      <c r="BZ1503" s="107"/>
      <c r="CA1503" s="107"/>
      <c r="CB1503" s="107"/>
      <c r="CC1503" s="107"/>
      <c r="CD1503" s="107"/>
      <c r="CE1503" s="107"/>
      <c r="CF1503" s="107"/>
      <c r="CG1503" s="107"/>
      <c r="CH1503" s="107"/>
      <c r="CI1503" s="107"/>
      <c r="CJ1503" s="107"/>
      <c r="CK1503" s="107"/>
      <c r="CL1503" s="107"/>
      <c r="CM1503" s="107"/>
      <c r="CN1503" s="118"/>
      <c r="CO1503" s="119"/>
      <c r="CP1503" s="118"/>
      <c r="CQ1503" s="119"/>
      <c r="CR1503" s="118"/>
      <c r="CS1503" s="119"/>
      <c r="CT1503" s="113"/>
      <c r="CU1503" s="118"/>
      <c r="CV1503" s="99">
        <f t="shared" si="143"/>
        <v>0</v>
      </c>
      <c r="CW1503" s="118"/>
      <c r="CX1503" s="119"/>
      <c r="CY1503" s="119"/>
      <c r="CZ1503" s="119"/>
      <c r="DA1503" s="118"/>
      <c r="DB1503" s="119"/>
      <c r="DC1503" s="111">
        <f>1853+400</f>
        <v>2253</v>
      </c>
      <c r="DD1503" s="119">
        <f>1853*22499.36+13518*348+400*31999.76</f>
        <v>59195482.079999998</v>
      </c>
      <c r="DE1503" s="111"/>
      <c r="DF1503" s="46"/>
    </row>
    <row r="1504" spans="1:110" s="42" customFormat="1" ht="36" x14ac:dyDescent="0.2">
      <c r="A1504" s="89">
        <v>40718</v>
      </c>
      <c r="B1504" s="90" t="s">
        <v>4261</v>
      </c>
      <c r="C1504" s="90" t="s">
        <v>1225</v>
      </c>
      <c r="D1504" s="90" t="s">
        <v>4264</v>
      </c>
      <c r="E1504" s="90" t="str">
        <f>VLOOKUP(B1504&amp;C1504,Divipola!$C$2:$F$1138,4,FALSE)</f>
        <v>15494</v>
      </c>
      <c r="F1504" s="4"/>
      <c r="G1504" s="101"/>
      <c r="H1504" s="101"/>
      <c r="I1504" s="101"/>
      <c r="J1504" s="101">
        <v>85</v>
      </c>
      <c r="K1504" s="101">
        <v>17</v>
      </c>
      <c r="L1504" s="101"/>
      <c r="M1504" s="101">
        <v>8</v>
      </c>
      <c r="N1504" s="101"/>
      <c r="O1504" s="101"/>
      <c r="P1504" s="101"/>
      <c r="Q1504" s="101"/>
      <c r="R1504" s="101"/>
      <c r="S1504" s="101"/>
      <c r="T1504" s="101"/>
      <c r="U1504" s="101"/>
      <c r="V1504" s="101">
        <v>9</v>
      </c>
      <c r="W1504" s="19"/>
      <c r="X1504" s="17"/>
      <c r="Y1504" s="5">
        <f t="shared" si="144"/>
        <v>0</v>
      </c>
      <c r="Z1504" s="5">
        <f t="shared" si="145"/>
        <v>0</v>
      </c>
      <c r="AA1504" s="5">
        <f t="shared" si="146"/>
        <v>0</v>
      </c>
      <c r="AB1504" s="5">
        <f t="shared" si="147"/>
        <v>0</v>
      </c>
      <c r="AC1504" s="5"/>
      <c r="AD1504" s="5">
        <v>0</v>
      </c>
      <c r="AE1504" s="5">
        <f t="shared" si="148"/>
        <v>0</v>
      </c>
      <c r="AF1504" s="70">
        <v>0</v>
      </c>
      <c r="AG1504" s="17"/>
      <c r="AH1504" s="18"/>
      <c r="AI1504" s="47" t="s">
        <v>4336</v>
      </c>
      <c r="AJ1504" s="73" t="s">
        <v>4337</v>
      </c>
      <c r="AK1504" s="45"/>
      <c r="AL1504" s="17" t="s">
        <v>119</v>
      </c>
      <c r="AM1504" s="100" t="s">
        <v>109</v>
      </c>
      <c r="AN1504" s="19"/>
      <c r="AO1504" s="19"/>
      <c r="AP1504" s="19"/>
      <c r="AQ1504" s="19"/>
      <c r="AR1504" s="19"/>
      <c r="AS1504" s="19"/>
      <c r="AT1504" s="19"/>
      <c r="AU1504" s="19"/>
      <c r="AV1504" s="19"/>
      <c r="AW1504" s="19"/>
      <c r="AX1504" s="107"/>
      <c r="AY1504" s="107"/>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39"/>
      <c r="CO1504" s="138"/>
      <c r="CP1504" s="139"/>
      <c r="CQ1504" s="138"/>
      <c r="CR1504" s="139"/>
      <c r="CS1504" s="138"/>
      <c r="CT1504" s="72"/>
      <c r="CU1504" s="139"/>
      <c r="CV1504" s="99">
        <f t="shared" si="143"/>
        <v>0</v>
      </c>
      <c r="CW1504" s="139"/>
      <c r="CX1504" s="138"/>
      <c r="CY1504" s="138"/>
      <c r="CZ1504" s="138"/>
      <c r="DA1504" s="139"/>
      <c r="DB1504" s="138"/>
      <c r="DC1504" s="45"/>
      <c r="DD1504" s="138"/>
      <c r="DE1504" s="45"/>
      <c r="DF1504" s="46"/>
    </row>
    <row r="1505" spans="1:110" s="42" customFormat="1" ht="96" x14ac:dyDescent="0.2">
      <c r="A1505" s="89">
        <v>40718</v>
      </c>
      <c r="B1505" s="90" t="s">
        <v>2225</v>
      </c>
      <c r="C1505" s="90" t="s">
        <v>4359</v>
      </c>
      <c r="D1505" s="90" t="s">
        <v>4264</v>
      </c>
      <c r="E1505" s="90" t="str">
        <f>VLOOKUP(B1505&amp;C1505,Divipola!$C$2:$F$1138,4,FALSE)</f>
        <v>27025</v>
      </c>
      <c r="F1505" s="90"/>
      <c r="G1505" s="302"/>
      <c r="H1505" s="302"/>
      <c r="I1505" s="302"/>
      <c r="J1505" s="129">
        <v>6100</v>
      </c>
      <c r="K1505" s="129">
        <v>1300</v>
      </c>
      <c r="L1505" s="129"/>
      <c r="M1505" s="129">
        <v>1300</v>
      </c>
      <c r="N1505" s="129"/>
      <c r="O1505" s="129"/>
      <c r="P1505" s="129"/>
      <c r="Q1505" s="129"/>
      <c r="R1505" s="129"/>
      <c r="S1505" s="129"/>
      <c r="T1505" s="129"/>
      <c r="U1505" s="129"/>
      <c r="V1505" s="129"/>
      <c r="W1505" s="107"/>
      <c r="X1505" s="105"/>
      <c r="Y1505" s="92">
        <f t="shared" si="144"/>
        <v>0</v>
      </c>
      <c r="Z1505" s="92">
        <f t="shared" si="145"/>
        <v>0</v>
      </c>
      <c r="AA1505" s="92">
        <f t="shared" si="146"/>
        <v>0</v>
      </c>
      <c r="AB1505" s="92">
        <f t="shared" si="147"/>
        <v>0</v>
      </c>
      <c r="AC1505" s="92"/>
      <c r="AD1505" s="92">
        <v>13000000</v>
      </c>
      <c r="AE1505" s="92">
        <f t="shared" si="148"/>
        <v>13000000</v>
      </c>
      <c r="AF1505" s="93">
        <v>0</v>
      </c>
      <c r="AG1505" s="105"/>
      <c r="AH1505" s="108"/>
      <c r="AI1505" s="109" t="s">
        <v>4346</v>
      </c>
      <c r="AJ1505" s="110" t="s">
        <v>4347</v>
      </c>
      <c r="AK1505" s="285"/>
      <c r="AL1505" s="89" t="s">
        <v>2798</v>
      </c>
      <c r="AM1505" s="100" t="s">
        <v>3749</v>
      </c>
      <c r="AN1505" s="107"/>
      <c r="AO1505" s="107"/>
      <c r="AP1505" s="107"/>
      <c r="AQ1505" s="107"/>
      <c r="AR1505" s="107"/>
      <c r="AS1505" s="107"/>
      <c r="AT1505" s="107"/>
      <c r="AU1505" s="107"/>
      <c r="AV1505" s="107"/>
      <c r="AW1505" s="107"/>
      <c r="AX1505" s="107"/>
      <c r="AY1505" s="107"/>
      <c r="AZ1505" s="107"/>
      <c r="BA1505" s="107"/>
      <c r="BB1505" s="107"/>
      <c r="BC1505" s="107"/>
      <c r="BD1505" s="107"/>
      <c r="BE1505" s="107"/>
      <c r="BF1505" s="107"/>
      <c r="BG1505" s="107"/>
      <c r="BH1505" s="107"/>
      <c r="BI1505" s="107"/>
      <c r="BJ1505" s="107"/>
      <c r="BK1505" s="107"/>
      <c r="BL1505" s="107"/>
      <c r="BM1505" s="107"/>
      <c r="BN1505" s="107"/>
      <c r="BO1505" s="107"/>
      <c r="BP1505" s="107"/>
      <c r="BQ1505" s="107"/>
      <c r="BR1505" s="107"/>
      <c r="BS1505" s="107"/>
      <c r="BT1505" s="107"/>
      <c r="BU1505" s="107"/>
      <c r="BV1505" s="107"/>
      <c r="BW1505" s="107"/>
      <c r="BX1505" s="107"/>
      <c r="BY1505" s="107"/>
      <c r="BZ1505" s="107"/>
      <c r="CA1505" s="107"/>
      <c r="CB1505" s="107"/>
      <c r="CC1505" s="107"/>
      <c r="CD1505" s="107"/>
      <c r="CE1505" s="107"/>
      <c r="CF1505" s="107"/>
      <c r="CG1505" s="107"/>
      <c r="CH1505" s="107"/>
      <c r="CI1505" s="107"/>
      <c r="CJ1505" s="107"/>
      <c r="CK1505" s="107"/>
      <c r="CL1505" s="107"/>
      <c r="CM1505" s="107"/>
      <c r="CN1505" s="118"/>
      <c r="CO1505" s="119"/>
      <c r="CP1505" s="118"/>
      <c r="CQ1505" s="119"/>
      <c r="CR1505" s="118"/>
      <c r="CS1505" s="119"/>
      <c r="CT1505" s="113"/>
      <c r="CU1505" s="118"/>
      <c r="CV1505" s="99">
        <f t="shared" si="143"/>
        <v>0</v>
      </c>
      <c r="CW1505" s="118"/>
      <c r="CX1505" s="119"/>
      <c r="CY1505" s="119"/>
      <c r="CZ1505" s="119"/>
      <c r="DA1505" s="118"/>
      <c r="DB1505" s="119"/>
      <c r="DC1505" s="111"/>
      <c r="DD1505" s="119"/>
      <c r="DE1505" s="111"/>
      <c r="DF1505" s="46"/>
    </row>
    <row r="1506" spans="1:110" s="42" customFormat="1" ht="60" x14ac:dyDescent="0.2">
      <c r="A1506" s="89">
        <v>40718</v>
      </c>
      <c r="B1506" s="90" t="s">
        <v>2225</v>
      </c>
      <c r="C1506" s="90" t="s">
        <v>1985</v>
      </c>
      <c r="D1506" s="90" t="s">
        <v>4264</v>
      </c>
      <c r="E1506" s="90" t="str">
        <f>VLOOKUP(B1506&amp;C1506,Divipola!$C$2:$F$1138,4,FALSE)</f>
        <v>27135</v>
      </c>
      <c r="F1506" s="4"/>
      <c r="G1506" s="314"/>
      <c r="H1506" s="314"/>
      <c r="I1506" s="314"/>
      <c r="J1506" s="101">
        <v>1230</v>
      </c>
      <c r="K1506" s="101">
        <v>410</v>
      </c>
      <c r="L1506" s="101">
        <v>40</v>
      </c>
      <c r="M1506" s="101">
        <v>96</v>
      </c>
      <c r="N1506" s="208">
        <v>1</v>
      </c>
      <c r="O1506" s="208"/>
      <c r="P1506" s="208"/>
      <c r="Q1506" s="208"/>
      <c r="R1506" s="208"/>
      <c r="S1506" s="208"/>
      <c r="T1506" s="208"/>
      <c r="U1506" s="208"/>
      <c r="V1506" s="208"/>
      <c r="W1506" s="19"/>
      <c r="X1506" s="17"/>
      <c r="Y1506" s="5">
        <f t="shared" si="144"/>
        <v>36938950</v>
      </c>
      <c r="Z1506" s="5">
        <f t="shared" si="145"/>
        <v>35670000</v>
      </c>
      <c r="AA1506" s="5">
        <f t="shared" si="146"/>
        <v>0</v>
      </c>
      <c r="AB1506" s="5">
        <f t="shared" si="147"/>
        <v>0</v>
      </c>
      <c r="AC1506" s="5"/>
      <c r="AD1506" s="5">
        <v>0</v>
      </c>
      <c r="AE1506" s="5">
        <f t="shared" si="148"/>
        <v>72608950</v>
      </c>
      <c r="AF1506" s="70">
        <v>0</v>
      </c>
      <c r="AG1506" s="17"/>
      <c r="AH1506" s="18"/>
      <c r="AI1506" s="109" t="s">
        <v>4346</v>
      </c>
      <c r="AJ1506" s="110" t="s">
        <v>4347</v>
      </c>
      <c r="AK1506" s="280"/>
      <c r="AL1506" s="281" t="s">
        <v>1049</v>
      </c>
      <c r="AM1506" s="100" t="s">
        <v>3782</v>
      </c>
      <c r="AN1506" s="19"/>
      <c r="AO1506" s="19"/>
      <c r="AP1506" s="19"/>
      <c r="AQ1506" s="19"/>
      <c r="AR1506" s="19"/>
      <c r="AS1506" s="19"/>
      <c r="AT1506" s="19"/>
      <c r="AU1506" s="19"/>
      <c r="AV1506" s="19"/>
      <c r="AW1506" s="19"/>
      <c r="AX1506" s="107"/>
      <c r="AY1506" s="107"/>
      <c r="AZ1506" s="19"/>
      <c r="BA1506" s="19"/>
      <c r="BB1506" s="19"/>
      <c r="BC1506" s="19"/>
      <c r="BD1506" s="19"/>
      <c r="BE1506" s="19"/>
      <c r="BF1506" s="19"/>
      <c r="BG1506" s="19"/>
      <c r="BH1506" s="19"/>
      <c r="BI1506" s="19"/>
      <c r="BJ1506" s="19"/>
      <c r="BK1506" s="19"/>
      <c r="BL1506" s="19">
        <v>410</v>
      </c>
      <c r="BM1506" s="19">
        <f>410*27500</f>
        <v>11275000</v>
      </c>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39">
        <v>410</v>
      </c>
      <c r="CO1506" s="138">
        <f>410*24000</f>
        <v>9840000</v>
      </c>
      <c r="CP1506" s="139">
        <v>410</v>
      </c>
      <c r="CQ1506" s="138">
        <f>410*38595</f>
        <v>15823950</v>
      </c>
      <c r="CR1506" s="139"/>
      <c r="CS1506" s="138"/>
      <c r="CT1506" s="72"/>
      <c r="CU1506" s="139"/>
      <c r="CV1506" s="99">
        <f t="shared" si="143"/>
        <v>36938950</v>
      </c>
      <c r="CW1506" s="139"/>
      <c r="CX1506" s="138"/>
      <c r="CY1506" s="138">
        <v>410</v>
      </c>
      <c r="CZ1506" s="138">
        <f>410*87000</f>
        <v>35670000</v>
      </c>
      <c r="DA1506" s="139"/>
      <c r="DB1506" s="138"/>
      <c r="DC1506" s="45"/>
      <c r="DD1506" s="138"/>
      <c r="DE1506" s="45"/>
      <c r="DF1506" s="46"/>
    </row>
    <row r="1507" spans="1:110" s="42" customFormat="1" ht="24" x14ac:dyDescent="0.2">
      <c r="A1507" s="89">
        <v>40718</v>
      </c>
      <c r="B1507" s="106" t="s">
        <v>2225</v>
      </c>
      <c r="C1507" s="106" t="s">
        <v>3365</v>
      </c>
      <c r="D1507" s="90" t="s">
        <v>4264</v>
      </c>
      <c r="E1507" s="90" t="str">
        <f>VLOOKUP(B1507&amp;C1507,Divipola!$C$2:$F$1138,4,FALSE)</f>
        <v>27413</v>
      </c>
      <c r="F1507" s="90"/>
      <c r="G1507" s="302"/>
      <c r="H1507" s="302"/>
      <c r="I1507" s="302"/>
      <c r="J1507" s="129">
        <v>3452</v>
      </c>
      <c r="K1507" s="129">
        <v>700</v>
      </c>
      <c r="L1507" s="129"/>
      <c r="M1507" s="129">
        <v>700</v>
      </c>
      <c r="N1507" s="129"/>
      <c r="O1507" s="129"/>
      <c r="P1507" s="129"/>
      <c r="Q1507" s="129"/>
      <c r="R1507" s="129"/>
      <c r="S1507" s="129"/>
      <c r="T1507" s="129"/>
      <c r="U1507" s="129"/>
      <c r="V1507" s="129"/>
      <c r="W1507" s="107"/>
      <c r="X1507" s="105"/>
      <c r="Y1507" s="92">
        <f t="shared" si="144"/>
        <v>0</v>
      </c>
      <c r="Z1507" s="92">
        <f t="shared" si="145"/>
        <v>0</v>
      </c>
      <c r="AA1507" s="92">
        <f t="shared" si="146"/>
        <v>0</v>
      </c>
      <c r="AB1507" s="92">
        <f t="shared" si="147"/>
        <v>0</v>
      </c>
      <c r="AC1507" s="92"/>
      <c r="AD1507" s="92">
        <v>0</v>
      </c>
      <c r="AE1507" s="92">
        <f t="shared" si="148"/>
        <v>0</v>
      </c>
      <c r="AF1507" s="93">
        <v>0</v>
      </c>
      <c r="AG1507" s="105"/>
      <c r="AH1507" s="108"/>
      <c r="AI1507" s="109" t="s">
        <v>4346</v>
      </c>
      <c r="AJ1507" s="110" t="s">
        <v>4347</v>
      </c>
      <c r="AK1507" s="285"/>
      <c r="AL1507" s="89" t="s">
        <v>2798</v>
      </c>
      <c r="AM1507" s="112" t="s">
        <v>3403</v>
      </c>
      <c r="AN1507" s="107"/>
      <c r="AO1507" s="107"/>
      <c r="AP1507" s="107"/>
      <c r="AQ1507" s="107"/>
      <c r="AR1507" s="107"/>
      <c r="AS1507" s="107"/>
      <c r="AT1507" s="107"/>
      <c r="AU1507" s="107"/>
      <c r="AV1507" s="107"/>
      <c r="AW1507" s="107"/>
      <c r="AX1507" s="107"/>
      <c r="AY1507" s="107"/>
      <c r="AZ1507" s="107"/>
      <c r="BA1507" s="107"/>
      <c r="BB1507" s="107"/>
      <c r="BC1507" s="107"/>
      <c r="BD1507" s="107"/>
      <c r="BE1507" s="107"/>
      <c r="BF1507" s="107"/>
      <c r="BG1507" s="107"/>
      <c r="BH1507" s="107"/>
      <c r="BI1507" s="107"/>
      <c r="BJ1507" s="107"/>
      <c r="BK1507" s="107"/>
      <c r="BL1507" s="107"/>
      <c r="BM1507" s="107"/>
      <c r="BN1507" s="107"/>
      <c r="BO1507" s="107"/>
      <c r="BP1507" s="107"/>
      <c r="BQ1507" s="107"/>
      <c r="BR1507" s="107"/>
      <c r="BS1507" s="107"/>
      <c r="BT1507" s="107"/>
      <c r="BU1507" s="107"/>
      <c r="BV1507" s="107"/>
      <c r="BW1507" s="107"/>
      <c r="BX1507" s="107"/>
      <c r="BY1507" s="107"/>
      <c r="BZ1507" s="107"/>
      <c r="CA1507" s="107"/>
      <c r="CB1507" s="107"/>
      <c r="CC1507" s="107"/>
      <c r="CD1507" s="107"/>
      <c r="CE1507" s="107"/>
      <c r="CF1507" s="107"/>
      <c r="CG1507" s="107"/>
      <c r="CH1507" s="107"/>
      <c r="CI1507" s="107"/>
      <c r="CJ1507" s="107"/>
      <c r="CK1507" s="107"/>
      <c r="CL1507" s="107"/>
      <c r="CM1507" s="107"/>
      <c r="CN1507" s="118"/>
      <c r="CO1507" s="119"/>
      <c r="CP1507" s="118"/>
      <c r="CQ1507" s="119"/>
      <c r="CR1507" s="118"/>
      <c r="CS1507" s="119"/>
      <c r="CT1507" s="113"/>
      <c r="CU1507" s="118"/>
      <c r="CV1507" s="99">
        <f t="shared" si="143"/>
        <v>0</v>
      </c>
      <c r="CW1507" s="118"/>
      <c r="CX1507" s="119"/>
      <c r="CY1507" s="119"/>
      <c r="CZ1507" s="119"/>
      <c r="DA1507" s="118"/>
      <c r="DB1507" s="119"/>
      <c r="DC1507" s="111"/>
      <c r="DD1507" s="119"/>
      <c r="DE1507" s="111"/>
      <c r="DF1507" s="46"/>
    </row>
    <row r="1508" spans="1:110" s="42" customFormat="1" ht="36" x14ac:dyDescent="0.2">
      <c r="A1508" s="89">
        <v>40718</v>
      </c>
      <c r="B1508" s="90" t="s">
        <v>2225</v>
      </c>
      <c r="C1508" s="90" t="s">
        <v>1882</v>
      </c>
      <c r="D1508" s="90" t="s">
        <v>4264</v>
      </c>
      <c r="E1508" s="90" t="str">
        <f>VLOOKUP(B1508&amp;C1508,Divipola!$C$2:$F$1138,4,FALSE)</f>
        <v>27425</v>
      </c>
      <c r="F1508" s="90"/>
      <c r="G1508" s="302"/>
      <c r="H1508" s="302"/>
      <c r="I1508" s="302"/>
      <c r="J1508" s="129">
        <v>2330</v>
      </c>
      <c r="K1508" s="129">
        <v>468</v>
      </c>
      <c r="L1508" s="129"/>
      <c r="M1508" s="129">
        <v>468</v>
      </c>
      <c r="N1508" s="129"/>
      <c r="O1508" s="129"/>
      <c r="P1508" s="129"/>
      <c r="Q1508" s="129"/>
      <c r="R1508" s="129"/>
      <c r="S1508" s="129"/>
      <c r="T1508" s="129"/>
      <c r="U1508" s="129"/>
      <c r="V1508" s="129"/>
      <c r="W1508" s="107"/>
      <c r="X1508" s="105"/>
      <c r="Y1508" s="92">
        <f t="shared" si="144"/>
        <v>0</v>
      </c>
      <c r="Z1508" s="92">
        <f t="shared" si="145"/>
        <v>0</v>
      </c>
      <c r="AA1508" s="92">
        <f t="shared" si="146"/>
        <v>0</v>
      </c>
      <c r="AB1508" s="92">
        <f t="shared" si="147"/>
        <v>0</v>
      </c>
      <c r="AC1508" s="92"/>
      <c r="AD1508" s="92">
        <v>0</v>
      </c>
      <c r="AE1508" s="92">
        <f t="shared" si="148"/>
        <v>0</v>
      </c>
      <c r="AF1508" s="93">
        <v>0</v>
      </c>
      <c r="AG1508" s="105"/>
      <c r="AH1508" s="108"/>
      <c r="AI1508" s="109" t="s">
        <v>4346</v>
      </c>
      <c r="AJ1508" s="110" t="s">
        <v>4347</v>
      </c>
      <c r="AK1508" s="285"/>
      <c r="AL1508" s="89" t="s">
        <v>2798</v>
      </c>
      <c r="AM1508" s="100" t="s">
        <v>3404</v>
      </c>
      <c r="AN1508" s="107"/>
      <c r="AO1508" s="107"/>
      <c r="AP1508" s="107"/>
      <c r="AQ1508" s="107"/>
      <c r="AR1508" s="107"/>
      <c r="AS1508" s="107"/>
      <c r="AT1508" s="107"/>
      <c r="AU1508" s="107"/>
      <c r="AV1508" s="107"/>
      <c r="AW1508" s="107"/>
      <c r="AX1508" s="107"/>
      <c r="AY1508" s="107"/>
      <c r="AZ1508" s="107"/>
      <c r="BA1508" s="107"/>
      <c r="BB1508" s="107"/>
      <c r="BC1508" s="107"/>
      <c r="BD1508" s="107"/>
      <c r="BE1508" s="107"/>
      <c r="BF1508" s="107"/>
      <c r="BG1508" s="107"/>
      <c r="BH1508" s="107"/>
      <c r="BI1508" s="107"/>
      <c r="BJ1508" s="107"/>
      <c r="BK1508" s="107"/>
      <c r="BL1508" s="107"/>
      <c r="BM1508" s="107"/>
      <c r="BN1508" s="107"/>
      <c r="BO1508" s="107"/>
      <c r="BP1508" s="107"/>
      <c r="BQ1508" s="107"/>
      <c r="BR1508" s="107"/>
      <c r="BS1508" s="107"/>
      <c r="BT1508" s="107"/>
      <c r="BU1508" s="107"/>
      <c r="BV1508" s="107"/>
      <c r="BW1508" s="107"/>
      <c r="BX1508" s="107"/>
      <c r="BY1508" s="107"/>
      <c r="BZ1508" s="107"/>
      <c r="CA1508" s="107"/>
      <c r="CB1508" s="107"/>
      <c r="CC1508" s="107"/>
      <c r="CD1508" s="107"/>
      <c r="CE1508" s="107"/>
      <c r="CF1508" s="107"/>
      <c r="CG1508" s="107"/>
      <c r="CH1508" s="107"/>
      <c r="CI1508" s="107"/>
      <c r="CJ1508" s="107"/>
      <c r="CK1508" s="107"/>
      <c r="CL1508" s="107"/>
      <c r="CM1508" s="107"/>
      <c r="CN1508" s="118"/>
      <c r="CO1508" s="119"/>
      <c r="CP1508" s="118"/>
      <c r="CQ1508" s="119"/>
      <c r="CR1508" s="118"/>
      <c r="CS1508" s="119"/>
      <c r="CT1508" s="113"/>
      <c r="CU1508" s="118"/>
      <c r="CV1508" s="99">
        <f t="shared" si="143"/>
        <v>0</v>
      </c>
      <c r="CW1508" s="118"/>
      <c r="CX1508" s="119"/>
      <c r="CY1508" s="119"/>
      <c r="CZ1508" s="119"/>
      <c r="DA1508" s="118"/>
      <c r="DB1508" s="119"/>
      <c r="DC1508" s="111"/>
      <c r="DD1508" s="119"/>
      <c r="DE1508" s="111"/>
      <c r="DF1508" s="46"/>
    </row>
    <row r="1509" spans="1:110" s="42" customFormat="1" ht="96" x14ac:dyDescent="0.2">
      <c r="A1509" s="89">
        <v>40718</v>
      </c>
      <c r="B1509" s="106" t="s">
        <v>2225</v>
      </c>
      <c r="C1509" s="106" t="s">
        <v>2205</v>
      </c>
      <c r="D1509" s="90" t="s">
        <v>4264</v>
      </c>
      <c r="E1509" s="90" t="str">
        <f>VLOOKUP(B1509&amp;C1509,Divipola!$C$2:$F$1138,4,FALSE)</f>
        <v>27001</v>
      </c>
      <c r="F1509" s="90"/>
      <c r="G1509" s="129"/>
      <c r="H1509" s="129"/>
      <c r="I1509" s="129"/>
      <c r="J1509" s="129">
        <v>10367</v>
      </c>
      <c r="K1509" s="129">
        <v>2089</v>
      </c>
      <c r="L1509" s="129"/>
      <c r="M1509" s="129">
        <v>2089</v>
      </c>
      <c r="N1509" s="129"/>
      <c r="O1509" s="129"/>
      <c r="P1509" s="129"/>
      <c r="Q1509" s="129"/>
      <c r="R1509" s="129"/>
      <c r="S1509" s="129"/>
      <c r="T1509" s="129"/>
      <c r="U1509" s="129"/>
      <c r="V1509" s="129"/>
      <c r="W1509" s="107"/>
      <c r="X1509" s="105"/>
      <c r="Y1509" s="92">
        <f t="shared" si="144"/>
        <v>0</v>
      </c>
      <c r="Z1509" s="92">
        <f t="shared" si="145"/>
        <v>0</v>
      </c>
      <c r="AA1509" s="92">
        <f t="shared" si="146"/>
        <v>0</v>
      </c>
      <c r="AB1509" s="92">
        <f t="shared" si="147"/>
        <v>0</v>
      </c>
      <c r="AC1509" s="92"/>
      <c r="AD1509" s="92">
        <v>0</v>
      </c>
      <c r="AE1509" s="92">
        <f t="shared" si="148"/>
        <v>0</v>
      </c>
      <c r="AF1509" s="93">
        <v>0</v>
      </c>
      <c r="AG1509" s="105"/>
      <c r="AH1509" s="108"/>
      <c r="AI1509" s="109" t="s">
        <v>4346</v>
      </c>
      <c r="AJ1509" s="110" t="s">
        <v>4347</v>
      </c>
      <c r="AK1509" s="285"/>
      <c r="AL1509" s="89" t="s">
        <v>2798</v>
      </c>
      <c r="AM1509" s="132" t="s">
        <v>3402</v>
      </c>
      <c r="AN1509" s="107"/>
      <c r="AO1509" s="107"/>
      <c r="AP1509" s="107"/>
      <c r="AQ1509" s="107"/>
      <c r="AR1509" s="107"/>
      <c r="AS1509" s="107"/>
      <c r="AT1509" s="107"/>
      <c r="AU1509" s="107"/>
      <c r="AV1509" s="107"/>
      <c r="AW1509" s="107"/>
      <c r="AX1509" s="107"/>
      <c r="AY1509" s="107"/>
      <c r="AZ1509" s="107"/>
      <c r="BA1509" s="107"/>
      <c r="BB1509" s="107"/>
      <c r="BC1509" s="107"/>
      <c r="BD1509" s="107"/>
      <c r="BE1509" s="107"/>
      <c r="BF1509" s="107"/>
      <c r="BG1509" s="107"/>
      <c r="BH1509" s="107"/>
      <c r="BI1509" s="107"/>
      <c r="BJ1509" s="107"/>
      <c r="BK1509" s="107"/>
      <c r="BL1509" s="107"/>
      <c r="BM1509" s="107"/>
      <c r="BN1509" s="107"/>
      <c r="BO1509" s="107"/>
      <c r="BP1509" s="107"/>
      <c r="BQ1509" s="107"/>
      <c r="BR1509" s="107"/>
      <c r="BS1509" s="107"/>
      <c r="BT1509" s="107"/>
      <c r="BU1509" s="107"/>
      <c r="BV1509" s="107"/>
      <c r="BW1509" s="107"/>
      <c r="BX1509" s="107"/>
      <c r="BY1509" s="107"/>
      <c r="BZ1509" s="107"/>
      <c r="CA1509" s="107"/>
      <c r="CB1509" s="107"/>
      <c r="CC1509" s="107"/>
      <c r="CD1509" s="107"/>
      <c r="CE1509" s="107"/>
      <c r="CF1509" s="107"/>
      <c r="CG1509" s="107"/>
      <c r="CH1509" s="107"/>
      <c r="CI1509" s="107"/>
      <c r="CJ1509" s="107"/>
      <c r="CK1509" s="107"/>
      <c r="CL1509" s="107"/>
      <c r="CM1509" s="107"/>
      <c r="CN1509" s="118"/>
      <c r="CO1509" s="119"/>
      <c r="CP1509" s="118"/>
      <c r="CQ1509" s="119"/>
      <c r="CR1509" s="118"/>
      <c r="CS1509" s="119"/>
      <c r="CT1509" s="113"/>
      <c r="CU1509" s="118"/>
      <c r="CV1509" s="99">
        <f t="shared" si="143"/>
        <v>0</v>
      </c>
      <c r="CW1509" s="118"/>
      <c r="CX1509" s="119"/>
      <c r="CY1509" s="119"/>
      <c r="CZ1509" s="119"/>
      <c r="DA1509" s="118"/>
      <c r="DB1509" s="119"/>
      <c r="DC1509" s="111"/>
      <c r="DD1509" s="119"/>
      <c r="DE1509" s="111"/>
      <c r="DF1509" s="46"/>
    </row>
    <row r="1510" spans="1:110" s="42" customFormat="1" x14ac:dyDescent="0.2">
      <c r="A1510" s="89">
        <v>40718</v>
      </c>
      <c r="B1510" s="106" t="s">
        <v>4387</v>
      </c>
      <c r="C1510" s="106" t="s">
        <v>453</v>
      </c>
      <c r="D1510" s="90" t="s">
        <v>2362</v>
      </c>
      <c r="E1510" s="90" t="str">
        <f>VLOOKUP(B1510&amp;C1510,Divipola!$C$2:$F$1138,4,FALSE)</f>
        <v>52224</v>
      </c>
      <c r="F1510" s="4"/>
      <c r="G1510" s="279"/>
      <c r="H1510" s="279"/>
      <c r="I1510" s="279"/>
      <c r="J1510" s="129">
        <v>110</v>
      </c>
      <c r="K1510" s="129">
        <v>28</v>
      </c>
      <c r="L1510" s="129"/>
      <c r="M1510" s="129">
        <v>1</v>
      </c>
      <c r="N1510" s="101"/>
      <c r="O1510" s="101"/>
      <c r="P1510" s="101"/>
      <c r="Q1510" s="101"/>
      <c r="R1510" s="101"/>
      <c r="S1510" s="101"/>
      <c r="T1510" s="101"/>
      <c r="U1510" s="101"/>
      <c r="V1510" s="101"/>
      <c r="W1510" s="19"/>
      <c r="X1510" s="17"/>
      <c r="Y1510" s="5">
        <f t="shared" si="144"/>
        <v>0</v>
      </c>
      <c r="Z1510" s="5">
        <f t="shared" si="145"/>
        <v>0</v>
      </c>
      <c r="AA1510" s="5">
        <f t="shared" si="146"/>
        <v>0</v>
      </c>
      <c r="AB1510" s="5">
        <f t="shared" si="147"/>
        <v>0</v>
      </c>
      <c r="AC1510" s="5"/>
      <c r="AD1510" s="5">
        <v>0</v>
      </c>
      <c r="AE1510" s="5">
        <f t="shared" si="148"/>
        <v>0</v>
      </c>
      <c r="AF1510" s="70">
        <v>0</v>
      </c>
      <c r="AG1510" s="17"/>
      <c r="AH1510" s="18"/>
      <c r="AI1510" s="109" t="s">
        <v>4336</v>
      </c>
      <c r="AJ1510" s="110" t="s">
        <v>4337</v>
      </c>
      <c r="AK1510" s="45"/>
      <c r="AL1510" s="17"/>
      <c r="AM1510" s="100"/>
      <c r="AN1510" s="19"/>
      <c r="AO1510" s="19"/>
      <c r="AP1510" s="19"/>
      <c r="AQ1510" s="19"/>
      <c r="AR1510" s="19"/>
      <c r="AS1510" s="19"/>
      <c r="AT1510" s="19"/>
      <c r="AU1510" s="19"/>
      <c r="AV1510" s="19"/>
      <c r="AW1510" s="19"/>
      <c r="AX1510" s="107"/>
      <c r="AY1510" s="107"/>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39"/>
      <c r="CO1510" s="138"/>
      <c r="CP1510" s="139"/>
      <c r="CQ1510" s="138"/>
      <c r="CR1510" s="139"/>
      <c r="CS1510" s="138"/>
      <c r="CT1510" s="72"/>
      <c r="CU1510" s="139"/>
      <c r="CV1510" s="99">
        <f t="shared" si="143"/>
        <v>0</v>
      </c>
      <c r="CW1510" s="139"/>
      <c r="CX1510" s="138"/>
      <c r="CY1510" s="138"/>
      <c r="CZ1510" s="138"/>
      <c r="DA1510" s="139"/>
      <c r="DB1510" s="138"/>
      <c r="DC1510" s="45"/>
      <c r="DD1510" s="138"/>
      <c r="DE1510" s="45"/>
      <c r="DF1510" s="46"/>
    </row>
    <row r="1511" spans="1:110" s="42" customFormat="1" x14ac:dyDescent="0.2">
      <c r="A1511" s="89">
        <v>40718</v>
      </c>
      <c r="B1511" s="90" t="s">
        <v>4387</v>
      </c>
      <c r="C1511" s="90" t="s">
        <v>479</v>
      </c>
      <c r="D1511" s="90" t="s">
        <v>2362</v>
      </c>
      <c r="E1511" s="90" t="str">
        <f>VLOOKUP(B1511&amp;C1511,Divipola!$C$2:$F$1138,4,FALSE)</f>
        <v>52352</v>
      </c>
      <c r="F1511" s="4"/>
      <c r="G1511" s="101"/>
      <c r="H1511" s="101"/>
      <c r="I1511" s="101"/>
      <c r="J1511" s="101">
        <v>307</v>
      </c>
      <c r="K1511" s="101">
        <v>77</v>
      </c>
      <c r="L1511" s="101"/>
      <c r="M1511" s="101">
        <v>16</v>
      </c>
      <c r="N1511" s="101"/>
      <c r="O1511" s="101"/>
      <c r="P1511" s="101"/>
      <c r="Q1511" s="101"/>
      <c r="R1511" s="101"/>
      <c r="S1511" s="101"/>
      <c r="T1511" s="101"/>
      <c r="U1511" s="101"/>
      <c r="V1511" s="101">
        <v>594</v>
      </c>
      <c r="W1511" s="19"/>
      <c r="X1511" s="17"/>
      <c r="Y1511" s="5">
        <f t="shared" si="144"/>
        <v>0</v>
      </c>
      <c r="Z1511" s="5">
        <f t="shared" si="145"/>
        <v>0</v>
      </c>
      <c r="AA1511" s="5">
        <f t="shared" si="146"/>
        <v>0</v>
      </c>
      <c r="AB1511" s="5">
        <f t="shared" si="147"/>
        <v>0</v>
      </c>
      <c r="AC1511" s="5"/>
      <c r="AD1511" s="5">
        <v>0</v>
      </c>
      <c r="AE1511" s="5">
        <f t="shared" si="148"/>
        <v>0</v>
      </c>
      <c r="AF1511" s="70">
        <v>0</v>
      </c>
      <c r="AG1511" s="17"/>
      <c r="AH1511" s="18"/>
      <c r="AI1511" s="109" t="s">
        <v>4336</v>
      </c>
      <c r="AJ1511" s="110" t="s">
        <v>4337</v>
      </c>
      <c r="AK1511" s="45"/>
      <c r="AL1511" s="17"/>
      <c r="AM1511" s="100" t="s">
        <v>1150</v>
      </c>
      <c r="AN1511" s="19"/>
      <c r="AO1511" s="19"/>
      <c r="AP1511" s="19"/>
      <c r="AQ1511" s="19"/>
      <c r="AR1511" s="19"/>
      <c r="AS1511" s="19"/>
      <c r="AT1511" s="19"/>
      <c r="AU1511" s="19"/>
      <c r="AV1511" s="19"/>
      <c r="AW1511" s="19"/>
      <c r="AX1511" s="107"/>
      <c r="AY1511" s="107"/>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39"/>
      <c r="CO1511" s="138"/>
      <c r="CP1511" s="139"/>
      <c r="CQ1511" s="138"/>
      <c r="CR1511" s="139"/>
      <c r="CS1511" s="138"/>
      <c r="CT1511" s="72"/>
      <c r="CU1511" s="139"/>
      <c r="CV1511" s="99">
        <f t="shared" si="143"/>
        <v>0</v>
      </c>
      <c r="CW1511" s="139"/>
      <c r="CX1511" s="138"/>
      <c r="CY1511" s="138"/>
      <c r="CZ1511" s="138"/>
      <c r="DA1511" s="139"/>
      <c r="DB1511" s="138"/>
      <c r="DC1511" s="45"/>
      <c r="DD1511" s="138"/>
      <c r="DE1511" s="45"/>
      <c r="DF1511" s="46"/>
    </row>
    <row r="1512" spans="1:110" s="42" customFormat="1" ht="84" x14ac:dyDescent="0.2">
      <c r="A1512" s="89">
        <v>40718</v>
      </c>
      <c r="B1512" s="16" t="s">
        <v>4387</v>
      </c>
      <c r="C1512" s="16" t="s">
        <v>494</v>
      </c>
      <c r="D1512" s="90" t="s">
        <v>4264</v>
      </c>
      <c r="E1512" s="90" t="str">
        <f>VLOOKUP(B1512&amp;C1512,Divipola!$C$2:$F$1138,4,FALSE)</f>
        <v>52390</v>
      </c>
      <c r="F1512" s="4"/>
      <c r="G1512" s="208"/>
      <c r="H1512" s="208"/>
      <c r="I1512" s="208"/>
      <c r="J1512" s="208">
        <v>1400</v>
      </c>
      <c r="K1512" s="208">
        <v>350</v>
      </c>
      <c r="L1512" s="208"/>
      <c r="M1512" s="208">
        <v>350</v>
      </c>
      <c r="N1512" s="208">
        <v>4</v>
      </c>
      <c r="O1512" s="208"/>
      <c r="P1512" s="208"/>
      <c r="Q1512" s="208"/>
      <c r="R1512" s="208">
        <v>1</v>
      </c>
      <c r="S1512" s="208"/>
      <c r="T1512" s="208">
        <v>4</v>
      </c>
      <c r="U1512" s="208"/>
      <c r="V1512" s="208"/>
      <c r="W1512" s="19"/>
      <c r="X1512" s="17"/>
      <c r="Y1512" s="5">
        <f t="shared" si="144"/>
        <v>0</v>
      </c>
      <c r="Z1512" s="5">
        <f t="shared" si="145"/>
        <v>0</v>
      </c>
      <c r="AA1512" s="5">
        <f t="shared" si="146"/>
        <v>0</v>
      </c>
      <c r="AB1512" s="5">
        <f t="shared" si="147"/>
        <v>0</v>
      </c>
      <c r="AC1512" s="5"/>
      <c r="AD1512" s="5">
        <v>0</v>
      </c>
      <c r="AE1512" s="5">
        <f t="shared" si="148"/>
        <v>0</v>
      </c>
      <c r="AF1512" s="70">
        <v>0</v>
      </c>
      <c r="AG1512" s="17"/>
      <c r="AH1512" s="18"/>
      <c r="AI1512" s="109" t="s">
        <v>4336</v>
      </c>
      <c r="AJ1512" s="110" t="s">
        <v>4337</v>
      </c>
      <c r="AK1512" s="45"/>
      <c r="AL1512" s="17"/>
      <c r="AM1512" s="20" t="s">
        <v>1142</v>
      </c>
      <c r="AN1512" s="19"/>
      <c r="AO1512" s="19"/>
      <c r="AP1512" s="19"/>
      <c r="AQ1512" s="19"/>
      <c r="AR1512" s="19"/>
      <c r="AS1512" s="19"/>
      <c r="AT1512" s="19"/>
      <c r="AU1512" s="19"/>
      <c r="AV1512" s="19"/>
      <c r="AW1512" s="19"/>
      <c r="AX1512" s="107"/>
      <c r="AY1512" s="107"/>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39"/>
      <c r="CO1512" s="138"/>
      <c r="CP1512" s="139"/>
      <c r="CQ1512" s="138"/>
      <c r="CR1512" s="139"/>
      <c r="CS1512" s="138"/>
      <c r="CT1512" s="72"/>
      <c r="CU1512" s="139"/>
      <c r="CV1512" s="99">
        <f t="shared" si="143"/>
        <v>0</v>
      </c>
      <c r="CW1512" s="139"/>
      <c r="CX1512" s="138"/>
      <c r="CY1512" s="138"/>
      <c r="CZ1512" s="138"/>
      <c r="DA1512" s="139"/>
      <c r="DB1512" s="138"/>
      <c r="DC1512" s="45"/>
      <c r="DD1512" s="138"/>
      <c r="DE1512" s="45"/>
      <c r="DF1512" s="46"/>
    </row>
    <row r="1513" spans="1:110" s="42" customFormat="1" ht="22.5" x14ac:dyDescent="0.2">
      <c r="A1513" s="89">
        <v>40718</v>
      </c>
      <c r="B1513" s="90" t="s">
        <v>4387</v>
      </c>
      <c r="C1513" s="90" t="s">
        <v>528</v>
      </c>
      <c r="D1513" s="90" t="s">
        <v>2362</v>
      </c>
      <c r="E1513" s="90" t="str">
        <f>VLOOKUP(B1513&amp;C1513,Divipola!$C$2:$F$1138,4,FALSE)</f>
        <v>52694</v>
      </c>
      <c r="F1513" s="4"/>
      <c r="G1513" s="101"/>
      <c r="H1513" s="101"/>
      <c r="I1513" s="101"/>
      <c r="J1513" s="101">
        <v>3311</v>
      </c>
      <c r="K1513" s="101">
        <v>828</v>
      </c>
      <c r="L1513" s="101">
        <v>31</v>
      </c>
      <c r="M1513" s="101">
        <v>422</v>
      </c>
      <c r="N1513" s="101"/>
      <c r="O1513" s="101"/>
      <c r="P1513" s="101"/>
      <c r="Q1513" s="101"/>
      <c r="R1513" s="101"/>
      <c r="S1513" s="101"/>
      <c r="T1513" s="101"/>
      <c r="U1513" s="101"/>
      <c r="V1513" s="101">
        <v>957</v>
      </c>
      <c r="W1513" s="19"/>
      <c r="X1513" s="17"/>
      <c r="Y1513" s="5">
        <f t="shared" si="144"/>
        <v>0</v>
      </c>
      <c r="Z1513" s="5">
        <f t="shared" si="145"/>
        <v>0</v>
      </c>
      <c r="AA1513" s="5">
        <f t="shared" si="146"/>
        <v>0</v>
      </c>
      <c r="AB1513" s="5">
        <f t="shared" si="147"/>
        <v>0</v>
      </c>
      <c r="AC1513" s="5"/>
      <c r="AD1513" s="5">
        <v>0</v>
      </c>
      <c r="AE1513" s="5">
        <f t="shared" si="148"/>
        <v>0</v>
      </c>
      <c r="AF1513" s="70">
        <v>0</v>
      </c>
      <c r="AG1513" s="17"/>
      <c r="AH1513" s="18"/>
      <c r="AI1513" s="109" t="s">
        <v>4336</v>
      </c>
      <c r="AJ1513" s="110" t="s">
        <v>4337</v>
      </c>
      <c r="AK1513" s="45"/>
      <c r="AL1513" s="17"/>
      <c r="AM1513" s="100" t="s">
        <v>1150</v>
      </c>
      <c r="AN1513" s="19"/>
      <c r="AO1513" s="19"/>
      <c r="AP1513" s="19"/>
      <c r="AQ1513" s="19"/>
      <c r="AR1513" s="19"/>
      <c r="AS1513" s="19"/>
      <c r="AT1513" s="19"/>
      <c r="AU1513" s="19"/>
      <c r="AV1513" s="19"/>
      <c r="AW1513" s="19"/>
      <c r="AX1513" s="107"/>
      <c r="AY1513" s="107"/>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39"/>
      <c r="CO1513" s="138"/>
      <c r="CP1513" s="139"/>
      <c r="CQ1513" s="138"/>
      <c r="CR1513" s="139"/>
      <c r="CS1513" s="138"/>
      <c r="CT1513" s="72"/>
      <c r="CU1513" s="139"/>
      <c r="CV1513" s="99">
        <f t="shared" si="143"/>
        <v>0</v>
      </c>
      <c r="CW1513" s="139"/>
      <c r="CX1513" s="138"/>
      <c r="CY1513" s="138"/>
      <c r="CZ1513" s="138"/>
      <c r="DA1513" s="139"/>
      <c r="DB1513" s="138"/>
      <c r="DC1513" s="45"/>
      <c r="DD1513" s="138"/>
      <c r="DE1513" s="45"/>
      <c r="DF1513" s="46"/>
    </row>
    <row r="1514" spans="1:110" s="42" customFormat="1" ht="24" x14ac:dyDescent="0.2">
      <c r="A1514" s="89">
        <v>40718</v>
      </c>
      <c r="B1514" s="106" t="s">
        <v>2226</v>
      </c>
      <c r="C1514" s="106" t="s">
        <v>612</v>
      </c>
      <c r="D1514" s="90" t="s">
        <v>4264</v>
      </c>
      <c r="E1514" s="90" t="str">
        <f>VLOOKUP(B1514&amp;C1514,Divipola!$C$2:$F$1138,4,FALSE)</f>
        <v>68013</v>
      </c>
      <c r="F1514" s="90"/>
      <c r="G1514" s="279"/>
      <c r="H1514" s="279"/>
      <c r="I1514" s="279"/>
      <c r="J1514" s="129">
        <v>220</v>
      </c>
      <c r="K1514" s="129">
        <v>44</v>
      </c>
      <c r="L1514" s="129"/>
      <c r="M1514" s="129">
        <v>44</v>
      </c>
      <c r="N1514" s="129"/>
      <c r="O1514" s="129"/>
      <c r="P1514" s="129"/>
      <c r="Q1514" s="129"/>
      <c r="R1514" s="129"/>
      <c r="S1514" s="129"/>
      <c r="T1514" s="129"/>
      <c r="U1514" s="129"/>
      <c r="V1514" s="129"/>
      <c r="W1514" s="107"/>
      <c r="X1514" s="105"/>
      <c r="Y1514" s="92">
        <f t="shared" si="144"/>
        <v>0</v>
      </c>
      <c r="Z1514" s="92">
        <f t="shared" si="145"/>
        <v>0</v>
      </c>
      <c r="AA1514" s="92">
        <f t="shared" si="146"/>
        <v>0</v>
      </c>
      <c r="AB1514" s="92">
        <f t="shared" si="147"/>
        <v>0</v>
      </c>
      <c r="AC1514" s="92"/>
      <c r="AD1514" s="92">
        <v>0</v>
      </c>
      <c r="AE1514" s="92">
        <f t="shared" si="148"/>
        <v>0</v>
      </c>
      <c r="AF1514" s="93">
        <v>0</v>
      </c>
      <c r="AG1514" s="105"/>
      <c r="AH1514" s="108"/>
      <c r="AI1514" s="109" t="s">
        <v>4336</v>
      </c>
      <c r="AJ1514" s="110" t="s">
        <v>4337</v>
      </c>
      <c r="AK1514" s="280"/>
      <c r="AL1514" s="281"/>
      <c r="AM1514" s="112" t="s">
        <v>1984</v>
      </c>
      <c r="AN1514" s="107"/>
      <c r="AO1514" s="107"/>
      <c r="AP1514" s="107"/>
      <c r="AQ1514" s="107"/>
      <c r="AR1514" s="107"/>
      <c r="AS1514" s="107"/>
      <c r="AT1514" s="107"/>
      <c r="AU1514" s="107"/>
      <c r="AV1514" s="107"/>
      <c r="AW1514" s="107"/>
      <c r="AX1514" s="107"/>
      <c r="AY1514" s="107"/>
      <c r="AZ1514" s="107"/>
      <c r="BA1514" s="107"/>
      <c r="BB1514" s="107"/>
      <c r="BC1514" s="107"/>
      <c r="BD1514" s="107"/>
      <c r="BE1514" s="107"/>
      <c r="BF1514" s="107"/>
      <c r="BG1514" s="107"/>
      <c r="BH1514" s="107"/>
      <c r="BI1514" s="107"/>
      <c r="BJ1514" s="107"/>
      <c r="BK1514" s="107"/>
      <c r="BL1514" s="107"/>
      <c r="BM1514" s="107"/>
      <c r="BN1514" s="107"/>
      <c r="BO1514" s="107"/>
      <c r="BP1514" s="107"/>
      <c r="BQ1514" s="107"/>
      <c r="BR1514" s="107"/>
      <c r="BS1514" s="107"/>
      <c r="BT1514" s="107"/>
      <c r="BU1514" s="107"/>
      <c r="BV1514" s="107"/>
      <c r="BW1514" s="107"/>
      <c r="BX1514" s="107"/>
      <c r="BY1514" s="107"/>
      <c r="BZ1514" s="107"/>
      <c r="CA1514" s="107"/>
      <c r="CB1514" s="107"/>
      <c r="CC1514" s="107"/>
      <c r="CD1514" s="107"/>
      <c r="CE1514" s="107"/>
      <c r="CF1514" s="107"/>
      <c r="CG1514" s="107"/>
      <c r="CH1514" s="107"/>
      <c r="CI1514" s="107"/>
      <c r="CJ1514" s="107"/>
      <c r="CK1514" s="107"/>
      <c r="CL1514" s="107"/>
      <c r="CM1514" s="107"/>
      <c r="CN1514" s="118"/>
      <c r="CO1514" s="119"/>
      <c r="CP1514" s="118"/>
      <c r="CQ1514" s="119"/>
      <c r="CR1514" s="118"/>
      <c r="CS1514" s="119"/>
      <c r="CT1514" s="113"/>
      <c r="CU1514" s="118"/>
      <c r="CV1514" s="99">
        <f t="shared" si="143"/>
        <v>0</v>
      </c>
      <c r="CW1514" s="118"/>
      <c r="CX1514" s="119"/>
      <c r="CY1514" s="119"/>
      <c r="CZ1514" s="119"/>
      <c r="DA1514" s="118"/>
      <c r="DB1514" s="119"/>
      <c r="DC1514" s="111"/>
      <c r="DD1514" s="119"/>
      <c r="DE1514" s="111"/>
      <c r="DF1514" s="46"/>
    </row>
    <row r="1515" spans="1:110" s="42" customFormat="1" ht="144" x14ac:dyDescent="0.2">
      <c r="A1515" s="89">
        <v>40718</v>
      </c>
      <c r="B1515" s="106" t="s">
        <v>2226</v>
      </c>
      <c r="C1515" s="106" t="s">
        <v>1428</v>
      </c>
      <c r="D1515" s="106" t="s">
        <v>3346</v>
      </c>
      <c r="E1515" s="90" t="str">
        <f>VLOOKUP(B1515&amp;C1515,Divipola!$C$2:$F$1138,4,FALSE)</f>
        <v>68020</v>
      </c>
      <c r="F1515" s="90"/>
      <c r="G1515" s="279"/>
      <c r="H1515" s="279"/>
      <c r="I1515" s="279"/>
      <c r="J1515" s="129">
        <v>765</v>
      </c>
      <c r="K1515" s="129">
        <v>153</v>
      </c>
      <c r="L1515" s="129"/>
      <c r="M1515" s="129">
        <v>153</v>
      </c>
      <c r="N1515" s="129">
        <v>3</v>
      </c>
      <c r="O1515" s="129">
        <v>1</v>
      </c>
      <c r="P1515" s="129"/>
      <c r="Q1515" s="129"/>
      <c r="R1515" s="129"/>
      <c r="S1515" s="129"/>
      <c r="T1515" s="129"/>
      <c r="U1515" s="129"/>
      <c r="V1515" s="129"/>
      <c r="W1515" s="107"/>
      <c r="X1515" s="105"/>
      <c r="Y1515" s="92">
        <f t="shared" si="144"/>
        <v>0</v>
      </c>
      <c r="Z1515" s="92">
        <f t="shared" si="145"/>
        <v>0</v>
      </c>
      <c r="AA1515" s="92">
        <f t="shared" si="146"/>
        <v>0</v>
      </c>
      <c r="AB1515" s="92">
        <f t="shared" si="147"/>
        <v>0</v>
      </c>
      <c r="AC1515" s="143">
        <f>350*14384+350*17771.2+350*24986.4</f>
        <v>19999560</v>
      </c>
      <c r="AD1515" s="92">
        <v>20000000</v>
      </c>
      <c r="AE1515" s="92">
        <f t="shared" si="148"/>
        <v>39999560</v>
      </c>
      <c r="AF1515" s="93">
        <v>0</v>
      </c>
      <c r="AG1515" s="105"/>
      <c r="AH1515" s="108"/>
      <c r="AI1515" s="95" t="s">
        <v>4346</v>
      </c>
      <c r="AJ1515" s="96" t="s">
        <v>4347</v>
      </c>
      <c r="AK1515" s="280"/>
      <c r="AL1515" s="281"/>
      <c r="AM1515" s="112" t="s">
        <v>0</v>
      </c>
      <c r="AN1515" s="107"/>
      <c r="AO1515" s="107"/>
      <c r="AP1515" s="107"/>
      <c r="AQ1515" s="107"/>
      <c r="AR1515" s="107"/>
      <c r="AS1515" s="107"/>
      <c r="AT1515" s="107"/>
      <c r="AU1515" s="107"/>
      <c r="AV1515" s="107"/>
      <c r="AW1515" s="107"/>
      <c r="AX1515" s="107"/>
      <c r="AY1515" s="107"/>
      <c r="AZ1515" s="107"/>
      <c r="BA1515" s="107"/>
      <c r="BB1515" s="107"/>
      <c r="BC1515" s="107"/>
      <c r="BD1515" s="107"/>
      <c r="BE1515" s="107"/>
      <c r="BF1515" s="107"/>
      <c r="BG1515" s="107"/>
      <c r="BH1515" s="107"/>
      <c r="BI1515" s="107"/>
      <c r="BJ1515" s="107"/>
      <c r="BK1515" s="107"/>
      <c r="BL1515" s="107"/>
      <c r="BM1515" s="107"/>
      <c r="BN1515" s="107"/>
      <c r="BO1515" s="107"/>
      <c r="BP1515" s="107"/>
      <c r="BQ1515" s="107"/>
      <c r="BR1515" s="107"/>
      <c r="BS1515" s="107"/>
      <c r="BT1515" s="107"/>
      <c r="BU1515" s="107"/>
      <c r="BV1515" s="107"/>
      <c r="BW1515" s="107"/>
      <c r="BX1515" s="107"/>
      <c r="BY1515" s="107"/>
      <c r="BZ1515" s="107"/>
      <c r="CA1515" s="107"/>
      <c r="CB1515" s="107"/>
      <c r="CC1515" s="107"/>
      <c r="CD1515" s="107"/>
      <c r="CE1515" s="107"/>
      <c r="CF1515" s="107"/>
      <c r="CG1515" s="107"/>
      <c r="CH1515" s="107"/>
      <c r="CI1515" s="107"/>
      <c r="CJ1515" s="107"/>
      <c r="CK1515" s="107"/>
      <c r="CL1515" s="107"/>
      <c r="CM1515" s="107"/>
      <c r="CN1515" s="118"/>
      <c r="CO1515" s="119"/>
      <c r="CP1515" s="118"/>
      <c r="CQ1515" s="119"/>
      <c r="CR1515" s="118"/>
      <c r="CS1515" s="119"/>
      <c r="CT1515" s="113"/>
      <c r="CU1515" s="118"/>
      <c r="CV1515" s="99">
        <f t="shared" si="143"/>
        <v>0</v>
      </c>
      <c r="CW1515" s="118"/>
      <c r="CX1515" s="119"/>
      <c r="CY1515" s="119"/>
      <c r="CZ1515" s="119"/>
      <c r="DA1515" s="118"/>
      <c r="DB1515" s="119"/>
      <c r="DC1515" s="111"/>
      <c r="DD1515" s="119"/>
      <c r="DE1515" s="111"/>
      <c r="DF1515" s="46"/>
    </row>
    <row r="1516" spans="1:110" s="42" customFormat="1" ht="180" x14ac:dyDescent="0.2">
      <c r="A1516" s="89">
        <v>40718</v>
      </c>
      <c r="B1516" s="106" t="s">
        <v>2226</v>
      </c>
      <c r="C1516" s="106" t="s">
        <v>615</v>
      </c>
      <c r="D1516" s="90" t="s">
        <v>4264</v>
      </c>
      <c r="E1516" s="90" t="str">
        <f>VLOOKUP(B1516&amp;C1516,Divipola!$C$2:$F$1138,4,FALSE)</f>
        <v>68051</v>
      </c>
      <c r="F1516" s="90"/>
      <c r="G1516" s="279"/>
      <c r="H1516" s="279"/>
      <c r="I1516" s="279"/>
      <c r="J1516" s="129">
        <f>227*5</f>
        <v>1135</v>
      </c>
      <c r="K1516" s="129">
        <f>252-25</f>
        <v>227</v>
      </c>
      <c r="L1516" s="129"/>
      <c r="M1516" s="129">
        <v>227</v>
      </c>
      <c r="N1516" s="129"/>
      <c r="O1516" s="129"/>
      <c r="P1516" s="129"/>
      <c r="Q1516" s="129"/>
      <c r="R1516" s="129"/>
      <c r="S1516" s="129"/>
      <c r="T1516" s="129"/>
      <c r="U1516" s="129"/>
      <c r="V1516" s="129"/>
      <c r="W1516" s="107"/>
      <c r="X1516" s="105"/>
      <c r="Y1516" s="92">
        <f t="shared" si="144"/>
        <v>0</v>
      </c>
      <c r="Z1516" s="92">
        <f t="shared" si="145"/>
        <v>0</v>
      </c>
      <c r="AA1516" s="92">
        <f t="shared" si="146"/>
        <v>0</v>
      </c>
      <c r="AB1516" s="92">
        <f t="shared" si="147"/>
        <v>0</v>
      </c>
      <c r="AC1516" s="143">
        <f>100*16889.6+250*14384+25*19836+15*77956+10*55564+40*220400</f>
        <v>16321840</v>
      </c>
      <c r="AD1516" s="92">
        <v>10000000</v>
      </c>
      <c r="AE1516" s="92">
        <f t="shared" si="148"/>
        <v>26321840</v>
      </c>
      <c r="AF1516" s="93">
        <v>0</v>
      </c>
      <c r="AG1516" s="105"/>
      <c r="AH1516" s="108"/>
      <c r="AI1516" s="95" t="s">
        <v>4346</v>
      </c>
      <c r="AJ1516" s="96" t="s">
        <v>4347</v>
      </c>
      <c r="AK1516" s="280"/>
      <c r="AL1516" s="281"/>
      <c r="AM1516" s="132" t="s">
        <v>2295</v>
      </c>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c r="BJ1516" s="107"/>
      <c r="BK1516" s="107"/>
      <c r="BL1516" s="107"/>
      <c r="BM1516" s="107"/>
      <c r="BN1516" s="107"/>
      <c r="BO1516" s="107"/>
      <c r="BP1516" s="107"/>
      <c r="BQ1516" s="107"/>
      <c r="BR1516" s="107"/>
      <c r="BS1516" s="107"/>
      <c r="BT1516" s="107"/>
      <c r="BU1516" s="107"/>
      <c r="BV1516" s="107"/>
      <c r="BW1516" s="107"/>
      <c r="BX1516" s="107"/>
      <c r="BY1516" s="107"/>
      <c r="BZ1516" s="107"/>
      <c r="CA1516" s="107"/>
      <c r="CB1516" s="107"/>
      <c r="CC1516" s="107"/>
      <c r="CD1516" s="107"/>
      <c r="CE1516" s="107"/>
      <c r="CF1516" s="107"/>
      <c r="CG1516" s="107"/>
      <c r="CH1516" s="107"/>
      <c r="CI1516" s="107"/>
      <c r="CJ1516" s="107"/>
      <c r="CK1516" s="107"/>
      <c r="CL1516" s="107"/>
      <c r="CM1516" s="107"/>
      <c r="CN1516" s="118"/>
      <c r="CO1516" s="119"/>
      <c r="CP1516" s="118"/>
      <c r="CQ1516" s="119"/>
      <c r="CR1516" s="118"/>
      <c r="CS1516" s="119"/>
      <c r="CT1516" s="113"/>
      <c r="CU1516" s="118"/>
      <c r="CV1516" s="99">
        <f t="shared" si="143"/>
        <v>0</v>
      </c>
      <c r="CW1516" s="118"/>
      <c r="CX1516" s="119"/>
      <c r="CY1516" s="119"/>
      <c r="CZ1516" s="119"/>
      <c r="DA1516" s="118"/>
      <c r="DB1516" s="119"/>
      <c r="DC1516" s="111"/>
      <c r="DD1516" s="119"/>
      <c r="DE1516" s="111"/>
      <c r="DF1516" s="46"/>
    </row>
    <row r="1517" spans="1:110" s="42" customFormat="1" ht="24" x14ac:dyDescent="0.2">
      <c r="A1517" s="89">
        <v>40718</v>
      </c>
      <c r="B1517" s="106" t="s">
        <v>2226</v>
      </c>
      <c r="C1517" s="106" t="s">
        <v>618</v>
      </c>
      <c r="D1517" s="106" t="s">
        <v>3346</v>
      </c>
      <c r="E1517" s="90" t="str">
        <f>VLOOKUP(B1517&amp;C1517,Divipola!$C$2:$F$1138,4,FALSE)</f>
        <v>68079</v>
      </c>
      <c r="F1517" s="90"/>
      <c r="G1517" s="279"/>
      <c r="H1517" s="279"/>
      <c r="I1517" s="279"/>
      <c r="J1517" s="129">
        <v>105</v>
      </c>
      <c r="K1517" s="129">
        <v>21</v>
      </c>
      <c r="L1517" s="129"/>
      <c r="M1517" s="129">
        <v>21</v>
      </c>
      <c r="N1517" s="129"/>
      <c r="O1517" s="129"/>
      <c r="P1517" s="129"/>
      <c r="Q1517" s="129"/>
      <c r="R1517" s="129"/>
      <c r="S1517" s="129"/>
      <c r="T1517" s="129"/>
      <c r="U1517" s="129"/>
      <c r="V1517" s="129"/>
      <c r="W1517" s="107"/>
      <c r="X1517" s="105"/>
      <c r="Y1517" s="92">
        <f t="shared" si="144"/>
        <v>0</v>
      </c>
      <c r="Z1517" s="92">
        <f t="shared" si="145"/>
        <v>0</v>
      </c>
      <c r="AA1517" s="92">
        <f t="shared" si="146"/>
        <v>0</v>
      </c>
      <c r="AB1517" s="92">
        <f t="shared" si="147"/>
        <v>0</v>
      </c>
      <c r="AC1517" s="92"/>
      <c r="AD1517" s="92">
        <v>0</v>
      </c>
      <c r="AE1517" s="92">
        <f t="shared" si="148"/>
        <v>0</v>
      </c>
      <c r="AF1517" s="93">
        <v>0</v>
      </c>
      <c r="AG1517" s="105"/>
      <c r="AH1517" s="108"/>
      <c r="AI1517" s="109" t="s">
        <v>4336</v>
      </c>
      <c r="AJ1517" s="110" t="s">
        <v>4337</v>
      </c>
      <c r="AK1517" s="280"/>
      <c r="AL1517" s="281"/>
      <c r="AM1517" s="112" t="s">
        <v>1984</v>
      </c>
      <c r="AN1517" s="107"/>
      <c r="AO1517" s="107"/>
      <c r="AP1517" s="107"/>
      <c r="AQ1517" s="107"/>
      <c r="AR1517" s="107"/>
      <c r="AS1517" s="107"/>
      <c r="AT1517" s="107"/>
      <c r="AU1517" s="107"/>
      <c r="AV1517" s="107"/>
      <c r="AW1517" s="107"/>
      <c r="AX1517" s="107"/>
      <c r="AY1517" s="107"/>
      <c r="AZ1517" s="107"/>
      <c r="BA1517" s="107"/>
      <c r="BB1517" s="107"/>
      <c r="BC1517" s="107"/>
      <c r="BD1517" s="107"/>
      <c r="BE1517" s="107"/>
      <c r="BF1517" s="107"/>
      <c r="BG1517" s="107"/>
      <c r="BH1517" s="107"/>
      <c r="BI1517" s="107"/>
      <c r="BJ1517" s="107"/>
      <c r="BK1517" s="107"/>
      <c r="BL1517" s="107"/>
      <c r="BM1517" s="107"/>
      <c r="BN1517" s="107"/>
      <c r="BO1517" s="107"/>
      <c r="BP1517" s="107"/>
      <c r="BQ1517" s="107"/>
      <c r="BR1517" s="107"/>
      <c r="BS1517" s="107"/>
      <c r="BT1517" s="107"/>
      <c r="BU1517" s="107"/>
      <c r="BV1517" s="107"/>
      <c r="BW1517" s="107"/>
      <c r="BX1517" s="107"/>
      <c r="BY1517" s="107"/>
      <c r="BZ1517" s="107"/>
      <c r="CA1517" s="107"/>
      <c r="CB1517" s="107"/>
      <c r="CC1517" s="107"/>
      <c r="CD1517" s="107"/>
      <c r="CE1517" s="107"/>
      <c r="CF1517" s="107"/>
      <c r="CG1517" s="107"/>
      <c r="CH1517" s="107"/>
      <c r="CI1517" s="107"/>
      <c r="CJ1517" s="107"/>
      <c r="CK1517" s="107"/>
      <c r="CL1517" s="107"/>
      <c r="CM1517" s="107"/>
      <c r="CN1517" s="118"/>
      <c r="CO1517" s="119"/>
      <c r="CP1517" s="118"/>
      <c r="CQ1517" s="119"/>
      <c r="CR1517" s="118"/>
      <c r="CS1517" s="119"/>
      <c r="CT1517" s="113"/>
      <c r="CU1517" s="118"/>
      <c r="CV1517" s="99">
        <f t="shared" si="143"/>
        <v>0</v>
      </c>
      <c r="CW1517" s="118"/>
      <c r="CX1517" s="119"/>
      <c r="CY1517" s="119"/>
      <c r="CZ1517" s="119"/>
      <c r="DA1517" s="118"/>
      <c r="DB1517" s="119"/>
      <c r="DC1517" s="111"/>
      <c r="DD1517" s="119"/>
      <c r="DE1517" s="111"/>
      <c r="DF1517" s="46"/>
    </row>
    <row r="1518" spans="1:110" s="42" customFormat="1" ht="22.5" x14ac:dyDescent="0.2">
      <c r="A1518" s="89">
        <v>40718</v>
      </c>
      <c r="B1518" s="90" t="s">
        <v>2226</v>
      </c>
      <c r="C1518" s="90" t="s">
        <v>4352</v>
      </c>
      <c r="D1518" s="90" t="s">
        <v>4264</v>
      </c>
      <c r="E1518" s="90" t="str">
        <f>VLOOKUP(B1518&amp;C1518,Divipola!$C$2:$F$1138,4,FALSE)</f>
        <v>68101</v>
      </c>
      <c r="F1518" s="90"/>
      <c r="G1518" s="124"/>
      <c r="H1518" s="124"/>
      <c r="I1518" s="308"/>
      <c r="J1518" s="124">
        <v>2155</v>
      </c>
      <c r="K1518" s="124">
        <v>431</v>
      </c>
      <c r="L1518" s="124"/>
      <c r="M1518" s="124">
        <v>431</v>
      </c>
      <c r="N1518" s="129"/>
      <c r="O1518" s="129"/>
      <c r="P1518" s="129"/>
      <c r="Q1518" s="129"/>
      <c r="R1518" s="129"/>
      <c r="S1518" s="129"/>
      <c r="T1518" s="129"/>
      <c r="U1518" s="129"/>
      <c r="V1518" s="129"/>
      <c r="W1518" s="107"/>
      <c r="X1518" s="105"/>
      <c r="Y1518" s="92">
        <f t="shared" si="144"/>
        <v>0</v>
      </c>
      <c r="Z1518" s="92">
        <f t="shared" si="145"/>
        <v>0</v>
      </c>
      <c r="AA1518" s="92">
        <f t="shared" si="146"/>
        <v>0</v>
      </c>
      <c r="AB1518" s="92">
        <f t="shared" si="147"/>
        <v>0</v>
      </c>
      <c r="AC1518" s="92"/>
      <c r="AD1518" s="92">
        <v>0</v>
      </c>
      <c r="AE1518" s="92">
        <f t="shared" si="148"/>
        <v>0</v>
      </c>
      <c r="AF1518" s="93">
        <v>0</v>
      </c>
      <c r="AG1518" s="105"/>
      <c r="AH1518" s="108"/>
      <c r="AI1518" s="109" t="s">
        <v>4336</v>
      </c>
      <c r="AJ1518" s="110" t="s">
        <v>4337</v>
      </c>
      <c r="AK1518" s="280"/>
      <c r="AL1518" s="281"/>
      <c r="AM1518" s="128" t="s">
        <v>1984</v>
      </c>
      <c r="AN1518" s="107"/>
      <c r="AO1518" s="107"/>
      <c r="AP1518" s="107"/>
      <c r="AQ1518" s="107"/>
      <c r="AR1518" s="107"/>
      <c r="AS1518" s="107"/>
      <c r="AT1518" s="107"/>
      <c r="AU1518" s="107"/>
      <c r="AV1518" s="107"/>
      <c r="AW1518" s="107"/>
      <c r="AX1518" s="107"/>
      <c r="AY1518" s="107"/>
      <c r="AZ1518" s="107"/>
      <c r="BA1518" s="107"/>
      <c r="BB1518" s="107"/>
      <c r="BC1518" s="107"/>
      <c r="BD1518" s="107"/>
      <c r="BE1518" s="107"/>
      <c r="BF1518" s="107"/>
      <c r="BG1518" s="107"/>
      <c r="BH1518" s="107"/>
      <c r="BI1518" s="107"/>
      <c r="BJ1518" s="107"/>
      <c r="BK1518" s="107"/>
      <c r="BL1518" s="107"/>
      <c r="BM1518" s="107"/>
      <c r="BN1518" s="107"/>
      <c r="BO1518" s="107"/>
      <c r="BP1518" s="107"/>
      <c r="BQ1518" s="107"/>
      <c r="BR1518" s="107"/>
      <c r="BS1518" s="107"/>
      <c r="BT1518" s="107"/>
      <c r="BU1518" s="107"/>
      <c r="BV1518" s="107"/>
      <c r="BW1518" s="107"/>
      <c r="BX1518" s="107"/>
      <c r="BY1518" s="107"/>
      <c r="BZ1518" s="107"/>
      <c r="CA1518" s="107"/>
      <c r="CB1518" s="107"/>
      <c r="CC1518" s="107"/>
      <c r="CD1518" s="107"/>
      <c r="CE1518" s="107"/>
      <c r="CF1518" s="107"/>
      <c r="CG1518" s="107"/>
      <c r="CH1518" s="107"/>
      <c r="CI1518" s="107"/>
      <c r="CJ1518" s="107"/>
      <c r="CK1518" s="107"/>
      <c r="CL1518" s="107"/>
      <c r="CM1518" s="107"/>
      <c r="CN1518" s="118"/>
      <c r="CO1518" s="119"/>
      <c r="CP1518" s="118"/>
      <c r="CQ1518" s="119"/>
      <c r="CR1518" s="118"/>
      <c r="CS1518" s="119"/>
      <c r="CT1518" s="113"/>
      <c r="CU1518" s="118"/>
      <c r="CV1518" s="99">
        <f t="shared" si="143"/>
        <v>0</v>
      </c>
      <c r="CW1518" s="118"/>
      <c r="CX1518" s="119"/>
      <c r="CY1518" s="119"/>
      <c r="CZ1518" s="119"/>
      <c r="DA1518" s="118"/>
      <c r="DB1518" s="119"/>
      <c r="DC1518" s="111"/>
      <c r="DD1518" s="119"/>
      <c r="DE1518" s="111"/>
      <c r="DF1518" s="46"/>
    </row>
    <row r="1519" spans="1:110" s="42" customFormat="1" ht="24" x14ac:dyDescent="0.2">
      <c r="A1519" s="89">
        <v>40718</v>
      </c>
      <c r="B1519" s="106" t="s">
        <v>2226</v>
      </c>
      <c r="C1519" s="106" t="s">
        <v>4232</v>
      </c>
      <c r="D1519" s="90" t="s">
        <v>2362</v>
      </c>
      <c r="E1519" s="90" t="str">
        <f>VLOOKUP(B1519&amp;C1519,Divipola!$C$2:$F$1138,4,FALSE)</f>
        <v>68001</v>
      </c>
      <c r="F1519" s="90"/>
      <c r="G1519" s="279"/>
      <c r="H1519" s="279"/>
      <c r="I1519" s="279"/>
      <c r="J1519" s="129">
        <v>2995</v>
      </c>
      <c r="K1519" s="129">
        <v>599</v>
      </c>
      <c r="L1519" s="129"/>
      <c r="M1519" s="129">
        <v>599</v>
      </c>
      <c r="N1519" s="129"/>
      <c r="O1519" s="129"/>
      <c r="P1519" s="129"/>
      <c r="Q1519" s="129"/>
      <c r="R1519" s="129"/>
      <c r="S1519" s="129"/>
      <c r="T1519" s="129"/>
      <c r="U1519" s="129"/>
      <c r="V1519" s="129"/>
      <c r="W1519" s="107"/>
      <c r="X1519" s="105"/>
      <c r="Y1519" s="92">
        <f t="shared" si="144"/>
        <v>0</v>
      </c>
      <c r="Z1519" s="92">
        <f t="shared" si="145"/>
        <v>0</v>
      </c>
      <c r="AA1519" s="92">
        <f t="shared" si="146"/>
        <v>0</v>
      </c>
      <c r="AB1519" s="92">
        <f t="shared" si="147"/>
        <v>0</v>
      </c>
      <c r="AC1519" s="92"/>
      <c r="AD1519" s="92">
        <v>0</v>
      </c>
      <c r="AE1519" s="92">
        <f t="shared" si="148"/>
        <v>0</v>
      </c>
      <c r="AF1519" s="93">
        <v>0</v>
      </c>
      <c r="AG1519" s="105"/>
      <c r="AH1519" s="108"/>
      <c r="AI1519" s="109" t="s">
        <v>4336</v>
      </c>
      <c r="AJ1519" s="110" t="s">
        <v>4337</v>
      </c>
      <c r="AK1519" s="280"/>
      <c r="AL1519" s="281"/>
      <c r="AM1519" s="112" t="s">
        <v>1984</v>
      </c>
      <c r="AN1519" s="107"/>
      <c r="AO1519" s="107"/>
      <c r="AP1519" s="107"/>
      <c r="AQ1519" s="107"/>
      <c r="AR1519" s="107"/>
      <c r="AS1519" s="107"/>
      <c r="AT1519" s="107"/>
      <c r="AU1519" s="107"/>
      <c r="AV1519" s="107"/>
      <c r="AW1519" s="107"/>
      <c r="AX1519" s="107"/>
      <c r="AY1519" s="107"/>
      <c r="AZ1519" s="107"/>
      <c r="BA1519" s="107"/>
      <c r="BB1519" s="107"/>
      <c r="BC1519" s="107"/>
      <c r="BD1519" s="107"/>
      <c r="BE1519" s="107"/>
      <c r="BF1519" s="107"/>
      <c r="BG1519" s="107"/>
      <c r="BH1519" s="107"/>
      <c r="BI1519" s="107"/>
      <c r="BJ1519" s="107"/>
      <c r="BK1519" s="107"/>
      <c r="BL1519" s="107"/>
      <c r="BM1519" s="107"/>
      <c r="BN1519" s="107"/>
      <c r="BO1519" s="107"/>
      <c r="BP1519" s="107"/>
      <c r="BQ1519" s="107"/>
      <c r="BR1519" s="107"/>
      <c r="BS1519" s="107"/>
      <c r="BT1519" s="107"/>
      <c r="BU1519" s="107"/>
      <c r="BV1519" s="107"/>
      <c r="BW1519" s="107"/>
      <c r="BX1519" s="107"/>
      <c r="BY1519" s="107"/>
      <c r="BZ1519" s="107"/>
      <c r="CA1519" s="107"/>
      <c r="CB1519" s="107"/>
      <c r="CC1519" s="107"/>
      <c r="CD1519" s="107"/>
      <c r="CE1519" s="107"/>
      <c r="CF1519" s="107"/>
      <c r="CG1519" s="107"/>
      <c r="CH1519" s="107"/>
      <c r="CI1519" s="107"/>
      <c r="CJ1519" s="107"/>
      <c r="CK1519" s="107"/>
      <c r="CL1519" s="107"/>
      <c r="CM1519" s="107"/>
      <c r="CN1519" s="118"/>
      <c r="CO1519" s="119"/>
      <c r="CP1519" s="118"/>
      <c r="CQ1519" s="119"/>
      <c r="CR1519" s="118"/>
      <c r="CS1519" s="119"/>
      <c r="CT1519" s="113"/>
      <c r="CU1519" s="118"/>
      <c r="CV1519" s="99">
        <f t="shared" si="143"/>
        <v>0</v>
      </c>
      <c r="CW1519" s="118"/>
      <c r="CX1519" s="119"/>
      <c r="CY1519" s="119"/>
      <c r="CZ1519" s="119"/>
      <c r="DA1519" s="118"/>
      <c r="DB1519" s="119"/>
      <c r="DC1519" s="111"/>
      <c r="DD1519" s="119"/>
      <c r="DE1519" s="111"/>
      <c r="DF1519" s="46"/>
    </row>
    <row r="1520" spans="1:110" s="42" customFormat="1" ht="24" x14ac:dyDescent="0.2">
      <c r="A1520" s="89">
        <v>40718</v>
      </c>
      <c r="B1520" s="90" t="s">
        <v>2226</v>
      </c>
      <c r="C1520" s="90" t="s">
        <v>631</v>
      </c>
      <c r="D1520" s="90" t="s">
        <v>4264</v>
      </c>
      <c r="E1520" s="90" t="str">
        <f>VLOOKUP(B1520&amp;C1520,Divipola!$C$2:$F$1138,4,FALSE)</f>
        <v>68160</v>
      </c>
      <c r="F1520" s="90"/>
      <c r="G1520" s="279"/>
      <c r="H1520" s="279"/>
      <c r="I1520" s="279"/>
      <c r="J1520" s="129">
        <v>1030</v>
      </c>
      <c r="K1520" s="129">
        <v>206</v>
      </c>
      <c r="L1520" s="129"/>
      <c r="M1520" s="129">
        <v>206</v>
      </c>
      <c r="N1520" s="129"/>
      <c r="O1520" s="129"/>
      <c r="P1520" s="129"/>
      <c r="Q1520" s="129"/>
      <c r="R1520" s="129"/>
      <c r="S1520" s="129"/>
      <c r="T1520" s="129"/>
      <c r="U1520" s="129"/>
      <c r="V1520" s="129"/>
      <c r="W1520" s="107"/>
      <c r="X1520" s="105"/>
      <c r="Y1520" s="92">
        <f t="shared" si="144"/>
        <v>0</v>
      </c>
      <c r="Z1520" s="92">
        <f t="shared" si="145"/>
        <v>0</v>
      </c>
      <c r="AA1520" s="92">
        <f t="shared" si="146"/>
        <v>0</v>
      </c>
      <c r="AB1520" s="92">
        <f t="shared" si="147"/>
        <v>0</v>
      </c>
      <c r="AC1520" s="92"/>
      <c r="AD1520" s="92">
        <v>0</v>
      </c>
      <c r="AE1520" s="92">
        <f t="shared" si="148"/>
        <v>0</v>
      </c>
      <c r="AF1520" s="93">
        <v>0</v>
      </c>
      <c r="AG1520" s="105"/>
      <c r="AH1520" s="108"/>
      <c r="AI1520" s="109" t="s">
        <v>4336</v>
      </c>
      <c r="AJ1520" s="110" t="s">
        <v>4337</v>
      </c>
      <c r="AK1520" s="280"/>
      <c r="AL1520" s="281"/>
      <c r="AM1520" s="100" t="s">
        <v>1984</v>
      </c>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c r="BJ1520" s="107"/>
      <c r="BK1520" s="107"/>
      <c r="BL1520" s="107"/>
      <c r="BM1520" s="107"/>
      <c r="BN1520" s="107"/>
      <c r="BO1520" s="107"/>
      <c r="BP1520" s="107"/>
      <c r="BQ1520" s="107"/>
      <c r="BR1520" s="107"/>
      <c r="BS1520" s="107"/>
      <c r="BT1520" s="107"/>
      <c r="BU1520" s="107"/>
      <c r="BV1520" s="107"/>
      <c r="BW1520" s="107"/>
      <c r="BX1520" s="107"/>
      <c r="BY1520" s="107"/>
      <c r="BZ1520" s="107"/>
      <c r="CA1520" s="107"/>
      <c r="CB1520" s="107"/>
      <c r="CC1520" s="107"/>
      <c r="CD1520" s="107"/>
      <c r="CE1520" s="107"/>
      <c r="CF1520" s="107"/>
      <c r="CG1520" s="107"/>
      <c r="CH1520" s="107"/>
      <c r="CI1520" s="107"/>
      <c r="CJ1520" s="107"/>
      <c r="CK1520" s="107"/>
      <c r="CL1520" s="107"/>
      <c r="CM1520" s="107"/>
      <c r="CN1520" s="118"/>
      <c r="CO1520" s="119"/>
      <c r="CP1520" s="118"/>
      <c r="CQ1520" s="119"/>
      <c r="CR1520" s="118"/>
      <c r="CS1520" s="119"/>
      <c r="CT1520" s="113"/>
      <c r="CU1520" s="118"/>
      <c r="CV1520" s="99">
        <f t="shared" si="143"/>
        <v>0</v>
      </c>
      <c r="CW1520" s="118"/>
      <c r="CX1520" s="119"/>
      <c r="CY1520" s="119"/>
      <c r="CZ1520" s="119"/>
      <c r="DA1520" s="118"/>
      <c r="DB1520" s="119"/>
      <c r="DC1520" s="111"/>
      <c r="DD1520" s="119"/>
      <c r="DE1520" s="111"/>
      <c r="DF1520" s="46"/>
    </row>
    <row r="1521" spans="1:110" s="42" customFormat="1" ht="24" x14ac:dyDescent="0.2">
      <c r="A1521" s="89">
        <v>40718</v>
      </c>
      <c r="B1521" s="106" t="s">
        <v>2226</v>
      </c>
      <c r="C1521" s="106" t="s">
        <v>635</v>
      </c>
      <c r="D1521" s="90" t="s">
        <v>4264</v>
      </c>
      <c r="E1521" s="90" t="str">
        <f>VLOOKUP(B1521&amp;C1521,Divipola!$C$2:$F$1138,4,FALSE)</f>
        <v>68167</v>
      </c>
      <c r="F1521" s="90"/>
      <c r="G1521" s="279"/>
      <c r="H1521" s="279"/>
      <c r="I1521" s="279"/>
      <c r="J1521" s="129">
        <v>600</v>
      </c>
      <c r="K1521" s="129">
        <v>120</v>
      </c>
      <c r="L1521" s="129"/>
      <c r="M1521" s="129">
        <v>120</v>
      </c>
      <c r="N1521" s="129"/>
      <c r="O1521" s="129"/>
      <c r="P1521" s="129"/>
      <c r="Q1521" s="129"/>
      <c r="R1521" s="129"/>
      <c r="S1521" s="129"/>
      <c r="T1521" s="129"/>
      <c r="U1521" s="129"/>
      <c r="V1521" s="129"/>
      <c r="W1521" s="107"/>
      <c r="X1521" s="105"/>
      <c r="Y1521" s="92">
        <f t="shared" si="144"/>
        <v>0</v>
      </c>
      <c r="Z1521" s="92">
        <f t="shared" si="145"/>
        <v>0</v>
      </c>
      <c r="AA1521" s="92">
        <f t="shared" si="146"/>
        <v>0</v>
      </c>
      <c r="AB1521" s="92">
        <f t="shared" si="147"/>
        <v>0</v>
      </c>
      <c r="AC1521" s="92"/>
      <c r="AD1521" s="92">
        <v>0</v>
      </c>
      <c r="AE1521" s="92">
        <f t="shared" si="148"/>
        <v>0</v>
      </c>
      <c r="AF1521" s="93">
        <v>0</v>
      </c>
      <c r="AG1521" s="105"/>
      <c r="AH1521" s="108"/>
      <c r="AI1521" s="109" t="s">
        <v>4336</v>
      </c>
      <c r="AJ1521" s="110" t="s">
        <v>4337</v>
      </c>
      <c r="AK1521" s="280"/>
      <c r="AL1521" s="281"/>
      <c r="AM1521" s="112" t="s">
        <v>1984</v>
      </c>
      <c r="AN1521" s="107"/>
      <c r="AO1521" s="107"/>
      <c r="AP1521" s="107"/>
      <c r="AQ1521" s="107"/>
      <c r="AR1521" s="107"/>
      <c r="AS1521" s="107"/>
      <c r="AT1521" s="107"/>
      <c r="AU1521" s="107"/>
      <c r="AV1521" s="107"/>
      <c r="AW1521" s="107"/>
      <c r="AX1521" s="107"/>
      <c r="AY1521" s="107"/>
      <c r="AZ1521" s="107"/>
      <c r="BA1521" s="107"/>
      <c r="BB1521" s="107"/>
      <c r="BC1521" s="107"/>
      <c r="BD1521" s="107"/>
      <c r="BE1521" s="107"/>
      <c r="BF1521" s="107"/>
      <c r="BG1521" s="107"/>
      <c r="BH1521" s="107"/>
      <c r="BI1521" s="107"/>
      <c r="BJ1521" s="107"/>
      <c r="BK1521" s="107"/>
      <c r="BL1521" s="107"/>
      <c r="BM1521" s="107"/>
      <c r="BN1521" s="107"/>
      <c r="BO1521" s="107"/>
      <c r="BP1521" s="107"/>
      <c r="BQ1521" s="107"/>
      <c r="BR1521" s="107"/>
      <c r="BS1521" s="107"/>
      <c r="BT1521" s="107"/>
      <c r="BU1521" s="107"/>
      <c r="BV1521" s="107"/>
      <c r="BW1521" s="107"/>
      <c r="BX1521" s="107"/>
      <c r="BY1521" s="107"/>
      <c r="BZ1521" s="107"/>
      <c r="CA1521" s="107"/>
      <c r="CB1521" s="107"/>
      <c r="CC1521" s="107"/>
      <c r="CD1521" s="107"/>
      <c r="CE1521" s="107"/>
      <c r="CF1521" s="107"/>
      <c r="CG1521" s="107"/>
      <c r="CH1521" s="107"/>
      <c r="CI1521" s="107"/>
      <c r="CJ1521" s="107"/>
      <c r="CK1521" s="107"/>
      <c r="CL1521" s="107"/>
      <c r="CM1521" s="107"/>
      <c r="CN1521" s="118"/>
      <c r="CO1521" s="119"/>
      <c r="CP1521" s="118"/>
      <c r="CQ1521" s="119"/>
      <c r="CR1521" s="118"/>
      <c r="CS1521" s="119"/>
      <c r="CT1521" s="113"/>
      <c r="CU1521" s="118"/>
      <c r="CV1521" s="99">
        <f t="shared" si="143"/>
        <v>0</v>
      </c>
      <c r="CW1521" s="118"/>
      <c r="CX1521" s="119"/>
      <c r="CY1521" s="119"/>
      <c r="CZ1521" s="119"/>
      <c r="DA1521" s="118"/>
      <c r="DB1521" s="119"/>
      <c r="DC1521" s="111"/>
      <c r="DD1521" s="119"/>
      <c r="DE1521" s="111"/>
      <c r="DF1521" s="46"/>
    </row>
    <row r="1522" spans="1:110" s="42" customFormat="1" x14ac:dyDescent="0.2">
      <c r="A1522" s="89">
        <v>40718</v>
      </c>
      <c r="B1522" s="90" t="s">
        <v>2226</v>
      </c>
      <c r="C1522" s="90" t="s">
        <v>4370</v>
      </c>
      <c r="D1522" s="90" t="s">
        <v>4264</v>
      </c>
      <c r="E1522" s="90" t="str">
        <f>VLOOKUP(B1522&amp;C1522,Divipola!$C$2:$F$1138,4,FALSE)</f>
        <v>68169</v>
      </c>
      <c r="F1522" s="90"/>
      <c r="G1522" s="101"/>
      <c r="H1522" s="101"/>
      <c r="I1522" s="101"/>
      <c r="J1522" s="101">
        <v>1750</v>
      </c>
      <c r="K1522" s="101">
        <v>350</v>
      </c>
      <c r="L1522" s="101"/>
      <c r="M1522" s="101">
        <v>350</v>
      </c>
      <c r="N1522" s="101"/>
      <c r="O1522" s="101"/>
      <c r="P1522" s="129"/>
      <c r="Q1522" s="129"/>
      <c r="R1522" s="129"/>
      <c r="S1522" s="129"/>
      <c r="T1522" s="129"/>
      <c r="U1522" s="129"/>
      <c r="V1522" s="129"/>
      <c r="W1522" s="107"/>
      <c r="X1522" s="105"/>
      <c r="Y1522" s="92">
        <f t="shared" si="144"/>
        <v>0</v>
      </c>
      <c r="Z1522" s="92">
        <f t="shared" si="145"/>
        <v>0</v>
      </c>
      <c r="AA1522" s="92">
        <f t="shared" si="146"/>
        <v>0</v>
      </c>
      <c r="AB1522" s="92">
        <f t="shared" si="147"/>
        <v>0</v>
      </c>
      <c r="AC1522" s="92"/>
      <c r="AD1522" s="92">
        <v>0</v>
      </c>
      <c r="AE1522" s="92">
        <f t="shared" si="148"/>
        <v>0</v>
      </c>
      <c r="AF1522" s="93">
        <v>0</v>
      </c>
      <c r="AG1522" s="105"/>
      <c r="AH1522" s="108"/>
      <c r="AI1522" s="109" t="s">
        <v>4336</v>
      </c>
      <c r="AJ1522" s="110" t="s">
        <v>4337</v>
      </c>
      <c r="AK1522" s="280"/>
      <c r="AL1522" s="281"/>
      <c r="AM1522" s="100" t="s">
        <v>3530</v>
      </c>
      <c r="AN1522" s="107"/>
      <c r="AO1522" s="107"/>
      <c r="AP1522" s="107"/>
      <c r="AQ1522" s="107"/>
      <c r="AR1522" s="107"/>
      <c r="AS1522" s="107"/>
      <c r="AT1522" s="107"/>
      <c r="AU1522" s="107"/>
      <c r="AV1522" s="107"/>
      <c r="AW1522" s="107"/>
      <c r="AX1522" s="107"/>
      <c r="AY1522" s="107"/>
      <c r="AZ1522" s="107"/>
      <c r="BA1522" s="107"/>
      <c r="BB1522" s="107"/>
      <c r="BC1522" s="107"/>
      <c r="BD1522" s="107"/>
      <c r="BE1522" s="107"/>
      <c r="BF1522" s="107"/>
      <c r="BG1522" s="107"/>
      <c r="BH1522" s="107"/>
      <c r="BI1522" s="107"/>
      <c r="BJ1522" s="107"/>
      <c r="BK1522" s="107"/>
      <c r="BL1522" s="107"/>
      <c r="BM1522" s="107"/>
      <c r="BN1522" s="107"/>
      <c r="BO1522" s="107"/>
      <c r="BP1522" s="107"/>
      <c r="BQ1522" s="107"/>
      <c r="BR1522" s="107"/>
      <c r="BS1522" s="107"/>
      <c r="BT1522" s="107"/>
      <c r="BU1522" s="107"/>
      <c r="BV1522" s="107"/>
      <c r="BW1522" s="107"/>
      <c r="BX1522" s="107"/>
      <c r="BY1522" s="107"/>
      <c r="BZ1522" s="107"/>
      <c r="CA1522" s="107"/>
      <c r="CB1522" s="107"/>
      <c r="CC1522" s="107"/>
      <c r="CD1522" s="107"/>
      <c r="CE1522" s="107"/>
      <c r="CF1522" s="107"/>
      <c r="CG1522" s="107"/>
      <c r="CH1522" s="107"/>
      <c r="CI1522" s="107"/>
      <c r="CJ1522" s="107"/>
      <c r="CK1522" s="107"/>
      <c r="CL1522" s="107"/>
      <c r="CM1522" s="107"/>
      <c r="CN1522" s="118"/>
      <c r="CO1522" s="119"/>
      <c r="CP1522" s="118"/>
      <c r="CQ1522" s="119"/>
      <c r="CR1522" s="118"/>
      <c r="CS1522" s="119"/>
      <c r="CT1522" s="113"/>
      <c r="CU1522" s="118"/>
      <c r="CV1522" s="99">
        <f t="shared" si="143"/>
        <v>0</v>
      </c>
      <c r="CW1522" s="118"/>
      <c r="CX1522" s="119"/>
      <c r="CY1522" s="119"/>
      <c r="CZ1522" s="119"/>
      <c r="DA1522" s="118"/>
      <c r="DB1522" s="119"/>
      <c r="DC1522" s="111"/>
      <c r="DD1522" s="119"/>
      <c r="DE1522" s="111"/>
      <c r="DF1522" s="46"/>
    </row>
    <row r="1523" spans="1:110" s="42" customFormat="1" ht="60" x14ac:dyDescent="0.2">
      <c r="A1523" s="89">
        <v>40718</v>
      </c>
      <c r="B1523" s="106" t="s">
        <v>2226</v>
      </c>
      <c r="C1523" s="106" t="s">
        <v>641</v>
      </c>
      <c r="D1523" s="90" t="s">
        <v>4264</v>
      </c>
      <c r="E1523" s="90" t="str">
        <f>VLOOKUP(B1523&amp;C1523,Divipola!$C$2:$F$1138,4,FALSE)</f>
        <v>68179</v>
      </c>
      <c r="F1523" s="4"/>
      <c r="G1523" s="129"/>
      <c r="H1523" s="129"/>
      <c r="I1523" s="129"/>
      <c r="J1523" s="129">
        <v>60</v>
      </c>
      <c r="K1523" s="129">
        <v>12</v>
      </c>
      <c r="L1523" s="129"/>
      <c r="M1523" s="129">
        <v>12</v>
      </c>
      <c r="N1523" s="129"/>
      <c r="O1523" s="208"/>
      <c r="P1523" s="208"/>
      <c r="Q1523" s="208"/>
      <c r="R1523" s="208"/>
      <c r="S1523" s="208"/>
      <c r="T1523" s="208"/>
      <c r="U1523" s="208"/>
      <c r="V1523" s="208"/>
      <c r="W1523" s="19"/>
      <c r="X1523" s="17"/>
      <c r="Y1523" s="5">
        <f t="shared" si="144"/>
        <v>0</v>
      </c>
      <c r="Z1523" s="5">
        <f t="shared" si="145"/>
        <v>0</v>
      </c>
      <c r="AA1523" s="5">
        <f t="shared" si="146"/>
        <v>0</v>
      </c>
      <c r="AB1523" s="5">
        <f t="shared" si="147"/>
        <v>0</v>
      </c>
      <c r="AC1523" s="5"/>
      <c r="AD1523" s="5">
        <v>10000000</v>
      </c>
      <c r="AE1523" s="5">
        <f t="shared" si="148"/>
        <v>10000000</v>
      </c>
      <c r="AF1523" s="70">
        <v>0</v>
      </c>
      <c r="AG1523" s="17"/>
      <c r="AH1523" s="18"/>
      <c r="AI1523" s="95" t="s">
        <v>4346</v>
      </c>
      <c r="AJ1523" s="96" t="s">
        <v>4347</v>
      </c>
      <c r="AK1523" s="45"/>
      <c r="AL1523" s="275"/>
      <c r="AM1523" s="112" t="s">
        <v>1119</v>
      </c>
      <c r="AN1523" s="19"/>
      <c r="AO1523" s="19"/>
      <c r="AP1523" s="19"/>
      <c r="AQ1523" s="19"/>
      <c r="AR1523" s="19"/>
      <c r="AS1523" s="19"/>
      <c r="AT1523" s="19"/>
      <c r="AU1523" s="19"/>
      <c r="AV1523" s="19"/>
      <c r="AW1523" s="19"/>
      <c r="AX1523" s="107"/>
      <c r="AY1523" s="107"/>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39"/>
      <c r="CO1523" s="138"/>
      <c r="CP1523" s="139"/>
      <c r="CQ1523" s="138"/>
      <c r="CR1523" s="139"/>
      <c r="CS1523" s="138"/>
      <c r="CT1523" s="72"/>
      <c r="CU1523" s="139"/>
      <c r="CV1523" s="99">
        <f t="shared" si="143"/>
        <v>0</v>
      </c>
      <c r="CW1523" s="139"/>
      <c r="CX1523" s="138"/>
      <c r="CY1523" s="138"/>
      <c r="CZ1523" s="138"/>
      <c r="DA1523" s="139"/>
      <c r="DB1523" s="138"/>
      <c r="DC1523" s="45"/>
      <c r="DD1523" s="138"/>
      <c r="DE1523" s="45"/>
      <c r="DF1523" s="46"/>
    </row>
    <row r="1524" spans="1:110" s="42" customFormat="1" ht="24" x14ac:dyDescent="0.2">
      <c r="A1524" s="89">
        <v>40718</v>
      </c>
      <c r="B1524" s="90" t="s">
        <v>2226</v>
      </c>
      <c r="C1524" s="90" t="s">
        <v>3888</v>
      </c>
      <c r="D1524" s="90" t="s">
        <v>4264</v>
      </c>
      <c r="E1524" s="90" t="str">
        <f>VLOOKUP(B1524&amp;C1524,Divipola!$C$2:$F$1138,4,FALSE)</f>
        <v>68207</v>
      </c>
      <c r="F1524" s="90"/>
      <c r="G1524" s="279"/>
      <c r="H1524" s="279"/>
      <c r="I1524" s="279"/>
      <c r="J1524" s="129">
        <v>305</v>
      </c>
      <c r="K1524" s="129">
        <v>61</v>
      </c>
      <c r="L1524" s="129"/>
      <c r="M1524" s="129">
        <v>61</v>
      </c>
      <c r="N1524" s="129"/>
      <c r="O1524" s="129"/>
      <c r="P1524" s="129"/>
      <c r="Q1524" s="129"/>
      <c r="R1524" s="129"/>
      <c r="S1524" s="129"/>
      <c r="T1524" s="129"/>
      <c r="U1524" s="129"/>
      <c r="V1524" s="129"/>
      <c r="W1524" s="107"/>
      <c r="X1524" s="105"/>
      <c r="Y1524" s="92">
        <f t="shared" si="144"/>
        <v>0</v>
      </c>
      <c r="Z1524" s="92">
        <f t="shared" si="145"/>
        <v>0</v>
      </c>
      <c r="AA1524" s="92">
        <f t="shared" si="146"/>
        <v>0</v>
      </c>
      <c r="AB1524" s="92">
        <f t="shared" si="147"/>
        <v>0</v>
      </c>
      <c r="AC1524" s="92"/>
      <c r="AD1524" s="92">
        <v>0</v>
      </c>
      <c r="AE1524" s="92">
        <f t="shared" si="148"/>
        <v>0</v>
      </c>
      <c r="AF1524" s="93">
        <v>0</v>
      </c>
      <c r="AG1524" s="105"/>
      <c r="AH1524" s="108"/>
      <c r="AI1524" s="109" t="s">
        <v>4336</v>
      </c>
      <c r="AJ1524" s="110" t="s">
        <v>4337</v>
      </c>
      <c r="AK1524" s="280"/>
      <c r="AL1524" s="281"/>
      <c r="AM1524" s="100" t="s">
        <v>1984</v>
      </c>
      <c r="AN1524" s="107"/>
      <c r="AO1524" s="107"/>
      <c r="AP1524" s="107"/>
      <c r="AQ1524" s="107"/>
      <c r="AR1524" s="107"/>
      <c r="AS1524" s="107"/>
      <c r="AT1524" s="107"/>
      <c r="AU1524" s="107"/>
      <c r="AV1524" s="107"/>
      <c r="AW1524" s="107"/>
      <c r="AX1524" s="107"/>
      <c r="AY1524" s="107"/>
      <c r="AZ1524" s="107"/>
      <c r="BA1524" s="107"/>
      <c r="BB1524" s="107"/>
      <c r="BC1524" s="107"/>
      <c r="BD1524" s="107"/>
      <c r="BE1524" s="107"/>
      <c r="BF1524" s="107"/>
      <c r="BG1524" s="107"/>
      <c r="BH1524" s="107"/>
      <c r="BI1524" s="107"/>
      <c r="BJ1524" s="107"/>
      <c r="BK1524" s="107"/>
      <c r="BL1524" s="107"/>
      <c r="BM1524" s="107"/>
      <c r="BN1524" s="107"/>
      <c r="BO1524" s="107"/>
      <c r="BP1524" s="107"/>
      <c r="BQ1524" s="107"/>
      <c r="BR1524" s="107"/>
      <c r="BS1524" s="107"/>
      <c r="BT1524" s="107"/>
      <c r="BU1524" s="107"/>
      <c r="BV1524" s="107"/>
      <c r="BW1524" s="107"/>
      <c r="BX1524" s="107"/>
      <c r="BY1524" s="107"/>
      <c r="BZ1524" s="107"/>
      <c r="CA1524" s="107"/>
      <c r="CB1524" s="107"/>
      <c r="CC1524" s="107"/>
      <c r="CD1524" s="107"/>
      <c r="CE1524" s="107"/>
      <c r="CF1524" s="107"/>
      <c r="CG1524" s="107"/>
      <c r="CH1524" s="107"/>
      <c r="CI1524" s="107"/>
      <c r="CJ1524" s="107"/>
      <c r="CK1524" s="107"/>
      <c r="CL1524" s="107"/>
      <c r="CM1524" s="107"/>
      <c r="CN1524" s="118"/>
      <c r="CO1524" s="119"/>
      <c r="CP1524" s="118"/>
      <c r="CQ1524" s="119"/>
      <c r="CR1524" s="118"/>
      <c r="CS1524" s="119"/>
      <c r="CT1524" s="113"/>
      <c r="CU1524" s="118"/>
      <c r="CV1524" s="99">
        <f t="shared" si="143"/>
        <v>0</v>
      </c>
      <c r="CW1524" s="118"/>
      <c r="CX1524" s="119"/>
      <c r="CY1524" s="119"/>
      <c r="CZ1524" s="119"/>
      <c r="DA1524" s="118"/>
      <c r="DB1524" s="119"/>
      <c r="DC1524" s="111"/>
      <c r="DD1524" s="119"/>
      <c r="DE1524" s="111"/>
      <c r="DF1524" s="46"/>
    </row>
    <row r="1525" spans="1:110" s="42" customFormat="1" ht="24" x14ac:dyDescent="0.2">
      <c r="A1525" s="89">
        <v>40718</v>
      </c>
      <c r="B1525" s="90" t="s">
        <v>2226</v>
      </c>
      <c r="C1525" s="90" t="s">
        <v>645</v>
      </c>
      <c r="D1525" s="90" t="s">
        <v>2362</v>
      </c>
      <c r="E1525" s="90" t="str">
        <f>VLOOKUP(B1525&amp;C1525,Divipola!$C$2:$F$1138,4,FALSE)</f>
        <v>68209</v>
      </c>
      <c r="F1525" s="90"/>
      <c r="G1525" s="279"/>
      <c r="H1525" s="279"/>
      <c r="I1525" s="279"/>
      <c r="J1525" s="129">
        <v>5</v>
      </c>
      <c r="K1525" s="129">
        <v>1</v>
      </c>
      <c r="L1525" s="129"/>
      <c r="M1525" s="129">
        <v>1</v>
      </c>
      <c r="N1525" s="129"/>
      <c r="O1525" s="129"/>
      <c r="P1525" s="129"/>
      <c r="Q1525" s="129"/>
      <c r="R1525" s="129"/>
      <c r="S1525" s="129"/>
      <c r="T1525" s="129"/>
      <c r="U1525" s="129"/>
      <c r="V1525" s="129"/>
      <c r="W1525" s="107"/>
      <c r="X1525" s="105"/>
      <c r="Y1525" s="92">
        <f t="shared" si="144"/>
        <v>0</v>
      </c>
      <c r="Z1525" s="92">
        <f t="shared" si="145"/>
        <v>0</v>
      </c>
      <c r="AA1525" s="92">
        <f t="shared" si="146"/>
        <v>0</v>
      </c>
      <c r="AB1525" s="92">
        <f t="shared" si="147"/>
        <v>0</v>
      </c>
      <c r="AC1525" s="92"/>
      <c r="AD1525" s="92">
        <v>0</v>
      </c>
      <c r="AE1525" s="92">
        <f t="shared" si="148"/>
        <v>0</v>
      </c>
      <c r="AF1525" s="93">
        <v>0</v>
      </c>
      <c r="AG1525" s="105"/>
      <c r="AH1525" s="108"/>
      <c r="AI1525" s="109" t="s">
        <v>4336</v>
      </c>
      <c r="AJ1525" s="110" t="s">
        <v>4337</v>
      </c>
      <c r="AK1525" s="280"/>
      <c r="AL1525" s="281"/>
      <c r="AM1525" s="100" t="s">
        <v>1984</v>
      </c>
      <c r="AN1525" s="107"/>
      <c r="AO1525" s="107"/>
      <c r="AP1525" s="107"/>
      <c r="AQ1525" s="107"/>
      <c r="AR1525" s="107"/>
      <c r="AS1525" s="107"/>
      <c r="AT1525" s="107"/>
      <c r="AU1525" s="107"/>
      <c r="AV1525" s="107"/>
      <c r="AW1525" s="107"/>
      <c r="AX1525" s="107"/>
      <c r="AY1525" s="107"/>
      <c r="AZ1525" s="107"/>
      <c r="BA1525" s="107"/>
      <c r="BB1525" s="107"/>
      <c r="BC1525" s="107"/>
      <c r="BD1525" s="107"/>
      <c r="BE1525" s="107"/>
      <c r="BF1525" s="107"/>
      <c r="BG1525" s="107"/>
      <c r="BH1525" s="107"/>
      <c r="BI1525" s="107"/>
      <c r="BJ1525" s="107"/>
      <c r="BK1525" s="107"/>
      <c r="BL1525" s="107"/>
      <c r="BM1525" s="107"/>
      <c r="BN1525" s="107"/>
      <c r="BO1525" s="107"/>
      <c r="BP1525" s="107"/>
      <c r="BQ1525" s="107"/>
      <c r="BR1525" s="107"/>
      <c r="BS1525" s="107"/>
      <c r="BT1525" s="107"/>
      <c r="BU1525" s="107"/>
      <c r="BV1525" s="107"/>
      <c r="BW1525" s="107"/>
      <c r="BX1525" s="107"/>
      <c r="BY1525" s="107"/>
      <c r="BZ1525" s="107"/>
      <c r="CA1525" s="107"/>
      <c r="CB1525" s="107"/>
      <c r="CC1525" s="107"/>
      <c r="CD1525" s="107"/>
      <c r="CE1525" s="107"/>
      <c r="CF1525" s="107"/>
      <c r="CG1525" s="107"/>
      <c r="CH1525" s="107"/>
      <c r="CI1525" s="107"/>
      <c r="CJ1525" s="107"/>
      <c r="CK1525" s="107"/>
      <c r="CL1525" s="107"/>
      <c r="CM1525" s="107"/>
      <c r="CN1525" s="118"/>
      <c r="CO1525" s="119"/>
      <c r="CP1525" s="118"/>
      <c r="CQ1525" s="119"/>
      <c r="CR1525" s="118"/>
      <c r="CS1525" s="119"/>
      <c r="CT1525" s="113"/>
      <c r="CU1525" s="118"/>
      <c r="CV1525" s="99">
        <f t="shared" si="143"/>
        <v>0</v>
      </c>
      <c r="CW1525" s="118"/>
      <c r="CX1525" s="119"/>
      <c r="CY1525" s="119"/>
      <c r="CZ1525" s="119"/>
      <c r="DA1525" s="118"/>
      <c r="DB1525" s="119"/>
      <c r="DC1525" s="111"/>
      <c r="DD1525" s="119"/>
      <c r="DE1525" s="111"/>
      <c r="DF1525" s="46"/>
    </row>
    <row r="1526" spans="1:110" s="42" customFormat="1" ht="24" x14ac:dyDescent="0.2">
      <c r="A1526" s="89">
        <v>40718</v>
      </c>
      <c r="B1526" s="90" t="s">
        <v>2226</v>
      </c>
      <c r="C1526" s="90" t="s">
        <v>651</v>
      </c>
      <c r="D1526" s="90" t="s">
        <v>2362</v>
      </c>
      <c r="E1526" s="90" t="str">
        <f>VLOOKUP(B1526&amp;C1526,Divipola!$C$2:$F$1138,4,FALSE)</f>
        <v>68217</v>
      </c>
      <c r="F1526" s="90"/>
      <c r="G1526" s="279"/>
      <c r="H1526" s="279"/>
      <c r="I1526" s="279"/>
      <c r="J1526" s="129">
        <v>150</v>
      </c>
      <c r="K1526" s="129">
        <v>30</v>
      </c>
      <c r="L1526" s="129"/>
      <c r="M1526" s="129">
        <v>30</v>
      </c>
      <c r="N1526" s="129"/>
      <c r="O1526" s="129"/>
      <c r="P1526" s="129"/>
      <c r="Q1526" s="129"/>
      <c r="R1526" s="129"/>
      <c r="S1526" s="129"/>
      <c r="T1526" s="129"/>
      <c r="U1526" s="129"/>
      <c r="V1526" s="129"/>
      <c r="W1526" s="107"/>
      <c r="X1526" s="105"/>
      <c r="Y1526" s="92">
        <f t="shared" si="144"/>
        <v>0</v>
      </c>
      <c r="Z1526" s="92">
        <f t="shared" si="145"/>
        <v>0</v>
      </c>
      <c r="AA1526" s="92">
        <f t="shared" si="146"/>
        <v>0</v>
      </c>
      <c r="AB1526" s="92">
        <f t="shared" si="147"/>
        <v>0</v>
      </c>
      <c r="AC1526" s="92"/>
      <c r="AD1526" s="92">
        <v>0</v>
      </c>
      <c r="AE1526" s="92">
        <f t="shared" si="148"/>
        <v>0</v>
      </c>
      <c r="AF1526" s="93">
        <v>0</v>
      </c>
      <c r="AG1526" s="105"/>
      <c r="AH1526" s="108"/>
      <c r="AI1526" s="109" t="s">
        <v>4336</v>
      </c>
      <c r="AJ1526" s="110" t="s">
        <v>4337</v>
      </c>
      <c r="AK1526" s="280"/>
      <c r="AL1526" s="281"/>
      <c r="AM1526" s="100" t="s">
        <v>1984</v>
      </c>
      <c r="AN1526" s="107"/>
      <c r="AO1526" s="107"/>
      <c r="AP1526" s="107"/>
      <c r="AQ1526" s="107"/>
      <c r="AR1526" s="107"/>
      <c r="AS1526" s="107"/>
      <c r="AT1526" s="107"/>
      <c r="AU1526" s="107"/>
      <c r="AV1526" s="107"/>
      <c r="AW1526" s="107"/>
      <c r="AX1526" s="107"/>
      <c r="AY1526" s="107"/>
      <c r="AZ1526" s="107"/>
      <c r="BA1526" s="107"/>
      <c r="BB1526" s="107"/>
      <c r="BC1526" s="107"/>
      <c r="BD1526" s="107"/>
      <c r="BE1526" s="107"/>
      <c r="BF1526" s="107"/>
      <c r="BG1526" s="107"/>
      <c r="BH1526" s="107"/>
      <c r="BI1526" s="107"/>
      <c r="BJ1526" s="107"/>
      <c r="BK1526" s="107"/>
      <c r="BL1526" s="107"/>
      <c r="BM1526" s="107"/>
      <c r="BN1526" s="107"/>
      <c r="BO1526" s="107"/>
      <c r="BP1526" s="107"/>
      <c r="BQ1526" s="107"/>
      <c r="BR1526" s="107"/>
      <c r="BS1526" s="107"/>
      <c r="BT1526" s="107"/>
      <c r="BU1526" s="107"/>
      <c r="BV1526" s="107"/>
      <c r="BW1526" s="107"/>
      <c r="BX1526" s="107"/>
      <c r="BY1526" s="107"/>
      <c r="BZ1526" s="107"/>
      <c r="CA1526" s="107"/>
      <c r="CB1526" s="107"/>
      <c r="CC1526" s="107"/>
      <c r="CD1526" s="107"/>
      <c r="CE1526" s="107"/>
      <c r="CF1526" s="107"/>
      <c r="CG1526" s="107"/>
      <c r="CH1526" s="107"/>
      <c r="CI1526" s="107"/>
      <c r="CJ1526" s="107"/>
      <c r="CK1526" s="107"/>
      <c r="CL1526" s="107"/>
      <c r="CM1526" s="107"/>
      <c r="CN1526" s="118"/>
      <c r="CO1526" s="119"/>
      <c r="CP1526" s="118"/>
      <c r="CQ1526" s="119"/>
      <c r="CR1526" s="118"/>
      <c r="CS1526" s="119"/>
      <c r="CT1526" s="113"/>
      <c r="CU1526" s="118"/>
      <c r="CV1526" s="99">
        <f t="shared" si="143"/>
        <v>0</v>
      </c>
      <c r="CW1526" s="118"/>
      <c r="CX1526" s="119"/>
      <c r="CY1526" s="119"/>
      <c r="CZ1526" s="119"/>
      <c r="DA1526" s="118"/>
      <c r="DB1526" s="119"/>
      <c r="DC1526" s="111"/>
      <c r="DD1526" s="119"/>
      <c r="DE1526" s="111"/>
      <c r="DF1526" s="46"/>
    </row>
    <row r="1527" spans="1:110" s="42" customFormat="1" ht="24" x14ac:dyDescent="0.2">
      <c r="A1527" s="89">
        <v>40718</v>
      </c>
      <c r="B1527" s="90" t="s">
        <v>2226</v>
      </c>
      <c r="C1527" s="90" t="s">
        <v>654</v>
      </c>
      <c r="D1527" s="90" t="s">
        <v>4264</v>
      </c>
      <c r="E1527" s="90" t="str">
        <f>VLOOKUP(B1527&amp;C1527,Divipola!$C$2:$F$1138,4,FALSE)</f>
        <v>68229</v>
      </c>
      <c r="F1527" s="90"/>
      <c r="G1527" s="279"/>
      <c r="H1527" s="279"/>
      <c r="I1527" s="279"/>
      <c r="J1527" s="129">
        <v>5</v>
      </c>
      <c r="K1527" s="129">
        <v>1</v>
      </c>
      <c r="L1527" s="129"/>
      <c r="M1527" s="129">
        <v>1</v>
      </c>
      <c r="N1527" s="129"/>
      <c r="O1527" s="129"/>
      <c r="P1527" s="129"/>
      <c r="Q1527" s="129"/>
      <c r="R1527" s="129"/>
      <c r="S1527" s="129"/>
      <c r="T1527" s="129"/>
      <c r="U1527" s="129"/>
      <c r="V1527" s="129"/>
      <c r="W1527" s="107"/>
      <c r="X1527" s="105"/>
      <c r="Y1527" s="92">
        <f t="shared" si="144"/>
        <v>0</v>
      </c>
      <c r="Z1527" s="92">
        <f t="shared" si="145"/>
        <v>0</v>
      </c>
      <c r="AA1527" s="92">
        <f t="shared" si="146"/>
        <v>0</v>
      </c>
      <c r="AB1527" s="92">
        <f t="shared" si="147"/>
        <v>0</v>
      </c>
      <c r="AC1527" s="92"/>
      <c r="AD1527" s="92">
        <v>0</v>
      </c>
      <c r="AE1527" s="92">
        <f t="shared" si="148"/>
        <v>0</v>
      </c>
      <c r="AF1527" s="93">
        <v>0</v>
      </c>
      <c r="AG1527" s="105"/>
      <c r="AH1527" s="108"/>
      <c r="AI1527" s="109" t="s">
        <v>4336</v>
      </c>
      <c r="AJ1527" s="110" t="s">
        <v>4337</v>
      </c>
      <c r="AK1527" s="280"/>
      <c r="AL1527" s="281"/>
      <c r="AM1527" s="100" t="s">
        <v>1984</v>
      </c>
      <c r="AN1527" s="107"/>
      <c r="AO1527" s="107"/>
      <c r="AP1527" s="107"/>
      <c r="AQ1527" s="107"/>
      <c r="AR1527" s="107"/>
      <c r="AS1527" s="107"/>
      <c r="AT1527" s="107"/>
      <c r="AU1527" s="107"/>
      <c r="AV1527" s="107"/>
      <c r="AW1527" s="107"/>
      <c r="AX1527" s="107"/>
      <c r="AY1527" s="107"/>
      <c r="AZ1527" s="107"/>
      <c r="BA1527" s="107"/>
      <c r="BB1527" s="107"/>
      <c r="BC1527" s="107"/>
      <c r="BD1527" s="107"/>
      <c r="BE1527" s="107"/>
      <c r="BF1527" s="107"/>
      <c r="BG1527" s="107"/>
      <c r="BH1527" s="107"/>
      <c r="BI1527" s="107"/>
      <c r="BJ1527" s="107"/>
      <c r="BK1527" s="107"/>
      <c r="BL1527" s="107"/>
      <c r="BM1527" s="107"/>
      <c r="BN1527" s="107"/>
      <c r="BO1527" s="107"/>
      <c r="BP1527" s="107"/>
      <c r="BQ1527" s="107"/>
      <c r="BR1527" s="107"/>
      <c r="BS1527" s="107"/>
      <c r="BT1527" s="107"/>
      <c r="BU1527" s="107"/>
      <c r="BV1527" s="107"/>
      <c r="BW1527" s="107"/>
      <c r="BX1527" s="107"/>
      <c r="BY1527" s="107"/>
      <c r="BZ1527" s="107"/>
      <c r="CA1527" s="107"/>
      <c r="CB1527" s="107"/>
      <c r="CC1527" s="107"/>
      <c r="CD1527" s="107"/>
      <c r="CE1527" s="107"/>
      <c r="CF1527" s="107"/>
      <c r="CG1527" s="107"/>
      <c r="CH1527" s="107"/>
      <c r="CI1527" s="107"/>
      <c r="CJ1527" s="107"/>
      <c r="CK1527" s="107"/>
      <c r="CL1527" s="107"/>
      <c r="CM1527" s="107"/>
      <c r="CN1527" s="118"/>
      <c r="CO1527" s="119"/>
      <c r="CP1527" s="118"/>
      <c r="CQ1527" s="119"/>
      <c r="CR1527" s="118"/>
      <c r="CS1527" s="119"/>
      <c r="CT1527" s="113"/>
      <c r="CU1527" s="118"/>
      <c r="CV1527" s="99">
        <f t="shared" si="143"/>
        <v>0</v>
      </c>
      <c r="CW1527" s="118"/>
      <c r="CX1527" s="119"/>
      <c r="CY1527" s="119"/>
      <c r="CZ1527" s="119"/>
      <c r="DA1527" s="118"/>
      <c r="DB1527" s="119"/>
      <c r="DC1527" s="111"/>
      <c r="DD1527" s="119"/>
      <c r="DE1527" s="111"/>
      <c r="DF1527" s="46"/>
    </row>
    <row r="1528" spans="1:110" s="42" customFormat="1" ht="24" x14ac:dyDescent="0.2">
      <c r="A1528" s="89">
        <v>40718</v>
      </c>
      <c r="B1528" s="90" t="s">
        <v>2226</v>
      </c>
      <c r="C1528" s="90" t="s">
        <v>659</v>
      </c>
      <c r="D1528" s="90" t="s">
        <v>4264</v>
      </c>
      <c r="E1528" s="90" t="str">
        <f>VLOOKUP(B1528&amp;C1528,Divipola!$C$2:$F$1138,4,FALSE)</f>
        <v>68245</v>
      </c>
      <c r="F1528" s="4"/>
      <c r="G1528" s="101"/>
      <c r="H1528" s="101">
        <v>3</v>
      </c>
      <c r="I1528" s="101"/>
      <c r="J1528" s="101">
        <v>950</v>
      </c>
      <c r="K1528" s="101">
        <v>190</v>
      </c>
      <c r="L1528" s="101"/>
      <c r="M1528" s="101">
        <v>190</v>
      </c>
      <c r="N1528" s="208"/>
      <c r="O1528" s="208"/>
      <c r="P1528" s="208"/>
      <c r="Q1528" s="208"/>
      <c r="R1528" s="208"/>
      <c r="S1528" s="208"/>
      <c r="T1528" s="208"/>
      <c r="U1528" s="208"/>
      <c r="V1528" s="208"/>
      <c r="W1528" s="19"/>
      <c r="X1528" s="17"/>
      <c r="Y1528" s="5">
        <f t="shared" si="144"/>
        <v>0</v>
      </c>
      <c r="Z1528" s="5">
        <f t="shared" si="145"/>
        <v>0</v>
      </c>
      <c r="AA1528" s="5">
        <f t="shared" si="146"/>
        <v>0</v>
      </c>
      <c r="AB1528" s="5">
        <f t="shared" si="147"/>
        <v>0</v>
      </c>
      <c r="AC1528" s="5"/>
      <c r="AD1528" s="5">
        <v>0</v>
      </c>
      <c r="AE1528" s="5">
        <f t="shared" si="148"/>
        <v>0</v>
      </c>
      <c r="AF1528" s="70">
        <v>0</v>
      </c>
      <c r="AG1528" s="17"/>
      <c r="AH1528" s="18"/>
      <c r="AI1528" s="109" t="s">
        <v>4336</v>
      </c>
      <c r="AJ1528" s="110" t="s">
        <v>4337</v>
      </c>
      <c r="AK1528" s="45"/>
      <c r="AL1528" s="275"/>
      <c r="AM1528" s="100" t="s">
        <v>1984</v>
      </c>
      <c r="AN1528" s="19"/>
      <c r="AO1528" s="19"/>
      <c r="AP1528" s="19"/>
      <c r="AQ1528" s="19"/>
      <c r="AR1528" s="19"/>
      <c r="AS1528" s="19"/>
      <c r="AT1528" s="19"/>
      <c r="AU1528" s="19"/>
      <c r="AV1528" s="19"/>
      <c r="AW1528" s="19"/>
      <c r="AX1528" s="107"/>
      <c r="AY1528" s="107"/>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39"/>
      <c r="CO1528" s="138"/>
      <c r="CP1528" s="139"/>
      <c r="CQ1528" s="138"/>
      <c r="CR1528" s="139"/>
      <c r="CS1528" s="138"/>
      <c r="CT1528" s="72"/>
      <c r="CU1528" s="139"/>
      <c r="CV1528" s="99">
        <f t="shared" si="143"/>
        <v>0</v>
      </c>
      <c r="CW1528" s="139"/>
      <c r="CX1528" s="138"/>
      <c r="CY1528" s="138"/>
      <c r="CZ1528" s="138"/>
      <c r="DA1528" s="139"/>
      <c r="DB1528" s="138"/>
      <c r="DC1528" s="45"/>
      <c r="DD1528" s="138"/>
      <c r="DE1528" s="45"/>
      <c r="DF1528" s="46"/>
    </row>
    <row r="1529" spans="1:110" s="42" customFormat="1" ht="96" x14ac:dyDescent="0.2">
      <c r="A1529" s="89">
        <v>40718</v>
      </c>
      <c r="B1529" s="90" t="s">
        <v>2226</v>
      </c>
      <c r="C1529" s="90" t="s">
        <v>4525</v>
      </c>
      <c r="D1529" s="90" t="s">
        <v>4264</v>
      </c>
      <c r="E1529" s="90" t="str">
        <f>VLOOKUP(B1529&amp;C1529,Divipola!$C$2:$F$1138,4,FALSE)</f>
        <v>68271</v>
      </c>
      <c r="F1529" s="4"/>
      <c r="G1529" s="101"/>
      <c r="H1529" s="101">
        <v>2</v>
      </c>
      <c r="I1529" s="101"/>
      <c r="J1529" s="101">
        <v>585</v>
      </c>
      <c r="K1529" s="101">
        <v>117</v>
      </c>
      <c r="L1529" s="101"/>
      <c r="M1529" s="101">
        <v>117</v>
      </c>
      <c r="N1529" s="208"/>
      <c r="O1529" s="208"/>
      <c r="P1529" s="208"/>
      <c r="Q1529" s="208"/>
      <c r="R1529" s="208"/>
      <c r="S1529" s="208"/>
      <c r="T1529" s="208"/>
      <c r="U1529" s="208"/>
      <c r="V1529" s="208"/>
      <c r="W1529" s="19"/>
      <c r="X1529" s="17"/>
      <c r="Y1529" s="5">
        <f t="shared" si="144"/>
        <v>0</v>
      </c>
      <c r="Z1529" s="5">
        <f t="shared" si="145"/>
        <v>0</v>
      </c>
      <c r="AA1529" s="5">
        <f t="shared" si="146"/>
        <v>0</v>
      </c>
      <c r="AB1529" s="5">
        <f t="shared" si="147"/>
        <v>0</v>
      </c>
      <c r="AC1529" s="143">
        <f>120*261000</f>
        <v>31320000</v>
      </c>
      <c r="AD1529" s="5">
        <v>15000000</v>
      </c>
      <c r="AE1529" s="5">
        <f t="shared" si="148"/>
        <v>46320000</v>
      </c>
      <c r="AF1529" s="70">
        <v>0</v>
      </c>
      <c r="AG1529" s="17"/>
      <c r="AH1529" s="18"/>
      <c r="AI1529" s="95" t="s">
        <v>4346</v>
      </c>
      <c r="AJ1529" s="96" t="s">
        <v>4347</v>
      </c>
      <c r="AK1529" s="45"/>
      <c r="AL1529" s="275"/>
      <c r="AM1529" s="100" t="s">
        <v>162</v>
      </c>
      <c r="AN1529" s="19"/>
      <c r="AO1529" s="19"/>
      <c r="AP1529" s="19"/>
      <c r="AQ1529" s="19"/>
      <c r="AR1529" s="19"/>
      <c r="AS1529" s="19"/>
      <c r="AT1529" s="19"/>
      <c r="AU1529" s="19"/>
      <c r="AV1529" s="19"/>
      <c r="AW1529" s="19"/>
      <c r="AX1529" s="107"/>
      <c r="AY1529" s="107"/>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39"/>
      <c r="CO1529" s="138"/>
      <c r="CP1529" s="139"/>
      <c r="CQ1529" s="138"/>
      <c r="CR1529" s="139"/>
      <c r="CS1529" s="138"/>
      <c r="CT1529" s="72"/>
      <c r="CU1529" s="139"/>
      <c r="CV1529" s="99">
        <f t="shared" si="143"/>
        <v>0</v>
      </c>
      <c r="CW1529" s="139"/>
      <c r="CX1529" s="138"/>
      <c r="CY1529" s="138"/>
      <c r="CZ1529" s="138"/>
      <c r="DA1529" s="139"/>
      <c r="DB1529" s="138"/>
      <c r="DC1529" s="45"/>
      <c r="DD1529" s="138"/>
      <c r="DE1529" s="45"/>
      <c r="DF1529" s="46"/>
    </row>
    <row r="1530" spans="1:110" s="42" customFormat="1" ht="24" x14ac:dyDescent="0.2">
      <c r="A1530" s="89">
        <v>40718</v>
      </c>
      <c r="B1530" s="106" t="s">
        <v>2226</v>
      </c>
      <c r="C1530" s="106" t="s">
        <v>672</v>
      </c>
      <c r="D1530" s="90" t="s">
        <v>4264</v>
      </c>
      <c r="E1530" s="90" t="str">
        <f>VLOOKUP(B1530&amp;C1530,Divipola!$C$2:$F$1138,4,FALSE)</f>
        <v>68296</v>
      </c>
      <c r="F1530" s="4"/>
      <c r="G1530" s="129"/>
      <c r="H1530" s="129"/>
      <c r="I1530" s="129"/>
      <c r="J1530" s="129">
        <v>1580</v>
      </c>
      <c r="K1530" s="129">
        <v>316</v>
      </c>
      <c r="L1530" s="129"/>
      <c r="M1530" s="129">
        <v>316</v>
      </c>
      <c r="N1530" s="208"/>
      <c r="O1530" s="208"/>
      <c r="P1530" s="208"/>
      <c r="Q1530" s="208"/>
      <c r="R1530" s="208"/>
      <c r="S1530" s="208"/>
      <c r="T1530" s="208"/>
      <c r="U1530" s="208"/>
      <c r="V1530" s="208"/>
      <c r="W1530" s="19"/>
      <c r="X1530" s="17"/>
      <c r="Y1530" s="5">
        <f t="shared" si="144"/>
        <v>0</v>
      </c>
      <c r="Z1530" s="5">
        <f t="shared" si="145"/>
        <v>0</v>
      </c>
      <c r="AA1530" s="5">
        <f t="shared" si="146"/>
        <v>0</v>
      </c>
      <c r="AB1530" s="5">
        <f t="shared" si="147"/>
        <v>0</v>
      </c>
      <c r="AC1530" s="5"/>
      <c r="AD1530" s="5">
        <v>0</v>
      </c>
      <c r="AE1530" s="5">
        <f t="shared" si="148"/>
        <v>0</v>
      </c>
      <c r="AF1530" s="70">
        <v>0</v>
      </c>
      <c r="AG1530" s="17"/>
      <c r="AH1530" s="18"/>
      <c r="AI1530" s="109" t="s">
        <v>4336</v>
      </c>
      <c r="AJ1530" s="110" t="s">
        <v>4337</v>
      </c>
      <c r="AK1530" s="45"/>
      <c r="AL1530" s="89" t="s">
        <v>1073</v>
      </c>
      <c r="AM1530" s="112" t="s">
        <v>1984</v>
      </c>
      <c r="AN1530" s="19"/>
      <c r="AO1530" s="19"/>
      <c r="AP1530" s="19"/>
      <c r="AQ1530" s="19"/>
      <c r="AR1530" s="19"/>
      <c r="AS1530" s="19"/>
      <c r="AT1530" s="19"/>
      <c r="AU1530" s="19"/>
      <c r="AV1530" s="19"/>
      <c r="AW1530" s="19"/>
      <c r="AX1530" s="107"/>
      <c r="AY1530" s="107"/>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39"/>
      <c r="CO1530" s="138"/>
      <c r="CP1530" s="139"/>
      <c r="CQ1530" s="138"/>
      <c r="CR1530" s="139"/>
      <c r="CS1530" s="138"/>
      <c r="CT1530" s="72"/>
      <c r="CU1530" s="139"/>
      <c r="CV1530" s="99">
        <f t="shared" si="143"/>
        <v>0</v>
      </c>
      <c r="CW1530" s="139"/>
      <c r="CX1530" s="138"/>
      <c r="CY1530" s="138"/>
      <c r="CZ1530" s="138"/>
      <c r="DA1530" s="139"/>
      <c r="DB1530" s="138"/>
      <c r="DC1530" s="45"/>
      <c r="DD1530" s="138"/>
      <c r="DE1530" s="45"/>
      <c r="DF1530" s="46"/>
    </row>
    <row r="1531" spans="1:110" s="42" customFormat="1" ht="24" x14ac:dyDescent="0.2">
      <c r="A1531" s="89">
        <v>40718</v>
      </c>
      <c r="B1531" s="90" t="s">
        <v>2226</v>
      </c>
      <c r="C1531" s="90" t="s">
        <v>3464</v>
      </c>
      <c r="D1531" s="90" t="s">
        <v>4264</v>
      </c>
      <c r="E1531" s="90" t="str">
        <f>VLOOKUP(B1531&amp;C1531,Divipola!$C$2:$F$1138,4,FALSE)</f>
        <v>68298</v>
      </c>
      <c r="F1531" s="4"/>
      <c r="G1531" s="101">
        <v>1</v>
      </c>
      <c r="H1531" s="302"/>
      <c r="I1531" s="302"/>
      <c r="J1531" s="101">
        <v>300</v>
      </c>
      <c r="K1531" s="101">
        <v>60</v>
      </c>
      <c r="L1531" s="302"/>
      <c r="M1531" s="101">
        <v>60</v>
      </c>
      <c r="N1531" s="208"/>
      <c r="O1531" s="208"/>
      <c r="P1531" s="208"/>
      <c r="Q1531" s="208"/>
      <c r="R1531" s="208"/>
      <c r="S1531" s="208"/>
      <c r="T1531" s="208"/>
      <c r="U1531" s="208"/>
      <c r="V1531" s="208"/>
      <c r="W1531" s="19"/>
      <c r="X1531" s="17"/>
      <c r="Y1531" s="5">
        <f t="shared" si="144"/>
        <v>0</v>
      </c>
      <c r="Z1531" s="5">
        <f t="shared" si="145"/>
        <v>0</v>
      </c>
      <c r="AA1531" s="5">
        <f t="shared" si="146"/>
        <v>0</v>
      </c>
      <c r="AB1531" s="5">
        <f t="shared" si="147"/>
        <v>0</v>
      </c>
      <c r="AC1531" s="5"/>
      <c r="AD1531" s="5">
        <v>0</v>
      </c>
      <c r="AE1531" s="5">
        <f t="shared" si="148"/>
        <v>0</v>
      </c>
      <c r="AF1531" s="70">
        <v>0</v>
      </c>
      <c r="AG1531" s="17"/>
      <c r="AH1531" s="18"/>
      <c r="AI1531" s="109" t="s">
        <v>4336</v>
      </c>
      <c r="AJ1531" s="110" t="s">
        <v>4337</v>
      </c>
      <c r="AK1531" s="45"/>
      <c r="AL1531" s="89" t="s">
        <v>1073</v>
      </c>
      <c r="AM1531" s="100" t="s">
        <v>1984</v>
      </c>
      <c r="AN1531" s="19"/>
      <c r="AO1531" s="19"/>
      <c r="AP1531" s="19"/>
      <c r="AQ1531" s="19"/>
      <c r="AR1531" s="19"/>
      <c r="AS1531" s="19"/>
      <c r="AT1531" s="19"/>
      <c r="AU1531" s="19"/>
      <c r="AV1531" s="19"/>
      <c r="AW1531" s="19"/>
      <c r="AX1531" s="107"/>
      <c r="AY1531" s="107"/>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39"/>
      <c r="CO1531" s="138"/>
      <c r="CP1531" s="139"/>
      <c r="CQ1531" s="138"/>
      <c r="CR1531" s="139"/>
      <c r="CS1531" s="138"/>
      <c r="CT1531" s="72"/>
      <c r="CU1531" s="139"/>
      <c r="CV1531" s="99">
        <f t="shared" si="143"/>
        <v>0</v>
      </c>
      <c r="CW1531" s="139"/>
      <c r="CX1531" s="138"/>
      <c r="CY1531" s="138"/>
      <c r="CZ1531" s="138"/>
      <c r="DA1531" s="139"/>
      <c r="DB1531" s="138"/>
      <c r="DC1531" s="45"/>
      <c r="DD1531" s="138"/>
      <c r="DE1531" s="45"/>
      <c r="DF1531" s="46"/>
    </row>
    <row r="1532" spans="1:110" s="42" customFormat="1" ht="24" x14ac:dyDescent="0.2">
      <c r="A1532" s="89">
        <v>40718</v>
      </c>
      <c r="B1532" s="90" t="s">
        <v>2226</v>
      </c>
      <c r="C1532" s="90" t="s">
        <v>4390</v>
      </c>
      <c r="D1532" s="90" t="s">
        <v>4264</v>
      </c>
      <c r="E1532" s="90" t="str">
        <f>VLOOKUP(B1532&amp;C1532,Divipola!$C$2:$F$1138,4,FALSE)</f>
        <v>68307</v>
      </c>
      <c r="F1532" s="4"/>
      <c r="G1532" s="101">
        <v>1</v>
      </c>
      <c r="H1532" s="302"/>
      <c r="I1532" s="302"/>
      <c r="J1532" s="101">
        <v>185</v>
      </c>
      <c r="K1532" s="101">
        <v>37</v>
      </c>
      <c r="L1532" s="302"/>
      <c r="M1532" s="101">
        <v>37</v>
      </c>
      <c r="N1532" s="208"/>
      <c r="O1532" s="208"/>
      <c r="P1532" s="208"/>
      <c r="Q1532" s="208"/>
      <c r="R1532" s="208"/>
      <c r="S1532" s="208"/>
      <c r="T1532" s="208"/>
      <c r="U1532" s="208"/>
      <c r="V1532" s="208"/>
      <c r="W1532" s="19"/>
      <c r="X1532" s="17"/>
      <c r="Y1532" s="5">
        <f t="shared" si="144"/>
        <v>0</v>
      </c>
      <c r="Z1532" s="5">
        <f t="shared" si="145"/>
        <v>0</v>
      </c>
      <c r="AA1532" s="5">
        <f t="shared" si="146"/>
        <v>0</v>
      </c>
      <c r="AB1532" s="5">
        <f t="shared" si="147"/>
        <v>0</v>
      </c>
      <c r="AC1532" s="5"/>
      <c r="AD1532" s="5">
        <v>0</v>
      </c>
      <c r="AE1532" s="5">
        <f t="shared" si="148"/>
        <v>0</v>
      </c>
      <c r="AF1532" s="70">
        <v>0</v>
      </c>
      <c r="AG1532" s="17"/>
      <c r="AH1532" s="18"/>
      <c r="AI1532" s="109" t="s">
        <v>4336</v>
      </c>
      <c r="AJ1532" s="110" t="s">
        <v>4337</v>
      </c>
      <c r="AK1532" s="45"/>
      <c r="AL1532" s="89" t="s">
        <v>1073</v>
      </c>
      <c r="AM1532" s="100" t="s">
        <v>1984</v>
      </c>
      <c r="AN1532" s="19"/>
      <c r="AO1532" s="19"/>
      <c r="AP1532" s="19"/>
      <c r="AQ1532" s="19"/>
      <c r="AR1532" s="19"/>
      <c r="AS1532" s="19"/>
      <c r="AT1532" s="19"/>
      <c r="AU1532" s="19"/>
      <c r="AV1532" s="19"/>
      <c r="AW1532" s="19"/>
      <c r="AX1532" s="107"/>
      <c r="AY1532" s="107"/>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39"/>
      <c r="CO1532" s="138"/>
      <c r="CP1532" s="139"/>
      <c r="CQ1532" s="138"/>
      <c r="CR1532" s="139"/>
      <c r="CS1532" s="138"/>
      <c r="CT1532" s="72"/>
      <c r="CU1532" s="139"/>
      <c r="CV1532" s="99">
        <f t="shared" si="143"/>
        <v>0</v>
      </c>
      <c r="CW1532" s="139"/>
      <c r="CX1532" s="138"/>
      <c r="CY1532" s="138"/>
      <c r="CZ1532" s="138"/>
      <c r="DA1532" s="139"/>
      <c r="DB1532" s="138"/>
      <c r="DC1532" s="45"/>
      <c r="DD1532" s="138"/>
      <c r="DE1532" s="45"/>
      <c r="DF1532" s="46"/>
    </row>
    <row r="1533" spans="1:110" s="42" customFormat="1" ht="96" x14ac:dyDescent="0.2">
      <c r="A1533" s="89">
        <v>40718</v>
      </c>
      <c r="B1533" s="90" t="s">
        <v>2226</v>
      </c>
      <c r="C1533" s="90" t="s">
        <v>2931</v>
      </c>
      <c r="D1533" s="90" t="s">
        <v>4264</v>
      </c>
      <c r="E1533" s="90" t="str">
        <f>VLOOKUP(B1533&amp;C1533,Divipola!$C$2:$F$1138,4,FALSE)</f>
        <v>68324</v>
      </c>
      <c r="F1533" s="4"/>
      <c r="G1533" s="101"/>
      <c r="H1533" s="302"/>
      <c r="I1533" s="302"/>
      <c r="J1533" s="101">
        <v>550</v>
      </c>
      <c r="K1533" s="101">
        <v>110</v>
      </c>
      <c r="L1533" s="302"/>
      <c r="M1533" s="101">
        <v>110</v>
      </c>
      <c r="N1533" s="208"/>
      <c r="O1533" s="208"/>
      <c r="P1533" s="208"/>
      <c r="Q1533" s="208"/>
      <c r="R1533" s="208"/>
      <c r="S1533" s="208"/>
      <c r="T1533" s="208"/>
      <c r="U1533" s="208"/>
      <c r="V1533" s="208"/>
      <c r="W1533" s="19"/>
      <c r="X1533" s="17"/>
      <c r="Y1533" s="5">
        <f t="shared" si="144"/>
        <v>0</v>
      </c>
      <c r="Z1533" s="5">
        <f t="shared" si="145"/>
        <v>0</v>
      </c>
      <c r="AA1533" s="5">
        <f t="shared" si="146"/>
        <v>0</v>
      </c>
      <c r="AB1533" s="5">
        <f t="shared" si="147"/>
        <v>0</v>
      </c>
      <c r="AC1533" s="5">
        <f>120*280999.56</f>
        <v>33719947.200000003</v>
      </c>
      <c r="AD1533" s="5">
        <v>15000000</v>
      </c>
      <c r="AE1533" s="5">
        <f t="shared" si="148"/>
        <v>48719947.200000003</v>
      </c>
      <c r="AF1533" s="70">
        <v>0</v>
      </c>
      <c r="AG1533" s="17"/>
      <c r="AH1533" s="18"/>
      <c r="AI1533" s="95" t="s">
        <v>4346</v>
      </c>
      <c r="AJ1533" s="96" t="s">
        <v>4347</v>
      </c>
      <c r="AK1533" s="45"/>
      <c r="AL1533" s="89" t="s">
        <v>1073</v>
      </c>
      <c r="AM1533" s="100" t="s">
        <v>2297</v>
      </c>
      <c r="AN1533" s="19"/>
      <c r="AO1533" s="19"/>
      <c r="AP1533" s="19"/>
      <c r="AQ1533" s="19"/>
      <c r="AR1533" s="19"/>
      <c r="AS1533" s="19"/>
      <c r="AT1533" s="19"/>
      <c r="AU1533" s="19"/>
      <c r="AV1533" s="19"/>
      <c r="AW1533" s="19"/>
      <c r="AX1533" s="107"/>
      <c r="AY1533" s="107"/>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39"/>
      <c r="CO1533" s="138"/>
      <c r="CP1533" s="139"/>
      <c r="CQ1533" s="138"/>
      <c r="CR1533" s="139"/>
      <c r="CS1533" s="138"/>
      <c r="CT1533" s="72"/>
      <c r="CU1533" s="139"/>
      <c r="CV1533" s="99">
        <f t="shared" si="143"/>
        <v>0</v>
      </c>
      <c r="CW1533" s="139"/>
      <c r="CX1533" s="138"/>
      <c r="CY1533" s="138"/>
      <c r="CZ1533" s="138"/>
      <c r="DA1533" s="139"/>
      <c r="DB1533" s="138"/>
      <c r="DC1533" s="45"/>
      <c r="DD1533" s="138"/>
      <c r="DE1533" s="45"/>
      <c r="DF1533" s="46"/>
    </row>
    <row r="1534" spans="1:110" s="42" customFormat="1" ht="96" x14ac:dyDescent="0.2">
      <c r="A1534" s="89">
        <v>40718</v>
      </c>
      <c r="B1534" s="16" t="s">
        <v>2226</v>
      </c>
      <c r="C1534" s="16" t="s">
        <v>2938</v>
      </c>
      <c r="D1534" s="90" t="s">
        <v>4264</v>
      </c>
      <c r="E1534" s="90" t="str">
        <f>VLOOKUP(B1534&amp;C1534,Divipola!$C$2:$F$1138,4,FALSE)</f>
        <v>68368</v>
      </c>
      <c r="F1534" s="4"/>
      <c r="G1534" s="274"/>
      <c r="H1534" s="274"/>
      <c r="I1534" s="274"/>
      <c r="J1534" s="208">
        <v>290</v>
      </c>
      <c r="K1534" s="208">
        <v>58</v>
      </c>
      <c r="L1534" s="208"/>
      <c r="M1534" s="208">
        <v>58</v>
      </c>
      <c r="N1534" s="208"/>
      <c r="O1534" s="208"/>
      <c r="P1534" s="208"/>
      <c r="Q1534" s="208"/>
      <c r="R1534" s="208"/>
      <c r="S1534" s="208"/>
      <c r="T1534" s="208"/>
      <c r="U1534" s="208"/>
      <c r="V1534" s="208"/>
      <c r="W1534" s="19"/>
      <c r="X1534" s="17"/>
      <c r="Y1534" s="5">
        <f t="shared" si="144"/>
        <v>0</v>
      </c>
      <c r="Z1534" s="5">
        <f t="shared" si="145"/>
        <v>0</v>
      </c>
      <c r="AA1534" s="5">
        <f t="shared" si="146"/>
        <v>0</v>
      </c>
      <c r="AB1534" s="5">
        <f t="shared" si="147"/>
        <v>0</v>
      </c>
      <c r="AC1534" s="143">
        <f>120*280999.56</f>
        <v>33719947.200000003</v>
      </c>
      <c r="AD1534" s="5">
        <v>15000000</v>
      </c>
      <c r="AE1534" s="5">
        <f t="shared" si="148"/>
        <v>48719947.200000003</v>
      </c>
      <c r="AF1534" s="70">
        <v>0</v>
      </c>
      <c r="AG1534" s="17"/>
      <c r="AH1534" s="18"/>
      <c r="AI1534" s="95" t="s">
        <v>4346</v>
      </c>
      <c r="AJ1534" s="96" t="s">
        <v>4347</v>
      </c>
      <c r="AK1534" s="45"/>
      <c r="AL1534" s="89" t="s">
        <v>1073</v>
      </c>
      <c r="AM1534" s="20" t="s">
        <v>2410</v>
      </c>
      <c r="AN1534" s="19"/>
      <c r="AO1534" s="19"/>
      <c r="AP1534" s="19"/>
      <c r="AQ1534" s="19"/>
      <c r="AR1534" s="19"/>
      <c r="AS1534" s="19"/>
      <c r="AT1534" s="19"/>
      <c r="AU1534" s="19"/>
      <c r="AV1534" s="19"/>
      <c r="AW1534" s="19"/>
      <c r="AX1534" s="107"/>
      <c r="AY1534" s="107"/>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39"/>
      <c r="CO1534" s="138"/>
      <c r="CP1534" s="139"/>
      <c r="CQ1534" s="138"/>
      <c r="CR1534" s="139"/>
      <c r="CS1534" s="138"/>
      <c r="CT1534" s="72"/>
      <c r="CU1534" s="139"/>
      <c r="CV1534" s="99">
        <f t="shared" si="143"/>
        <v>0</v>
      </c>
      <c r="CW1534" s="139"/>
      <c r="CX1534" s="138"/>
      <c r="CY1534" s="138"/>
      <c r="CZ1534" s="138"/>
      <c r="DA1534" s="139"/>
      <c r="DB1534" s="138"/>
      <c r="DC1534" s="45"/>
      <c r="DD1534" s="138"/>
      <c r="DE1534" s="45"/>
      <c r="DF1534" s="46"/>
    </row>
    <row r="1535" spans="1:110" s="42" customFormat="1" ht="24" x14ac:dyDescent="0.2">
      <c r="A1535" s="89">
        <v>40718</v>
      </c>
      <c r="B1535" s="106" t="s">
        <v>2226</v>
      </c>
      <c r="C1535" s="106" t="s">
        <v>2942</v>
      </c>
      <c r="D1535" s="90" t="s">
        <v>4264</v>
      </c>
      <c r="E1535" s="90" t="str">
        <f>VLOOKUP(B1535&amp;C1535,Divipola!$C$2:$F$1138,4,FALSE)</f>
        <v>68377</v>
      </c>
      <c r="F1535" s="4"/>
      <c r="G1535" s="274"/>
      <c r="H1535" s="274"/>
      <c r="I1535" s="274"/>
      <c r="J1535" s="129">
        <v>95</v>
      </c>
      <c r="K1535" s="129">
        <v>19</v>
      </c>
      <c r="L1535" s="129"/>
      <c r="M1535" s="129">
        <v>19</v>
      </c>
      <c r="N1535" s="208"/>
      <c r="O1535" s="208"/>
      <c r="P1535" s="208"/>
      <c r="Q1535" s="208"/>
      <c r="R1535" s="208"/>
      <c r="S1535" s="208"/>
      <c r="T1535" s="208"/>
      <c r="U1535" s="208"/>
      <c r="V1535" s="208"/>
      <c r="W1535" s="19"/>
      <c r="X1535" s="17"/>
      <c r="Y1535" s="5">
        <f t="shared" si="144"/>
        <v>0</v>
      </c>
      <c r="Z1535" s="5">
        <f t="shared" si="145"/>
        <v>0</v>
      </c>
      <c r="AA1535" s="5">
        <f t="shared" si="146"/>
        <v>0</v>
      </c>
      <c r="AB1535" s="5">
        <f t="shared" si="147"/>
        <v>0</v>
      </c>
      <c r="AC1535" s="5"/>
      <c r="AD1535" s="5">
        <v>0</v>
      </c>
      <c r="AE1535" s="5">
        <f t="shared" si="148"/>
        <v>0</v>
      </c>
      <c r="AF1535" s="70">
        <v>0</v>
      </c>
      <c r="AG1535" s="17"/>
      <c r="AH1535" s="18"/>
      <c r="AI1535" s="109" t="s">
        <v>4336</v>
      </c>
      <c r="AJ1535" s="110" t="s">
        <v>4337</v>
      </c>
      <c r="AK1535" s="45"/>
      <c r="AL1535" s="89" t="s">
        <v>1073</v>
      </c>
      <c r="AM1535" s="112" t="s">
        <v>1984</v>
      </c>
      <c r="AN1535" s="19"/>
      <c r="AO1535" s="19"/>
      <c r="AP1535" s="19"/>
      <c r="AQ1535" s="19"/>
      <c r="AR1535" s="19"/>
      <c r="AS1535" s="19"/>
      <c r="AT1535" s="19"/>
      <c r="AU1535" s="19"/>
      <c r="AV1535" s="19"/>
      <c r="AW1535" s="19"/>
      <c r="AX1535" s="107"/>
      <c r="AY1535" s="107"/>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39"/>
      <c r="CO1535" s="138"/>
      <c r="CP1535" s="139"/>
      <c r="CQ1535" s="138"/>
      <c r="CR1535" s="139"/>
      <c r="CS1535" s="138"/>
      <c r="CT1535" s="72"/>
      <c r="CU1535" s="139"/>
      <c r="CV1535" s="99">
        <f t="shared" si="143"/>
        <v>0</v>
      </c>
      <c r="CW1535" s="139"/>
      <c r="CX1535" s="138"/>
      <c r="CY1535" s="138"/>
      <c r="CZ1535" s="138"/>
      <c r="DA1535" s="139"/>
      <c r="DB1535" s="138"/>
      <c r="DC1535" s="45"/>
      <c r="DD1535" s="138"/>
      <c r="DE1535" s="45"/>
      <c r="DF1535" s="46"/>
    </row>
    <row r="1536" spans="1:110" s="42" customFormat="1" ht="24" x14ac:dyDescent="0.2">
      <c r="A1536" s="89">
        <v>40718</v>
      </c>
      <c r="B1536" s="106" t="s">
        <v>2226</v>
      </c>
      <c r="C1536" s="106" t="s">
        <v>1574</v>
      </c>
      <c r="D1536" s="90" t="s">
        <v>4264</v>
      </c>
      <c r="E1536" s="90" t="str">
        <f>VLOOKUP(B1536&amp;C1536,Divipola!$C$2:$F$1138,4,FALSE)</f>
        <v>68397</v>
      </c>
      <c r="F1536" s="4"/>
      <c r="G1536" s="274"/>
      <c r="H1536" s="274"/>
      <c r="I1536" s="274"/>
      <c r="J1536" s="129">
        <v>95</v>
      </c>
      <c r="K1536" s="129">
        <v>19</v>
      </c>
      <c r="L1536" s="129"/>
      <c r="M1536" s="129">
        <v>19</v>
      </c>
      <c r="N1536" s="208"/>
      <c r="O1536" s="208"/>
      <c r="P1536" s="208"/>
      <c r="Q1536" s="208"/>
      <c r="R1536" s="208"/>
      <c r="S1536" s="208"/>
      <c r="T1536" s="208"/>
      <c r="U1536" s="208"/>
      <c r="V1536" s="208"/>
      <c r="W1536" s="19"/>
      <c r="X1536" s="17"/>
      <c r="Y1536" s="5">
        <f t="shared" si="144"/>
        <v>0</v>
      </c>
      <c r="Z1536" s="5">
        <f t="shared" si="145"/>
        <v>0</v>
      </c>
      <c r="AA1536" s="5">
        <f t="shared" si="146"/>
        <v>0</v>
      </c>
      <c r="AB1536" s="5">
        <f t="shared" si="147"/>
        <v>0</v>
      </c>
      <c r="AC1536" s="5"/>
      <c r="AD1536" s="5">
        <v>0</v>
      </c>
      <c r="AE1536" s="5">
        <f t="shared" si="148"/>
        <v>0</v>
      </c>
      <c r="AF1536" s="70">
        <v>0</v>
      </c>
      <c r="AG1536" s="17"/>
      <c r="AH1536" s="18"/>
      <c r="AI1536" s="109" t="s">
        <v>4336</v>
      </c>
      <c r="AJ1536" s="110" t="s">
        <v>4337</v>
      </c>
      <c r="AK1536" s="45"/>
      <c r="AL1536" s="89" t="s">
        <v>1073</v>
      </c>
      <c r="AM1536" s="112" t="s">
        <v>1984</v>
      </c>
      <c r="AN1536" s="19"/>
      <c r="AO1536" s="19"/>
      <c r="AP1536" s="19"/>
      <c r="AQ1536" s="19"/>
      <c r="AR1536" s="19"/>
      <c r="AS1536" s="19"/>
      <c r="AT1536" s="19"/>
      <c r="AU1536" s="19"/>
      <c r="AV1536" s="19"/>
      <c r="AW1536" s="19"/>
      <c r="AX1536" s="107"/>
      <c r="AY1536" s="107"/>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c r="BW1536" s="19"/>
      <c r="BX1536" s="19"/>
      <c r="BY1536" s="19"/>
      <c r="BZ1536" s="19"/>
      <c r="CA1536" s="19"/>
      <c r="CB1536" s="19"/>
      <c r="CC1536" s="19"/>
      <c r="CD1536" s="19"/>
      <c r="CE1536" s="19"/>
      <c r="CF1536" s="19"/>
      <c r="CG1536" s="19"/>
      <c r="CH1536" s="19"/>
      <c r="CI1536" s="19"/>
      <c r="CJ1536" s="19"/>
      <c r="CK1536" s="19"/>
      <c r="CL1536" s="19"/>
      <c r="CM1536" s="19"/>
      <c r="CN1536" s="139"/>
      <c r="CO1536" s="138"/>
      <c r="CP1536" s="139"/>
      <c r="CQ1536" s="138"/>
      <c r="CR1536" s="139"/>
      <c r="CS1536" s="138"/>
      <c r="CT1536" s="72"/>
      <c r="CU1536" s="139"/>
      <c r="CV1536" s="99">
        <f t="shared" si="143"/>
        <v>0</v>
      </c>
      <c r="CW1536" s="139"/>
      <c r="CX1536" s="138"/>
      <c r="CY1536" s="138"/>
      <c r="CZ1536" s="138"/>
      <c r="DA1536" s="139"/>
      <c r="DB1536" s="138"/>
      <c r="DC1536" s="45"/>
      <c r="DD1536" s="138"/>
      <c r="DE1536" s="45"/>
      <c r="DF1536" s="46"/>
    </row>
    <row r="1537" spans="1:111" s="42" customFormat="1" ht="24" x14ac:dyDescent="0.2">
      <c r="A1537" s="89">
        <v>40718</v>
      </c>
      <c r="B1537" s="90" t="s">
        <v>2226</v>
      </c>
      <c r="C1537" s="90" t="s">
        <v>2947</v>
      </c>
      <c r="D1537" s="90" t="s">
        <v>2362</v>
      </c>
      <c r="E1537" s="90" t="str">
        <f>VLOOKUP(B1537&amp;C1537,Divipola!$C$2:$F$1138,4,FALSE)</f>
        <v>68406</v>
      </c>
      <c r="F1537" s="4"/>
      <c r="G1537" s="101">
        <v>2</v>
      </c>
      <c r="H1537" s="101">
        <v>4</v>
      </c>
      <c r="I1537" s="101"/>
      <c r="J1537" s="101">
        <v>250</v>
      </c>
      <c r="K1537" s="101">
        <v>50</v>
      </c>
      <c r="L1537" s="101"/>
      <c r="M1537" s="101">
        <v>50</v>
      </c>
      <c r="N1537" s="208"/>
      <c r="O1537" s="208"/>
      <c r="P1537" s="208"/>
      <c r="Q1537" s="208"/>
      <c r="R1537" s="208"/>
      <c r="S1537" s="208"/>
      <c r="T1537" s="208"/>
      <c r="U1537" s="208"/>
      <c r="V1537" s="208"/>
      <c r="W1537" s="19"/>
      <c r="X1537" s="17"/>
      <c r="Y1537" s="5">
        <f t="shared" si="144"/>
        <v>0</v>
      </c>
      <c r="Z1537" s="5">
        <f t="shared" si="145"/>
        <v>0</v>
      </c>
      <c r="AA1537" s="5">
        <f t="shared" si="146"/>
        <v>0</v>
      </c>
      <c r="AB1537" s="5">
        <f t="shared" si="147"/>
        <v>0</v>
      </c>
      <c r="AC1537" s="5"/>
      <c r="AD1537" s="5">
        <v>0</v>
      </c>
      <c r="AE1537" s="5">
        <f t="shared" si="148"/>
        <v>0</v>
      </c>
      <c r="AF1537" s="70">
        <v>0</v>
      </c>
      <c r="AG1537" s="17"/>
      <c r="AH1537" s="18"/>
      <c r="AI1537" s="109" t="s">
        <v>4336</v>
      </c>
      <c r="AJ1537" s="110" t="s">
        <v>4337</v>
      </c>
      <c r="AK1537" s="45"/>
      <c r="AL1537" s="89" t="s">
        <v>1073</v>
      </c>
      <c r="AM1537" s="100" t="s">
        <v>1984</v>
      </c>
      <c r="AN1537" s="19"/>
      <c r="AO1537" s="19"/>
      <c r="AP1537" s="19"/>
      <c r="AQ1537" s="19"/>
      <c r="AR1537" s="19"/>
      <c r="AS1537" s="19"/>
      <c r="AT1537" s="19"/>
      <c r="AU1537" s="19"/>
      <c r="AV1537" s="19"/>
      <c r="AW1537" s="19"/>
      <c r="AX1537" s="107"/>
      <c r="AY1537" s="107"/>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39"/>
      <c r="CO1537" s="138"/>
      <c r="CP1537" s="139"/>
      <c r="CQ1537" s="138"/>
      <c r="CR1537" s="139"/>
      <c r="CS1537" s="138"/>
      <c r="CT1537" s="72"/>
      <c r="CU1537" s="139"/>
      <c r="CV1537" s="99">
        <f t="shared" si="143"/>
        <v>0</v>
      </c>
      <c r="CW1537" s="139"/>
      <c r="CX1537" s="138"/>
      <c r="CY1537" s="138"/>
      <c r="CZ1537" s="138"/>
      <c r="DA1537" s="139"/>
      <c r="DB1537" s="138"/>
      <c r="DC1537" s="45"/>
      <c r="DD1537" s="138"/>
      <c r="DE1537" s="45"/>
      <c r="DF1537" s="46"/>
    </row>
    <row r="1538" spans="1:111" s="42" customFormat="1" ht="120" x14ac:dyDescent="0.2">
      <c r="A1538" s="89">
        <v>40718</v>
      </c>
      <c r="B1538" s="90" t="s">
        <v>2226</v>
      </c>
      <c r="C1538" s="90" t="s">
        <v>2951</v>
      </c>
      <c r="D1538" s="90" t="s">
        <v>2362</v>
      </c>
      <c r="E1538" s="90" t="str">
        <f>VLOOKUP(B1538&amp;C1538,Divipola!$C$2:$F$1138,4,FALSE)</f>
        <v>68425</v>
      </c>
      <c r="F1538" s="4"/>
      <c r="G1538" s="101">
        <v>1</v>
      </c>
      <c r="H1538" s="101"/>
      <c r="I1538" s="101"/>
      <c r="J1538" s="101"/>
      <c r="K1538" s="101"/>
      <c r="L1538" s="101"/>
      <c r="M1538" s="101"/>
      <c r="N1538" s="208">
        <v>6</v>
      </c>
      <c r="O1538" s="208"/>
      <c r="P1538" s="208"/>
      <c r="Q1538" s="208"/>
      <c r="R1538" s="208"/>
      <c r="S1538" s="208"/>
      <c r="T1538" s="208"/>
      <c r="U1538" s="208"/>
      <c r="V1538" s="208"/>
      <c r="W1538" s="19"/>
      <c r="X1538" s="17"/>
      <c r="Y1538" s="5">
        <f t="shared" si="144"/>
        <v>0</v>
      </c>
      <c r="Z1538" s="5">
        <f t="shared" si="145"/>
        <v>0</v>
      </c>
      <c r="AA1538" s="5">
        <f t="shared" si="146"/>
        <v>0</v>
      </c>
      <c r="AB1538" s="5">
        <f t="shared" si="147"/>
        <v>0</v>
      </c>
      <c r="AC1538" s="5"/>
      <c r="AD1538" s="5">
        <v>30000000</v>
      </c>
      <c r="AE1538" s="5">
        <f t="shared" si="148"/>
        <v>30000000</v>
      </c>
      <c r="AF1538" s="70">
        <v>0</v>
      </c>
      <c r="AG1538" s="17"/>
      <c r="AH1538" s="18"/>
      <c r="AI1538" s="95" t="s">
        <v>4346</v>
      </c>
      <c r="AJ1538" s="96" t="s">
        <v>4347</v>
      </c>
      <c r="AK1538" s="45"/>
      <c r="AL1538" s="89" t="s">
        <v>1073</v>
      </c>
      <c r="AM1538" s="100" t="s">
        <v>1906</v>
      </c>
      <c r="AN1538" s="19"/>
      <c r="AO1538" s="19"/>
      <c r="AP1538" s="19"/>
      <c r="AQ1538" s="19"/>
      <c r="AR1538" s="19"/>
      <c r="AS1538" s="19"/>
      <c r="AT1538" s="19"/>
      <c r="AU1538" s="19"/>
      <c r="AV1538" s="19"/>
      <c r="AW1538" s="19"/>
      <c r="AX1538" s="107"/>
      <c r="AY1538" s="107"/>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39"/>
      <c r="CO1538" s="138"/>
      <c r="CP1538" s="139"/>
      <c r="CQ1538" s="138"/>
      <c r="CR1538" s="139"/>
      <c r="CS1538" s="138"/>
      <c r="CT1538" s="72"/>
      <c r="CU1538" s="139"/>
      <c r="CV1538" s="99">
        <f t="shared" si="143"/>
        <v>0</v>
      </c>
      <c r="CW1538" s="139"/>
      <c r="CX1538" s="138"/>
      <c r="CY1538" s="138"/>
      <c r="CZ1538" s="138"/>
      <c r="DA1538" s="139"/>
      <c r="DB1538" s="138"/>
      <c r="DC1538" s="45"/>
      <c r="DD1538" s="138"/>
      <c r="DE1538" s="45"/>
      <c r="DF1538" s="46"/>
    </row>
    <row r="1539" spans="1:111" s="42" customFormat="1" ht="24" x14ac:dyDescent="0.2">
      <c r="A1539" s="89">
        <v>40718</v>
      </c>
      <c r="B1539" s="90" t="s">
        <v>2226</v>
      </c>
      <c r="C1539" s="90" t="s">
        <v>4371</v>
      </c>
      <c r="D1539" s="90" t="s">
        <v>2362</v>
      </c>
      <c r="E1539" s="90" t="str">
        <f>VLOOKUP(B1539&amp;C1539,Divipola!$C$2:$F$1138,4,FALSE)</f>
        <v>68444</v>
      </c>
      <c r="F1539" s="4"/>
      <c r="G1539" s="101">
        <v>1</v>
      </c>
      <c r="H1539" s="101">
        <v>1</v>
      </c>
      <c r="I1539" s="101"/>
      <c r="J1539" s="101">
        <v>35</v>
      </c>
      <c r="K1539" s="101">
        <v>7</v>
      </c>
      <c r="L1539" s="101"/>
      <c r="M1539" s="101">
        <v>7</v>
      </c>
      <c r="N1539" s="101"/>
      <c r="O1539" s="208"/>
      <c r="P1539" s="208"/>
      <c r="Q1539" s="208"/>
      <c r="R1539" s="208"/>
      <c r="S1539" s="208"/>
      <c r="T1539" s="208"/>
      <c r="U1539" s="208"/>
      <c r="V1539" s="208"/>
      <c r="W1539" s="19"/>
      <c r="X1539" s="17"/>
      <c r="Y1539" s="5">
        <f t="shared" si="144"/>
        <v>0</v>
      </c>
      <c r="Z1539" s="5">
        <f t="shared" si="145"/>
        <v>0</v>
      </c>
      <c r="AA1539" s="5">
        <f t="shared" si="146"/>
        <v>0</v>
      </c>
      <c r="AB1539" s="5">
        <f t="shared" si="147"/>
        <v>0</v>
      </c>
      <c r="AC1539" s="5"/>
      <c r="AD1539" s="5">
        <v>0</v>
      </c>
      <c r="AE1539" s="5">
        <f t="shared" si="148"/>
        <v>0</v>
      </c>
      <c r="AF1539" s="70">
        <v>0</v>
      </c>
      <c r="AG1539" s="17"/>
      <c r="AH1539" s="18"/>
      <c r="AI1539" s="109" t="s">
        <v>4336</v>
      </c>
      <c r="AJ1539" s="110" t="s">
        <v>4337</v>
      </c>
      <c r="AK1539" s="45"/>
      <c r="AL1539" s="89" t="s">
        <v>1073</v>
      </c>
      <c r="AM1539" s="100" t="s">
        <v>1984</v>
      </c>
      <c r="AN1539" s="19"/>
      <c r="AO1539" s="19"/>
      <c r="AP1539" s="19"/>
      <c r="AQ1539" s="19"/>
      <c r="AR1539" s="19"/>
      <c r="AS1539" s="19"/>
      <c r="AT1539" s="19"/>
      <c r="AU1539" s="19"/>
      <c r="AV1539" s="19"/>
      <c r="AW1539" s="19"/>
      <c r="AX1539" s="107"/>
      <c r="AY1539" s="107"/>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39"/>
      <c r="CO1539" s="138"/>
      <c r="CP1539" s="139"/>
      <c r="CQ1539" s="138"/>
      <c r="CR1539" s="139"/>
      <c r="CS1539" s="138"/>
      <c r="CT1539" s="72"/>
      <c r="CU1539" s="139"/>
      <c r="CV1539" s="99">
        <f t="shared" ref="CV1539:CV1602" si="149">AO1539+AQ1539+AS1539+AU1539+AW1539+AY1539+BA1539+BC1539+BE1539+BG1539+BI1539+BK1539+BM1539+BO1539+BQ1539+BS1539+BU1539+BW1539+BY1539+CA1539+CC1539+CE1539+CG1539+CI1539+CK1539+CM1539+CO1539+CQ1539+CS1539+CU1539</f>
        <v>0</v>
      </c>
      <c r="CW1539" s="139"/>
      <c r="CX1539" s="138"/>
      <c r="CY1539" s="138"/>
      <c r="CZ1539" s="138"/>
      <c r="DA1539" s="139"/>
      <c r="DB1539" s="138"/>
      <c r="DC1539" s="45"/>
      <c r="DD1539" s="138"/>
      <c r="DE1539" s="45"/>
      <c r="DF1539" s="46"/>
      <c r="DG1539" s="42">
        <v>1839</v>
      </c>
    </row>
    <row r="1540" spans="1:111" s="42" customFormat="1" ht="60" x14ac:dyDescent="0.2">
      <c r="A1540" s="89">
        <v>40718</v>
      </c>
      <c r="B1540" s="90" t="s">
        <v>2226</v>
      </c>
      <c r="C1540" s="90" t="s">
        <v>2962</v>
      </c>
      <c r="D1540" s="90" t="s">
        <v>4264</v>
      </c>
      <c r="E1540" s="90" t="str">
        <f>VLOOKUP(B1540&amp;C1540,Divipola!$C$2:$F$1138,4,FALSE)</f>
        <v>68500</v>
      </c>
      <c r="F1540" s="4"/>
      <c r="G1540" s="274"/>
      <c r="H1540" s="274"/>
      <c r="I1540" s="274"/>
      <c r="J1540" s="129">
        <v>430</v>
      </c>
      <c r="K1540" s="129">
        <v>86</v>
      </c>
      <c r="L1540" s="129"/>
      <c r="M1540" s="129">
        <v>86</v>
      </c>
      <c r="N1540" s="129"/>
      <c r="O1540" s="208"/>
      <c r="P1540" s="208"/>
      <c r="Q1540" s="208"/>
      <c r="R1540" s="208"/>
      <c r="S1540" s="208"/>
      <c r="T1540" s="208"/>
      <c r="U1540" s="208"/>
      <c r="V1540" s="208"/>
      <c r="W1540" s="19"/>
      <c r="X1540" s="17"/>
      <c r="Y1540" s="5">
        <f t="shared" si="144"/>
        <v>0</v>
      </c>
      <c r="Z1540" s="5">
        <f t="shared" si="145"/>
        <v>0</v>
      </c>
      <c r="AA1540" s="5">
        <f t="shared" si="146"/>
        <v>0</v>
      </c>
      <c r="AB1540" s="5">
        <f t="shared" si="147"/>
        <v>0</v>
      </c>
      <c r="AC1540" s="5"/>
      <c r="AD1540" s="5">
        <v>7000000</v>
      </c>
      <c r="AE1540" s="5">
        <f t="shared" si="148"/>
        <v>7000000</v>
      </c>
      <c r="AF1540" s="70">
        <v>0</v>
      </c>
      <c r="AG1540" s="17"/>
      <c r="AH1540" s="18"/>
      <c r="AI1540" s="95" t="s">
        <v>4346</v>
      </c>
      <c r="AJ1540" s="96" t="s">
        <v>4347</v>
      </c>
      <c r="AK1540" s="45"/>
      <c r="AL1540" s="89" t="s">
        <v>1073</v>
      </c>
      <c r="AM1540" s="112" t="s">
        <v>1908</v>
      </c>
      <c r="AN1540" s="19"/>
      <c r="AO1540" s="19"/>
      <c r="AP1540" s="19"/>
      <c r="AQ1540" s="19"/>
      <c r="AR1540" s="19"/>
      <c r="AS1540" s="19"/>
      <c r="AT1540" s="19"/>
      <c r="AU1540" s="19"/>
      <c r="AV1540" s="19"/>
      <c r="AW1540" s="19"/>
      <c r="AX1540" s="107"/>
      <c r="AY1540" s="107"/>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39"/>
      <c r="CO1540" s="138"/>
      <c r="CP1540" s="139"/>
      <c r="CQ1540" s="138"/>
      <c r="CR1540" s="139"/>
      <c r="CS1540" s="138"/>
      <c r="CT1540" s="72"/>
      <c r="CU1540" s="139"/>
      <c r="CV1540" s="99">
        <f t="shared" si="149"/>
        <v>0</v>
      </c>
      <c r="CW1540" s="139"/>
      <c r="CX1540" s="138"/>
      <c r="CY1540" s="138"/>
      <c r="CZ1540" s="138"/>
      <c r="DA1540" s="139"/>
      <c r="DB1540" s="138"/>
      <c r="DC1540" s="45"/>
      <c r="DD1540" s="138"/>
      <c r="DE1540" s="45"/>
      <c r="DF1540" s="46"/>
    </row>
    <row r="1541" spans="1:111" s="42" customFormat="1" ht="60" x14ac:dyDescent="0.2">
      <c r="A1541" s="89">
        <v>40718</v>
      </c>
      <c r="B1541" s="90" t="s">
        <v>2226</v>
      </c>
      <c r="C1541" s="90" t="s">
        <v>2984</v>
      </c>
      <c r="D1541" s="90" t="s">
        <v>4264</v>
      </c>
      <c r="E1541" s="90" t="str">
        <f>VLOOKUP(B1541&amp;C1541,Divipola!$C$2:$F$1138,4,FALSE)</f>
        <v>68669</v>
      </c>
      <c r="F1541" s="4"/>
      <c r="G1541" s="274"/>
      <c r="H1541" s="274"/>
      <c r="I1541" s="274"/>
      <c r="J1541" s="101">
        <v>6770</v>
      </c>
      <c r="K1541" s="101">
        <v>1354</v>
      </c>
      <c r="L1541" s="101"/>
      <c r="M1541" s="101">
        <v>1354</v>
      </c>
      <c r="N1541" s="208"/>
      <c r="O1541" s="208"/>
      <c r="P1541" s="208"/>
      <c r="Q1541" s="208"/>
      <c r="R1541" s="208"/>
      <c r="S1541" s="208"/>
      <c r="T1541" s="208"/>
      <c r="U1541" s="208"/>
      <c r="V1541" s="208"/>
      <c r="W1541" s="19"/>
      <c r="X1541" s="17"/>
      <c r="Y1541" s="5">
        <f t="shared" si="144"/>
        <v>0</v>
      </c>
      <c r="Z1541" s="5">
        <f t="shared" si="145"/>
        <v>0</v>
      </c>
      <c r="AA1541" s="5">
        <f t="shared" si="146"/>
        <v>0</v>
      </c>
      <c r="AB1541" s="5">
        <f t="shared" si="147"/>
        <v>0</v>
      </c>
      <c r="AC1541" s="5"/>
      <c r="AD1541" s="5">
        <v>15000000</v>
      </c>
      <c r="AE1541" s="5">
        <f t="shared" si="148"/>
        <v>15000000</v>
      </c>
      <c r="AF1541" s="70">
        <v>0</v>
      </c>
      <c r="AG1541" s="17"/>
      <c r="AH1541" s="18"/>
      <c r="AI1541" s="109" t="s">
        <v>4346</v>
      </c>
      <c r="AJ1541" s="110" t="s">
        <v>4347</v>
      </c>
      <c r="AK1541" s="45"/>
      <c r="AL1541" s="89" t="s">
        <v>1073</v>
      </c>
      <c r="AM1541" s="100" t="s">
        <v>136</v>
      </c>
      <c r="AN1541" s="19"/>
      <c r="AO1541" s="19"/>
      <c r="AP1541" s="19"/>
      <c r="AQ1541" s="19"/>
      <c r="AR1541" s="19"/>
      <c r="AS1541" s="19"/>
      <c r="AT1541" s="19"/>
      <c r="AU1541" s="19"/>
      <c r="AV1541" s="19"/>
      <c r="AW1541" s="19"/>
      <c r="AX1541" s="107"/>
      <c r="AY1541" s="107"/>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39"/>
      <c r="CO1541" s="138"/>
      <c r="CP1541" s="139"/>
      <c r="CQ1541" s="138"/>
      <c r="CR1541" s="139"/>
      <c r="CS1541" s="138"/>
      <c r="CT1541" s="72"/>
      <c r="CU1541" s="139"/>
      <c r="CV1541" s="99">
        <f t="shared" si="149"/>
        <v>0</v>
      </c>
      <c r="CW1541" s="139"/>
      <c r="CX1541" s="138"/>
      <c r="CY1541" s="138"/>
      <c r="CZ1541" s="138"/>
      <c r="DA1541" s="139"/>
      <c r="DB1541" s="138"/>
      <c r="DC1541" s="45"/>
      <c r="DD1541" s="138"/>
      <c r="DE1541" s="45"/>
      <c r="DF1541" s="46"/>
    </row>
    <row r="1542" spans="1:111" s="42" customFormat="1" ht="24" x14ac:dyDescent="0.2">
      <c r="A1542" s="89">
        <v>40718</v>
      </c>
      <c r="B1542" s="90" t="s">
        <v>2226</v>
      </c>
      <c r="C1542" s="90" t="s">
        <v>2986</v>
      </c>
      <c r="D1542" s="90" t="s">
        <v>4264</v>
      </c>
      <c r="E1542" s="90" t="str">
        <f>VLOOKUP(B1542&amp;C1542,Divipola!$C$2:$F$1138,4,FALSE)</f>
        <v>68673</v>
      </c>
      <c r="F1542" s="4"/>
      <c r="G1542" s="274"/>
      <c r="H1542" s="274"/>
      <c r="I1542" s="274"/>
      <c r="J1542" s="101">
        <v>25</v>
      </c>
      <c r="K1542" s="101">
        <v>5</v>
      </c>
      <c r="L1542" s="101"/>
      <c r="M1542" s="101">
        <v>5</v>
      </c>
      <c r="N1542" s="208"/>
      <c r="O1542" s="208"/>
      <c r="P1542" s="208"/>
      <c r="Q1542" s="208"/>
      <c r="R1542" s="208"/>
      <c r="S1542" s="208"/>
      <c r="T1542" s="208"/>
      <c r="U1542" s="208"/>
      <c r="V1542" s="208"/>
      <c r="W1542" s="19"/>
      <c r="X1542" s="17"/>
      <c r="Y1542" s="5">
        <f t="shared" si="144"/>
        <v>0</v>
      </c>
      <c r="Z1542" s="5">
        <f t="shared" si="145"/>
        <v>0</v>
      </c>
      <c r="AA1542" s="5">
        <f t="shared" si="146"/>
        <v>0</v>
      </c>
      <c r="AB1542" s="5">
        <f t="shared" si="147"/>
        <v>0</v>
      </c>
      <c r="AC1542" s="5"/>
      <c r="AD1542" s="5">
        <v>0</v>
      </c>
      <c r="AE1542" s="5">
        <f t="shared" si="148"/>
        <v>0</v>
      </c>
      <c r="AF1542" s="70">
        <v>0</v>
      </c>
      <c r="AG1542" s="17"/>
      <c r="AH1542" s="18"/>
      <c r="AI1542" s="109" t="s">
        <v>4336</v>
      </c>
      <c r="AJ1542" s="110" t="s">
        <v>4337</v>
      </c>
      <c r="AK1542" s="45"/>
      <c r="AL1542" s="89" t="s">
        <v>1073</v>
      </c>
      <c r="AM1542" s="100" t="s">
        <v>1984</v>
      </c>
      <c r="AN1542" s="19"/>
      <c r="AO1542" s="19"/>
      <c r="AP1542" s="19"/>
      <c r="AQ1542" s="19"/>
      <c r="AR1542" s="19"/>
      <c r="AS1542" s="19"/>
      <c r="AT1542" s="19"/>
      <c r="AU1542" s="19"/>
      <c r="AV1542" s="19"/>
      <c r="AW1542" s="19"/>
      <c r="AX1542" s="107"/>
      <c r="AY1542" s="107"/>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39"/>
      <c r="CO1542" s="138"/>
      <c r="CP1542" s="139"/>
      <c r="CQ1542" s="138"/>
      <c r="CR1542" s="139"/>
      <c r="CS1542" s="138"/>
      <c r="CT1542" s="72"/>
      <c r="CU1542" s="139"/>
      <c r="CV1542" s="99">
        <f t="shared" si="149"/>
        <v>0</v>
      </c>
      <c r="CW1542" s="139"/>
      <c r="CX1542" s="138"/>
      <c r="CY1542" s="138"/>
      <c r="CZ1542" s="138"/>
      <c r="DA1542" s="139"/>
      <c r="DB1542" s="138"/>
      <c r="DC1542" s="45"/>
      <c r="DD1542" s="138"/>
      <c r="DE1542" s="45"/>
      <c r="DF1542" s="46"/>
    </row>
    <row r="1543" spans="1:111" s="42" customFormat="1" ht="24" x14ac:dyDescent="0.2">
      <c r="A1543" s="89">
        <v>40718</v>
      </c>
      <c r="B1543" s="106" t="s">
        <v>2226</v>
      </c>
      <c r="C1543" s="106" t="s">
        <v>2993</v>
      </c>
      <c r="D1543" s="90" t="s">
        <v>2362</v>
      </c>
      <c r="E1543" s="90" t="str">
        <f>VLOOKUP(B1543&amp;C1543,Divipola!$C$2:$F$1138,4,FALSE)</f>
        <v>68684</v>
      </c>
      <c r="F1543" s="90"/>
      <c r="G1543" s="129"/>
      <c r="H1543" s="129"/>
      <c r="I1543" s="129"/>
      <c r="J1543" s="129">
        <v>880</v>
      </c>
      <c r="K1543" s="129">
        <v>176</v>
      </c>
      <c r="L1543" s="129"/>
      <c r="M1543" s="129">
        <v>176</v>
      </c>
      <c r="N1543" s="129"/>
      <c r="O1543" s="129"/>
      <c r="P1543" s="129"/>
      <c r="Q1543" s="129"/>
      <c r="R1543" s="129"/>
      <c r="S1543" s="129"/>
      <c r="T1543" s="129"/>
      <c r="U1543" s="129"/>
      <c r="V1543" s="129"/>
      <c r="W1543" s="107"/>
      <c r="X1543" s="105"/>
      <c r="Y1543" s="5">
        <f t="shared" si="144"/>
        <v>0</v>
      </c>
      <c r="Z1543" s="5">
        <f t="shared" si="145"/>
        <v>0</v>
      </c>
      <c r="AA1543" s="5">
        <f t="shared" si="146"/>
        <v>0</v>
      </c>
      <c r="AB1543" s="5">
        <f t="shared" si="147"/>
        <v>0</v>
      </c>
      <c r="AC1543" s="5"/>
      <c r="AD1543" s="5">
        <v>0</v>
      </c>
      <c r="AE1543" s="5">
        <f t="shared" si="148"/>
        <v>0</v>
      </c>
      <c r="AF1543" s="70">
        <v>0</v>
      </c>
      <c r="AG1543" s="17"/>
      <c r="AH1543" s="18"/>
      <c r="AI1543" s="109" t="s">
        <v>4336</v>
      </c>
      <c r="AJ1543" s="110" t="s">
        <v>4337</v>
      </c>
      <c r="AK1543" s="45"/>
      <c r="AL1543" s="89" t="s">
        <v>1073</v>
      </c>
      <c r="AM1543" s="112" t="s">
        <v>1984</v>
      </c>
      <c r="AN1543" s="19"/>
      <c r="AO1543" s="19"/>
      <c r="AP1543" s="19"/>
      <c r="AQ1543" s="19"/>
      <c r="AR1543" s="19"/>
      <c r="AS1543" s="19"/>
      <c r="AT1543" s="19"/>
      <c r="AU1543" s="19"/>
      <c r="AV1543" s="19"/>
      <c r="AW1543" s="19"/>
      <c r="AX1543" s="107"/>
      <c r="AY1543" s="107"/>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39"/>
      <c r="CO1543" s="138"/>
      <c r="CP1543" s="139"/>
      <c r="CQ1543" s="138"/>
      <c r="CR1543" s="139"/>
      <c r="CS1543" s="138"/>
      <c r="CT1543" s="72"/>
      <c r="CU1543" s="139"/>
      <c r="CV1543" s="99">
        <f t="shared" si="149"/>
        <v>0</v>
      </c>
      <c r="CW1543" s="139"/>
      <c r="CX1543" s="138"/>
      <c r="CY1543" s="138"/>
      <c r="CZ1543" s="138"/>
      <c r="DA1543" s="139"/>
      <c r="DB1543" s="138"/>
      <c r="DC1543" s="45"/>
      <c r="DD1543" s="138"/>
      <c r="DE1543" s="45"/>
      <c r="DF1543" s="46"/>
    </row>
    <row r="1544" spans="1:111" s="42" customFormat="1" ht="24" x14ac:dyDescent="0.2">
      <c r="A1544" s="89">
        <v>40718</v>
      </c>
      <c r="B1544" s="106" t="s">
        <v>2226</v>
      </c>
      <c r="C1544" s="106" t="s">
        <v>3002</v>
      </c>
      <c r="D1544" s="90" t="s">
        <v>2362</v>
      </c>
      <c r="E1544" s="90" t="str">
        <f>VLOOKUP(B1544&amp;C1544,Divipola!$C$2:$F$1138,4,FALSE)</f>
        <v>68770</v>
      </c>
      <c r="F1544" s="4"/>
      <c r="G1544" s="274"/>
      <c r="H1544" s="274"/>
      <c r="I1544" s="274"/>
      <c r="J1544" s="129">
        <v>190</v>
      </c>
      <c r="K1544" s="129">
        <v>38</v>
      </c>
      <c r="L1544" s="129"/>
      <c r="M1544" s="129">
        <v>38</v>
      </c>
      <c r="N1544" s="208"/>
      <c r="O1544" s="208"/>
      <c r="P1544" s="208"/>
      <c r="Q1544" s="208"/>
      <c r="R1544" s="208"/>
      <c r="S1544" s="208"/>
      <c r="T1544" s="208"/>
      <c r="U1544" s="208"/>
      <c r="V1544" s="208"/>
      <c r="W1544" s="19"/>
      <c r="X1544" s="17"/>
      <c r="Y1544" s="5">
        <f t="shared" si="144"/>
        <v>0</v>
      </c>
      <c r="Z1544" s="5">
        <f t="shared" si="145"/>
        <v>0</v>
      </c>
      <c r="AA1544" s="5">
        <f t="shared" si="146"/>
        <v>0</v>
      </c>
      <c r="AB1544" s="5">
        <f t="shared" si="147"/>
        <v>0</v>
      </c>
      <c r="AC1544" s="5"/>
      <c r="AD1544" s="5">
        <v>0</v>
      </c>
      <c r="AE1544" s="5">
        <f t="shared" si="148"/>
        <v>0</v>
      </c>
      <c r="AF1544" s="70">
        <v>0</v>
      </c>
      <c r="AG1544" s="17"/>
      <c r="AH1544" s="18"/>
      <c r="AI1544" s="109" t="s">
        <v>4336</v>
      </c>
      <c r="AJ1544" s="110" t="s">
        <v>4337</v>
      </c>
      <c r="AK1544" s="45"/>
      <c r="AL1544" s="89" t="s">
        <v>1073</v>
      </c>
      <c r="AM1544" s="112" t="s">
        <v>1984</v>
      </c>
      <c r="AN1544" s="19"/>
      <c r="AO1544" s="19"/>
      <c r="AP1544" s="19"/>
      <c r="AQ1544" s="19"/>
      <c r="AR1544" s="19"/>
      <c r="AS1544" s="19"/>
      <c r="AT1544" s="19"/>
      <c r="AU1544" s="19"/>
      <c r="AV1544" s="19"/>
      <c r="AW1544" s="19"/>
      <c r="AX1544" s="107"/>
      <c r="AY1544" s="107"/>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39"/>
      <c r="CO1544" s="138"/>
      <c r="CP1544" s="139"/>
      <c r="CQ1544" s="138"/>
      <c r="CR1544" s="139"/>
      <c r="CS1544" s="138"/>
      <c r="CT1544" s="72"/>
      <c r="CU1544" s="139"/>
      <c r="CV1544" s="99">
        <f t="shared" si="149"/>
        <v>0</v>
      </c>
      <c r="CW1544" s="139"/>
      <c r="CX1544" s="138"/>
      <c r="CY1544" s="138"/>
      <c r="CZ1544" s="138"/>
      <c r="DA1544" s="139"/>
      <c r="DB1544" s="138"/>
      <c r="DC1544" s="45"/>
      <c r="DD1544" s="138"/>
      <c r="DE1544" s="45"/>
      <c r="DF1544" s="46"/>
    </row>
    <row r="1545" spans="1:111" s="42" customFormat="1" ht="24" x14ac:dyDescent="0.2">
      <c r="A1545" s="89">
        <v>40718</v>
      </c>
      <c r="B1545" s="106" t="s">
        <v>2226</v>
      </c>
      <c r="C1545" s="106" t="s">
        <v>3011</v>
      </c>
      <c r="D1545" s="90" t="s">
        <v>4264</v>
      </c>
      <c r="E1545" s="90" t="str">
        <f>VLOOKUP(B1545&amp;C1545,Divipola!$C$2:$F$1138,4,FALSE)</f>
        <v>68867</v>
      </c>
      <c r="F1545" s="4"/>
      <c r="G1545" s="129">
        <v>1</v>
      </c>
      <c r="H1545" s="129"/>
      <c r="I1545" s="129"/>
      <c r="J1545" s="129">
        <v>1170</v>
      </c>
      <c r="K1545" s="129">
        <v>234</v>
      </c>
      <c r="L1545" s="129"/>
      <c r="M1545" s="129">
        <v>234</v>
      </c>
      <c r="N1545" s="208"/>
      <c r="O1545" s="208"/>
      <c r="P1545" s="208"/>
      <c r="Q1545" s="208"/>
      <c r="R1545" s="208"/>
      <c r="S1545" s="208"/>
      <c r="T1545" s="208"/>
      <c r="U1545" s="208"/>
      <c r="V1545" s="208"/>
      <c r="W1545" s="19"/>
      <c r="X1545" s="17"/>
      <c r="Y1545" s="5">
        <f t="shared" si="144"/>
        <v>0</v>
      </c>
      <c r="Z1545" s="5">
        <f t="shared" si="145"/>
        <v>0</v>
      </c>
      <c r="AA1545" s="5">
        <f t="shared" si="146"/>
        <v>0</v>
      </c>
      <c r="AB1545" s="5">
        <f t="shared" si="147"/>
        <v>0</v>
      </c>
      <c r="AC1545" s="5"/>
      <c r="AD1545" s="5">
        <v>0</v>
      </c>
      <c r="AE1545" s="5">
        <f t="shared" si="148"/>
        <v>0</v>
      </c>
      <c r="AF1545" s="70">
        <v>0</v>
      </c>
      <c r="AG1545" s="17"/>
      <c r="AH1545" s="18"/>
      <c r="AI1545" s="109" t="s">
        <v>4336</v>
      </c>
      <c r="AJ1545" s="110" t="s">
        <v>4337</v>
      </c>
      <c r="AK1545" s="45"/>
      <c r="AL1545" s="89" t="s">
        <v>1073</v>
      </c>
      <c r="AM1545" s="112" t="s">
        <v>1984</v>
      </c>
      <c r="AN1545" s="19"/>
      <c r="AO1545" s="19"/>
      <c r="AP1545" s="19"/>
      <c r="AQ1545" s="19"/>
      <c r="AR1545" s="19"/>
      <c r="AS1545" s="19"/>
      <c r="AT1545" s="19"/>
      <c r="AU1545" s="19"/>
      <c r="AV1545" s="19"/>
      <c r="AW1545" s="19"/>
      <c r="AX1545" s="107"/>
      <c r="AY1545" s="107"/>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39"/>
      <c r="CO1545" s="138"/>
      <c r="CP1545" s="139"/>
      <c r="CQ1545" s="138"/>
      <c r="CR1545" s="139"/>
      <c r="CS1545" s="138"/>
      <c r="CT1545" s="72"/>
      <c r="CU1545" s="139"/>
      <c r="CV1545" s="99">
        <f t="shared" si="149"/>
        <v>0</v>
      </c>
      <c r="CW1545" s="139"/>
      <c r="CX1545" s="138"/>
      <c r="CY1545" s="138"/>
      <c r="CZ1545" s="138"/>
      <c r="DA1545" s="139"/>
      <c r="DB1545" s="138"/>
      <c r="DC1545" s="45"/>
      <c r="DD1545" s="138"/>
      <c r="DE1545" s="45"/>
      <c r="DF1545" s="46"/>
    </row>
    <row r="1546" spans="1:111" s="42" customFormat="1" ht="24" x14ac:dyDescent="0.2">
      <c r="A1546" s="89">
        <v>40718</v>
      </c>
      <c r="B1546" s="106" t="s">
        <v>2226</v>
      </c>
      <c r="C1546" s="106" t="s">
        <v>3014</v>
      </c>
      <c r="D1546" s="90" t="s">
        <v>4264</v>
      </c>
      <c r="E1546" s="90" t="str">
        <f>VLOOKUP(B1546&amp;C1546,Divipola!$C$2:$F$1138,4,FALSE)</f>
        <v>68895</v>
      </c>
      <c r="F1546" s="90"/>
      <c r="G1546" s="279"/>
      <c r="H1546" s="279"/>
      <c r="I1546" s="279"/>
      <c r="J1546" s="129">
        <v>1250</v>
      </c>
      <c r="K1546" s="129">
        <v>250</v>
      </c>
      <c r="L1546" s="129"/>
      <c r="M1546" s="129">
        <v>250</v>
      </c>
      <c r="N1546" s="129"/>
      <c r="O1546" s="129"/>
      <c r="P1546" s="129"/>
      <c r="Q1546" s="129"/>
      <c r="R1546" s="129"/>
      <c r="S1546" s="129"/>
      <c r="T1546" s="129"/>
      <c r="U1546" s="129"/>
      <c r="V1546" s="129"/>
      <c r="W1546" s="107"/>
      <c r="X1546" s="105"/>
      <c r="Y1546" s="92">
        <f t="shared" si="144"/>
        <v>0</v>
      </c>
      <c r="Z1546" s="92">
        <f t="shared" si="145"/>
        <v>0</v>
      </c>
      <c r="AA1546" s="92">
        <f t="shared" si="146"/>
        <v>0</v>
      </c>
      <c r="AB1546" s="92">
        <f t="shared" si="147"/>
        <v>0</v>
      </c>
      <c r="AC1546" s="92"/>
      <c r="AD1546" s="92">
        <v>0</v>
      </c>
      <c r="AE1546" s="92">
        <f t="shared" si="148"/>
        <v>0</v>
      </c>
      <c r="AF1546" s="93">
        <v>0</v>
      </c>
      <c r="AG1546" s="105"/>
      <c r="AH1546" s="108"/>
      <c r="AI1546" s="109" t="s">
        <v>4336</v>
      </c>
      <c r="AJ1546" s="110" t="s">
        <v>4337</v>
      </c>
      <c r="AK1546" s="280"/>
      <c r="AL1546" s="281"/>
      <c r="AM1546" s="112" t="s">
        <v>1984</v>
      </c>
      <c r="AN1546" s="107"/>
      <c r="AO1546" s="107"/>
      <c r="AP1546" s="107"/>
      <c r="AQ1546" s="107"/>
      <c r="AR1546" s="107"/>
      <c r="AS1546" s="107"/>
      <c r="AT1546" s="107"/>
      <c r="AU1546" s="107"/>
      <c r="AV1546" s="107"/>
      <c r="AW1546" s="107"/>
      <c r="AX1546" s="107"/>
      <c r="AY1546" s="107"/>
      <c r="AZ1546" s="107"/>
      <c r="BA1546" s="107"/>
      <c r="BB1546" s="107"/>
      <c r="BC1546" s="107"/>
      <c r="BD1546" s="107"/>
      <c r="BE1546" s="107"/>
      <c r="BF1546" s="107"/>
      <c r="BG1546" s="107"/>
      <c r="BH1546" s="107"/>
      <c r="BI1546" s="107"/>
      <c r="BJ1546" s="107"/>
      <c r="BK1546" s="107"/>
      <c r="BL1546" s="107"/>
      <c r="BM1546" s="107"/>
      <c r="BN1546" s="107"/>
      <c r="BO1546" s="107"/>
      <c r="BP1546" s="107"/>
      <c r="BQ1546" s="107"/>
      <c r="BR1546" s="107"/>
      <c r="BS1546" s="107"/>
      <c r="BT1546" s="107"/>
      <c r="BU1546" s="107"/>
      <c r="BV1546" s="107"/>
      <c r="BW1546" s="107"/>
      <c r="BX1546" s="107"/>
      <c r="BY1546" s="107"/>
      <c r="BZ1546" s="107"/>
      <c r="CA1546" s="107"/>
      <c r="CB1546" s="107"/>
      <c r="CC1546" s="107"/>
      <c r="CD1546" s="107"/>
      <c r="CE1546" s="107"/>
      <c r="CF1546" s="107"/>
      <c r="CG1546" s="107"/>
      <c r="CH1546" s="107"/>
      <c r="CI1546" s="107"/>
      <c r="CJ1546" s="107"/>
      <c r="CK1546" s="107"/>
      <c r="CL1546" s="107"/>
      <c r="CM1546" s="107"/>
      <c r="CN1546" s="118"/>
      <c r="CO1546" s="119"/>
      <c r="CP1546" s="118"/>
      <c r="CQ1546" s="119"/>
      <c r="CR1546" s="118"/>
      <c r="CS1546" s="119"/>
      <c r="CT1546" s="113"/>
      <c r="CU1546" s="118"/>
      <c r="CV1546" s="99">
        <f t="shared" si="149"/>
        <v>0</v>
      </c>
      <c r="CW1546" s="118"/>
      <c r="CX1546" s="119"/>
      <c r="CY1546" s="119"/>
      <c r="CZ1546" s="119"/>
      <c r="DA1546" s="118"/>
      <c r="DB1546" s="119"/>
      <c r="DC1546" s="111"/>
      <c r="DD1546" s="119"/>
      <c r="DE1546" s="111"/>
      <c r="DF1546" s="46"/>
    </row>
    <row r="1547" spans="1:111" s="42" customFormat="1" ht="120" x14ac:dyDescent="0.2">
      <c r="A1547" s="89">
        <v>40719</v>
      </c>
      <c r="B1547" s="4" t="s">
        <v>3301</v>
      </c>
      <c r="C1547" s="4" t="s">
        <v>4345</v>
      </c>
      <c r="D1547" s="90" t="s">
        <v>4264</v>
      </c>
      <c r="E1547" s="90">
        <f>VLOOKUP(B1547&amp;C1547,Divipola!$C$2:$F$1138,4,FALSE)</f>
        <v>81</v>
      </c>
      <c r="F1547" s="4"/>
      <c r="G1547" s="208"/>
      <c r="H1547" s="208"/>
      <c r="I1547" s="208"/>
      <c r="J1547" s="208"/>
      <c r="K1547" s="208"/>
      <c r="L1547" s="208"/>
      <c r="M1547" s="208"/>
      <c r="N1547" s="208">
        <v>7</v>
      </c>
      <c r="O1547" s="208"/>
      <c r="P1547" s="208"/>
      <c r="Q1547" s="208"/>
      <c r="R1547" s="208"/>
      <c r="S1547" s="208"/>
      <c r="T1547" s="208"/>
      <c r="U1547" s="208"/>
      <c r="V1547" s="208"/>
      <c r="W1547" s="19"/>
      <c r="X1547" s="17"/>
      <c r="Y1547" s="5">
        <f t="shared" si="144"/>
        <v>184080000</v>
      </c>
      <c r="Z1547" s="5">
        <f t="shared" si="145"/>
        <v>204000000</v>
      </c>
      <c r="AA1547" s="5">
        <f t="shared" si="146"/>
        <v>0</v>
      </c>
      <c r="AB1547" s="5">
        <f t="shared" si="147"/>
        <v>0</v>
      </c>
      <c r="AC1547" s="5"/>
      <c r="AD1547" s="5">
        <v>450000000</v>
      </c>
      <c r="AE1547" s="5">
        <f t="shared" si="148"/>
        <v>838080000</v>
      </c>
      <c r="AF1547" s="70">
        <v>0</v>
      </c>
      <c r="AG1547" s="17"/>
      <c r="AH1547" s="18"/>
      <c r="AI1547" s="47" t="s">
        <v>4346</v>
      </c>
      <c r="AJ1547" s="73" t="s">
        <v>4347</v>
      </c>
      <c r="AK1547" s="45"/>
      <c r="AL1547" s="17"/>
      <c r="AM1547" s="20" t="s">
        <v>1132</v>
      </c>
      <c r="AN1547" s="19"/>
      <c r="AO1547" s="19"/>
      <c r="AP1547" s="19"/>
      <c r="AQ1547" s="19"/>
      <c r="AR1547" s="19"/>
      <c r="AS1547" s="19"/>
      <c r="AT1547" s="19"/>
      <c r="AU1547" s="19"/>
      <c r="AV1547" s="19"/>
      <c r="AW1547" s="19"/>
      <c r="AX1547" s="107"/>
      <c r="AY1547" s="107"/>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39"/>
      <c r="CO1547" s="138"/>
      <c r="CP1547" s="139">
        <v>2400</v>
      </c>
      <c r="CQ1547" s="138">
        <f>2400*37000</f>
        <v>88800000</v>
      </c>
      <c r="CR1547" s="139">
        <v>2400</v>
      </c>
      <c r="CS1547" s="138">
        <f>2400*39700</f>
        <v>95280000</v>
      </c>
      <c r="CT1547" s="72"/>
      <c r="CU1547" s="139"/>
      <c r="CV1547" s="99">
        <f t="shared" si="149"/>
        <v>184080000</v>
      </c>
      <c r="CW1547" s="139"/>
      <c r="CX1547" s="138"/>
      <c r="CY1547" s="138">
        <v>2400</v>
      </c>
      <c r="CZ1547" s="138">
        <f>2400*85000</f>
        <v>204000000</v>
      </c>
      <c r="DA1547" s="139"/>
      <c r="DB1547" s="138"/>
      <c r="DC1547" s="45"/>
      <c r="DD1547" s="138"/>
      <c r="DE1547" s="45"/>
      <c r="DF1547" s="46"/>
    </row>
    <row r="1548" spans="1:111" s="42" customFormat="1" ht="72" x14ac:dyDescent="0.2">
      <c r="A1548" s="89">
        <v>40719</v>
      </c>
      <c r="B1548" s="90" t="s">
        <v>4386</v>
      </c>
      <c r="C1548" s="90" t="s">
        <v>3502</v>
      </c>
      <c r="D1548" s="90" t="s">
        <v>4264</v>
      </c>
      <c r="E1548" s="90" t="str">
        <f>VLOOKUP(B1548&amp;C1548,Divipola!$C$2:$F$1138,4,FALSE)</f>
        <v>20001</v>
      </c>
      <c r="F1548" s="90"/>
      <c r="G1548" s="129">
        <v>1</v>
      </c>
      <c r="H1548" s="279"/>
      <c r="I1548" s="279"/>
      <c r="J1548" s="279"/>
      <c r="K1548" s="279"/>
      <c r="L1548" s="279"/>
      <c r="M1548" s="279"/>
      <c r="N1548" s="129"/>
      <c r="O1548" s="129"/>
      <c r="P1548" s="129"/>
      <c r="Q1548" s="129"/>
      <c r="R1548" s="129"/>
      <c r="S1548" s="129"/>
      <c r="T1548" s="129"/>
      <c r="U1548" s="129"/>
      <c r="V1548" s="129"/>
      <c r="W1548" s="107"/>
      <c r="X1548" s="105"/>
      <c r="Y1548" s="92">
        <f t="shared" si="144"/>
        <v>0</v>
      </c>
      <c r="Z1548" s="92">
        <f t="shared" si="145"/>
        <v>0</v>
      </c>
      <c r="AA1548" s="92">
        <f t="shared" si="146"/>
        <v>0</v>
      </c>
      <c r="AB1548" s="92">
        <f t="shared" si="147"/>
        <v>0</v>
      </c>
      <c r="AC1548" s="92"/>
      <c r="AD1548" s="92">
        <v>0</v>
      </c>
      <c r="AE1548" s="92">
        <f t="shared" si="148"/>
        <v>0</v>
      </c>
      <c r="AF1548" s="93">
        <v>0</v>
      </c>
      <c r="AG1548" s="105"/>
      <c r="AH1548" s="108"/>
      <c r="AI1548" s="109" t="s">
        <v>4336</v>
      </c>
      <c r="AJ1548" s="110" t="s">
        <v>4337</v>
      </c>
      <c r="AK1548" s="280"/>
      <c r="AL1548" s="281"/>
      <c r="AM1548" s="112" t="s">
        <v>1986</v>
      </c>
      <c r="AN1548" s="107"/>
      <c r="AO1548" s="107"/>
      <c r="AP1548" s="107"/>
      <c r="AQ1548" s="107"/>
      <c r="AR1548" s="107"/>
      <c r="AS1548" s="107"/>
      <c r="AT1548" s="107"/>
      <c r="AU1548" s="107"/>
      <c r="AV1548" s="107"/>
      <c r="AW1548" s="107"/>
      <c r="AX1548" s="107"/>
      <c r="AY1548" s="107"/>
      <c r="AZ1548" s="107"/>
      <c r="BA1548" s="107"/>
      <c r="BB1548" s="107"/>
      <c r="BC1548" s="107"/>
      <c r="BD1548" s="107"/>
      <c r="BE1548" s="107"/>
      <c r="BF1548" s="107"/>
      <c r="BG1548" s="107"/>
      <c r="BH1548" s="107"/>
      <c r="BI1548" s="107"/>
      <c r="BJ1548" s="107"/>
      <c r="BK1548" s="107"/>
      <c r="BL1548" s="107"/>
      <c r="BM1548" s="107"/>
      <c r="BN1548" s="107"/>
      <c r="BO1548" s="107"/>
      <c r="BP1548" s="107"/>
      <c r="BQ1548" s="107"/>
      <c r="BR1548" s="107"/>
      <c r="BS1548" s="107"/>
      <c r="BT1548" s="107"/>
      <c r="BU1548" s="107"/>
      <c r="BV1548" s="107"/>
      <c r="BW1548" s="107"/>
      <c r="BX1548" s="107"/>
      <c r="BY1548" s="107"/>
      <c r="BZ1548" s="107"/>
      <c r="CA1548" s="107"/>
      <c r="CB1548" s="107"/>
      <c r="CC1548" s="107"/>
      <c r="CD1548" s="107"/>
      <c r="CE1548" s="107"/>
      <c r="CF1548" s="107"/>
      <c r="CG1548" s="107"/>
      <c r="CH1548" s="107"/>
      <c r="CI1548" s="107"/>
      <c r="CJ1548" s="107"/>
      <c r="CK1548" s="107"/>
      <c r="CL1548" s="107"/>
      <c r="CM1548" s="107"/>
      <c r="CN1548" s="118"/>
      <c r="CO1548" s="119"/>
      <c r="CP1548" s="118"/>
      <c r="CQ1548" s="119"/>
      <c r="CR1548" s="118"/>
      <c r="CS1548" s="119"/>
      <c r="CT1548" s="113"/>
      <c r="CU1548" s="118"/>
      <c r="CV1548" s="99">
        <f t="shared" si="149"/>
        <v>0</v>
      </c>
      <c r="CW1548" s="118"/>
      <c r="CX1548" s="119"/>
      <c r="CY1548" s="119"/>
      <c r="CZ1548" s="119"/>
      <c r="DA1548" s="118"/>
      <c r="DB1548" s="119"/>
      <c r="DC1548" s="111"/>
      <c r="DD1548" s="119"/>
      <c r="DE1548" s="111"/>
      <c r="DF1548" s="46"/>
    </row>
    <row r="1549" spans="1:111" s="42" customFormat="1" ht="33.75" x14ac:dyDescent="0.2">
      <c r="A1549" s="89">
        <v>40719</v>
      </c>
      <c r="B1549" s="106" t="s">
        <v>4221</v>
      </c>
      <c r="C1549" s="106" t="s">
        <v>4373</v>
      </c>
      <c r="D1549" s="90" t="s">
        <v>2362</v>
      </c>
      <c r="E1549" s="90" t="str">
        <f>VLOOKUP(B1549&amp;C1549,Divipola!$C$2:$F$1138,4,FALSE)</f>
        <v>54174</v>
      </c>
      <c r="F1549" s="90"/>
      <c r="G1549" s="302"/>
      <c r="H1549" s="129">
        <v>2</v>
      </c>
      <c r="I1549" s="302"/>
      <c r="J1549" s="129"/>
      <c r="K1549" s="129"/>
      <c r="L1549" s="129"/>
      <c r="M1549" s="129"/>
      <c r="N1549" s="129"/>
      <c r="O1549" s="129"/>
      <c r="P1549" s="129"/>
      <c r="Q1549" s="129"/>
      <c r="R1549" s="129"/>
      <c r="S1549" s="129"/>
      <c r="T1549" s="129"/>
      <c r="U1549" s="129"/>
      <c r="V1549" s="129"/>
      <c r="W1549" s="107"/>
      <c r="X1549" s="105"/>
      <c r="Y1549" s="92">
        <f t="shared" si="144"/>
        <v>0</v>
      </c>
      <c r="Z1549" s="92">
        <f t="shared" si="145"/>
        <v>0</v>
      </c>
      <c r="AA1549" s="92">
        <f t="shared" si="146"/>
        <v>0</v>
      </c>
      <c r="AB1549" s="92">
        <f t="shared" si="147"/>
        <v>0</v>
      </c>
      <c r="AC1549" s="92"/>
      <c r="AD1549" s="92">
        <v>0</v>
      </c>
      <c r="AE1549" s="92">
        <f t="shared" si="148"/>
        <v>0</v>
      </c>
      <c r="AF1549" s="93">
        <v>0</v>
      </c>
      <c r="AG1549" s="105"/>
      <c r="AH1549" s="108"/>
      <c r="AI1549" s="109" t="s">
        <v>4336</v>
      </c>
      <c r="AJ1549" s="110" t="s">
        <v>4337</v>
      </c>
      <c r="AK1549" s="285"/>
      <c r="AL1549" s="284"/>
      <c r="AM1549" s="90" t="s">
        <v>3407</v>
      </c>
      <c r="AN1549" s="107"/>
      <c r="AO1549" s="107"/>
      <c r="AP1549" s="107"/>
      <c r="AQ1549" s="107"/>
      <c r="AR1549" s="107"/>
      <c r="AS1549" s="107"/>
      <c r="AT1549" s="107"/>
      <c r="AU1549" s="107"/>
      <c r="AV1549" s="107"/>
      <c r="AW1549" s="107"/>
      <c r="AX1549" s="107"/>
      <c r="AY1549" s="107"/>
      <c r="AZ1549" s="107"/>
      <c r="BA1549" s="107"/>
      <c r="BB1549" s="107"/>
      <c r="BC1549" s="107"/>
      <c r="BD1549" s="107"/>
      <c r="BE1549" s="107"/>
      <c r="BF1549" s="107"/>
      <c r="BG1549" s="107"/>
      <c r="BH1549" s="107"/>
      <c r="BI1549" s="107"/>
      <c r="BJ1549" s="107"/>
      <c r="BK1549" s="107"/>
      <c r="BL1549" s="107"/>
      <c r="BM1549" s="107"/>
      <c r="BN1549" s="107"/>
      <c r="BO1549" s="107"/>
      <c r="BP1549" s="107"/>
      <c r="BQ1549" s="107"/>
      <c r="BR1549" s="107"/>
      <c r="BS1549" s="107"/>
      <c r="BT1549" s="107"/>
      <c r="BU1549" s="107"/>
      <c r="BV1549" s="107"/>
      <c r="BW1549" s="107"/>
      <c r="BX1549" s="107"/>
      <c r="BY1549" s="107"/>
      <c r="BZ1549" s="107"/>
      <c r="CA1549" s="107"/>
      <c r="CB1549" s="107"/>
      <c r="CC1549" s="107"/>
      <c r="CD1549" s="107"/>
      <c r="CE1549" s="107"/>
      <c r="CF1549" s="107"/>
      <c r="CG1549" s="107"/>
      <c r="CH1549" s="107"/>
      <c r="CI1549" s="107"/>
      <c r="CJ1549" s="107"/>
      <c r="CK1549" s="107"/>
      <c r="CL1549" s="107"/>
      <c r="CM1549" s="107"/>
      <c r="CN1549" s="118"/>
      <c r="CO1549" s="119"/>
      <c r="CP1549" s="118"/>
      <c r="CQ1549" s="119"/>
      <c r="CR1549" s="118"/>
      <c r="CS1549" s="119"/>
      <c r="CT1549" s="113"/>
      <c r="CU1549" s="118"/>
      <c r="CV1549" s="99">
        <f t="shared" si="149"/>
        <v>0</v>
      </c>
      <c r="CW1549" s="118"/>
      <c r="CX1549" s="119"/>
      <c r="CY1549" s="119"/>
      <c r="CZ1549" s="119"/>
      <c r="DA1549" s="118"/>
      <c r="DB1549" s="119"/>
      <c r="DC1549" s="111"/>
      <c r="DD1549" s="119"/>
      <c r="DE1549" s="111"/>
      <c r="DF1549" s="46"/>
    </row>
    <row r="1550" spans="1:111" s="42" customFormat="1" ht="48" x14ac:dyDescent="0.2">
      <c r="A1550" s="89">
        <v>40719</v>
      </c>
      <c r="B1550" s="106" t="s">
        <v>4263</v>
      </c>
      <c r="C1550" s="106" t="s">
        <v>4315</v>
      </c>
      <c r="D1550" s="90" t="s">
        <v>2362</v>
      </c>
      <c r="E1550" s="90" t="str">
        <f>VLOOKUP(B1550&amp;C1550,Divipola!$C$2:$F$1138,4,FALSE)</f>
        <v>86001</v>
      </c>
      <c r="F1550" s="90"/>
      <c r="G1550" s="129"/>
      <c r="H1550" s="129"/>
      <c r="I1550" s="129"/>
      <c r="J1550" s="129"/>
      <c r="K1550" s="129"/>
      <c r="L1550" s="129"/>
      <c r="M1550" s="129"/>
      <c r="N1550" s="129">
        <v>1</v>
      </c>
      <c r="O1550" s="129"/>
      <c r="P1550" s="129"/>
      <c r="Q1550" s="129"/>
      <c r="R1550" s="129"/>
      <c r="S1550" s="129"/>
      <c r="T1550" s="129"/>
      <c r="U1550" s="129"/>
      <c r="V1550" s="129"/>
      <c r="W1550" s="107"/>
      <c r="X1550" s="105"/>
      <c r="Y1550" s="92">
        <f t="shared" si="144"/>
        <v>0</v>
      </c>
      <c r="Z1550" s="92">
        <f t="shared" si="145"/>
        <v>0</v>
      </c>
      <c r="AA1550" s="92">
        <f t="shared" si="146"/>
        <v>0</v>
      </c>
      <c r="AB1550" s="92">
        <f t="shared" si="147"/>
        <v>0</v>
      </c>
      <c r="AC1550" s="92"/>
      <c r="AD1550" s="92">
        <v>0</v>
      </c>
      <c r="AE1550" s="92">
        <f t="shared" si="148"/>
        <v>0</v>
      </c>
      <c r="AF1550" s="93">
        <v>0</v>
      </c>
      <c r="AG1550" s="105"/>
      <c r="AH1550" s="108"/>
      <c r="AI1550" s="109" t="s">
        <v>4336</v>
      </c>
      <c r="AJ1550" s="110" t="s">
        <v>4337</v>
      </c>
      <c r="AK1550" s="280"/>
      <c r="AL1550" s="281"/>
      <c r="AM1550" s="112" t="s">
        <v>1994</v>
      </c>
      <c r="AN1550" s="107"/>
      <c r="AO1550" s="107"/>
      <c r="AP1550" s="107"/>
      <c r="AQ1550" s="107"/>
      <c r="AR1550" s="107"/>
      <c r="AS1550" s="107"/>
      <c r="AT1550" s="107"/>
      <c r="AU1550" s="107"/>
      <c r="AV1550" s="107"/>
      <c r="AW1550" s="107"/>
      <c r="AX1550" s="107"/>
      <c r="AY1550" s="107"/>
      <c r="AZ1550" s="107"/>
      <c r="BA1550" s="107"/>
      <c r="BB1550" s="107"/>
      <c r="BC1550" s="107"/>
      <c r="BD1550" s="107"/>
      <c r="BE1550" s="107"/>
      <c r="BF1550" s="107"/>
      <c r="BG1550" s="107"/>
      <c r="BH1550" s="107"/>
      <c r="BI1550" s="107"/>
      <c r="BJ1550" s="107"/>
      <c r="BK1550" s="107"/>
      <c r="BL1550" s="107"/>
      <c r="BM1550" s="107"/>
      <c r="BN1550" s="107"/>
      <c r="BO1550" s="107"/>
      <c r="BP1550" s="107"/>
      <c r="BQ1550" s="107"/>
      <c r="BR1550" s="107"/>
      <c r="BS1550" s="107"/>
      <c r="BT1550" s="107"/>
      <c r="BU1550" s="107"/>
      <c r="BV1550" s="107"/>
      <c r="BW1550" s="107"/>
      <c r="BX1550" s="107"/>
      <c r="BY1550" s="107"/>
      <c r="BZ1550" s="107"/>
      <c r="CA1550" s="107"/>
      <c r="CB1550" s="107"/>
      <c r="CC1550" s="107"/>
      <c r="CD1550" s="107"/>
      <c r="CE1550" s="107"/>
      <c r="CF1550" s="107"/>
      <c r="CG1550" s="107"/>
      <c r="CH1550" s="107"/>
      <c r="CI1550" s="107"/>
      <c r="CJ1550" s="107"/>
      <c r="CK1550" s="107"/>
      <c r="CL1550" s="107"/>
      <c r="CM1550" s="107"/>
      <c r="CN1550" s="118"/>
      <c r="CO1550" s="119"/>
      <c r="CP1550" s="118"/>
      <c r="CQ1550" s="119"/>
      <c r="CR1550" s="118"/>
      <c r="CS1550" s="119"/>
      <c r="CT1550" s="113"/>
      <c r="CU1550" s="118"/>
      <c r="CV1550" s="99">
        <f t="shared" si="149"/>
        <v>0</v>
      </c>
      <c r="CW1550" s="118"/>
      <c r="CX1550" s="119"/>
      <c r="CY1550" s="119"/>
      <c r="CZ1550" s="119"/>
      <c r="DA1550" s="118"/>
      <c r="DB1550" s="119"/>
      <c r="DC1550" s="111"/>
      <c r="DD1550" s="119"/>
      <c r="DE1550" s="111"/>
      <c r="DF1550" s="46"/>
    </row>
    <row r="1551" spans="1:111" s="42" customFormat="1" ht="36" x14ac:dyDescent="0.2">
      <c r="A1551" s="89">
        <v>40719</v>
      </c>
      <c r="B1551" s="90" t="s">
        <v>4348</v>
      </c>
      <c r="C1551" s="90" t="s">
        <v>2228</v>
      </c>
      <c r="D1551" s="90" t="s">
        <v>4298</v>
      </c>
      <c r="E1551" s="90" t="str">
        <f>VLOOKUP(B1551&amp;C1551,Divipola!$C$2:$F$1138,4,FALSE)</f>
        <v>66001</v>
      </c>
      <c r="F1551" s="4"/>
      <c r="G1551" s="101"/>
      <c r="H1551" s="101"/>
      <c r="I1551" s="101"/>
      <c r="J1551" s="101">
        <v>23</v>
      </c>
      <c r="K1551" s="101">
        <v>4</v>
      </c>
      <c r="L1551" s="101"/>
      <c r="M1551" s="101">
        <v>4</v>
      </c>
      <c r="N1551" s="101"/>
      <c r="O1551" s="101"/>
      <c r="P1551" s="101"/>
      <c r="Q1551" s="101"/>
      <c r="R1551" s="101"/>
      <c r="S1551" s="101"/>
      <c r="T1551" s="101"/>
      <c r="U1551" s="101"/>
      <c r="V1551" s="101"/>
      <c r="W1551" s="19"/>
      <c r="X1551" s="17"/>
      <c r="Y1551" s="5">
        <f t="shared" si="144"/>
        <v>0</v>
      </c>
      <c r="Z1551" s="5">
        <f t="shared" si="145"/>
        <v>0</v>
      </c>
      <c r="AA1551" s="5">
        <f t="shared" si="146"/>
        <v>0</v>
      </c>
      <c r="AB1551" s="5">
        <f t="shared" si="147"/>
        <v>0</v>
      </c>
      <c r="AC1551" s="5"/>
      <c r="AD1551" s="5">
        <v>0</v>
      </c>
      <c r="AE1551" s="5">
        <f t="shared" si="148"/>
        <v>0</v>
      </c>
      <c r="AF1551" s="70">
        <v>0</v>
      </c>
      <c r="AG1551" s="17"/>
      <c r="AH1551" s="18"/>
      <c r="AI1551" s="109" t="s">
        <v>4336</v>
      </c>
      <c r="AJ1551" s="110" t="s">
        <v>4337</v>
      </c>
      <c r="AK1551" s="45"/>
      <c r="AL1551" s="17"/>
      <c r="AM1551" s="100" t="s">
        <v>1920</v>
      </c>
      <c r="AN1551" s="19"/>
      <c r="AO1551" s="19"/>
      <c r="AP1551" s="19"/>
      <c r="AQ1551" s="19"/>
      <c r="AR1551" s="19"/>
      <c r="AS1551" s="19"/>
      <c r="AT1551" s="19"/>
      <c r="AU1551" s="19"/>
      <c r="AV1551" s="19"/>
      <c r="AW1551" s="19"/>
      <c r="AX1551" s="107"/>
      <c r="AY1551" s="107"/>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39"/>
      <c r="CO1551" s="138"/>
      <c r="CP1551" s="139"/>
      <c r="CQ1551" s="138"/>
      <c r="CR1551" s="139"/>
      <c r="CS1551" s="138"/>
      <c r="CT1551" s="72"/>
      <c r="CU1551" s="139"/>
      <c r="CV1551" s="99">
        <f t="shared" si="149"/>
        <v>0</v>
      </c>
      <c r="CW1551" s="139"/>
      <c r="CX1551" s="138"/>
      <c r="CY1551" s="138"/>
      <c r="CZ1551" s="138"/>
      <c r="DA1551" s="139"/>
      <c r="DB1551" s="138"/>
      <c r="DC1551" s="45"/>
      <c r="DD1551" s="138"/>
      <c r="DE1551" s="45"/>
      <c r="DF1551" s="46"/>
    </row>
    <row r="1552" spans="1:111" s="42" customFormat="1" ht="48" x14ac:dyDescent="0.2">
      <c r="A1552" s="89">
        <v>40719</v>
      </c>
      <c r="B1552" s="90" t="s">
        <v>4348</v>
      </c>
      <c r="C1552" s="90" t="s">
        <v>2228</v>
      </c>
      <c r="D1552" s="90" t="s">
        <v>2865</v>
      </c>
      <c r="E1552" s="90" t="str">
        <f>VLOOKUP(B1552&amp;C1552,Divipola!$C$2:$F$1138,4,FALSE)</f>
        <v>66001</v>
      </c>
      <c r="F1552" s="4"/>
      <c r="G1552" s="101"/>
      <c r="H1552" s="101"/>
      <c r="I1552" s="101"/>
      <c r="J1552" s="101">
        <v>9</v>
      </c>
      <c r="K1552" s="101">
        <v>2</v>
      </c>
      <c r="L1552" s="101"/>
      <c r="M1552" s="101">
        <v>2</v>
      </c>
      <c r="N1552" s="101"/>
      <c r="O1552" s="101"/>
      <c r="P1552" s="101"/>
      <c r="Q1552" s="101"/>
      <c r="R1552" s="101"/>
      <c r="S1552" s="101"/>
      <c r="T1552" s="101"/>
      <c r="U1552" s="101"/>
      <c r="V1552" s="101"/>
      <c r="W1552" s="19"/>
      <c r="X1552" s="17"/>
      <c r="Y1552" s="5">
        <f t="shared" si="144"/>
        <v>0</v>
      </c>
      <c r="Z1552" s="5">
        <f t="shared" si="145"/>
        <v>0</v>
      </c>
      <c r="AA1552" s="5">
        <f t="shared" si="146"/>
        <v>0</v>
      </c>
      <c r="AB1552" s="5">
        <f t="shared" si="147"/>
        <v>0</v>
      </c>
      <c r="AC1552" s="5"/>
      <c r="AD1552" s="5">
        <v>0</v>
      </c>
      <c r="AE1552" s="5">
        <f t="shared" si="148"/>
        <v>0</v>
      </c>
      <c r="AF1552" s="70">
        <v>0</v>
      </c>
      <c r="AG1552" s="17"/>
      <c r="AH1552" s="18"/>
      <c r="AI1552" s="109" t="s">
        <v>4336</v>
      </c>
      <c r="AJ1552" s="110" t="s">
        <v>4337</v>
      </c>
      <c r="AK1552" s="45"/>
      <c r="AL1552" s="17"/>
      <c r="AM1552" s="100" t="s">
        <v>1921</v>
      </c>
      <c r="AN1552" s="19"/>
      <c r="AO1552" s="19"/>
      <c r="AP1552" s="19"/>
      <c r="AQ1552" s="19"/>
      <c r="AR1552" s="19"/>
      <c r="AS1552" s="19"/>
      <c r="AT1552" s="19"/>
      <c r="AU1552" s="19"/>
      <c r="AV1552" s="19"/>
      <c r="AW1552" s="19"/>
      <c r="AX1552" s="107"/>
      <c r="AY1552" s="107"/>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39"/>
      <c r="CO1552" s="138"/>
      <c r="CP1552" s="139"/>
      <c r="CQ1552" s="138"/>
      <c r="CR1552" s="139"/>
      <c r="CS1552" s="138"/>
      <c r="CT1552" s="72"/>
      <c r="CU1552" s="139"/>
      <c r="CV1552" s="99">
        <f t="shared" si="149"/>
        <v>0</v>
      </c>
      <c r="CW1552" s="139"/>
      <c r="CX1552" s="138"/>
      <c r="CY1552" s="138"/>
      <c r="CZ1552" s="138"/>
      <c r="DA1552" s="139"/>
      <c r="DB1552" s="138"/>
      <c r="DC1552" s="45"/>
      <c r="DD1552" s="138"/>
      <c r="DE1552" s="45"/>
      <c r="DF1552" s="46"/>
    </row>
    <row r="1553" spans="1:110" s="42" customFormat="1" ht="51" x14ac:dyDescent="0.2">
      <c r="A1553" s="89">
        <v>40720</v>
      </c>
      <c r="B1553" s="106" t="s">
        <v>4221</v>
      </c>
      <c r="C1553" s="106" t="s">
        <v>4299</v>
      </c>
      <c r="D1553" s="90" t="s">
        <v>4298</v>
      </c>
      <c r="E1553" s="90" t="str">
        <f>VLOOKUP(B1553&amp;C1553,Divipola!$C$2:$F$1138,4,FALSE)</f>
        <v>54001</v>
      </c>
      <c r="F1553" s="90"/>
      <c r="G1553" s="279"/>
      <c r="H1553" s="279"/>
      <c r="I1553" s="279"/>
      <c r="J1553" s="129">
        <v>50</v>
      </c>
      <c r="K1553" s="129">
        <v>10</v>
      </c>
      <c r="L1553" s="129">
        <v>1</v>
      </c>
      <c r="M1553" s="129">
        <v>9</v>
      </c>
      <c r="N1553" s="129"/>
      <c r="O1553" s="129"/>
      <c r="P1553" s="129"/>
      <c r="Q1553" s="129"/>
      <c r="R1553" s="129"/>
      <c r="S1553" s="129"/>
      <c r="T1553" s="129"/>
      <c r="U1553" s="129"/>
      <c r="V1553" s="129"/>
      <c r="W1553" s="107"/>
      <c r="X1553" s="105"/>
      <c r="Y1553" s="92">
        <f t="shared" si="144"/>
        <v>0</v>
      </c>
      <c r="Z1553" s="92">
        <f t="shared" si="145"/>
        <v>0</v>
      </c>
      <c r="AA1553" s="92">
        <f t="shared" si="146"/>
        <v>0</v>
      </c>
      <c r="AB1553" s="92">
        <f t="shared" si="147"/>
        <v>0</v>
      </c>
      <c r="AC1553" s="92"/>
      <c r="AD1553" s="92">
        <v>0</v>
      </c>
      <c r="AE1553" s="92">
        <f t="shared" si="148"/>
        <v>0</v>
      </c>
      <c r="AF1553" s="93">
        <v>0</v>
      </c>
      <c r="AG1553" s="105"/>
      <c r="AH1553" s="108"/>
      <c r="AI1553" s="109" t="s">
        <v>4336</v>
      </c>
      <c r="AJ1553" s="110" t="s">
        <v>4337</v>
      </c>
      <c r="AK1553" s="280"/>
      <c r="AL1553" s="281"/>
      <c r="AM1553" s="281" t="s">
        <v>1993</v>
      </c>
      <c r="AN1553" s="107"/>
      <c r="AO1553" s="107"/>
      <c r="AP1553" s="107"/>
      <c r="AQ1553" s="107"/>
      <c r="AR1553" s="107"/>
      <c r="AS1553" s="107"/>
      <c r="AT1553" s="107"/>
      <c r="AU1553" s="107"/>
      <c r="AV1553" s="107"/>
      <c r="AW1553" s="107"/>
      <c r="AX1553" s="107"/>
      <c r="AY1553" s="107"/>
      <c r="AZ1553" s="107"/>
      <c r="BA1553" s="107"/>
      <c r="BB1553" s="107"/>
      <c r="BC1553" s="107"/>
      <c r="BD1553" s="107"/>
      <c r="BE1553" s="107"/>
      <c r="BF1553" s="107"/>
      <c r="BG1553" s="107"/>
      <c r="BH1553" s="107"/>
      <c r="BI1553" s="107"/>
      <c r="BJ1553" s="107"/>
      <c r="BK1553" s="107"/>
      <c r="BL1553" s="107"/>
      <c r="BM1553" s="107"/>
      <c r="BN1553" s="107"/>
      <c r="BO1553" s="107"/>
      <c r="BP1553" s="107"/>
      <c r="BQ1553" s="107"/>
      <c r="BR1553" s="107"/>
      <c r="BS1553" s="107"/>
      <c r="BT1553" s="107"/>
      <c r="BU1553" s="107"/>
      <c r="BV1553" s="107"/>
      <c r="BW1553" s="107"/>
      <c r="BX1553" s="107"/>
      <c r="BY1553" s="107"/>
      <c r="BZ1553" s="107"/>
      <c r="CA1553" s="107"/>
      <c r="CB1553" s="107"/>
      <c r="CC1553" s="107"/>
      <c r="CD1553" s="107"/>
      <c r="CE1553" s="107"/>
      <c r="CF1553" s="107"/>
      <c r="CG1553" s="107"/>
      <c r="CH1553" s="107"/>
      <c r="CI1553" s="107"/>
      <c r="CJ1553" s="107"/>
      <c r="CK1553" s="107"/>
      <c r="CL1553" s="107"/>
      <c r="CM1553" s="107"/>
      <c r="CN1553" s="118"/>
      <c r="CO1553" s="119"/>
      <c r="CP1553" s="118"/>
      <c r="CQ1553" s="119"/>
      <c r="CR1553" s="118"/>
      <c r="CS1553" s="119"/>
      <c r="CT1553" s="113"/>
      <c r="CU1553" s="118"/>
      <c r="CV1553" s="99">
        <f t="shared" si="149"/>
        <v>0</v>
      </c>
      <c r="CW1553" s="118"/>
      <c r="CX1553" s="119"/>
      <c r="CY1553" s="119"/>
      <c r="CZ1553" s="119"/>
      <c r="DA1553" s="118"/>
      <c r="DB1553" s="119"/>
      <c r="DC1553" s="111"/>
      <c r="DD1553" s="119"/>
      <c r="DE1553" s="111"/>
      <c r="DF1553" s="46"/>
    </row>
    <row r="1554" spans="1:110" s="42" customFormat="1" ht="24" x14ac:dyDescent="0.2">
      <c r="A1554" s="89">
        <v>40720</v>
      </c>
      <c r="B1554" s="90" t="s">
        <v>3316</v>
      </c>
      <c r="C1554" s="90" t="s">
        <v>4323</v>
      </c>
      <c r="D1554" s="90" t="s">
        <v>3346</v>
      </c>
      <c r="E1554" s="90" t="str">
        <f>VLOOKUP(B1554&amp;C1554,Divipola!$C$2:$F$1138,4,FALSE)</f>
        <v>73001</v>
      </c>
      <c r="F1554" s="90"/>
      <c r="G1554" s="129"/>
      <c r="H1554" s="129"/>
      <c r="I1554" s="129"/>
      <c r="J1554" s="129">
        <v>12</v>
      </c>
      <c r="K1554" s="129">
        <v>3</v>
      </c>
      <c r="L1554" s="129"/>
      <c r="M1554" s="129">
        <v>3</v>
      </c>
      <c r="N1554" s="129"/>
      <c r="O1554" s="129"/>
      <c r="P1554" s="129"/>
      <c r="Q1554" s="129"/>
      <c r="R1554" s="129"/>
      <c r="S1554" s="129"/>
      <c r="T1554" s="129"/>
      <c r="U1554" s="129"/>
      <c r="V1554" s="129"/>
      <c r="W1554" s="107"/>
      <c r="X1554" s="105"/>
      <c r="Y1554" s="92">
        <f t="shared" si="144"/>
        <v>0</v>
      </c>
      <c r="Z1554" s="92">
        <f t="shared" si="145"/>
        <v>0</v>
      </c>
      <c r="AA1554" s="92">
        <f t="shared" si="146"/>
        <v>0</v>
      </c>
      <c r="AB1554" s="92">
        <f t="shared" si="147"/>
        <v>0</v>
      </c>
      <c r="AC1554" s="92"/>
      <c r="AD1554" s="92">
        <v>0</v>
      </c>
      <c r="AE1554" s="92">
        <f t="shared" si="148"/>
        <v>0</v>
      </c>
      <c r="AF1554" s="93">
        <v>0</v>
      </c>
      <c r="AG1554" s="105"/>
      <c r="AH1554" s="108"/>
      <c r="AI1554" s="109" t="s">
        <v>4336</v>
      </c>
      <c r="AJ1554" s="110" t="s">
        <v>4337</v>
      </c>
      <c r="AK1554" s="280"/>
      <c r="AL1554" s="281"/>
      <c r="AM1554" s="112" t="s">
        <v>3778</v>
      </c>
      <c r="AN1554" s="107"/>
      <c r="AO1554" s="107"/>
      <c r="AP1554" s="107"/>
      <c r="AQ1554" s="107"/>
      <c r="AR1554" s="107"/>
      <c r="AS1554" s="107"/>
      <c r="AT1554" s="107"/>
      <c r="AU1554" s="107"/>
      <c r="AV1554" s="107"/>
      <c r="AW1554" s="107"/>
      <c r="AX1554" s="107"/>
      <c r="AY1554" s="107"/>
      <c r="AZ1554" s="107"/>
      <c r="BA1554" s="107"/>
      <c r="BB1554" s="107"/>
      <c r="BC1554" s="107"/>
      <c r="BD1554" s="107"/>
      <c r="BE1554" s="107"/>
      <c r="BF1554" s="107"/>
      <c r="BG1554" s="107"/>
      <c r="BH1554" s="107"/>
      <c r="BI1554" s="107"/>
      <c r="BJ1554" s="107"/>
      <c r="BK1554" s="107"/>
      <c r="BL1554" s="107"/>
      <c r="BM1554" s="107"/>
      <c r="BN1554" s="107"/>
      <c r="BO1554" s="107"/>
      <c r="BP1554" s="107"/>
      <c r="BQ1554" s="107"/>
      <c r="BR1554" s="107"/>
      <c r="BS1554" s="107"/>
      <c r="BT1554" s="107"/>
      <c r="BU1554" s="107"/>
      <c r="BV1554" s="107"/>
      <c r="BW1554" s="107"/>
      <c r="BX1554" s="107"/>
      <c r="BY1554" s="107"/>
      <c r="BZ1554" s="107"/>
      <c r="CA1554" s="107"/>
      <c r="CB1554" s="107"/>
      <c r="CC1554" s="107"/>
      <c r="CD1554" s="107"/>
      <c r="CE1554" s="107"/>
      <c r="CF1554" s="107"/>
      <c r="CG1554" s="107"/>
      <c r="CH1554" s="107"/>
      <c r="CI1554" s="107"/>
      <c r="CJ1554" s="107"/>
      <c r="CK1554" s="107"/>
      <c r="CL1554" s="107"/>
      <c r="CM1554" s="107"/>
      <c r="CN1554" s="118"/>
      <c r="CO1554" s="119"/>
      <c r="CP1554" s="118"/>
      <c r="CQ1554" s="119"/>
      <c r="CR1554" s="118"/>
      <c r="CS1554" s="119"/>
      <c r="CT1554" s="113"/>
      <c r="CU1554" s="118"/>
      <c r="CV1554" s="99">
        <f t="shared" si="149"/>
        <v>0</v>
      </c>
      <c r="CW1554" s="118"/>
      <c r="CX1554" s="119"/>
      <c r="CY1554" s="119"/>
      <c r="CZ1554" s="119"/>
      <c r="DA1554" s="118"/>
      <c r="DB1554" s="119"/>
      <c r="DC1554" s="111"/>
      <c r="DD1554" s="119"/>
      <c r="DE1554" s="111"/>
      <c r="DF1554" s="46"/>
    </row>
    <row r="1555" spans="1:110" s="42" customFormat="1" x14ac:dyDescent="0.2">
      <c r="A1555" s="89">
        <v>40721</v>
      </c>
      <c r="B1555" s="106" t="s">
        <v>2225</v>
      </c>
      <c r="C1555" s="106" t="s">
        <v>4345</v>
      </c>
      <c r="D1555" s="90" t="s">
        <v>4264</v>
      </c>
      <c r="E1555" s="90">
        <f>VLOOKUP(B1555&amp;C1555,Divipola!$C$2:$F$1138,4,FALSE)</f>
        <v>27</v>
      </c>
      <c r="F1555" s="90"/>
      <c r="G1555" s="129"/>
      <c r="H1555" s="129"/>
      <c r="I1555" s="129"/>
      <c r="J1555" s="129"/>
      <c r="K1555" s="129"/>
      <c r="L1555" s="129"/>
      <c r="M1555" s="129"/>
      <c r="N1555" s="129"/>
      <c r="O1555" s="129"/>
      <c r="P1555" s="129"/>
      <c r="Q1555" s="129"/>
      <c r="R1555" s="129"/>
      <c r="S1555" s="129"/>
      <c r="T1555" s="129"/>
      <c r="U1555" s="129"/>
      <c r="V1555" s="129"/>
      <c r="W1555" s="107"/>
      <c r="X1555" s="105"/>
      <c r="Y1555" s="92">
        <f t="shared" si="144"/>
        <v>316304000</v>
      </c>
      <c r="Z1555" s="92">
        <f t="shared" si="145"/>
        <v>396200000</v>
      </c>
      <c r="AA1555" s="92">
        <f t="shared" si="146"/>
        <v>0</v>
      </c>
      <c r="AB1555" s="92">
        <f t="shared" si="147"/>
        <v>0</v>
      </c>
      <c r="AC1555" s="92"/>
      <c r="AD1555" s="92">
        <v>0</v>
      </c>
      <c r="AE1555" s="92">
        <f t="shared" si="148"/>
        <v>712504000</v>
      </c>
      <c r="AF1555" s="93">
        <v>0</v>
      </c>
      <c r="AG1555" s="105"/>
      <c r="AH1555" s="108"/>
      <c r="AI1555" s="109" t="s">
        <v>4346</v>
      </c>
      <c r="AJ1555" s="110" t="s">
        <v>4347</v>
      </c>
      <c r="AK1555" s="111"/>
      <c r="AL1555" s="89" t="s">
        <v>2798</v>
      </c>
      <c r="AM1555" s="112"/>
      <c r="AN1555" s="107"/>
      <c r="AO1555" s="107"/>
      <c r="AP1555" s="107"/>
      <c r="AQ1555" s="107"/>
      <c r="AR1555" s="107"/>
      <c r="AS1555" s="107"/>
      <c r="AT1555" s="107"/>
      <c r="AU1555" s="107"/>
      <c r="AV1555" s="107"/>
      <c r="AW1555" s="107"/>
      <c r="AX1555" s="107"/>
      <c r="AY1555" s="107"/>
      <c r="AZ1555" s="107">
        <v>2000</v>
      </c>
      <c r="BA1555" s="107">
        <f>2000*58000</f>
        <v>116000000</v>
      </c>
      <c r="BB1555" s="107"/>
      <c r="BC1555" s="107"/>
      <c r="BD1555" s="107"/>
      <c r="BE1555" s="107"/>
      <c r="BF1555" s="107"/>
      <c r="BG1555" s="107"/>
      <c r="BH1555" s="107"/>
      <c r="BI1555" s="107"/>
      <c r="BJ1555" s="107"/>
      <c r="BK1555" s="107"/>
      <c r="BL1555" s="107"/>
      <c r="BM1555" s="107"/>
      <c r="BN1555" s="107"/>
      <c r="BO1555" s="107"/>
      <c r="BP1555" s="107"/>
      <c r="BQ1555" s="107"/>
      <c r="BR1555" s="107"/>
      <c r="BS1555" s="107"/>
      <c r="BT1555" s="107"/>
      <c r="BU1555" s="107"/>
      <c r="BV1555" s="107"/>
      <c r="BW1555" s="107"/>
      <c r="BX1555" s="107"/>
      <c r="BY1555" s="107"/>
      <c r="BZ1555" s="107"/>
      <c r="CA1555" s="107"/>
      <c r="CB1555" s="107"/>
      <c r="CC1555" s="107"/>
      <c r="CD1555" s="107"/>
      <c r="CE1555" s="107"/>
      <c r="CF1555" s="107"/>
      <c r="CG1555" s="107"/>
      <c r="CH1555" s="107"/>
      <c r="CI1555" s="107"/>
      <c r="CJ1555" s="107">
        <v>2000</v>
      </c>
      <c r="CK1555" s="107">
        <f>2000*23500</f>
        <v>47000000</v>
      </c>
      <c r="CL1555" s="107"/>
      <c r="CM1555" s="107"/>
      <c r="CN1555" s="118"/>
      <c r="CO1555" s="119"/>
      <c r="CP1555" s="118">
        <v>2000</v>
      </c>
      <c r="CQ1555" s="119">
        <f>2000*36952</f>
        <v>73904000</v>
      </c>
      <c r="CR1555" s="118">
        <v>2000</v>
      </c>
      <c r="CS1555" s="119">
        <f>2000*39700</f>
        <v>79400000</v>
      </c>
      <c r="CT1555" s="113"/>
      <c r="CU1555" s="118"/>
      <c r="CV1555" s="99">
        <f t="shared" si="149"/>
        <v>316304000</v>
      </c>
      <c r="CW1555" s="118"/>
      <c r="CX1555" s="119"/>
      <c r="CY1555" s="119">
        <v>4600</v>
      </c>
      <c r="CZ1555" s="119">
        <f>2600*87000+2000*85000</f>
        <v>396200000</v>
      </c>
      <c r="DA1555" s="118"/>
      <c r="DB1555" s="119"/>
      <c r="DC1555" s="111"/>
      <c r="DD1555" s="119"/>
      <c r="DE1555" s="111"/>
      <c r="DF1555" s="46"/>
    </row>
    <row r="1556" spans="1:110" s="42" customFormat="1" ht="24" x14ac:dyDescent="0.2">
      <c r="A1556" s="89">
        <v>40721</v>
      </c>
      <c r="B1556" s="90" t="s">
        <v>4219</v>
      </c>
      <c r="C1556" s="90" t="s">
        <v>4220</v>
      </c>
      <c r="D1556" s="90" t="s">
        <v>4298</v>
      </c>
      <c r="E1556" s="90" t="str">
        <f>VLOOKUP(B1556&amp;C1556,Divipola!$C$2:$F$1138,4,FALSE)</f>
        <v>41483</v>
      </c>
      <c r="F1556" s="90"/>
      <c r="G1556" s="279"/>
      <c r="H1556" s="279"/>
      <c r="I1556" s="279"/>
      <c r="J1556" s="101">
        <v>6</v>
      </c>
      <c r="K1556" s="101">
        <v>1</v>
      </c>
      <c r="L1556" s="101">
        <v>1</v>
      </c>
      <c r="M1556" s="279"/>
      <c r="N1556" s="129"/>
      <c r="O1556" s="129"/>
      <c r="P1556" s="129"/>
      <c r="Q1556" s="129"/>
      <c r="R1556" s="129"/>
      <c r="S1556" s="129"/>
      <c r="T1556" s="129"/>
      <c r="U1556" s="129"/>
      <c r="V1556" s="129"/>
      <c r="W1556" s="107"/>
      <c r="X1556" s="105"/>
      <c r="Y1556" s="92">
        <f t="shared" si="144"/>
        <v>0</v>
      </c>
      <c r="Z1556" s="92">
        <f t="shared" si="145"/>
        <v>0</v>
      </c>
      <c r="AA1556" s="92">
        <f t="shared" si="146"/>
        <v>0</v>
      </c>
      <c r="AB1556" s="92">
        <f t="shared" si="147"/>
        <v>0</v>
      </c>
      <c r="AC1556" s="92"/>
      <c r="AD1556" s="92">
        <v>0</v>
      </c>
      <c r="AE1556" s="92">
        <f t="shared" si="148"/>
        <v>0</v>
      </c>
      <c r="AF1556" s="93">
        <v>0</v>
      </c>
      <c r="AG1556" s="105"/>
      <c r="AH1556" s="108"/>
      <c r="AI1556" s="109" t="s">
        <v>4336</v>
      </c>
      <c r="AJ1556" s="110" t="s">
        <v>4337</v>
      </c>
      <c r="AK1556" s="280"/>
      <c r="AL1556" s="281"/>
      <c r="AM1556" s="112" t="s">
        <v>1991</v>
      </c>
      <c r="AN1556" s="107"/>
      <c r="AO1556" s="107"/>
      <c r="AP1556" s="107"/>
      <c r="AQ1556" s="107"/>
      <c r="AR1556" s="107"/>
      <c r="AS1556" s="107"/>
      <c r="AT1556" s="107"/>
      <c r="AU1556" s="107"/>
      <c r="AV1556" s="107"/>
      <c r="AW1556" s="107"/>
      <c r="AX1556" s="107"/>
      <c r="AY1556" s="107"/>
      <c r="AZ1556" s="107"/>
      <c r="BA1556" s="107"/>
      <c r="BB1556" s="107"/>
      <c r="BC1556" s="107"/>
      <c r="BD1556" s="107"/>
      <c r="BE1556" s="107"/>
      <c r="BF1556" s="107"/>
      <c r="BG1556" s="107"/>
      <c r="BH1556" s="107"/>
      <c r="BI1556" s="107"/>
      <c r="BJ1556" s="107"/>
      <c r="BK1556" s="107"/>
      <c r="BL1556" s="107"/>
      <c r="BM1556" s="107"/>
      <c r="BN1556" s="107"/>
      <c r="BO1556" s="107"/>
      <c r="BP1556" s="107"/>
      <c r="BQ1556" s="107"/>
      <c r="BR1556" s="107"/>
      <c r="BS1556" s="107"/>
      <c r="BT1556" s="107"/>
      <c r="BU1556" s="107"/>
      <c r="BV1556" s="107"/>
      <c r="BW1556" s="107"/>
      <c r="BX1556" s="107"/>
      <c r="BY1556" s="107"/>
      <c r="BZ1556" s="107"/>
      <c r="CA1556" s="107"/>
      <c r="CB1556" s="107"/>
      <c r="CC1556" s="107"/>
      <c r="CD1556" s="107"/>
      <c r="CE1556" s="107"/>
      <c r="CF1556" s="107"/>
      <c r="CG1556" s="107"/>
      <c r="CH1556" s="107"/>
      <c r="CI1556" s="107"/>
      <c r="CJ1556" s="107"/>
      <c r="CK1556" s="107"/>
      <c r="CL1556" s="107"/>
      <c r="CM1556" s="107"/>
      <c r="CN1556" s="118"/>
      <c r="CO1556" s="119"/>
      <c r="CP1556" s="118"/>
      <c r="CQ1556" s="119"/>
      <c r="CR1556" s="118"/>
      <c r="CS1556" s="119"/>
      <c r="CT1556" s="113"/>
      <c r="CU1556" s="118"/>
      <c r="CV1556" s="99">
        <f t="shared" si="149"/>
        <v>0</v>
      </c>
      <c r="CW1556" s="118"/>
      <c r="CX1556" s="119"/>
      <c r="CY1556" s="119"/>
      <c r="CZ1556" s="119"/>
      <c r="DA1556" s="118"/>
      <c r="DB1556" s="119"/>
      <c r="DC1556" s="111"/>
      <c r="DD1556" s="119"/>
      <c r="DE1556" s="111"/>
      <c r="DF1556" s="46"/>
    </row>
    <row r="1557" spans="1:110" s="42" customFormat="1" ht="60" x14ac:dyDescent="0.2">
      <c r="A1557" s="89">
        <v>40721</v>
      </c>
      <c r="B1557" s="90" t="s">
        <v>4387</v>
      </c>
      <c r="C1557" s="90" t="s">
        <v>3382</v>
      </c>
      <c r="D1557" s="90" t="s">
        <v>4298</v>
      </c>
      <c r="E1557" s="90" t="str">
        <f>VLOOKUP(B1557&amp;C1557,Divipola!$C$2:$F$1138,4,FALSE)</f>
        <v>52490</v>
      </c>
      <c r="F1557" s="90"/>
      <c r="G1557" s="279"/>
      <c r="H1557" s="279"/>
      <c r="I1557" s="279"/>
      <c r="J1557" s="129">
        <v>20</v>
      </c>
      <c r="K1557" s="129">
        <v>4</v>
      </c>
      <c r="L1557" s="129">
        <v>4</v>
      </c>
      <c r="M1557" s="279"/>
      <c r="N1557" s="129"/>
      <c r="O1557" s="129"/>
      <c r="P1557" s="129"/>
      <c r="Q1557" s="129"/>
      <c r="R1557" s="129"/>
      <c r="S1557" s="129"/>
      <c r="T1557" s="129"/>
      <c r="U1557" s="129"/>
      <c r="V1557" s="129"/>
      <c r="W1557" s="107"/>
      <c r="X1557" s="105"/>
      <c r="Y1557" s="92">
        <f t="shared" si="144"/>
        <v>0</v>
      </c>
      <c r="Z1557" s="92">
        <f t="shared" si="145"/>
        <v>0</v>
      </c>
      <c r="AA1557" s="92">
        <f t="shared" si="146"/>
        <v>0</v>
      </c>
      <c r="AB1557" s="92">
        <f t="shared" si="147"/>
        <v>0</v>
      </c>
      <c r="AC1557" s="92"/>
      <c r="AD1557" s="92">
        <v>0</v>
      </c>
      <c r="AE1557" s="92">
        <f t="shared" si="148"/>
        <v>0</v>
      </c>
      <c r="AF1557" s="93">
        <v>0</v>
      </c>
      <c r="AG1557" s="105"/>
      <c r="AH1557" s="108"/>
      <c r="AI1557" s="109" t="s">
        <v>4336</v>
      </c>
      <c r="AJ1557" s="110" t="s">
        <v>4337</v>
      </c>
      <c r="AK1557" s="280"/>
      <c r="AL1557" s="281"/>
      <c r="AM1557" s="112" t="s">
        <v>1992</v>
      </c>
      <c r="AN1557" s="107"/>
      <c r="AO1557" s="107"/>
      <c r="AP1557" s="107"/>
      <c r="AQ1557" s="107"/>
      <c r="AR1557" s="107"/>
      <c r="AS1557" s="107"/>
      <c r="AT1557" s="107"/>
      <c r="AU1557" s="107"/>
      <c r="AV1557" s="107"/>
      <c r="AW1557" s="107"/>
      <c r="AX1557" s="107"/>
      <c r="AY1557" s="107"/>
      <c r="AZ1557" s="107"/>
      <c r="BA1557" s="107"/>
      <c r="BB1557" s="107"/>
      <c r="BC1557" s="107"/>
      <c r="BD1557" s="107"/>
      <c r="BE1557" s="107"/>
      <c r="BF1557" s="107"/>
      <c r="BG1557" s="107"/>
      <c r="BH1557" s="107"/>
      <c r="BI1557" s="107"/>
      <c r="BJ1557" s="107"/>
      <c r="BK1557" s="107"/>
      <c r="BL1557" s="107"/>
      <c r="BM1557" s="107"/>
      <c r="BN1557" s="107"/>
      <c r="BO1557" s="107"/>
      <c r="BP1557" s="107"/>
      <c r="BQ1557" s="107"/>
      <c r="BR1557" s="107"/>
      <c r="BS1557" s="107"/>
      <c r="BT1557" s="107"/>
      <c r="BU1557" s="107"/>
      <c r="BV1557" s="107"/>
      <c r="BW1557" s="107"/>
      <c r="BX1557" s="107"/>
      <c r="BY1557" s="107"/>
      <c r="BZ1557" s="107"/>
      <c r="CA1557" s="107"/>
      <c r="CB1557" s="107"/>
      <c r="CC1557" s="107"/>
      <c r="CD1557" s="107"/>
      <c r="CE1557" s="107"/>
      <c r="CF1557" s="107"/>
      <c r="CG1557" s="107"/>
      <c r="CH1557" s="107"/>
      <c r="CI1557" s="107"/>
      <c r="CJ1557" s="107"/>
      <c r="CK1557" s="107"/>
      <c r="CL1557" s="107"/>
      <c r="CM1557" s="107"/>
      <c r="CN1557" s="118"/>
      <c r="CO1557" s="119"/>
      <c r="CP1557" s="118"/>
      <c r="CQ1557" s="119"/>
      <c r="CR1557" s="118"/>
      <c r="CS1557" s="119"/>
      <c r="CT1557" s="113"/>
      <c r="CU1557" s="118"/>
      <c r="CV1557" s="99">
        <f t="shared" si="149"/>
        <v>0</v>
      </c>
      <c r="CW1557" s="118"/>
      <c r="CX1557" s="119"/>
      <c r="CY1557" s="119"/>
      <c r="CZ1557" s="119"/>
      <c r="DA1557" s="118"/>
      <c r="DB1557" s="119"/>
      <c r="DC1557" s="111"/>
      <c r="DD1557" s="119"/>
      <c r="DE1557" s="111"/>
      <c r="DF1557" s="46"/>
    </row>
    <row r="1558" spans="1:110" s="42" customFormat="1" ht="24" x14ac:dyDescent="0.2">
      <c r="A1558" s="89">
        <v>40721</v>
      </c>
      <c r="B1558" s="90" t="s">
        <v>4348</v>
      </c>
      <c r="C1558" s="90" t="s">
        <v>601</v>
      </c>
      <c r="D1558" s="90" t="s">
        <v>4298</v>
      </c>
      <c r="E1558" s="90" t="str">
        <f>VLOOKUP(B1558&amp;C1558,Divipola!$C$2:$F$1138,4,FALSE)</f>
        <v>66170</v>
      </c>
      <c r="F1558" s="90"/>
      <c r="G1558" s="101"/>
      <c r="H1558" s="101">
        <v>1</v>
      </c>
      <c r="I1558" s="101"/>
      <c r="J1558" s="101">
        <v>4</v>
      </c>
      <c r="K1558" s="101">
        <v>1</v>
      </c>
      <c r="L1558" s="101"/>
      <c r="M1558" s="101">
        <v>1</v>
      </c>
      <c r="N1558" s="101"/>
      <c r="O1558" s="129"/>
      <c r="P1558" s="129"/>
      <c r="Q1558" s="129"/>
      <c r="R1558" s="129"/>
      <c r="S1558" s="129"/>
      <c r="T1558" s="129"/>
      <c r="U1558" s="129"/>
      <c r="V1558" s="129"/>
      <c r="W1558" s="107"/>
      <c r="X1558" s="105"/>
      <c r="Y1558" s="92">
        <f t="shared" si="144"/>
        <v>0</v>
      </c>
      <c r="Z1558" s="92">
        <f t="shared" si="145"/>
        <v>0</v>
      </c>
      <c r="AA1558" s="92">
        <f t="shared" si="146"/>
        <v>0</v>
      </c>
      <c r="AB1558" s="92">
        <f t="shared" si="147"/>
        <v>0</v>
      </c>
      <c r="AC1558" s="92"/>
      <c r="AD1558" s="92">
        <v>0</v>
      </c>
      <c r="AE1558" s="92">
        <f t="shared" si="148"/>
        <v>0</v>
      </c>
      <c r="AF1558" s="93">
        <v>0</v>
      </c>
      <c r="AG1558" s="105"/>
      <c r="AH1558" s="108"/>
      <c r="AI1558" s="109" t="s">
        <v>4336</v>
      </c>
      <c r="AJ1558" s="110" t="s">
        <v>4337</v>
      </c>
      <c r="AK1558" s="280"/>
      <c r="AL1558" s="281"/>
      <c r="AM1558" s="100" t="s">
        <v>1995</v>
      </c>
      <c r="AN1558" s="107"/>
      <c r="AO1558" s="107"/>
      <c r="AP1558" s="107"/>
      <c r="AQ1558" s="107"/>
      <c r="AR1558" s="107"/>
      <c r="AS1558" s="107"/>
      <c r="AT1558" s="107"/>
      <c r="AU1558" s="107"/>
      <c r="AV1558" s="107"/>
      <c r="AW1558" s="107"/>
      <c r="AX1558" s="107"/>
      <c r="AY1558" s="107"/>
      <c r="AZ1558" s="107"/>
      <c r="BA1558" s="107"/>
      <c r="BB1558" s="107"/>
      <c r="BC1558" s="107"/>
      <c r="BD1558" s="107"/>
      <c r="BE1558" s="107"/>
      <c r="BF1558" s="107"/>
      <c r="BG1558" s="107"/>
      <c r="BH1558" s="107"/>
      <c r="BI1558" s="107"/>
      <c r="BJ1558" s="107"/>
      <c r="BK1558" s="107"/>
      <c r="BL1558" s="107"/>
      <c r="BM1558" s="107"/>
      <c r="BN1558" s="107"/>
      <c r="BO1558" s="107"/>
      <c r="BP1558" s="107"/>
      <c r="BQ1558" s="107"/>
      <c r="BR1558" s="107"/>
      <c r="BS1558" s="107"/>
      <c r="BT1558" s="107"/>
      <c r="BU1558" s="107"/>
      <c r="BV1558" s="107"/>
      <c r="BW1558" s="107"/>
      <c r="BX1558" s="107"/>
      <c r="BY1558" s="107"/>
      <c r="BZ1558" s="107"/>
      <c r="CA1558" s="107"/>
      <c r="CB1558" s="107"/>
      <c r="CC1558" s="107"/>
      <c r="CD1558" s="107"/>
      <c r="CE1558" s="107"/>
      <c r="CF1558" s="107"/>
      <c r="CG1558" s="107"/>
      <c r="CH1558" s="107"/>
      <c r="CI1558" s="107"/>
      <c r="CJ1558" s="107"/>
      <c r="CK1558" s="107"/>
      <c r="CL1558" s="107"/>
      <c r="CM1558" s="107"/>
      <c r="CN1558" s="118"/>
      <c r="CO1558" s="119"/>
      <c r="CP1558" s="118"/>
      <c r="CQ1558" s="119"/>
      <c r="CR1558" s="118"/>
      <c r="CS1558" s="119"/>
      <c r="CT1558" s="113"/>
      <c r="CU1558" s="118"/>
      <c r="CV1558" s="99">
        <f t="shared" si="149"/>
        <v>0</v>
      </c>
      <c r="CW1558" s="118"/>
      <c r="CX1558" s="119"/>
      <c r="CY1558" s="119"/>
      <c r="CZ1558" s="119"/>
      <c r="DA1558" s="118"/>
      <c r="DB1558" s="119"/>
      <c r="DC1558" s="111"/>
      <c r="DD1558" s="119"/>
      <c r="DE1558" s="111"/>
      <c r="DF1558" s="46"/>
    </row>
    <row r="1559" spans="1:110" s="42" customFormat="1" ht="36" x14ac:dyDescent="0.2">
      <c r="A1559" s="89">
        <v>40721</v>
      </c>
      <c r="B1559" s="90" t="s">
        <v>4348</v>
      </c>
      <c r="C1559" s="90" t="s">
        <v>2228</v>
      </c>
      <c r="D1559" s="90" t="s">
        <v>2362</v>
      </c>
      <c r="E1559" s="90" t="str">
        <f>VLOOKUP(B1559&amp;C1559,Divipola!$C$2:$F$1138,4,FALSE)</f>
        <v>66001</v>
      </c>
      <c r="F1559" s="4"/>
      <c r="G1559" s="101"/>
      <c r="H1559" s="101"/>
      <c r="I1559" s="101"/>
      <c r="J1559" s="101">
        <v>7</v>
      </c>
      <c r="K1559" s="101">
        <v>1</v>
      </c>
      <c r="L1559" s="101"/>
      <c r="M1559" s="101">
        <v>1</v>
      </c>
      <c r="N1559" s="101"/>
      <c r="O1559" s="101"/>
      <c r="P1559" s="101"/>
      <c r="Q1559" s="101"/>
      <c r="R1559" s="101"/>
      <c r="S1559" s="101"/>
      <c r="T1559" s="101"/>
      <c r="U1559" s="101"/>
      <c r="V1559" s="101"/>
      <c r="W1559" s="19"/>
      <c r="X1559" s="17"/>
      <c r="Y1559" s="5">
        <f t="shared" si="144"/>
        <v>0</v>
      </c>
      <c r="Z1559" s="5">
        <f t="shared" si="145"/>
        <v>0</v>
      </c>
      <c r="AA1559" s="5">
        <f t="shared" si="146"/>
        <v>0</v>
      </c>
      <c r="AB1559" s="5">
        <f t="shared" si="147"/>
        <v>0</v>
      </c>
      <c r="AC1559" s="5"/>
      <c r="AD1559" s="5">
        <v>0</v>
      </c>
      <c r="AE1559" s="5">
        <f t="shared" si="148"/>
        <v>0</v>
      </c>
      <c r="AF1559" s="70">
        <v>0</v>
      </c>
      <c r="AG1559" s="17"/>
      <c r="AH1559" s="18"/>
      <c r="AI1559" s="109" t="s">
        <v>4336</v>
      </c>
      <c r="AJ1559" s="110" t="s">
        <v>4337</v>
      </c>
      <c r="AK1559" s="45"/>
      <c r="AL1559" s="17"/>
      <c r="AM1559" s="100" t="s">
        <v>1922</v>
      </c>
      <c r="AN1559" s="19"/>
      <c r="AO1559" s="19"/>
      <c r="AP1559" s="19"/>
      <c r="AQ1559" s="19"/>
      <c r="AR1559" s="19"/>
      <c r="AS1559" s="19"/>
      <c r="AT1559" s="19"/>
      <c r="AU1559" s="19"/>
      <c r="AV1559" s="19"/>
      <c r="AW1559" s="19"/>
      <c r="AX1559" s="107"/>
      <c r="AY1559" s="107"/>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39"/>
      <c r="CO1559" s="138"/>
      <c r="CP1559" s="139"/>
      <c r="CQ1559" s="138"/>
      <c r="CR1559" s="139"/>
      <c r="CS1559" s="138"/>
      <c r="CT1559" s="72"/>
      <c r="CU1559" s="139"/>
      <c r="CV1559" s="99">
        <f t="shared" si="149"/>
        <v>0</v>
      </c>
      <c r="CW1559" s="139"/>
      <c r="CX1559" s="138"/>
      <c r="CY1559" s="138"/>
      <c r="CZ1559" s="138"/>
      <c r="DA1559" s="139"/>
      <c r="DB1559" s="138"/>
      <c r="DC1559" s="45"/>
      <c r="DD1559" s="138"/>
      <c r="DE1559" s="45"/>
      <c r="DF1559" s="46"/>
    </row>
    <row r="1560" spans="1:110" s="42" customFormat="1" ht="84" x14ac:dyDescent="0.2">
      <c r="A1560" s="89">
        <v>40721</v>
      </c>
      <c r="B1560" s="106" t="s">
        <v>4244</v>
      </c>
      <c r="C1560" s="106" t="s">
        <v>2768</v>
      </c>
      <c r="D1560" s="106" t="s">
        <v>2865</v>
      </c>
      <c r="E1560" s="90" t="str">
        <f>VLOOKUP(B1560&amp;C1560,Divipola!$C$2:$F$1138,4,FALSE)</f>
        <v>76001</v>
      </c>
      <c r="F1560" s="90"/>
      <c r="G1560" s="279"/>
      <c r="H1560" s="129">
        <v>10</v>
      </c>
      <c r="I1560" s="279"/>
      <c r="J1560" s="279"/>
      <c r="K1560" s="279"/>
      <c r="L1560" s="279"/>
      <c r="M1560" s="279"/>
      <c r="N1560" s="129"/>
      <c r="O1560" s="129"/>
      <c r="P1560" s="129"/>
      <c r="Q1560" s="129"/>
      <c r="R1560" s="129"/>
      <c r="S1560" s="129"/>
      <c r="T1560" s="129"/>
      <c r="U1560" s="129"/>
      <c r="V1560" s="129"/>
      <c r="W1560" s="107"/>
      <c r="X1560" s="105"/>
      <c r="Y1560" s="92">
        <f t="shared" si="144"/>
        <v>0</v>
      </c>
      <c r="Z1560" s="92">
        <f t="shared" si="145"/>
        <v>0</v>
      </c>
      <c r="AA1560" s="92">
        <f t="shared" si="146"/>
        <v>0</v>
      </c>
      <c r="AB1560" s="92">
        <f t="shared" si="147"/>
        <v>0</v>
      </c>
      <c r="AC1560" s="92"/>
      <c r="AD1560" s="92">
        <v>0</v>
      </c>
      <c r="AE1560" s="92">
        <f t="shared" si="148"/>
        <v>0</v>
      </c>
      <c r="AF1560" s="93">
        <v>0</v>
      </c>
      <c r="AG1560" s="105"/>
      <c r="AH1560" s="108"/>
      <c r="AI1560" s="109" t="s">
        <v>4336</v>
      </c>
      <c r="AJ1560" s="110" t="s">
        <v>4337</v>
      </c>
      <c r="AK1560" s="280"/>
      <c r="AL1560" s="281"/>
      <c r="AM1560" s="112" t="s">
        <v>2017</v>
      </c>
      <c r="AN1560" s="107"/>
      <c r="AO1560" s="107"/>
      <c r="AP1560" s="107"/>
      <c r="AQ1560" s="107"/>
      <c r="AR1560" s="107"/>
      <c r="AS1560" s="107"/>
      <c r="AT1560" s="107"/>
      <c r="AU1560" s="107"/>
      <c r="AV1560" s="107"/>
      <c r="AW1560" s="107"/>
      <c r="AX1560" s="107"/>
      <c r="AY1560" s="107"/>
      <c r="AZ1560" s="107"/>
      <c r="BA1560" s="107"/>
      <c r="BB1560" s="107"/>
      <c r="BC1560" s="107"/>
      <c r="BD1560" s="107"/>
      <c r="BE1560" s="107"/>
      <c r="BF1560" s="107"/>
      <c r="BG1560" s="107"/>
      <c r="BH1560" s="107"/>
      <c r="BI1560" s="107"/>
      <c r="BJ1560" s="107"/>
      <c r="BK1560" s="107"/>
      <c r="BL1560" s="107"/>
      <c r="BM1560" s="107"/>
      <c r="BN1560" s="107"/>
      <c r="BO1560" s="107"/>
      <c r="BP1560" s="107"/>
      <c r="BQ1560" s="107"/>
      <c r="BR1560" s="107"/>
      <c r="BS1560" s="107"/>
      <c r="BT1560" s="107"/>
      <c r="BU1560" s="107"/>
      <c r="BV1560" s="107"/>
      <c r="BW1560" s="107"/>
      <c r="BX1560" s="107"/>
      <c r="BY1560" s="107"/>
      <c r="BZ1560" s="107"/>
      <c r="CA1560" s="107"/>
      <c r="CB1560" s="107"/>
      <c r="CC1560" s="107"/>
      <c r="CD1560" s="107"/>
      <c r="CE1560" s="107"/>
      <c r="CF1560" s="107"/>
      <c r="CG1560" s="107"/>
      <c r="CH1560" s="107"/>
      <c r="CI1560" s="107"/>
      <c r="CJ1560" s="107"/>
      <c r="CK1560" s="107"/>
      <c r="CL1560" s="107"/>
      <c r="CM1560" s="107"/>
      <c r="CN1560" s="118"/>
      <c r="CO1560" s="119"/>
      <c r="CP1560" s="118"/>
      <c r="CQ1560" s="119"/>
      <c r="CR1560" s="118"/>
      <c r="CS1560" s="119"/>
      <c r="CT1560" s="113"/>
      <c r="CU1560" s="118"/>
      <c r="CV1560" s="99">
        <f t="shared" si="149"/>
        <v>0</v>
      </c>
      <c r="CW1560" s="118"/>
      <c r="CX1560" s="119"/>
      <c r="CY1560" s="119"/>
      <c r="CZ1560" s="119"/>
      <c r="DA1560" s="118"/>
      <c r="DB1560" s="119"/>
      <c r="DC1560" s="111"/>
      <c r="DD1560" s="119"/>
      <c r="DE1560" s="111"/>
      <c r="DF1560" s="46"/>
    </row>
    <row r="1561" spans="1:110" s="42" customFormat="1" ht="48" x14ac:dyDescent="0.2">
      <c r="A1561" s="89">
        <v>40722</v>
      </c>
      <c r="B1561" s="90" t="s">
        <v>4261</v>
      </c>
      <c r="C1561" s="90" t="s">
        <v>1218</v>
      </c>
      <c r="D1561" s="90" t="s">
        <v>4264</v>
      </c>
      <c r="E1561" s="90" t="str">
        <f>VLOOKUP(B1561&amp;C1561,Divipola!$C$2:$F$1138,4,FALSE)</f>
        <v>15476</v>
      </c>
      <c r="F1561" s="4"/>
      <c r="G1561" s="101"/>
      <c r="H1561" s="101"/>
      <c r="I1561" s="101"/>
      <c r="J1561" s="101">
        <v>250</v>
      </c>
      <c r="K1561" s="101">
        <v>45</v>
      </c>
      <c r="L1561" s="101"/>
      <c r="M1561" s="101">
        <v>45</v>
      </c>
      <c r="N1561" s="101">
        <v>2</v>
      </c>
      <c r="O1561" s="101"/>
      <c r="P1561" s="101"/>
      <c r="Q1561" s="101"/>
      <c r="R1561" s="101"/>
      <c r="S1561" s="101"/>
      <c r="T1561" s="101"/>
      <c r="U1561" s="101"/>
      <c r="V1561" s="101"/>
      <c r="W1561" s="19"/>
      <c r="X1561" s="17"/>
      <c r="Y1561" s="5">
        <f t="shared" si="144"/>
        <v>0</v>
      </c>
      <c r="Z1561" s="5">
        <f t="shared" si="145"/>
        <v>0</v>
      </c>
      <c r="AA1561" s="5">
        <f t="shared" si="146"/>
        <v>0</v>
      </c>
      <c r="AB1561" s="5">
        <f t="shared" si="147"/>
        <v>0</v>
      </c>
      <c r="AC1561" s="5"/>
      <c r="AD1561" s="5">
        <v>0</v>
      </c>
      <c r="AE1561" s="5">
        <f t="shared" si="148"/>
        <v>0</v>
      </c>
      <c r="AF1561" s="70">
        <v>0</v>
      </c>
      <c r="AG1561" s="17"/>
      <c r="AH1561" s="18"/>
      <c r="AI1561" s="47" t="s">
        <v>4336</v>
      </c>
      <c r="AJ1561" s="73" t="s">
        <v>4337</v>
      </c>
      <c r="AK1561" s="45"/>
      <c r="AL1561" s="17" t="s">
        <v>119</v>
      </c>
      <c r="AM1561" s="100" t="s">
        <v>114</v>
      </c>
      <c r="AN1561" s="19"/>
      <c r="AO1561" s="19"/>
      <c r="AP1561" s="19"/>
      <c r="AQ1561" s="19"/>
      <c r="AR1561" s="19"/>
      <c r="AS1561" s="19"/>
      <c r="AT1561" s="19"/>
      <c r="AU1561" s="19"/>
      <c r="AV1561" s="19"/>
      <c r="AW1561" s="19"/>
      <c r="AX1561" s="107"/>
      <c r="AY1561" s="107"/>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39"/>
      <c r="CO1561" s="138"/>
      <c r="CP1561" s="139"/>
      <c r="CQ1561" s="138"/>
      <c r="CR1561" s="139"/>
      <c r="CS1561" s="138"/>
      <c r="CT1561" s="72"/>
      <c r="CU1561" s="139"/>
      <c r="CV1561" s="99">
        <f t="shared" si="149"/>
        <v>0</v>
      </c>
      <c r="CW1561" s="139"/>
      <c r="CX1561" s="138"/>
      <c r="CY1561" s="138"/>
      <c r="CZ1561" s="138"/>
      <c r="DA1561" s="139"/>
      <c r="DB1561" s="138"/>
      <c r="DC1561" s="45"/>
      <c r="DD1561" s="138"/>
      <c r="DE1561" s="45"/>
      <c r="DF1561" s="46"/>
    </row>
    <row r="1562" spans="1:110" s="42" customFormat="1" ht="22.5" x14ac:dyDescent="0.2">
      <c r="A1562" s="89">
        <v>40722</v>
      </c>
      <c r="B1562" s="90" t="s">
        <v>4261</v>
      </c>
      <c r="C1562" s="90" t="s">
        <v>1369</v>
      </c>
      <c r="D1562" s="90" t="s">
        <v>4264</v>
      </c>
      <c r="E1562" s="90" t="str">
        <f>VLOOKUP(B1562&amp;C1562,Divipola!$C$2:$F$1138,4,FALSE)</f>
        <v>15861</v>
      </c>
      <c r="F1562" s="4"/>
      <c r="G1562" s="101"/>
      <c r="H1562" s="101"/>
      <c r="I1562" s="101"/>
      <c r="J1562" s="101">
        <v>300</v>
      </c>
      <c r="K1562" s="101">
        <v>60</v>
      </c>
      <c r="L1562" s="101"/>
      <c r="M1562" s="101">
        <v>60</v>
      </c>
      <c r="N1562" s="101"/>
      <c r="O1562" s="101"/>
      <c r="P1562" s="101"/>
      <c r="Q1562" s="101"/>
      <c r="R1562" s="101"/>
      <c r="S1562" s="101"/>
      <c r="T1562" s="101"/>
      <c r="U1562" s="101"/>
      <c r="V1562" s="101"/>
      <c r="W1562" s="19"/>
      <c r="X1562" s="17"/>
      <c r="Y1562" s="5">
        <f t="shared" si="144"/>
        <v>0</v>
      </c>
      <c r="Z1562" s="5">
        <f t="shared" si="145"/>
        <v>0</v>
      </c>
      <c r="AA1562" s="5">
        <f t="shared" si="146"/>
        <v>0</v>
      </c>
      <c r="AB1562" s="5">
        <f t="shared" si="147"/>
        <v>0</v>
      </c>
      <c r="AC1562" s="5"/>
      <c r="AD1562" s="5">
        <v>0</v>
      </c>
      <c r="AE1562" s="5">
        <f t="shared" si="148"/>
        <v>0</v>
      </c>
      <c r="AF1562" s="70">
        <v>0</v>
      </c>
      <c r="AG1562" s="17"/>
      <c r="AH1562" s="18"/>
      <c r="AI1562" s="47" t="s">
        <v>4336</v>
      </c>
      <c r="AJ1562" s="73" t="s">
        <v>4337</v>
      </c>
      <c r="AK1562" s="45"/>
      <c r="AL1562" s="17" t="s">
        <v>119</v>
      </c>
      <c r="AM1562" s="100" t="s">
        <v>115</v>
      </c>
      <c r="AN1562" s="19"/>
      <c r="AO1562" s="19"/>
      <c r="AP1562" s="19"/>
      <c r="AQ1562" s="19"/>
      <c r="AR1562" s="19"/>
      <c r="AS1562" s="19"/>
      <c r="AT1562" s="19"/>
      <c r="AU1562" s="19"/>
      <c r="AV1562" s="19"/>
      <c r="AW1562" s="19"/>
      <c r="AX1562" s="107"/>
      <c r="AY1562" s="107"/>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39"/>
      <c r="CO1562" s="138"/>
      <c r="CP1562" s="139"/>
      <c r="CQ1562" s="138"/>
      <c r="CR1562" s="139"/>
      <c r="CS1562" s="138"/>
      <c r="CT1562" s="72"/>
      <c r="CU1562" s="139"/>
      <c r="CV1562" s="99">
        <f t="shared" si="149"/>
        <v>0</v>
      </c>
      <c r="CW1562" s="139"/>
      <c r="CX1562" s="138"/>
      <c r="CY1562" s="138"/>
      <c r="CZ1562" s="138"/>
      <c r="DA1562" s="139"/>
      <c r="DB1562" s="138"/>
      <c r="DC1562" s="45"/>
      <c r="DD1562" s="138"/>
      <c r="DE1562" s="45"/>
      <c r="DF1562" s="46"/>
    </row>
    <row r="1563" spans="1:110" s="42" customFormat="1" ht="24" x14ac:dyDescent="0.2">
      <c r="A1563" s="89">
        <v>40722</v>
      </c>
      <c r="B1563" s="90" t="s">
        <v>4219</v>
      </c>
      <c r="C1563" s="90" t="s">
        <v>2249</v>
      </c>
      <c r="D1563" s="90" t="s">
        <v>2362</v>
      </c>
      <c r="E1563" s="90" t="str">
        <f>VLOOKUP(B1563&amp;C1563,Divipola!$C$2:$F$1138,4,FALSE)</f>
        <v>41770</v>
      </c>
      <c r="F1563" s="90"/>
      <c r="G1563" s="279"/>
      <c r="H1563" s="279"/>
      <c r="I1563" s="279"/>
      <c r="J1563" s="101">
        <v>27</v>
      </c>
      <c r="K1563" s="101">
        <v>9</v>
      </c>
      <c r="L1563" s="101"/>
      <c r="M1563" s="101">
        <v>9</v>
      </c>
      <c r="N1563" s="129"/>
      <c r="O1563" s="129"/>
      <c r="P1563" s="129"/>
      <c r="Q1563" s="129"/>
      <c r="R1563" s="129"/>
      <c r="S1563" s="129"/>
      <c r="T1563" s="129"/>
      <c r="U1563" s="129"/>
      <c r="V1563" s="129"/>
      <c r="W1563" s="107"/>
      <c r="X1563" s="105"/>
      <c r="Y1563" s="92">
        <f t="shared" si="144"/>
        <v>0</v>
      </c>
      <c r="Z1563" s="92">
        <f t="shared" si="145"/>
        <v>0</v>
      </c>
      <c r="AA1563" s="92">
        <f t="shared" si="146"/>
        <v>0</v>
      </c>
      <c r="AB1563" s="92">
        <f t="shared" si="147"/>
        <v>0</v>
      </c>
      <c r="AC1563" s="92"/>
      <c r="AD1563" s="92">
        <v>0</v>
      </c>
      <c r="AE1563" s="92">
        <f t="shared" si="148"/>
        <v>0</v>
      </c>
      <c r="AF1563" s="93">
        <v>0</v>
      </c>
      <c r="AG1563" s="105"/>
      <c r="AH1563" s="108"/>
      <c r="AI1563" s="109" t="s">
        <v>4336</v>
      </c>
      <c r="AJ1563" s="110" t="s">
        <v>4337</v>
      </c>
      <c r="AK1563" s="280"/>
      <c r="AL1563" s="281"/>
      <c r="AM1563" s="100" t="s">
        <v>1990</v>
      </c>
      <c r="AN1563" s="107"/>
      <c r="AO1563" s="107"/>
      <c r="AP1563" s="107"/>
      <c r="AQ1563" s="107"/>
      <c r="AR1563" s="107"/>
      <c r="AS1563" s="107"/>
      <c r="AT1563" s="107"/>
      <c r="AU1563" s="107"/>
      <c r="AV1563" s="107"/>
      <c r="AW1563" s="107"/>
      <c r="AX1563" s="107"/>
      <c r="AY1563" s="107"/>
      <c r="AZ1563" s="107"/>
      <c r="BA1563" s="107"/>
      <c r="BB1563" s="107"/>
      <c r="BC1563" s="107"/>
      <c r="BD1563" s="107"/>
      <c r="BE1563" s="107"/>
      <c r="BF1563" s="107"/>
      <c r="BG1563" s="107"/>
      <c r="BH1563" s="107"/>
      <c r="BI1563" s="107"/>
      <c r="BJ1563" s="107"/>
      <c r="BK1563" s="107"/>
      <c r="BL1563" s="107"/>
      <c r="BM1563" s="107"/>
      <c r="BN1563" s="107"/>
      <c r="BO1563" s="107"/>
      <c r="BP1563" s="107"/>
      <c r="BQ1563" s="107"/>
      <c r="BR1563" s="107"/>
      <c r="BS1563" s="107"/>
      <c r="BT1563" s="107"/>
      <c r="BU1563" s="107"/>
      <c r="BV1563" s="107"/>
      <c r="BW1563" s="107"/>
      <c r="BX1563" s="107"/>
      <c r="BY1563" s="107"/>
      <c r="BZ1563" s="107"/>
      <c r="CA1563" s="107"/>
      <c r="CB1563" s="107"/>
      <c r="CC1563" s="107"/>
      <c r="CD1563" s="107"/>
      <c r="CE1563" s="107"/>
      <c r="CF1563" s="107"/>
      <c r="CG1563" s="107"/>
      <c r="CH1563" s="107"/>
      <c r="CI1563" s="107"/>
      <c r="CJ1563" s="107"/>
      <c r="CK1563" s="107"/>
      <c r="CL1563" s="107"/>
      <c r="CM1563" s="107"/>
      <c r="CN1563" s="118"/>
      <c r="CO1563" s="119"/>
      <c r="CP1563" s="118"/>
      <c r="CQ1563" s="119"/>
      <c r="CR1563" s="118"/>
      <c r="CS1563" s="119"/>
      <c r="CT1563" s="113"/>
      <c r="CU1563" s="118"/>
      <c r="CV1563" s="99">
        <f t="shared" si="149"/>
        <v>0</v>
      </c>
      <c r="CW1563" s="118"/>
      <c r="CX1563" s="119"/>
      <c r="CY1563" s="119"/>
      <c r="CZ1563" s="119"/>
      <c r="DA1563" s="118"/>
      <c r="DB1563" s="119"/>
      <c r="DC1563" s="111"/>
      <c r="DD1563" s="119"/>
      <c r="DE1563" s="111"/>
      <c r="DF1563" s="46"/>
    </row>
    <row r="1564" spans="1:110" s="42" customFormat="1" x14ac:dyDescent="0.2">
      <c r="A1564" s="89">
        <v>40722</v>
      </c>
      <c r="B1564" s="106" t="s">
        <v>4387</v>
      </c>
      <c r="C1564" s="106" t="s">
        <v>965</v>
      </c>
      <c r="D1564" s="90" t="s">
        <v>2362</v>
      </c>
      <c r="E1564" s="90" t="str">
        <f>VLOOKUP(B1564&amp;C1564,Divipola!$C$2:$F$1138,4,FALSE)</f>
        <v>52418</v>
      </c>
      <c r="F1564" s="4"/>
      <c r="G1564" s="129"/>
      <c r="H1564" s="129"/>
      <c r="I1564" s="129"/>
      <c r="J1564" s="129">
        <v>400</v>
      </c>
      <c r="K1564" s="129">
        <v>100</v>
      </c>
      <c r="L1564" s="129">
        <v>2</v>
      </c>
      <c r="M1564" s="129">
        <v>55</v>
      </c>
      <c r="N1564" s="101"/>
      <c r="O1564" s="101"/>
      <c r="P1564" s="101"/>
      <c r="Q1564" s="101"/>
      <c r="R1564" s="101"/>
      <c r="S1564" s="101"/>
      <c r="T1564" s="101"/>
      <c r="U1564" s="101"/>
      <c r="V1564" s="101">
        <v>423</v>
      </c>
      <c r="W1564" s="19"/>
      <c r="X1564" s="17"/>
      <c r="Y1564" s="5">
        <f t="shared" si="144"/>
        <v>0</v>
      </c>
      <c r="Z1564" s="5">
        <f t="shared" si="145"/>
        <v>0</v>
      </c>
      <c r="AA1564" s="5">
        <f t="shared" si="146"/>
        <v>0</v>
      </c>
      <c r="AB1564" s="5">
        <f t="shared" si="147"/>
        <v>0</v>
      </c>
      <c r="AC1564" s="5"/>
      <c r="AD1564" s="5">
        <v>0</v>
      </c>
      <c r="AE1564" s="5">
        <f t="shared" si="148"/>
        <v>0</v>
      </c>
      <c r="AF1564" s="70">
        <v>0</v>
      </c>
      <c r="AG1564" s="17"/>
      <c r="AH1564" s="18"/>
      <c r="AI1564" s="109" t="s">
        <v>4336</v>
      </c>
      <c r="AJ1564" s="110" t="s">
        <v>4337</v>
      </c>
      <c r="AK1564" s="45"/>
      <c r="AL1564" s="17"/>
      <c r="AM1564" s="100" t="s">
        <v>1150</v>
      </c>
      <c r="AN1564" s="19"/>
      <c r="AO1564" s="19"/>
      <c r="AP1564" s="19"/>
      <c r="AQ1564" s="19"/>
      <c r="AR1564" s="19"/>
      <c r="AS1564" s="19"/>
      <c r="AT1564" s="19"/>
      <c r="AU1564" s="19"/>
      <c r="AV1564" s="19"/>
      <c r="AW1564" s="19"/>
      <c r="AX1564" s="107"/>
      <c r="AY1564" s="107"/>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39"/>
      <c r="CO1564" s="138"/>
      <c r="CP1564" s="139"/>
      <c r="CQ1564" s="138"/>
      <c r="CR1564" s="139"/>
      <c r="CS1564" s="138"/>
      <c r="CT1564" s="72"/>
      <c r="CU1564" s="139"/>
      <c r="CV1564" s="99">
        <f t="shared" si="149"/>
        <v>0</v>
      </c>
      <c r="CW1564" s="139"/>
      <c r="CX1564" s="138"/>
      <c r="CY1564" s="138"/>
      <c r="CZ1564" s="138"/>
      <c r="DA1564" s="139"/>
      <c r="DB1564" s="138"/>
      <c r="DC1564" s="45"/>
      <c r="DD1564" s="138"/>
      <c r="DE1564" s="45"/>
      <c r="DF1564" s="46"/>
    </row>
    <row r="1565" spans="1:110" s="42" customFormat="1" x14ac:dyDescent="0.2">
      <c r="A1565" s="89">
        <v>40722</v>
      </c>
      <c r="B1565" s="106" t="s">
        <v>4387</v>
      </c>
      <c r="C1565" s="106" t="s">
        <v>3385</v>
      </c>
      <c r="D1565" s="90" t="s">
        <v>2362</v>
      </c>
      <c r="E1565" s="90" t="str">
        <f>VLOOKUP(B1565&amp;C1565,Divipola!$C$2:$F$1138,4,FALSE)</f>
        <v>52720</v>
      </c>
      <c r="F1565" s="4"/>
      <c r="G1565" s="129"/>
      <c r="H1565" s="129"/>
      <c r="I1565" s="129"/>
      <c r="J1565" s="129">
        <v>95</v>
      </c>
      <c r="K1565" s="129">
        <v>26</v>
      </c>
      <c r="L1565" s="129"/>
      <c r="M1565" s="129">
        <v>21</v>
      </c>
      <c r="N1565" s="101"/>
      <c r="O1565" s="101"/>
      <c r="P1565" s="101"/>
      <c r="Q1565" s="101"/>
      <c r="R1565" s="101"/>
      <c r="S1565" s="101"/>
      <c r="T1565" s="101"/>
      <c r="U1565" s="101"/>
      <c r="V1565" s="101">
        <v>24</v>
      </c>
      <c r="W1565" s="19"/>
      <c r="X1565" s="17"/>
      <c r="Y1565" s="5">
        <f t="shared" si="144"/>
        <v>0</v>
      </c>
      <c r="Z1565" s="5">
        <f t="shared" si="145"/>
        <v>0</v>
      </c>
      <c r="AA1565" s="5">
        <f t="shared" si="146"/>
        <v>0</v>
      </c>
      <c r="AB1565" s="5">
        <f t="shared" si="147"/>
        <v>0</v>
      </c>
      <c r="AC1565" s="5"/>
      <c r="AD1565" s="5">
        <v>0</v>
      </c>
      <c r="AE1565" s="5">
        <f t="shared" si="148"/>
        <v>0</v>
      </c>
      <c r="AF1565" s="70">
        <v>0</v>
      </c>
      <c r="AG1565" s="17"/>
      <c r="AH1565" s="18"/>
      <c r="AI1565" s="109" t="s">
        <v>4336</v>
      </c>
      <c r="AJ1565" s="110" t="s">
        <v>4337</v>
      </c>
      <c r="AK1565" s="45"/>
      <c r="AL1565" s="17"/>
      <c r="AM1565" s="100" t="s">
        <v>1150</v>
      </c>
      <c r="AN1565" s="19"/>
      <c r="AO1565" s="19"/>
      <c r="AP1565" s="19"/>
      <c r="AQ1565" s="19"/>
      <c r="AR1565" s="19"/>
      <c r="AS1565" s="19"/>
      <c r="AT1565" s="19"/>
      <c r="AU1565" s="19"/>
      <c r="AV1565" s="19"/>
      <c r="AW1565" s="19"/>
      <c r="AX1565" s="107"/>
      <c r="AY1565" s="107"/>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39"/>
      <c r="CO1565" s="138"/>
      <c r="CP1565" s="139"/>
      <c r="CQ1565" s="138"/>
      <c r="CR1565" s="139"/>
      <c r="CS1565" s="138"/>
      <c r="CT1565" s="72"/>
      <c r="CU1565" s="139"/>
      <c r="CV1565" s="99">
        <f t="shared" si="149"/>
        <v>0</v>
      </c>
      <c r="CW1565" s="139"/>
      <c r="CX1565" s="138"/>
      <c r="CY1565" s="138"/>
      <c r="CZ1565" s="138"/>
      <c r="DA1565" s="139"/>
      <c r="DB1565" s="138"/>
      <c r="DC1565" s="45"/>
      <c r="DD1565" s="138"/>
      <c r="DE1565" s="45"/>
      <c r="DF1565" s="46"/>
    </row>
    <row r="1566" spans="1:110" s="42" customFormat="1" ht="24" x14ac:dyDescent="0.2">
      <c r="A1566" s="89">
        <v>40722</v>
      </c>
      <c r="B1566" s="90" t="s">
        <v>4221</v>
      </c>
      <c r="C1566" s="90" t="s">
        <v>3362</v>
      </c>
      <c r="D1566" s="90" t="s">
        <v>4264</v>
      </c>
      <c r="E1566" s="90" t="str">
        <f>VLOOKUP(B1566&amp;C1566,Divipola!$C$2:$F$1138,4,FALSE)</f>
        <v>54820</v>
      </c>
      <c r="F1566" s="4"/>
      <c r="G1566" s="274"/>
      <c r="H1566" s="274"/>
      <c r="I1566" s="274"/>
      <c r="J1566" s="129">
        <v>250</v>
      </c>
      <c r="K1566" s="129">
        <v>50</v>
      </c>
      <c r="L1566" s="129">
        <v>21</v>
      </c>
      <c r="M1566" s="129">
        <v>29</v>
      </c>
      <c r="N1566" s="129"/>
      <c r="O1566" s="208"/>
      <c r="P1566" s="208"/>
      <c r="Q1566" s="208"/>
      <c r="R1566" s="208"/>
      <c r="S1566" s="208"/>
      <c r="T1566" s="208"/>
      <c r="U1566" s="208"/>
      <c r="V1566" s="208"/>
      <c r="W1566" s="19"/>
      <c r="X1566" s="17"/>
      <c r="Y1566" s="5">
        <f t="shared" ref="Y1566:Y1629" si="150">CV1566</f>
        <v>0</v>
      </c>
      <c r="Z1566" s="5">
        <f t="shared" ref="Z1566:Z1629" si="151">CZ1566</f>
        <v>0</v>
      </c>
      <c r="AA1566" s="5">
        <f t="shared" ref="AA1566:AA1629" si="152">DB1566+DD1566</f>
        <v>0</v>
      </c>
      <c r="AB1566" s="5">
        <f t="shared" ref="AB1566:AB1629" si="153">CX1566</f>
        <v>0</v>
      </c>
      <c r="AC1566" s="5"/>
      <c r="AD1566" s="5">
        <v>0</v>
      </c>
      <c r="AE1566" s="5">
        <f t="shared" ref="AE1566:AE1629" si="154">Y1566+Z1566+AA1566+AB1566+AC1566+AD1566</f>
        <v>0</v>
      </c>
      <c r="AF1566" s="70">
        <v>0</v>
      </c>
      <c r="AG1566" s="17"/>
      <c r="AH1566" s="18"/>
      <c r="AI1566" s="109" t="s">
        <v>4336</v>
      </c>
      <c r="AJ1566" s="110" t="s">
        <v>4337</v>
      </c>
      <c r="AK1566" s="275"/>
      <c r="AL1566" s="276"/>
      <c r="AM1566" s="100" t="s">
        <v>1075</v>
      </c>
      <c r="AN1566" s="19"/>
      <c r="AO1566" s="19"/>
      <c r="AP1566" s="19"/>
      <c r="AQ1566" s="19"/>
      <c r="AR1566" s="19"/>
      <c r="AS1566" s="19"/>
      <c r="AT1566" s="19"/>
      <c r="AU1566" s="19"/>
      <c r="AV1566" s="19"/>
      <c r="AW1566" s="19"/>
      <c r="AX1566" s="107"/>
      <c r="AY1566" s="107"/>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39"/>
      <c r="CO1566" s="138"/>
      <c r="CP1566" s="139"/>
      <c r="CQ1566" s="138"/>
      <c r="CR1566" s="139"/>
      <c r="CS1566" s="138"/>
      <c r="CT1566" s="72"/>
      <c r="CU1566" s="139"/>
      <c r="CV1566" s="99">
        <f t="shared" si="149"/>
        <v>0</v>
      </c>
      <c r="CW1566" s="139"/>
      <c r="CX1566" s="138"/>
      <c r="CY1566" s="138"/>
      <c r="CZ1566" s="138"/>
      <c r="DA1566" s="139"/>
      <c r="DB1566" s="138"/>
      <c r="DC1566" s="45"/>
      <c r="DD1566" s="138"/>
      <c r="DE1566" s="45"/>
      <c r="DF1566" s="46"/>
    </row>
    <row r="1567" spans="1:110" s="42" customFormat="1" ht="24" x14ac:dyDescent="0.2">
      <c r="A1567" s="89">
        <v>40722</v>
      </c>
      <c r="B1567" s="106" t="s">
        <v>4348</v>
      </c>
      <c r="C1567" s="106" t="s">
        <v>2228</v>
      </c>
      <c r="D1567" s="106" t="s">
        <v>4298</v>
      </c>
      <c r="E1567" s="90" t="str">
        <f>VLOOKUP(B1567&amp;C1567,Divipola!$C$2:$F$1138,4,FALSE)</f>
        <v>66001</v>
      </c>
      <c r="F1567" s="90"/>
      <c r="G1567" s="279"/>
      <c r="H1567" s="279"/>
      <c r="I1567" s="279"/>
      <c r="J1567" s="129">
        <v>21</v>
      </c>
      <c r="K1567" s="129">
        <v>2</v>
      </c>
      <c r="L1567" s="129">
        <v>2</v>
      </c>
      <c r="M1567" s="129"/>
      <c r="N1567" s="129"/>
      <c r="O1567" s="129"/>
      <c r="P1567" s="129"/>
      <c r="Q1567" s="129"/>
      <c r="R1567" s="129"/>
      <c r="S1567" s="129"/>
      <c r="T1567" s="129"/>
      <c r="U1567" s="129"/>
      <c r="V1567" s="129"/>
      <c r="W1567" s="107"/>
      <c r="X1567" s="105"/>
      <c r="Y1567" s="92">
        <f t="shared" si="150"/>
        <v>0</v>
      </c>
      <c r="Z1567" s="92">
        <f t="shared" si="151"/>
        <v>0</v>
      </c>
      <c r="AA1567" s="92">
        <f t="shared" si="152"/>
        <v>0</v>
      </c>
      <c r="AB1567" s="92">
        <f t="shared" si="153"/>
        <v>0</v>
      </c>
      <c r="AC1567" s="92"/>
      <c r="AD1567" s="92">
        <v>0</v>
      </c>
      <c r="AE1567" s="92">
        <f t="shared" si="154"/>
        <v>0</v>
      </c>
      <c r="AF1567" s="93">
        <v>0</v>
      </c>
      <c r="AG1567" s="105"/>
      <c r="AH1567" s="108"/>
      <c r="AI1567" s="109" t="s">
        <v>4336</v>
      </c>
      <c r="AJ1567" s="110" t="s">
        <v>4337</v>
      </c>
      <c r="AK1567" s="280"/>
      <c r="AL1567" s="281"/>
      <c r="AM1567" s="112" t="s">
        <v>2010</v>
      </c>
      <c r="AN1567" s="107"/>
      <c r="AO1567" s="107"/>
      <c r="AP1567" s="107"/>
      <c r="AQ1567" s="107"/>
      <c r="AR1567" s="107"/>
      <c r="AS1567" s="107"/>
      <c r="AT1567" s="107"/>
      <c r="AU1567" s="107"/>
      <c r="AV1567" s="107"/>
      <c r="AW1567" s="107"/>
      <c r="AX1567" s="107"/>
      <c r="AY1567" s="107"/>
      <c r="AZ1567" s="107"/>
      <c r="BA1567" s="107"/>
      <c r="BB1567" s="107"/>
      <c r="BC1567" s="107"/>
      <c r="BD1567" s="107"/>
      <c r="BE1567" s="107"/>
      <c r="BF1567" s="107"/>
      <c r="BG1567" s="107"/>
      <c r="BH1567" s="107"/>
      <c r="BI1567" s="107"/>
      <c r="BJ1567" s="107"/>
      <c r="BK1567" s="107"/>
      <c r="BL1567" s="107"/>
      <c r="BM1567" s="107"/>
      <c r="BN1567" s="107"/>
      <c r="BO1567" s="107"/>
      <c r="BP1567" s="107"/>
      <c r="BQ1567" s="107"/>
      <c r="BR1567" s="107"/>
      <c r="BS1567" s="107"/>
      <c r="BT1567" s="107"/>
      <c r="BU1567" s="107"/>
      <c r="BV1567" s="107"/>
      <c r="BW1567" s="107"/>
      <c r="BX1567" s="107"/>
      <c r="BY1567" s="107"/>
      <c r="BZ1567" s="107"/>
      <c r="CA1567" s="107"/>
      <c r="CB1567" s="107"/>
      <c r="CC1567" s="107"/>
      <c r="CD1567" s="107"/>
      <c r="CE1567" s="107"/>
      <c r="CF1567" s="107"/>
      <c r="CG1567" s="107"/>
      <c r="CH1567" s="107"/>
      <c r="CI1567" s="107"/>
      <c r="CJ1567" s="107"/>
      <c r="CK1567" s="107"/>
      <c r="CL1567" s="107"/>
      <c r="CM1567" s="107"/>
      <c r="CN1567" s="118"/>
      <c r="CO1567" s="119"/>
      <c r="CP1567" s="118"/>
      <c r="CQ1567" s="119"/>
      <c r="CR1567" s="118"/>
      <c r="CS1567" s="119"/>
      <c r="CT1567" s="113"/>
      <c r="CU1567" s="118"/>
      <c r="CV1567" s="99">
        <f t="shared" si="149"/>
        <v>0</v>
      </c>
      <c r="CW1567" s="118"/>
      <c r="CX1567" s="119"/>
      <c r="CY1567" s="119"/>
      <c r="CZ1567" s="119"/>
      <c r="DA1567" s="118"/>
      <c r="DB1567" s="119"/>
      <c r="DC1567" s="111"/>
      <c r="DD1567" s="119"/>
      <c r="DE1567" s="111"/>
      <c r="DF1567" s="46"/>
    </row>
    <row r="1568" spans="1:110" s="42" customFormat="1" ht="48" x14ac:dyDescent="0.2">
      <c r="A1568" s="89">
        <v>40722</v>
      </c>
      <c r="B1568" s="90" t="s">
        <v>4348</v>
      </c>
      <c r="C1568" s="90" t="s">
        <v>2228</v>
      </c>
      <c r="D1568" s="90" t="s">
        <v>2362</v>
      </c>
      <c r="E1568" s="90" t="str">
        <f>VLOOKUP(B1568&amp;C1568,Divipola!$C$2:$F$1138,4,FALSE)</f>
        <v>66001</v>
      </c>
      <c r="F1568" s="4"/>
      <c r="G1568" s="101"/>
      <c r="H1568" s="101"/>
      <c r="I1568" s="101"/>
      <c r="J1568" s="101">
        <v>7</v>
      </c>
      <c r="K1568" s="101">
        <v>1</v>
      </c>
      <c r="L1568" s="101"/>
      <c r="M1568" s="101">
        <v>1</v>
      </c>
      <c r="N1568" s="101"/>
      <c r="O1568" s="101"/>
      <c r="P1568" s="101"/>
      <c r="Q1568" s="101"/>
      <c r="R1568" s="101"/>
      <c r="S1568" s="101"/>
      <c r="T1568" s="101"/>
      <c r="U1568" s="101"/>
      <c r="V1568" s="101"/>
      <c r="W1568" s="19"/>
      <c r="X1568" s="17"/>
      <c r="Y1568" s="5">
        <f t="shared" si="150"/>
        <v>0</v>
      </c>
      <c r="Z1568" s="5">
        <f t="shared" si="151"/>
        <v>0</v>
      </c>
      <c r="AA1568" s="5">
        <f t="shared" si="152"/>
        <v>0</v>
      </c>
      <c r="AB1568" s="5">
        <f t="shared" si="153"/>
        <v>0</v>
      </c>
      <c r="AC1568" s="5"/>
      <c r="AD1568" s="5">
        <v>0</v>
      </c>
      <c r="AE1568" s="5">
        <f t="shared" si="154"/>
        <v>0</v>
      </c>
      <c r="AF1568" s="70">
        <v>0</v>
      </c>
      <c r="AG1568" s="17"/>
      <c r="AH1568" s="18"/>
      <c r="AI1568" s="109" t="s">
        <v>4336</v>
      </c>
      <c r="AJ1568" s="110" t="s">
        <v>4337</v>
      </c>
      <c r="AK1568" s="45"/>
      <c r="AL1568" s="17"/>
      <c r="AM1568" s="100" t="s">
        <v>1923</v>
      </c>
      <c r="AN1568" s="19"/>
      <c r="AO1568" s="19"/>
      <c r="AP1568" s="19"/>
      <c r="AQ1568" s="19"/>
      <c r="AR1568" s="19"/>
      <c r="AS1568" s="19"/>
      <c r="AT1568" s="19"/>
      <c r="AU1568" s="19"/>
      <c r="AV1568" s="19"/>
      <c r="AW1568" s="19"/>
      <c r="AX1568" s="107"/>
      <c r="AY1568" s="107"/>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39"/>
      <c r="CO1568" s="138"/>
      <c r="CP1568" s="139"/>
      <c r="CQ1568" s="138"/>
      <c r="CR1568" s="139"/>
      <c r="CS1568" s="138"/>
      <c r="CT1568" s="72"/>
      <c r="CU1568" s="139"/>
      <c r="CV1568" s="99">
        <f t="shared" si="149"/>
        <v>0</v>
      </c>
      <c r="CW1568" s="139"/>
      <c r="CX1568" s="138"/>
      <c r="CY1568" s="138"/>
      <c r="CZ1568" s="138"/>
      <c r="DA1568" s="139"/>
      <c r="DB1568" s="138"/>
      <c r="DC1568" s="45"/>
      <c r="DD1568" s="138"/>
      <c r="DE1568" s="45"/>
      <c r="DF1568" s="46"/>
    </row>
    <row r="1569" spans="1:110" s="42" customFormat="1" ht="22.5" x14ac:dyDescent="0.2">
      <c r="A1569" s="89">
        <v>40722</v>
      </c>
      <c r="B1569" s="106" t="s">
        <v>2204</v>
      </c>
      <c r="C1569" s="106" t="s">
        <v>2203</v>
      </c>
      <c r="D1569" s="106" t="s">
        <v>4298</v>
      </c>
      <c r="E1569" s="90" t="str">
        <f>VLOOKUP(B1569&amp;C1569,Divipola!$C$2:$F$1138,4,FALSE)</f>
        <v>70110</v>
      </c>
      <c r="F1569" s="4"/>
      <c r="G1569" s="274"/>
      <c r="H1569" s="274"/>
      <c r="I1569" s="274"/>
      <c r="J1569" s="129">
        <v>4</v>
      </c>
      <c r="K1569" s="129">
        <v>1</v>
      </c>
      <c r="L1569" s="129">
        <v>1</v>
      </c>
      <c r="M1569" s="274"/>
      <c r="N1569" s="208"/>
      <c r="O1569" s="208"/>
      <c r="P1569" s="208"/>
      <c r="Q1569" s="208"/>
      <c r="R1569" s="208"/>
      <c r="S1569" s="208"/>
      <c r="T1569" s="208"/>
      <c r="U1569" s="208"/>
      <c r="V1569" s="208"/>
      <c r="W1569" s="19"/>
      <c r="X1569" s="17"/>
      <c r="Y1569" s="5">
        <f t="shared" si="150"/>
        <v>0</v>
      </c>
      <c r="Z1569" s="5">
        <f t="shared" si="151"/>
        <v>0</v>
      </c>
      <c r="AA1569" s="5">
        <f t="shared" si="152"/>
        <v>0</v>
      </c>
      <c r="AB1569" s="5">
        <f t="shared" si="153"/>
        <v>0</v>
      </c>
      <c r="AC1569" s="5"/>
      <c r="AD1569" s="5">
        <v>0</v>
      </c>
      <c r="AE1569" s="5">
        <f t="shared" si="154"/>
        <v>0</v>
      </c>
      <c r="AF1569" s="70">
        <v>0</v>
      </c>
      <c r="AG1569" s="17"/>
      <c r="AH1569" s="18"/>
      <c r="AI1569" s="109" t="s">
        <v>4336</v>
      </c>
      <c r="AJ1569" s="110" t="s">
        <v>4337</v>
      </c>
      <c r="AK1569" s="45"/>
      <c r="AL1569" s="275"/>
      <c r="AM1569" s="112" t="s">
        <v>1074</v>
      </c>
      <c r="AN1569" s="19"/>
      <c r="AO1569" s="19"/>
      <c r="AP1569" s="19"/>
      <c r="AQ1569" s="19"/>
      <c r="AR1569" s="19"/>
      <c r="AS1569" s="19"/>
      <c r="AT1569" s="19"/>
      <c r="AU1569" s="19"/>
      <c r="AV1569" s="19"/>
      <c r="AW1569" s="19"/>
      <c r="AX1569" s="107"/>
      <c r="AY1569" s="107"/>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39"/>
      <c r="CO1569" s="138"/>
      <c r="CP1569" s="139"/>
      <c r="CQ1569" s="138"/>
      <c r="CR1569" s="139"/>
      <c r="CS1569" s="138"/>
      <c r="CT1569" s="72"/>
      <c r="CU1569" s="139"/>
      <c r="CV1569" s="99">
        <f t="shared" si="149"/>
        <v>0</v>
      </c>
      <c r="CW1569" s="139"/>
      <c r="CX1569" s="138"/>
      <c r="CY1569" s="138"/>
      <c r="CZ1569" s="138"/>
      <c r="DA1569" s="139"/>
      <c r="DB1569" s="138"/>
      <c r="DC1569" s="45"/>
      <c r="DD1569" s="138"/>
      <c r="DE1569" s="45"/>
      <c r="DF1569" s="46"/>
    </row>
    <row r="1570" spans="1:110" s="42" customFormat="1" ht="36" x14ac:dyDescent="0.2">
      <c r="A1570" s="89">
        <v>40723</v>
      </c>
      <c r="B1570" s="90" t="s">
        <v>4261</v>
      </c>
      <c r="C1570" s="90" t="s">
        <v>2581</v>
      </c>
      <c r="D1570" s="90" t="s">
        <v>2362</v>
      </c>
      <c r="E1570" s="90" t="str">
        <f>VLOOKUP(B1570&amp;C1570,Divipola!$C$2:$F$1138,4,FALSE)</f>
        <v>15047</v>
      </c>
      <c r="F1570" s="4"/>
      <c r="G1570" s="101"/>
      <c r="H1570" s="101"/>
      <c r="I1570" s="101"/>
      <c r="J1570" s="101">
        <v>660</v>
      </c>
      <c r="K1570" s="101">
        <v>132</v>
      </c>
      <c r="L1570" s="101">
        <v>1</v>
      </c>
      <c r="M1570" s="101">
        <v>131</v>
      </c>
      <c r="N1570" s="101"/>
      <c r="O1570" s="101"/>
      <c r="P1570" s="101"/>
      <c r="Q1570" s="101"/>
      <c r="R1570" s="101"/>
      <c r="S1570" s="101"/>
      <c r="T1570" s="101"/>
      <c r="U1570" s="101"/>
      <c r="V1570" s="101">
        <v>52</v>
      </c>
      <c r="W1570" s="19"/>
      <c r="X1570" s="17"/>
      <c r="Y1570" s="5">
        <f t="shared" si="150"/>
        <v>0</v>
      </c>
      <c r="Z1570" s="5">
        <f t="shared" si="151"/>
        <v>0</v>
      </c>
      <c r="AA1570" s="5">
        <f t="shared" si="152"/>
        <v>0</v>
      </c>
      <c r="AB1570" s="5">
        <f t="shared" si="153"/>
        <v>0</v>
      </c>
      <c r="AC1570" s="5"/>
      <c r="AD1570" s="5">
        <v>0</v>
      </c>
      <c r="AE1570" s="5">
        <f t="shared" si="154"/>
        <v>0</v>
      </c>
      <c r="AF1570" s="70">
        <v>0</v>
      </c>
      <c r="AG1570" s="17"/>
      <c r="AH1570" s="18"/>
      <c r="AI1570" s="47" t="s">
        <v>4336</v>
      </c>
      <c r="AJ1570" s="73" t="s">
        <v>4337</v>
      </c>
      <c r="AK1570" s="45"/>
      <c r="AL1570" s="17" t="s">
        <v>119</v>
      </c>
      <c r="AM1570" s="100" t="s">
        <v>118</v>
      </c>
      <c r="AN1570" s="19"/>
      <c r="AO1570" s="19"/>
      <c r="AP1570" s="19"/>
      <c r="AQ1570" s="19"/>
      <c r="AR1570" s="19"/>
      <c r="AS1570" s="19"/>
      <c r="AT1570" s="19"/>
      <c r="AU1570" s="19"/>
      <c r="AV1570" s="19"/>
      <c r="AW1570" s="19"/>
      <c r="AX1570" s="107"/>
      <c r="AY1570" s="107"/>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39"/>
      <c r="CO1570" s="138"/>
      <c r="CP1570" s="139"/>
      <c r="CQ1570" s="138"/>
      <c r="CR1570" s="139"/>
      <c r="CS1570" s="138"/>
      <c r="CT1570" s="72"/>
      <c r="CU1570" s="139"/>
      <c r="CV1570" s="99">
        <f t="shared" si="149"/>
        <v>0</v>
      </c>
      <c r="CW1570" s="139"/>
      <c r="CX1570" s="138"/>
      <c r="CY1570" s="138"/>
      <c r="CZ1570" s="138"/>
      <c r="DA1570" s="139"/>
      <c r="DB1570" s="138"/>
      <c r="DC1570" s="45"/>
      <c r="DD1570" s="138"/>
      <c r="DE1570" s="45"/>
      <c r="DF1570" s="46"/>
    </row>
    <row r="1571" spans="1:110" s="42" customFormat="1" ht="36" x14ac:dyDescent="0.2">
      <c r="A1571" s="89">
        <v>40723</v>
      </c>
      <c r="B1571" s="90" t="s">
        <v>4261</v>
      </c>
      <c r="C1571" s="90" t="s">
        <v>2668</v>
      </c>
      <c r="D1571" s="90" t="s">
        <v>4264</v>
      </c>
      <c r="E1571" s="90" t="str">
        <f>VLOOKUP(B1571&amp;C1571,Divipola!$C$2:$F$1138,4,FALSE)</f>
        <v>15293</v>
      </c>
      <c r="F1571" s="4"/>
      <c r="G1571" s="101"/>
      <c r="H1571" s="101"/>
      <c r="I1571" s="101"/>
      <c r="J1571" s="101">
        <v>200</v>
      </c>
      <c r="K1571" s="101">
        <v>40</v>
      </c>
      <c r="L1571" s="101"/>
      <c r="M1571" s="101">
        <v>40</v>
      </c>
      <c r="N1571" s="101"/>
      <c r="O1571" s="101"/>
      <c r="P1571" s="101"/>
      <c r="Q1571" s="101"/>
      <c r="R1571" s="101"/>
      <c r="S1571" s="101"/>
      <c r="T1571" s="101"/>
      <c r="U1571" s="101"/>
      <c r="V1571" s="101">
        <v>120</v>
      </c>
      <c r="W1571" s="19"/>
      <c r="X1571" s="17"/>
      <c r="Y1571" s="5">
        <f t="shared" si="150"/>
        <v>0</v>
      </c>
      <c r="Z1571" s="5">
        <f t="shared" si="151"/>
        <v>0</v>
      </c>
      <c r="AA1571" s="5">
        <f t="shared" si="152"/>
        <v>0</v>
      </c>
      <c r="AB1571" s="5">
        <f t="shared" si="153"/>
        <v>0</v>
      </c>
      <c r="AC1571" s="5"/>
      <c r="AD1571" s="5">
        <v>0</v>
      </c>
      <c r="AE1571" s="5">
        <f t="shared" si="154"/>
        <v>0</v>
      </c>
      <c r="AF1571" s="70">
        <v>0</v>
      </c>
      <c r="AG1571" s="17"/>
      <c r="AH1571" s="18"/>
      <c r="AI1571" s="47" t="s">
        <v>4336</v>
      </c>
      <c r="AJ1571" s="73" t="s">
        <v>4337</v>
      </c>
      <c r="AK1571" s="45"/>
      <c r="AL1571" s="17" t="s">
        <v>119</v>
      </c>
      <c r="AM1571" s="100" t="s">
        <v>116</v>
      </c>
      <c r="AN1571" s="19"/>
      <c r="AO1571" s="19"/>
      <c r="AP1571" s="19"/>
      <c r="AQ1571" s="19"/>
      <c r="AR1571" s="19"/>
      <c r="AS1571" s="19"/>
      <c r="AT1571" s="19"/>
      <c r="AU1571" s="19"/>
      <c r="AV1571" s="19"/>
      <c r="AW1571" s="19"/>
      <c r="AX1571" s="107"/>
      <c r="AY1571" s="107"/>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39"/>
      <c r="CO1571" s="138"/>
      <c r="CP1571" s="139"/>
      <c r="CQ1571" s="138"/>
      <c r="CR1571" s="139"/>
      <c r="CS1571" s="138"/>
      <c r="CT1571" s="72"/>
      <c r="CU1571" s="139"/>
      <c r="CV1571" s="99">
        <f t="shared" si="149"/>
        <v>0</v>
      </c>
      <c r="CW1571" s="139"/>
      <c r="CX1571" s="138"/>
      <c r="CY1571" s="138"/>
      <c r="CZ1571" s="138"/>
      <c r="DA1571" s="139"/>
      <c r="DB1571" s="138"/>
      <c r="DC1571" s="45"/>
      <c r="DD1571" s="138"/>
      <c r="DE1571" s="45"/>
      <c r="DF1571" s="46"/>
    </row>
    <row r="1572" spans="1:110" s="42" customFormat="1" ht="60" x14ac:dyDescent="0.2">
      <c r="A1572" s="89">
        <v>40723</v>
      </c>
      <c r="B1572" s="90" t="s">
        <v>4261</v>
      </c>
      <c r="C1572" s="90" t="s">
        <v>1310</v>
      </c>
      <c r="D1572" s="90" t="s">
        <v>2362</v>
      </c>
      <c r="E1572" s="90" t="str">
        <f>VLOOKUP(B1572&amp;C1572,Divipola!$C$2:$F$1138,4,FALSE)</f>
        <v>15757</v>
      </c>
      <c r="F1572" s="4"/>
      <c r="G1572" s="101"/>
      <c r="H1572" s="101"/>
      <c r="I1572" s="101"/>
      <c r="J1572" s="101">
        <v>440</v>
      </c>
      <c r="K1572" s="101">
        <v>88</v>
      </c>
      <c r="L1572" s="101"/>
      <c r="M1572" s="101">
        <v>88</v>
      </c>
      <c r="N1572" s="101"/>
      <c r="O1572" s="101"/>
      <c r="P1572" s="101"/>
      <c r="Q1572" s="101"/>
      <c r="R1572" s="101"/>
      <c r="S1572" s="101"/>
      <c r="T1572" s="101"/>
      <c r="U1572" s="101"/>
      <c r="V1572" s="101">
        <v>87</v>
      </c>
      <c r="W1572" s="19"/>
      <c r="X1572" s="17"/>
      <c r="Y1572" s="5">
        <f t="shared" si="150"/>
        <v>0</v>
      </c>
      <c r="Z1572" s="5">
        <f t="shared" si="151"/>
        <v>0</v>
      </c>
      <c r="AA1572" s="5">
        <f t="shared" si="152"/>
        <v>0</v>
      </c>
      <c r="AB1572" s="5">
        <f t="shared" si="153"/>
        <v>0</v>
      </c>
      <c r="AC1572" s="5"/>
      <c r="AD1572" s="5">
        <v>0</v>
      </c>
      <c r="AE1572" s="5">
        <f t="shared" si="154"/>
        <v>0</v>
      </c>
      <c r="AF1572" s="70">
        <v>0</v>
      </c>
      <c r="AG1572" s="17"/>
      <c r="AH1572" s="18"/>
      <c r="AI1572" s="47" t="s">
        <v>4336</v>
      </c>
      <c r="AJ1572" s="73" t="s">
        <v>4337</v>
      </c>
      <c r="AK1572" s="45"/>
      <c r="AL1572" s="17" t="s">
        <v>119</v>
      </c>
      <c r="AM1572" s="100" t="s">
        <v>117</v>
      </c>
      <c r="AN1572" s="19"/>
      <c r="AO1572" s="19"/>
      <c r="AP1572" s="19"/>
      <c r="AQ1572" s="19"/>
      <c r="AR1572" s="19"/>
      <c r="AS1572" s="19"/>
      <c r="AT1572" s="19"/>
      <c r="AU1572" s="19"/>
      <c r="AV1572" s="19"/>
      <c r="AW1572" s="19"/>
      <c r="AX1572" s="107"/>
      <c r="AY1572" s="107"/>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39"/>
      <c r="CO1572" s="138"/>
      <c r="CP1572" s="139"/>
      <c r="CQ1572" s="138"/>
      <c r="CR1572" s="139"/>
      <c r="CS1572" s="138"/>
      <c r="CT1572" s="72"/>
      <c r="CU1572" s="139"/>
      <c r="CV1572" s="99">
        <f t="shared" si="149"/>
        <v>0</v>
      </c>
      <c r="CW1572" s="139"/>
      <c r="CX1572" s="138"/>
      <c r="CY1572" s="138"/>
      <c r="CZ1572" s="138"/>
      <c r="DA1572" s="139"/>
      <c r="DB1572" s="138"/>
      <c r="DC1572" s="45"/>
      <c r="DD1572" s="138"/>
      <c r="DE1572" s="45"/>
      <c r="DF1572" s="46"/>
    </row>
    <row r="1573" spans="1:110" s="42" customFormat="1" ht="24" x14ac:dyDescent="0.2">
      <c r="A1573" s="89">
        <v>40723</v>
      </c>
      <c r="B1573" s="106" t="s">
        <v>4344</v>
      </c>
      <c r="C1573" s="106" t="s">
        <v>1756</v>
      </c>
      <c r="D1573" s="105" t="s">
        <v>4298</v>
      </c>
      <c r="E1573" s="90" t="str">
        <f>VLOOKUP(B1573&amp;C1573,Divipola!$C$2:$F$1138,4,FALSE)</f>
        <v>25473</v>
      </c>
      <c r="F1573" s="4"/>
      <c r="G1573" s="274"/>
      <c r="H1573" s="274"/>
      <c r="I1573" s="274"/>
      <c r="J1573" s="129">
        <v>5</v>
      </c>
      <c r="K1573" s="129">
        <v>1</v>
      </c>
      <c r="L1573" s="129">
        <v>1</v>
      </c>
      <c r="M1573" s="279"/>
      <c r="N1573" s="129"/>
      <c r="O1573" s="208"/>
      <c r="P1573" s="208"/>
      <c r="Q1573" s="208"/>
      <c r="R1573" s="208"/>
      <c r="S1573" s="208"/>
      <c r="T1573" s="208"/>
      <c r="U1573" s="208"/>
      <c r="V1573" s="208"/>
      <c r="W1573" s="19"/>
      <c r="X1573" s="17"/>
      <c r="Y1573" s="5">
        <f t="shared" si="150"/>
        <v>0</v>
      </c>
      <c r="Z1573" s="5">
        <f t="shared" si="151"/>
        <v>0</v>
      </c>
      <c r="AA1573" s="5">
        <f t="shared" si="152"/>
        <v>0</v>
      </c>
      <c r="AB1573" s="5">
        <f t="shared" si="153"/>
        <v>0</v>
      </c>
      <c r="AC1573" s="5"/>
      <c r="AD1573" s="5">
        <v>0</v>
      </c>
      <c r="AE1573" s="5">
        <f t="shared" si="154"/>
        <v>0</v>
      </c>
      <c r="AF1573" s="70">
        <v>0</v>
      </c>
      <c r="AG1573" s="17"/>
      <c r="AH1573" s="18"/>
      <c r="AI1573" s="109" t="s">
        <v>4336</v>
      </c>
      <c r="AJ1573" s="110" t="s">
        <v>4337</v>
      </c>
      <c r="AK1573" s="275"/>
      <c r="AL1573" s="276"/>
      <c r="AM1573" s="112" t="s">
        <v>3773</v>
      </c>
      <c r="AN1573" s="19"/>
      <c r="AO1573" s="19"/>
      <c r="AP1573" s="19"/>
      <c r="AQ1573" s="19"/>
      <c r="AR1573" s="19"/>
      <c r="AS1573" s="19"/>
      <c r="AT1573" s="19"/>
      <c r="AU1573" s="19"/>
      <c r="AV1573" s="19"/>
      <c r="AW1573" s="19"/>
      <c r="AX1573" s="107"/>
      <c r="AY1573" s="107"/>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39"/>
      <c r="CO1573" s="138"/>
      <c r="CP1573" s="139"/>
      <c r="CQ1573" s="138"/>
      <c r="CR1573" s="139"/>
      <c r="CS1573" s="138"/>
      <c r="CT1573" s="72"/>
      <c r="CU1573" s="139"/>
      <c r="CV1573" s="99">
        <f t="shared" si="149"/>
        <v>0</v>
      </c>
      <c r="CW1573" s="139"/>
      <c r="CX1573" s="138"/>
      <c r="CY1573" s="138"/>
      <c r="CZ1573" s="138"/>
      <c r="DA1573" s="139"/>
      <c r="DB1573" s="138"/>
      <c r="DC1573" s="45"/>
      <c r="DD1573" s="138"/>
      <c r="DE1573" s="45"/>
      <c r="DF1573" s="46"/>
    </row>
    <row r="1574" spans="1:110" s="42" customFormat="1" ht="24" x14ac:dyDescent="0.2">
      <c r="A1574" s="89">
        <v>40723</v>
      </c>
      <c r="B1574" s="106" t="s">
        <v>4387</v>
      </c>
      <c r="C1574" s="106" t="s">
        <v>4279</v>
      </c>
      <c r="D1574" s="90" t="s">
        <v>2362</v>
      </c>
      <c r="E1574" s="90" t="str">
        <f>VLOOKUP(B1574&amp;C1574,Divipola!$C$2:$F$1138,4,FALSE)</f>
        <v>52079</v>
      </c>
      <c r="F1574" s="4"/>
      <c r="G1574" s="129"/>
      <c r="H1574" s="129"/>
      <c r="I1574" s="129"/>
      <c r="J1574" s="129"/>
      <c r="K1574" s="129"/>
      <c r="L1574" s="129"/>
      <c r="M1574" s="129"/>
      <c r="N1574" s="101">
        <v>1</v>
      </c>
      <c r="O1574" s="101"/>
      <c r="P1574" s="101"/>
      <c r="Q1574" s="101"/>
      <c r="R1574" s="101"/>
      <c r="S1574" s="101"/>
      <c r="T1574" s="101"/>
      <c r="U1574" s="101"/>
      <c r="V1574" s="101"/>
      <c r="W1574" s="19"/>
      <c r="X1574" s="17"/>
      <c r="Y1574" s="5">
        <f t="shared" si="150"/>
        <v>0</v>
      </c>
      <c r="Z1574" s="5">
        <f t="shared" si="151"/>
        <v>0</v>
      </c>
      <c r="AA1574" s="5">
        <f t="shared" si="152"/>
        <v>0</v>
      </c>
      <c r="AB1574" s="5">
        <f t="shared" si="153"/>
        <v>0</v>
      </c>
      <c r="AC1574" s="5"/>
      <c r="AD1574" s="5">
        <v>0</v>
      </c>
      <c r="AE1574" s="5">
        <f t="shared" si="154"/>
        <v>0</v>
      </c>
      <c r="AF1574" s="70">
        <v>0</v>
      </c>
      <c r="AG1574" s="17"/>
      <c r="AH1574" s="18"/>
      <c r="AI1574" s="109" t="s">
        <v>4336</v>
      </c>
      <c r="AJ1574" s="110" t="s">
        <v>4337</v>
      </c>
      <c r="AK1574" s="45"/>
      <c r="AL1574" s="17"/>
      <c r="AM1574" s="100" t="s">
        <v>1146</v>
      </c>
      <c r="AN1574" s="19"/>
      <c r="AO1574" s="19"/>
      <c r="AP1574" s="19"/>
      <c r="AQ1574" s="19"/>
      <c r="AR1574" s="19"/>
      <c r="AS1574" s="19"/>
      <c r="AT1574" s="19"/>
      <c r="AU1574" s="19"/>
      <c r="AV1574" s="19"/>
      <c r="AW1574" s="19"/>
      <c r="AX1574" s="107"/>
      <c r="AY1574" s="107"/>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39"/>
      <c r="CO1574" s="138"/>
      <c r="CP1574" s="139"/>
      <c r="CQ1574" s="138"/>
      <c r="CR1574" s="139"/>
      <c r="CS1574" s="138"/>
      <c r="CT1574" s="72"/>
      <c r="CU1574" s="139"/>
      <c r="CV1574" s="99">
        <f t="shared" si="149"/>
        <v>0</v>
      </c>
      <c r="CW1574" s="139"/>
      <c r="CX1574" s="138"/>
      <c r="CY1574" s="138"/>
      <c r="CZ1574" s="138"/>
      <c r="DA1574" s="139"/>
      <c r="DB1574" s="138"/>
      <c r="DC1574" s="45"/>
      <c r="DD1574" s="138"/>
      <c r="DE1574" s="45"/>
      <c r="DF1574" s="46"/>
    </row>
    <row r="1575" spans="1:110" s="42" customFormat="1" ht="48" x14ac:dyDescent="0.2">
      <c r="A1575" s="89">
        <v>40723</v>
      </c>
      <c r="B1575" s="90" t="s">
        <v>4348</v>
      </c>
      <c r="C1575" s="90" t="s">
        <v>2228</v>
      </c>
      <c r="D1575" s="90" t="s">
        <v>4298</v>
      </c>
      <c r="E1575" s="90" t="str">
        <f>VLOOKUP(B1575&amp;C1575,Divipola!$C$2:$F$1138,4,FALSE)</f>
        <v>66001</v>
      </c>
      <c r="F1575" s="4"/>
      <c r="G1575" s="101"/>
      <c r="H1575" s="101"/>
      <c r="I1575" s="101"/>
      <c r="J1575" s="101">
        <v>18</v>
      </c>
      <c r="K1575" s="101">
        <v>1</v>
      </c>
      <c r="L1575" s="101"/>
      <c r="M1575" s="101">
        <v>1</v>
      </c>
      <c r="N1575" s="101"/>
      <c r="O1575" s="101"/>
      <c r="P1575" s="101"/>
      <c r="Q1575" s="101"/>
      <c r="R1575" s="101"/>
      <c r="S1575" s="101"/>
      <c r="T1575" s="101"/>
      <c r="U1575" s="101"/>
      <c r="V1575" s="101"/>
      <c r="W1575" s="19"/>
      <c r="X1575" s="17"/>
      <c r="Y1575" s="5">
        <f t="shared" si="150"/>
        <v>0</v>
      </c>
      <c r="Z1575" s="5">
        <f t="shared" si="151"/>
        <v>0</v>
      </c>
      <c r="AA1575" s="5">
        <f t="shared" si="152"/>
        <v>0</v>
      </c>
      <c r="AB1575" s="5">
        <f t="shared" si="153"/>
        <v>0</v>
      </c>
      <c r="AC1575" s="5"/>
      <c r="AD1575" s="5">
        <v>0</v>
      </c>
      <c r="AE1575" s="5">
        <f t="shared" si="154"/>
        <v>0</v>
      </c>
      <c r="AF1575" s="70">
        <v>0</v>
      </c>
      <c r="AG1575" s="17"/>
      <c r="AH1575" s="18"/>
      <c r="AI1575" s="109" t="s">
        <v>4336</v>
      </c>
      <c r="AJ1575" s="110" t="s">
        <v>4337</v>
      </c>
      <c r="AK1575" s="45"/>
      <c r="AL1575" s="17"/>
      <c r="AM1575" s="100" t="s">
        <v>1924</v>
      </c>
      <c r="AN1575" s="19"/>
      <c r="AO1575" s="19"/>
      <c r="AP1575" s="19"/>
      <c r="AQ1575" s="19"/>
      <c r="AR1575" s="19"/>
      <c r="AS1575" s="19"/>
      <c r="AT1575" s="19"/>
      <c r="AU1575" s="19"/>
      <c r="AV1575" s="19"/>
      <c r="AW1575" s="19"/>
      <c r="AX1575" s="107"/>
      <c r="AY1575" s="107"/>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39"/>
      <c r="CO1575" s="138"/>
      <c r="CP1575" s="139"/>
      <c r="CQ1575" s="138"/>
      <c r="CR1575" s="139"/>
      <c r="CS1575" s="138"/>
      <c r="CT1575" s="72"/>
      <c r="CU1575" s="139"/>
      <c r="CV1575" s="99">
        <f t="shared" si="149"/>
        <v>0</v>
      </c>
      <c r="CW1575" s="139"/>
      <c r="CX1575" s="138"/>
      <c r="CY1575" s="138"/>
      <c r="CZ1575" s="138"/>
      <c r="DA1575" s="139"/>
      <c r="DB1575" s="138"/>
      <c r="DC1575" s="45"/>
      <c r="DD1575" s="138"/>
      <c r="DE1575" s="45"/>
      <c r="DF1575" s="46"/>
    </row>
    <row r="1576" spans="1:110" s="42" customFormat="1" ht="132" x14ac:dyDescent="0.2">
      <c r="A1576" s="89">
        <v>40723</v>
      </c>
      <c r="B1576" s="16" t="s">
        <v>2226</v>
      </c>
      <c r="C1576" s="16" t="s">
        <v>626</v>
      </c>
      <c r="D1576" s="90" t="s">
        <v>4264</v>
      </c>
      <c r="E1576" s="90" t="str">
        <f>VLOOKUP(B1576&amp;C1576,Divipola!$C$2:$F$1138,4,FALSE)</f>
        <v>68147</v>
      </c>
      <c r="F1576" s="4"/>
      <c r="G1576" s="208"/>
      <c r="H1576" s="208"/>
      <c r="I1576" s="208"/>
      <c r="J1576" s="208"/>
      <c r="K1576" s="208"/>
      <c r="L1576" s="208"/>
      <c r="M1576" s="208"/>
      <c r="N1576" s="208">
        <v>2</v>
      </c>
      <c r="O1576" s="208"/>
      <c r="P1576" s="208"/>
      <c r="Q1576" s="208"/>
      <c r="R1576" s="208"/>
      <c r="S1576" s="208"/>
      <c r="T1576" s="208"/>
      <c r="U1576" s="208"/>
      <c r="V1576" s="208"/>
      <c r="W1576" s="19"/>
      <c r="X1576" s="17"/>
      <c r="Y1576" s="5">
        <f t="shared" si="150"/>
        <v>0</v>
      </c>
      <c r="Z1576" s="5">
        <f t="shared" si="151"/>
        <v>0</v>
      </c>
      <c r="AA1576" s="5">
        <f t="shared" si="152"/>
        <v>0</v>
      </c>
      <c r="AB1576" s="5">
        <f t="shared" si="153"/>
        <v>0</v>
      </c>
      <c r="AC1576" s="143">
        <f>2000*419.92+2000*1770.16+2400*3735.2+2000*6171.2+700*8201.2+475*17748</f>
        <v>39858180</v>
      </c>
      <c r="AD1576" s="5">
        <v>30000000</v>
      </c>
      <c r="AE1576" s="5">
        <f t="shared" si="154"/>
        <v>69858180</v>
      </c>
      <c r="AF1576" s="70">
        <v>0</v>
      </c>
      <c r="AG1576" s="17"/>
      <c r="AH1576" s="18"/>
      <c r="AI1576" s="95" t="s">
        <v>4346</v>
      </c>
      <c r="AJ1576" s="96" t="s">
        <v>4347</v>
      </c>
      <c r="AK1576" s="45"/>
      <c r="AL1576" s="17"/>
      <c r="AM1576" s="100" t="s">
        <v>4584</v>
      </c>
      <c r="AN1576" s="19"/>
      <c r="AO1576" s="19"/>
      <c r="AP1576" s="19"/>
      <c r="AQ1576" s="19"/>
      <c r="AR1576" s="19"/>
      <c r="AS1576" s="19"/>
      <c r="AT1576" s="19"/>
      <c r="AU1576" s="19"/>
      <c r="AV1576" s="19"/>
      <c r="AW1576" s="19"/>
      <c r="AX1576" s="107"/>
      <c r="AY1576" s="107"/>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39"/>
      <c r="CO1576" s="138"/>
      <c r="CP1576" s="139"/>
      <c r="CQ1576" s="138"/>
      <c r="CR1576" s="139"/>
      <c r="CS1576" s="138"/>
      <c r="CT1576" s="72"/>
      <c r="CU1576" s="139"/>
      <c r="CV1576" s="99">
        <f t="shared" si="149"/>
        <v>0</v>
      </c>
      <c r="CW1576" s="139"/>
      <c r="CX1576" s="138"/>
      <c r="CY1576" s="138"/>
      <c r="CZ1576" s="138"/>
      <c r="DA1576" s="139"/>
      <c r="DB1576" s="138"/>
      <c r="DC1576" s="45"/>
      <c r="DD1576" s="138"/>
      <c r="DE1576" s="45"/>
      <c r="DF1576" s="46"/>
    </row>
    <row r="1577" spans="1:110" s="42" customFormat="1" ht="48" x14ac:dyDescent="0.2">
      <c r="A1577" s="89">
        <v>40723</v>
      </c>
      <c r="B1577" s="16" t="s">
        <v>2226</v>
      </c>
      <c r="C1577" s="16" t="s">
        <v>2959</v>
      </c>
      <c r="D1577" s="90" t="s">
        <v>2362</v>
      </c>
      <c r="E1577" s="90" t="str">
        <f>VLOOKUP(B1577&amp;C1577,Divipola!$C$2:$F$1138,4,FALSE)</f>
        <v>68468</v>
      </c>
      <c r="F1577" s="4"/>
      <c r="G1577" s="208"/>
      <c r="H1577" s="208"/>
      <c r="I1577" s="208"/>
      <c r="J1577" s="208"/>
      <c r="K1577" s="208"/>
      <c r="L1577" s="208"/>
      <c r="M1577" s="208"/>
      <c r="N1577" s="208"/>
      <c r="O1577" s="208"/>
      <c r="P1577" s="208"/>
      <c r="Q1577" s="208"/>
      <c r="R1577" s="208"/>
      <c r="S1577" s="208"/>
      <c r="T1577" s="208"/>
      <c r="U1577" s="208"/>
      <c r="V1577" s="208"/>
      <c r="W1577" s="19"/>
      <c r="X1577" s="17"/>
      <c r="Y1577" s="5">
        <f t="shared" si="150"/>
        <v>0</v>
      </c>
      <c r="Z1577" s="5">
        <f t="shared" si="151"/>
        <v>0</v>
      </c>
      <c r="AA1577" s="5">
        <f t="shared" si="152"/>
        <v>0</v>
      </c>
      <c r="AB1577" s="5">
        <f t="shared" si="153"/>
        <v>0</v>
      </c>
      <c r="AC1577" s="5"/>
      <c r="AD1577" s="5">
        <v>15000000</v>
      </c>
      <c r="AE1577" s="5">
        <f t="shared" si="154"/>
        <v>15000000</v>
      </c>
      <c r="AF1577" s="70">
        <v>0</v>
      </c>
      <c r="AG1577" s="17"/>
      <c r="AH1577" s="18"/>
      <c r="AI1577" s="95" t="s">
        <v>4346</v>
      </c>
      <c r="AJ1577" s="96" t="s">
        <v>4347</v>
      </c>
      <c r="AK1577" s="45"/>
      <c r="AL1577" s="17"/>
      <c r="AM1577" s="20" t="s">
        <v>45</v>
      </c>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39"/>
      <c r="CO1577" s="138"/>
      <c r="CP1577" s="139"/>
      <c r="CQ1577" s="138"/>
      <c r="CR1577" s="139"/>
      <c r="CS1577" s="138"/>
      <c r="CT1577" s="72"/>
      <c r="CU1577" s="139"/>
      <c r="CV1577" s="99">
        <f t="shared" si="149"/>
        <v>0</v>
      </c>
      <c r="CW1577" s="139"/>
      <c r="CX1577" s="138"/>
      <c r="CY1577" s="138"/>
      <c r="CZ1577" s="138"/>
      <c r="DA1577" s="139"/>
      <c r="DB1577" s="138"/>
      <c r="DC1577" s="45"/>
      <c r="DD1577" s="138"/>
      <c r="DE1577" s="45"/>
      <c r="DF1577" s="46"/>
    </row>
    <row r="1578" spans="1:110" s="42" customFormat="1" ht="24" x14ac:dyDescent="0.2">
      <c r="A1578" s="89">
        <v>40723</v>
      </c>
      <c r="B1578" s="106" t="s">
        <v>3316</v>
      </c>
      <c r="C1578" s="106" t="s">
        <v>4234</v>
      </c>
      <c r="D1578" s="90" t="s">
        <v>3346</v>
      </c>
      <c r="E1578" s="90" t="str">
        <f>VLOOKUP(B1578&amp;C1578,Divipola!$C$2:$F$1138,4,FALSE)</f>
        <v>73349</v>
      </c>
      <c r="F1578" s="4"/>
      <c r="G1578" s="274"/>
      <c r="H1578" s="274"/>
      <c r="I1578" s="274"/>
      <c r="J1578" s="129">
        <v>17</v>
      </c>
      <c r="K1578" s="129">
        <v>6</v>
      </c>
      <c r="L1578" s="129"/>
      <c r="M1578" s="129">
        <v>6</v>
      </c>
      <c r="N1578" s="208"/>
      <c r="O1578" s="208"/>
      <c r="P1578" s="208"/>
      <c r="Q1578" s="208"/>
      <c r="R1578" s="208"/>
      <c r="S1578" s="208"/>
      <c r="T1578" s="208"/>
      <c r="U1578" s="208"/>
      <c r="V1578" s="208"/>
      <c r="W1578" s="19"/>
      <c r="X1578" s="17"/>
      <c r="Y1578" s="5">
        <f t="shared" si="150"/>
        <v>0</v>
      </c>
      <c r="Z1578" s="5">
        <f t="shared" si="151"/>
        <v>0</v>
      </c>
      <c r="AA1578" s="5">
        <f t="shared" si="152"/>
        <v>0</v>
      </c>
      <c r="AB1578" s="5">
        <f t="shared" si="153"/>
        <v>0</v>
      </c>
      <c r="AC1578" s="5"/>
      <c r="AD1578" s="5">
        <v>0</v>
      </c>
      <c r="AE1578" s="5">
        <f t="shared" si="154"/>
        <v>0</v>
      </c>
      <c r="AF1578" s="70">
        <v>0</v>
      </c>
      <c r="AG1578" s="17"/>
      <c r="AH1578" s="18"/>
      <c r="AI1578" s="109" t="s">
        <v>4336</v>
      </c>
      <c r="AJ1578" s="110" t="s">
        <v>4337</v>
      </c>
      <c r="AK1578" s="275"/>
      <c r="AL1578" s="276"/>
      <c r="AM1578" s="100" t="s">
        <v>3777</v>
      </c>
      <c r="AN1578" s="19"/>
      <c r="AO1578" s="19"/>
      <c r="AP1578" s="19"/>
      <c r="AQ1578" s="19"/>
      <c r="AR1578" s="19"/>
      <c r="AS1578" s="19"/>
      <c r="AT1578" s="19"/>
      <c r="AU1578" s="19"/>
      <c r="AV1578" s="19"/>
      <c r="AW1578" s="19"/>
      <c r="AX1578" s="107"/>
      <c r="AY1578" s="107"/>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39"/>
      <c r="CO1578" s="138"/>
      <c r="CP1578" s="139"/>
      <c r="CQ1578" s="138"/>
      <c r="CR1578" s="139"/>
      <c r="CS1578" s="138"/>
      <c r="CT1578" s="72"/>
      <c r="CU1578" s="139"/>
      <c r="CV1578" s="99">
        <f t="shared" si="149"/>
        <v>0</v>
      </c>
      <c r="CW1578" s="139"/>
      <c r="CX1578" s="138"/>
      <c r="CY1578" s="138"/>
      <c r="CZ1578" s="138"/>
      <c r="DA1578" s="139"/>
      <c r="DB1578" s="138"/>
      <c r="DC1578" s="45"/>
      <c r="DD1578" s="138"/>
      <c r="DE1578" s="45"/>
      <c r="DF1578" s="46"/>
    </row>
    <row r="1579" spans="1:110" s="42" customFormat="1" ht="36" x14ac:dyDescent="0.2">
      <c r="A1579" s="89">
        <v>40724</v>
      </c>
      <c r="B1579" s="16" t="s">
        <v>2218</v>
      </c>
      <c r="C1579" s="16" t="s">
        <v>3297</v>
      </c>
      <c r="D1579" s="90" t="s">
        <v>4264</v>
      </c>
      <c r="E1579" s="90" t="str">
        <f>VLOOKUP(B1579&amp;C1579,Divipola!$C$2:$F$1138,4,FALSE)</f>
        <v>05001</v>
      </c>
      <c r="F1579" s="4"/>
      <c r="G1579" s="208"/>
      <c r="H1579" s="208"/>
      <c r="I1579" s="208"/>
      <c r="J1579" s="208">
        <f>2600*4</f>
        <v>10400</v>
      </c>
      <c r="K1579" s="208">
        <v>2600</v>
      </c>
      <c r="L1579" s="208"/>
      <c r="M1579" s="208"/>
      <c r="N1579" s="208"/>
      <c r="O1579" s="208"/>
      <c r="P1579" s="208"/>
      <c r="Q1579" s="208"/>
      <c r="R1579" s="208"/>
      <c r="S1579" s="208"/>
      <c r="T1579" s="208"/>
      <c r="U1579" s="208"/>
      <c r="V1579" s="208"/>
      <c r="W1579" s="19"/>
      <c r="X1579" s="17"/>
      <c r="Y1579" s="5">
        <f t="shared" si="150"/>
        <v>0</v>
      </c>
      <c r="Z1579" s="5">
        <f t="shared" si="151"/>
        <v>0</v>
      </c>
      <c r="AA1579" s="5">
        <f t="shared" si="152"/>
        <v>0</v>
      </c>
      <c r="AB1579" s="5">
        <f t="shared" si="153"/>
        <v>0</v>
      </c>
      <c r="AC1579" s="5"/>
      <c r="AD1579" s="5">
        <v>0</v>
      </c>
      <c r="AE1579" s="5">
        <f t="shared" si="154"/>
        <v>0</v>
      </c>
      <c r="AF1579" s="70">
        <v>0</v>
      </c>
      <c r="AG1579" s="17"/>
      <c r="AH1579" s="18"/>
      <c r="AI1579" s="47" t="s">
        <v>4336</v>
      </c>
      <c r="AJ1579" s="73" t="s">
        <v>4337</v>
      </c>
      <c r="AK1579" s="45"/>
      <c r="AL1579" s="17"/>
      <c r="AM1579" s="20" t="s">
        <v>9</v>
      </c>
      <c r="AN1579" s="19"/>
      <c r="AO1579" s="19"/>
      <c r="AP1579" s="19"/>
      <c r="AQ1579" s="19"/>
      <c r="AR1579" s="19"/>
      <c r="AS1579" s="19"/>
      <c r="AT1579" s="19"/>
      <c r="AU1579" s="19"/>
      <c r="AV1579" s="19"/>
      <c r="AW1579" s="19"/>
      <c r="AX1579" s="107"/>
      <c r="AY1579" s="107"/>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39"/>
      <c r="CO1579" s="138"/>
      <c r="CP1579" s="139"/>
      <c r="CQ1579" s="138"/>
      <c r="CR1579" s="139"/>
      <c r="CS1579" s="138"/>
      <c r="CT1579" s="72"/>
      <c r="CU1579" s="139"/>
      <c r="CV1579" s="99">
        <f t="shared" si="149"/>
        <v>0</v>
      </c>
      <c r="CW1579" s="139"/>
      <c r="CX1579" s="138"/>
      <c r="CY1579" s="138"/>
      <c r="CZ1579" s="138"/>
      <c r="DA1579" s="139"/>
      <c r="DB1579" s="138"/>
      <c r="DC1579" s="45"/>
      <c r="DD1579" s="138"/>
      <c r="DE1579" s="45"/>
      <c r="DF1579" s="46"/>
    </row>
    <row r="1580" spans="1:110" s="42" customFormat="1" ht="24" x14ac:dyDescent="0.2">
      <c r="A1580" s="89">
        <v>40724</v>
      </c>
      <c r="B1580" s="106" t="s">
        <v>4352</v>
      </c>
      <c r="C1580" s="106" t="s">
        <v>4329</v>
      </c>
      <c r="D1580" s="106" t="s">
        <v>3346</v>
      </c>
      <c r="E1580" s="90" t="str">
        <f>VLOOKUP(B1580&amp;C1580,Divipola!$C$2:$F$1138,4,FALSE)</f>
        <v>13430</v>
      </c>
      <c r="F1580" s="4"/>
      <c r="G1580" s="274"/>
      <c r="H1580" s="274"/>
      <c r="I1580" s="274"/>
      <c r="J1580" s="129"/>
      <c r="K1580" s="129"/>
      <c r="L1580" s="129"/>
      <c r="M1580" s="129"/>
      <c r="N1580" s="208"/>
      <c r="O1580" s="208"/>
      <c r="P1580" s="208"/>
      <c r="Q1580" s="208"/>
      <c r="R1580" s="208"/>
      <c r="S1580" s="208"/>
      <c r="T1580" s="208"/>
      <c r="U1580" s="208"/>
      <c r="V1580" s="208"/>
      <c r="W1580" s="19"/>
      <c r="X1580" s="17"/>
      <c r="Y1580" s="5">
        <f t="shared" si="150"/>
        <v>0</v>
      </c>
      <c r="Z1580" s="5">
        <f t="shared" si="151"/>
        <v>0</v>
      </c>
      <c r="AA1580" s="5">
        <f t="shared" si="152"/>
        <v>0</v>
      </c>
      <c r="AB1580" s="5">
        <f t="shared" si="153"/>
        <v>0</v>
      </c>
      <c r="AC1580" s="5"/>
      <c r="AD1580" s="5">
        <v>0</v>
      </c>
      <c r="AE1580" s="5">
        <f t="shared" si="154"/>
        <v>0</v>
      </c>
      <c r="AF1580" s="70">
        <v>0</v>
      </c>
      <c r="AG1580" s="17"/>
      <c r="AH1580" s="18"/>
      <c r="AI1580" s="109" t="s">
        <v>4336</v>
      </c>
      <c r="AJ1580" s="110" t="s">
        <v>4337</v>
      </c>
      <c r="AK1580" s="275"/>
      <c r="AL1580" s="276"/>
      <c r="AM1580" s="112" t="s">
        <v>1086</v>
      </c>
      <c r="AN1580" s="19"/>
      <c r="AO1580" s="19"/>
      <c r="AP1580" s="19"/>
      <c r="AQ1580" s="19"/>
      <c r="AR1580" s="19"/>
      <c r="AS1580" s="19"/>
      <c r="AT1580" s="19"/>
      <c r="AU1580" s="19"/>
      <c r="AV1580" s="19"/>
      <c r="AW1580" s="19"/>
      <c r="AX1580" s="107"/>
      <c r="AY1580" s="107"/>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39"/>
      <c r="CO1580" s="138"/>
      <c r="CP1580" s="139"/>
      <c r="CQ1580" s="138"/>
      <c r="CR1580" s="139"/>
      <c r="CS1580" s="138"/>
      <c r="CT1580" s="72"/>
      <c r="CU1580" s="139"/>
      <c r="CV1580" s="99">
        <f t="shared" si="149"/>
        <v>0</v>
      </c>
      <c r="CW1580" s="139"/>
      <c r="CX1580" s="138"/>
      <c r="CY1580" s="138"/>
      <c r="CZ1580" s="138"/>
      <c r="DA1580" s="139"/>
      <c r="DB1580" s="138"/>
      <c r="DC1580" s="45"/>
      <c r="DD1580" s="138"/>
      <c r="DE1580" s="45"/>
      <c r="DF1580" s="46"/>
    </row>
    <row r="1581" spans="1:110" s="42" customFormat="1" x14ac:dyDescent="0.2">
      <c r="A1581" s="89">
        <v>40724</v>
      </c>
      <c r="B1581" s="16" t="s">
        <v>4261</v>
      </c>
      <c r="C1581" s="16" t="s">
        <v>2665</v>
      </c>
      <c r="D1581" s="90" t="s">
        <v>4264</v>
      </c>
      <c r="E1581" s="90" t="str">
        <f>VLOOKUP(B1581&amp;C1581,Divipola!$C$2:$F$1138,4,FALSE)</f>
        <v>15276</v>
      </c>
      <c r="F1581" s="4"/>
      <c r="G1581" s="208"/>
      <c r="H1581" s="208"/>
      <c r="I1581" s="208"/>
      <c r="J1581" s="208">
        <f>131*5</f>
        <v>655</v>
      </c>
      <c r="K1581" s="208">
        <v>131</v>
      </c>
      <c r="L1581" s="208">
        <v>4</v>
      </c>
      <c r="M1581" s="208">
        <v>127</v>
      </c>
      <c r="N1581" s="208">
        <v>14</v>
      </c>
      <c r="O1581" s="208"/>
      <c r="P1581" s="208"/>
      <c r="Q1581" s="208">
        <v>4</v>
      </c>
      <c r="R1581" s="208">
        <v>2</v>
      </c>
      <c r="S1581" s="208"/>
      <c r="T1581" s="208">
        <v>3</v>
      </c>
      <c r="U1581" s="208"/>
      <c r="V1581" s="208"/>
      <c r="W1581" s="19"/>
      <c r="X1581" s="17"/>
      <c r="Y1581" s="5">
        <f t="shared" si="150"/>
        <v>0</v>
      </c>
      <c r="Z1581" s="5">
        <f t="shared" si="151"/>
        <v>0</v>
      </c>
      <c r="AA1581" s="5">
        <f t="shared" si="152"/>
        <v>0</v>
      </c>
      <c r="AB1581" s="5">
        <f t="shared" si="153"/>
        <v>0</v>
      </c>
      <c r="AC1581" s="5"/>
      <c r="AD1581" s="5">
        <v>0</v>
      </c>
      <c r="AE1581" s="5">
        <f t="shared" si="154"/>
        <v>0</v>
      </c>
      <c r="AF1581" s="70">
        <v>0</v>
      </c>
      <c r="AG1581" s="17"/>
      <c r="AH1581" s="18"/>
      <c r="AI1581" s="47" t="s">
        <v>4336</v>
      </c>
      <c r="AJ1581" s="73" t="s">
        <v>4337</v>
      </c>
      <c r="AK1581" s="45"/>
      <c r="AL1581" s="17"/>
      <c r="AM1581" s="20" t="s">
        <v>3238</v>
      </c>
      <c r="AN1581" s="19"/>
      <c r="AO1581" s="19"/>
      <c r="AP1581" s="19"/>
      <c r="AQ1581" s="19"/>
      <c r="AR1581" s="19"/>
      <c r="AS1581" s="19"/>
      <c r="AT1581" s="19"/>
      <c r="AU1581" s="19"/>
      <c r="AV1581" s="19"/>
      <c r="AW1581" s="19"/>
      <c r="AX1581" s="107"/>
      <c r="AY1581" s="107"/>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39"/>
      <c r="CO1581" s="138"/>
      <c r="CP1581" s="139"/>
      <c r="CQ1581" s="138"/>
      <c r="CR1581" s="139"/>
      <c r="CS1581" s="138"/>
      <c r="CT1581" s="72"/>
      <c r="CU1581" s="139"/>
      <c r="CV1581" s="99">
        <f t="shared" si="149"/>
        <v>0</v>
      </c>
      <c r="CW1581" s="139"/>
      <c r="CX1581" s="138"/>
      <c r="CY1581" s="138"/>
      <c r="CZ1581" s="138"/>
      <c r="DA1581" s="139"/>
      <c r="DB1581" s="138"/>
      <c r="DC1581" s="45"/>
      <c r="DD1581" s="138"/>
      <c r="DE1581" s="45"/>
      <c r="DF1581" s="46"/>
    </row>
    <row r="1582" spans="1:110" s="42" customFormat="1" ht="72" x14ac:dyDescent="0.2">
      <c r="A1582" s="89">
        <v>40724</v>
      </c>
      <c r="B1582" s="90" t="s">
        <v>4261</v>
      </c>
      <c r="C1582" s="90" t="s">
        <v>4230</v>
      </c>
      <c r="D1582" s="90" t="s">
        <v>4298</v>
      </c>
      <c r="E1582" s="90" t="str">
        <f>VLOOKUP(B1582&amp;C1582,Divipola!$C$2:$F$1138,4,FALSE)</f>
        <v>15001</v>
      </c>
      <c r="F1582" s="4"/>
      <c r="G1582" s="274"/>
      <c r="H1582" s="274"/>
      <c r="I1582" s="274"/>
      <c r="J1582" s="124">
        <v>10</v>
      </c>
      <c r="K1582" s="124">
        <v>2</v>
      </c>
      <c r="L1582" s="124"/>
      <c r="M1582" s="124">
        <v>2</v>
      </c>
      <c r="N1582" s="208"/>
      <c r="O1582" s="208"/>
      <c r="P1582" s="208"/>
      <c r="Q1582" s="208"/>
      <c r="R1582" s="208"/>
      <c r="S1582" s="208"/>
      <c r="T1582" s="208"/>
      <c r="U1582" s="208"/>
      <c r="V1582" s="208"/>
      <c r="W1582" s="19"/>
      <c r="X1582" s="17"/>
      <c r="Y1582" s="5">
        <f t="shared" si="150"/>
        <v>0</v>
      </c>
      <c r="Z1582" s="5">
        <f t="shared" si="151"/>
        <v>0</v>
      </c>
      <c r="AA1582" s="5">
        <f t="shared" si="152"/>
        <v>0</v>
      </c>
      <c r="AB1582" s="5">
        <f t="shared" si="153"/>
        <v>0</v>
      </c>
      <c r="AC1582" s="5"/>
      <c r="AD1582" s="5">
        <v>0</v>
      </c>
      <c r="AE1582" s="5">
        <f t="shared" si="154"/>
        <v>0</v>
      </c>
      <c r="AF1582" s="70">
        <v>0</v>
      </c>
      <c r="AG1582" s="17"/>
      <c r="AH1582" s="18"/>
      <c r="AI1582" s="47" t="s">
        <v>4336</v>
      </c>
      <c r="AJ1582" s="73" t="s">
        <v>4337</v>
      </c>
      <c r="AK1582" s="275"/>
      <c r="AL1582" s="276"/>
      <c r="AM1582" s="100" t="s">
        <v>1087</v>
      </c>
      <c r="AN1582" s="19"/>
      <c r="AO1582" s="19"/>
      <c r="AP1582" s="19"/>
      <c r="AQ1582" s="19"/>
      <c r="AR1582" s="19"/>
      <c r="AS1582" s="19"/>
      <c r="AT1582" s="19"/>
      <c r="AU1582" s="19"/>
      <c r="AV1582" s="19"/>
      <c r="AW1582" s="19"/>
      <c r="AX1582" s="107"/>
      <c r="AY1582" s="107"/>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39"/>
      <c r="CO1582" s="138"/>
      <c r="CP1582" s="139"/>
      <c r="CQ1582" s="138"/>
      <c r="CR1582" s="139"/>
      <c r="CS1582" s="138"/>
      <c r="CT1582" s="72"/>
      <c r="CU1582" s="139"/>
      <c r="CV1582" s="99">
        <f t="shared" si="149"/>
        <v>0</v>
      </c>
      <c r="CW1582" s="139"/>
      <c r="CX1582" s="138"/>
      <c r="CY1582" s="138"/>
      <c r="CZ1582" s="138"/>
      <c r="DA1582" s="139"/>
      <c r="DB1582" s="138"/>
      <c r="DC1582" s="45"/>
      <c r="DD1582" s="138"/>
      <c r="DE1582" s="45"/>
      <c r="DF1582" s="46"/>
    </row>
    <row r="1583" spans="1:110" s="42" customFormat="1" ht="24" x14ac:dyDescent="0.2">
      <c r="A1583" s="89">
        <v>40724</v>
      </c>
      <c r="B1583" s="16" t="s">
        <v>4296</v>
      </c>
      <c r="C1583" s="16" t="s">
        <v>4352</v>
      </c>
      <c r="D1583" s="90" t="s">
        <v>4264</v>
      </c>
      <c r="E1583" s="90" t="str">
        <f>VLOOKUP(B1583&amp;C1583,Divipola!$C$2:$F$1138,4,FALSE)</f>
        <v>19100</v>
      </c>
      <c r="F1583" s="4"/>
      <c r="G1583" s="208"/>
      <c r="H1583" s="208"/>
      <c r="I1583" s="208"/>
      <c r="J1583" s="208">
        <f>365*3.5</f>
        <v>1277.5</v>
      </c>
      <c r="K1583" s="208">
        <v>365</v>
      </c>
      <c r="L1583" s="208"/>
      <c r="M1583" s="208"/>
      <c r="N1583" s="208"/>
      <c r="O1583" s="208"/>
      <c r="P1583" s="208"/>
      <c r="Q1583" s="208"/>
      <c r="R1583" s="208"/>
      <c r="S1583" s="208"/>
      <c r="T1583" s="208"/>
      <c r="U1583" s="208"/>
      <c r="V1583" s="208"/>
      <c r="W1583" s="19"/>
      <c r="X1583" s="17"/>
      <c r="Y1583" s="5">
        <f t="shared" si="150"/>
        <v>0</v>
      </c>
      <c r="Z1583" s="5">
        <f t="shared" si="151"/>
        <v>0</v>
      </c>
      <c r="AA1583" s="5">
        <f t="shared" si="152"/>
        <v>0</v>
      </c>
      <c r="AB1583" s="5">
        <f t="shared" si="153"/>
        <v>0</v>
      </c>
      <c r="AC1583" s="5"/>
      <c r="AD1583" s="5">
        <v>0</v>
      </c>
      <c r="AE1583" s="5">
        <f t="shared" si="154"/>
        <v>0</v>
      </c>
      <c r="AF1583" s="70">
        <v>0</v>
      </c>
      <c r="AG1583" s="17"/>
      <c r="AH1583" s="18"/>
      <c r="AI1583" s="47" t="s">
        <v>4336</v>
      </c>
      <c r="AJ1583" s="73" t="s">
        <v>4337</v>
      </c>
      <c r="AK1583" s="45"/>
      <c r="AL1583" s="17"/>
      <c r="AM1583" s="20" t="s">
        <v>4635</v>
      </c>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39"/>
      <c r="CE1583" s="138"/>
      <c r="CF1583" s="139"/>
      <c r="CG1583" s="138"/>
      <c r="CH1583" s="139"/>
      <c r="CI1583" s="138"/>
      <c r="CJ1583" s="72"/>
      <c r="CK1583" s="139"/>
      <c r="CL1583" s="71"/>
      <c r="CM1583" s="139"/>
      <c r="CN1583" s="138"/>
      <c r="CO1583" s="138"/>
      <c r="CP1583" s="138"/>
      <c r="CQ1583" s="139"/>
      <c r="CR1583" s="138"/>
      <c r="CS1583" s="45"/>
      <c r="CT1583" s="138"/>
      <c r="CU1583" s="45"/>
      <c r="CV1583" s="99">
        <f t="shared" si="149"/>
        <v>0</v>
      </c>
      <c r="CW1583" s="139"/>
      <c r="CX1583" s="138"/>
      <c r="CY1583" s="138"/>
      <c r="CZ1583" s="138"/>
      <c r="DA1583" s="139"/>
      <c r="DB1583" s="138"/>
      <c r="DC1583" s="45"/>
      <c r="DD1583" s="138"/>
      <c r="DE1583" s="45"/>
      <c r="DF1583" s="46"/>
    </row>
    <row r="1584" spans="1:110" s="42" customFormat="1" ht="24" x14ac:dyDescent="0.2">
      <c r="A1584" s="89">
        <v>40724</v>
      </c>
      <c r="B1584" s="16" t="s">
        <v>4296</v>
      </c>
      <c r="C1584" s="16" t="s">
        <v>804</v>
      </c>
      <c r="D1584" s="90" t="s">
        <v>4264</v>
      </c>
      <c r="E1584" s="90" t="str">
        <f>VLOOKUP(B1584&amp;C1584,Divipola!$C$2:$F$1138,4,FALSE)</f>
        <v>19110</v>
      </c>
      <c r="F1584" s="4"/>
      <c r="G1584" s="208"/>
      <c r="H1584" s="208"/>
      <c r="I1584" s="208"/>
      <c r="J1584" s="208">
        <f>197*3.5</f>
        <v>689.5</v>
      </c>
      <c r="K1584" s="208">
        <v>197</v>
      </c>
      <c r="L1584" s="208"/>
      <c r="M1584" s="208"/>
      <c r="N1584" s="208"/>
      <c r="O1584" s="208"/>
      <c r="P1584" s="208"/>
      <c r="Q1584" s="208"/>
      <c r="R1584" s="208"/>
      <c r="S1584" s="208"/>
      <c r="T1584" s="208"/>
      <c r="U1584" s="208"/>
      <c r="V1584" s="208"/>
      <c r="W1584" s="19"/>
      <c r="X1584" s="17"/>
      <c r="Y1584" s="5">
        <f t="shared" si="150"/>
        <v>0</v>
      </c>
      <c r="Z1584" s="5">
        <f t="shared" si="151"/>
        <v>0</v>
      </c>
      <c r="AA1584" s="5">
        <f t="shared" si="152"/>
        <v>0</v>
      </c>
      <c r="AB1584" s="5">
        <f t="shared" si="153"/>
        <v>0</v>
      </c>
      <c r="AC1584" s="5"/>
      <c r="AD1584" s="5">
        <v>0</v>
      </c>
      <c r="AE1584" s="5">
        <f t="shared" si="154"/>
        <v>0</v>
      </c>
      <c r="AF1584" s="70">
        <v>0</v>
      </c>
      <c r="AG1584" s="17"/>
      <c r="AH1584" s="18"/>
      <c r="AI1584" s="47" t="s">
        <v>4336</v>
      </c>
      <c r="AJ1584" s="73" t="s">
        <v>4337</v>
      </c>
      <c r="AK1584" s="45"/>
      <c r="AL1584" s="17"/>
      <c r="AM1584" s="20" t="s">
        <v>4635</v>
      </c>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39"/>
      <c r="CE1584" s="138"/>
      <c r="CF1584" s="139"/>
      <c r="CG1584" s="138"/>
      <c r="CH1584" s="139"/>
      <c r="CI1584" s="138"/>
      <c r="CJ1584" s="72"/>
      <c r="CK1584" s="139"/>
      <c r="CL1584" s="71"/>
      <c r="CM1584" s="139"/>
      <c r="CN1584" s="138"/>
      <c r="CO1584" s="138"/>
      <c r="CP1584" s="138"/>
      <c r="CQ1584" s="139"/>
      <c r="CR1584" s="138"/>
      <c r="CS1584" s="45"/>
      <c r="CT1584" s="138"/>
      <c r="CU1584" s="45"/>
      <c r="CV1584" s="99">
        <f t="shared" si="149"/>
        <v>0</v>
      </c>
      <c r="CW1584" s="139"/>
      <c r="CX1584" s="138"/>
      <c r="CY1584" s="138"/>
      <c r="CZ1584" s="138"/>
      <c r="DA1584" s="139"/>
      <c r="DB1584" s="138"/>
      <c r="DC1584" s="45"/>
      <c r="DD1584" s="138"/>
      <c r="DE1584" s="45"/>
      <c r="DF1584" s="46"/>
    </row>
    <row r="1585" spans="1:110" s="42" customFormat="1" ht="24" x14ac:dyDescent="0.2">
      <c r="A1585" s="89">
        <v>40724</v>
      </c>
      <c r="B1585" s="16" t="s">
        <v>4296</v>
      </c>
      <c r="C1585" s="16" t="s">
        <v>3334</v>
      </c>
      <c r="D1585" s="90" t="s">
        <v>4264</v>
      </c>
      <c r="E1585" s="90" t="str">
        <f>VLOOKUP(B1585&amp;C1585,Divipola!$C$2:$F$1138,4,FALSE)</f>
        <v>19130</v>
      </c>
      <c r="F1585" s="4"/>
      <c r="G1585" s="208"/>
      <c r="H1585" s="208"/>
      <c r="I1585" s="208"/>
      <c r="J1585" s="208">
        <f>218*3.5</f>
        <v>763</v>
      </c>
      <c r="K1585" s="208">
        <v>218</v>
      </c>
      <c r="L1585" s="208"/>
      <c r="M1585" s="208"/>
      <c r="N1585" s="208"/>
      <c r="O1585" s="208"/>
      <c r="P1585" s="208"/>
      <c r="Q1585" s="208"/>
      <c r="R1585" s="208"/>
      <c r="S1585" s="208"/>
      <c r="T1585" s="208"/>
      <c r="U1585" s="208"/>
      <c r="V1585" s="208"/>
      <c r="W1585" s="19"/>
      <c r="X1585" s="17"/>
      <c r="Y1585" s="5">
        <f t="shared" si="150"/>
        <v>0</v>
      </c>
      <c r="Z1585" s="5">
        <f t="shared" si="151"/>
        <v>0</v>
      </c>
      <c r="AA1585" s="5">
        <f t="shared" si="152"/>
        <v>0</v>
      </c>
      <c r="AB1585" s="5">
        <f t="shared" si="153"/>
        <v>0</v>
      </c>
      <c r="AC1585" s="5"/>
      <c r="AD1585" s="5">
        <v>0</v>
      </c>
      <c r="AE1585" s="5">
        <f t="shared" si="154"/>
        <v>0</v>
      </c>
      <c r="AF1585" s="70">
        <v>0</v>
      </c>
      <c r="AG1585" s="17"/>
      <c r="AH1585" s="18"/>
      <c r="AI1585" s="47" t="s">
        <v>4336</v>
      </c>
      <c r="AJ1585" s="73" t="s">
        <v>4337</v>
      </c>
      <c r="AK1585" s="45"/>
      <c r="AL1585" s="17"/>
      <c r="AM1585" s="20" t="s">
        <v>4635</v>
      </c>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39"/>
      <c r="CE1585" s="138"/>
      <c r="CF1585" s="139"/>
      <c r="CG1585" s="138"/>
      <c r="CH1585" s="139"/>
      <c r="CI1585" s="138"/>
      <c r="CJ1585" s="72"/>
      <c r="CK1585" s="139"/>
      <c r="CL1585" s="71"/>
      <c r="CM1585" s="139"/>
      <c r="CN1585" s="138"/>
      <c r="CO1585" s="138"/>
      <c r="CP1585" s="138"/>
      <c r="CQ1585" s="139"/>
      <c r="CR1585" s="138"/>
      <c r="CS1585" s="45"/>
      <c r="CT1585" s="138"/>
      <c r="CU1585" s="45"/>
      <c r="CV1585" s="99">
        <f t="shared" si="149"/>
        <v>0</v>
      </c>
      <c r="CW1585" s="139"/>
      <c r="CX1585" s="138"/>
      <c r="CY1585" s="138"/>
      <c r="CZ1585" s="138"/>
      <c r="DA1585" s="139"/>
      <c r="DB1585" s="138"/>
      <c r="DC1585" s="45"/>
      <c r="DD1585" s="138"/>
      <c r="DE1585" s="45"/>
      <c r="DF1585" s="46"/>
    </row>
    <row r="1586" spans="1:110" s="42" customFormat="1" ht="24" x14ac:dyDescent="0.2">
      <c r="A1586" s="89">
        <v>40724</v>
      </c>
      <c r="B1586" s="16" t="s">
        <v>4296</v>
      </c>
      <c r="C1586" s="16" t="s">
        <v>864</v>
      </c>
      <c r="D1586" s="90" t="s">
        <v>4264</v>
      </c>
      <c r="E1586" s="90" t="str">
        <f>VLOOKUP(B1586&amp;C1586,Divipola!$C$2:$F$1138,4,FALSE)</f>
        <v>19142</v>
      </c>
      <c r="F1586" s="4"/>
      <c r="G1586" s="208"/>
      <c r="H1586" s="208"/>
      <c r="I1586" s="208"/>
      <c r="J1586" s="208">
        <f>732*3.5</f>
        <v>2562</v>
      </c>
      <c r="K1586" s="208">
        <v>732</v>
      </c>
      <c r="L1586" s="208"/>
      <c r="M1586" s="208"/>
      <c r="N1586" s="208"/>
      <c r="O1586" s="208"/>
      <c r="P1586" s="208"/>
      <c r="Q1586" s="208"/>
      <c r="R1586" s="208"/>
      <c r="S1586" s="208"/>
      <c r="T1586" s="208"/>
      <c r="U1586" s="208"/>
      <c r="V1586" s="208"/>
      <c r="W1586" s="19"/>
      <c r="X1586" s="17"/>
      <c r="Y1586" s="5">
        <f t="shared" si="150"/>
        <v>0</v>
      </c>
      <c r="Z1586" s="5">
        <f t="shared" si="151"/>
        <v>0</v>
      </c>
      <c r="AA1586" s="5">
        <f t="shared" si="152"/>
        <v>0</v>
      </c>
      <c r="AB1586" s="5">
        <f t="shared" si="153"/>
        <v>0</v>
      </c>
      <c r="AC1586" s="5"/>
      <c r="AD1586" s="5">
        <v>0</v>
      </c>
      <c r="AE1586" s="5">
        <f t="shared" si="154"/>
        <v>0</v>
      </c>
      <c r="AF1586" s="70">
        <v>0</v>
      </c>
      <c r="AG1586" s="17"/>
      <c r="AH1586" s="18"/>
      <c r="AI1586" s="47" t="s">
        <v>4336</v>
      </c>
      <c r="AJ1586" s="73" t="s">
        <v>4337</v>
      </c>
      <c r="AK1586" s="45"/>
      <c r="AL1586" s="17"/>
      <c r="AM1586" s="20" t="s">
        <v>4635</v>
      </c>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39"/>
      <c r="CE1586" s="138"/>
      <c r="CF1586" s="139"/>
      <c r="CG1586" s="138"/>
      <c r="CH1586" s="139"/>
      <c r="CI1586" s="138"/>
      <c r="CJ1586" s="72"/>
      <c r="CK1586" s="139"/>
      <c r="CL1586" s="71"/>
      <c r="CM1586" s="139"/>
      <c r="CN1586" s="138"/>
      <c r="CO1586" s="138"/>
      <c r="CP1586" s="138"/>
      <c r="CQ1586" s="139"/>
      <c r="CR1586" s="138"/>
      <c r="CS1586" s="45"/>
      <c r="CT1586" s="138"/>
      <c r="CU1586" s="45"/>
      <c r="CV1586" s="99">
        <f t="shared" si="149"/>
        <v>0</v>
      </c>
      <c r="CW1586" s="139"/>
      <c r="CX1586" s="138"/>
      <c r="CY1586" s="138"/>
      <c r="CZ1586" s="138"/>
      <c r="DA1586" s="139"/>
      <c r="DB1586" s="138"/>
      <c r="DC1586" s="45"/>
      <c r="DD1586" s="138"/>
      <c r="DE1586" s="45"/>
      <c r="DF1586" s="46"/>
    </row>
    <row r="1587" spans="1:110" s="42" customFormat="1" ht="24" x14ac:dyDescent="0.2">
      <c r="A1587" s="89">
        <v>40724</v>
      </c>
      <c r="B1587" s="16" t="s">
        <v>4296</v>
      </c>
      <c r="C1587" s="16" t="s">
        <v>4246</v>
      </c>
      <c r="D1587" s="90" t="s">
        <v>4264</v>
      </c>
      <c r="E1587" s="90" t="str">
        <f>VLOOKUP(B1587&amp;C1587,Divipola!$C$2:$F$1138,4,FALSE)</f>
        <v>19212</v>
      </c>
      <c r="F1587" s="4"/>
      <c r="G1587" s="208"/>
      <c r="H1587" s="208"/>
      <c r="I1587" s="208"/>
      <c r="J1587" s="208">
        <f>44*3.5</f>
        <v>154</v>
      </c>
      <c r="K1587" s="208">
        <v>44</v>
      </c>
      <c r="L1587" s="208"/>
      <c r="M1587" s="208"/>
      <c r="N1587" s="208"/>
      <c r="O1587" s="208"/>
      <c r="P1587" s="208"/>
      <c r="Q1587" s="208"/>
      <c r="R1587" s="208"/>
      <c r="S1587" s="208"/>
      <c r="T1587" s="208"/>
      <c r="U1587" s="208"/>
      <c r="V1587" s="208"/>
      <c r="W1587" s="19"/>
      <c r="X1587" s="17"/>
      <c r="Y1587" s="5">
        <f t="shared" si="150"/>
        <v>0</v>
      </c>
      <c r="Z1587" s="5">
        <f t="shared" si="151"/>
        <v>0</v>
      </c>
      <c r="AA1587" s="5">
        <f t="shared" si="152"/>
        <v>0</v>
      </c>
      <c r="AB1587" s="5">
        <f t="shared" si="153"/>
        <v>0</v>
      </c>
      <c r="AC1587" s="5"/>
      <c r="AD1587" s="5">
        <v>0</v>
      </c>
      <c r="AE1587" s="5">
        <f t="shared" si="154"/>
        <v>0</v>
      </c>
      <c r="AF1587" s="70">
        <v>0</v>
      </c>
      <c r="AG1587" s="17"/>
      <c r="AH1587" s="18"/>
      <c r="AI1587" s="47" t="s">
        <v>4336</v>
      </c>
      <c r="AJ1587" s="73" t="s">
        <v>4337</v>
      </c>
      <c r="AK1587" s="45"/>
      <c r="AL1587" s="17"/>
      <c r="AM1587" s="20" t="s">
        <v>4635</v>
      </c>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39"/>
      <c r="CE1587" s="138"/>
      <c r="CF1587" s="139"/>
      <c r="CG1587" s="138"/>
      <c r="CH1587" s="139"/>
      <c r="CI1587" s="138"/>
      <c r="CJ1587" s="72"/>
      <c r="CK1587" s="139"/>
      <c r="CL1587" s="71"/>
      <c r="CM1587" s="139"/>
      <c r="CN1587" s="138"/>
      <c r="CO1587" s="138"/>
      <c r="CP1587" s="138"/>
      <c r="CQ1587" s="139"/>
      <c r="CR1587" s="138"/>
      <c r="CS1587" s="45"/>
      <c r="CT1587" s="138"/>
      <c r="CU1587" s="45"/>
      <c r="CV1587" s="99">
        <f t="shared" si="149"/>
        <v>0</v>
      </c>
      <c r="CW1587" s="139"/>
      <c r="CX1587" s="138"/>
      <c r="CY1587" s="138"/>
      <c r="CZ1587" s="138"/>
      <c r="DA1587" s="139"/>
      <c r="DB1587" s="138"/>
      <c r="DC1587" s="45"/>
      <c r="DD1587" s="138"/>
      <c r="DE1587" s="45"/>
      <c r="DF1587" s="46"/>
    </row>
    <row r="1588" spans="1:110" s="42" customFormat="1" ht="24" x14ac:dyDescent="0.2">
      <c r="A1588" s="89">
        <v>40724</v>
      </c>
      <c r="B1588" s="16" t="s">
        <v>4296</v>
      </c>
      <c r="C1588" s="16" t="s">
        <v>855</v>
      </c>
      <c r="D1588" s="90" t="s">
        <v>4264</v>
      </c>
      <c r="E1588" s="90" t="str">
        <f>VLOOKUP(B1588&amp;C1588,Divipola!$C$2:$F$1138,4,FALSE)</f>
        <v>19256</v>
      </c>
      <c r="F1588" s="4"/>
      <c r="G1588" s="208"/>
      <c r="H1588" s="208"/>
      <c r="I1588" s="208"/>
      <c r="J1588" s="208">
        <f>540*3.5</f>
        <v>1890</v>
      </c>
      <c r="K1588" s="208">
        <v>540</v>
      </c>
      <c r="L1588" s="208"/>
      <c r="M1588" s="208"/>
      <c r="N1588" s="208"/>
      <c r="O1588" s="208"/>
      <c r="P1588" s="208"/>
      <c r="Q1588" s="208"/>
      <c r="R1588" s="208"/>
      <c r="S1588" s="208"/>
      <c r="T1588" s="208"/>
      <c r="U1588" s="208"/>
      <c r="V1588" s="208"/>
      <c r="W1588" s="19"/>
      <c r="X1588" s="17"/>
      <c r="Y1588" s="5">
        <f t="shared" si="150"/>
        <v>0</v>
      </c>
      <c r="Z1588" s="5">
        <f t="shared" si="151"/>
        <v>0</v>
      </c>
      <c r="AA1588" s="5">
        <f t="shared" si="152"/>
        <v>0</v>
      </c>
      <c r="AB1588" s="5">
        <f t="shared" si="153"/>
        <v>0</v>
      </c>
      <c r="AC1588" s="5"/>
      <c r="AD1588" s="5">
        <v>0</v>
      </c>
      <c r="AE1588" s="5">
        <f t="shared" si="154"/>
        <v>0</v>
      </c>
      <c r="AF1588" s="70">
        <v>0</v>
      </c>
      <c r="AG1588" s="17"/>
      <c r="AH1588" s="18"/>
      <c r="AI1588" s="47" t="s">
        <v>4336</v>
      </c>
      <c r="AJ1588" s="73" t="s">
        <v>4337</v>
      </c>
      <c r="AK1588" s="45"/>
      <c r="AL1588" s="17"/>
      <c r="AM1588" s="20" t="s">
        <v>4635</v>
      </c>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39"/>
      <c r="CE1588" s="138"/>
      <c r="CF1588" s="139"/>
      <c r="CG1588" s="138"/>
      <c r="CH1588" s="139"/>
      <c r="CI1588" s="138"/>
      <c r="CJ1588" s="72"/>
      <c r="CK1588" s="139"/>
      <c r="CL1588" s="71"/>
      <c r="CM1588" s="139"/>
      <c r="CN1588" s="138"/>
      <c r="CO1588" s="138"/>
      <c r="CP1588" s="138"/>
      <c r="CQ1588" s="139"/>
      <c r="CR1588" s="138"/>
      <c r="CS1588" s="45"/>
      <c r="CT1588" s="138"/>
      <c r="CU1588" s="45"/>
      <c r="CV1588" s="99">
        <f t="shared" si="149"/>
        <v>0</v>
      </c>
      <c r="CW1588" s="139"/>
      <c r="CX1588" s="138"/>
      <c r="CY1588" s="138"/>
      <c r="CZ1588" s="138"/>
      <c r="DA1588" s="139"/>
      <c r="DB1588" s="138"/>
      <c r="DC1588" s="45"/>
      <c r="DD1588" s="138"/>
      <c r="DE1588" s="45"/>
      <c r="DF1588" s="46"/>
    </row>
    <row r="1589" spans="1:110" s="42" customFormat="1" ht="24" x14ac:dyDescent="0.2">
      <c r="A1589" s="89">
        <v>40724</v>
      </c>
      <c r="B1589" s="16" t="s">
        <v>4296</v>
      </c>
      <c r="C1589" s="16" t="s">
        <v>2258</v>
      </c>
      <c r="D1589" s="90" t="s">
        <v>4264</v>
      </c>
      <c r="E1589" s="90" t="str">
        <f>VLOOKUP(B1589&amp;C1589,Divipola!$C$2:$F$1138,4,FALSE)</f>
        <v>19318</v>
      </c>
      <c r="F1589" s="4"/>
      <c r="G1589" s="208"/>
      <c r="H1589" s="208"/>
      <c r="I1589" s="208"/>
      <c r="J1589" s="208">
        <f>934*3.5</f>
        <v>3269</v>
      </c>
      <c r="K1589" s="208">
        <v>934</v>
      </c>
      <c r="L1589" s="208"/>
      <c r="M1589" s="208"/>
      <c r="N1589" s="208"/>
      <c r="O1589" s="208"/>
      <c r="P1589" s="208"/>
      <c r="Q1589" s="208"/>
      <c r="R1589" s="208"/>
      <c r="S1589" s="208"/>
      <c r="T1589" s="208"/>
      <c r="U1589" s="208"/>
      <c r="V1589" s="208"/>
      <c r="W1589" s="19"/>
      <c r="X1589" s="17"/>
      <c r="Y1589" s="5">
        <f t="shared" si="150"/>
        <v>0</v>
      </c>
      <c r="Z1589" s="5">
        <f t="shared" si="151"/>
        <v>0</v>
      </c>
      <c r="AA1589" s="5">
        <f t="shared" si="152"/>
        <v>0</v>
      </c>
      <c r="AB1589" s="5">
        <f t="shared" si="153"/>
        <v>0</v>
      </c>
      <c r="AC1589" s="5"/>
      <c r="AD1589" s="5">
        <v>0</v>
      </c>
      <c r="AE1589" s="5">
        <f t="shared" si="154"/>
        <v>0</v>
      </c>
      <c r="AF1589" s="70">
        <v>0</v>
      </c>
      <c r="AG1589" s="17"/>
      <c r="AH1589" s="18"/>
      <c r="AI1589" s="47" t="s">
        <v>4336</v>
      </c>
      <c r="AJ1589" s="73" t="s">
        <v>4337</v>
      </c>
      <c r="AK1589" s="45"/>
      <c r="AL1589" s="17"/>
      <c r="AM1589" s="20" t="s">
        <v>4635</v>
      </c>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39"/>
      <c r="CE1589" s="138"/>
      <c r="CF1589" s="139"/>
      <c r="CG1589" s="138"/>
      <c r="CH1589" s="139"/>
      <c r="CI1589" s="138"/>
      <c r="CJ1589" s="72"/>
      <c r="CK1589" s="139"/>
      <c r="CL1589" s="71"/>
      <c r="CM1589" s="139"/>
      <c r="CN1589" s="138"/>
      <c r="CO1589" s="138"/>
      <c r="CP1589" s="138"/>
      <c r="CQ1589" s="139"/>
      <c r="CR1589" s="138"/>
      <c r="CS1589" s="45"/>
      <c r="CT1589" s="138"/>
      <c r="CU1589" s="45"/>
      <c r="CV1589" s="99">
        <f t="shared" si="149"/>
        <v>0</v>
      </c>
      <c r="CW1589" s="139"/>
      <c r="CX1589" s="138"/>
      <c r="CY1589" s="138"/>
      <c r="CZ1589" s="138"/>
      <c r="DA1589" s="139"/>
      <c r="DB1589" s="138"/>
      <c r="DC1589" s="45"/>
      <c r="DD1589" s="138"/>
      <c r="DE1589" s="45"/>
      <c r="DF1589" s="46"/>
    </row>
    <row r="1590" spans="1:110" s="42" customFormat="1" ht="24" x14ac:dyDescent="0.2">
      <c r="A1590" s="89">
        <v>40724</v>
      </c>
      <c r="B1590" s="16" t="s">
        <v>4296</v>
      </c>
      <c r="C1590" s="16" t="s">
        <v>4384</v>
      </c>
      <c r="D1590" s="90" t="s">
        <v>4264</v>
      </c>
      <c r="E1590" s="90" t="str">
        <f>VLOOKUP(B1590&amp;C1590,Divipola!$C$2:$F$1138,4,FALSE)</f>
        <v>19355</v>
      </c>
      <c r="F1590" s="4"/>
      <c r="G1590" s="208"/>
      <c r="H1590" s="208"/>
      <c r="I1590" s="208"/>
      <c r="J1590" s="208">
        <f>524*3.5</f>
        <v>1834</v>
      </c>
      <c r="K1590" s="208">
        <v>524</v>
      </c>
      <c r="L1590" s="208"/>
      <c r="M1590" s="208"/>
      <c r="N1590" s="208"/>
      <c r="O1590" s="208"/>
      <c r="P1590" s="208"/>
      <c r="Q1590" s="208"/>
      <c r="R1590" s="208"/>
      <c r="S1590" s="208"/>
      <c r="T1590" s="208"/>
      <c r="U1590" s="208"/>
      <c r="V1590" s="208"/>
      <c r="W1590" s="19"/>
      <c r="X1590" s="17"/>
      <c r="Y1590" s="5">
        <f t="shared" si="150"/>
        <v>0</v>
      </c>
      <c r="Z1590" s="5">
        <f t="shared" si="151"/>
        <v>0</v>
      </c>
      <c r="AA1590" s="5">
        <f t="shared" si="152"/>
        <v>0</v>
      </c>
      <c r="AB1590" s="5">
        <f t="shared" si="153"/>
        <v>0</v>
      </c>
      <c r="AC1590" s="5"/>
      <c r="AD1590" s="5">
        <v>0</v>
      </c>
      <c r="AE1590" s="5">
        <f t="shared" si="154"/>
        <v>0</v>
      </c>
      <c r="AF1590" s="70">
        <v>0</v>
      </c>
      <c r="AG1590" s="17"/>
      <c r="AH1590" s="18"/>
      <c r="AI1590" s="47" t="s">
        <v>4336</v>
      </c>
      <c r="AJ1590" s="73" t="s">
        <v>4337</v>
      </c>
      <c r="AK1590" s="45"/>
      <c r="AL1590" s="17"/>
      <c r="AM1590" s="20" t="s">
        <v>4635</v>
      </c>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39"/>
      <c r="CE1590" s="138"/>
      <c r="CF1590" s="139"/>
      <c r="CG1590" s="138"/>
      <c r="CH1590" s="139"/>
      <c r="CI1590" s="138"/>
      <c r="CJ1590" s="72"/>
      <c r="CK1590" s="139"/>
      <c r="CL1590" s="71"/>
      <c r="CM1590" s="139"/>
      <c r="CN1590" s="138"/>
      <c r="CO1590" s="138"/>
      <c r="CP1590" s="138"/>
      <c r="CQ1590" s="139"/>
      <c r="CR1590" s="138"/>
      <c r="CS1590" s="45"/>
      <c r="CT1590" s="138"/>
      <c r="CU1590" s="45"/>
      <c r="CV1590" s="99">
        <f t="shared" si="149"/>
        <v>0</v>
      </c>
      <c r="CW1590" s="139"/>
      <c r="CX1590" s="138"/>
      <c r="CY1590" s="138"/>
      <c r="CZ1590" s="138"/>
      <c r="DA1590" s="139"/>
      <c r="DB1590" s="138"/>
      <c r="DC1590" s="45"/>
      <c r="DD1590" s="138"/>
      <c r="DE1590" s="45"/>
      <c r="DF1590" s="46"/>
    </row>
    <row r="1591" spans="1:110" s="42" customFormat="1" ht="24" x14ac:dyDescent="0.2">
      <c r="A1591" s="89">
        <v>40724</v>
      </c>
      <c r="B1591" s="16" t="s">
        <v>4296</v>
      </c>
      <c r="C1591" s="16" t="s">
        <v>2240</v>
      </c>
      <c r="D1591" s="90" t="s">
        <v>4264</v>
      </c>
      <c r="E1591" s="90" t="str">
        <f>VLOOKUP(B1591&amp;C1591,Divipola!$C$2:$F$1138,4,FALSE)</f>
        <v>19364</v>
      </c>
      <c r="F1591" s="4"/>
      <c r="G1591" s="208"/>
      <c r="H1591" s="208"/>
      <c r="I1591" s="208"/>
      <c r="J1591" s="208">
        <f>452*3.5</f>
        <v>1582</v>
      </c>
      <c r="K1591" s="208">
        <v>452</v>
      </c>
      <c r="L1591" s="208"/>
      <c r="M1591" s="208"/>
      <c r="N1591" s="208"/>
      <c r="O1591" s="208"/>
      <c r="P1591" s="208"/>
      <c r="Q1591" s="208"/>
      <c r="R1591" s="208"/>
      <c r="S1591" s="208"/>
      <c r="T1591" s="208"/>
      <c r="U1591" s="208"/>
      <c r="V1591" s="208"/>
      <c r="W1591" s="19"/>
      <c r="X1591" s="17"/>
      <c r="Y1591" s="5">
        <f t="shared" si="150"/>
        <v>0</v>
      </c>
      <c r="Z1591" s="5">
        <f t="shared" si="151"/>
        <v>0</v>
      </c>
      <c r="AA1591" s="5">
        <f t="shared" si="152"/>
        <v>0</v>
      </c>
      <c r="AB1591" s="5">
        <f t="shared" si="153"/>
        <v>0</v>
      </c>
      <c r="AC1591" s="5"/>
      <c r="AD1591" s="5">
        <v>0</v>
      </c>
      <c r="AE1591" s="5">
        <f t="shared" si="154"/>
        <v>0</v>
      </c>
      <c r="AF1591" s="70">
        <v>0</v>
      </c>
      <c r="AG1591" s="17"/>
      <c r="AH1591" s="18"/>
      <c r="AI1591" s="47" t="s">
        <v>4336</v>
      </c>
      <c r="AJ1591" s="73" t="s">
        <v>4337</v>
      </c>
      <c r="AK1591" s="45"/>
      <c r="AL1591" s="17"/>
      <c r="AM1591" s="20" t="s">
        <v>4635</v>
      </c>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39"/>
      <c r="CE1591" s="138"/>
      <c r="CF1591" s="139"/>
      <c r="CG1591" s="138"/>
      <c r="CH1591" s="139"/>
      <c r="CI1591" s="138"/>
      <c r="CJ1591" s="72"/>
      <c r="CK1591" s="139"/>
      <c r="CL1591" s="71"/>
      <c r="CM1591" s="139"/>
      <c r="CN1591" s="138"/>
      <c r="CO1591" s="138"/>
      <c r="CP1591" s="138"/>
      <c r="CQ1591" s="139"/>
      <c r="CR1591" s="138"/>
      <c r="CS1591" s="45"/>
      <c r="CT1591" s="138"/>
      <c r="CU1591" s="45"/>
      <c r="CV1591" s="99">
        <f t="shared" si="149"/>
        <v>0</v>
      </c>
      <c r="CW1591" s="139"/>
      <c r="CX1591" s="138"/>
      <c r="CY1591" s="138"/>
      <c r="CZ1591" s="138"/>
      <c r="DA1591" s="139"/>
      <c r="DB1591" s="138"/>
      <c r="DC1591" s="45"/>
      <c r="DD1591" s="138"/>
      <c r="DE1591" s="45"/>
      <c r="DF1591" s="46"/>
    </row>
    <row r="1592" spans="1:110" s="42" customFormat="1" ht="24" x14ac:dyDescent="0.2">
      <c r="A1592" s="89">
        <v>40724</v>
      </c>
      <c r="B1592" s="16" t="s">
        <v>4296</v>
      </c>
      <c r="C1592" s="16" t="s">
        <v>3371</v>
      </c>
      <c r="D1592" s="90" t="s">
        <v>4264</v>
      </c>
      <c r="E1592" s="90" t="str">
        <f>VLOOKUP(B1592&amp;C1592,Divipola!$C$2:$F$1138,4,FALSE)</f>
        <v>19397</v>
      </c>
      <c r="F1592" s="4"/>
      <c r="G1592" s="208"/>
      <c r="H1592" s="208"/>
      <c r="I1592" s="208"/>
      <c r="J1592" s="208">
        <f>97*3.5</f>
        <v>339.5</v>
      </c>
      <c r="K1592" s="208">
        <v>97</v>
      </c>
      <c r="L1592" s="208"/>
      <c r="M1592" s="208"/>
      <c r="N1592" s="208"/>
      <c r="O1592" s="208"/>
      <c r="P1592" s="208"/>
      <c r="Q1592" s="208"/>
      <c r="R1592" s="208"/>
      <c r="S1592" s="208"/>
      <c r="T1592" s="208"/>
      <c r="U1592" s="208"/>
      <c r="V1592" s="208"/>
      <c r="W1592" s="19"/>
      <c r="X1592" s="17"/>
      <c r="Y1592" s="5">
        <f t="shared" si="150"/>
        <v>0</v>
      </c>
      <c r="Z1592" s="5">
        <f t="shared" si="151"/>
        <v>0</v>
      </c>
      <c r="AA1592" s="5">
        <f t="shared" si="152"/>
        <v>0</v>
      </c>
      <c r="AB1592" s="5">
        <f t="shared" si="153"/>
        <v>0</v>
      </c>
      <c r="AC1592" s="5"/>
      <c r="AD1592" s="5">
        <v>0</v>
      </c>
      <c r="AE1592" s="5">
        <f t="shared" si="154"/>
        <v>0</v>
      </c>
      <c r="AF1592" s="70">
        <v>0</v>
      </c>
      <c r="AG1592" s="17"/>
      <c r="AH1592" s="18"/>
      <c r="AI1592" s="47" t="s">
        <v>4336</v>
      </c>
      <c r="AJ1592" s="73" t="s">
        <v>4337</v>
      </c>
      <c r="AK1592" s="45"/>
      <c r="AL1592" s="17"/>
      <c r="AM1592" s="20" t="s">
        <v>4635</v>
      </c>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39"/>
      <c r="CE1592" s="138"/>
      <c r="CF1592" s="139"/>
      <c r="CG1592" s="138"/>
      <c r="CH1592" s="139"/>
      <c r="CI1592" s="138"/>
      <c r="CJ1592" s="72"/>
      <c r="CK1592" s="139"/>
      <c r="CL1592" s="71"/>
      <c r="CM1592" s="139"/>
      <c r="CN1592" s="138"/>
      <c r="CO1592" s="138"/>
      <c r="CP1592" s="138"/>
      <c r="CQ1592" s="139"/>
      <c r="CR1592" s="138"/>
      <c r="CS1592" s="45"/>
      <c r="CT1592" s="138"/>
      <c r="CU1592" s="45"/>
      <c r="CV1592" s="99">
        <f t="shared" si="149"/>
        <v>0</v>
      </c>
      <c r="CW1592" s="139"/>
      <c r="CX1592" s="138"/>
      <c r="CY1592" s="138"/>
      <c r="CZ1592" s="138"/>
      <c r="DA1592" s="139"/>
      <c r="DB1592" s="138"/>
      <c r="DC1592" s="45"/>
      <c r="DD1592" s="138"/>
      <c r="DE1592" s="45"/>
      <c r="DF1592" s="46"/>
    </row>
    <row r="1593" spans="1:110" s="42" customFormat="1" ht="24" x14ac:dyDescent="0.2">
      <c r="A1593" s="89">
        <v>40724</v>
      </c>
      <c r="B1593" s="16" t="s">
        <v>4296</v>
      </c>
      <c r="C1593" s="16" t="s">
        <v>3364</v>
      </c>
      <c r="D1593" s="90" t="s">
        <v>4264</v>
      </c>
      <c r="E1593" s="90" t="str">
        <f>VLOOKUP(B1593&amp;C1593,Divipola!$C$2:$F$1138,4,FALSE)</f>
        <v>19455</v>
      </c>
      <c r="F1593" s="4"/>
      <c r="G1593" s="208"/>
      <c r="H1593" s="208"/>
      <c r="I1593" s="208"/>
      <c r="J1593" s="208">
        <f>182*3.5</f>
        <v>637</v>
      </c>
      <c r="K1593" s="208">
        <v>182</v>
      </c>
      <c r="L1593" s="208"/>
      <c r="M1593" s="208"/>
      <c r="N1593" s="208"/>
      <c r="O1593" s="208"/>
      <c r="P1593" s="208"/>
      <c r="Q1593" s="208"/>
      <c r="R1593" s="208"/>
      <c r="S1593" s="208"/>
      <c r="T1593" s="208"/>
      <c r="U1593" s="208"/>
      <c r="V1593" s="208"/>
      <c r="W1593" s="19"/>
      <c r="X1593" s="17"/>
      <c r="Y1593" s="5">
        <f t="shared" si="150"/>
        <v>0</v>
      </c>
      <c r="Z1593" s="5">
        <f t="shared" si="151"/>
        <v>0</v>
      </c>
      <c r="AA1593" s="5">
        <f t="shared" si="152"/>
        <v>0</v>
      </c>
      <c r="AB1593" s="5">
        <f t="shared" si="153"/>
        <v>0</v>
      </c>
      <c r="AC1593" s="5"/>
      <c r="AD1593" s="5">
        <v>0</v>
      </c>
      <c r="AE1593" s="5">
        <f t="shared" si="154"/>
        <v>0</v>
      </c>
      <c r="AF1593" s="70">
        <v>0</v>
      </c>
      <c r="AG1593" s="17"/>
      <c r="AH1593" s="18"/>
      <c r="AI1593" s="47" t="s">
        <v>4336</v>
      </c>
      <c r="AJ1593" s="73" t="s">
        <v>4337</v>
      </c>
      <c r="AK1593" s="45"/>
      <c r="AL1593" s="17"/>
      <c r="AM1593" s="20" t="s">
        <v>4635</v>
      </c>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39"/>
      <c r="CE1593" s="138"/>
      <c r="CF1593" s="139"/>
      <c r="CG1593" s="138"/>
      <c r="CH1593" s="139"/>
      <c r="CI1593" s="138"/>
      <c r="CJ1593" s="72"/>
      <c r="CK1593" s="139"/>
      <c r="CL1593" s="71"/>
      <c r="CM1593" s="139"/>
      <c r="CN1593" s="138"/>
      <c r="CO1593" s="138"/>
      <c r="CP1593" s="138"/>
      <c r="CQ1593" s="139"/>
      <c r="CR1593" s="138"/>
      <c r="CS1593" s="45"/>
      <c r="CT1593" s="138"/>
      <c r="CU1593" s="45"/>
      <c r="CV1593" s="99">
        <f t="shared" si="149"/>
        <v>0</v>
      </c>
      <c r="CW1593" s="139"/>
      <c r="CX1593" s="138"/>
      <c r="CY1593" s="138"/>
      <c r="CZ1593" s="138"/>
      <c r="DA1593" s="139"/>
      <c r="DB1593" s="138"/>
      <c r="DC1593" s="45"/>
      <c r="DD1593" s="138"/>
      <c r="DE1593" s="45"/>
      <c r="DF1593" s="46"/>
    </row>
    <row r="1594" spans="1:110" s="42" customFormat="1" ht="24" x14ac:dyDescent="0.2">
      <c r="A1594" s="89">
        <v>40724</v>
      </c>
      <c r="B1594" s="16" t="s">
        <v>4296</v>
      </c>
      <c r="C1594" s="16" t="s">
        <v>1501</v>
      </c>
      <c r="D1594" s="90" t="s">
        <v>4264</v>
      </c>
      <c r="E1594" s="90" t="str">
        <f>VLOOKUP(B1594&amp;C1594,Divipola!$C$2:$F$1138,4,FALSE)</f>
        <v>19573</v>
      </c>
      <c r="F1594" s="4"/>
      <c r="G1594" s="208"/>
      <c r="H1594" s="208"/>
      <c r="I1594" s="208"/>
      <c r="J1594" s="208">
        <f>96*3.5</f>
        <v>336</v>
      </c>
      <c r="K1594" s="208">
        <v>96</v>
      </c>
      <c r="L1594" s="208"/>
      <c r="M1594" s="208"/>
      <c r="N1594" s="208"/>
      <c r="O1594" s="208"/>
      <c r="P1594" s="208"/>
      <c r="Q1594" s="208"/>
      <c r="R1594" s="208"/>
      <c r="S1594" s="208"/>
      <c r="T1594" s="208"/>
      <c r="U1594" s="208"/>
      <c r="V1594" s="208"/>
      <c r="W1594" s="19"/>
      <c r="X1594" s="17"/>
      <c r="Y1594" s="5">
        <f t="shared" si="150"/>
        <v>0</v>
      </c>
      <c r="Z1594" s="5">
        <f t="shared" si="151"/>
        <v>0</v>
      </c>
      <c r="AA1594" s="5">
        <f t="shared" si="152"/>
        <v>0</v>
      </c>
      <c r="AB1594" s="5">
        <f t="shared" si="153"/>
        <v>0</v>
      </c>
      <c r="AC1594" s="5"/>
      <c r="AD1594" s="5">
        <v>0</v>
      </c>
      <c r="AE1594" s="5">
        <f t="shared" si="154"/>
        <v>0</v>
      </c>
      <c r="AF1594" s="70">
        <v>0</v>
      </c>
      <c r="AG1594" s="17"/>
      <c r="AH1594" s="18"/>
      <c r="AI1594" s="47" t="s">
        <v>4336</v>
      </c>
      <c r="AJ1594" s="73" t="s">
        <v>4337</v>
      </c>
      <c r="AK1594" s="45"/>
      <c r="AL1594" s="17"/>
      <c r="AM1594" s="20" t="s">
        <v>4635</v>
      </c>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39"/>
      <c r="CE1594" s="138"/>
      <c r="CF1594" s="139"/>
      <c r="CG1594" s="138"/>
      <c r="CH1594" s="139"/>
      <c r="CI1594" s="138"/>
      <c r="CJ1594" s="72"/>
      <c r="CK1594" s="139"/>
      <c r="CL1594" s="71"/>
      <c r="CM1594" s="139"/>
      <c r="CN1594" s="138"/>
      <c r="CO1594" s="138"/>
      <c r="CP1594" s="138"/>
      <c r="CQ1594" s="139"/>
      <c r="CR1594" s="138"/>
      <c r="CS1594" s="45"/>
      <c r="CT1594" s="138"/>
      <c r="CU1594" s="45"/>
      <c r="CV1594" s="99">
        <f t="shared" si="149"/>
        <v>0</v>
      </c>
      <c r="CW1594" s="139"/>
      <c r="CX1594" s="138"/>
      <c r="CY1594" s="138"/>
      <c r="CZ1594" s="138"/>
      <c r="DA1594" s="139"/>
      <c r="DB1594" s="138"/>
      <c r="DC1594" s="45"/>
      <c r="DD1594" s="138"/>
      <c r="DE1594" s="45"/>
      <c r="DF1594" s="46"/>
    </row>
    <row r="1595" spans="1:110" s="42" customFormat="1" ht="24" x14ac:dyDescent="0.2">
      <c r="A1595" s="89">
        <v>40724</v>
      </c>
      <c r="B1595" s="16" t="s">
        <v>4296</v>
      </c>
      <c r="C1595" s="16" t="s">
        <v>1503</v>
      </c>
      <c r="D1595" s="90" t="s">
        <v>4264</v>
      </c>
      <c r="E1595" s="90" t="str">
        <f>VLOOKUP(B1595&amp;C1595,Divipola!$C$2:$F$1138,4,FALSE)</f>
        <v>19585</v>
      </c>
      <c r="F1595" s="4"/>
      <c r="G1595" s="208"/>
      <c r="H1595" s="208"/>
      <c r="I1595" s="208"/>
      <c r="J1595" s="208">
        <f>830*3.5</f>
        <v>2905</v>
      </c>
      <c r="K1595" s="208">
        <v>830</v>
      </c>
      <c r="L1595" s="208"/>
      <c r="M1595" s="208"/>
      <c r="N1595" s="208"/>
      <c r="O1595" s="208"/>
      <c r="P1595" s="208"/>
      <c r="Q1595" s="208"/>
      <c r="R1595" s="208"/>
      <c r="S1595" s="208"/>
      <c r="T1595" s="208"/>
      <c r="U1595" s="208"/>
      <c r="V1595" s="208"/>
      <c r="W1595" s="19"/>
      <c r="X1595" s="17"/>
      <c r="Y1595" s="5">
        <f t="shared" si="150"/>
        <v>0</v>
      </c>
      <c r="Z1595" s="5">
        <f t="shared" si="151"/>
        <v>0</v>
      </c>
      <c r="AA1595" s="5">
        <f t="shared" si="152"/>
        <v>0</v>
      </c>
      <c r="AB1595" s="5">
        <f t="shared" si="153"/>
        <v>0</v>
      </c>
      <c r="AC1595" s="5"/>
      <c r="AD1595" s="5">
        <v>0</v>
      </c>
      <c r="AE1595" s="5">
        <f t="shared" si="154"/>
        <v>0</v>
      </c>
      <c r="AF1595" s="70">
        <v>0</v>
      </c>
      <c r="AG1595" s="17"/>
      <c r="AH1595" s="18"/>
      <c r="AI1595" s="47" t="s">
        <v>4336</v>
      </c>
      <c r="AJ1595" s="73" t="s">
        <v>4337</v>
      </c>
      <c r="AK1595" s="45"/>
      <c r="AL1595" s="17"/>
      <c r="AM1595" s="20" t="s">
        <v>4635</v>
      </c>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39"/>
      <c r="CE1595" s="138"/>
      <c r="CF1595" s="139"/>
      <c r="CG1595" s="138"/>
      <c r="CH1595" s="139"/>
      <c r="CI1595" s="138"/>
      <c r="CJ1595" s="72"/>
      <c r="CK1595" s="139"/>
      <c r="CL1595" s="71"/>
      <c r="CM1595" s="139"/>
      <c r="CN1595" s="138"/>
      <c r="CO1595" s="138"/>
      <c r="CP1595" s="138"/>
      <c r="CQ1595" s="139"/>
      <c r="CR1595" s="138"/>
      <c r="CS1595" s="45"/>
      <c r="CT1595" s="138"/>
      <c r="CU1595" s="45"/>
      <c r="CV1595" s="99">
        <f t="shared" si="149"/>
        <v>0</v>
      </c>
      <c r="CW1595" s="139"/>
      <c r="CX1595" s="138"/>
      <c r="CY1595" s="138"/>
      <c r="CZ1595" s="138"/>
      <c r="DA1595" s="139"/>
      <c r="DB1595" s="138"/>
      <c r="DC1595" s="45"/>
      <c r="DD1595" s="138"/>
      <c r="DE1595" s="45"/>
      <c r="DF1595" s="46"/>
    </row>
    <row r="1596" spans="1:110" s="42" customFormat="1" ht="24" x14ac:dyDescent="0.2">
      <c r="A1596" s="89">
        <v>40724</v>
      </c>
      <c r="B1596" s="16" t="s">
        <v>4296</v>
      </c>
      <c r="C1596" s="16" t="s">
        <v>1506</v>
      </c>
      <c r="D1596" s="90" t="s">
        <v>4264</v>
      </c>
      <c r="E1596" s="90" t="str">
        <f>VLOOKUP(B1596&amp;C1596,Divipola!$C$2:$F$1138,4,FALSE)</f>
        <v>19622</v>
      </c>
      <c r="F1596" s="4"/>
      <c r="G1596" s="208"/>
      <c r="H1596" s="208"/>
      <c r="I1596" s="208"/>
      <c r="J1596" s="208">
        <f>503*3.5</f>
        <v>1760.5</v>
      </c>
      <c r="K1596" s="208">
        <v>503</v>
      </c>
      <c r="L1596" s="208"/>
      <c r="M1596" s="208"/>
      <c r="N1596" s="208"/>
      <c r="O1596" s="208"/>
      <c r="P1596" s="208"/>
      <c r="Q1596" s="208"/>
      <c r="R1596" s="208"/>
      <c r="S1596" s="208"/>
      <c r="T1596" s="208"/>
      <c r="U1596" s="208"/>
      <c r="V1596" s="208"/>
      <c r="W1596" s="19"/>
      <c r="X1596" s="17"/>
      <c r="Y1596" s="5">
        <f t="shared" si="150"/>
        <v>0</v>
      </c>
      <c r="Z1596" s="5">
        <f t="shared" si="151"/>
        <v>0</v>
      </c>
      <c r="AA1596" s="5">
        <f t="shared" si="152"/>
        <v>0</v>
      </c>
      <c r="AB1596" s="5">
        <f t="shared" si="153"/>
        <v>0</v>
      </c>
      <c r="AC1596" s="5"/>
      <c r="AD1596" s="5">
        <v>0</v>
      </c>
      <c r="AE1596" s="5">
        <f t="shared" si="154"/>
        <v>0</v>
      </c>
      <c r="AF1596" s="70">
        <v>0</v>
      </c>
      <c r="AG1596" s="17"/>
      <c r="AH1596" s="18"/>
      <c r="AI1596" s="47" t="s">
        <v>4336</v>
      </c>
      <c r="AJ1596" s="73" t="s">
        <v>4337</v>
      </c>
      <c r="AK1596" s="45"/>
      <c r="AL1596" s="17"/>
      <c r="AM1596" s="20" t="s">
        <v>4635</v>
      </c>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39"/>
      <c r="CE1596" s="138"/>
      <c r="CF1596" s="139"/>
      <c r="CG1596" s="138"/>
      <c r="CH1596" s="139"/>
      <c r="CI1596" s="138"/>
      <c r="CJ1596" s="72"/>
      <c r="CK1596" s="139"/>
      <c r="CL1596" s="71"/>
      <c r="CM1596" s="139"/>
      <c r="CN1596" s="138"/>
      <c r="CO1596" s="138"/>
      <c r="CP1596" s="138"/>
      <c r="CQ1596" s="139"/>
      <c r="CR1596" s="138"/>
      <c r="CS1596" s="45"/>
      <c r="CT1596" s="138"/>
      <c r="CU1596" s="45"/>
      <c r="CV1596" s="99">
        <f t="shared" si="149"/>
        <v>0</v>
      </c>
      <c r="CW1596" s="139"/>
      <c r="CX1596" s="138"/>
      <c r="CY1596" s="138"/>
      <c r="CZ1596" s="138"/>
      <c r="DA1596" s="139"/>
      <c r="DB1596" s="138"/>
      <c r="DC1596" s="45"/>
      <c r="DD1596" s="138"/>
      <c r="DE1596" s="45"/>
      <c r="DF1596" s="46"/>
    </row>
    <row r="1597" spans="1:110" s="42" customFormat="1" ht="24" x14ac:dyDescent="0.2">
      <c r="A1597" s="89">
        <v>40724</v>
      </c>
      <c r="B1597" s="16" t="s">
        <v>4296</v>
      </c>
      <c r="C1597" s="16" t="s">
        <v>1508</v>
      </c>
      <c r="D1597" s="90" t="s">
        <v>4264</v>
      </c>
      <c r="E1597" s="90" t="str">
        <f>VLOOKUP(B1597&amp;C1597,Divipola!$C$2:$F$1138,4,FALSE)</f>
        <v>19693</v>
      </c>
      <c r="F1597" s="4"/>
      <c r="G1597" s="208"/>
      <c r="H1597" s="208"/>
      <c r="I1597" s="208"/>
      <c r="J1597" s="208">
        <f>201*3.5</f>
        <v>703.5</v>
      </c>
      <c r="K1597" s="208">
        <v>201</v>
      </c>
      <c r="L1597" s="208"/>
      <c r="M1597" s="208"/>
      <c r="N1597" s="208"/>
      <c r="O1597" s="208"/>
      <c r="P1597" s="208"/>
      <c r="Q1597" s="208"/>
      <c r="R1597" s="208"/>
      <c r="S1597" s="208"/>
      <c r="T1597" s="208"/>
      <c r="U1597" s="208"/>
      <c r="V1597" s="208"/>
      <c r="W1597" s="19"/>
      <c r="X1597" s="17"/>
      <c r="Y1597" s="5">
        <f t="shared" si="150"/>
        <v>0</v>
      </c>
      <c r="Z1597" s="5">
        <f t="shared" si="151"/>
        <v>0</v>
      </c>
      <c r="AA1597" s="5">
        <f t="shared" si="152"/>
        <v>0</v>
      </c>
      <c r="AB1597" s="5">
        <f t="shared" si="153"/>
        <v>0</v>
      </c>
      <c r="AC1597" s="5"/>
      <c r="AD1597" s="5">
        <v>0</v>
      </c>
      <c r="AE1597" s="5">
        <f t="shared" si="154"/>
        <v>0</v>
      </c>
      <c r="AF1597" s="70">
        <v>0</v>
      </c>
      <c r="AG1597" s="17"/>
      <c r="AH1597" s="18"/>
      <c r="AI1597" s="47" t="s">
        <v>4336</v>
      </c>
      <c r="AJ1597" s="73" t="s">
        <v>4337</v>
      </c>
      <c r="AK1597" s="45"/>
      <c r="AL1597" s="17"/>
      <c r="AM1597" s="20" t="s">
        <v>4635</v>
      </c>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39"/>
      <c r="CE1597" s="138"/>
      <c r="CF1597" s="139"/>
      <c r="CG1597" s="138"/>
      <c r="CH1597" s="139"/>
      <c r="CI1597" s="138"/>
      <c r="CJ1597" s="72"/>
      <c r="CK1597" s="139"/>
      <c r="CL1597" s="71"/>
      <c r="CM1597" s="139"/>
      <c r="CN1597" s="138"/>
      <c r="CO1597" s="138"/>
      <c r="CP1597" s="138"/>
      <c r="CQ1597" s="139"/>
      <c r="CR1597" s="138"/>
      <c r="CS1597" s="45"/>
      <c r="CT1597" s="138"/>
      <c r="CU1597" s="45"/>
      <c r="CV1597" s="99">
        <f t="shared" si="149"/>
        <v>0</v>
      </c>
      <c r="CW1597" s="139"/>
      <c r="CX1597" s="138"/>
      <c r="CY1597" s="138"/>
      <c r="CZ1597" s="138"/>
      <c r="DA1597" s="139"/>
      <c r="DB1597" s="138"/>
      <c r="DC1597" s="45"/>
      <c r="DD1597" s="138"/>
      <c r="DE1597" s="45"/>
      <c r="DF1597" s="46"/>
    </row>
    <row r="1598" spans="1:110" s="42" customFormat="1" ht="24" x14ac:dyDescent="0.2">
      <c r="A1598" s="89">
        <v>40724</v>
      </c>
      <c r="B1598" s="16" t="s">
        <v>4296</v>
      </c>
      <c r="C1598" s="16" t="s">
        <v>4237</v>
      </c>
      <c r="D1598" s="90" t="s">
        <v>4264</v>
      </c>
      <c r="E1598" s="90" t="str">
        <f>VLOOKUP(B1598&amp;C1598,Divipola!$C$2:$F$1138,4,FALSE)</f>
        <v>19701</v>
      </c>
      <c r="F1598" s="4"/>
      <c r="G1598" s="208"/>
      <c r="H1598" s="208"/>
      <c r="I1598" s="208"/>
      <c r="J1598" s="208">
        <f>51*3.5</f>
        <v>178.5</v>
      </c>
      <c r="K1598" s="208">
        <v>51</v>
      </c>
      <c r="L1598" s="208"/>
      <c r="M1598" s="208"/>
      <c r="N1598" s="208"/>
      <c r="O1598" s="208"/>
      <c r="P1598" s="208"/>
      <c r="Q1598" s="208"/>
      <c r="R1598" s="208"/>
      <c r="S1598" s="208"/>
      <c r="T1598" s="208"/>
      <c r="U1598" s="208"/>
      <c r="V1598" s="208"/>
      <c r="W1598" s="19"/>
      <c r="X1598" s="17"/>
      <c r="Y1598" s="5">
        <f t="shared" si="150"/>
        <v>0</v>
      </c>
      <c r="Z1598" s="5">
        <f t="shared" si="151"/>
        <v>0</v>
      </c>
      <c r="AA1598" s="5">
        <f t="shared" si="152"/>
        <v>0</v>
      </c>
      <c r="AB1598" s="5">
        <f t="shared" si="153"/>
        <v>0</v>
      </c>
      <c r="AC1598" s="5"/>
      <c r="AD1598" s="5">
        <v>0</v>
      </c>
      <c r="AE1598" s="5">
        <f t="shared" si="154"/>
        <v>0</v>
      </c>
      <c r="AF1598" s="70">
        <v>0</v>
      </c>
      <c r="AG1598" s="17"/>
      <c r="AH1598" s="18"/>
      <c r="AI1598" s="47" t="s">
        <v>4336</v>
      </c>
      <c r="AJ1598" s="73" t="s">
        <v>4337</v>
      </c>
      <c r="AK1598" s="45"/>
      <c r="AL1598" s="17"/>
      <c r="AM1598" s="20" t="s">
        <v>4635</v>
      </c>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39"/>
      <c r="CE1598" s="138"/>
      <c r="CF1598" s="139"/>
      <c r="CG1598" s="138"/>
      <c r="CH1598" s="139"/>
      <c r="CI1598" s="138"/>
      <c r="CJ1598" s="72"/>
      <c r="CK1598" s="139"/>
      <c r="CL1598" s="71"/>
      <c r="CM1598" s="139"/>
      <c r="CN1598" s="138"/>
      <c r="CO1598" s="138"/>
      <c r="CP1598" s="138"/>
      <c r="CQ1598" s="139"/>
      <c r="CR1598" s="138"/>
      <c r="CS1598" s="45"/>
      <c r="CT1598" s="138"/>
      <c r="CU1598" s="45"/>
      <c r="CV1598" s="99">
        <f t="shared" si="149"/>
        <v>0</v>
      </c>
      <c r="CW1598" s="139"/>
      <c r="CX1598" s="138"/>
      <c r="CY1598" s="138"/>
      <c r="CZ1598" s="138"/>
      <c r="DA1598" s="139"/>
      <c r="DB1598" s="138"/>
      <c r="DC1598" s="45"/>
      <c r="DD1598" s="138"/>
      <c r="DE1598" s="45"/>
      <c r="DF1598" s="46"/>
    </row>
    <row r="1599" spans="1:110" s="42" customFormat="1" ht="24" x14ac:dyDescent="0.2">
      <c r="A1599" s="89">
        <v>40724</v>
      </c>
      <c r="B1599" s="16" t="s">
        <v>4296</v>
      </c>
      <c r="C1599" s="16" t="s">
        <v>4267</v>
      </c>
      <c r="D1599" s="90" t="s">
        <v>4264</v>
      </c>
      <c r="E1599" s="90" t="str">
        <f>VLOOKUP(B1599&amp;C1599,Divipola!$C$2:$F$1138,4,FALSE)</f>
        <v>19743</v>
      </c>
      <c r="F1599" s="4"/>
      <c r="G1599" s="208"/>
      <c r="H1599" s="208"/>
      <c r="I1599" s="208"/>
      <c r="J1599" s="208">
        <f>157*3.5</f>
        <v>549.5</v>
      </c>
      <c r="K1599" s="208">
        <v>157</v>
      </c>
      <c r="L1599" s="208"/>
      <c r="M1599" s="208"/>
      <c r="N1599" s="208"/>
      <c r="O1599" s="208"/>
      <c r="P1599" s="208"/>
      <c r="Q1599" s="208"/>
      <c r="R1599" s="208"/>
      <c r="S1599" s="208"/>
      <c r="T1599" s="208"/>
      <c r="U1599" s="208"/>
      <c r="V1599" s="208"/>
      <c r="W1599" s="19"/>
      <c r="X1599" s="17"/>
      <c r="Y1599" s="5">
        <f t="shared" si="150"/>
        <v>0</v>
      </c>
      <c r="Z1599" s="5">
        <f t="shared" si="151"/>
        <v>0</v>
      </c>
      <c r="AA1599" s="5">
        <f t="shared" si="152"/>
        <v>0</v>
      </c>
      <c r="AB1599" s="5">
        <f t="shared" si="153"/>
        <v>0</v>
      </c>
      <c r="AC1599" s="5"/>
      <c r="AD1599" s="5">
        <v>0</v>
      </c>
      <c r="AE1599" s="5">
        <f t="shared" si="154"/>
        <v>0</v>
      </c>
      <c r="AF1599" s="70">
        <v>0</v>
      </c>
      <c r="AG1599" s="17"/>
      <c r="AH1599" s="18"/>
      <c r="AI1599" s="47" t="s">
        <v>4336</v>
      </c>
      <c r="AJ1599" s="73" t="s">
        <v>4337</v>
      </c>
      <c r="AK1599" s="45"/>
      <c r="AL1599" s="17"/>
      <c r="AM1599" s="20" t="s">
        <v>4635</v>
      </c>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39"/>
      <c r="CE1599" s="138"/>
      <c r="CF1599" s="139"/>
      <c r="CG1599" s="138"/>
      <c r="CH1599" s="139"/>
      <c r="CI1599" s="138"/>
      <c r="CJ1599" s="72"/>
      <c r="CK1599" s="139"/>
      <c r="CL1599" s="71"/>
      <c r="CM1599" s="139"/>
      <c r="CN1599" s="138"/>
      <c r="CO1599" s="138"/>
      <c r="CP1599" s="138"/>
      <c r="CQ1599" s="139"/>
      <c r="CR1599" s="138"/>
      <c r="CS1599" s="45"/>
      <c r="CT1599" s="138"/>
      <c r="CU1599" s="45"/>
      <c r="CV1599" s="99">
        <f t="shared" si="149"/>
        <v>0</v>
      </c>
      <c r="CW1599" s="139"/>
      <c r="CX1599" s="138"/>
      <c r="CY1599" s="138"/>
      <c r="CZ1599" s="138"/>
      <c r="DA1599" s="139"/>
      <c r="DB1599" s="138"/>
      <c r="DC1599" s="45"/>
      <c r="DD1599" s="138"/>
      <c r="DE1599" s="45"/>
      <c r="DF1599" s="46"/>
    </row>
    <row r="1600" spans="1:110" s="42" customFormat="1" ht="24" x14ac:dyDescent="0.2">
      <c r="A1600" s="89">
        <v>40724</v>
      </c>
      <c r="B1600" s="16" t="s">
        <v>4296</v>
      </c>
      <c r="C1600" s="16" t="s">
        <v>2204</v>
      </c>
      <c r="D1600" s="90" t="s">
        <v>4264</v>
      </c>
      <c r="E1600" s="90" t="str">
        <f>VLOOKUP(B1600&amp;C1600,Divipola!$C$2:$F$1138,4,FALSE)</f>
        <v>19785</v>
      </c>
      <c r="F1600" s="4"/>
      <c r="G1600" s="208"/>
      <c r="H1600" s="208"/>
      <c r="I1600" s="208"/>
      <c r="J1600" s="208">
        <f>82*3.5</f>
        <v>287</v>
      </c>
      <c r="K1600" s="208">
        <v>82</v>
      </c>
      <c r="L1600" s="208"/>
      <c r="M1600" s="208"/>
      <c r="N1600" s="208"/>
      <c r="O1600" s="208"/>
      <c r="P1600" s="208"/>
      <c r="Q1600" s="208"/>
      <c r="R1600" s="208"/>
      <c r="S1600" s="208"/>
      <c r="T1600" s="208"/>
      <c r="U1600" s="208"/>
      <c r="V1600" s="208"/>
      <c r="W1600" s="19"/>
      <c r="X1600" s="17"/>
      <c r="Y1600" s="5">
        <f t="shared" si="150"/>
        <v>0</v>
      </c>
      <c r="Z1600" s="5">
        <f t="shared" si="151"/>
        <v>0</v>
      </c>
      <c r="AA1600" s="5">
        <f t="shared" si="152"/>
        <v>0</v>
      </c>
      <c r="AB1600" s="5">
        <f t="shared" si="153"/>
        <v>0</v>
      </c>
      <c r="AC1600" s="5"/>
      <c r="AD1600" s="5">
        <v>0</v>
      </c>
      <c r="AE1600" s="5">
        <f t="shared" si="154"/>
        <v>0</v>
      </c>
      <c r="AF1600" s="70">
        <v>0</v>
      </c>
      <c r="AG1600" s="17"/>
      <c r="AH1600" s="18"/>
      <c r="AI1600" s="47" t="s">
        <v>4336</v>
      </c>
      <c r="AJ1600" s="73" t="s">
        <v>4337</v>
      </c>
      <c r="AK1600" s="45"/>
      <c r="AL1600" s="17"/>
      <c r="AM1600" s="20" t="s">
        <v>4635</v>
      </c>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39"/>
      <c r="CE1600" s="138"/>
      <c r="CF1600" s="139"/>
      <c r="CG1600" s="138"/>
      <c r="CH1600" s="139"/>
      <c r="CI1600" s="138"/>
      <c r="CJ1600" s="72"/>
      <c r="CK1600" s="139"/>
      <c r="CL1600" s="71"/>
      <c r="CM1600" s="139"/>
      <c r="CN1600" s="138"/>
      <c r="CO1600" s="138"/>
      <c r="CP1600" s="138"/>
      <c r="CQ1600" s="139"/>
      <c r="CR1600" s="138"/>
      <c r="CS1600" s="45"/>
      <c r="CT1600" s="138"/>
      <c r="CU1600" s="45"/>
      <c r="CV1600" s="99">
        <f t="shared" si="149"/>
        <v>0</v>
      </c>
      <c r="CW1600" s="139"/>
      <c r="CX1600" s="138"/>
      <c r="CY1600" s="138"/>
      <c r="CZ1600" s="138"/>
      <c r="DA1600" s="139"/>
      <c r="DB1600" s="138"/>
      <c r="DC1600" s="45"/>
      <c r="DD1600" s="138"/>
      <c r="DE1600" s="45"/>
      <c r="DF1600" s="46"/>
    </row>
    <row r="1601" spans="1:110" s="42" customFormat="1" ht="24" x14ac:dyDescent="0.2">
      <c r="A1601" s="89">
        <v>40724</v>
      </c>
      <c r="B1601" s="16" t="s">
        <v>4296</v>
      </c>
      <c r="C1601" s="16" t="s">
        <v>845</v>
      </c>
      <c r="D1601" s="90" t="s">
        <v>4264</v>
      </c>
      <c r="E1601" s="90" t="str">
        <f>VLOOKUP(B1601&amp;C1601,Divipola!$C$2:$F$1138,4,FALSE)</f>
        <v>19807</v>
      </c>
      <c r="F1601" s="4"/>
      <c r="G1601" s="208"/>
      <c r="H1601" s="208"/>
      <c r="I1601" s="208"/>
      <c r="J1601" s="208">
        <f>266*3.5</f>
        <v>931</v>
      </c>
      <c r="K1601" s="208">
        <v>266</v>
      </c>
      <c r="L1601" s="208"/>
      <c r="M1601" s="208"/>
      <c r="N1601" s="208"/>
      <c r="O1601" s="208"/>
      <c r="P1601" s="208"/>
      <c r="Q1601" s="208"/>
      <c r="R1601" s="208"/>
      <c r="S1601" s="208"/>
      <c r="T1601" s="208"/>
      <c r="U1601" s="208"/>
      <c r="V1601" s="208"/>
      <c r="W1601" s="19"/>
      <c r="X1601" s="17"/>
      <c r="Y1601" s="5">
        <f t="shared" si="150"/>
        <v>0</v>
      </c>
      <c r="Z1601" s="5">
        <f t="shared" si="151"/>
        <v>0</v>
      </c>
      <c r="AA1601" s="5">
        <f t="shared" si="152"/>
        <v>0</v>
      </c>
      <c r="AB1601" s="5">
        <f t="shared" si="153"/>
        <v>0</v>
      </c>
      <c r="AC1601" s="5"/>
      <c r="AD1601" s="5">
        <v>0</v>
      </c>
      <c r="AE1601" s="5">
        <f t="shared" si="154"/>
        <v>0</v>
      </c>
      <c r="AF1601" s="70">
        <v>0</v>
      </c>
      <c r="AG1601" s="17"/>
      <c r="AH1601" s="18"/>
      <c r="AI1601" s="47" t="s">
        <v>4336</v>
      </c>
      <c r="AJ1601" s="73" t="s">
        <v>4337</v>
      </c>
      <c r="AK1601" s="45"/>
      <c r="AL1601" s="17"/>
      <c r="AM1601" s="20" t="s">
        <v>4635</v>
      </c>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39"/>
      <c r="CE1601" s="138"/>
      <c r="CF1601" s="139"/>
      <c r="CG1601" s="138"/>
      <c r="CH1601" s="139"/>
      <c r="CI1601" s="138"/>
      <c r="CJ1601" s="72"/>
      <c r="CK1601" s="139"/>
      <c r="CL1601" s="71"/>
      <c r="CM1601" s="139"/>
      <c r="CN1601" s="138"/>
      <c r="CO1601" s="138"/>
      <c r="CP1601" s="138"/>
      <c r="CQ1601" s="139"/>
      <c r="CR1601" s="138"/>
      <c r="CS1601" s="45"/>
      <c r="CT1601" s="138"/>
      <c r="CU1601" s="45"/>
      <c r="CV1601" s="99">
        <f t="shared" si="149"/>
        <v>0</v>
      </c>
      <c r="CW1601" s="139"/>
      <c r="CX1601" s="138"/>
      <c r="CY1601" s="138"/>
      <c r="CZ1601" s="138"/>
      <c r="DA1601" s="139"/>
      <c r="DB1601" s="138"/>
      <c r="DC1601" s="45"/>
      <c r="DD1601" s="138"/>
      <c r="DE1601" s="45"/>
      <c r="DF1601" s="46"/>
    </row>
    <row r="1602" spans="1:110" s="42" customFormat="1" ht="24" x14ac:dyDescent="0.2">
      <c r="A1602" s="89">
        <v>40724</v>
      </c>
      <c r="B1602" s="16" t="s">
        <v>4296</v>
      </c>
      <c r="C1602" s="16" t="s">
        <v>868</v>
      </c>
      <c r="D1602" s="90" t="s">
        <v>4264</v>
      </c>
      <c r="E1602" s="90" t="str">
        <f>VLOOKUP(B1602&amp;C1602,Divipola!$C$2:$F$1138,4,FALSE)</f>
        <v>19821</v>
      </c>
      <c r="F1602" s="4"/>
      <c r="G1602" s="208"/>
      <c r="H1602" s="208"/>
      <c r="I1602" s="208"/>
      <c r="J1602" s="208">
        <f>420*3.5</f>
        <v>1470</v>
      </c>
      <c r="K1602" s="208">
        <v>420</v>
      </c>
      <c r="L1602" s="208"/>
      <c r="M1602" s="208"/>
      <c r="N1602" s="208"/>
      <c r="O1602" s="208"/>
      <c r="P1602" s="208"/>
      <c r="Q1602" s="208"/>
      <c r="R1602" s="208"/>
      <c r="S1602" s="208"/>
      <c r="T1602" s="208"/>
      <c r="U1602" s="208"/>
      <c r="V1602" s="208"/>
      <c r="W1602" s="19"/>
      <c r="X1602" s="17"/>
      <c r="Y1602" s="5">
        <f t="shared" si="150"/>
        <v>0</v>
      </c>
      <c r="Z1602" s="5">
        <f t="shared" si="151"/>
        <v>0</v>
      </c>
      <c r="AA1602" s="5">
        <f t="shared" si="152"/>
        <v>0</v>
      </c>
      <c r="AB1602" s="5">
        <f t="shared" si="153"/>
        <v>0</v>
      </c>
      <c r="AC1602" s="5"/>
      <c r="AD1602" s="5">
        <v>0</v>
      </c>
      <c r="AE1602" s="5">
        <f t="shared" si="154"/>
        <v>0</v>
      </c>
      <c r="AF1602" s="70">
        <v>0</v>
      </c>
      <c r="AG1602" s="17"/>
      <c r="AH1602" s="18"/>
      <c r="AI1602" s="47" t="s">
        <v>4336</v>
      </c>
      <c r="AJ1602" s="73" t="s">
        <v>4337</v>
      </c>
      <c r="AK1602" s="45"/>
      <c r="AL1602" s="17"/>
      <c r="AM1602" s="20" t="s">
        <v>4635</v>
      </c>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39"/>
      <c r="CE1602" s="138"/>
      <c r="CF1602" s="139"/>
      <c r="CG1602" s="138"/>
      <c r="CH1602" s="139"/>
      <c r="CI1602" s="138"/>
      <c r="CJ1602" s="72"/>
      <c r="CK1602" s="139"/>
      <c r="CL1602" s="71"/>
      <c r="CM1602" s="139"/>
      <c r="CN1602" s="138"/>
      <c r="CO1602" s="138"/>
      <c r="CP1602" s="138"/>
      <c r="CQ1602" s="139"/>
      <c r="CR1602" s="138"/>
      <c r="CS1602" s="45"/>
      <c r="CT1602" s="138"/>
      <c r="CU1602" s="45"/>
      <c r="CV1602" s="99">
        <f t="shared" si="149"/>
        <v>0</v>
      </c>
      <c r="CW1602" s="139"/>
      <c r="CX1602" s="138"/>
      <c r="CY1602" s="138"/>
      <c r="CZ1602" s="138"/>
      <c r="DA1602" s="139"/>
      <c r="DB1602" s="138"/>
      <c r="DC1602" s="45"/>
      <c r="DD1602" s="138"/>
      <c r="DE1602" s="45"/>
      <c r="DF1602" s="46"/>
    </row>
    <row r="1603" spans="1:110" s="42" customFormat="1" ht="48" x14ac:dyDescent="0.2">
      <c r="A1603" s="89">
        <v>40724</v>
      </c>
      <c r="B1603" s="145" t="s">
        <v>4344</v>
      </c>
      <c r="C1603" s="145" t="s">
        <v>1651</v>
      </c>
      <c r="D1603" s="145" t="s">
        <v>3346</v>
      </c>
      <c r="E1603" s="90" t="str">
        <f>VLOOKUP(B1603&amp;C1603,Divipola!$C$2:$F$1138,4,FALSE)</f>
        <v>25001</v>
      </c>
      <c r="F1603" s="145"/>
      <c r="G1603" s="164"/>
      <c r="H1603" s="164"/>
      <c r="I1603" s="164"/>
      <c r="J1603" s="164">
        <v>627</v>
      </c>
      <c r="K1603" s="164">
        <v>209</v>
      </c>
      <c r="L1603" s="164"/>
      <c r="M1603" s="164"/>
      <c r="N1603" s="164"/>
      <c r="O1603" s="164"/>
      <c r="P1603" s="164"/>
      <c r="Q1603" s="164"/>
      <c r="R1603" s="164"/>
      <c r="S1603" s="164"/>
      <c r="T1603" s="164"/>
      <c r="U1603" s="164"/>
      <c r="V1603" s="164">
        <v>382</v>
      </c>
      <c r="W1603" s="173"/>
      <c r="X1603" s="17"/>
      <c r="Y1603" s="5">
        <f t="shared" si="150"/>
        <v>0</v>
      </c>
      <c r="Z1603" s="5">
        <f t="shared" si="151"/>
        <v>0</v>
      </c>
      <c r="AA1603" s="5">
        <f t="shared" si="152"/>
        <v>0</v>
      </c>
      <c r="AB1603" s="5">
        <f t="shared" si="153"/>
        <v>0</v>
      </c>
      <c r="AC1603" s="5"/>
      <c r="AD1603" s="5">
        <v>0</v>
      </c>
      <c r="AE1603" s="5">
        <f t="shared" si="154"/>
        <v>0</v>
      </c>
      <c r="AF1603" s="70">
        <v>0</v>
      </c>
      <c r="AG1603" s="135">
        <v>40809</v>
      </c>
      <c r="AH1603" s="161"/>
      <c r="AI1603" s="135" t="s">
        <v>4336</v>
      </c>
      <c r="AJ1603" s="176" t="s">
        <v>4337</v>
      </c>
      <c r="AK1603" s="178"/>
      <c r="AL1603" s="180" t="s">
        <v>4579</v>
      </c>
      <c r="AM1603" s="182" t="s">
        <v>4580</v>
      </c>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39"/>
      <c r="CE1603" s="138"/>
      <c r="CF1603" s="139"/>
      <c r="CG1603" s="138"/>
      <c r="CH1603" s="139"/>
      <c r="CI1603" s="138"/>
      <c r="CJ1603" s="72"/>
      <c r="CK1603" s="139"/>
      <c r="CL1603" s="71"/>
      <c r="CM1603" s="139"/>
      <c r="CN1603" s="138"/>
      <c r="CO1603" s="138"/>
      <c r="CP1603" s="138"/>
      <c r="CQ1603" s="139"/>
      <c r="CR1603" s="138"/>
      <c r="CS1603" s="45"/>
      <c r="CT1603" s="138"/>
      <c r="CU1603" s="45"/>
      <c r="CV1603" s="99">
        <f t="shared" ref="CV1603:CV1666" si="155">AO1603+AQ1603+AS1603+AU1603+AW1603+AY1603+BA1603+BC1603+BE1603+BG1603+BI1603+BK1603+BM1603+BO1603+BQ1603+BS1603+BU1603+BW1603+BY1603+CA1603+CC1603+CE1603+CG1603+CI1603+CK1603+CM1603+CO1603+CQ1603+CS1603+CU1603</f>
        <v>0</v>
      </c>
      <c r="CW1603" s="139"/>
      <c r="CX1603" s="138"/>
      <c r="CY1603" s="138"/>
      <c r="CZ1603" s="138"/>
      <c r="DA1603" s="139"/>
      <c r="DB1603" s="138"/>
      <c r="DC1603" s="45"/>
      <c r="DD1603" s="138"/>
      <c r="DE1603" s="45"/>
      <c r="DF1603" s="46"/>
    </row>
    <row r="1604" spans="1:110" s="42" customFormat="1" x14ac:dyDescent="0.2">
      <c r="A1604" s="89">
        <v>40724</v>
      </c>
      <c r="B1604" s="16" t="s">
        <v>4344</v>
      </c>
      <c r="C1604" s="16" t="s">
        <v>848</v>
      </c>
      <c r="D1604" s="90" t="s">
        <v>4264</v>
      </c>
      <c r="E1604" s="90" t="str">
        <f>VLOOKUP(B1604&amp;C1604,Divipola!$C$2:$F$1138,4,FALSE)</f>
        <v>25019</v>
      </c>
      <c r="F1604" s="4"/>
      <c r="G1604" s="208"/>
      <c r="H1604" s="208"/>
      <c r="I1604" s="208"/>
      <c r="J1604" s="208">
        <v>272</v>
      </c>
      <c r="K1604" s="208">
        <v>114</v>
      </c>
      <c r="L1604" s="208"/>
      <c r="M1604" s="208">
        <v>114</v>
      </c>
      <c r="N1604" s="208"/>
      <c r="O1604" s="208"/>
      <c r="P1604" s="208"/>
      <c r="Q1604" s="208"/>
      <c r="R1604" s="208"/>
      <c r="S1604" s="208"/>
      <c r="T1604" s="208"/>
      <c r="U1604" s="208"/>
      <c r="V1604" s="208"/>
      <c r="W1604" s="19"/>
      <c r="X1604" s="17"/>
      <c r="Y1604" s="5">
        <f t="shared" si="150"/>
        <v>0</v>
      </c>
      <c r="Z1604" s="5">
        <f t="shared" si="151"/>
        <v>0</v>
      </c>
      <c r="AA1604" s="5">
        <f t="shared" si="152"/>
        <v>0</v>
      </c>
      <c r="AB1604" s="5">
        <f t="shared" si="153"/>
        <v>0</v>
      </c>
      <c r="AC1604" s="5"/>
      <c r="AD1604" s="5">
        <v>0</v>
      </c>
      <c r="AE1604" s="5">
        <f t="shared" si="154"/>
        <v>0</v>
      </c>
      <c r="AF1604" s="70">
        <v>0</v>
      </c>
      <c r="AG1604" s="17"/>
      <c r="AH1604" s="18"/>
      <c r="AI1604" s="47" t="s">
        <v>4336</v>
      </c>
      <c r="AJ1604" s="73" t="s">
        <v>4337</v>
      </c>
      <c r="AK1604" s="45"/>
      <c r="AL1604" s="17"/>
      <c r="AM1604" s="20" t="s">
        <v>18</v>
      </c>
      <c r="AN1604" s="19"/>
      <c r="AO1604" s="19"/>
      <c r="AP1604" s="19"/>
      <c r="AQ1604" s="19"/>
      <c r="AR1604" s="19"/>
      <c r="AS1604" s="19"/>
      <c r="AT1604" s="19"/>
      <c r="AU1604" s="19"/>
      <c r="AV1604" s="19"/>
      <c r="AW1604" s="19"/>
      <c r="AX1604" s="107"/>
      <c r="AY1604" s="107"/>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39"/>
      <c r="CO1604" s="138"/>
      <c r="CP1604" s="139"/>
      <c r="CQ1604" s="138"/>
      <c r="CR1604" s="139"/>
      <c r="CS1604" s="138"/>
      <c r="CT1604" s="72"/>
      <c r="CU1604" s="139"/>
      <c r="CV1604" s="99">
        <f t="shared" si="155"/>
        <v>0</v>
      </c>
      <c r="CW1604" s="139"/>
      <c r="CX1604" s="138"/>
      <c r="CY1604" s="138"/>
      <c r="CZ1604" s="138"/>
      <c r="DA1604" s="139"/>
      <c r="DB1604" s="138"/>
      <c r="DC1604" s="45"/>
      <c r="DD1604" s="138"/>
      <c r="DE1604" s="45"/>
      <c r="DF1604" s="46"/>
    </row>
    <row r="1605" spans="1:110" s="42" customFormat="1" ht="48" x14ac:dyDescent="0.2">
      <c r="A1605" s="89">
        <v>40724</v>
      </c>
      <c r="B1605" s="145" t="s">
        <v>4344</v>
      </c>
      <c r="C1605" s="145" t="s">
        <v>848</v>
      </c>
      <c r="D1605" s="145" t="s">
        <v>3346</v>
      </c>
      <c r="E1605" s="90" t="str">
        <f>VLOOKUP(B1605&amp;C1605,Divipola!$C$2:$F$1138,4,FALSE)</f>
        <v>25019</v>
      </c>
      <c r="F1605" s="145"/>
      <c r="G1605" s="164"/>
      <c r="H1605" s="164"/>
      <c r="I1605" s="164"/>
      <c r="J1605" s="164">
        <v>441</v>
      </c>
      <c r="K1605" s="164">
        <v>147</v>
      </c>
      <c r="L1605" s="164"/>
      <c r="M1605" s="164"/>
      <c r="N1605" s="164"/>
      <c r="O1605" s="164"/>
      <c r="P1605" s="341"/>
      <c r="Q1605" s="341"/>
      <c r="R1605" s="342"/>
      <c r="S1605" s="341"/>
      <c r="T1605" s="341"/>
      <c r="U1605" s="341"/>
      <c r="V1605" s="341">
        <v>350.17999999999995</v>
      </c>
      <c r="W1605" s="173"/>
      <c r="X1605" s="17"/>
      <c r="Y1605" s="5">
        <f t="shared" si="150"/>
        <v>0</v>
      </c>
      <c r="Z1605" s="5">
        <f t="shared" si="151"/>
        <v>0</v>
      </c>
      <c r="AA1605" s="5">
        <f t="shared" si="152"/>
        <v>0</v>
      </c>
      <c r="AB1605" s="5">
        <f t="shared" si="153"/>
        <v>0</v>
      </c>
      <c r="AC1605" s="5"/>
      <c r="AD1605" s="5">
        <v>0</v>
      </c>
      <c r="AE1605" s="5">
        <f t="shared" si="154"/>
        <v>0</v>
      </c>
      <c r="AF1605" s="70">
        <v>0</v>
      </c>
      <c r="AG1605" s="135">
        <v>40809</v>
      </c>
      <c r="AH1605" s="161"/>
      <c r="AI1605" s="135" t="s">
        <v>4336</v>
      </c>
      <c r="AJ1605" s="176" t="s">
        <v>4337</v>
      </c>
      <c r="AK1605" s="178"/>
      <c r="AL1605" s="180" t="s">
        <v>4579</v>
      </c>
      <c r="AM1605" s="182" t="s">
        <v>4580</v>
      </c>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39"/>
      <c r="CE1605" s="138"/>
      <c r="CF1605" s="139"/>
      <c r="CG1605" s="138"/>
      <c r="CH1605" s="139"/>
      <c r="CI1605" s="138"/>
      <c r="CJ1605" s="72"/>
      <c r="CK1605" s="139"/>
      <c r="CL1605" s="71"/>
      <c r="CM1605" s="139"/>
      <c r="CN1605" s="138"/>
      <c r="CO1605" s="138"/>
      <c r="CP1605" s="138"/>
      <c r="CQ1605" s="139"/>
      <c r="CR1605" s="138"/>
      <c r="CS1605" s="45"/>
      <c r="CT1605" s="138"/>
      <c r="CU1605" s="45"/>
      <c r="CV1605" s="99">
        <f t="shared" si="155"/>
        <v>0</v>
      </c>
      <c r="CW1605" s="139"/>
      <c r="CX1605" s="138"/>
      <c r="CY1605" s="138"/>
      <c r="CZ1605" s="138"/>
      <c r="DA1605" s="139"/>
      <c r="DB1605" s="138"/>
      <c r="DC1605" s="45"/>
      <c r="DD1605" s="138"/>
      <c r="DE1605" s="45"/>
      <c r="DF1605" s="46"/>
    </row>
    <row r="1606" spans="1:110" s="42" customFormat="1" ht="48" x14ac:dyDescent="0.2">
      <c r="A1606" s="89">
        <v>40724</v>
      </c>
      <c r="B1606" s="145" t="s">
        <v>4344</v>
      </c>
      <c r="C1606" s="145" t="s">
        <v>2206</v>
      </c>
      <c r="D1606" s="145" t="s">
        <v>3346</v>
      </c>
      <c r="E1606" s="90" t="str">
        <f>VLOOKUP(B1606&amp;C1606,Divipola!$C$2:$F$1138,4,FALSE)</f>
        <v>25035</v>
      </c>
      <c r="F1606" s="145"/>
      <c r="G1606" s="164"/>
      <c r="H1606" s="164"/>
      <c r="I1606" s="164"/>
      <c r="J1606" s="164">
        <v>312</v>
      </c>
      <c r="K1606" s="164">
        <v>104</v>
      </c>
      <c r="L1606" s="164"/>
      <c r="M1606" s="164"/>
      <c r="N1606" s="164"/>
      <c r="O1606" s="164"/>
      <c r="P1606" s="164"/>
      <c r="Q1606" s="164"/>
      <c r="R1606" s="164"/>
      <c r="S1606" s="164"/>
      <c r="T1606" s="164"/>
      <c r="U1606" s="164"/>
      <c r="V1606" s="164">
        <v>124.31000000000002</v>
      </c>
      <c r="W1606" s="173"/>
      <c r="X1606" s="17"/>
      <c r="Y1606" s="5">
        <f t="shared" si="150"/>
        <v>0</v>
      </c>
      <c r="Z1606" s="5">
        <f t="shared" si="151"/>
        <v>0</v>
      </c>
      <c r="AA1606" s="5">
        <f t="shared" si="152"/>
        <v>0</v>
      </c>
      <c r="AB1606" s="5">
        <f t="shared" si="153"/>
        <v>0</v>
      </c>
      <c r="AC1606" s="5"/>
      <c r="AD1606" s="5">
        <v>0</v>
      </c>
      <c r="AE1606" s="5">
        <f t="shared" si="154"/>
        <v>0</v>
      </c>
      <c r="AF1606" s="70">
        <v>0</v>
      </c>
      <c r="AG1606" s="135">
        <v>40809</v>
      </c>
      <c r="AH1606" s="161"/>
      <c r="AI1606" s="135" t="s">
        <v>4336</v>
      </c>
      <c r="AJ1606" s="176" t="s">
        <v>4337</v>
      </c>
      <c r="AK1606" s="178"/>
      <c r="AL1606" s="180" t="s">
        <v>4579</v>
      </c>
      <c r="AM1606" s="182" t="s">
        <v>4580</v>
      </c>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39"/>
      <c r="CE1606" s="138"/>
      <c r="CF1606" s="139"/>
      <c r="CG1606" s="138"/>
      <c r="CH1606" s="139"/>
      <c r="CI1606" s="138"/>
      <c r="CJ1606" s="72"/>
      <c r="CK1606" s="139"/>
      <c r="CL1606" s="71"/>
      <c r="CM1606" s="139"/>
      <c r="CN1606" s="138"/>
      <c r="CO1606" s="138"/>
      <c r="CP1606" s="138"/>
      <c r="CQ1606" s="139"/>
      <c r="CR1606" s="138"/>
      <c r="CS1606" s="45"/>
      <c r="CT1606" s="138"/>
      <c r="CU1606" s="45"/>
      <c r="CV1606" s="99">
        <f t="shared" si="155"/>
        <v>0</v>
      </c>
      <c r="CW1606" s="139"/>
      <c r="CX1606" s="138"/>
      <c r="CY1606" s="138"/>
      <c r="CZ1606" s="138"/>
      <c r="DA1606" s="139"/>
      <c r="DB1606" s="138"/>
      <c r="DC1606" s="45"/>
      <c r="DD1606" s="138"/>
      <c r="DE1606" s="45"/>
      <c r="DF1606" s="46"/>
    </row>
    <row r="1607" spans="1:110" s="42" customFormat="1" x14ac:dyDescent="0.2">
      <c r="A1607" s="89">
        <v>40724</v>
      </c>
      <c r="B1607" s="16" t="s">
        <v>4344</v>
      </c>
      <c r="C1607" s="16" t="s">
        <v>838</v>
      </c>
      <c r="D1607" s="90" t="s">
        <v>4264</v>
      </c>
      <c r="E1607" s="90" t="str">
        <f>VLOOKUP(B1607&amp;C1607,Divipola!$C$2:$F$1138,4,FALSE)</f>
        <v>25040</v>
      </c>
      <c r="F1607" s="4"/>
      <c r="G1607" s="208"/>
      <c r="H1607" s="208"/>
      <c r="I1607" s="208"/>
      <c r="J1607" s="208">
        <v>425</v>
      </c>
      <c r="K1607" s="208">
        <v>121</v>
      </c>
      <c r="L1607" s="208"/>
      <c r="M1607" s="208">
        <v>121</v>
      </c>
      <c r="N1607" s="208"/>
      <c r="O1607" s="208"/>
      <c r="P1607" s="208"/>
      <c r="Q1607" s="208"/>
      <c r="R1607" s="208"/>
      <c r="S1607" s="208"/>
      <c r="T1607" s="208"/>
      <c r="U1607" s="208"/>
      <c r="V1607" s="208"/>
      <c r="W1607" s="19"/>
      <c r="X1607" s="17"/>
      <c r="Y1607" s="5">
        <f t="shared" si="150"/>
        <v>0</v>
      </c>
      <c r="Z1607" s="5">
        <f t="shared" si="151"/>
        <v>0</v>
      </c>
      <c r="AA1607" s="5">
        <f t="shared" si="152"/>
        <v>0</v>
      </c>
      <c r="AB1607" s="5">
        <f t="shared" si="153"/>
        <v>0</v>
      </c>
      <c r="AC1607" s="5"/>
      <c r="AD1607" s="5">
        <v>0</v>
      </c>
      <c r="AE1607" s="5">
        <f t="shared" si="154"/>
        <v>0</v>
      </c>
      <c r="AF1607" s="70">
        <v>0</v>
      </c>
      <c r="AG1607" s="17"/>
      <c r="AH1607" s="18"/>
      <c r="AI1607" s="47" t="s">
        <v>4336</v>
      </c>
      <c r="AJ1607" s="73" t="s">
        <v>4337</v>
      </c>
      <c r="AK1607" s="45"/>
      <c r="AL1607" s="17"/>
      <c r="AM1607" s="20" t="s">
        <v>18</v>
      </c>
      <c r="AN1607" s="19"/>
      <c r="AO1607" s="19"/>
      <c r="AP1607" s="19"/>
      <c r="AQ1607" s="19"/>
      <c r="AR1607" s="19"/>
      <c r="AS1607" s="19"/>
      <c r="AT1607" s="19"/>
      <c r="AU1607" s="19"/>
      <c r="AV1607" s="19"/>
      <c r="AW1607" s="19"/>
      <c r="AX1607" s="107"/>
      <c r="AY1607" s="107"/>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39"/>
      <c r="CO1607" s="138"/>
      <c r="CP1607" s="139"/>
      <c r="CQ1607" s="138"/>
      <c r="CR1607" s="139"/>
      <c r="CS1607" s="138"/>
      <c r="CT1607" s="72"/>
      <c r="CU1607" s="139"/>
      <c r="CV1607" s="99">
        <f t="shared" si="155"/>
        <v>0</v>
      </c>
      <c r="CW1607" s="139"/>
      <c r="CX1607" s="138"/>
      <c r="CY1607" s="138"/>
      <c r="CZ1607" s="138"/>
      <c r="DA1607" s="139"/>
      <c r="DB1607" s="138"/>
      <c r="DC1607" s="45"/>
      <c r="DD1607" s="138"/>
      <c r="DE1607" s="45"/>
      <c r="DF1607" s="46"/>
    </row>
    <row r="1608" spans="1:110" s="42" customFormat="1" ht="48" x14ac:dyDescent="0.2">
      <c r="A1608" s="89">
        <v>40724</v>
      </c>
      <c r="B1608" s="145" t="s">
        <v>4344</v>
      </c>
      <c r="C1608" s="145" t="s">
        <v>838</v>
      </c>
      <c r="D1608" s="145" t="s">
        <v>3346</v>
      </c>
      <c r="E1608" s="90" t="str">
        <f>VLOOKUP(B1608&amp;C1608,Divipola!$C$2:$F$1138,4,FALSE)</f>
        <v>25040</v>
      </c>
      <c r="F1608" s="145"/>
      <c r="G1608" s="164"/>
      <c r="H1608" s="164"/>
      <c r="I1608" s="164"/>
      <c r="J1608" s="164">
        <v>306</v>
      </c>
      <c r="K1608" s="164">
        <v>102</v>
      </c>
      <c r="L1608" s="164"/>
      <c r="M1608" s="164"/>
      <c r="N1608" s="164"/>
      <c r="O1608" s="164"/>
      <c r="P1608" s="164"/>
      <c r="Q1608" s="164"/>
      <c r="R1608" s="164"/>
      <c r="S1608" s="164"/>
      <c r="T1608" s="164"/>
      <c r="U1608" s="164"/>
      <c r="V1608" s="164">
        <v>105.79999999999998</v>
      </c>
      <c r="W1608" s="173"/>
      <c r="X1608" s="17"/>
      <c r="Y1608" s="5">
        <f t="shared" si="150"/>
        <v>0</v>
      </c>
      <c r="Z1608" s="5">
        <f t="shared" si="151"/>
        <v>0</v>
      </c>
      <c r="AA1608" s="5">
        <f t="shared" si="152"/>
        <v>0</v>
      </c>
      <c r="AB1608" s="5">
        <f t="shared" si="153"/>
        <v>0</v>
      </c>
      <c r="AC1608" s="5"/>
      <c r="AD1608" s="5">
        <v>0</v>
      </c>
      <c r="AE1608" s="5">
        <f t="shared" si="154"/>
        <v>0</v>
      </c>
      <c r="AF1608" s="70">
        <v>0</v>
      </c>
      <c r="AG1608" s="135">
        <v>40809</v>
      </c>
      <c r="AH1608" s="161"/>
      <c r="AI1608" s="135" t="s">
        <v>4336</v>
      </c>
      <c r="AJ1608" s="176" t="s">
        <v>4337</v>
      </c>
      <c r="AK1608" s="178"/>
      <c r="AL1608" s="180" t="s">
        <v>4579</v>
      </c>
      <c r="AM1608" s="182" t="s">
        <v>4580</v>
      </c>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39"/>
      <c r="CE1608" s="138"/>
      <c r="CF1608" s="139"/>
      <c r="CG1608" s="138"/>
      <c r="CH1608" s="139"/>
      <c r="CI1608" s="138"/>
      <c r="CJ1608" s="72"/>
      <c r="CK1608" s="139"/>
      <c r="CL1608" s="71"/>
      <c r="CM1608" s="139"/>
      <c r="CN1608" s="138"/>
      <c r="CO1608" s="138"/>
      <c r="CP1608" s="138"/>
      <c r="CQ1608" s="139"/>
      <c r="CR1608" s="138"/>
      <c r="CS1608" s="45"/>
      <c r="CT1608" s="138"/>
      <c r="CU1608" s="45"/>
      <c r="CV1608" s="99">
        <f t="shared" si="155"/>
        <v>0</v>
      </c>
      <c r="CW1608" s="139"/>
      <c r="CX1608" s="138"/>
      <c r="CY1608" s="138"/>
      <c r="CZ1608" s="138"/>
      <c r="DA1608" s="139"/>
      <c r="DB1608" s="138"/>
      <c r="DC1608" s="45"/>
      <c r="DD1608" s="138"/>
      <c r="DE1608" s="45"/>
      <c r="DF1608" s="46"/>
    </row>
    <row r="1609" spans="1:110" s="42" customFormat="1" x14ac:dyDescent="0.2">
      <c r="A1609" s="89">
        <v>40724</v>
      </c>
      <c r="B1609" s="16" t="s">
        <v>4344</v>
      </c>
      <c r="C1609" s="16" t="s">
        <v>4224</v>
      </c>
      <c r="D1609" s="90" t="s">
        <v>4264</v>
      </c>
      <c r="E1609" s="90" t="str">
        <f>VLOOKUP(B1609&amp;C1609,Divipola!$C$2:$F$1138,4,FALSE)</f>
        <v>25599</v>
      </c>
      <c r="F1609" s="4"/>
      <c r="G1609" s="208"/>
      <c r="H1609" s="208"/>
      <c r="I1609" s="208"/>
      <c r="J1609" s="208">
        <v>62</v>
      </c>
      <c r="K1609" s="208">
        <v>30</v>
      </c>
      <c r="L1609" s="208"/>
      <c r="M1609" s="208">
        <v>30</v>
      </c>
      <c r="N1609" s="208"/>
      <c r="O1609" s="208"/>
      <c r="P1609" s="208"/>
      <c r="Q1609" s="208"/>
      <c r="R1609" s="208"/>
      <c r="S1609" s="208"/>
      <c r="T1609" s="208"/>
      <c r="U1609" s="208"/>
      <c r="V1609" s="208"/>
      <c r="W1609" s="19"/>
      <c r="X1609" s="17"/>
      <c r="Y1609" s="5">
        <f t="shared" si="150"/>
        <v>0</v>
      </c>
      <c r="Z1609" s="5">
        <f t="shared" si="151"/>
        <v>0</v>
      </c>
      <c r="AA1609" s="5">
        <f t="shared" si="152"/>
        <v>0</v>
      </c>
      <c r="AB1609" s="5">
        <f t="shared" si="153"/>
        <v>0</v>
      </c>
      <c r="AC1609" s="5"/>
      <c r="AD1609" s="5">
        <v>0</v>
      </c>
      <c r="AE1609" s="5">
        <f t="shared" si="154"/>
        <v>0</v>
      </c>
      <c r="AF1609" s="70">
        <v>0</v>
      </c>
      <c r="AG1609" s="17"/>
      <c r="AH1609" s="18"/>
      <c r="AI1609" s="47" t="s">
        <v>4336</v>
      </c>
      <c r="AJ1609" s="73" t="s">
        <v>4337</v>
      </c>
      <c r="AK1609" s="45"/>
      <c r="AL1609" s="17"/>
      <c r="AM1609" s="20" t="s">
        <v>18</v>
      </c>
      <c r="AN1609" s="19"/>
      <c r="AO1609" s="19"/>
      <c r="AP1609" s="19"/>
      <c r="AQ1609" s="19"/>
      <c r="AR1609" s="19"/>
      <c r="AS1609" s="19"/>
      <c r="AT1609" s="19"/>
      <c r="AU1609" s="19"/>
      <c r="AV1609" s="19"/>
      <c r="AW1609" s="19"/>
      <c r="AX1609" s="107"/>
      <c r="AY1609" s="107"/>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39"/>
      <c r="CO1609" s="138"/>
      <c r="CP1609" s="139"/>
      <c r="CQ1609" s="138"/>
      <c r="CR1609" s="139"/>
      <c r="CS1609" s="138"/>
      <c r="CT1609" s="72"/>
      <c r="CU1609" s="139"/>
      <c r="CV1609" s="99">
        <f t="shared" si="155"/>
        <v>0</v>
      </c>
      <c r="CW1609" s="139"/>
      <c r="CX1609" s="138"/>
      <c r="CY1609" s="138"/>
      <c r="CZ1609" s="138"/>
      <c r="DA1609" s="139"/>
      <c r="DB1609" s="138"/>
      <c r="DC1609" s="45"/>
      <c r="DD1609" s="138"/>
      <c r="DE1609" s="45"/>
      <c r="DF1609" s="46"/>
    </row>
    <row r="1610" spans="1:110" s="42" customFormat="1" ht="48" x14ac:dyDescent="0.2">
      <c r="A1610" s="89">
        <v>40724</v>
      </c>
      <c r="B1610" s="145" t="s">
        <v>4344</v>
      </c>
      <c r="C1610" s="145" t="s">
        <v>4224</v>
      </c>
      <c r="D1610" s="145" t="s">
        <v>3346</v>
      </c>
      <c r="E1610" s="90" t="str">
        <f>VLOOKUP(B1610&amp;C1610,Divipola!$C$2:$F$1138,4,FALSE)</f>
        <v>25599</v>
      </c>
      <c r="F1610" s="145"/>
      <c r="G1610" s="164"/>
      <c r="H1610" s="164"/>
      <c r="I1610" s="164"/>
      <c r="J1610" s="164">
        <v>186</v>
      </c>
      <c r="K1610" s="164">
        <v>62</v>
      </c>
      <c r="L1610" s="164"/>
      <c r="M1610" s="164"/>
      <c r="N1610" s="164"/>
      <c r="O1610" s="164"/>
      <c r="P1610" s="164"/>
      <c r="Q1610" s="164"/>
      <c r="R1610" s="164"/>
      <c r="S1610" s="164"/>
      <c r="T1610" s="164"/>
      <c r="U1610" s="164"/>
      <c r="V1610" s="164">
        <v>67.800000000000026</v>
      </c>
      <c r="W1610" s="173"/>
      <c r="X1610" s="17"/>
      <c r="Y1610" s="5">
        <f t="shared" si="150"/>
        <v>0</v>
      </c>
      <c r="Z1610" s="5">
        <f t="shared" si="151"/>
        <v>0</v>
      </c>
      <c r="AA1610" s="5">
        <f t="shared" si="152"/>
        <v>0</v>
      </c>
      <c r="AB1610" s="5">
        <f t="shared" si="153"/>
        <v>0</v>
      </c>
      <c r="AC1610" s="5"/>
      <c r="AD1610" s="5">
        <v>0</v>
      </c>
      <c r="AE1610" s="5">
        <f t="shared" si="154"/>
        <v>0</v>
      </c>
      <c r="AF1610" s="70">
        <v>0</v>
      </c>
      <c r="AG1610" s="135">
        <v>40809</v>
      </c>
      <c r="AH1610" s="161"/>
      <c r="AI1610" s="135" t="s">
        <v>4336</v>
      </c>
      <c r="AJ1610" s="176" t="s">
        <v>4337</v>
      </c>
      <c r="AK1610" s="178"/>
      <c r="AL1610" s="180" t="s">
        <v>4579</v>
      </c>
      <c r="AM1610" s="182" t="s">
        <v>4580</v>
      </c>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39"/>
      <c r="CE1610" s="138"/>
      <c r="CF1610" s="139"/>
      <c r="CG1610" s="138"/>
      <c r="CH1610" s="139"/>
      <c r="CI1610" s="138"/>
      <c r="CJ1610" s="72"/>
      <c r="CK1610" s="139"/>
      <c r="CL1610" s="71"/>
      <c r="CM1610" s="139"/>
      <c r="CN1610" s="138"/>
      <c r="CO1610" s="138"/>
      <c r="CP1610" s="138"/>
      <c r="CQ1610" s="139"/>
      <c r="CR1610" s="138"/>
      <c r="CS1610" s="45"/>
      <c r="CT1610" s="138"/>
      <c r="CU1610" s="45"/>
      <c r="CV1610" s="99">
        <f t="shared" si="155"/>
        <v>0</v>
      </c>
      <c r="CW1610" s="139"/>
      <c r="CX1610" s="138"/>
      <c r="CY1610" s="138"/>
      <c r="CZ1610" s="138"/>
      <c r="DA1610" s="139"/>
      <c r="DB1610" s="138"/>
      <c r="DC1610" s="45"/>
      <c r="DD1610" s="138"/>
      <c r="DE1610" s="45"/>
      <c r="DF1610" s="46"/>
    </row>
    <row r="1611" spans="1:110" s="42" customFormat="1" x14ac:dyDescent="0.2">
      <c r="A1611" s="89">
        <v>40724</v>
      </c>
      <c r="B1611" s="16" t="s">
        <v>4344</v>
      </c>
      <c r="C1611" s="16" t="s">
        <v>4508</v>
      </c>
      <c r="D1611" s="90" t="s">
        <v>4264</v>
      </c>
      <c r="E1611" s="90" t="str">
        <f>VLOOKUP(B1611&amp;C1611,Divipola!$C$2:$F$1138,4,FALSE)</f>
        <v>25053</v>
      </c>
      <c r="F1611" s="4"/>
      <c r="G1611" s="208"/>
      <c r="H1611" s="208"/>
      <c r="I1611" s="208"/>
      <c r="J1611" s="208">
        <v>423</v>
      </c>
      <c r="K1611" s="208">
        <v>90</v>
      </c>
      <c r="L1611" s="208"/>
      <c r="M1611" s="208">
        <v>90</v>
      </c>
      <c r="N1611" s="208"/>
      <c r="O1611" s="208"/>
      <c r="P1611" s="208"/>
      <c r="Q1611" s="208"/>
      <c r="R1611" s="208"/>
      <c r="S1611" s="208"/>
      <c r="T1611" s="208"/>
      <c r="U1611" s="208"/>
      <c r="V1611" s="208"/>
      <c r="W1611" s="19"/>
      <c r="X1611" s="17"/>
      <c r="Y1611" s="5">
        <f t="shared" si="150"/>
        <v>0</v>
      </c>
      <c r="Z1611" s="5">
        <f t="shared" si="151"/>
        <v>0</v>
      </c>
      <c r="AA1611" s="5">
        <f t="shared" si="152"/>
        <v>0</v>
      </c>
      <c r="AB1611" s="5">
        <f t="shared" si="153"/>
        <v>0</v>
      </c>
      <c r="AC1611" s="5"/>
      <c r="AD1611" s="5">
        <v>0</v>
      </c>
      <c r="AE1611" s="5">
        <f t="shared" si="154"/>
        <v>0</v>
      </c>
      <c r="AF1611" s="70">
        <v>0</v>
      </c>
      <c r="AG1611" s="17"/>
      <c r="AH1611" s="18"/>
      <c r="AI1611" s="47" t="s">
        <v>4336</v>
      </c>
      <c r="AJ1611" s="73" t="s">
        <v>4337</v>
      </c>
      <c r="AK1611" s="45"/>
      <c r="AL1611" s="17"/>
      <c r="AM1611" s="20" t="s">
        <v>18</v>
      </c>
      <c r="AN1611" s="19"/>
      <c r="AO1611" s="19"/>
      <c r="AP1611" s="19"/>
      <c r="AQ1611" s="19"/>
      <c r="AR1611" s="19"/>
      <c r="AS1611" s="19"/>
      <c r="AT1611" s="19"/>
      <c r="AU1611" s="19"/>
      <c r="AV1611" s="19"/>
      <c r="AW1611" s="19"/>
      <c r="AX1611" s="107"/>
      <c r="AY1611" s="107"/>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39"/>
      <c r="CO1611" s="138"/>
      <c r="CP1611" s="139"/>
      <c r="CQ1611" s="138"/>
      <c r="CR1611" s="139"/>
      <c r="CS1611" s="138"/>
      <c r="CT1611" s="72"/>
      <c r="CU1611" s="139"/>
      <c r="CV1611" s="99">
        <f t="shared" si="155"/>
        <v>0</v>
      </c>
      <c r="CW1611" s="139"/>
      <c r="CX1611" s="138"/>
      <c r="CY1611" s="138"/>
      <c r="CZ1611" s="138"/>
      <c r="DA1611" s="139"/>
      <c r="DB1611" s="138"/>
      <c r="DC1611" s="45"/>
      <c r="DD1611" s="138"/>
      <c r="DE1611" s="45"/>
      <c r="DF1611" s="46"/>
    </row>
    <row r="1612" spans="1:110" s="42" customFormat="1" ht="48" x14ac:dyDescent="0.2">
      <c r="A1612" s="89">
        <v>40724</v>
      </c>
      <c r="B1612" s="145" t="s">
        <v>4344</v>
      </c>
      <c r="C1612" s="145" t="s">
        <v>4508</v>
      </c>
      <c r="D1612" s="145" t="s">
        <v>3346</v>
      </c>
      <c r="E1612" s="90" t="str">
        <f>VLOOKUP(B1612&amp;C1612,Divipola!$C$2:$F$1138,4,FALSE)</f>
        <v>25053</v>
      </c>
      <c r="F1612" s="145"/>
      <c r="G1612" s="164"/>
      <c r="H1612" s="164"/>
      <c r="I1612" s="164"/>
      <c r="J1612" s="164">
        <v>150</v>
      </c>
      <c r="K1612" s="164">
        <v>50</v>
      </c>
      <c r="L1612" s="164"/>
      <c r="M1612" s="164"/>
      <c r="N1612" s="164"/>
      <c r="O1612" s="164"/>
      <c r="P1612" s="164"/>
      <c r="Q1612" s="164"/>
      <c r="R1612" s="164"/>
      <c r="S1612" s="164"/>
      <c r="T1612" s="164"/>
      <c r="U1612" s="164"/>
      <c r="V1612" s="164">
        <v>74.300000000000011</v>
      </c>
      <c r="W1612" s="173"/>
      <c r="X1612" s="17"/>
      <c r="Y1612" s="5">
        <f t="shared" si="150"/>
        <v>0</v>
      </c>
      <c r="Z1612" s="5">
        <f t="shared" si="151"/>
        <v>0</v>
      </c>
      <c r="AA1612" s="5">
        <f t="shared" si="152"/>
        <v>0</v>
      </c>
      <c r="AB1612" s="5">
        <f t="shared" si="153"/>
        <v>0</v>
      </c>
      <c r="AC1612" s="5"/>
      <c r="AD1612" s="5">
        <v>0</v>
      </c>
      <c r="AE1612" s="5">
        <f t="shared" si="154"/>
        <v>0</v>
      </c>
      <c r="AF1612" s="70">
        <v>0</v>
      </c>
      <c r="AG1612" s="135">
        <v>40809</v>
      </c>
      <c r="AH1612" s="161"/>
      <c r="AI1612" s="135" t="s">
        <v>4336</v>
      </c>
      <c r="AJ1612" s="176" t="s">
        <v>4337</v>
      </c>
      <c r="AK1612" s="178"/>
      <c r="AL1612" s="180" t="s">
        <v>4579</v>
      </c>
      <c r="AM1612" s="182" t="s">
        <v>4580</v>
      </c>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39"/>
      <c r="CE1612" s="138"/>
      <c r="CF1612" s="139"/>
      <c r="CG1612" s="138"/>
      <c r="CH1612" s="139"/>
      <c r="CI1612" s="138"/>
      <c r="CJ1612" s="72"/>
      <c r="CK1612" s="139"/>
      <c r="CL1612" s="71"/>
      <c r="CM1612" s="139"/>
      <c r="CN1612" s="138"/>
      <c r="CO1612" s="138"/>
      <c r="CP1612" s="138"/>
      <c r="CQ1612" s="139"/>
      <c r="CR1612" s="138"/>
      <c r="CS1612" s="45"/>
      <c r="CT1612" s="138"/>
      <c r="CU1612" s="45"/>
      <c r="CV1612" s="99">
        <f t="shared" si="155"/>
        <v>0</v>
      </c>
      <c r="CW1612" s="139"/>
      <c r="CX1612" s="138"/>
      <c r="CY1612" s="138"/>
      <c r="CZ1612" s="138"/>
      <c r="DA1612" s="139"/>
      <c r="DB1612" s="138"/>
      <c r="DC1612" s="45"/>
      <c r="DD1612" s="138"/>
      <c r="DE1612" s="45"/>
      <c r="DF1612" s="46"/>
    </row>
    <row r="1613" spans="1:110" s="42" customFormat="1" ht="48" x14ac:dyDescent="0.2">
      <c r="A1613" s="89">
        <v>40724</v>
      </c>
      <c r="B1613" s="145" t="s">
        <v>4344</v>
      </c>
      <c r="C1613" s="145" t="s">
        <v>4509</v>
      </c>
      <c r="D1613" s="145" t="s">
        <v>3346</v>
      </c>
      <c r="E1613" s="90" t="str">
        <f>VLOOKUP(B1613&amp;C1613,Divipola!$C$2:$F$1138,4,FALSE)</f>
        <v>25086</v>
      </c>
      <c r="F1613" s="145"/>
      <c r="G1613" s="164"/>
      <c r="H1613" s="164"/>
      <c r="I1613" s="164"/>
      <c r="J1613" s="164">
        <v>603</v>
      </c>
      <c r="K1613" s="164">
        <v>201</v>
      </c>
      <c r="L1613" s="164"/>
      <c r="M1613" s="164"/>
      <c r="N1613" s="164"/>
      <c r="O1613" s="164"/>
      <c r="P1613" s="164"/>
      <c r="Q1613" s="164"/>
      <c r="R1613" s="164"/>
      <c r="S1613" s="164"/>
      <c r="T1613" s="164"/>
      <c r="U1613" s="164"/>
      <c r="V1613" s="164">
        <v>550</v>
      </c>
      <c r="W1613" s="173"/>
      <c r="X1613" s="17"/>
      <c r="Y1613" s="5">
        <f t="shared" si="150"/>
        <v>0</v>
      </c>
      <c r="Z1613" s="5">
        <f t="shared" si="151"/>
        <v>0</v>
      </c>
      <c r="AA1613" s="5">
        <f t="shared" si="152"/>
        <v>0</v>
      </c>
      <c r="AB1613" s="5">
        <f t="shared" si="153"/>
        <v>0</v>
      </c>
      <c r="AC1613" s="5"/>
      <c r="AD1613" s="5">
        <v>0</v>
      </c>
      <c r="AE1613" s="5">
        <f t="shared" si="154"/>
        <v>0</v>
      </c>
      <c r="AF1613" s="70">
        <v>0</v>
      </c>
      <c r="AG1613" s="135">
        <v>40809</v>
      </c>
      <c r="AH1613" s="161"/>
      <c r="AI1613" s="135" t="s">
        <v>4336</v>
      </c>
      <c r="AJ1613" s="176" t="s">
        <v>4337</v>
      </c>
      <c r="AK1613" s="178"/>
      <c r="AL1613" s="180" t="s">
        <v>4579</v>
      </c>
      <c r="AM1613" s="182" t="s">
        <v>4580</v>
      </c>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39"/>
      <c r="CE1613" s="138"/>
      <c r="CF1613" s="139"/>
      <c r="CG1613" s="138"/>
      <c r="CH1613" s="139"/>
      <c r="CI1613" s="138"/>
      <c r="CJ1613" s="72"/>
      <c r="CK1613" s="139"/>
      <c r="CL1613" s="71"/>
      <c r="CM1613" s="139"/>
      <c r="CN1613" s="138"/>
      <c r="CO1613" s="138"/>
      <c r="CP1613" s="138"/>
      <c r="CQ1613" s="139"/>
      <c r="CR1613" s="138"/>
      <c r="CS1613" s="45"/>
      <c r="CT1613" s="138"/>
      <c r="CU1613" s="45"/>
      <c r="CV1613" s="99">
        <f t="shared" si="155"/>
        <v>0</v>
      </c>
      <c r="CW1613" s="139"/>
      <c r="CX1613" s="138"/>
      <c r="CY1613" s="138"/>
      <c r="CZ1613" s="138"/>
      <c r="DA1613" s="139"/>
      <c r="DB1613" s="138"/>
      <c r="DC1613" s="45"/>
      <c r="DD1613" s="138"/>
      <c r="DE1613" s="45"/>
      <c r="DF1613" s="46"/>
    </row>
    <row r="1614" spans="1:110" s="42" customFormat="1" x14ac:dyDescent="0.2">
      <c r="A1614" s="89">
        <v>40724</v>
      </c>
      <c r="B1614" s="16" t="s">
        <v>4344</v>
      </c>
      <c r="C1614" s="16" t="s">
        <v>2207</v>
      </c>
      <c r="D1614" s="90" t="s">
        <v>4264</v>
      </c>
      <c r="E1614" s="90" t="str">
        <f>VLOOKUP(B1614&amp;C1614,Divipola!$C$2:$F$1138,4,FALSE)</f>
        <v>25095</v>
      </c>
      <c r="F1614" s="4"/>
      <c r="G1614" s="208"/>
      <c r="H1614" s="208"/>
      <c r="I1614" s="208"/>
      <c r="J1614" s="208">
        <v>160</v>
      </c>
      <c r="K1614" s="208">
        <v>67</v>
      </c>
      <c r="L1614" s="208"/>
      <c r="M1614" s="208">
        <v>67</v>
      </c>
      <c r="N1614" s="208"/>
      <c r="O1614" s="208"/>
      <c r="P1614" s="208"/>
      <c r="Q1614" s="208"/>
      <c r="R1614" s="208"/>
      <c r="S1614" s="208"/>
      <c r="T1614" s="208"/>
      <c r="U1614" s="208"/>
      <c r="V1614" s="208"/>
      <c r="W1614" s="19"/>
      <c r="X1614" s="17"/>
      <c r="Y1614" s="5">
        <f t="shared" si="150"/>
        <v>0</v>
      </c>
      <c r="Z1614" s="5">
        <f t="shared" si="151"/>
        <v>0</v>
      </c>
      <c r="AA1614" s="5">
        <f t="shared" si="152"/>
        <v>0</v>
      </c>
      <c r="AB1614" s="5">
        <f t="shared" si="153"/>
        <v>0</v>
      </c>
      <c r="AC1614" s="5"/>
      <c r="AD1614" s="5">
        <v>0</v>
      </c>
      <c r="AE1614" s="5">
        <f t="shared" si="154"/>
        <v>0</v>
      </c>
      <c r="AF1614" s="70">
        <v>0</v>
      </c>
      <c r="AG1614" s="17"/>
      <c r="AH1614" s="18"/>
      <c r="AI1614" s="47" t="s">
        <v>4336</v>
      </c>
      <c r="AJ1614" s="73" t="s">
        <v>4337</v>
      </c>
      <c r="AK1614" s="45"/>
      <c r="AL1614" s="17"/>
      <c r="AM1614" s="20" t="s">
        <v>18</v>
      </c>
      <c r="AN1614" s="19"/>
      <c r="AO1614" s="19"/>
      <c r="AP1614" s="19"/>
      <c r="AQ1614" s="19"/>
      <c r="AR1614" s="19"/>
      <c r="AS1614" s="19"/>
      <c r="AT1614" s="19"/>
      <c r="AU1614" s="19"/>
      <c r="AV1614" s="19"/>
      <c r="AW1614" s="19"/>
      <c r="AX1614" s="107"/>
      <c r="AY1614" s="107"/>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39"/>
      <c r="CO1614" s="138"/>
      <c r="CP1614" s="139"/>
      <c r="CQ1614" s="138"/>
      <c r="CR1614" s="139"/>
      <c r="CS1614" s="138"/>
      <c r="CT1614" s="72"/>
      <c r="CU1614" s="139"/>
      <c r="CV1614" s="99">
        <f t="shared" si="155"/>
        <v>0</v>
      </c>
      <c r="CW1614" s="139"/>
      <c r="CX1614" s="138"/>
      <c r="CY1614" s="138"/>
      <c r="CZ1614" s="138"/>
      <c r="DA1614" s="139"/>
      <c r="DB1614" s="138"/>
      <c r="DC1614" s="45"/>
      <c r="DD1614" s="138"/>
      <c r="DE1614" s="45"/>
      <c r="DF1614" s="46"/>
    </row>
    <row r="1615" spans="1:110" s="42" customFormat="1" ht="48" x14ac:dyDescent="0.2">
      <c r="A1615" s="89">
        <v>40724</v>
      </c>
      <c r="B1615" s="145" t="s">
        <v>4344</v>
      </c>
      <c r="C1615" s="145" t="s">
        <v>2207</v>
      </c>
      <c r="D1615" s="145" t="s">
        <v>3346</v>
      </c>
      <c r="E1615" s="90" t="str">
        <f>VLOOKUP(B1615&amp;C1615,Divipola!$C$2:$F$1138,4,FALSE)</f>
        <v>25095</v>
      </c>
      <c r="F1615" s="145"/>
      <c r="G1615" s="164"/>
      <c r="H1615" s="164"/>
      <c r="I1615" s="164"/>
      <c r="J1615" s="164">
        <v>150</v>
      </c>
      <c r="K1615" s="164">
        <v>50</v>
      </c>
      <c r="L1615" s="164"/>
      <c r="M1615" s="164"/>
      <c r="N1615" s="164"/>
      <c r="O1615" s="164"/>
      <c r="P1615" s="164"/>
      <c r="Q1615" s="164"/>
      <c r="R1615" s="164"/>
      <c r="S1615" s="164"/>
      <c r="T1615" s="164"/>
      <c r="U1615" s="164"/>
      <c r="V1615" s="164">
        <v>55.5</v>
      </c>
      <c r="W1615" s="173"/>
      <c r="X1615" s="17"/>
      <c r="Y1615" s="5">
        <f t="shared" si="150"/>
        <v>0</v>
      </c>
      <c r="Z1615" s="5">
        <f t="shared" si="151"/>
        <v>0</v>
      </c>
      <c r="AA1615" s="5">
        <f t="shared" si="152"/>
        <v>0</v>
      </c>
      <c r="AB1615" s="5">
        <f t="shared" si="153"/>
        <v>0</v>
      </c>
      <c r="AC1615" s="5"/>
      <c r="AD1615" s="5">
        <v>0</v>
      </c>
      <c r="AE1615" s="5">
        <f t="shared" si="154"/>
        <v>0</v>
      </c>
      <c r="AF1615" s="70">
        <v>0</v>
      </c>
      <c r="AG1615" s="135">
        <v>40809</v>
      </c>
      <c r="AH1615" s="161"/>
      <c r="AI1615" s="135" t="s">
        <v>4336</v>
      </c>
      <c r="AJ1615" s="176" t="s">
        <v>4337</v>
      </c>
      <c r="AK1615" s="178"/>
      <c r="AL1615" s="180" t="s">
        <v>4579</v>
      </c>
      <c r="AM1615" s="182" t="s">
        <v>4580</v>
      </c>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39"/>
      <c r="CE1615" s="138"/>
      <c r="CF1615" s="139"/>
      <c r="CG1615" s="138"/>
      <c r="CH1615" s="139"/>
      <c r="CI1615" s="138"/>
      <c r="CJ1615" s="72"/>
      <c r="CK1615" s="139"/>
      <c r="CL1615" s="71"/>
      <c r="CM1615" s="139"/>
      <c r="CN1615" s="138"/>
      <c r="CO1615" s="138"/>
      <c r="CP1615" s="138"/>
      <c r="CQ1615" s="139"/>
      <c r="CR1615" s="138"/>
      <c r="CS1615" s="45"/>
      <c r="CT1615" s="138"/>
      <c r="CU1615" s="45"/>
      <c r="CV1615" s="99">
        <f t="shared" si="155"/>
        <v>0</v>
      </c>
      <c r="CW1615" s="139"/>
      <c r="CX1615" s="138"/>
      <c r="CY1615" s="138"/>
      <c r="CZ1615" s="138"/>
      <c r="DA1615" s="139"/>
      <c r="DB1615" s="138"/>
      <c r="DC1615" s="45"/>
      <c r="DD1615" s="138"/>
      <c r="DE1615" s="45"/>
      <c r="DF1615" s="46"/>
    </row>
    <row r="1616" spans="1:110" s="42" customFormat="1" ht="48" x14ac:dyDescent="0.2">
      <c r="A1616" s="89">
        <v>40724</v>
      </c>
      <c r="B1616" s="145" t="s">
        <v>4344</v>
      </c>
      <c r="C1616" s="145" t="s">
        <v>4510</v>
      </c>
      <c r="D1616" s="145" t="s">
        <v>3346</v>
      </c>
      <c r="E1616" s="90" t="str">
        <f>VLOOKUP(B1616&amp;C1616,Divipola!$C$2:$F$1138,4,FALSE)</f>
        <v>25099</v>
      </c>
      <c r="F1616" s="145"/>
      <c r="G1616" s="164"/>
      <c r="H1616" s="164"/>
      <c r="I1616" s="164"/>
      <c r="J1616" s="164">
        <v>54</v>
      </c>
      <c r="K1616" s="164">
        <v>18</v>
      </c>
      <c r="L1616" s="164"/>
      <c r="M1616" s="164"/>
      <c r="N1616" s="164"/>
      <c r="O1616" s="164"/>
      <c r="P1616" s="164"/>
      <c r="Q1616" s="164"/>
      <c r="R1616" s="164"/>
      <c r="S1616" s="164"/>
      <c r="T1616" s="164"/>
      <c r="U1616" s="164"/>
      <c r="V1616" s="164">
        <v>514.45000000000005</v>
      </c>
      <c r="W1616" s="173"/>
      <c r="X1616" s="17"/>
      <c r="Y1616" s="5">
        <f t="shared" si="150"/>
        <v>0</v>
      </c>
      <c r="Z1616" s="5">
        <f t="shared" si="151"/>
        <v>0</v>
      </c>
      <c r="AA1616" s="5">
        <f t="shared" si="152"/>
        <v>0</v>
      </c>
      <c r="AB1616" s="5">
        <f t="shared" si="153"/>
        <v>0</v>
      </c>
      <c r="AC1616" s="5"/>
      <c r="AD1616" s="5">
        <v>0</v>
      </c>
      <c r="AE1616" s="5">
        <f t="shared" si="154"/>
        <v>0</v>
      </c>
      <c r="AF1616" s="70">
        <v>0</v>
      </c>
      <c r="AG1616" s="135">
        <v>40809</v>
      </c>
      <c r="AH1616" s="161"/>
      <c r="AI1616" s="135" t="s">
        <v>4336</v>
      </c>
      <c r="AJ1616" s="176" t="s">
        <v>4337</v>
      </c>
      <c r="AK1616" s="178"/>
      <c r="AL1616" s="180" t="s">
        <v>4579</v>
      </c>
      <c r="AM1616" s="182" t="s">
        <v>4580</v>
      </c>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39"/>
      <c r="CE1616" s="138"/>
      <c r="CF1616" s="139"/>
      <c r="CG1616" s="138"/>
      <c r="CH1616" s="139"/>
      <c r="CI1616" s="138"/>
      <c r="CJ1616" s="72"/>
      <c r="CK1616" s="139"/>
      <c r="CL1616" s="71"/>
      <c r="CM1616" s="139"/>
      <c r="CN1616" s="138"/>
      <c r="CO1616" s="138"/>
      <c r="CP1616" s="138"/>
      <c r="CQ1616" s="139"/>
      <c r="CR1616" s="138"/>
      <c r="CS1616" s="45"/>
      <c r="CT1616" s="138"/>
      <c r="CU1616" s="45"/>
      <c r="CV1616" s="99">
        <f t="shared" si="155"/>
        <v>0</v>
      </c>
      <c r="CW1616" s="139"/>
      <c r="CX1616" s="138"/>
      <c r="CY1616" s="138"/>
      <c r="CZ1616" s="138"/>
      <c r="DA1616" s="139"/>
      <c r="DB1616" s="138"/>
      <c r="DC1616" s="45"/>
      <c r="DD1616" s="138"/>
      <c r="DE1616" s="45"/>
      <c r="DF1616" s="46">
        <v>1858</v>
      </c>
    </row>
    <row r="1617" spans="1:110" s="42" customFormat="1" x14ac:dyDescent="0.2">
      <c r="A1617" s="89">
        <v>40724</v>
      </c>
      <c r="B1617" s="16" t="s">
        <v>4344</v>
      </c>
      <c r="C1617" s="16" t="s">
        <v>4374</v>
      </c>
      <c r="D1617" s="90" t="s">
        <v>4264</v>
      </c>
      <c r="E1617" s="90" t="str">
        <f>VLOOKUP(B1617&amp;C1617,Divipola!$C$2:$F$1138,4,FALSE)</f>
        <v>25120</v>
      </c>
      <c r="F1617" s="4"/>
      <c r="G1617" s="208"/>
      <c r="H1617" s="208"/>
      <c r="I1617" s="208"/>
      <c r="J1617" s="208">
        <v>2587</v>
      </c>
      <c r="K1617" s="208">
        <v>944</v>
      </c>
      <c r="L1617" s="208"/>
      <c r="M1617" s="208">
        <v>944</v>
      </c>
      <c r="N1617" s="208"/>
      <c r="O1617" s="208"/>
      <c r="P1617" s="208"/>
      <c r="Q1617" s="208"/>
      <c r="R1617" s="208"/>
      <c r="S1617" s="208"/>
      <c r="T1617" s="208"/>
      <c r="U1617" s="208"/>
      <c r="V1617" s="208"/>
      <c r="W1617" s="19"/>
      <c r="X1617" s="17"/>
      <c r="Y1617" s="5">
        <f t="shared" si="150"/>
        <v>0</v>
      </c>
      <c r="Z1617" s="5">
        <f t="shared" si="151"/>
        <v>0</v>
      </c>
      <c r="AA1617" s="5">
        <f t="shared" si="152"/>
        <v>0</v>
      </c>
      <c r="AB1617" s="5">
        <f t="shared" si="153"/>
        <v>0</v>
      </c>
      <c r="AC1617" s="5"/>
      <c r="AD1617" s="5">
        <v>0</v>
      </c>
      <c r="AE1617" s="5">
        <f t="shared" si="154"/>
        <v>0</v>
      </c>
      <c r="AF1617" s="70">
        <v>0</v>
      </c>
      <c r="AG1617" s="17"/>
      <c r="AH1617" s="18"/>
      <c r="AI1617" s="47" t="s">
        <v>4336</v>
      </c>
      <c r="AJ1617" s="73" t="s">
        <v>4337</v>
      </c>
      <c r="AK1617" s="45"/>
      <c r="AL1617" s="17"/>
      <c r="AM1617" s="20" t="s">
        <v>18</v>
      </c>
      <c r="AN1617" s="19"/>
      <c r="AO1617" s="19"/>
      <c r="AP1617" s="19"/>
      <c r="AQ1617" s="19"/>
      <c r="AR1617" s="19"/>
      <c r="AS1617" s="19"/>
      <c r="AT1617" s="19"/>
      <c r="AU1617" s="19"/>
      <c r="AV1617" s="19"/>
      <c r="AW1617" s="19"/>
      <c r="AX1617" s="107"/>
      <c r="AY1617" s="107"/>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39"/>
      <c r="CO1617" s="138"/>
      <c r="CP1617" s="139"/>
      <c r="CQ1617" s="138"/>
      <c r="CR1617" s="139"/>
      <c r="CS1617" s="138"/>
      <c r="CT1617" s="72"/>
      <c r="CU1617" s="139"/>
      <c r="CV1617" s="99">
        <f t="shared" si="155"/>
        <v>0</v>
      </c>
      <c r="CW1617" s="139"/>
      <c r="CX1617" s="138"/>
      <c r="CY1617" s="138"/>
      <c r="CZ1617" s="138"/>
      <c r="DA1617" s="139"/>
      <c r="DB1617" s="138"/>
      <c r="DC1617" s="45"/>
      <c r="DD1617" s="138"/>
      <c r="DE1617" s="45"/>
      <c r="DF1617" s="46"/>
    </row>
    <row r="1618" spans="1:110" s="42" customFormat="1" ht="48" x14ac:dyDescent="0.2">
      <c r="A1618" s="89">
        <v>40724</v>
      </c>
      <c r="B1618" s="145" t="s">
        <v>4344</v>
      </c>
      <c r="C1618" s="145" t="s">
        <v>4374</v>
      </c>
      <c r="D1618" s="145" t="s">
        <v>3346</v>
      </c>
      <c r="E1618" s="90" t="str">
        <f>VLOOKUP(B1618&amp;C1618,Divipola!$C$2:$F$1138,4,FALSE)</f>
        <v>25120</v>
      </c>
      <c r="F1618" s="145"/>
      <c r="G1618" s="164"/>
      <c r="H1618" s="164"/>
      <c r="I1618" s="164"/>
      <c r="J1618" s="164">
        <v>3132</v>
      </c>
      <c r="K1618" s="164">
        <v>1044</v>
      </c>
      <c r="L1618" s="164"/>
      <c r="M1618" s="164"/>
      <c r="N1618" s="164"/>
      <c r="O1618" s="164"/>
      <c r="P1618" s="164"/>
      <c r="Q1618" s="164"/>
      <c r="R1618" s="164"/>
      <c r="S1618" s="164"/>
      <c r="T1618" s="164"/>
      <c r="U1618" s="164"/>
      <c r="V1618" s="164">
        <v>3135.85</v>
      </c>
      <c r="W1618" s="173"/>
      <c r="X1618" s="17"/>
      <c r="Y1618" s="5">
        <f t="shared" si="150"/>
        <v>0</v>
      </c>
      <c r="Z1618" s="5">
        <f t="shared" si="151"/>
        <v>0</v>
      </c>
      <c r="AA1618" s="5">
        <f t="shared" si="152"/>
        <v>0</v>
      </c>
      <c r="AB1618" s="5">
        <f t="shared" si="153"/>
        <v>0</v>
      </c>
      <c r="AC1618" s="5"/>
      <c r="AD1618" s="5">
        <v>0</v>
      </c>
      <c r="AE1618" s="5">
        <f t="shared" si="154"/>
        <v>0</v>
      </c>
      <c r="AF1618" s="70">
        <v>0</v>
      </c>
      <c r="AG1618" s="135">
        <v>40809</v>
      </c>
      <c r="AH1618" s="161"/>
      <c r="AI1618" s="135" t="s">
        <v>4336</v>
      </c>
      <c r="AJ1618" s="176" t="s">
        <v>4337</v>
      </c>
      <c r="AK1618" s="178"/>
      <c r="AL1618" s="180" t="s">
        <v>4579</v>
      </c>
      <c r="AM1618" s="182" t="s">
        <v>4580</v>
      </c>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39"/>
      <c r="CE1618" s="138"/>
      <c r="CF1618" s="139"/>
      <c r="CG1618" s="138"/>
      <c r="CH1618" s="139"/>
      <c r="CI1618" s="138"/>
      <c r="CJ1618" s="72"/>
      <c r="CK1618" s="139"/>
      <c r="CL1618" s="71"/>
      <c r="CM1618" s="139"/>
      <c r="CN1618" s="138"/>
      <c r="CO1618" s="138"/>
      <c r="CP1618" s="138"/>
      <c r="CQ1618" s="139"/>
      <c r="CR1618" s="138"/>
      <c r="CS1618" s="45"/>
      <c r="CT1618" s="138"/>
      <c r="CU1618" s="45"/>
      <c r="CV1618" s="99">
        <f t="shared" si="155"/>
        <v>0</v>
      </c>
      <c r="CW1618" s="139"/>
      <c r="CX1618" s="138"/>
      <c r="CY1618" s="138"/>
      <c r="CZ1618" s="138"/>
      <c r="DA1618" s="139"/>
      <c r="DB1618" s="138"/>
      <c r="DC1618" s="45"/>
      <c r="DD1618" s="138"/>
      <c r="DE1618" s="45"/>
      <c r="DF1618" s="46"/>
    </row>
    <row r="1619" spans="1:110" s="42" customFormat="1" ht="48" x14ac:dyDescent="0.2">
      <c r="A1619" s="89">
        <v>40724</v>
      </c>
      <c r="B1619" s="145" t="s">
        <v>4344</v>
      </c>
      <c r="C1619" s="145" t="s">
        <v>1663</v>
      </c>
      <c r="D1619" s="145" t="s">
        <v>3346</v>
      </c>
      <c r="E1619" s="90" t="str">
        <f>VLOOKUP(B1619&amp;C1619,Divipola!$C$2:$F$1138,4,FALSE)</f>
        <v>25123</v>
      </c>
      <c r="F1619" s="145"/>
      <c r="G1619" s="164"/>
      <c r="H1619" s="164"/>
      <c r="I1619" s="164"/>
      <c r="J1619" s="164">
        <v>702</v>
      </c>
      <c r="K1619" s="164">
        <v>234</v>
      </c>
      <c r="L1619" s="164"/>
      <c r="M1619" s="164"/>
      <c r="N1619" s="164"/>
      <c r="O1619" s="164"/>
      <c r="P1619" s="164"/>
      <c r="Q1619" s="164"/>
      <c r="R1619" s="164"/>
      <c r="S1619" s="164"/>
      <c r="T1619" s="164"/>
      <c r="U1619" s="164"/>
      <c r="V1619" s="164">
        <v>528.72679999999991</v>
      </c>
      <c r="W1619" s="173"/>
      <c r="X1619" s="17"/>
      <c r="Y1619" s="5">
        <f t="shared" si="150"/>
        <v>0</v>
      </c>
      <c r="Z1619" s="5">
        <f t="shared" si="151"/>
        <v>0</v>
      </c>
      <c r="AA1619" s="5">
        <f t="shared" si="152"/>
        <v>0</v>
      </c>
      <c r="AB1619" s="5">
        <f t="shared" si="153"/>
        <v>0</v>
      </c>
      <c r="AC1619" s="5"/>
      <c r="AD1619" s="5">
        <v>0</v>
      </c>
      <c r="AE1619" s="5">
        <f t="shared" si="154"/>
        <v>0</v>
      </c>
      <c r="AF1619" s="70">
        <v>0</v>
      </c>
      <c r="AG1619" s="135">
        <v>40809</v>
      </c>
      <c r="AH1619" s="161"/>
      <c r="AI1619" s="135" t="s">
        <v>4336</v>
      </c>
      <c r="AJ1619" s="176" t="s">
        <v>4337</v>
      </c>
      <c r="AK1619" s="178"/>
      <c r="AL1619" s="180" t="s">
        <v>4579</v>
      </c>
      <c r="AM1619" s="182" t="s">
        <v>4580</v>
      </c>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39"/>
      <c r="CE1619" s="138"/>
      <c r="CF1619" s="139"/>
      <c r="CG1619" s="138"/>
      <c r="CH1619" s="139"/>
      <c r="CI1619" s="138"/>
      <c r="CJ1619" s="72"/>
      <c r="CK1619" s="139"/>
      <c r="CL1619" s="71"/>
      <c r="CM1619" s="139"/>
      <c r="CN1619" s="138"/>
      <c r="CO1619" s="138"/>
      <c r="CP1619" s="138"/>
      <c r="CQ1619" s="139"/>
      <c r="CR1619" s="138"/>
      <c r="CS1619" s="45"/>
      <c r="CT1619" s="138"/>
      <c r="CU1619" s="45"/>
      <c r="CV1619" s="99">
        <f t="shared" si="155"/>
        <v>0</v>
      </c>
      <c r="CW1619" s="139"/>
      <c r="CX1619" s="138"/>
      <c r="CY1619" s="138"/>
      <c r="CZ1619" s="138"/>
      <c r="DA1619" s="139"/>
      <c r="DB1619" s="138"/>
      <c r="DC1619" s="45"/>
      <c r="DD1619" s="138"/>
      <c r="DE1619" s="45"/>
      <c r="DF1619" s="46"/>
    </row>
    <row r="1620" spans="1:110" s="42" customFormat="1" x14ac:dyDescent="0.2">
      <c r="A1620" s="89">
        <v>40724</v>
      </c>
      <c r="B1620" s="16" t="s">
        <v>4344</v>
      </c>
      <c r="C1620" s="16" t="s">
        <v>2257</v>
      </c>
      <c r="D1620" s="90" t="s">
        <v>4264</v>
      </c>
      <c r="E1620" s="90" t="str">
        <f>VLOOKUP(B1620&amp;C1620,Divipola!$C$2:$F$1138,4,FALSE)</f>
        <v>25126</v>
      </c>
      <c r="F1620" s="4"/>
      <c r="G1620" s="208"/>
      <c r="H1620" s="208"/>
      <c r="I1620" s="208"/>
      <c r="J1620" s="208">
        <v>698</v>
      </c>
      <c r="K1620" s="208">
        <v>180</v>
      </c>
      <c r="L1620" s="208"/>
      <c r="M1620" s="208">
        <v>180</v>
      </c>
      <c r="N1620" s="208"/>
      <c r="O1620" s="208"/>
      <c r="P1620" s="208"/>
      <c r="Q1620" s="208"/>
      <c r="R1620" s="208"/>
      <c r="S1620" s="208"/>
      <c r="T1620" s="208"/>
      <c r="U1620" s="208"/>
      <c r="V1620" s="208"/>
      <c r="W1620" s="19"/>
      <c r="X1620" s="17"/>
      <c r="Y1620" s="5">
        <f t="shared" si="150"/>
        <v>0</v>
      </c>
      <c r="Z1620" s="5">
        <f t="shared" si="151"/>
        <v>0</v>
      </c>
      <c r="AA1620" s="5">
        <f t="shared" si="152"/>
        <v>0</v>
      </c>
      <c r="AB1620" s="5">
        <f t="shared" si="153"/>
        <v>0</v>
      </c>
      <c r="AC1620" s="5"/>
      <c r="AD1620" s="5">
        <v>0</v>
      </c>
      <c r="AE1620" s="5">
        <f t="shared" si="154"/>
        <v>0</v>
      </c>
      <c r="AF1620" s="70">
        <v>0</v>
      </c>
      <c r="AG1620" s="17"/>
      <c r="AH1620" s="18"/>
      <c r="AI1620" s="47" t="s">
        <v>4336</v>
      </c>
      <c r="AJ1620" s="73" t="s">
        <v>4337</v>
      </c>
      <c r="AK1620" s="45"/>
      <c r="AL1620" s="17"/>
      <c r="AM1620" s="20" t="s">
        <v>18</v>
      </c>
      <c r="AN1620" s="19"/>
      <c r="AO1620" s="19"/>
      <c r="AP1620" s="19"/>
      <c r="AQ1620" s="19"/>
      <c r="AR1620" s="19"/>
      <c r="AS1620" s="19"/>
      <c r="AT1620" s="19"/>
      <c r="AU1620" s="19"/>
      <c r="AV1620" s="19"/>
      <c r="AW1620" s="19"/>
      <c r="AX1620" s="107"/>
      <c r="AY1620" s="107"/>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39"/>
      <c r="CO1620" s="138"/>
      <c r="CP1620" s="139"/>
      <c r="CQ1620" s="138"/>
      <c r="CR1620" s="139"/>
      <c r="CS1620" s="138"/>
      <c r="CT1620" s="72"/>
      <c r="CU1620" s="139"/>
      <c r="CV1620" s="99">
        <f t="shared" si="155"/>
        <v>0</v>
      </c>
      <c r="CW1620" s="139"/>
      <c r="CX1620" s="138"/>
      <c r="CY1620" s="138"/>
      <c r="CZ1620" s="138"/>
      <c r="DA1620" s="139"/>
      <c r="DB1620" s="138"/>
      <c r="DC1620" s="45"/>
      <c r="DD1620" s="138"/>
      <c r="DE1620" s="45"/>
      <c r="DF1620" s="46"/>
    </row>
    <row r="1621" spans="1:110" s="42" customFormat="1" ht="48" x14ac:dyDescent="0.2">
      <c r="A1621" s="89">
        <v>40724</v>
      </c>
      <c r="B1621" s="145" t="s">
        <v>4344</v>
      </c>
      <c r="C1621" s="145" t="s">
        <v>2257</v>
      </c>
      <c r="D1621" s="145" t="s">
        <v>3346</v>
      </c>
      <c r="E1621" s="90" t="str">
        <f>VLOOKUP(B1621&amp;C1621,Divipola!$C$2:$F$1138,4,FALSE)</f>
        <v>25126</v>
      </c>
      <c r="F1621" s="145"/>
      <c r="G1621" s="164"/>
      <c r="H1621" s="164"/>
      <c r="I1621" s="164"/>
      <c r="J1621" s="164">
        <v>240</v>
      </c>
      <c r="K1621" s="164">
        <v>80</v>
      </c>
      <c r="L1621" s="164"/>
      <c r="M1621" s="164"/>
      <c r="N1621" s="164"/>
      <c r="O1621" s="164"/>
      <c r="P1621" s="164"/>
      <c r="Q1621" s="164"/>
      <c r="R1621" s="164"/>
      <c r="S1621" s="164"/>
      <c r="T1621" s="164"/>
      <c r="U1621" s="164"/>
      <c r="V1621" s="164">
        <v>1183.3064000000002</v>
      </c>
      <c r="W1621" s="173"/>
      <c r="X1621" s="17"/>
      <c r="Y1621" s="5">
        <f t="shared" si="150"/>
        <v>0</v>
      </c>
      <c r="Z1621" s="5">
        <f t="shared" si="151"/>
        <v>0</v>
      </c>
      <c r="AA1621" s="5">
        <f t="shared" si="152"/>
        <v>0</v>
      </c>
      <c r="AB1621" s="5">
        <f t="shared" si="153"/>
        <v>0</v>
      </c>
      <c r="AC1621" s="5"/>
      <c r="AD1621" s="5">
        <v>0</v>
      </c>
      <c r="AE1621" s="5">
        <f t="shared" si="154"/>
        <v>0</v>
      </c>
      <c r="AF1621" s="70">
        <v>0</v>
      </c>
      <c r="AG1621" s="135">
        <v>40809</v>
      </c>
      <c r="AH1621" s="161"/>
      <c r="AI1621" s="135" t="s">
        <v>4336</v>
      </c>
      <c r="AJ1621" s="176" t="s">
        <v>4337</v>
      </c>
      <c r="AK1621" s="178"/>
      <c r="AL1621" s="180" t="s">
        <v>4579</v>
      </c>
      <c r="AM1621" s="182" t="s">
        <v>4580</v>
      </c>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39"/>
      <c r="CE1621" s="138"/>
      <c r="CF1621" s="139"/>
      <c r="CG1621" s="138"/>
      <c r="CH1621" s="139"/>
      <c r="CI1621" s="138"/>
      <c r="CJ1621" s="72"/>
      <c r="CK1621" s="139"/>
      <c r="CL1621" s="71"/>
      <c r="CM1621" s="139"/>
      <c r="CN1621" s="138"/>
      <c r="CO1621" s="138"/>
      <c r="CP1621" s="138"/>
      <c r="CQ1621" s="139"/>
      <c r="CR1621" s="138"/>
      <c r="CS1621" s="45"/>
      <c r="CT1621" s="138"/>
      <c r="CU1621" s="45"/>
      <c r="CV1621" s="99">
        <f t="shared" si="155"/>
        <v>0</v>
      </c>
      <c r="CW1621" s="139"/>
      <c r="CX1621" s="138"/>
      <c r="CY1621" s="138"/>
      <c r="CZ1621" s="138"/>
      <c r="DA1621" s="139"/>
      <c r="DB1621" s="138"/>
      <c r="DC1621" s="45"/>
      <c r="DD1621" s="138"/>
      <c r="DE1621" s="45"/>
      <c r="DF1621" s="46"/>
    </row>
    <row r="1622" spans="1:110" s="42" customFormat="1" ht="48" x14ac:dyDescent="0.2">
      <c r="A1622" s="89">
        <v>40724</v>
      </c>
      <c r="B1622" s="145" t="s">
        <v>4344</v>
      </c>
      <c r="C1622" s="145" t="s">
        <v>3526</v>
      </c>
      <c r="D1622" s="145" t="s">
        <v>3346</v>
      </c>
      <c r="E1622" s="90" t="str">
        <f>VLOOKUP(B1622&amp;C1622,Divipola!$C$2:$F$1138,4,FALSE)</f>
        <v>25148</v>
      </c>
      <c r="F1622" s="145"/>
      <c r="G1622" s="164"/>
      <c r="H1622" s="164"/>
      <c r="I1622" s="164"/>
      <c r="J1622" s="164">
        <v>480</v>
      </c>
      <c r="K1622" s="164">
        <v>160</v>
      </c>
      <c r="L1622" s="164"/>
      <c r="M1622" s="164"/>
      <c r="N1622" s="164"/>
      <c r="O1622" s="164"/>
      <c r="P1622" s="164"/>
      <c r="Q1622" s="164"/>
      <c r="R1622" s="164"/>
      <c r="S1622" s="164"/>
      <c r="T1622" s="164"/>
      <c r="U1622" s="164"/>
      <c r="V1622" s="164">
        <v>531.79999999999995</v>
      </c>
      <c r="W1622" s="173"/>
      <c r="X1622" s="17"/>
      <c r="Y1622" s="5">
        <f t="shared" si="150"/>
        <v>0</v>
      </c>
      <c r="Z1622" s="5">
        <f t="shared" si="151"/>
        <v>0</v>
      </c>
      <c r="AA1622" s="5">
        <f t="shared" si="152"/>
        <v>0</v>
      </c>
      <c r="AB1622" s="5">
        <f t="shared" si="153"/>
        <v>0</v>
      </c>
      <c r="AC1622" s="5"/>
      <c r="AD1622" s="5">
        <v>0</v>
      </c>
      <c r="AE1622" s="5">
        <f t="shared" si="154"/>
        <v>0</v>
      </c>
      <c r="AF1622" s="70">
        <v>0</v>
      </c>
      <c r="AG1622" s="135">
        <v>40809</v>
      </c>
      <c r="AH1622" s="161"/>
      <c r="AI1622" s="135" t="s">
        <v>4336</v>
      </c>
      <c r="AJ1622" s="176" t="s">
        <v>4337</v>
      </c>
      <c r="AK1622" s="178"/>
      <c r="AL1622" s="180" t="s">
        <v>4579</v>
      </c>
      <c r="AM1622" s="182" t="s">
        <v>4580</v>
      </c>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39"/>
      <c r="CE1622" s="138"/>
      <c r="CF1622" s="139"/>
      <c r="CG1622" s="138"/>
      <c r="CH1622" s="139"/>
      <c r="CI1622" s="138"/>
      <c r="CJ1622" s="72"/>
      <c r="CK1622" s="139"/>
      <c r="CL1622" s="71"/>
      <c r="CM1622" s="139"/>
      <c r="CN1622" s="138"/>
      <c r="CO1622" s="138"/>
      <c r="CP1622" s="138"/>
      <c r="CQ1622" s="139"/>
      <c r="CR1622" s="138"/>
      <c r="CS1622" s="45"/>
      <c r="CT1622" s="138"/>
      <c r="CU1622" s="45"/>
      <c r="CV1622" s="99">
        <f t="shared" si="155"/>
        <v>0</v>
      </c>
      <c r="CW1622" s="139"/>
      <c r="CX1622" s="138"/>
      <c r="CY1622" s="138"/>
      <c r="CZ1622" s="138"/>
      <c r="DA1622" s="139"/>
      <c r="DB1622" s="138"/>
      <c r="DC1622" s="45"/>
      <c r="DD1622" s="138"/>
      <c r="DE1622" s="45"/>
      <c r="DF1622" s="46"/>
    </row>
    <row r="1623" spans="1:110" s="42" customFormat="1" x14ac:dyDescent="0.2">
      <c r="A1623" s="89">
        <v>40724</v>
      </c>
      <c r="B1623" s="16" t="s">
        <v>4344</v>
      </c>
      <c r="C1623" s="4" t="s">
        <v>1669</v>
      </c>
      <c r="D1623" s="90" t="s">
        <v>4264</v>
      </c>
      <c r="E1623" s="90" t="str">
        <f>VLOOKUP(B1623&amp;C1623,Divipola!$C$2:$F$1138,4,FALSE)</f>
        <v>25151</v>
      </c>
      <c r="F1623" s="4"/>
      <c r="G1623" s="208"/>
      <c r="H1623" s="208"/>
      <c r="I1623" s="208"/>
      <c r="J1623" s="208">
        <v>169</v>
      </c>
      <c r="K1623" s="208">
        <v>62</v>
      </c>
      <c r="L1623" s="208"/>
      <c r="M1623" s="208">
        <v>62</v>
      </c>
      <c r="N1623" s="208"/>
      <c r="O1623" s="208"/>
      <c r="P1623" s="208"/>
      <c r="Q1623" s="208"/>
      <c r="R1623" s="208"/>
      <c r="S1623" s="208"/>
      <c r="T1623" s="208"/>
      <c r="U1623" s="208"/>
      <c r="V1623" s="208"/>
      <c r="W1623" s="19"/>
      <c r="X1623" s="17"/>
      <c r="Y1623" s="5">
        <f t="shared" si="150"/>
        <v>0</v>
      </c>
      <c r="Z1623" s="5">
        <f t="shared" si="151"/>
        <v>0</v>
      </c>
      <c r="AA1623" s="5">
        <f t="shared" si="152"/>
        <v>0</v>
      </c>
      <c r="AB1623" s="5">
        <f t="shared" si="153"/>
        <v>0</v>
      </c>
      <c r="AC1623" s="5"/>
      <c r="AD1623" s="5">
        <v>0</v>
      </c>
      <c r="AE1623" s="5">
        <f t="shared" si="154"/>
        <v>0</v>
      </c>
      <c r="AF1623" s="70">
        <v>0</v>
      </c>
      <c r="AG1623" s="17"/>
      <c r="AH1623" s="18"/>
      <c r="AI1623" s="47" t="s">
        <v>4336</v>
      </c>
      <c r="AJ1623" s="73" t="s">
        <v>4337</v>
      </c>
      <c r="AK1623" s="45"/>
      <c r="AL1623" s="17"/>
      <c r="AM1623" s="20" t="s">
        <v>18</v>
      </c>
      <c r="AN1623" s="19"/>
      <c r="AO1623" s="19"/>
      <c r="AP1623" s="19"/>
      <c r="AQ1623" s="19"/>
      <c r="AR1623" s="19"/>
      <c r="AS1623" s="19"/>
      <c r="AT1623" s="19"/>
      <c r="AU1623" s="19"/>
      <c r="AV1623" s="19"/>
      <c r="AW1623" s="19"/>
      <c r="AX1623" s="107"/>
      <c r="AY1623" s="107"/>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39"/>
      <c r="CO1623" s="138"/>
      <c r="CP1623" s="139"/>
      <c r="CQ1623" s="138"/>
      <c r="CR1623" s="139"/>
      <c r="CS1623" s="138"/>
      <c r="CT1623" s="72"/>
      <c r="CU1623" s="139"/>
      <c r="CV1623" s="99">
        <f t="shared" si="155"/>
        <v>0</v>
      </c>
      <c r="CW1623" s="139"/>
      <c r="CX1623" s="138"/>
      <c r="CY1623" s="138"/>
      <c r="CZ1623" s="138"/>
      <c r="DA1623" s="139"/>
      <c r="DB1623" s="138"/>
      <c r="DC1623" s="45"/>
      <c r="DD1623" s="138"/>
      <c r="DE1623" s="45"/>
      <c r="DF1623" s="46"/>
    </row>
    <row r="1624" spans="1:110" s="42" customFormat="1" ht="48" x14ac:dyDescent="0.2">
      <c r="A1624" s="89">
        <v>40724</v>
      </c>
      <c r="B1624" s="145" t="s">
        <v>4344</v>
      </c>
      <c r="C1624" s="145" t="s">
        <v>1669</v>
      </c>
      <c r="D1624" s="145" t="s">
        <v>3346</v>
      </c>
      <c r="E1624" s="90" t="str">
        <f>VLOOKUP(B1624&amp;C1624,Divipola!$C$2:$F$1138,4,FALSE)</f>
        <v>25151</v>
      </c>
      <c r="F1624" s="145"/>
      <c r="G1624" s="164"/>
      <c r="H1624" s="164"/>
      <c r="I1624" s="164"/>
      <c r="J1624" s="164">
        <v>264</v>
      </c>
      <c r="K1624" s="164">
        <v>88</v>
      </c>
      <c r="L1624" s="164"/>
      <c r="M1624" s="164"/>
      <c r="N1624" s="164"/>
      <c r="O1624" s="164"/>
      <c r="P1624" s="164"/>
      <c r="Q1624" s="164"/>
      <c r="R1624" s="164"/>
      <c r="S1624" s="164"/>
      <c r="T1624" s="164"/>
      <c r="U1624" s="164"/>
      <c r="V1624" s="164">
        <v>113.77999999999999</v>
      </c>
      <c r="W1624" s="173"/>
      <c r="X1624" s="17"/>
      <c r="Y1624" s="5">
        <f t="shared" si="150"/>
        <v>0</v>
      </c>
      <c r="Z1624" s="5">
        <f t="shared" si="151"/>
        <v>0</v>
      </c>
      <c r="AA1624" s="5">
        <f t="shared" si="152"/>
        <v>0</v>
      </c>
      <c r="AB1624" s="5">
        <f t="shared" si="153"/>
        <v>0</v>
      </c>
      <c r="AC1624" s="5"/>
      <c r="AD1624" s="5">
        <v>0</v>
      </c>
      <c r="AE1624" s="5">
        <f t="shared" si="154"/>
        <v>0</v>
      </c>
      <c r="AF1624" s="70">
        <v>0</v>
      </c>
      <c r="AG1624" s="135">
        <v>40809</v>
      </c>
      <c r="AH1624" s="161"/>
      <c r="AI1624" s="135" t="s">
        <v>4336</v>
      </c>
      <c r="AJ1624" s="176" t="s">
        <v>4337</v>
      </c>
      <c r="AK1624" s="178"/>
      <c r="AL1624" s="180" t="s">
        <v>4579</v>
      </c>
      <c r="AM1624" s="182" t="s">
        <v>4580</v>
      </c>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39"/>
      <c r="CE1624" s="138"/>
      <c r="CF1624" s="139"/>
      <c r="CG1624" s="138"/>
      <c r="CH1624" s="139"/>
      <c r="CI1624" s="138"/>
      <c r="CJ1624" s="72"/>
      <c r="CK1624" s="139"/>
      <c r="CL1624" s="71"/>
      <c r="CM1624" s="139"/>
      <c r="CN1624" s="138"/>
      <c r="CO1624" s="138"/>
      <c r="CP1624" s="138"/>
      <c r="CQ1624" s="139"/>
      <c r="CR1624" s="138"/>
      <c r="CS1624" s="45"/>
      <c r="CT1624" s="138"/>
      <c r="CU1624" s="45"/>
      <c r="CV1624" s="99">
        <f t="shared" si="155"/>
        <v>0</v>
      </c>
      <c r="CW1624" s="139"/>
      <c r="CX1624" s="138"/>
      <c r="CY1624" s="138"/>
      <c r="CZ1624" s="138"/>
      <c r="DA1624" s="139"/>
      <c r="DB1624" s="138"/>
      <c r="DC1624" s="45"/>
      <c r="DD1624" s="138"/>
      <c r="DE1624" s="45"/>
      <c r="DF1624" s="46"/>
    </row>
    <row r="1625" spans="1:110" s="42" customFormat="1" ht="48" x14ac:dyDescent="0.2">
      <c r="A1625" s="89">
        <v>40724</v>
      </c>
      <c r="B1625" s="145" t="s">
        <v>4344</v>
      </c>
      <c r="C1625" s="145" t="s">
        <v>4367</v>
      </c>
      <c r="D1625" s="145" t="s">
        <v>3346</v>
      </c>
      <c r="E1625" s="90" t="str">
        <f>VLOOKUP(B1625&amp;C1625,Divipola!$C$2:$F$1138,4,FALSE)</f>
        <v>25154</v>
      </c>
      <c r="F1625" s="145"/>
      <c r="G1625" s="164"/>
      <c r="H1625" s="164"/>
      <c r="I1625" s="164"/>
      <c r="J1625" s="164">
        <v>120</v>
      </c>
      <c r="K1625" s="164">
        <v>40</v>
      </c>
      <c r="L1625" s="164"/>
      <c r="M1625" s="164"/>
      <c r="N1625" s="164"/>
      <c r="O1625" s="164"/>
      <c r="P1625" s="164"/>
      <c r="Q1625" s="164"/>
      <c r="R1625" s="164"/>
      <c r="S1625" s="164"/>
      <c r="T1625" s="164"/>
      <c r="U1625" s="164"/>
      <c r="V1625" s="164">
        <v>81</v>
      </c>
      <c r="W1625" s="173"/>
      <c r="X1625" s="17"/>
      <c r="Y1625" s="5">
        <f t="shared" si="150"/>
        <v>0</v>
      </c>
      <c r="Z1625" s="5">
        <f t="shared" si="151"/>
        <v>0</v>
      </c>
      <c r="AA1625" s="5">
        <f t="shared" si="152"/>
        <v>0</v>
      </c>
      <c r="AB1625" s="5">
        <f t="shared" si="153"/>
        <v>0</v>
      </c>
      <c r="AC1625" s="5"/>
      <c r="AD1625" s="5">
        <v>0</v>
      </c>
      <c r="AE1625" s="5">
        <f t="shared" si="154"/>
        <v>0</v>
      </c>
      <c r="AF1625" s="70">
        <v>0</v>
      </c>
      <c r="AG1625" s="135">
        <v>40809</v>
      </c>
      <c r="AH1625" s="161"/>
      <c r="AI1625" s="135" t="s">
        <v>4336</v>
      </c>
      <c r="AJ1625" s="176" t="s">
        <v>4337</v>
      </c>
      <c r="AK1625" s="178"/>
      <c r="AL1625" s="180" t="s">
        <v>4579</v>
      </c>
      <c r="AM1625" s="182" t="s">
        <v>4580</v>
      </c>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39"/>
      <c r="CE1625" s="138"/>
      <c r="CF1625" s="139"/>
      <c r="CG1625" s="138"/>
      <c r="CH1625" s="139"/>
      <c r="CI1625" s="138"/>
      <c r="CJ1625" s="72"/>
      <c r="CK1625" s="139"/>
      <c r="CL1625" s="71"/>
      <c r="CM1625" s="139"/>
      <c r="CN1625" s="138"/>
      <c r="CO1625" s="138"/>
      <c r="CP1625" s="138"/>
      <c r="CQ1625" s="139"/>
      <c r="CR1625" s="138"/>
      <c r="CS1625" s="45"/>
      <c r="CT1625" s="138"/>
      <c r="CU1625" s="45"/>
      <c r="CV1625" s="99">
        <f t="shared" si="155"/>
        <v>0</v>
      </c>
      <c r="CW1625" s="139"/>
      <c r="CX1625" s="138"/>
      <c r="CY1625" s="138"/>
      <c r="CZ1625" s="138"/>
      <c r="DA1625" s="139"/>
      <c r="DB1625" s="138"/>
      <c r="DC1625" s="45"/>
      <c r="DD1625" s="138"/>
      <c r="DE1625" s="45"/>
      <c r="DF1625" s="46"/>
    </row>
    <row r="1626" spans="1:110" s="42" customFormat="1" ht="96" x14ac:dyDescent="0.2">
      <c r="A1626" s="89">
        <v>40724</v>
      </c>
      <c r="B1626" s="16" t="s">
        <v>4344</v>
      </c>
      <c r="C1626" s="145" t="s">
        <v>1672</v>
      </c>
      <c r="D1626" s="90" t="s">
        <v>4264</v>
      </c>
      <c r="E1626" s="90" t="str">
        <f>VLOOKUP(B1626&amp;C1626,Divipola!$C$2:$F$1138,4,FALSE)</f>
        <v>25168</v>
      </c>
      <c r="F1626" s="4"/>
      <c r="G1626" s="208"/>
      <c r="H1626" s="208"/>
      <c r="I1626" s="208"/>
      <c r="J1626" s="208">
        <v>445</v>
      </c>
      <c r="K1626" s="208">
        <v>133</v>
      </c>
      <c r="L1626" s="208"/>
      <c r="M1626" s="208">
        <v>133</v>
      </c>
      <c r="N1626" s="208"/>
      <c r="O1626" s="208"/>
      <c r="P1626" s="208"/>
      <c r="Q1626" s="208"/>
      <c r="R1626" s="208"/>
      <c r="S1626" s="208"/>
      <c r="T1626" s="208"/>
      <c r="U1626" s="208"/>
      <c r="V1626" s="208"/>
      <c r="W1626" s="19"/>
      <c r="X1626" s="17"/>
      <c r="Y1626" s="5">
        <f t="shared" si="150"/>
        <v>0</v>
      </c>
      <c r="Z1626" s="5">
        <f t="shared" si="151"/>
        <v>0</v>
      </c>
      <c r="AA1626" s="5">
        <f t="shared" si="152"/>
        <v>2099929.44</v>
      </c>
      <c r="AB1626" s="5">
        <f t="shared" si="153"/>
        <v>0</v>
      </c>
      <c r="AC1626" s="143">
        <f>(1000*8447.12)+(1650*5504.2)+(310*3374.44)</f>
        <v>18575126.399999999</v>
      </c>
      <c r="AD1626" s="5">
        <v>40000000</v>
      </c>
      <c r="AE1626" s="5">
        <f t="shared" si="154"/>
        <v>60675055.840000004</v>
      </c>
      <c r="AF1626" s="70">
        <v>0</v>
      </c>
      <c r="AG1626" s="17"/>
      <c r="AH1626" s="18"/>
      <c r="AI1626" s="47" t="s">
        <v>4346</v>
      </c>
      <c r="AJ1626" s="73" t="s">
        <v>4347</v>
      </c>
      <c r="AK1626" s="45"/>
      <c r="AL1626" s="17"/>
      <c r="AM1626" s="20" t="s">
        <v>1165</v>
      </c>
      <c r="AN1626" s="19"/>
      <c r="AO1626" s="19"/>
      <c r="AP1626" s="19"/>
      <c r="AQ1626" s="19"/>
      <c r="AR1626" s="19"/>
      <c r="AS1626" s="19"/>
      <c r="AT1626" s="19"/>
      <c r="AU1626" s="19"/>
      <c r="AV1626" s="19"/>
      <c r="AW1626" s="19"/>
      <c r="AX1626" s="107"/>
      <c r="AY1626" s="107"/>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39"/>
      <c r="CO1626" s="138"/>
      <c r="CP1626" s="139"/>
      <c r="CQ1626" s="138"/>
      <c r="CR1626" s="139"/>
      <c r="CS1626" s="138"/>
      <c r="CT1626" s="72"/>
      <c r="CU1626" s="139"/>
      <c r="CV1626" s="99">
        <f t="shared" si="155"/>
        <v>0</v>
      </c>
      <c r="CW1626" s="139"/>
      <c r="CX1626" s="138"/>
      <c r="CY1626" s="138"/>
      <c r="CZ1626" s="138"/>
      <c r="DA1626" s="139">
        <v>84</v>
      </c>
      <c r="DB1626" s="138">
        <f>84*24999.16</f>
        <v>2099929.44</v>
      </c>
      <c r="DC1626" s="45"/>
      <c r="DD1626" s="138"/>
      <c r="DE1626" s="45"/>
      <c r="DF1626" s="46"/>
    </row>
    <row r="1627" spans="1:110" s="42" customFormat="1" ht="48" x14ac:dyDescent="0.2">
      <c r="A1627" s="89">
        <v>40724</v>
      </c>
      <c r="B1627" s="145" t="s">
        <v>4344</v>
      </c>
      <c r="C1627" s="145" t="s">
        <v>1672</v>
      </c>
      <c r="D1627" s="145" t="s">
        <v>3346</v>
      </c>
      <c r="E1627" s="90" t="str">
        <f>VLOOKUP(B1627&amp;C1627,Divipola!$C$2:$F$1138,4,FALSE)</f>
        <v>25168</v>
      </c>
      <c r="F1627" s="145"/>
      <c r="G1627" s="164"/>
      <c r="H1627" s="164"/>
      <c r="I1627" s="164"/>
      <c r="J1627" s="164">
        <v>1278</v>
      </c>
      <c r="K1627" s="164">
        <v>426</v>
      </c>
      <c r="L1627" s="164"/>
      <c r="M1627" s="164"/>
      <c r="N1627" s="164"/>
      <c r="O1627" s="164"/>
      <c r="P1627" s="164"/>
      <c r="Q1627" s="164"/>
      <c r="R1627" s="164"/>
      <c r="S1627" s="164"/>
      <c r="T1627" s="164"/>
      <c r="U1627" s="164"/>
      <c r="V1627" s="164">
        <v>1026</v>
      </c>
      <c r="W1627" s="173"/>
      <c r="X1627" s="17"/>
      <c r="Y1627" s="5">
        <f t="shared" si="150"/>
        <v>0</v>
      </c>
      <c r="Z1627" s="5">
        <f t="shared" si="151"/>
        <v>0</v>
      </c>
      <c r="AA1627" s="5">
        <f t="shared" si="152"/>
        <v>0</v>
      </c>
      <c r="AB1627" s="5">
        <f t="shared" si="153"/>
        <v>0</v>
      </c>
      <c r="AC1627" s="5"/>
      <c r="AD1627" s="5">
        <v>0</v>
      </c>
      <c r="AE1627" s="5">
        <f t="shared" si="154"/>
        <v>0</v>
      </c>
      <c r="AF1627" s="70">
        <v>0</v>
      </c>
      <c r="AG1627" s="135">
        <v>40809</v>
      </c>
      <c r="AH1627" s="161"/>
      <c r="AI1627" s="135" t="s">
        <v>4336</v>
      </c>
      <c r="AJ1627" s="176" t="s">
        <v>4337</v>
      </c>
      <c r="AK1627" s="178"/>
      <c r="AL1627" s="180" t="s">
        <v>4579</v>
      </c>
      <c r="AM1627" s="182" t="s">
        <v>4580</v>
      </c>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39"/>
      <c r="CE1627" s="138"/>
      <c r="CF1627" s="139"/>
      <c r="CG1627" s="138"/>
      <c r="CH1627" s="139"/>
      <c r="CI1627" s="138"/>
      <c r="CJ1627" s="72"/>
      <c r="CK1627" s="139"/>
      <c r="CL1627" s="71"/>
      <c r="CM1627" s="139"/>
      <c r="CN1627" s="138"/>
      <c r="CO1627" s="138"/>
      <c r="CP1627" s="138"/>
      <c r="CQ1627" s="139"/>
      <c r="CR1627" s="138"/>
      <c r="CS1627" s="45"/>
      <c r="CT1627" s="138"/>
      <c r="CU1627" s="45"/>
      <c r="CV1627" s="99">
        <f t="shared" si="155"/>
        <v>0</v>
      </c>
      <c r="CW1627" s="139"/>
      <c r="CX1627" s="138"/>
      <c r="CY1627" s="138"/>
      <c r="CZ1627" s="138"/>
      <c r="DA1627" s="139"/>
      <c r="DB1627" s="138"/>
      <c r="DC1627" s="45"/>
      <c r="DD1627" s="138"/>
      <c r="DE1627" s="45"/>
      <c r="DF1627" s="46"/>
    </row>
    <row r="1628" spans="1:110" s="42" customFormat="1" ht="48" x14ac:dyDescent="0.2">
      <c r="A1628" s="89">
        <v>40724</v>
      </c>
      <c r="B1628" s="145" t="s">
        <v>4344</v>
      </c>
      <c r="C1628" s="145" t="s">
        <v>3450</v>
      </c>
      <c r="D1628" s="145" t="s">
        <v>3346</v>
      </c>
      <c r="E1628" s="90" t="str">
        <f>VLOOKUP(B1628&amp;C1628,Divipola!$C$2:$F$1138,4,FALSE)</f>
        <v>25175</v>
      </c>
      <c r="F1628" s="145"/>
      <c r="G1628" s="164"/>
      <c r="H1628" s="164"/>
      <c r="I1628" s="164"/>
      <c r="J1628" s="164">
        <v>360</v>
      </c>
      <c r="K1628" s="164">
        <v>120</v>
      </c>
      <c r="L1628" s="164"/>
      <c r="M1628" s="164"/>
      <c r="N1628" s="164"/>
      <c r="O1628" s="164"/>
      <c r="P1628" s="164"/>
      <c r="Q1628" s="164"/>
      <c r="R1628" s="164"/>
      <c r="S1628" s="164"/>
      <c r="T1628" s="164"/>
      <c r="U1628" s="164"/>
      <c r="V1628" s="164">
        <v>737.81899999999985</v>
      </c>
      <c r="W1628" s="173"/>
      <c r="X1628" s="17"/>
      <c r="Y1628" s="5">
        <f t="shared" si="150"/>
        <v>0</v>
      </c>
      <c r="Z1628" s="5">
        <f t="shared" si="151"/>
        <v>0</v>
      </c>
      <c r="AA1628" s="5">
        <f t="shared" si="152"/>
        <v>0</v>
      </c>
      <c r="AB1628" s="5">
        <f t="shared" si="153"/>
        <v>0</v>
      </c>
      <c r="AC1628" s="5"/>
      <c r="AD1628" s="5">
        <v>0</v>
      </c>
      <c r="AE1628" s="5">
        <f t="shared" si="154"/>
        <v>0</v>
      </c>
      <c r="AF1628" s="70">
        <v>0</v>
      </c>
      <c r="AG1628" s="135">
        <v>40809</v>
      </c>
      <c r="AH1628" s="161"/>
      <c r="AI1628" s="135" t="s">
        <v>4336</v>
      </c>
      <c r="AJ1628" s="176" t="s">
        <v>4337</v>
      </c>
      <c r="AK1628" s="178"/>
      <c r="AL1628" s="180" t="s">
        <v>4579</v>
      </c>
      <c r="AM1628" s="182" t="s">
        <v>4580</v>
      </c>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39"/>
      <c r="CE1628" s="138"/>
      <c r="CF1628" s="139"/>
      <c r="CG1628" s="138"/>
      <c r="CH1628" s="139"/>
      <c r="CI1628" s="138"/>
      <c r="CJ1628" s="72"/>
      <c r="CK1628" s="139"/>
      <c r="CL1628" s="71"/>
      <c r="CM1628" s="139"/>
      <c r="CN1628" s="138"/>
      <c r="CO1628" s="138"/>
      <c r="CP1628" s="138"/>
      <c r="CQ1628" s="139"/>
      <c r="CR1628" s="138"/>
      <c r="CS1628" s="45"/>
      <c r="CT1628" s="138"/>
      <c r="CU1628" s="45"/>
      <c r="CV1628" s="99">
        <f t="shared" si="155"/>
        <v>0</v>
      </c>
      <c r="CW1628" s="139"/>
      <c r="CX1628" s="138"/>
      <c r="CY1628" s="138"/>
      <c r="CZ1628" s="138"/>
      <c r="DA1628" s="139"/>
      <c r="DB1628" s="138"/>
      <c r="DC1628" s="45"/>
      <c r="DD1628" s="138"/>
      <c r="DE1628" s="45"/>
      <c r="DF1628" s="46"/>
    </row>
    <row r="1629" spans="1:110" s="42" customFormat="1" ht="48" x14ac:dyDescent="0.2">
      <c r="A1629" s="89">
        <v>40724</v>
      </c>
      <c r="B1629" s="145" t="s">
        <v>4344</v>
      </c>
      <c r="C1629" s="145" t="s">
        <v>1675</v>
      </c>
      <c r="D1629" s="145" t="s">
        <v>3346</v>
      </c>
      <c r="E1629" s="90" t="str">
        <f>VLOOKUP(B1629&amp;C1629,Divipola!$C$2:$F$1138,4,FALSE)</f>
        <v>25178</v>
      </c>
      <c r="F1629" s="145"/>
      <c r="G1629" s="164"/>
      <c r="H1629" s="164"/>
      <c r="I1629" s="164"/>
      <c r="J1629" s="164">
        <v>114</v>
      </c>
      <c r="K1629" s="164">
        <v>38</v>
      </c>
      <c r="L1629" s="164"/>
      <c r="M1629" s="164"/>
      <c r="N1629" s="164"/>
      <c r="O1629" s="164"/>
      <c r="P1629" s="164"/>
      <c r="Q1629" s="164"/>
      <c r="R1629" s="164"/>
      <c r="S1629" s="164"/>
      <c r="T1629" s="164"/>
      <c r="U1629" s="164"/>
      <c r="V1629" s="164">
        <v>68</v>
      </c>
      <c r="W1629" s="173"/>
      <c r="X1629" s="17"/>
      <c r="Y1629" s="5">
        <f t="shared" si="150"/>
        <v>0</v>
      </c>
      <c r="Z1629" s="5">
        <f t="shared" si="151"/>
        <v>0</v>
      </c>
      <c r="AA1629" s="5">
        <f t="shared" si="152"/>
        <v>0</v>
      </c>
      <c r="AB1629" s="5">
        <f t="shared" si="153"/>
        <v>0</v>
      </c>
      <c r="AC1629" s="5"/>
      <c r="AD1629" s="5">
        <v>0</v>
      </c>
      <c r="AE1629" s="5">
        <f t="shared" si="154"/>
        <v>0</v>
      </c>
      <c r="AF1629" s="70">
        <v>0</v>
      </c>
      <c r="AG1629" s="135">
        <v>40809</v>
      </c>
      <c r="AH1629" s="161"/>
      <c r="AI1629" s="135" t="s">
        <v>4336</v>
      </c>
      <c r="AJ1629" s="176" t="s">
        <v>4337</v>
      </c>
      <c r="AK1629" s="178"/>
      <c r="AL1629" s="180" t="s">
        <v>4579</v>
      </c>
      <c r="AM1629" s="182" t="s">
        <v>4580</v>
      </c>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39"/>
      <c r="CE1629" s="138"/>
      <c r="CF1629" s="139"/>
      <c r="CG1629" s="138"/>
      <c r="CH1629" s="139"/>
      <c r="CI1629" s="138"/>
      <c r="CJ1629" s="72"/>
      <c r="CK1629" s="139"/>
      <c r="CL1629" s="71"/>
      <c r="CM1629" s="139"/>
      <c r="CN1629" s="138"/>
      <c r="CO1629" s="138"/>
      <c r="CP1629" s="138"/>
      <c r="CQ1629" s="139"/>
      <c r="CR1629" s="138"/>
      <c r="CS1629" s="45"/>
      <c r="CT1629" s="138"/>
      <c r="CU1629" s="45"/>
      <c r="CV1629" s="99">
        <f t="shared" si="155"/>
        <v>0</v>
      </c>
      <c r="CW1629" s="139"/>
      <c r="CX1629" s="138"/>
      <c r="CY1629" s="138"/>
      <c r="CZ1629" s="138"/>
      <c r="DA1629" s="139"/>
      <c r="DB1629" s="138"/>
      <c r="DC1629" s="45"/>
      <c r="DD1629" s="138"/>
      <c r="DE1629" s="45"/>
      <c r="DF1629" s="46"/>
    </row>
    <row r="1630" spans="1:110" s="42" customFormat="1" x14ac:dyDescent="0.2">
      <c r="A1630" s="89">
        <v>40724</v>
      </c>
      <c r="B1630" s="16" t="s">
        <v>4344</v>
      </c>
      <c r="C1630" s="16" t="s">
        <v>3546</v>
      </c>
      <c r="D1630" s="90" t="s">
        <v>4264</v>
      </c>
      <c r="E1630" s="90" t="str">
        <f>VLOOKUP(B1630&amp;C1630,Divipola!$C$2:$F$1138,4,FALSE)</f>
        <v>25181</v>
      </c>
      <c r="F1630" s="4"/>
      <c r="G1630" s="208"/>
      <c r="H1630" s="208"/>
      <c r="I1630" s="208"/>
      <c r="J1630" s="208">
        <v>2104</v>
      </c>
      <c r="K1630" s="208">
        <v>539</v>
      </c>
      <c r="L1630" s="208"/>
      <c r="M1630" s="208">
        <v>539</v>
      </c>
      <c r="N1630" s="208"/>
      <c r="O1630" s="208"/>
      <c r="P1630" s="208"/>
      <c r="Q1630" s="208"/>
      <c r="R1630" s="208"/>
      <c r="S1630" s="208"/>
      <c r="T1630" s="208"/>
      <c r="U1630" s="208"/>
      <c r="V1630" s="208"/>
      <c r="W1630" s="19"/>
      <c r="X1630" s="17"/>
      <c r="Y1630" s="5">
        <f t="shared" ref="Y1630:Y1693" si="156">CV1630</f>
        <v>0</v>
      </c>
      <c r="Z1630" s="5">
        <f t="shared" ref="Z1630:Z1693" si="157">CZ1630</f>
        <v>0</v>
      </c>
      <c r="AA1630" s="5">
        <f t="shared" ref="AA1630:AA1693" si="158">DB1630+DD1630</f>
        <v>0</v>
      </c>
      <c r="AB1630" s="5">
        <f t="shared" ref="AB1630:AB1693" si="159">CX1630</f>
        <v>0</v>
      </c>
      <c r="AC1630" s="5"/>
      <c r="AD1630" s="5">
        <v>0</v>
      </c>
      <c r="AE1630" s="5">
        <f t="shared" ref="AE1630:AE1693" si="160">Y1630+Z1630+AA1630+AB1630+AC1630+AD1630</f>
        <v>0</v>
      </c>
      <c r="AF1630" s="70">
        <v>0</v>
      </c>
      <c r="AG1630" s="17"/>
      <c r="AH1630" s="18"/>
      <c r="AI1630" s="47" t="s">
        <v>4336</v>
      </c>
      <c r="AJ1630" s="73" t="s">
        <v>4337</v>
      </c>
      <c r="AK1630" s="45"/>
      <c r="AL1630" s="17"/>
      <c r="AM1630" s="20" t="s">
        <v>18</v>
      </c>
      <c r="AN1630" s="19"/>
      <c r="AO1630" s="19"/>
      <c r="AP1630" s="19"/>
      <c r="AQ1630" s="19"/>
      <c r="AR1630" s="19"/>
      <c r="AS1630" s="19"/>
      <c r="AT1630" s="19"/>
      <c r="AU1630" s="19"/>
      <c r="AV1630" s="19"/>
      <c r="AW1630" s="19"/>
      <c r="AX1630" s="107"/>
      <c r="AY1630" s="107"/>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39"/>
      <c r="CO1630" s="138"/>
      <c r="CP1630" s="139"/>
      <c r="CQ1630" s="138"/>
      <c r="CR1630" s="139"/>
      <c r="CS1630" s="138"/>
      <c r="CT1630" s="72"/>
      <c r="CU1630" s="139"/>
      <c r="CV1630" s="99">
        <f t="shared" si="155"/>
        <v>0</v>
      </c>
      <c r="CW1630" s="139"/>
      <c r="CX1630" s="138"/>
      <c r="CY1630" s="138"/>
      <c r="CZ1630" s="138"/>
      <c r="DA1630" s="139"/>
      <c r="DB1630" s="138"/>
      <c r="DC1630" s="45"/>
      <c r="DD1630" s="138"/>
      <c r="DE1630" s="45"/>
      <c r="DF1630" s="46"/>
    </row>
    <row r="1631" spans="1:110" s="42" customFormat="1" ht="48" x14ac:dyDescent="0.2">
      <c r="A1631" s="89">
        <v>40724</v>
      </c>
      <c r="B1631" s="145" t="s">
        <v>4344</v>
      </c>
      <c r="C1631" s="145" t="s">
        <v>3546</v>
      </c>
      <c r="D1631" s="145" t="s">
        <v>3346</v>
      </c>
      <c r="E1631" s="90" t="str">
        <f>VLOOKUP(B1631&amp;C1631,Divipola!$C$2:$F$1138,4,FALSE)</f>
        <v>25181</v>
      </c>
      <c r="F1631" s="145"/>
      <c r="G1631" s="164"/>
      <c r="H1631" s="164"/>
      <c r="I1631" s="164"/>
      <c r="J1631" s="164">
        <v>159</v>
      </c>
      <c r="K1631" s="164">
        <v>53</v>
      </c>
      <c r="L1631" s="164"/>
      <c r="M1631" s="164"/>
      <c r="N1631" s="164"/>
      <c r="O1631" s="164"/>
      <c r="P1631" s="164"/>
      <c r="Q1631" s="164"/>
      <c r="R1631" s="164"/>
      <c r="S1631" s="164"/>
      <c r="T1631" s="164"/>
      <c r="U1631" s="164"/>
      <c r="V1631" s="164">
        <v>209.75999999999993</v>
      </c>
      <c r="W1631" s="173"/>
      <c r="X1631" s="17"/>
      <c r="Y1631" s="5">
        <f t="shared" si="156"/>
        <v>0</v>
      </c>
      <c r="Z1631" s="5">
        <f t="shared" si="157"/>
        <v>0</v>
      </c>
      <c r="AA1631" s="5">
        <f t="shared" si="158"/>
        <v>0</v>
      </c>
      <c r="AB1631" s="5">
        <f t="shared" si="159"/>
        <v>0</v>
      </c>
      <c r="AC1631" s="5"/>
      <c r="AD1631" s="5">
        <v>0</v>
      </c>
      <c r="AE1631" s="5">
        <f t="shared" si="160"/>
        <v>0</v>
      </c>
      <c r="AF1631" s="70">
        <v>0</v>
      </c>
      <c r="AG1631" s="135">
        <v>40809</v>
      </c>
      <c r="AH1631" s="161"/>
      <c r="AI1631" s="135" t="s">
        <v>4336</v>
      </c>
      <c r="AJ1631" s="176" t="s">
        <v>4337</v>
      </c>
      <c r="AK1631" s="178"/>
      <c r="AL1631" s="180" t="s">
        <v>4579</v>
      </c>
      <c r="AM1631" s="182" t="s">
        <v>4580</v>
      </c>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39"/>
      <c r="CE1631" s="138"/>
      <c r="CF1631" s="139"/>
      <c r="CG1631" s="138"/>
      <c r="CH1631" s="139"/>
      <c r="CI1631" s="138"/>
      <c r="CJ1631" s="72"/>
      <c r="CK1631" s="139"/>
      <c r="CL1631" s="71"/>
      <c r="CM1631" s="139"/>
      <c r="CN1631" s="138"/>
      <c r="CO1631" s="138"/>
      <c r="CP1631" s="138"/>
      <c r="CQ1631" s="139"/>
      <c r="CR1631" s="138"/>
      <c r="CS1631" s="45"/>
      <c r="CT1631" s="138"/>
      <c r="CU1631" s="45"/>
      <c r="CV1631" s="99">
        <f t="shared" si="155"/>
        <v>0</v>
      </c>
      <c r="CW1631" s="139"/>
      <c r="CX1631" s="138"/>
      <c r="CY1631" s="138"/>
      <c r="CZ1631" s="138"/>
      <c r="DA1631" s="139"/>
      <c r="DB1631" s="138"/>
      <c r="DC1631" s="45"/>
      <c r="DD1631" s="138"/>
      <c r="DE1631" s="45"/>
      <c r="DF1631" s="46"/>
    </row>
    <row r="1632" spans="1:110" s="42" customFormat="1" ht="48" x14ac:dyDescent="0.2">
      <c r="A1632" s="89">
        <v>40724</v>
      </c>
      <c r="B1632" s="145" t="s">
        <v>4344</v>
      </c>
      <c r="C1632" s="145" t="s">
        <v>4511</v>
      </c>
      <c r="D1632" s="145" t="s">
        <v>3346</v>
      </c>
      <c r="E1632" s="90" t="str">
        <f>VLOOKUP(B1632&amp;C1632,Divipola!$C$2:$F$1138,4,FALSE)</f>
        <v>25183</v>
      </c>
      <c r="F1632" s="145"/>
      <c r="G1632" s="164"/>
      <c r="H1632" s="164"/>
      <c r="I1632" s="164"/>
      <c r="J1632" s="164">
        <v>309</v>
      </c>
      <c r="K1632" s="164">
        <v>103</v>
      </c>
      <c r="L1632" s="164"/>
      <c r="M1632" s="164"/>
      <c r="N1632" s="164"/>
      <c r="O1632" s="164"/>
      <c r="P1632" s="164"/>
      <c r="Q1632" s="164"/>
      <c r="R1632" s="164"/>
      <c r="S1632" s="164"/>
      <c r="T1632" s="164"/>
      <c r="U1632" s="164"/>
      <c r="V1632" s="164">
        <v>687.8</v>
      </c>
      <c r="W1632" s="173"/>
      <c r="X1632" s="17"/>
      <c r="Y1632" s="5">
        <f t="shared" si="156"/>
        <v>0</v>
      </c>
      <c r="Z1632" s="5">
        <f t="shared" si="157"/>
        <v>0</v>
      </c>
      <c r="AA1632" s="5">
        <f t="shared" si="158"/>
        <v>0</v>
      </c>
      <c r="AB1632" s="5">
        <f t="shared" si="159"/>
        <v>0</v>
      </c>
      <c r="AC1632" s="5"/>
      <c r="AD1632" s="5">
        <v>0</v>
      </c>
      <c r="AE1632" s="5">
        <f t="shared" si="160"/>
        <v>0</v>
      </c>
      <c r="AF1632" s="70">
        <v>0</v>
      </c>
      <c r="AG1632" s="135">
        <v>40809</v>
      </c>
      <c r="AH1632" s="161"/>
      <c r="AI1632" s="135" t="s">
        <v>4336</v>
      </c>
      <c r="AJ1632" s="176" t="s">
        <v>4337</v>
      </c>
      <c r="AK1632" s="178"/>
      <c r="AL1632" s="180" t="s">
        <v>4579</v>
      </c>
      <c r="AM1632" s="182" t="s">
        <v>4580</v>
      </c>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39"/>
      <c r="CE1632" s="138"/>
      <c r="CF1632" s="139"/>
      <c r="CG1632" s="138"/>
      <c r="CH1632" s="139"/>
      <c r="CI1632" s="138"/>
      <c r="CJ1632" s="72"/>
      <c r="CK1632" s="139"/>
      <c r="CL1632" s="71"/>
      <c r="CM1632" s="139"/>
      <c r="CN1632" s="138"/>
      <c r="CO1632" s="138"/>
      <c r="CP1632" s="138"/>
      <c r="CQ1632" s="139"/>
      <c r="CR1632" s="138"/>
      <c r="CS1632" s="45"/>
      <c r="CT1632" s="138"/>
      <c r="CU1632" s="45"/>
      <c r="CV1632" s="99">
        <f t="shared" si="155"/>
        <v>0</v>
      </c>
      <c r="CW1632" s="139"/>
      <c r="CX1632" s="138"/>
      <c r="CY1632" s="138"/>
      <c r="CZ1632" s="138"/>
      <c r="DA1632" s="139"/>
      <c r="DB1632" s="138"/>
      <c r="DC1632" s="45"/>
      <c r="DD1632" s="138"/>
      <c r="DE1632" s="45"/>
      <c r="DF1632" s="46"/>
    </row>
    <row r="1633" spans="1:110" s="42" customFormat="1" ht="48" x14ac:dyDescent="0.2">
      <c r="A1633" s="89">
        <v>40724</v>
      </c>
      <c r="B1633" s="145" t="s">
        <v>4344</v>
      </c>
      <c r="C1633" s="145" t="s">
        <v>2208</v>
      </c>
      <c r="D1633" s="145" t="s">
        <v>3346</v>
      </c>
      <c r="E1633" s="90" t="str">
        <f>VLOOKUP(B1633&amp;C1633,Divipola!$C$2:$F$1138,4,FALSE)</f>
        <v>25200</v>
      </c>
      <c r="F1633" s="145"/>
      <c r="G1633" s="164"/>
      <c r="H1633" s="164"/>
      <c r="I1633" s="164"/>
      <c r="J1633" s="164">
        <v>222</v>
      </c>
      <c r="K1633" s="164">
        <v>74</v>
      </c>
      <c r="L1633" s="164"/>
      <c r="M1633" s="164"/>
      <c r="N1633" s="164"/>
      <c r="O1633" s="164"/>
      <c r="P1633" s="164"/>
      <c r="Q1633" s="164"/>
      <c r="R1633" s="164"/>
      <c r="S1633" s="164"/>
      <c r="T1633" s="164"/>
      <c r="U1633" s="164"/>
      <c r="V1633" s="164">
        <v>547.34999999999991</v>
      </c>
      <c r="W1633" s="173"/>
      <c r="X1633" s="17"/>
      <c r="Y1633" s="5">
        <f t="shared" si="156"/>
        <v>0</v>
      </c>
      <c r="Z1633" s="5">
        <f t="shared" si="157"/>
        <v>0</v>
      </c>
      <c r="AA1633" s="5">
        <f t="shared" si="158"/>
        <v>0</v>
      </c>
      <c r="AB1633" s="5">
        <f t="shared" si="159"/>
        <v>0</v>
      </c>
      <c r="AC1633" s="5"/>
      <c r="AD1633" s="5">
        <v>0</v>
      </c>
      <c r="AE1633" s="5">
        <f t="shared" si="160"/>
        <v>0</v>
      </c>
      <c r="AF1633" s="70">
        <v>0</v>
      </c>
      <c r="AG1633" s="135">
        <v>40809</v>
      </c>
      <c r="AH1633" s="161"/>
      <c r="AI1633" s="135" t="s">
        <v>4336</v>
      </c>
      <c r="AJ1633" s="176" t="s">
        <v>4337</v>
      </c>
      <c r="AK1633" s="178"/>
      <c r="AL1633" s="180" t="s">
        <v>4579</v>
      </c>
      <c r="AM1633" s="182" t="s">
        <v>4580</v>
      </c>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39"/>
      <c r="CE1633" s="138"/>
      <c r="CF1633" s="139"/>
      <c r="CG1633" s="138"/>
      <c r="CH1633" s="139"/>
      <c r="CI1633" s="138"/>
      <c r="CJ1633" s="72"/>
      <c r="CK1633" s="139"/>
      <c r="CL1633" s="71"/>
      <c r="CM1633" s="139"/>
      <c r="CN1633" s="138"/>
      <c r="CO1633" s="138"/>
      <c r="CP1633" s="138"/>
      <c r="CQ1633" s="139"/>
      <c r="CR1633" s="138"/>
      <c r="CS1633" s="45"/>
      <c r="CT1633" s="138"/>
      <c r="CU1633" s="45"/>
      <c r="CV1633" s="99">
        <f t="shared" si="155"/>
        <v>0</v>
      </c>
      <c r="CW1633" s="139"/>
      <c r="CX1633" s="138"/>
      <c r="CY1633" s="138"/>
      <c r="CZ1633" s="138"/>
      <c r="DA1633" s="139"/>
      <c r="DB1633" s="138"/>
      <c r="DC1633" s="45"/>
      <c r="DD1633" s="138"/>
      <c r="DE1633" s="45"/>
      <c r="DF1633" s="46"/>
    </row>
    <row r="1634" spans="1:110" s="42" customFormat="1" ht="48" x14ac:dyDescent="0.2">
      <c r="A1634" s="89">
        <v>40724</v>
      </c>
      <c r="B1634" s="145" t="s">
        <v>4344</v>
      </c>
      <c r="C1634" s="145" t="s">
        <v>2209</v>
      </c>
      <c r="D1634" s="145" t="s">
        <v>3346</v>
      </c>
      <c r="E1634" s="90" t="str">
        <f>VLOOKUP(B1634&amp;C1634,Divipola!$C$2:$F$1138,4,FALSE)</f>
        <v>25214</v>
      </c>
      <c r="F1634" s="145"/>
      <c r="G1634" s="164"/>
      <c r="H1634" s="164"/>
      <c r="I1634" s="164"/>
      <c r="J1634" s="164">
        <v>330</v>
      </c>
      <c r="K1634" s="164">
        <v>110</v>
      </c>
      <c r="L1634" s="164"/>
      <c r="M1634" s="164"/>
      <c r="N1634" s="164"/>
      <c r="O1634" s="164"/>
      <c r="P1634" s="164"/>
      <c r="Q1634" s="164"/>
      <c r="R1634" s="164"/>
      <c r="S1634" s="164"/>
      <c r="T1634" s="164"/>
      <c r="U1634" s="164"/>
      <c r="V1634" s="164">
        <v>736.17100000000005</v>
      </c>
      <c r="W1634" s="173"/>
      <c r="X1634" s="17"/>
      <c r="Y1634" s="5">
        <f t="shared" si="156"/>
        <v>0</v>
      </c>
      <c r="Z1634" s="5">
        <f t="shared" si="157"/>
        <v>0</v>
      </c>
      <c r="AA1634" s="5">
        <f t="shared" si="158"/>
        <v>0</v>
      </c>
      <c r="AB1634" s="5">
        <f t="shared" si="159"/>
        <v>0</v>
      </c>
      <c r="AC1634" s="5"/>
      <c r="AD1634" s="5">
        <v>0</v>
      </c>
      <c r="AE1634" s="5">
        <f t="shared" si="160"/>
        <v>0</v>
      </c>
      <c r="AF1634" s="70">
        <v>0</v>
      </c>
      <c r="AG1634" s="135">
        <v>40809</v>
      </c>
      <c r="AH1634" s="161"/>
      <c r="AI1634" s="135" t="s">
        <v>4336</v>
      </c>
      <c r="AJ1634" s="176" t="s">
        <v>4337</v>
      </c>
      <c r="AK1634" s="178"/>
      <c r="AL1634" s="180" t="s">
        <v>4579</v>
      </c>
      <c r="AM1634" s="182" t="s">
        <v>4580</v>
      </c>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39"/>
      <c r="CE1634" s="138"/>
      <c r="CF1634" s="139"/>
      <c r="CG1634" s="138"/>
      <c r="CH1634" s="139"/>
      <c r="CI1634" s="138"/>
      <c r="CJ1634" s="72"/>
      <c r="CK1634" s="139"/>
      <c r="CL1634" s="71"/>
      <c r="CM1634" s="139"/>
      <c r="CN1634" s="138"/>
      <c r="CO1634" s="138"/>
      <c r="CP1634" s="138"/>
      <c r="CQ1634" s="139"/>
      <c r="CR1634" s="138"/>
      <c r="CS1634" s="45"/>
      <c r="CT1634" s="138"/>
      <c r="CU1634" s="45"/>
      <c r="CV1634" s="99">
        <f t="shared" si="155"/>
        <v>0</v>
      </c>
      <c r="CW1634" s="139"/>
      <c r="CX1634" s="138"/>
      <c r="CY1634" s="138"/>
      <c r="CZ1634" s="138"/>
      <c r="DA1634" s="139"/>
      <c r="DB1634" s="138"/>
      <c r="DC1634" s="45"/>
      <c r="DD1634" s="138"/>
      <c r="DE1634" s="45"/>
      <c r="DF1634" s="46"/>
    </row>
    <row r="1635" spans="1:110" s="42" customFormat="1" x14ac:dyDescent="0.2">
      <c r="A1635" s="89">
        <v>40724</v>
      </c>
      <c r="B1635" s="16" t="s">
        <v>4344</v>
      </c>
      <c r="C1635" s="16" t="s">
        <v>1027</v>
      </c>
      <c r="D1635" s="90" t="s">
        <v>4264</v>
      </c>
      <c r="E1635" s="90" t="str">
        <f>VLOOKUP(B1635&amp;C1635,Divipola!$C$2:$F$1138,4,FALSE)</f>
        <v>25224</v>
      </c>
      <c r="F1635" s="4"/>
      <c r="G1635" s="208"/>
      <c r="H1635" s="208"/>
      <c r="I1635" s="208"/>
      <c r="J1635" s="208">
        <v>237</v>
      </c>
      <c r="K1635" s="208">
        <v>63</v>
      </c>
      <c r="L1635" s="208"/>
      <c r="M1635" s="208">
        <v>63</v>
      </c>
      <c r="N1635" s="208"/>
      <c r="O1635" s="208"/>
      <c r="P1635" s="208"/>
      <c r="Q1635" s="208"/>
      <c r="R1635" s="208"/>
      <c r="S1635" s="208"/>
      <c r="T1635" s="208"/>
      <c r="U1635" s="208"/>
      <c r="V1635" s="208"/>
      <c r="W1635" s="19"/>
      <c r="X1635" s="17"/>
      <c r="Y1635" s="5">
        <f t="shared" si="156"/>
        <v>0</v>
      </c>
      <c r="Z1635" s="5">
        <f t="shared" si="157"/>
        <v>0</v>
      </c>
      <c r="AA1635" s="5">
        <f t="shared" si="158"/>
        <v>0</v>
      </c>
      <c r="AB1635" s="5">
        <f t="shared" si="159"/>
        <v>0</v>
      </c>
      <c r="AC1635" s="5"/>
      <c r="AD1635" s="5">
        <v>0</v>
      </c>
      <c r="AE1635" s="5">
        <f t="shared" si="160"/>
        <v>0</v>
      </c>
      <c r="AF1635" s="70">
        <v>0</v>
      </c>
      <c r="AG1635" s="17"/>
      <c r="AH1635" s="18"/>
      <c r="AI1635" s="47" t="s">
        <v>4336</v>
      </c>
      <c r="AJ1635" s="73" t="s">
        <v>4337</v>
      </c>
      <c r="AK1635" s="45"/>
      <c r="AL1635" s="17"/>
      <c r="AM1635" s="20" t="s">
        <v>18</v>
      </c>
      <c r="AN1635" s="19"/>
      <c r="AO1635" s="19"/>
      <c r="AP1635" s="19"/>
      <c r="AQ1635" s="19"/>
      <c r="AR1635" s="19"/>
      <c r="AS1635" s="19"/>
      <c r="AT1635" s="19"/>
      <c r="AU1635" s="19"/>
      <c r="AV1635" s="19"/>
      <c r="AW1635" s="19"/>
      <c r="AX1635" s="107"/>
      <c r="AY1635" s="107"/>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39"/>
      <c r="CO1635" s="138"/>
      <c r="CP1635" s="139"/>
      <c r="CQ1635" s="138"/>
      <c r="CR1635" s="139"/>
      <c r="CS1635" s="138"/>
      <c r="CT1635" s="72"/>
      <c r="CU1635" s="139"/>
      <c r="CV1635" s="99">
        <f t="shared" si="155"/>
        <v>0</v>
      </c>
      <c r="CW1635" s="139"/>
      <c r="CX1635" s="138"/>
      <c r="CY1635" s="138"/>
      <c r="CZ1635" s="138"/>
      <c r="DA1635" s="139"/>
      <c r="DB1635" s="138"/>
      <c r="DC1635" s="45"/>
      <c r="DD1635" s="138"/>
      <c r="DE1635" s="45"/>
      <c r="DF1635" s="46"/>
    </row>
    <row r="1636" spans="1:110" s="42" customFormat="1" ht="48" x14ac:dyDescent="0.2">
      <c r="A1636" s="89">
        <v>40724</v>
      </c>
      <c r="B1636" s="145" t="s">
        <v>4344</v>
      </c>
      <c r="C1636" s="145" t="s">
        <v>1027</v>
      </c>
      <c r="D1636" s="145" t="s">
        <v>3346</v>
      </c>
      <c r="E1636" s="90" t="str">
        <f>VLOOKUP(B1636&amp;C1636,Divipola!$C$2:$F$1138,4,FALSE)</f>
        <v>25224</v>
      </c>
      <c r="F1636" s="145"/>
      <c r="G1636" s="164"/>
      <c r="H1636" s="164"/>
      <c r="I1636" s="164"/>
      <c r="J1636" s="164">
        <v>195</v>
      </c>
      <c r="K1636" s="164">
        <v>65</v>
      </c>
      <c r="L1636" s="164"/>
      <c r="M1636" s="164"/>
      <c r="N1636" s="164"/>
      <c r="O1636" s="164"/>
      <c r="P1636" s="164"/>
      <c r="Q1636" s="164"/>
      <c r="R1636" s="164"/>
      <c r="S1636" s="164"/>
      <c r="T1636" s="164"/>
      <c r="U1636" s="164"/>
      <c r="V1636" s="164">
        <v>557.56999999999982</v>
      </c>
      <c r="W1636" s="173"/>
      <c r="X1636" s="17"/>
      <c r="Y1636" s="5">
        <f t="shared" si="156"/>
        <v>0</v>
      </c>
      <c r="Z1636" s="5">
        <f t="shared" si="157"/>
        <v>0</v>
      </c>
      <c r="AA1636" s="5">
        <f t="shared" si="158"/>
        <v>0</v>
      </c>
      <c r="AB1636" s="5">
        <f t="shared" si="159"/>
        <v>0</v>
      </c>
      <c r="AC1636" s="5"/>
      <c r="AD1636" s="5">
        <v>0</v>
      </c>
      <c r="AE1636" s="5">
        <f t="shared" si="160"/>
        <v>0</v>
      </c>
      <c r="AF1636" s="70">
        <v>0</v>
      </c>
      <c r="AG1636" s="135">
        <v>40809</v>
      </c>
      <c r="AH1636" s="161"/>
      <c r="AI1636" s="135" t="s">
        <v>4336</v>
      </c>
      <c r="AJ1636" s="176" t="s">
        <v>4337</v>
      </c>
      <c r="AK1636" s="178"/>
      <c r="AL1636" s="180" t="s">
        <v>4579</v>
      </c>
      <c r="AM1636" s="182" t="s">
        <v>4580</v>
      </c>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39"/>
      <c r="CE1636" s="138"/>
      <c r="CF1636" s="139"/>
      <c r="CG1636" s="138"/>
      <c r="CH1636" s="139"/>
      <c r="CI1636" s="138"/>
      <c r="CJ1636" s="72"/>
      <c r="CK1636" s="139"/>
      <c r="CL1636" s="71"/>
      <c r="CM1636" s="139"/>
      <c r="CN1636" s="138"/>
      <c r="CO1636" s="138"/>
      <c r="CP1636" s="138"/>
      <c r="CQ1636" s="139"/>
      <c r="CR1636" s="138"/>
      <c r="CS1636" s="45"/>
      <c r="CT1636" s="138"/>
      <c r="CU1636" s="45"/>
      <c r="CV1636" s="99">
        <f t="shared" si="155"/>
        <v>0</v>
      </c>
      <c r="CW1636" s="139"/>
      <c r="CX1636" s="138"/>
      <c r="CY1636" s="138"/>
      <c r="CZ1636" s="138"/>
      <c r="DA1636" s="139"/>
      <c r="DB1636" s="138"/>
      <c r="DC1636" s="45"/>
      <c r="DD1636" s="138"/>
      <c r="DE1636" s="45"/>
      <c r="DF1636" s="46"/>
    </row>
    <row r="1637" spans="1:110" s="42" customFormat="1" x14ac:dyDescent="0.2">
      <c r="A1637" s="89">
        <v>40724</v>
      </c>
      <c r="B1637" s="16" t="s">
        <v>4344</v>
      </c>
      <c r="C1637" s="16" t="s">
        <v>1683</v>
      </c>
      <c r="D1637" s="90" t="s">
        <v>4264</v>
      </c>
      <c r="E1637" s="90" t="str">
        <f>VLOOKUP(B1637&amp;C1637,Divipola!$C$2:$F$1138,4,FALSE)</f>
        <v>25245</v>
      </c>
      <c r="F1637" s="4"/>
      <c r="G1637" s="208"/>
      <c r="H1637" s="208"/>
      <c r="I1637" s="208"/>
      <c r="J1637" s="208">
        <v>213</v>
      </c>
      <c r="K1637" s="208">
        <v>76</v>
      </c>
      <c r="L1637" s="208"/>
      <c r="M1637" s="208">
        <v>76</v>
      </c>
      <c r="N1637" s="208"/>
      <c r="O1637" s="208"/>
      <c r="P1637" s="208"/>
      <c r="Q1637" s="208"/>
      <c r="R1637" s="208"/>
      <c r="S1637" s="208"/>
      <c r="T1637" s="208"/>
      <c r="U1637" s="208"/>
      <c r="V1637" s="208"/>
      <c r="W1637" s="19"/>
      <c r="X1637" s="17"/>
      <c r="Y1637" s="5">
        <f t="shared" si="156"/>
        <v>0</v>
      </c>
      <c r="Z1637" s="5">
        <f t="shared" si="157"/>
        <v>0</v>
      </c>
      <c r="AA1637" s="5">
        <f t="shared" si="158"/>
        <v>0</v>
      </c>
      <c r="AB1637" s="5">
        <f t="shared" si="159"/>
        <v>0</v>
      </c>
      <c r="AC1637" s="5"/>
      <c r="AD1637" s="5">
        <v>0</v>
      </c>
      <c r="AE1637" s="5">
        <f t="shared" si="160"/>
        <v>0</v>
      </c>
      <c r="AF1637" s="70">
        <v>0</v>
      </c>
      <c r="AG1637" s="17"/>
      <c r="AH1637" s="18"/>
      <c r="AI1637" s="47" t="s">
        <v>4336</v>
      </c>
      <c r="AJ1637" s="73" t="s">
        <v>4337</v>
      </c>
      <c r="AK1637" s="45"/>
      <c r="AL1637" s="17"/>
      <c r="AM1637" s="20" t="s">
        <v>18</v>
      </c>
      <c r="AN1637" s="19"/>
      <c r="AO1637" s="19"/>
      <c r="AP1637" s="19"/>
      <c r="AQ1637" s="19"/>
      <c r="AR1637" s="19"/>
      <c r="AS1637" s="19"/>
      <c r="AT1637" s="19"/>
      <c r="AU1637" s="19"/>
      <c r="AV1637" s="19"/>
      <c r="AW1637" s="19"/>
      <c r="AX1637" s="107"/>
      <c r="AY1637" s="107"/>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39"/>
      <c r="CO1637" s="138"/>
      <c r="CP1637" s="139"/>
      <c r="CQ1637" s="138"/>
      <c r="CR1637" s="139"/>
      <c r="CS1637" s="138"/>
      <c r="CT1637" s="72"/>
      <c r="CU1637" s="139"/>
      <c r="CV1637" s="99">
        <f t="shared" si="155"/>
        <v>0</v>
      </c>
      <c r="CW1637" s="139"/>
      <c r="CX1637" s="138"/>
      <c r="CY1637" s="138"/>
      <c r="CZ1637" s="138"/>
      <c r="DA1637" s="139"/>
      <c r="DB1637" s="138"/>
      <c r="DC1637" s="45"/>
      <c r="DD1637" s="138"/>
      <c r="DE1637" s="45"/>
      <c r="DF1637" s="46"/>
    </row>
    <row r="1638" spans="1:110" s="42" customFormat="1" ht="48" x14ac:dyDescent="0.2">
      <c r="A1638" s="89">
        <v>40724</v>
      </c>
      <c r="B1638" s="145" t="s">
        <v>4344</v>
      </c>
      <c r="C1638" s="145" t="s">
        <v>1683</v>
      </c>
      <c r="D1638" s="145" t="s">
        <v>3346</v>
      </c>
      <c r="E1638" s="90" t="str">
        <f>VLOOKUP(B1638&amp;C1638,Divipola!$C$2:$F$1138,4,FALSE)</f>
        <v>25245</v>
      </c>
      <c r="F1638" s="145"/>
      <c r="G1638" s="164"/>
      <c r="H1638" s="164"/>
      <c r="I1638" s="164"/>
      <c r="J1638" s="164">
        <v>180</v>
      </c>
      <c r="K1638" s="164">
        <v>60</v>
      </c>
      <c r="L1638" s="164"/>
      <c r="M1638" s="164"/>
      <c r="N1638" s="164"/>
      <c r="O1638" s="164"/>
      <c r="P1638" s="164"/>
      <c r="Q1638" s="164"/>
      <c r="R1638" s="164"/>
      <c r="S1638" s="164"/>
      <c r="T1638" s="164"/>
      <c r="U1638" s="164"/>
      <c r="V1638" s="164">
        <v>60.292000000000002</v>
      </c>
      <c r="W1638" s="173"/>
      <c r="X1638" s="17"/>
      <c r="Y1638" s="5">
        <f t="shared" si="156"/>
        <v>0</v>
      </c>
      <c r="Z1638" s="5">
        <f t="shared" si="157"/>
        <v>0</v>
      </c>
      <c r="AA1638" s="5">
        <f t="shared" si="158"/>
        <v>0</v>
      </c>
      <c r="AB1638" s="5">
        <f t="shared" si="159"/>
        <v>0</v>
      </c>
      <c r="AC1638" s="5"/>
      <c r="AD1638" s="5">
        <v>0</v>
      </c>
      <c r="AE1638" s="5">
        <f t="shared" si="160"/>
        <v>0</v>
      </c>
      <c r="AF1638" s="70">
        <v>0</v>
      </c>
      <c r="AG1638" s="135">
        <v>40809</v>
      </c>
      <c r="AH1638" s="161"/>
      <c r="AI1638" s="135" t="s">
        <v>4336</v>
      </c>
      <c r="AJ1638" s="176" t="s">
        <v>4337</v>
      </c>
      <c r="AK1638" s="178"/>
      <c r="AL1638" s="180" t="s">
        <v>4579</v>
      </c>
      <c r="AM1638" s="182" t="s">
        <v>4580</v>
      </c>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39"/>
      <c r="CE1638" s="138"/>
      <c r="CF1638" s="139"/>
      <c r="CG1638" s="138"/>
      <c r="CH1638" s="139"/>
      <c r="CI1638" s="138"/>
      <c r="CJ1638" s="72"/>
      <c r="CK1638" s="139"/>
      <c r="CL1638" s="71"/>
      <c r="CM1638" s="139"/>
      <c r="CN1638" s="138"/>
      <c r="CO1638" s="138"/>
      <c r="CP1638" s="138"/>
      <c r="CQ1638" s="139"/>
      <c r="CR1638" s="138"/>
      <c r="CS1638" s="45"/>
      <c r="CT1638" s="138"/>
      <c r="CU1638" s="45"/>
      <c r="CV1638" s="99">
        <f t="shared" si="155"/>
        <v>0</v>
      </c>
      <c r="CW1638" s="139"/>
      <c r="CX1638" s="138"/>
      <c r="CY1638" s="138"/>
      <c r="CZ1638" s="138"/>
      <c r="DA1638" s="139"/>
      <c r="DB1638" s="138"/>
      <c r="DC1638" s="45"/>
      <c r="DD1638" s="138"/>
      <c r="DE1638" s="45"/>
      <c r="DF1638" s="46"/>
    </row>
    <row r="1639" spans="1:110" s="42" customFormat="1" x14ac:dyDescent="0.2">
      <c r="A1639" s="89">
        <v>40724</v>
      </c>
      <c r="B1639" s="16" t="s">
        <v>4344</v>
      </c>
      <c r="C1639" s="90" t="s">
        <v>4310</v>
      </c>
      <c r="D1639" s="90" t="s">
        <v>4264</v>
      </c>
      <c r="E1639" s="90" t="str">
        <f>VLOOKUP(B1639&amp;C1639,Divipola!$C$2:$F$1138,4,FALSE)</f>
        <v>25258</v>
      </c>
      <c r="F1639" s="4"/>
      <c r="G1639" s="208"/>
      <c r="H1639" s="208"/>
      <c r="I1639" s="208"/>
      <c r="J1639" s="208">
        <v>143</v>
      </c>
      <c r="K1639" s="208">
        <v>59</v>
      </c>
      <c r="L1639" s="208"/>
      <c r="M1639" s="208">
        <v>59</v>
      </c>
      <c r="N1639" s="208"/>
      <c r="O1639" s="208"/>
      <c r="P1639" s="208"/>
      <c r="Q1639" s="208"/>
      <c r="R1639" s="208"/>
      <c r="S1639" s="208"/>
      <c r="T1639" s="208"/>
      <c r="U1639" s="208"/>
      <c r="V1639" s="208"/>
      <c r="W1639" s="19"/>
      <c r="X1639" s="17"/>
      <c r="Y1639" s="5">
        <f t="shared" si="156"/>
        <v>0</v>
      </c>
      <c r="Z1639" s="5">
        <f t="shared" si="157"/>
        <v>0</v>
      </c>
      <c r="AA1639" s="5">
        <f t="shared" si="158"/>
        <v>0</v>
      </c>
      <c r="AB1639" s="5">
        <f t="shared" si="159"/>
        <v>0</v>
      </c>
      <c r="AC1639" s="5"/>
      <c r="AD1639" s="5">
        <v>0</v>
      </c>
      <c r="AE1639" s="5">
        <f t="shared" si="160"/>
        <v>0</v>
      </c>
      <c r="AF1639" s="70">
        <v>0</v>
      </c>
      <c r="AG1639" s="17"/>
      <c r="AH1639" s="18"/>
      <c r="AI1639" s="47" t="s">
        <v>4336</v>
      </c>
      <c r="AJ1639" s="73" t="s">
        <v>4337</v>
      </c>
      <c r="AK1639" s="45"/>
      <c r="AL1639" s="17"/>
      <c r="AM1639" s="20" t="s">
        <v>18</v>
      </c>
      <c r="AN1639" s="19"/>
      <c r="AO1639" s="19"/>
      <c r="AP1639" s="19"/>
      <c r="AQ1639" s="19"/>
      <c r="AR1639" s="19"/>
      <c r="AS1639" s="19"/>
      <c r="AT1639" s="19"/>
      <c r="AU1639" s="19"/>
      <c r="AV1639" s="19"/>
      <c r="AW1639" s="19"/>
      <c r="AX1639" s="107"/>
      <c r="AY1639" s="107"/>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39"/>
      <c r="CO1639" s="138"/>
      <c r="CP1639" s="139"/>
      <c r="CQ1639" s="138"/>
      <c r="CR1639" s="139"/>
      <c r="CS1639" s="138"/>
      <c r="CT1639" s="72"/>
      <c r="CU1639" s="139"/>
      <c r="CV1639" s="99">
        <f t="shared" si="155"/>
        <v>0</v>
      </c>
      <c r="CW1639" s="139"/>
      <c r="CX1639" s="138"/>
      <c r="CY1639" s="138"/>
      <c r="CZ1639" s="138"/>
      <c r="DA1639" s="139"/>
      <c r="DB1639" s="138"/>
      <c r="DC1639" s="45"/>
      <c r="DD1639" s="138"/>
      <c r="DE1639" s="45"/>
      <c r="DF1639" s="46"/>
    </row>
    <row r="1640" spans="1:110" s="42" customFormat="1" ht="48" x14ac:dyDescent="0.2">
      <c r="A1640" s="89">
        <v>40724</v>
      </c>
      <c r="B1640" s="145" t="s">
        <v>4344</v>
      </c>
      <c r="C1640" s="145" t="s">
        <v>4310</v>
      </c>
      <c r="D1640" s="145" t="s">
        <v>3346</v>
      </c>
      <c r="E1640" s="90" t="str">
        <f>VLOOKUP(B1640&amp;C1640,Divipola!$C$2:$F$1138,4,FALSE)</f>
        <v>25258</v>
      </c>
      <c r="F1640" s="145"/>
      <c r="G1640" s="164"/>
      <c r="H1640" s="164"/>
      <c r="I1640" s="164"/>
      <c r="J1640" s="164">
        <v>237</v>
      </c>
      <c r="K1640" s="164">
        <v>79</v>
      </c>
      <c r="L1640" s="164"/>
      <c r="M1640" s="164"/>
      <c r="N1640" s="164"/>
      <c r="O1640" s="164"/>
      <c r="P1640" s="164"/>
      <c r="Q1640" s="164"/>
      <c r="R1640" s="164"/>
      <c r="S1640" s="164"/>
      <c r="T1640" s="164"/>
      <c r="U1640" s="164"/>
      <c r="V1640" s="164">
        <v>36.549999999999997</v>
      </c>
      <c r="W1640" s="173"/>
      <c r="X1640" s="17"/>
      <c r="Y1640" s="5">
        <f t="shared" si="156"/>
        <v>0</v>
      </c>
      <c r="Z1640" s="5">
        <f t="shared" si="157"/>
        <v>0</v>
      </c>
      <c r="AA1640" s="5">
        <f t="shared" si="158"/>
        <v>0</v>
      </c>
      <c r="AB1640" s="5">
        <f t="shared" si="159"/>
        <v>0</v>
      </c>
      <c r="AC1640" s="5"/>
      <c r="AD1640" s="5">
        <v>0</v>
      </c>
      <c r="AE1640" s="5">
        <f t="shared" si="160"/>
        <v>0</v>
      </c>
      <c r="AF1640" s="70">
        <v>0</v>
      </c>
      <c r="AG1640" s="135">
        <v>40809</v>
      </c>
      <c r="AH1640" s="161"/>
      <c r="AI1640" s="135" t="s">
        <v>4336</v>
      </c>
      <c r="AJ1640" s="176" t="s">
        <v>4337</v>
      </c>
      <c r="AK1640" s="178"/>
      <c r="AL1640" s="180" t="s">
        <v>4579</v>
      </c>
      <c r="AM1640" s="182" t="s">
        <v>4580</v>
      </c>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39"/>
      <c r="CE1640" s="138"/>
      <c r="CF1640" s="139"/>
      <c r="CG1640" s="138"/>
      <c r="CH1640" s="139"/>
      <c r="CI1640" s="138"/>
      <c r="CJ1640" s="72"/>
      <c r="CK1640" s="139"/>
      <c r="CL1640" s="71"/>
      <c r="CM1640" s="139"/>
      <c r="CN1640" s="138"/>
      <c r="CO1640" s="138"/>
      <c r="CP1640" s="138"/>
      <c r="CQ1640" s="139"/>
      <c r="CR1640" s="138"/>
      <c r="CS1640" s="45"/>
      <c r="CT1640" s="138"/>
      <c r="CU1640" s="45"/>
      <c r="CV1640" s="99">
        <f t="shared" si="155"/>
        <v>0</v>
      </c>
      <c r="CW1640" s="139"/>
      <c r="CX1640" s="138"/>
      <c r="CY1640" s="138"/>
      <c r="CZ1640" s="138"/>
      <c r="DA1640" s="139"/>
      <c r="DB1640" s="138"/>
      <c r="DC1640" s="45"/>
      <c r="DD1640" s="138"/>
      <c r="DE1640" s="45"/>
      <c r="DF1640" s="46"/>
    </row>
    <row r="1641" spans="1:110" s="42" customFormat="1" ht="48" x14ac:dyDescent="0.2">
      <c r="A1641" s="89">
        <v>40724</v>
      </c>
      <c r="B1641" s="145" t="s">
        <v>4344</v>
      </c>
      <c r="C1641" s="145" t="s">
        <v>1688</v>
      </c>
      <c r="D1641" s="145" t="s">
        <v>3346</v>
      </c>
      <c r="E1641" s="90" t="str">
        <f>VLOOKUP(B1641&amp;C1641,Divipola!$C$2:$F$1138,4,FALSE)</f>
        <v>25260</v>
      </c>
      <c r="F1641" s="145"/>
      <c r="G1641" s="164"/>
      <c r="H1641" s="164"/>
      <c r="I1641" s="164"/>
      <c r="J1641" s="164">
        <v>117</v>
      </c>
      <c r="K1641" s="164">
        <v>39</v>
      </c>
      <c r="L1641" s="164"/>
      <c r="M1641" s="164"/>
      <c r="N1641" s="164"/>
      <c r="O1641" s="164"/>
      <c r="P1641" s="164"/>
      <c r="Q1641" s="164"/>
      <c r="R1641" s="164"/>
      <c r="S1641" s="164"/>
      <c r="T1641" s="164"/>
      <c r="U1641" s="164"/>
      <c r="V1641" s="164">
        <v>562.5</v>
      </c>
      <c r="W1641" s="173"/>
      <c r="X1641" s="17"/>
      <c r="Y1641" s="5">
        <f t="shared" si="156"/>
        <v>0</v>
      </c>
      <c r="Z1641" s="5">
        <f t="shared" si="157"/>
        <v>0</v>
      </c>
      <c r="AA1641" s="5">
        <f t="shared" si="158"/>
        <v>0</v>
      </c>
      <c r="AB1641" s="5">
        <f t="shared" si="159"/>
        <v>0</v>
      </c>
      <c r="AC1641" s="5"/>
      <c r="AD1641" s="5">
        <v>0</v>
      </c>
      <c r="AE1641" s="5">
        <f t="shared" si="160"/>
        <v>0</v>
      </c>
      <c r="AF1641" s="70">
        <v>0</v>
      </c>
      <c r="AG1641" s="135">
        <v>40809</v>
      </c>
      <c r="AH1641" s="161"/>
      <c r="AI1641" s="135" t="s">
        <v>4336</v>
      </c>
      <c r="AJ1641" s="176" t="s">
        <v>4337</v>
      </c>
      <c r="AK1641" s="178"/>
      <c r="AL1641" s="180" t="s">
        <v>4579</v>
      </c>
      <c r="AM1641" s="182" t="s">
        <v>4580</v>
      </c>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39"/>
      <c r="CE1641" s="138"/>
      <c r="CF1641" s="139"/>
      <c r="CG1641" s="138"/>
      <c r="CH1641" s="139"/>
      <c r="CI1641" s="138"/>
      <c r="CJ1641" s="72"/>
      <c r="CK1641" s="139"/>
      <c r="CL1641" s="71"/>
      <c r="CM1641" s="139"/>
      <c r="CN1641" s="138"/>
      <c r="CO1641" s="138"/>
      <c r="CP1641" s="138"/>
      <c r="CQ1641" s="139"/>
      <c r="CR1641" s="138"/>
      <c r="CS1641" s="45"/>
      <c r="CT1641" s="138"/>
      <c r="CU1641" s="45"/>
      <c r="CV1641" s="99">
        <f t="shared" si="155"/>
        <v>0</v>
      </c>
      <c r="CW1641" s="139"/>
      <c r="CX1641" s="138"/>
      <c r="CY1641" s="138"/>
      <c r="CZ1641" s="138"/>
      <c r="DA1641" s="139"/>
      <c r="DB1641" s="138"/>
      <c r="DC1641" s="45"/>
      <c r="DD1641" s="138"/>
      <c r="DE1641" s="45"/>
      <c r="DF1641" s="46"/>
    </row>
    <row r="1642" spans="1:110" s="42" customFormat="1" x14ac:dyDescent="0.2">
      <c r="A1642" s="89">
        <v>40724</v>
      </c>
      <c r="B1642" s="16" t="s">
        <v>4344</v>
      </c>
      <c r="C1642" s="16" t="s">
        <v>3355</v>
      </c>
      <c r="D1642" s="90" t="s">
        <v>4264</v>
      </c>
      <c r="E1642" s="90" t="str">
        <f>VLOOKUP(B1642&amp;C1642,Divipola!$C$2:$F$1138,4,FALSE)</f>
        <v>25269</v>
      </c>
      <c r="F1642" s="4"/>
      <c r="G1642" s="208"/>
      <c r="H1642" s="208"/>
      <c r="I1642" s="208"/>
      <c r="J1642" s="208">
        <v>265</v>
      </c>
      <c r="K1642" s="208">
        <v>143</v>
      </c>
      <c r="L1642" s="208"/>
      <c r="M1642" s="208">
        <v>143</v>
      </c>
      <c r="N1642" s="208"/>
      <c r="O1642" s="208"/>
      <c r="P1642" s="208"/>
      <c r="Q1642" s="208"/>
      <c r="R1642" s="208"/>
      <c r="S1642" s="208"/>
      <c r="T1642" s="208"/>
      <c r="U1642" s="208"/>
      <c r="V1642" s="208"/>
      <c r="W1642" s="19"/>
      <c r="X1642" s="17"/>
      <c r="Y1642" s="5">
        <f t="shared" si="156"/>
        <v>0</v>
      </c>
      <c r="Z1642" s="5">
        <f t="shared" si="157"/>
        <v>0</v>
      </c>
      <c r="AA1642" s="5">
        <f t="shared" si="158"/>
        <v>0</v>
      </c>
      <c r="AB1642" s="5">
        <f t="shared" si="159"/>
        <v>0</v>
      </c>
      <c r="AC1642" s="5"/>
      <c r="AD1642" s="5">
        <v>0</v>
      </c>
      <c r="AE1642" s="5">
        <f t="shared" si="160"/>
        <v>0</v>
      </c>
      <c r="AF1642" s="70">
        <v>0</v>
      </c>
      <c r="AG1642" s="17"/>
      <c r="AH1642" s="18"/>
      <c r="AI1642" s="47" t="s">
        <v>4336</v>
      </c>
      <c r="AJ1642" s="73" t="s">
        <v>4337</v>
      </c>
      <c r="AK1642" s="45"/>
      <c r="AL1642" s="17"/>
      <c r="AM1642" s="20" t="s">
        <v>18</v>
      </c>
      <c r="AN1642" s="19"/>
      <c r="AO1642" s="19"/>
      <c r="AP1642" s="19"/>
      <c r="AQ1642" s="19"/>
      <c r="AR1642" s="19"/>
      <c r="AS1642" s="19"/>
      <c r="AT1642" s="19"/>
      <c r="AU1642" s="19"/>
      <c r="AV1642" s="19"/>
      <c r="AW1642" s="19"/>
      <c r="AX1642" s="107"/>
      <c r="AY1642" s="107"/>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39"/>
      <c r="CO1642" s="138"/>
      <c r="CP1642" s="139"/>
      <c r="CQ1642" s="138"/>
      <c r="CR1642" s="139"/>
      <c r="CS1642" s="138"/>
      <c r="CT1642" s="72"/>
      <c r="CU1642" s="139"/>
      <c r="CV1642" s="99">
        <f t="shared" si="155"/>
        <v>0</v>
      </c>
      <c r="CW1642" s="139"/>
      <c r="CX1642" s="138"/>
      <c r="CY1642" s="138"/>
      <c r="CZ1642" s="138"/>
      <c r="DA1642" s="139"/>
      <c r="DB1642" s="138"/>
      <c r="DC1642" s="45"/>
      <c r="DD1642" s="138"/>
      <c r="DE1642" s="45"/>
      <c r="DF1642" s="46"/>
    </row>
    <row r="1643" spans="1:110" s="42" customFormat="1" ht="48" x14ac:dyDescent="0.2">
      <c r="A1643" s="89">
        <v>40724</v>
      </c>
      <c r="B1643" s="145" t="s">
        <v>4344</v>
      </c>
      <c r="C1643" s="145" t="s">
        <v>3355</v>
      </c>
      <c r="D1643" s="145" t="s">
        <v>3346</v>
      </c>
      <c r="E1643" s="90" t="str">
        <f>VLOOKUP(B1643&amp;C1643,Divipola!$C$2:$F$1138,4,FALSE)</f>
        <v>25269</v>
      </c>
      <c r="F1643" s="145"/>
      <c r="G1643" s="164"/>
      <c r="H1643" s="164"/>
      <c r="I1643" s="164"/>
      <c r="J1643" s="164">
        <v>129</v>
      </c>
      <c r="K1643" s="164">
        <v>43</v>
      </c>
      <c r="L1643" s="164"/>
      <c r="M1643" s="164"/>
      <c r="N1643" s="164"/>
      <c r="O1643" s="164"/>
      <c r="P1643" s="164"/>
      <c r="Q1643" s="164"/>
      <c r="R1643" s="164"/>
      <c r="S1643" s="164"/>
      <c r="T1643" s="164"/>
      <c r="U1643" s="164"/>
      <c r="V1643" s="164">
        <v>72.899999999999991</v>
      </c>
      <c r="W1643" s="173"/>
      <c r="X1643" s="17"/>
      <c r="Y1643" s="5">
        <f t="shared" si="156"/>
        <v>0</v>
      </c>
      <c r="Z1643" s="5">
        <f t="shared" si="157"/>
        <v>0</v>
      </c>
      <c r="AA1643" s="5">
        <f t="shared" si="158"/>
        <v>0</v>
      </c>
      <c r="AB1643" s="5">
        <f t="shared" si="159"/>
        <v>0</v>
      </c>
      <c r="AC1643" s="5"/>
      <c r="AD1643" s="5">
        <v>0</v>
      </c>
      <c r="AE1643" s="5">
        <f t="shared" si="160"/>
        <v>0</v>
      </c>
      <c r="AF1643" s="70">
        <v>0</v>
      </c>
      <c r="AG1643" s="135">
        <v>40809</v>
      </c>
      <c r="AH1643" s="161"/>
      <c r="AI1643" s="135" t="s">
        <v>4336</v>
      </c>
      <c r="AJ1643" s="176" t="s">
        <v>4337</v>
      </c>
      <c r="AK1643" s="178"/>
      <c r="AL1643" s="180" t="s">
        <v>4579</v>
      </c>
      <c r="AM1643" s="182" t="s">
        <v>4580</v>
      </c>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39"/>
      <c r="CE1643" s="138"/>
      <c r="CF1643" s="139"/>
      <c r="CG1643" s="138"/>
      <c r="CH1643" s="139"/>
      <c r="CI1643" s="138"/>
      <c r="CJ1643" s="72"/>
      <c r="CK1643" s="139"/>
      <c r="CL1643" s="71"/>
      <c r="CM1643" s="139"/>
      <c r="CN1643" s="138"/>
      <c r="CO1643" s="138"/>
      <c r="CP1643" s="138"/>
      <c r="CQ1643" s="139"/>
      <c r="CR1643" s="138"/>
      <c r="CS1643" s="45"/>
      <c r="CT1643" s="138"/>
      <c r="CU1643" s="45"/>
      <c r="CV1643" s="99">
        <f t="shared" si="155"/>
        <v>0</v>
      </c>
      <c r="CW1643" s="139"/>
      <c r="CX1643" s="138"/>
      <c r="CY1643" s="138"/>
      <c r="CZ1643" s="138"/>
      <c r="DA1643" s="139"/>
      <c r="DB1643" s="138"/>
      <c r="DC1643" s="45"/>
      <c r="DD1643" s="138"/>
      <c r="DE1643" s="45"/>
      <c r="DF1643" s="46"/>
    </row>
    <row r="1644" spans="1:110" s="42" customFormat="1" x14ac:dyDescent="0.2">
      <c r="A1644" s="89">
        <v>40724</v>
      </c>
      <c r="B1644" s="16" t="s">
        <v>4344</v>
      </c>
      <c r="C1644" s="16" t="s">
        <v>1693</v>
      </c>
      <c r="D1644" s="90" t="s">
        <v>4264</v>
      </c>
      <c r="E1644" s="90" t="str">
        <f>VLOOKUP(B1644&amp;C1644,Divipola!$C$2:$F$1138,4,FALSE)</f>
        <v>25279</v>
      </c>
      <c r="F1644" s="4"/>
      <c r="G1644" s="208"/>
      <c r="H1644" s="208"/>
      <c r="I1644" s="208"/>
      <c r="J1644" s="208">
        <v>296</v>
      </c>
      <c r="K1644" s="208">
        <v>164</v>
      </c>
      <c r="L1644" s="208"/>
      <c r="M1644" s="208">
        <v>164</v>
      </c>
      <c r="N1644" s="208"/>
      <c r="O1644" s="208"/>
      <c r="P1644" s="208"/>
      <c r="Q1644" s="208"/>
      <c r="R1644" s="208"/>
      <c r="S1644" s="208"/>
      <c r="T1644" s="208"/>
      <c r="U1644" s="208"/>
      <c r="V1644" s="208"/>
      <c r="W1644" s="19"/>
      <c r="X1644" s="17"/>
      <c r="Y1644" s="5">
        <f t="shared" si="156"/>
        <v>0</v>
      </c>
      <c r="Z1644" s="5">
        <f t="shared" si="157"/>
        <v>0</v>
      </c>
      <c r="AA1644" s="5">
        <f t="shared" si="158"/>
        <v>0</v>
      </c>
      <c r="AB1644" s="5">
        <f t="shared" si="159"/>
        <v>0</v>
      </c>
      <c r="AC1644" s="5"/>
      <c r="AD1644" s="5">
        <v>0</v>
      </c>
      <c r="AE1644" s="5">
        <f t="shared" si="160"/>
        <v>0</v>
      </c>
      <c r="AF1644" s="70">
        <v>0</v>
      </c>
      <c r="AG1644" s="17"/>
      <c r="AH1644" s="18"/>
      <c r="AI1644" s="47" t="s">
        <v>4336</v>
      </c>
      <c r="AJ1644" s="73" t="s">
        <v>4337</v>
      </c>
      <c r="AK1644" s="45"/>
      <c r="AL1644" s="17"/>
      <c r="AM1644" s="20" t="s">
        <v>18</v>
      </c>
      <c r="AN1644" s="19"/>
      <c r="AO1644" s="19"/>
      <c r="AP1644" s="19"/>
      <c r="AQ1644" s="19"/>
      <c r="AR1644" s="19"/>
      <c r="AS1644" s="19"/>
      <c r="AT1644" s="19"/>
      <c r="AU1644" s="19"/>
      <c r="AV1644" s="19"/>
      <c r="AW1644" s="19"/>
      <c r="AX1644" s="107"/>
      <c r="AY1644" s="107"/>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39"/>
      <c r="CO1644" s="138"/>
      <c r="CP1644" s="139"/>
      <c r="CQ1644" s="138"/>
      <c r="CR1644" s="139"/>
      <c r="CS1644" s="138"/>
      <c r="CT1644" s="72"/>
      <c r="CU1644" s="139"/>
      <c r="CV1644" s="99">
        <f t="shared" si="155"/>
        <v>0</v>
      </c>
      <c r="CW1644" s="139"/>
      <c r="CX1644" s="138"/>
      <c r="CY1644" s="138"/>
      <c r="CZ1644" s="138"/>
      <c r="DA1644" s="139"/>
      <c r="DB1644" s="138"/>
      <c r="DC1644" s="45"/>
      <c r="DD1644" s="138"/>
      <c r="DE1644" s="45"/>
      <c r="DF1644" s="46"/>
    </row>
    <row r="1645" spans="1:110" s="42" customFormat="1" ht="48" x14ac:dyDescent="0.2">
      <c r="A1645" s="89">
        <v>40724</v>
      </c>
      <c r="B1645" s="145" t="s">
        <v>4344</v>
      </c>
      <c r="C1645" s="145" t="s">
        <v>1693</v>
      </c>
      <c r="D1645" s="145" t="s">
        <v>3346</v>
      </c>
      <c r="E1645" s="90" t="str">
        <f>VLOOKUP(B1645&amp;C1645,Divipola!$C$2:$F$1138,4,FALSE)</f>
        <v>25279</v>
      </c>
      <c r="F1645" s="145"/>
      <c r="G1645" s="164"/>
      <c r="H1645" s="164"/>
      <c r="I1645" s="164"/>
      <c r="J1645" s="164">
        <v>27</v>
      </c>
      <c r="K1645" s="164">
        <v>9</v>
      </c>
      <c r="L1645" s="164"/>
      <c r="M1645" s="164"/>
      <c r="N1645" s="164"/>
      <c r="O1645" s="164"/>
      <c r="P1645" s="164"/>
      <c r="Q1645" s="164"/>
      <c r="R1645" s="164"/>
      <c r="S1645" s="164"/>
      <c r="T1645" s="164"/>
      <c r="U1645" s="164"/>
      <c r="V1645" s="164">
        <v>25.5</v>
      </c>
      <c r="W1645" s="173"/>
      <c r="X1645" s="17"/>
      <c r="Y1645" s="5">
        <f t="shared" si="156"/>
        <v>0</v>
      </c>
      <c r="Z1645" s="5">
        <f t="shared" si="157"/>
        <v>0</v>
      </c>
      <c r="AA1645" s="5">
        <f t="shared" si="158"/>
        <v>0</v>
      </c>
      <c r="AB1645" s="5">
        <f t="shared" si="159"/>
        <v>0</v>
      </c>
      <c r="AC1645" s="5"/>
      <c r="AD1645" s="5">
        <v>0</v>
      </c>
      <c r="AE1645" s="5">
        <f t="shared" si="160"/>
        <v>0</v>
      </c>
      <c r="AF1645" s="70">
        <v>0</v>
      </c>
      <c r="AG1645" s="135">
        <v>40809</v>
      </c>
      <c r="AH1645" s="161"/>
      <c r="AI1645" s="135" t="s">
        <v>4336</v>
      </c>
      <c r="AJ1645" s="176" t="s">
        <v>4337</v>
      </c>
      <c r="AK1645" s="178"/>
      <c r="AL1645" s="180" t="s">
        <v>4579</v>
      </c>
      <c r="AM1645" s="182" t="s">
        <v>4580</v>
      </c>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39"/>
      <c r="CE1645" s="138"/>
      <c r="CF1645" s="139"/>
      <c r="CG1645" s="138"/>
      <c r="CH1645" s="139"/>
      <c r="CI1645" s="138"/>
      <c r="CJ1645" s="72"/>
      <c r="CK1645" s="139"/>
      <c r="CL1645" s="71"/>
      <c r="CM1645" s="139"/>
      <c r="CN1645" s="138"/>
      <c r="CO1645" s="138"/>
      <c r="CP1645" s="138"/>
      <c r="CQ1645" s="139"/>
      <c r="CR1645" s="138"/>
      <c r="CS1645" s="45"/>
      <c r="CT1645" s="138"/>
      <c r="CU1645" s="45"/>
      <c r="CV1645" s="99">
        <f t="shared" si="155"/>
        <v>0</v>
      </c>
      <c r="CW1645" s="139"/>
      <c r="CX1645" s="138"/>
      <c r="CY1645" s="138"/>
      <c r="CZ1645" s="138"/>
      <c r="DA1645" s="139"/>
      <c r="DB1645" s="138"/>
      <c r="DC1645" s="45"/>
      <c r="DD1645" s="138"/>
      <c r="DE1645" s="45"/>
      <c r="DF1645" s="46"/>
    </row>
    <row r="1646" spans="1:110" s="42" customFormat="1" ht="48" x14ac:dyDescent="0.2">
      <c r="A1646" s="89">
        <v>40724</v>
      </c>
      <c r="B1646" s="145" t="s">
        <v>4344</v>
      </c>
      <c r="C1646" s="145" t="s">
        <v>1696</v>
      </c>
      <c r="D1646" s="145" t="s">
        <v>3346</v>
      </c>
      <c r="E1646" s="90" t="str">
        <f>VLOOKUP(B1646&amp;C1646,Divipola!$C$2:$F$1138,4,FALSE)</f>
        <v>25281</v>
      </c>
      <c r="F1646" s="145"/>
      <c r="G1646" s="164"/>
      <c r="H1646" s="164"/>
      <c r="I1646" s="164"/>
      <c r="J1646" s="164">
        <v>69</v>
      </c>
      <c r="K1646" s="164">
        <v>23</v>
      </c>
      <c r="L1646" s="164"/>
      <c r="M1646" s="164"/>
      <c r="N1646" s="164"/>
      <c r="O1646" s="164"/>
      <c r="P1646" s="164"/>
      <c r="Q1646" s="164"/>
      <c r="R1646" s="164"/>
      <c r="S1646" s="164"/>
      <c r="T1646" s="164"/>
      <c r="U1646" s="164"/>
      <c r="V1646" s="164">
        <v>91</v>
      </c>
      <c r="W1646" s="173"/>
      <c r="X1646" s="17"/>
      <c r="Y1646" s="5">
        <f t="shared" si="156"/>
        <v>0</v>
      </c>
      <c r="Z1646" s="5">
        <f t="shared" si="157"/>
        <v>0</v>
      </c>
      <c r="AA1646" s="5">
        <f t="shared" si="158"/>
        <v>0</v>
      </c>
      <c r="AB1646" s="5">
        <f t="shared" si="159"/>
        <v>0</v>
      </c>
      <c r="AC1646" s="5"/>
      <c r="AD1646" s="5">
        <v>0</v>
      </c>
      <c r="AE1646" s="5">
        <f t="shared" si="160"/>
        <v>0</v>
      </c>
      <c r="AF1646" s="70">
        <v>0</v>
      </c>
      <c r="AG1646" s="135">
        <v>40809</v>
      </c>
      <c r="AH1646" s="161"/>
      <c r="AI1646" s="135" t="s">
        <v>4336</v>
      </c>
      <c r="AJ1646" s="176" t="s">
        <v>4337</v>
      </c>
      <c r="AK1646" s="178"/>
      <c r="AL1646" s="180" t="s">
        <v>4579</v>
      </c>
      <c r="AM1646" s="182" t="s">
        <v>4580</v>
      </c>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39"/>
      <c r="CE1646" s="138"/>
      <c r="CF1646" s="139"/>
      <c r="CG1646" s="138"/>
      <c r="CH1646" s="139"/>
      <c r="CI1646" s="138"/>
      <c r="CJ1646" s="72"/>
      <c r="CK1646" s="139"/>
      <c r="CL1646" s="71"/>
      <c r="CM1646" s="139"/>
      <c r="CN1646" s="138"/>
      <c r="CO1646" s="138"/>
      <c r="CP1646" s="138"/>
      <c r="CQ1646" s="139"/>
      <c r="CR1646" s="138"/>
      <c r="CS1646" s="45"/>
      <c r="CT1646" s="138"/>
      <c r="CU1646" s="45"/>
      <c r="CV1646" s="99">
        <f t="shared" si="155"/>
        <v>0</v>
      </c>
      <c r="CW1646" s="139"/>
      <c r="CX1646" s="138"/>
      <c r="CY1646" s="138"/>
      <c r="CZ1646" s="138"/>
      <c r="DA1646" s="139"/>
      <c r="DB1646" s="138"/>
      <c r="DC1646" s="45"/>
      <c r="DD1646" s="138"/>
      <c r="DE1646" s="45"/>
      <c r="DF1646" s="46"/>
    </row>
    <row r="1647" spans="1:110" s="42" customFormat="1" ht="48" x14ac:dyDescent="0.2">
      <c r="A1647" s="89">
        <v>40724</v>
      </c>
      <c r="B1647" s="145" t="s">
        <v>4344</v>
      </c>
      <c r="C1647" s="145" t="s">
        <v>1699</v>
      </c>
      <c r="D1647" s="145" t="s">
        <v>3346</v>
      </c>
      <c r="E1647" s="90" t="str">
        <f>VLOOKUP(B1647&amp;C1647,Divipola!$C$2:$F$1138,4,FALSE)</f>
        <v>25286</v>
      </c>
      <c r="F1647" s="145"/>
      <c r="G1647" s="164"/>
      <c r="H1647" s="164"/>
      <c r="I1647" s="164"/>
      <c r="J1647" s="164">
        <v>27</v>
      </c>
      <c r="K1647" s="164">
        <v>9</v>
      </c>
      <c r="L1647" s="164"/>
      <c r="M1647" s="164"/>
      <c r="N1647" s="164"/>
      <c r="O1647" s="164"/>
      <c r="P1647" s="164"/>
      <c r="Q1647" s="164"/>
      <c r="R1647" s="164"/>
      <c r="S1647" s="164"/>
      <c r="T1647" s="164"/>
      <c r="U1647" s="164"/>
      <c r="V1647" s="164">
        <v>165</v>
      </c>
      <c r="W1647" s="173"/>
      <c r="X1647" s="17"/>
      <c r="Y1647" s="5">
        <f t="shared" si="156"/>
        <v>0</v>
      </c>
      <c r="Z1647" s="5">
        <f t="shared" si="157"/>
        <v>0</v>
      </c>
      <c r="AA1647" s="5">
        <f t="shared" si="158"/>
        <v>0</v>
      </c>
      <c r="AB1647" s="5">
        <f t="shared" si="159"/>
        <v>0</v>
      </c>
      <c r="AC1647" s="5"/>
      <c r="AD1647" s="5">
        <v>0</v>
      </c>
      <c r="AE1647" s="5">
        <f t="shared" si="160"/>
        <v>0</v>
      </c>
      <c r="AF1647" s="70">
        <v>0</v>
      </c>
      <c r="AG1647" s="135">
        <v>40809</v>
      </c>
      <c r="AH1647" s="161"/>
      <c r="AI1647" s="135" t="s">
        <v>4336</v>
      </c>
      <c r="AJ1647" s="176" t="s">
        <v>4337</v>
      </c>
      <c r="AK1647" s="178"/>
      <c r="AL1647" s="180" t="s">
        <v>4579</v>
      </c>
      <c r="AM1647" s="182" t="s">
        <v>4580</v>
      </c>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39"/>
      <c r="CE1647" s="138"/>
      <c r="CF1647" s="139"/>
      <c r="CG1647" s="138"/>
      <c r="CH1647" s="139"/>
      <c r="CI1647" s="138"/>
      <c r="CJ1647" s="72"/>
      <c r="CK1647" s="139"/>
      <c r="CL1647" s="71"/>
      <c r="CM1647" s="139"/>
      <c r="CN1647" s="138"/>
      <c r="CO1647" s="138"/>
      <c r="CP1647" s="138"/>
      <c r="CQ1647" s="139"/>
      <c r="CR1647" s="138"/>
      <c r="CS1647" s="45"/>
      <c r="CT1647" s="138"/>
      <c r="CU1647" s="45"/>
      <c r="CV1647" s="99">
        <f t="shared" si="155"/>
        <v>0</v>
      </c>
      <c r="CW1647" s="139"/>
      <c r="CX1647" s="138"/>
      <c r="CY1647" s="138"/>
      <c r="CZ1647" s="138"/>
      <c r="DA1647" s="139"/>
      <c r="DB1647" s="138"/>
      <c r="DC1647" s="45"/>
      <c r="DD1647" s="138"/>
      <c r="DE1647" s="45"/>
      <c r="DF1647" s="46"/>
    </row>
    <row r="1648" spans="1:110" s="42" customFormat="1" ht="48" x14ac:dyDescent="0.2">
      <c r="A1648" s="89">
        <v>40724</v>
      </c>
      <c r="B1648" s="145" t="s">
        <v>4344</v>
      </c>
      <c r="C1648" s="145" t="s">
        <v>2210</v>
      </c>
      <c r="D1648" s="145" t="s">
        <v>3346</v>
      </c>
      <c r="E1648" s="90" t="str">
        <f>VLOOKUP(B1648&amp;C1648,Divipola!$C$2:$F$1138,4,FALSE)</f>
        <v>25288</v>
      </c>
      <c r="F1648" s="145"/>
      <c r="G1648" s="164"/>
      <c r="H1648" s="164"/>
      <c r="I1648" s="164"/>
      <c r="J1648" s="164">
        <v>2376</v>
      </c>
      <c r="K1648" s="164">
        <v>792</v>
      </c>
      <c r="L1648" s="164"/>
      <c r="M1648" s="164"/>
      <c r="N1648" s="164"/>
      <c r="O1648" s="164"/>
      <c r="P1648" s="164"/>
      <c r="Q1648" s="164"/>
      <c r="R1648" s="164"/>
      <c r="S1648" s="164"/>
      <c r="T1648" s="164"/>
      <c r="U1648" s="164"/>
      <c r="V1648" s="164">
        <v>2106.0840000000044</v>
      </c>
      <c r="W1648" s="173"/>
      <c r="X1648" s="17"/>
      <c r="Y1648" s="5">
        <f t="shared" si="156"/>
        <v>0</v>
      </c>
      <c r="Z1648" s="5">
        <f t="shared" si="157"/>
        <v>0</v>
      </c>
      <c r="AA1648" s="5">
        <f t="shared" si="158"/>
        <v>0</v>
      </c>
      <c r="AB1648" s="5">
        <f t="shared" si="159"/>
        <v>0</v>
      </c>
      <c r="AC1648" s="5"/>
      <c r="AD1648" s="5">
        <v>0</v>
      </c>
      <c r="AE1648" s="5">
        <f t="shared" si="160"/>
        <v>0</v>
      </c>
      <c r="AF1648" s="70">
        <v>0</v>
      </c>
      <c r="AG1648" s="135">
        <v>40809</v>
      </c>
      <c r="AH1648" s="161"/>
      <c r="AI1648" s="135" t="s">
        <v>4336</v>
      </c>
      <c r="AJ1648" s="176" t="s">
        <v>4337</v>
      </c>
      <c r="AK1648" s="178"/>
      <c r="AL1648" s="180" t="s">
        <v>4579</v>
      </c>
      <c r="AM1648" s="182" t="s">
        <v>4580</v>
      </c>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39"/>
      <c r="CE1648" s="138"/>
      <c r="CF1648" s="139"/>
      <c r="CG1648" s="138"/>
      <c r="CH1648" s="139"/>
      <c r="CI1648" s="138"/>
      <c r="CJ1648" s="72"/>
      <c r="CK1648" s="139"/>
      <c r="CL1648" s="71"/>
      <c r="CM1648" s="139"/>
      <c r="CN1648" s="138"/>
      <c r="CO1648" s="138"/>
      <c r="CP1648" s="138"/>
      <c r="CQ1648" s="139"/>
      <c r="CR1648" s="138"/>
      <c r="CS1648" s="45"/>
      <c r="CT1648" s="138"/>
      <c r="CU1648" s="45"/>
      <c r="CV1648" s="99">
        <f t="shared" si="155"/>
        <v>0</v>
      </c>
      <c r="CW1648" s="139"/>
      <c r="CX1648" s="138"/>
      <c r="CY1648" s="138"/>
      <c r="CZ1648" s="138"/>
      <c r="DA1648" s="139"/>
      <c r="DB1648" s="138"/>
      <c r="DC1648" s="45"/>
      <c r="DD1648" s="138"/>
      <c r="DE1648" s="45"/>
      <c r="DF1648" s="46"/>
    </row>
    <row r="1649" spans="1:110" s="42" customFormat="1" x14ac:dyDescent="0.2">
      <c r="A1649" s="89">
        <v>40724</v>
      </c>
      <c r="B1649" s="16" t="s">
        <v>4344</v>
      </c>
      <c r="C1649" s="16" t="s">
        <v>4231</v>
      </c>
      <c r="D1649" s="90" t="s">
        <v>4264</v>
      </c>
      <c r="E1649" s="90" t="str">
        <f>VLOOKUP(B1649&amp;C1649,Divipola!$C$2:$F$1138,4,FALSE)</f>
        <v>25290</v>
      </c>
      <c r="F1649" s="4"/>
      <c r="G1649" s="208"/>
      <c r="H1649" s="208"/>
      <c r="I1649" s="208"/>
      <c r="J1649" s="208">
        <v>1076</v>
      </c>
      <c r="K1649" s="208">
        <v>353</v>
      </c>
      <c r="L1649" s="208"/>
      <c r="M1649" s="208">
        <v>353</v>
      </c>
      <c r="N1649" s="208"/>
      <c r="O1649" s="208"/>
      <c r="P1649" s="208"/>
      <c r="Q1649" s="208"/>
      <c r="R1649" s="208"/>
      <c r="S1649" s="208"/>
      <c r="T1649" s="208"/>
      <c r="U1649" s="208"/>
      <c r="V1649" s="208"/>
      <c r="W1649" s="19"/>
      <c r="X1649" s="17"/>
      <c r="Y1649" s="5">
        <f t="shared" si="156"/>
        <v>0</v>
      </c>
      <c r="Z1649" s="5">
        <f t="shared" si="157"/>
        <v>0</v>
      </c>
      <c r="AA1649" s="5">
        <f t="shared" si="158"/>
        <v>0</v>
      </c>
      <c r="AB1649" s="5">
        <f t="shared" si="159"/>
        <v>0</v>
      </c>
      <c r="AC1649" s="5"/>
      <c r="AD1649" s="5">
        <v>0</v>
      </c>
      <c r="AE1649" s="5">
        <f t="shared" si="160"/>
        <v>0</v>
      </c>
      <c r="AF1649" s="70">
        <v>0</v>
      </c>
      <c r="AG1649" s="17"/>
      <c r="AH1649" s="18"/>
      <c r="AI1649" s="47" t="s">
        <v>4336</v>
      </c>
      <c r="AJ1649" s="73" t="s">
        <v>4337</v>
      </c>
      <c r="AK1649" s="45"/>
      <c r="AL1649" s="17"/>
      <c r="AM1649" s="20" t="s">
        <v>18</v>
      </c>
      <c r="AN1649" s="19"/>
      <c r="AO1649" s="19"/>
      <c r="AP1649" s="19"/>
      <c r="AQ1649" s="19"/>
      <c r="AR1649" s="19"/>
      <c r="AS1649" s="19"/>
      <c r="AT1649" s="19"/>
      <c r="AU1649" s="19"/>
      <c r="AV1649" s="19"/>
      <c r="AW1649" s="19"/>
      <c r="AX1649" s="107"/>
      <c r="AY1649" s="107"/>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39"/>
      <c r="CO1649" s="138"/>
      <c r="CP1649" s="139"/>
      <c r="CQ1649" s="138"/>
      <c r="CR1649" s="139"/>
      <c r="CS1649" s="138"/>
      <c r="CT1649" s="72"/>
      <c r="CU1649" s="139"/>
      <c r="CV1649" s="99">
        <f t="shared" si="155"/>
        <v>0</v>
      </c>
      <c r="CW1649" s="139"/>
      <c r="CX1649" s="138"/>
      <c r="CY1649" s="138"/>
      <c r="CZ1649" s="138"/>
      <c r="DA1649" s="139"/>
      <c r="DB1649" s="138"/>
      <c r="DC1649" s="45"/>
      <c r="DD1649" s="138"/>
      <c r="DE1649" s="45"/>
      <c r="DF1649" s="46"/>
    </row>
    <row r="1650" spans="1:110" s="42" customFormat="1" ht="48" x14ac:dyDescent="0.2">
      <c r="A1650" s="89">
        <v>40724</v>
      </c>
      <c r="B1650" s="145" t="s">
        <v>4344</v>
      </c>
      <c r="C1650" s="145" t="s">
        <v>4231</v>
      </c>
      <c r="D1650" s="145" t="s">
        <v>3346</v>
      </c>
      <c r="E1650" s="90" t="str">
        <f>VLOOKUP(B1650&amp;C1650,Divipola!$C$2:$F$1138,4,FALSE)</f>
        <v>25290</v>
      </c>
      <c r="F1650" s="145"/>
      <c r="G1650" s="164"/>
      <c r="H1650" s="164"/>
      <c r="I1650" s="164"/>
      <c r="J1650" s="164">
        <v>564</v>
      </c>
      <c r="K1650" s="164">
        <v>188</v>
      </c>
      <c r="L1650" s="164"/>
      <c r="M1650" s="164"/>
      <c r="N1650" s="164"/>
      <c r="O1650" s="164"/>
      <c r="P1650" s="164"/>
      <c r="Q1650" s="164"/>
      <c r="R1650" s="164"/>
      <c r="S1650" s="164"/>
      <c r="T1650" s="164"/>
      <c r="U1650" s="164"/>
      <c r="V1650" s="164">
        <v>186.32</v>
      </c>
      <c r="W1650" s="173"/>
      <c r="X1650" s="17"/>
      <c r="Y1650" s="5">
        <f t="shared" si="156"/>
        <v>0</v>
      </c>
      <c r="Z1650" s="5">
        <f t="shared" si="157"/>
        <v>0</v>
      </c>
      <c r="AA1650" s="5">
        <f t="shared" si="158"/>
        <v>0</v>
      </c>
      <c r="AB1650" s="5">
        <f t="shared" si="159"/>
        <v>0</v>
      </c>
      <c r="AC1650" s="5"/>
      <c r="AD1650" s="5">
        <v>0</v>
      </c>
      <c r="AE1650" s="5">
        <f t="shared" si="160"/>
        <v>0</v>
      </c>
      <c r="AF1650" s="70">
        <v>0</v>
      </c>
      <c r="AG1650" s="135">
        <v>40809</v>
      </c>
      <c r="AH1650" s="161"/>
      <c r="AI1650" s="135" t="s">
        <v>4336</v>
      </c>
      <c r="AJ1650" s="176" t="s">
        <v>4337</v>
      </c>
      <c r="AK1650" s="178"/>
      <c r="AL1650" s="180" t="s">
        <v>4579</v>
      </c>
      <c r="AM1650" s="182" t="s">
        <v>4580</v>
      </c>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39"/>
      <c r="CE1650" s="138"/>
      <c r="CF1650" s="139"/>
      <c r="CG1650" s="138"/>
      <c r="CH1650" s="139"/>
      <c r="CI1650" s="138"/>
      <c r="CJ1650" s="72"/>
      <c r="CK1650" s="139"/>
      <c r="CL1650" s="71"/>
      <c r="CM1650" s="139"/>
      <c r="CN1650" s="138"/>
      <c r="CO1650" s="138"/>
      <c r="CP1650" s="138"/>
      <c r="CQ1650" s="139"/>
      <c r="CR1650" s="138"/>
      <c r="CS1650" s="45"/>
      <c r="CT1650" s="138"/>
      <c r="CU1650" s="45"/>
      <c r="CV1650" s="99">
        <f t="shared" si="155"/>
        <v>0</v>
      </c>
      <c r="CW1650" s="139"/>
      <c r="CX1650" s="138"/>
      <c r="CY1650" s="138"/>
      <c r="CZ1650" s="138"/>
      <c r="DA1650" s="139"/>
      <c r="DB1650" s="138"/>
      <c r="DC1650" s="45"/>
      <c r="DD1650" s="138"/>
      <c r="DE1650" s="45"/>
      <c r="DF1650" s="46"/>
    </row>
    <row r="1651" spans="1:110" s="42" customFormat="1" ht="48" x14ac:dyDescent="0.2">
      <c r="A1651" s="89">
        <v>40724</v>
      </c>
      <c r="B1651" s="145" t="s">
        <v>4344</v>
      </c>
      <c r="C1651" s="145" t="s">
        <v>1705</v>
      </c>
      <c r="D1651" s="145" t="s">
        <v>3346</v>
      </c>
      <c r="E1651" s="90" t="str">
        <f>VLOOKUP(B1651&amp;C1651,Divipola!$C$2:$F$1138,4,FALSE)</f>
        <v>25295</v>
      </c>
      <c r="F1651" s="145"/>
      <c r="G1651" s="164"/>
      <c r="H1651" s="164"/>
      <c r="I1651" s="164"/>
      <c r="J1651" s="164">
        <v>78</v>
      </c>
      <c r="K1651" s="164">
        <v>26</v>
      </c>
      <c r="L1651" s="164"/>
      <c r="M1651" s="164"/>
      <c r="N1651" s="164"/>
      <c r="O1651" s="164"/>
      <c r="P1651" s="164"/>
      <c r="Q1651" s="164"/>
      <c r="R1651" s="164"/>
      <c r="S1651" s="164"/>
      <c r="T1651" s="164"/>
      <c r="U1651" s="164"/>
      <c r="V1651" s="164">
        <v>1119.8800000000001</v>
      </c>
      <c r="W1651" s="173"/>
      <c r="X1651" s="17"/>
      <c r="Y1651" s="5">
        <f t="shared" si="156"/>
        <v>0</v>
      </c>
      <c r="Z1651" s="5">
        <f t="shared" si="157"/>
        <v>0</v>
      </c>
      <c r="AA1651" s="5">
        <f t="shared" si="158"/>
        <v>0</v>
      </c>
      <c r="AB1651" s="5">
        <f t="shared" si="159"/>
        <v>0</v>
      </c>
      <c r="AC1651" s="5"/>
      <c r="AD1651" s="5">
        <v>0</v>
      </c>
      <c r="AE1651" s="5">
        <f t="shared" si="160"/>
        <v>0</v>
      </c>
      <c r="AF1651" s="70">
        <v>0</v>
      </c>
      <c r="AG1651" s="135">
        <v>40809</v>
      </c>
      <c r="AH1651" s="161"/>
      <c r="AI1651" s="135" t="s">
        <v>4336</v>
      </c>
      <c r="AJ1651" s="176" t="s">
        <v>4337</v>
      </c>
      <c r="AK1651" s="178"/>
      <c r="AL1651" s="180" t="s">
        <v>4579</v>
      </c>
      <c r="AM1651" s="182" t="s">
        <v>4580</v>
      </c>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39"/>
      <c r="CE1651" s="138"/>
      <c r="CF1651" s="139"/>
      <c r="CG1651" s="138"/>
      <c r="CH1651" s="139"/>
      <c r="CI1651" s="138"/>
      <c r="CJ1651" s="72"/>
      <c r="CK1651" s="139"/>
      <c r="CL1651" s="71"/>
      <c r="CM1651" s="139"/>
      <c r="CN1651" s="138"/>
      <c r="CO1651" s="138"/>
      <c r="CP1651" s="138"/>
      <c r="CQ1651" s="139"/>
      <c r="CR1651" s="138"/>
      <c r="CS1651" s="45"/>
      <c r="CT1651" s="138"/>
      <c r="CU1651" s="45"/>
      <c r="CV1651" s="99">
        <f t="shared" si="155"/>
        <v>0</v>
      </c>
      <c r="CW1651" s="139"/>
      <c r="CX1651" s="138"/>
      <c r="CY1651" s="138"/>
      <c r="CZ1651" s="138"/>
      <c r="DA1651" s="139"/>
      <c r="DB1651" s="138"/>
      <c r="DC1651" s="45"/>
      <c r="DD1651" s="138"/>
      <c r="DE1651" s="45"/>
      <c r="DF1651" s="46"/>
    </row>
    <row r="1652" spans="1:110" s="42" customFormat="1" x14ac:dyDescent="0.2">
      <c r="A1652" s="89">
        <v>40724</v>
      </c>
      <c r="B1652" s="16" t="s">
        <v>4344</v>
      </c>
      <c r="C1652" s="106" t="s">
        <v>2286</v>
      </c>
      <c r="D1652" s="90" t="s">
        <v>4264</v>
      </c>
      <c r="E1652" s="90" t="str">
        <f>VLOOKUP(B1652&amp;C1652,Divipola!$C$2:$F$1138,4,FALSE)</f>
        <v>25297</v>
      </c>
      <c r="F1652" s="4"/>
      <c r="G1652" s="208"/>
      <c r="H1652" s="208"/>
      <c r="I1652" s="208"/>
      <c r="J1652" s="208">
        <v>634</v>
      </c>
      <c r="K1652" s="208">
        <v>158</v>
      </c>
      <c r="L1652" s="208"/>
      <c r="M1652" s="208">
        <v>158</v>
      </c>
      <c r="N1652" s="208"/>
      <c r="O1652" s="208"/>
      <c r="P1652" s="208"/>
      <c r="Q1652" s="208"/>
      <c r="R1652" s="208"/>
      <c r="S1652" s="208"/>
      <c r="T1652" s="208"/>
      <c r="U1652" s="208"/>
      <c r="V1652" s="208"/>
      <c r="W1652" s="19"/>
      <c r="X1652" s="17"/>
      <c r="Y1652" s="5">
        <f t="shared" si="156"/>
        <v>0</v>
      </c>
      <c r="Z1652" s="5">
        <f t="shared" si="157"/>
        <v>0</v>
      </c>
      <c r="AA1652" s="5">
        <f t="shared" si="158"/>
        <v>0</v>
      </c>
      <c r="AB1652" s="5">
        <f t="shared" si="159"/>
        <v>0</v>
      </c>
      <c r="AC1652" s="5"/>
      <c r="AD1652" s="5">
        <v>0</v>
      </c>
      <c r="AE1652" s="5">
        <f t="shared" si="160"/>
        <v>0</v>
      </c>
      <c r="AF1652" s="70">
        <v>0</v>
      </c>
      <c r="AG1652" s="17"/>
      <c r="AH1652" s="18"/>
      <c r="AI1652" s="47" t="s">
        <v>4336</v>
      </c>
      <c r="AJ1652" s="73" t="s">
        <v>4337</v>
      </c>
      <c r="AK1652" s="45"/>
      <c r="AL1652" s="17"/>
      <c r="AM1652" s="20" t="s">
        <v>18</v>
      </c>
      <c r="AN1652" s="19"/>
      <c r="AO1652" s="19"/>
      <c r="AP1652" s="19"/>
      <c r="AQ1652" s="19"/>
      <c r="AR1652" s="19"/>
      <c r="AS1652" s="19"/>
      <c r="AT1652" s="19"/>
      <c r="AU1652" s="19"/>
      <c r="AV1652" s="19"/>
      <c r="AW1652" s="19"/>
      <c r="AX1652" s="107"/>
      <c r="AY1652" s="107"/>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39"/>
      <c r="CO1652" s="138"/>
      <c r="CP1652" s="139"/>
      <c r="CQ1652" s="138"/>
      <c r="CR1652" s="139"/>
      <c r="CS1652" s="138"/>
      <c r="CT1652" s="72"/>
      <c r="CU1652" s="139"/>
      <c r="CV1652" s="99">
        <f t="shared" si="155"/>
        <v>0</v>
      </c>
      <c r="CW1652" s="139"/>
      <c r="CX1652" s="138"/>
      <c r="CY1652" s="138"/>
      <c r="CZ1652" s="138"/>
      <c r="DA1652" s="139"/>
      <c r="DB1652" s="138"/>
      <c r="DC1652" s="45"/>
      <c r="DD1652" s="138"/>
      <c r="DE1652" s="45"/>
      <c r="DF1652" s="46"/>
    </row>
    <row r="1653" spans="1:110" s="42" customFormat="1" ht="48" x14ac:dyDescent="0.2">
      <c r="A1653" s="89">
        <v>40724</v>
      </c>
      <c r="B1653" s="145" t="s">
        <v>4344</v>
      </c>
      <c r="C1653" s="145" t="s">
        <v>2286</v>
      </c>
      <c r="D1653" s="145" t="s">
        <v>3346</v>
      </c>
      <c r="E1653" s="90" t="str">
        <f>VLOOKUP(B1653&amp;C1653,Divipola!$C$2:$F$1138,4,FALSE)</f>
        <v>25297</v>
      </c>
      <c r="F1653" s="145"/>
      <c r="G1653" s="164"/>
      <c r="H1653" s="164"/>
      <c r="I1653" s="164"/>
      <c r="J1653" s="164">
        <v>144</v>
      </c>
      <c r="K1653" s="164">
        <v>48</v>
      </c>
      <c r="L1653" s="164"/>
      <c r="M1653" s="164"/>
      <c r="N1653" s="164"/>
      <c r="O1653" s="164"/>
      <c r="P1653" s="164"/>
      <c r="Q1653" s="164"/>
      <c r="R1653" s="164"/>
      <c r="S1653" s="164"/>
      <c r="T1653" s="164"/>
      <c r="U1653" s="164"/>
      <c r="V1653" s="164">
        <v>57.099999999999994</v>
      </c>
      <c r="W1653" s="173"/>
      <c r="X1653" s="17"/>
      <c r="Y1653" s="5">
        <f t="shared" si="156"/>
        <v>0</v>
      </c>
      <c r="Z1653" s="5">
        <f t="shared" si="157"/>
        <v>0</v>
      </c>
      <c r="AA1653" s="5">
        <f t="shared" si="158"/>
        <v>0</v>
      </c>
      <c r="AB1653" s="5">
        <f t="shared" si="159"/>
        <v>0</v>
      </c>
      <c r="AC1653" s="5"/>
      <c r="AD1653" s="5">
        <v>0</v>
      </c>
      <c r="AE1653" s="5">
        <f t="shared" si="160"/>
        <v>0</v>
      </c>
      <c r="AF1653" s="70">
        <v>0</v>
      </c>
      <c r="AG1653" s="135">
        <v>40809</v>
      </c>
      <c r="AH1653" s="161"/>
      <c r="AI1653" s="135" t="s">
        <v>4336</v>
      </c>
      <c r="AJ1653" s="176" t="s">
        <v>4337</v>
      </c>
      <c r="AK1653" s="178"/>
      <c r="AL1653" s="180" t="s">
        <v>4579</v>
      </c>
      <c r="AM1653" s="182" t="s">
        <v>4580</v>
      </c>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39"/>
      <c r="CE1653" s="138"/>
      <c r="CF1653" s="139"/>
      <c r="CG1653" s="138"/>
      <c r="CH1653" s="139"/>
      <c r="CI1653" s="138"/>
      <c r="CJ1653" s="72"/>
      <c r="CK1653" s="139"/>
      <c r="CL1653" s="71"/>
      <c r="CM1653" s="139"/>
      <c r="CN1653" s="138"/>
      <c r="CO1653" s="138"/>
      <c r="CP1653" s="138"/>
      <c r="CQ1653" s="139"/>
      <c r="CR1653" s="138"/>
      <c r="CS1653" s="45"/>
      <c r="CT1653" s="138"/>
      <c r="CU1653" s="45"/>
      <c r="CV1653" s="99">
        <f t="shared" si="155"/>
        <v>0</v>
      </c>
      <c r="CW1653" s="139"/>
      <c r="CX1653" s="138"/>
      <c r="CY1653" s="138"/>
      <c r="CZ1653" s="138"/>
      <c r="DA1653" s="139"/>
      <c r="DB1653" s="138"/>
      <c r="DC1653" s="45"/>
      <c r="DD1653" s="138"/>
      <c r="DE1653" s="45"/>
      <c r="DF1653" s="46"/>
    </row>
    <row r="1654" spans="1:110" s="42" customFormat="1" ht="48" x14ac:dyDescent="0.2">
      <c r="A1654" s="89">
        <v>40724</v>
      </c>
      <c r="B1654" s="145" t="s">
        <v>4344</v>
      </c>
      <c r="C1654" s="145" t="s">
        <v>1709</v>
      </c>
      <c r="D1654" s="145" t="s">
        <v>3346</v>
      </c>
      <c r="E1654" s="90" t="str">
        <f>VLOOKUP(B1654&amp;C1654,Divipola!$C$2:$F$1138,4,FALSE)</f>
        <v>25299</v>
      </c>
      <c r="F1654" s="145"/>
      <c r="G1654" s="164"/>
      <c r="H1654" s="164"/>
      <c r="I1654" s="164"/>
      <c r="J1654" s="164">
        <v>165</v>
      </c>
      <c r="K1654" s="164">
        <v>55</v>
      </c>
      <c r="L1654" s="164"/>
      <c r="M1654" s="164"/>
      <c r="N1654" s="164"/>
      <c r="O1654" s="164"/>
      <c r="P1654" s="164"/>
      <c r="Q1654" s="164"/>
      <c r="R1654" s="164"/>
      <c r="S1654" s="164"/>
      <c r="T1654" s="164"/>
      <c r="U1654" s="164"/>
      <c r="V1654" s="164">
        <v>10.349999999999994</v>
      </c>
      <c r="W1654" s="173"/>
      <c r="X1654" s="17"/>
      <c r="Y1654" s="5">
        <f t="shared" si="156"/>
        <v>0</v>
      </c>
      <c r="Z1654" s="5">
        <f t="shared" si="157"/>
        <v>0</v>
      </c>
      <c r="AA1654" s="5">
        <f t="shared" si="158"/>
        <v>0</v>
      </c>
      <c r="AB1654" s="5">
        <f t="shared" si="159"/>
        <v>0</v>
      </c>
      <c r="AC1654" s="5"/>
      <c r="AD1654" s="5">
        <v>0</v>
      </c>
      <c r="AE1654" s="5">
        <f t="shared" si="160"/>
        <v>0</v>
      </c>
      <c r="AF1654" s="70">
        <v>0</v>
      </c>
      <c r="AG1654" s="135">
        <v>40809</v>
      </c>
      <c r="AH1654" s="161"/>
      <c r="AI1654" s="135" t="s">
        <v>4336</v>
      </c>
      <c r="AJ1654" s="176" t="s">
        <v>4337</v>
      </c>
      <c r="AK1654" s="178"/>
      <c r="AL1654" s="180" t="s">
        <v>4579</v>
      </c>
      <c r="AM1654" s="182" t="s">
        <v>4580</v>
      </c>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39"/>
      <c r="CE1654" s="138"/>
      <c r="CF1654" s="139"/>
      <c r="CG1654" s="138"/>
      <c r="CH1654" s="139"/>
      <c r="CI1654" s="138"/>
      <c r="CJ1654" s="72"/>
      <c r="CK1654" s="139"/>
      <c r="CL1654" s="71"/>
      <c r="CM1654" s="139"/>
      <c r="CN1654" s="138"/>
      <c r="CO1654" s="138"/>
      <c r="CP1654" s="138"/>
      <c r="CQ1654" s="139"/>
      <c r="CR1654" s="138"/>
      <c r="CS1654" s="45"/>
      <c r="CT1654" s="138"/>
      <c r="CU1654" s="45"/>
      <c r="CV1654" s="99">
        <f t="shared" si="155"/>
        <v>0</v>
      </c>
      <c r="CW1654" s="139"/>
      <c r="CX1654" s="138"/>
      <c r="CY1654" s="138"/>
      <c r="CZ1654" s="138"/>
      <c r="DA1654" s="139"/>
      <c r="DB1654" s="138"/>
      <c r="DC1654" s="45"/>
      <c r="DD1654" s="138"/>
      <c r="DE1654" s="45"/>
      <c r="DF1654" s="46"/>
    </row>
    <row r="1655" spans="1:110" s="42" customFormat="1" x14ac:dyDescent="0.2">
      <c r="A1655" s="89">
        <v>40724</v>
      </c>
      <c r="B1655" s="16" t="s">
        <v>4344</v>
      </c>
      <c r="C1655" s="16" t="s">
        <v>4388</v>
      </c>
      <c r="D1655" s="90" t="s">
        <v>4264</v>
      </c>
      <c r="E1655" s="90" t="str">
        <f>VLOOKUP(B1655&amp;C1655,Divipola!$C$2:$F$1138,4,FALSE)</f>
        <v>25307</v>
      </c>
      <c r="F1655" s="4"/>
      <c r="G1655" s="208"/>
      <c r="H1655" s="208"/>
      <c r="I1655" s="208"/>
      <c r="J1655" s="208">
        <v>1766</v>
      </c>
      <c r="K1655" s="208">
        <v>546</v>
      </c>
      <c r="L1655" s="208"/>
      <c r="M1655" s="208">
        <v>546</v>
      </c>
      <c r="N1655" s="208"/>
      <c r="O1655" s="208"/>
      <c r="P1655" s="208"/>
      <c r="Q1655" s="208"/>
      <c r="R1655" s="208"/>
      <c r="S1655" s="208"/>
      <c r="T1655" s="208"/>
      <c r="U1655" s="208"/>
      <c r="V1655" s="208"/>
      <c r="W1655" s="19"/>
      <c r="X1655" s="17"/>
      <c r="Y1655" s="5">
        <f t="shared" si="156"/>
        <v>0</v>
      </c>
      <c r="Z1655" s="5">
        <f t="shared" si="157"/>
        <v>0</v>
      </c>
      <c r="AA1655" s="5">
        <f t="shared" si="158"/>
        <v>0</v>
      </c>
      <c r="AB1655" s="5">
        <f t="shared" si="159"/>
        <v>0</v>
      </c>
      <c r="AC1655" s="5"/>
      <c r="AD1655" s="5">
        <v>0</v>
      </c>
      <c r="AE1655" s="5">
        <f t="shared" si="160"/>
        <v>0</v>
      </c>
      <c r="AF1655" s="70">
        <v>0</v>
      </c>
      <c r="AG1655" s="17"/>
      <c r="AH1655" s="18"/>
      <c r="AI1655" s="47" t="s">
        <v>4336</v>
      </c>
      <c r="AJ1655" s="73" t="s">
        <v>4337</v>
      </c>
      <c r="AK1655" s="45"/>
      <c r="AL1655" s="17"/>
      <c r="AM1655" s="20" t="s">
        <v>18</v>
      </c>
      <c r="AN1655" s="19"/>
      <c r="AO1655" s="19"/>
      <c r="AP1655" s="19"/>
      <c r="AQ1655" s="19"/>
      <c r="AR1655" s="19"/>
      <c r="AS1655" s="19"/>
      <c r="AT1655" s="19"/>
      <c r="AU1655" s="19"/>
      <c r="AV1655" s="19"/>
      <c r="AW1655" s="19"/>
      <c r="AX1655" s="107"/>
      <c r="AY1655" s="107"/>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c r="CE1655" s="19"/>
      <c r="CF1655" s="19"/>
      <c r="CG1655" s="19"/>
      <c r="CH1655" s="19"/>
      <c r="CI1655" s="19"/>
      <c r="CJ1655" s="19"/>
      <c r="CK1655" s="19"/>
      <c r="CL1655" s="19"/>
      <c r="CM1655" s="19"/>
      <c r="CN1655" s="139"/>
      <c r="CO1655" s="138"/>
      <c r="CP1655" s="139"/>
      <c r="CQ1655" s="138"/>
      <c r="CR1655" s="139"/>
      <c r="CS1655" s="138"/>
      <c r="CT1655" s="72"/>
      <c r="CU1655" s="139"/>
      <c r="CV1655" s="99">
        <f t="shared" si="155"/>
        <v>0</v>
      </c>
      <c r="CW1655" s="139"/>
      <c r="CX1655" s="138"/>
      <c r="CY1655" s="138"/>
      <c r="CZ1655" s="138"/>
      <c r="DA1655" s="139"/>
      <c r="DB1655" s="138"/>
      <c r="DC1655" s="45"/>
      <c r="DD1655" s="138"/>
      <c r="DE1655" s="45"/>
      <c r="DF1655" s="46"/>
    </row>
    <row r="1656" spans="1:110" s="42" customFormat="1" ht="48" x14ac:dyDescent="0.2">
      <c r="A1656" s="89">
        <v>40724</v>
      </c>
      <c r="B1656" s="145" t="s">
        <v>4344</v>
      </c>
      <c r="C1656" s="145" t="s">
        <v>4388</v>
      </c>
      <c r="D1656" s="145" t="s">
        <v>3346</v>
      </c>
      <c r="E1656" s="90" t="str">
        <f>VLOOKUP(B1656&amp;C1656,Divipola!$C$2:$F$1138,4,FALSE)</f>
        <v>25307</v>
      </c>
      <c r="F1656" s="145"/>
      <c r="G1656" s="164"/>
      <c r="H1656" s="164"/>
      <c r="I1656" s="164"/>
      <c r="J1656" s="164">
        <v>138</v>
      </c>
      <c r="K1656" s="164">
        <v>46</v>
      </c>
      <c r="L1656" s="164"/>
      <c r="M1656" s="164"/>
      <c r="N1656" s="164"/>
      <c r="O1656" s="164"/>
      <c r="P1656" s="164"/>
      <c r="Q1656" s="164"/>
      <c r="R1656" s="164"/>
      <c r="S1656" s="164"/>
      <c r="T1656" s="164"/>
      <c r="U1656" s="164"/>
      <c r="V1656" s="164">
        <v>64.95</v>
      </c>
      <c r="W1656" s="173"/>
      <c r="X1656" s="17"/>
      <c r="Y1656" s="5">
        <f t="shared" si="156"/>
        <v>0</v>
      </c>
      <c r="Z1656" s="5">
        <f t="shared" si="157"/>
        <v>0</v>
      </c>
      <c r="AA1656" s="5">
        <f t="shared" si="158"/>
        <v>0</v>
      </c>
      <c r="AB1656" s="5">
        <f t="shared" si="159"/>
        <v>0</v>
      </c>
      <c r="AC1656" s="5"/>
      <c r="AD1656" s="5">
        <v>0</v>
      </c>
      <c r="AE1656" s="5">
        <f t="shared" si="160"/>
        <v>0</v>
      </c>
      <c r="AF1656" s="70">
        <v>0</v>
      </c>
      <c r="AG1656" s="135">
        <v>40809</v>
      </c>
      <c r="AH1656" s="161"/>
      <c r="AI1656" s="135" t="s">
        <v>4336</v>
      </c>
      <c r="AJ1656" s="176" t="s">
        <v>4337</v>
      </c>
      <c r="AK1656" s="178"/>
      <c r="AL1656" s="180" t="s">
        <v>4579</v>
      </c>
      <c r="AM1656" s="182" t="s">
        <v>4580</v>
      </c>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39"/>
      <c r="CE1656" s="138"/>
      <c r="CF1656" s="139"/>
      <c r="CG1656" s="138"/>
      <c r="CH1656" s="139"/>
      <c r="CI1656" s="138"/>
      <c r="CJ1656" s="72"/>
      <c r="CK1656" s="139"/>
      <c r="CL1656" s="71"/>
      <c r="CM1656" s="139"/>
      <c r="CN1656" s="138"/>
      <c r="CO1656" s="138"/>
      <c r="CP1656" s="138"/>
      <c r="CQ1656" s="139"/>
      <c r="CR1656" s="138"/>
      <c r="CS1656" s="45"/>
      <c r="CT1656" s="138"/>
      <c r="CU1656" s="45"/>
      <c r="CV1656" s="99">
        <f t="shared" si="155"/>
        <v>0</v>
      </c>
      <c r="CW1656" s="139"/>
      <c r="CX1656" s="138"/>
      <c r="CY1656" s="138"/>
      <c r="CZ1656" s="138"/>
      <c r="DA1656" s="139"/>
      <c r="DB1656" s="138"/>
      <c r="DC1656" s="45"/>
      <c r="DD1656" s="138"/>
      <c r="DE1656" s="45"/>
      <c r="DF1656" s="46"/>
    </row>
    <row r="1657" spans="1:110" s="42" customFormat="1" ht="48" x14ac:dyDescent="0.2">
      <c r="A1657" s="89">
        <v>40724</v>
      </c>
      <c r="B1657" s="145" t="s">
        <v>4344</v>
      </c>
      <c r="C1657" s="145" t="s">
        <v>2211</v>
      </c>
      <c r="D1657" s="145" t="s">
        <v>3346</v>
      </c>
      <c r="E1657" s="90" t="str">
        <f>VLOOKUP(B1657&amp;C1657,Divipola!$C$2:$F$1138,4,FALSE)</f>
        <v>25312</v>
      </c>
      <c r="F1657" s="145"/>
      <c r="G1657" s="164"/>
      <c r="H1657" s="164"/>
      <c r="I1657" s="164"/>
      <c r="J1657" s="164">
        <v>432</v>
      </c>
      <c r="K1657" s="164">
        <v>144</v>
      </c>
      <c r="L1657" s="164"/>
      <c r="M1657" s="164"/>
      <c r="N1657" s="164"/>
      <c r="O1657" s="164"/>
      <c r="P1657" s="164"/>
      <c r="Q1657" s="164"/>
      <c r="R1657" s="164"/>
      <c r="S1657" s="164"/>
      <c r="T1657" s="164"/>
      <c r="U1657" s="164"/>
      <c r="V1657" s="164">
        <v>493.82</v>
      </c>
      <c r="W1657" s="173"/>
      <c r="X1657" s="17"/>
      <c r="Y1657" s="5">
        <f t="shared" si="156"/>
        <v>0</v>
      </c>
      <c r="Z1657" s="5">
        <f t="shared" si="157"/>
        <v>0</v>
      </c>
      <c r="AA1657" s="5">
        <f t="shared" si="158"/>
        <v>0</v>
      </c>
      <c r="AB1657" s="5">
        <f t="shared" si="159"/>
        <v>0</v>
      </c>
      <c r="AC1657" s="5"/>
      <c r="AD1657" s="5">
        <v>0</v>
      </c>
      <c r="AE1657" s="5">
        <f t="shared" si="160"/>
        <v>0</v>
      </c>
      <c r="AF1657" s="70">
        <v>0</v>
      </c>
      <c r="AG1657" s="135">
        <v>40809</v>
      </c>
      <c r="AH1657" s="161"/>
      <c r="AI1657" s="135" t="s">
        <v>4336</v>
      </c>
      <c r="AJ1657" s="176" t="s">
        <v>4337</v>
      </c>
      <c r="AK1657" s="178"/>
      <c r="AL1657" s="180" t="s">
        <v>4579</v>
      </c>
      <c r="AM1657" s="182" t="s">
        <v>4580</v>
      </c>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39"/>
      <c r="CE1657" s="138"/>
      <c r="CF1657" s="139"/>
      <c r="CG1657" s="138"/>
      <c r="CH1657" s="139"/>
      <c r="CI1657" s="138"/>
      <c r="CJ1657" s="72"/>
      <c r="CK1657" s="139"/>
      <c r="CL1657" s="71"/>
      <c r="CM1657" s="139"/>
      <c r="CN1657" s="138"/>
      <c r="CO1657" s="138"/>
      <c r="CP1657" s="138"/>
      <c r="CQ1657" s="139"/>
      <c r="CR1657" s="138"/>
      <c r="CS1657" s="45"/>
      <c r="CT1657" s="138"/>
      <c r="CU1657" s="45"/>
      <c r="CV1657" s="99">
        <f t="shared" si="155"/>
        <v>0</v>
      </c>
      <c r="CW1657" s="139"/>
      <c r="CX1657" s="138"/>
      <c r="CY1657" s="138"/>
      <c r="CZ1657" s="138"/>
      <c r="DA1657" s="139"/>
      <c r="DB1657" s="138"/>
      <c r="DC1657" s="45"/>
      <c r="DD1657" s="138"/>
      <c r="DE1657" s="45"/>
      <c r="DF1657" s="46"/>
    </row>
    <row r="1658" spans="1:110" s="42" customFormat="1" x14ac:dyDescent="0.2">
      <c r="A1658" s="89">
        <v>40724</v>
      </c>
      <c r="B1658" s="16" t="s">
        <v>4344</v>
      </c>
      <c r="C1658" s="16" t="s">
        <v>2212</v>
      </c>
      <c r="D1658" s="90" t="s">
        <v>4264</v>
      </c>
      <c r="E1658" s="90" t="str">
        <f>VLOOKUP(B1658&amp;C1658,Divipola!$C$2:$F$1138,4,FALSE)</f>
        <v>25317</v>
      </c>
      <c r="F1658" s="4"/>
      <c r="G1658" s="208"/>
      <c r="H1658" s="208"/>
      <c r="I1658" s="208"/>
      <c r="J1658" s="208">
        <v>255</v>
      </c>
      <c r="K1658" s="208">
        <v>81</v>
      </c>
      <c r="L1658" s="208"/>
      <c r="M1658" s="208">
        <v>81</v>
      </c>
      <c r="N1658" s="208"/>
      <c r="O1658" s="208"/>
      <c r="P1658" s="208"/>
      <c r="Q1658" s="208"/>
      <c r="R1658" s="208"/>
      <c r="S1658" s="208"/>
      <c r="T1658" s="208"/>
      <c r="U1658" s="208"/>
      <c r="V1658" s="208"/>
      <c r="W1658" s="19"/>
      <c r="X1658" s="17"/>
      <c r="Y1658" s="5">
        <f t="shared" si="156"/>
        <v>0</v>
      </c>
      <c r="Z1658" s="5">
        <f t="shared" si="157"/>
        <v>0</v>
      </c>
      <c r="AA1658" s="5">
        <f t="shared" si="158"/>
        <v>0</v>
      </c>
      <c r="AB1658" s="5">
        <f t="shared" si="159"/>
        <v>0</v>
      </c>
      <c r="AC1658" s="5"/>
      <c r="AD1658" s="5">
        <v>0</v>
      </c>
      <c r="AE1658" s="5">
        <f t="shared" si="160"/>
        <v>0</v>
      </c>
      <c r="AF1658" s="70">
        <v>0</v>
      </c>
      <c r="AG1658" s="17"/>
      <c r="AH1658" s="18"/>
      <c r="AI1658" s="47" t="s">
        <v>4336</v>
      </c>
      <c r="AJ1658" s="73" t="s">
        <v>4337</v>
      </c>
      <c r="AK1658" s="45"/>
      <c r="AL1658" s="17"/>
      <c r="AM1658" s="20" t="s">
        <v>18</v>
      </c>
      <c r="AN1658" s="19"/>
      <c r="AO1658" s="19"/>
      <c r="AP1658" s="19"/>
      <c r="AQ1658" s="19"/>
      <c r="AR1658" s="19"/>
      <c r="AS1658" s="19"/>
      <c r="AT1658" s="19"/>
      <c r="AU1658" s="19"/>
      <c r="AV1658" s="19"/>
      <c r="AW1658" s="19"/>
      <c r="AX1658" s="107"/>
      <c r="AY1658" s="107"/>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c r="CE1658" s="19"/>
      <c r="CF1658" s="19"/>
      <c r="CG1658" s="19"/>
      <c r="CH1658" s="19"/>
      <c r="CI1658" s="19"/>
      <c r="CJ1658" s="19"/>
      <c r="CK1658" s="19"/>
      <c r="CL1658" s="19"/>
      <c r="CM1658" s="19"/>
      <c r="CN1658" s="139"/>
      <c r="CO1658" s="138"/>
      <c r="CP1658" s="139"/>
      <c r="CQ1658" s="138"/>
      <c r="CR1658" s="139"/>
      <c r="CS1658" s="138"/>
      <c r="CT1658" s="72"/>
      <c r="CU1658" s="139"/>
      <c r="CV1658" s="99">
        <f t="shared" si="155"/>
        <v>0</v>
      </c>
      <c r="CW1658" s="139"/>
      <c r="CX1658" s="138"/>
      <c r="CY1658" s="138"/>
      <c r="CZ1658" s="138"/>
      <c r="DA1658" s="139"/>
      <c r="DB1658" s="138"/>
      <c r="DC1658" s="45"/>
      <c r="DD1658" s="138"/>
      <c r="DE1658" s="45"/>
      <c r="DF1658" s="46"/>
    </row>
    <row r="1659" spans="1:110" s="42" customFormat="1" ht="48" x14ac:dyDescent="0.2">
      <c r="A1659" s="89">
        <v>40724</v>
      </c>
      <c r="B1659" s="145" t="s">
        <v>4344</v>
      </c>
      <c r="C1659" s="145" t="s">
        <v>2212</v>
      </c>
      <c r="D1659" s="145" t="s">
        <v>3346</v>
      </c>
      <c r="E1659" s="90" t="str">
        <f>VLOOKUP(B1659&amp;C1659,Divipola!$C$2:$F$1138,4,FALSE)</f>
        <v>25317</v>
      </c>
      <c r="F1659" s="145"/>
      <c r="G1659" s="164"/>
      <c r="H1659" s="164"/>
      <c r="I1659" s="164"/>
      <c r="J1659" s="164">
        <v>1737</v>
      </c>
      <c r="K1659" s="164">
        <v>579</v>
      </c>
      <c r="L1659" s="164"/>
      <c r="M1659" s="164"/>
      <c r="N1659" s="164"/>
      <c r="O1659" s="164"/>
      <c r="P1659" s="164"/>
      <c r="Q1659" s="164"/>
      <c r="R1659" s="164"/>
      <c r="S1659" s="164"/>
      <c r="T1659" s="164"/>
      <c r="U1659" s="164"/>
      <c r="V1659" s="164">
        <v>2962.6860000000047</v>
      </c>
      <c r="W1659" s="173"/>
      <c r="X1659" s="17"/>
      <c r="Y1659" s="5">
        <f t="shared" si="156"/>
        <v>0</v>
      </c>
      <c r="Z1659" s="5">
        <f t="shared" si="157"/>
        <v>0</v>
      </c>
      <c r="AA1659" s="5">
        <f t="shared" si="158"/>
        <v>0</v>
      </c>
      <c r="AB1659" s="5">
        <f t="shared" si="159"/>
        <v>0</v>
      </c>
      <c r="AC1659" s="5"/>
      <c r="AD1659" s="5">
        <v>0</v>
      </c>
      <c r="AE1659" s="5">
        <f t="shared" si="160"/>
        <v>0</v>
      </c>
      <c r="AF1659" s="70">
        <v>0</v>
      </c>
      <c r="AG1659" s="135">
        <v>40809</v>
      </c>
      <c r="AH1659" s="161"/>
      <c r="AI1659" s="135" t="s">
        <v>4336</v>
      </c>
      <c r="AJ1659" s="176" t="s">
        <v>4337</v>
      </c>
      <c r="AK1659" s="178"/>
      <c r="AL1659" s="180" t="s">
        <v>4579</v>
      </c>
      <c r="AM1659" s="182" t="s">
        <v>4580</v>
      </c>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39"/>
      <c r="CE1659" s="138"/>
      <c r="CF1659" s="139"/>
      <c r="CG1659" s="138"/>
      <c r="CH1659" s="139"/>
      <c r="CI1659" s="138"/>
      <c r="CJ1659" s="72"/>
      <c r="CK1659" s="139"/>
      <c r="CL1659" s="71"/>
      <c r="CM1659" s="139"/>
      <c r="CN1659" s="138"/>
      <c r="CO1659" s="138"/>
      <c r="CP1659" s="138"/>
      <c r="CQ1659" s="139"/>
      <c r="CR1659" s="138"/>
      <c r="CS1659" s="45"/>
      <c r="CT1659" s="138"/>
      <c r="CU1659" s="45"/>
      <c r="CV1659" s="99">
        <f t="shared" si="155"/>
        <v>0</v>
      </c>
      <c r="CW1659" s="139"/>
      <c r="CX1659" s="138"/>
      <c r="CY1659" s="138"/>
      <c r="CZ1659" s="138"/>
      <c r="DA1659" s="139"/>
      <c r="DB1659" s="138"/>
      <c r="DC1659" s="45"/>
      <c r="DD1659" s="138"/>
      <c r="DE1659" s="45"/>
      <c r="DF1659" s="46"/>
    </row>
    <row r="1660" spans="1:110" s="42" customFormat="1" ht="48" x14ac:dyDescent="0.2">
      <c r="A1660" s="89">
        <v>40724</v>
      </c>
      <c r="B1660" s="145" t="s">
        <v>4344</v>
      </c>
      <c r="C1660" s="145" t="s">
        <v>3552</v>
      </c>
      <c r="D1660" s="145" t="s">
        <v>3346</v>
      </c>
      <c r="E1660" s="90" t="str">
        <f>VLOOKUP(B1660&amp;C1660,Divipola!$C$2:$F$1138,4,FALSE)</f>
        <v>25320</v>
      </c>
      <c r="F1660" s="145"/>
      <c r="G1660" s="164"/>
      <c r="H1660" s="164"/>
      <c r="I1660" s="164"/>
      <c r="J1660" s="164">
        <v>1329</v>
      </c>
      <c r="K1660" s="164">
        <v>443</v>
      </c>
      <c r="L1660" s="164"/>
      <c r="M1660" s="164"/>
      <c r="N1660" s="164"/>
      <c r="O1660" s="164"/>
      <c r="P1660" s="164"/>
      <c r="Q1660" s="164"/>
      <c r="R1660" s="164"/>
      <c r="S1660" s="164"/>
      <c r="T1660" s="164"/>
      <c r="U1660" s="164"/>
      <c r="V1660" s="164">
        <v>3616.5799999999995</v>
      </c>
      <c r="W1660" s="173"/>
      <c r="X1660" s="17"/>
      <c r="Y1660" s="5">
        <f t="shared" si="156"/>
        <v>0</v>
      </c>
      <c r="Z1660" s="5">
        <f t="shared" si="157"/>
        <v>0</v>
      </c>
      <c r="AA1660" s="5">
        <f t="shared" si="158"/>
        <v>0</v>
      </c>
      <c r="AB1660" s="5">
        <f t="shared" si="159"/>
        <v>0</v>
      </c>
      <c r="AC1660" s="5"/>
      <c r="AD1660" s="5">
        <v>0</v>
      </c>
      <c r="AE1660" s="5">
        <f t="shared" si="160"/>
        <v>0</v>
      </c>
      <c r="AF1660" s="70">
        <v>0</v>
      </c>
      <c r="AG1660" s="135">
        <v>40809</v>
      </c>
      <c r="AH1660" s="161"/>
      <c r="AI1660" s="135" t="s">
        <v>4336</v>
      </c>
      <c r="AJ1660" s="176" t="s">
        <v>4337</v>
      </c>
      <c r="AK1660" s="178"/>
      <c r="AL1660" s="180" t="s">
        <v>4579</v>
      </c>
      <c r="AM1660" s="182" t="s">
        <v>4580</v>
      </c>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39"/>
      <c r="CE1660" s="138"/>
      <c r="CF1660" s="139"/>
      <c r="CG1660" s="138"/>
      <c r="CH1660" s="139"/>
      <c r="CI1660" s="138"/>
      <c r="CJ1660" s="72"/>
      <c r="CK1660" s="139"/>
      <c r="CL1660" s="71"/>
      <c r="CM1660" s="139"/>
      <c r="CN1660" s="138"/>
      <c r="CO1660" s="138"/>
      <c r="CP1660" s="138"/>
      <c r="CQ1660" s="139"/>
      <c r="CR1660" s="138"/>
      <c r="CS1660" s="45"/>
      <c r="CT1660" s="138"/>
      <c r="CU1660" s="45"/>
      <c r="CV1660" s="99">
        <f t="shared" si="155"/>
        <v>0</v>
      </c>
      <c r="CW1660" s="139"/>
      <c r="CX1660" s="138"/>
      <c r="CY1660" s="138"/>
      <c r="CZ1660" s="138"/>
      <c r="DA1660" s="139"/>
      <c r="DB1660" s="138"/>
      <c r="DC1660" s="45"/>
      <c r="DD1660" s="138"/>
      <c r="DE1660" s="45"/>
      <c r="DF1660" s="46"/>
    </row>
    <row r="1661" spans="1:110" s="42" customFormat="1" ht="48" x14ac:dyDescent="0.2">
      <c r="A1661" s="89">
        <v>40724</v>
      </c>
      <c r="B1661" s="145" t="s">
        <v>4344</v>
      </c>
      <c r="C1661" s="145" t="s">
        <v>2213</v>
      </c>
      <c r="D1661" s="145" t="s">
        <v>3346</v>
      </c>
      <c r="E1661" s="90" t="str">
        <f>VLOOKUP(B1661&amp;C1661,Divipola!$C$2:$F$1138,4,FALSE)</f>
        <v>25322</v>
      </c>
      <c r="F1661" s="145"/>
      <c r="G1661" s="164"/>
      <c r="H1661" s="164"/>
      <c r="I1661" s="164"/>
      <c r="J1661" s="164">
        <v>78</v>
      </c>
      <c r="K1661" s="164">
        <v>26</v>
      </c>
      <c r="L1661" s="164"/>
      <c r="M1661" s="164"/>
      <c r="N1661" s="164"/>
      <c r="O1661" s="164"/>
      <c r="P1661" s="164"/>
      <c r="Q1661" s="164"/>
      <c r="R1661" s="164"/>
      <c r="S1661" s="164"/>
      <c r="T1661" s="164"/>
      <c r="U1661" s="164"/>
      <c r="V1661" s="164">
        <v>128.19999999999999</v>
      </c>
      <c r="W1661" s="173"/>
      <c r="X1661" s="17"/>
      <c r="Y1661" s="5">
        <f t="shared" si="156"/>
        <v>0</v>
      </c>
      <c r="Z1661" s="5">
        <f t="shared" si="157"/>
        <v>0</v>
      </c>
      <c r="AA1661" s="5">
        <f t="shared" si="158"/>
        <v>0</v>
      </c>
      <c r="AB1661" s="5">
        <f t="shared" si="159"/>
        <v>0</v>
      </c>
      <c r="AC1661" s="5"/>
      <c r="AD1661" s="5">
        <v>0</v>
      </c>
      <c r="AE1661" s="5">
        <f t="shared" si="160"/>
        <v>0</v>
      </c>
      <c r="AF1661" s="70">
        <v>0</v>
      </c>
      <c r="AG1661" s="135">
        <v>40809</v>
      </c>
      <c r="AH1661" s="161"/>
      <c r="AI1661" s="135" t="s">
        <v>4336</v>
      </c>
      <c r="AJ1661" s="176" t="s">
        <v>4337</v>
      </c>
      <c r="AK1661" s="178"/>
      <c r="AL1661" s="180" t="s">
        <v>4579</v>
      </c>
      <c r="AM1661" s="182" t="s">
        <v>4580</v>
      </c>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39"/>
      <c r="CE1661" s="138"/>
      <c r="CF1661" s="139"/>
      <c r="CG1661" s="138"/>
      <c r="CH1661" s="139"/>
      <c r="CI1661" s="138"/>
      <c r="CJ1661" s="72"/>
      <c r="CK1661" s="139"/>
      <c r="CL1661" s="71"/>
      <c r="CM1661" s="139"/>
      <c r="CN1661" s="138"/>
      <c r="CO1661" s="138"/>
      <c r="CP1661" s="138"/>
      <c r="CQ1661" s="139"/>
      <c r="CR1661" s="138"/>
      <c r="CS1661" s="45"/>
      <c r="CT1661" s="138"/>
      <c r="CU1661" s="45"/>
      <c r="CV1661" s="99">
        <f t="shared" si="155"/>
        <v>0</v>
      </c>
      <c r="CW1661" s="139"/>
      <c r="CX1661" s="138"/>
      <c r="CY1661" s="138"/>
      <c r="CZ1661" s="138"/>
      <c r="DA1661" s="139"/>
      <c r="DB1661" s="138"/>
      <c r="DC1661" s="45"/>
      <c r="DD1661" s="138"/>
      <c r="DE1661" s="45"/>
      <c r="DF1661" s="46"/>
    </row>
    <row r="1662" spans="1:110" s="42" customFormat="1" x14ac:dyDescent="0.2">
      <c r="A1662" s="89">
        <v>40724</v>
      </c>
      <c r="B1662" s="16" t="s">
        <v>4344</v>
      </c>
      <c r="C1662" s="16" t="s">
        <v>1720</v>
      </c>
      <c r="D1662" s="90" t="s">
        <v>4264</v>
      </c>
      <c r="E1662" s="90" t="str">
        <f>VLOOKUP(B1662&amp;C1662,Divipola!$C$2:$F$1138,4,FALSE)</f>
        <v>25324</v>
      </c>
      <c r="F1662" s="4"/>
      <c r="G1662" s="208"/>
      <c r="H1662" s="208"/>
      <c r="I1662" s="208"/>
      <c r="J1662" s="208">
        <v>74</v>
      </c>
      <c r="K1662" s="208">
        <v>49</v>
      </c>
      <c r="L1662" s="208"/>
      <c r="M1662" s="208">
        <v>49</v>
      </c>
      <c r="N1662" s="208"/>
      <c r="O1662" s="208"/>
      <c r="P1662" s="208"/>
      <c r="Q1662" s="208"/>
      <c r="R1662" s="208"/>
      <c r="S1662" s="208"/>
      <c r="T1662" s="208"/>
      <c r="U1662" s="208"/>
      <c r="V1662" s="208"/>
      <c r="W1662" s="19"/>
      <c r="X1662" s="17"/>
      <c r="Y1662" s="5">
        <f t="shared" si="156"/>
        <v>0</v>
      </c>
      <c r="Z1662" s="5">
        <f t="shared" si="157"/>
        <v>0</v>
      </c>
      <c r="AA1662" s="5">
        <f t="shared" si="158"/>
        <v>0</v>
      </c>
      <c r="AB1662" s="5">
        <f t="shared" si="159"/>
        <v>0</v>
      </c>
      <c r="AC1662" s="5"/>
      <c r="AD1662" s="5">
        <v>0</v>
      </c>
      <c r="AE1662" s="5">
        <f t="shared" si="160"/>
        <v>0</v>
      </c>
      <c r="AF1662" s="70">
        <v>0</v>
      </c>
      <c r="AG1662" s="17"/>
      <c r="AH1662" s="18"/>
      <c r="AI1662" s="47" t="s">
        <v>4336</v>
      </c>
      <c r="AJ1662" s="73" t="s">
        <v>4337</v>
      </c>
      <c r="AK1662" s="45"/>
      <c r="AL1662" s="17"/>
      <c r="AM1662" s="20" t="s">
        <v>18</v>
      </c>
      <c r="AN1662" s="19"/>
      <c r="AO1662" s="19"/>
      <c r="AP1662" s="19"/>
      <c r="AQ1662" s="19"/>
      <c r="AR1662" s="19"/>
      <c r="AS1662" s="19"/>
      <c r="AT1662" s="19"/>
      <c r="AU1662" s="19"/>
      <c r="AV1662" s="19"/>
      <c r="AW1662" s="19"/>
      <c r="AX1662" s="107"/>
      <c r="AY1662" s="107"/>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39"/>
      <c r="CO1662" s="138"/>
      <c r="CP1662" s="139"/>
      <c r="CQ1662" s="138"/>
      <c r="CR1662" s="139"/>
      <c r="CS1662" s="138"/>
      <c r="CT1662" s="72"/>
      <c r="CU1662" s="139"/>
      <c r="CV1662" s="99">
        <f t="shared" si="155"/>
        <v>0</v>
      </c>
      <c r="CW1662" s="139"/>
      <c r="CX1662" s="138"/>
      <c r="CY1662" s="138"/>
      <c r="CZ1662" s="138"/>
      <c r="DA1662" s="139"/>
      <c r="DB1662" s="138"/>
      <c r="DC1662" s="45"/>
      <c r="DD1662" s="138"/>
      <c r="DE1662" s="45"/>
      <c r="DF1662" s="46"/>
    </row>
    <row r="1663" spans="1:110" s="42" customFormat="1" ht="48" x14ac:dyDescent="0.2">
      <c r="A1663" s="89">
        <v>40724</v>
      </c>
      <c r="B1663" s="145" t="s">
        <v>4344</v>
      </c>
      <c r="C1663" s="145" t="s">
        <v>1720</v>
      </c>
      <c r="D1663" s="145" t="s">
        <v>3346</v>
      </c>
      <c r="E1663" s="90" t="str">
        <f>VLOOKUP(B1663&amp;C1663,Divipola!$C$2:$F$1138,4,FALSE)</f>
        <v>25324</v>
      </c>
      <c r="F1663" s="145"/>
      <c r="G1663" s="164"/>
      <c r="H1663" s="164"/>
      <c r="I1663" s="164"/>
      <c r="J1663" s="164">
        <v>42</v>
      </c>
      <c r="K1663" s="164">
        <v>14</v>
      </c>
      <c r="L1663" s="164"/>
      <c r="M1663" s="164"/>
      <c r="N1663" s="164"/>
      <c r="O1663" s="164"/>
      <c r="P1663" s="164"/>
      <c r="Q1663" s="164"/>
      <c r="R1663" s="164"/>
      <c r="S1663" s="164"/>
      <c r="T1663" s="164"/>
      <c r="U1663" s="164"/>
      <c r="V1663" s="164">
        <v>216.6</v>
      </c>
      <c r="W1663" s="173"/>
      <c r="X1663" s="17"/>
      <c r="Y1663" s="5">
        <f t="shared" si="156"/>
        <v>0</v>
      </c>
      <c r="Z1663" s="5">
        <f t="shared" si="157"/>
        <v>0</v>
      </c>
      <c r="AA1663" s="5">
        <f t="shared" si="158"/>
        <v>0</v>
      </c>
      <c r="AB1663" s="5">
        <f t="shared" si="159"/>
        <v>0</v>
      </c>
      <c r="AC1663" s="5"/>
      <c r="AD1663" s="5">
        <v>0</v>
      </c>
      <c r="AE1663" s="5">
        <f t="shared" si="160"/>
        <v>0</v>
      </c>
      <c r="AF1663" s="70">
        <v>0</v>
      </c>
      <c r="AG1663" s="135">
        <v>40809</v>
      </c>
      <c r="AH1663" s="161"/>
      <c r="AI1663" s="135" t="s">
        <v>4336</v>
      </c>
      <c r="AJ1663" s="176" t="s">
        <v>4337</v>
      </c>
      <c r="AK1663" s="178"/>
      <c r="AL1663" s="180" t="s">
        <v>4579</v>
      </c>
      <c r="AM1663" s="182" t="s">
        <v>4580</v>
      </c>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39"/>
      <c r="CE1663" s="138"/>
      <c r="CF1663" s="139"/>
      <c r="CG1663" s="138"/>
      <c r="CH1663" s="139"/>
      <c r="CI1663" s="138"/>
      <c r="CJ1663" s="72"/>
      <c r="CK1663" s="139"/>
      <c r="CL1663" s="71"/>
      <c r="CM1663" s="139"/>
      <c r="CN1663" s="138"/>
      <c r="CO1663" s="138"/>
      <c r="CP1663" s="138"/>
      <c r="CQ1663" s="139"/>
      <c r="CR1663" s="138"/>
      <c r="CS1663" s="45"/>
      <c r="CT1663" s="138"/>
      <c r="CU1663" s="45"/>
      <c r="CV1663" s="99">
        <f t="shared" si="155"/>
        <v>0</v>
      </c>
      <c r="CW1663" s="139"/>
      <c r="CX1663" s="138"/>
      <c r="CY1663" s="138"/>
      <c r="CZ1663" s="138"/>
      <c r="DA1663" s="139"/>
      <c r="DB1663" s="138"/>
      <c r="DC1663" s="45"/>
      <c r="DD1663" s="138"/>
      <c r="DE1663" s="45"/>
      <c r="DF1663" s="46"/>
    </row>
    <row r="1664" spans="1:110" s="42" customFormat="1" ht="48" x14ac:dyDescent="0.2">
      <c r="A1664" s="89">
        <v>40724</v>
      </c>
      <c r="B1664" s="145" t="s">
        <v>4344</v>
      </c>
      <c r="C1664" s="145" t="s">
        <v>1723</v>
      </c>
      <c r="D1664" s="145" t="s">
        <v>3346</v>
      </c>
      <c r="E1664" s="90" t="str">
        <f>VLOOKUP(B1664&amp;C1664,Divipola!$C$2:$F$1138,4,FALSE)</f>
        <v>25326</v>
      </c>
      <c r="F1664" s="145"/>
      <c r="G1664" s="164"/>
      <c r="H1664" s="164"/>
      <c r="I1664" s="164"/>
      <c r="J1664" s="164">
        <v>30</v>
      </c>
      <c r="K1664" s="164">
        <v>10</v>
      </c>
      <c r="L1664" s="164"/>
      <c r="M1664" s="164"/>
      <c r="N1664" s="164"/>
      <c r="O1664" s="164"/>
      <c r="P1664" s="164"/>
      <c r="Q1664" s="164"/>
      <c r="R1664" s="164"/>
      <c r="S1664" s="164"/>
      <c r="T1664" s="164"/>
      <c r="U1664" s="164"/>
      <c r="V1664" s="164">
        <v>55</v>
      </c>
      <c r="W1664" s="173"/>
      <c r="X1664" s="17"/>
      <c r="Y1664" s="5">
        <f t="shared" si="156"/>
        <v>0</v>
      </c>
      <c r="Z1664" s="5">
        <f t="shared" si="157"/>
        <v>0</v>
      </c>
      <c r="AA1664" s="5">
        <f t="shared" si="158"/>
        <v>0</v>
      </c>
      <c r="AB1664" s="5">
        <f t="shared" si="159"/>
        <v>0</v>
      </c>
      <c r="AC1664" s="5"/>
      <c r="AD1664" s="5">
        <v>0</v>
      </c>
      <c r="AE1664" s="5">
        <f t="shared" si="160"/>
        <v>0</v>
      </c>
      <c r="AF1664" s="70">
        <v>0</v>
      </c>
      <c r="AG1664" s="135">
        <v>40809</v>
      </c>
      <c r="AH1664" s="161"/>
      <c r="AI1664" s="135" t="s">
        <v>4336</v>
      </c>
      <c r="AJ1664" s="176" t="s">
        <v>4337</v>
      </c>
      <c r="AK1664" s="178"/>
      <c r="AL1664" s="180" t="s">
        <v>4579</v>
      </c>
      <c r="AM1664" s="182" t="s">
        <v>4580</v>
      </c>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39"/>
      <c r="CE1664" s="138"/>
      <c r="CF1664" s="139"/>
      <c r="CG1664" s="138"/>
      <c r="CH1664" s="139"/>
      <c r="CI1664" s="138"/>
      <c r="CJ1664" s="72"/>
      <c r="CK1664" s="139"/>
      <c r="CL1664" s="71"/>
      <c r="CM1664" s="139"/>
      <c r="CN1664" s="138"/>
      <c r="CO1664" s="138"/>
      <c r="CP1664" s="138"/>
      <c r="CQ1664" s="139"/>
      <c r="CR1664" s="138"/>
      <c r="CS1664" s="45"/>
      <c r="CT1664" s="138"/>
      <c r="CU1664" s="45"/>
      <c r="CV1664" s="99">
        <f t="shared" si="155"/>
        <v>0</v>
      </c>
      <c r="CW1664" s="139"/>
      <c r="CX1664" s="138"/>
      <c r="CY1664" s="138"/>
      <c r="CZ1664" s="138"/>
      <c r="DA1664" s="139"/>
      <c r="DB1664" s="138"/>
      <c r="DC1664" s="45"/>
      <c r="DD1664" s="138"/>
      <c r="DE1664" s="45"/>
      <c r="DF1664" s="46"/>
    </row>
    <row r="1665" spans="1:110" s="42" customFormat="1" ht="22.5" x14ac:dyDescent="0.2">
      <c r="A1665" s="89">
        <v>40724</v>
      </c>
      <c r="B1665" s="16" t="s">
        <v>4344</v>
      </c>
      <c r="C1665" s="90" t="s">
        <v>2155</v>
      </c>
      <c r="D1665" s="90" t="s">
        <v>4264</v>
      </c>
      <c r="E1665" s="90" t="str">
        <f>VLOOKUP(B1665&amp;C1665,Divipola!$C$2:$F$1138,4,FALSE)</f>
        <v>25328</v>
      </c>
      <c r="F1665" s="4"/>
      <c r="G1665" s="208"/>
      <c r="H1665" s="208"/>
      <c r="I1665" s="208"/>
      <c r="J1665" s="208">
        <v>338</v>
      </c>
      <c r="K1665" s="208">
        <v>106</v>
      </c>
      <c r="L1665" s="208"/>
      <c r="M1665" s="208">
        <v>106</v>
      </c>
      <c r="N1665" s="208"/>
      <c r="O1665" s="208"/>
      <c r="P1665" s="208"/>
      <c r="Q1665" s="208"/>
      <c r="R1665" s="208"/>
      <c r="S1665" s="208"/>
      <c r="T1665" s="208"/>
      <c r="U1665" s="208"/>
      <c r="V1665" s="208"/>
      <c r="W1665" s="19"/>
      <c r="X1665" s="17"/>
      <c r="Y1665" s="5">
        <f t="shared" si="156"/>
        <v>0</v>
      </c>
      <c r="Z1665" s="5">
        <f t="shared" si="157"/>
        <v>0</v>
      </c>
      <c r="AA1665" s="5">
        <f t="shared" si="158"/>
        <v>0</v>
      </c>
      <c r="AB1665" s="5">
        <f t="shared" si="159"/>
        <v>0</v>
      </c>
      <c r="AC1665" s="5"/>
      <c r="AD1665" s="5">
        <v>0</v>
      </c>
      <c r="AE1665" s="5">
        <f t="shared" si="160"/>
        <v>0</v>
      </c>
      <c r="AF1665" s="70">
        <v>0</v>
      </c>
      <c r="AG1665" s="17"/>
      <c r="AH1665" s="18"/>
      <c r="AI1665" s="47" t="s">
        <v>4336</v>
      </c>
      <c r="AJ1665" s="73" t="s">
        <v>4337</v>
      </c>
      <c r="AK1665" s="45"/>
      <c r="AL1665" s="17"/>
      <c r="AM1665" s="20" t="s">
        <v>18</v>
      </c>
      <c r="AN1665" s="19"/>
      <c r="AO1665" s="19"/>
      <c r="AP1665" s="19"/>
      <c r="AQ1665" s="19"/>
      <c r="AR1665" s="19"/>
      <c r="AS1665" s="19"/>
      <c r="AT1665" s="19"/>
      <c r="AU1665" s="19"/>
      <c r="AV1665" s="19"/>
      <c r="AW1665" s="19"/>
      <c r="AX1665" s="107"/>
      <c r="AY1665" s="107"/>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c r="CE1665" s="19"/>
      <c r="CF1665" s="19"/>
      <c r="CG1665" s="19"/>
      <c r="CH1665" s="19"/>
      <c r="CI1665" s="19"/>
      <c r="CJ1665" s="19"/>
      <c r="CK1665" s="19"/>
      <c r="CL1665" s="19"/>
      <c r="CM1665" s="19"/>
      <c r="CN1665" s="139"/>
      <c r="CO1665" s="138"/>
      <c r="CP1665" s="139"/>
      <c r="CQ1665" s="138"/>
      <c r="CR1665" s="139"/>
      <c r="CS1665" s="138"/>
      <c r="CT1665" s="72"/>
      <c r="CU1665" s="139"/>
      <c r="CV1665" s="99">
        <f t="shared" si="155"/>
        <v>0</v>
      </c>
      <c r="CW1665" s="139"/>
      <c r="CX1665" s="138"/>
      <c r="CY1665" s="138"/>
      <c r="CZ1665" s="138"/>
      <c r="DA1665" s="139"/>
      <c r="DB1665" s="138"/>
      <c r="DC1665" s="45"/>
      <c r="DD1665" s="138"/>
      <c r="DE1665" s="45"/>
      <c r="DF1665" s="46"/>
    </row>
    <row r="1666" spans="1:110" s="42" customFormat="1" ht="48" x14ac:dyDescent="0.2">
      <c r="A1666" s="89">
        <v>40724</v>
      </c>
      <c r="B1666" s="145" t="s">
        <v>4344</v>
      </c>
      <c r="C1666" s="145" t="s">
        <v>2155</v>
      </c>
      <c r="D1666" s="145" t="s">
        <v>3346</v>
      </c>
      <c r="E1666" s="90" t="str">
        <f>VLOOKUP(B1666&amp;C1666,Divipola!$C$2:$F$1138,4,FALSE)</f>
        <v>25328</v>
      </c>
      <c r="F1666" s="145"/>
      <c r="G1666" s="164"/>
      <c r="H1666" s="164"/>
      <c r="I1666" s="164"/>
      <c r="J1666" s="164">
        <v>249</v>
      </c>
      <c r="K1666" s="164">
        <v>83</v>
      </c>
      <c r="L1666" s="164"/>
      <c r="M1666" s="164"/>
      <c r="N1666" s="164"/>
      <c r="O1666" s="164"/>
      <c r="P1666" s="164"/>
      <c r="Q1666" s="164"/>
      <c r="R1666" s="164"/>
      <c r="S1666" s="164"/>
      <c r="T1666" s="164"/>
      <c r="U1666" s="164"/>
      <c r="V1666" s="164">
        <v>78.402500000000003</v>
      </c>
      <c r="W1666" s="173"/>
      <c r="X1666" s="17"/>
      <c r="Y1666" s="5">
        <f t="shared" si="156"/>
        <v>0</v>
      </c>
      <c r="Z1666" s="5">
        <f t="shared" si="157"/>
        <v>0</v>
      </c>
      <c r="AA1666" s="5">
        <f t="shared" si="158"/>
        <v>0</v>
      </c>
      <c r="AB1666" s="5">
        <f t="shared" si="159"/>
        <v>0</v>
      </c>
      <c r="AC1666" s="5"/>
      <c r="AD1666" s="5">
        <v>0</v>
      </c>
      <c r="AE1666" s="5">
        <f t="shared" si="160"/>
        <v>0</v>
      </c>
      <c r="AF1666" s="70">
        <v>0</v>
      </c>
      <c r="AG1666" s="135">
        <v>40809</v>
      </c>
      <c r="AH1666" s="161"/>
      <c r="AI1666" s="135" t="s">
        <v>4336</v>
      </c>
      <c r="AJ1666" s="176" t="s">
        <v>4337</v>
      </c>
      <c r="AK1666" s="178"/>
      <c r="AL1666" s="180" t="s">
        <v>4579</v>
      </c>
      <c r="AM1666" s="182" t="s">
        <v>4580</v>
      </c>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39"/>
      <c r="CE1666" s="138"/>
      <c r="CF1666" s="139"/>
      <c r="CG1666" s="138"/>
      <c r="CH1666" s="139"/>
      <c r="CI1666" s="138"/>
      <c r="CJ1666" s="72"/>
      <c r="CK1666" s="139"/>
      <c r="CL1666" s="71"/>
      <c r="CM1666" s="139"/>
      <c r="CN1666" s="138"/>
      <c r="CO1666" s="138"/>
      <c r="CP1666" s="138"/>
      <c r="CQ1666" s="139"/>
      <c r="CR1666" s="138"/>
      <c r="CS1666" s="45"/>
      <c r="CT1666" s="138"/>
      <c r="CU1666" s="45"/>
      <c r="CV1666" s="99">
        <f t="shared" si="155"/>
        <v>0</v>
      </c>
      <c r="CW1666" s="139"/>
      <c r="CX1666" s="138"/>
      <c r="CY1666" s="138"/>
      <c r="CZ1666" s="138"/>
      <c r="DA1666" s="139"/>
      <c r="DB1666" s="138"/>
      <c r="DC1666" s="45"/>
      <c r="DD1666" s="138"/>
      <c r="DE1666" s="45"/>
      <c r="DF1666" s="46"/>
    </row>
    <row r="1667" spans="1:110" s="42" customFormat="1" x14ac:dyDescent="0.2">
      <c r="A1667" s="89">
        <v>40724</v>
      </c>
      <c r="B1667" s="16" t="s">
        <v>4344</v>
      </c>
      <c r="C1667" s="106" t="s">
        <v>2281</v>
      </c>
      <c r="D1667" s="90" t="s">
        <v>4264</v>
      </c>
      <c r="E1667" s="90" t="str">
        <f>VLOOKUP(B1667&amp;C1667,Divipola!$C$2:$F$1138,4,FALSE)</f>
        <v>25335</v>
      </c>
      <c r="F1667" s="4"/>
      <c r="G1667" s="208"/>
      <c r="H1667" s="208"/>
      <c r="I1667" s="208"/>
      <c r="J1667" s="208">
        <v>91</v>
      </c>
      <c r="K1667" s="208">
        <v>34</v>
      </c>
      <c r="L1667" s="208"/>
      <c r="M1667" s="208">
        <v>34</v>
      </c>
      <c r="N1667" s="208"/>
      <c r="O1667" s="208"/>
      <c r="P1667" s="208"/>
      <c r="Q1667" s="208"/>
      <c r="R1667" s="208"/>
      <c r="S1667" s="208"/>
      <c r="T1667" s="208"/>
      <c r="U1667" s="208"/>
      <c r="V1667" s="208"/>
      <c r="W1667" s="19"/>
      <c r="X1667" s="17"/>
      <c r="Y1667" s="5">
        <f t="shared" si="156"/>
        <v>0</v>
      </c>
      <c r="Z1667" s="5">
        <f t="shared" si="157"/>
        <v>0</v>
      </c>
      <c r="AA1667" s="5">
        <f t="shared" si="158"/>
        <v>0</v>
      </c>
      <c r="AB1667" s="5">
        <f t="shared" si="159"/>
        <v>0</v>
      </c>
      <c r="AC1667" s="5"/>
      <c r="AD1667" s="5">
        <v>0</v>
      </c>
      <c r="AE1667" s="5">
        <f t="shared" si="160"/>
        <v>0</v>
      </c>
      <c r="AF1667" s="70">
        <v>0</v>
      </c>
      <c r="AG1667" s="17"/>
      <c r="AH1667" s="18"/>
      <c r="AI1667" s="47" t="s">
        <v>4336</v>
      </c>
      <c r="AJ1667" s="73" t="s">
        <v>4337</v>
      </c>
      <c r="AK1667" s="45"/>
      <c r="AL1667" s="17"/>
      <c r="AM1667" s="20" t="s">
        <v>18</v>
      </c>
      <c r="AN1667" s="19"/>
      <c r="AO1667" s="19"/>
      <c r="AP1667" s="19"/>
      <c r="AQ1667" s="19"/>
      <c r="AR1667" s="19"/>
      <c r="AS1667" s="19"/>
      <c r="AT1667" s="19"/>
      <c r="AU1667" s="19"/>
      <c r="AV1667" s="19"/>
      <c r="AW1667" s="19"/>
      <c r="AX1667" s="107"/>
      <c r="AY1667" s="107"/>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c r="CE1667" s="19"/>
      <c r="CF1667" s="19"/>
      <c r="CG1667" s="19"/>
      <c r="CH1667" s="19"/>
      <c r="CI1667" s="19"/>
      <c r="CJ1667" s="19"/>
      <c r="CK1667" s="19"/>
      <c r="CL1667" s="19"/>
      <c r="CM1667" s="19"/>
      <c r="CN1667" s="139"/>
      <c r="CO1667" s="138"/>
      <c r="CP1667" s="139"/>
      <c r="CQ1667" s="138"/>
      <c r="CR1667" s="139"/>
      <c r="CS1667" s="138"/>
      <c r="CT1667" s="72"/>
      <c r="CU1667" s="139"/>
      <c r="CV1667" s="99">
        <f t="shared" ref="CV1667:CV1730" si="161">AO1667+AQ1667+AS1667+AU1667+AW1667+AY1667+BA1667+BC1667+BE1667+BG1667+BI1667+BK1667+BM1667+BO1667+BQ1667+BS1667+BU1667+BW1667+BY1667+CA1667+CC1667+CE1667+CG1667+CI1667+CK1667+CM1667+CO1667+CQ1667+CS1667+CU1667</f>
        <v>0</v>
      </c>
      <c r="CW1667" s="139"/>
      <c r="CX1667" s="138"/>
      <c r="CY1667" s="138"/>
      <c r="CZ1667" s="138"/>
      <c r="DA1667" s="139"/>
      <c r="DB1667" s="138"/>
      <c r="DC1667" s="45"/>
      <c r="DD1667" s="138"/>
      <c r="DE1667" s="45"/>
      <c r="DF1667" s="46"/>
    </row>
    <row r="1668" spans="1:110" s="42" customFormat="1" ht="48" x14ac:dyDescent="0.2">
      <c r="A1668" s="89">
        <v>40724</v>
      </c>
      <c r="B1668" s="145" t="s">
        <v>4344</v>
      </c>
      <c r="C1668" s="145" t="s">
        <v>2281</v>
      </c>
      <c r="D1668" s="145" t="s">
        <v>3346</v>
      </c>
      <c r="E1668" s="90" t="str">
        <f>VLOOKUP(B1668&amp;C1668,Divipola!$C$2:$F$1138,4,FALSE)</f>
        <v>25335</v>
      </c>
      <c r="F1668" s="145"/>
      <c r="G1668" s="164"/>
      <c r="H1668" s="164"/>
      <c r="I1668" s="164"/>
      <c r="J1668" s="164">
        <v>237</v>
      </c>
      <c r="K1668" s="164">
        <v>79</v>
      </c>
      <c r="L1668" s="164"/>
      <c r="M1668" s="164"/>
      <c r="N1668" s="164"/>
      <c r="O1668" s="164"/>
      <c r="P1668" s="164"/>
      <c r="Q1668" s="164"/>
      <c r="R1668" s="164"/>
      <c r="S1668" s="164"/>
      <c r="T1668" s="164"/>
      <c r="U1668" s="164"/>
      <c r="V1668" s="164">
        <v>130.97000000000003</v>
      </c>
      <c r="W1668" s="173"/>
      <c r="X1668" s="17"/>
      <c r="Y1668" s="5">
        <f t="shared" si="156"/>
        <v>0</v>
      </c>
      <c r="Z1668" s="5">
        <f t="shared" si="157"/>
        <v>0</v>
      </c>
      <c r="AA1668" s="5">
        <f t="shared" si="158"/>
        <v>0</v>
      </c>
      <c r="AB1668" s="5">
        <f t="shared" si="159"/>
        <v>0</v>
      </c>
      <c r="AC1668" s="5"/>
      <c r="AD1668" s="5">
        <v>0</v>
      </c>
      <c r="AE1668" s="5">
        <f t="shared" si="160"/>
        <v>0</v>
      </c>
      <c r="AF1668" s="70">
        <v>0</v>
      </c>
      <c r="AG1668" s="135">
        <v>40809</v>
      </c>
      <c r="AH1668" s="161"/>
      <c r="AI1668" s="135" t="s">
        <v>4336</v>
      </c>
      <c r="AJ1668" s="176" t="s">
        <v>4337</v>
      </c>
      <c r="AK1668" s="178"/>
      <c r="AL1668" s="180" t="s">
        <v>4579</v>
      </c>
      <c r="AM1668" s="182" t="s">
        <v>4580</v>
      </c>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39"/>
      <c r="CE1668" s="138"/>
      <c r="CF1668" s="139"/>
      <c r="CG1668" s="138"/>
      <c r="CH1668" s="139"/>
      <c r="CI1668" s="138"/>
      <c r="CJ1668" s="72"/>
      <c r="CK1668" s="139"/>
      <c r="CL1668" s="71"/>
      <c r="CM1668" s="139"/>
      <c r="CN1668" s="138"/>
      <c r="CO1668" s="138"/>
      <c r="CP1668" s="138"/>
      <c r="CQ1668" s="139"/>
      <c r="CR1668" s="138"/>
      <c r="CS1668" s="45"/>
      <c r="CT1668" s="138"/>
      <c r="CU1668" s="45"/>
      <c r="CV1668" s="99">
        <f t="shared" si="161"/>
        <v>0</v>
      </c>
      <c r="CW1668" s="139"/>
      <c r="CX1668" s="138"/>
      <c r="CY1668" s="138"/>
      <c r="CZ1668" s="138"/>
      <c r="DA1668" s="139"/>
      <c r="DB1668" s="138"/>
      <c r="DC1668" s="45"/>
      <c r="DD1668" s="138"/>
      <c r="DE1668" s="45"/>
      <c r="DF1668" s="46"/>
    </row>
    <row r="1669" spans="1:110" s="42" customFormat="1" x14ac:dyDescent="0.2">
      <c r="A1669" s="89">
        <v>40724</v>
      </c>
      <c r="B1669" s="16" t="s">
        <v>4344</v>
      </c>
      <c r="C1669" s="4" t="s">
        <v>1729</v>
      </c>
      <c r="D1669" s="90" t="s">
        <v>4264</v>
      </c>
      <c r="E1669" s="90" t="str">
        <f>VLOOKUP(B1669&amp;C1669,Divipola!$C$2:$F$1138,4,FALSE)</f>
        <v>25339</v>
      </c>
      <c r="F1669" s="4"/>
      <c r="G1669" s="208"/>
      <c r="H1669" s="208"/>
      <c r="I1669" s="208"/>
      <c r="J1669" s="208">
        <v>192</v>
      </c>
      <c r="K1669" s="208">
        <v>57</v>
      </c>
      <c r="L1669" s="208"/>
      <c r="M1669" s="208">
        <v>57</v>
      </c>
      <c r="N1669" s="208"/>
      <c r="O1669" s="208"/>
      <c r="P1669" s="208"/>
      <c r="Q1669" s="208"/>
      <c r="R1669" s="208"/>
      <c r="S1669" s="208"/>
      <c r="T1669" s="208"/>
      <c r="U1669" s="208"/>
      <c r="V1669" s="208"/>
      <c r="W1669" s="19"/>
      <c r="X1669" s="17"/>
      <c r="Y1669" s="5">
        <f t="shared" si="156"/>
        <v>0</v>
      </c>
      <c r="Z1669" s="5">
        <f t="shared" si="157"/>
        <v>0</v>
      </c>
      <c r="AA1669" s="5">
        <f t="shared" si="158"/>
        <v>0</v>
      </c>
      <c r="AB1669" s="5">
        <f t="shared" si="159"/>
        <v>0</v>
      </c>
      <c r="AC1669" s="5"/>
      <c r="AD1669" s="5">
        <v>0</v>
      </c>
      <c r="AE1669" s="5">
        <f t="shared" si="160"/>
        <v>0</v>
      </c>
      <c r="AF1669" s="70">
        <v>0</v>
      </c>
      <c r="AG1669" s="17"/>
      <c r="AH1669" s="18"/>
      <c r="AI1669" s="47" t="s">
        <v>4336</v>
      </c>
      <c r="AJ1669" s="73" t="s">
        <v>4337</v>
      </c>
      <c r="AK1669" s="45"/>
      <c r="AL1669" s="17"/>
      <c r="AM1669" s="20" t="s">
        <v>18</v>
      </c>
      <c r="AN1669" s="19"/>
      <c r="AO1669" s="19"/>
      <c r="AP1669" s="19"/>
      <c r="AQ1669" s="19"/>
      <c r="AR1669" s="19"/>
      <c r="AS1669" s="19"/>
      <c r="AT1669" s="19"/>
      <c r="AU1669" s="19"/>
      <c r="AV1669" s="19"/>
      <c r="AW1669" s="19"/>
      <c r="AX1669" s="107"/>
      <c r="AY1669" s="107"/>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c r="CE1669" s="19"/>
      <c r="CF1669" s="19"/>
      <c r="CG1669" s="19"/>
      <c r="CH1669" s="19"/>
      <c r="CI1669" s="19"/>
      <c r="CJ1669" s="19"/>
      <c r="CK1669" s="19"/>
      <c r="CL1669" s="19"/>
      <c r="CM1669" s="19"/>
      <c r="CN1669" s="139"/>
      <c r="CO1669" s="138"/>
      <c r="CP1669" s="139"/>
      <c r="CQ1669" s="138"/>
      <c r="CR1669" s="139"/>
      <c r="CS1669" s="138"/>
      <c r="CT1669" s="72"/>
      <c r="CU1669" s="139"/>
      <c r="CV1669" s="99">
        <f t="shared" si="161"/>
        <v>0</v>
      </c>
      <c r="CW1669" s="139"/>
      <c r="CX1669" s="138"/>
      <c r="CY1669" s="138"/>
      <c r="CZ1669" s="138"/>
      <c r="DA1669" s="139"/>
      <c r="DB1669" s="138"/>
      <c r="DC1669" s="45"/>
      <c r="DD1669" s="138"/>
      <c r="DE1669" s="45"/>
      <c r="DF1669" s="46"/>
    </row>
    <row r="1670" spans="1:110" s="42" customFormat="1" ht="48" x14ac:dyDescent="0.2">
      <c r="A1670" s="89">
        <v>40724</v>
      </c>
      <c r="B1670" s="145" t="s">
        <v>4344</v>
      </c>
      <c r="C1670" s="145" t="s">
        <v>1729</v>
      </c>
      <c r="D1670" s="145" t="s">
        <v>3346</v>
      </c>
      <c r="E1670" s="90" t="str">
        <f>VLOOKUP(B1670&amp;C1670,Divipola!$C$2:$F$1138,4,FALSE)</f>
        <v>25339</v>
      </c>
      <c r="F1670" s="145"/>
      <c r="G1670" s="164"/>
      <c r="H1670" s="164"/>
      <c r="I1670" s="164"/>
      <c r="J1670" s="164">
        <v>186</v>
      </c>
      <c r="K1670" s="164">
        <v>62</v>
      </c>
      <c r="L1670" s="164"/>
      <c r="M1670" s="164"/>
      <c r="N1670" s="164"/>
      <c r="O1670" s="164"/>
      <c r="P1670" s="164"/>
      <c r="Q1670" s="164"/>
      <c r="R1670" s="164"/>
      <c r="S1670" s="164"/>
      <c r="T1670" s="164"/>
      <c r="U1670" s="164"/>
      <c r="V1670" s="164">
        <v>50.9</v>
      </c>
      <c r="W1670" s="173"/>
      <c r="X1670" s="17"/>
      <c r="Y1670" s="5">
        <f t="shared" si="156"/>
        <v>0</v>
      </c>
      <c r="Z1670" s="5">
        <f t="shared" si="157"/>
        <v>0</v>
      </c>
      <c r="AA1670" s="5">
        <f t="shared" si="158"/>
        <v>0</v>
      </c>
      <c r="AB1670" s="5">
        <f t="shared" si="159"/>
        <v>0</v>
      </c>
      <c r="AC1670" s="5"/>
      <c r="AD1670" s="5">
        <v>0</v>
      </c>
      <c r="AE1670" s="5">
        <f t="shared" si="160"/>
        <v>0</v>
      </c>
      <c r="AF1670" s="70">
        <v>0</v>
      </c>
      <c r="AG1670" s="135">
        <v>40809</v>
      </c>
      <c r="AH1670" s="161"/>
      <c r="AI1670" s="135" t="s">
        <v>4336</v>
      </c>
      <c r="AJ1670" s="176" t="s">
        <v>4337</v>
      </c>
      <c r="AK1670" s="178"/>
      <c r="AL1670" s="180" t="s">
        <v>4579</v>
      </c>
      <c r="AM1670" s="182" t="s">
        <v>4580</v>
      </c>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39"/>
      <c r="CE1670" s="138"/>
      <c r="CF1670" s="139"/>
      <c r="CG1670" s="138"/>
      <c r="CH1670" s="139"/>
      <c r="CI1670" s="138"/>
      <c r="CJ1670" s="72"/>
      <c r="CK1670" s="139"/>
      <c r="CL1670" s="71"/>
      <c r="CM1670" s="139"/>
      <c r="CN1670" s="138"/>
      <c r="CO1670" s="138"/>
      <c r="CP1670" s="138"/>
      <c r="CQ1670" s="139"/>
      <c r="CR1670" s="138"/>
      <c r="CS1670" s="45"/>
      <c r="CT1670" s="138"/>
      <c r="CU1670" s="45"/>
      <c r="CV1670" s="99">
        <f t="shared" si="161"/>
        <v>0</v>
      </c>
      <c r="CW1670" s="139"/>
      <c r="CX1670" s="138"/>
      <c r="CY1670" s="138"/>
      <c r="CZ1670" s="138"/>
      <c r="DA1670" s="139"/>
      <c r="DB1670" s="138"/>
      <c r="DC1670" s="45"/>
      <c r="DD1670" s="138"/>
      <c r="DE1670" s="45"/>
      <c r="DF1670" s="46"/>
    </row>
    <row r="1671" spans="1:110" s="42" customFormat="1" x14ac:dyDescent="0.2">
      <c r="A1671" s="89">
        <v>40724</v>
      </c>
      <c r="B1671" s="16" t="s">
        <v>4344</v>
      </c>
      <c r="C1671" s="4" t="s">
        <v>1731</v>
      </c>
      <c r="D1671" s="90" t="s">
        <v>4264</v>
      </c>
      <c r="E1671" s="90" t="str">
        <f>VLOOKUP(B1671&amp;C1671,Divipola!$C$2:$F$1138,4,FALSE)</f>
        <v>25368</v>
      </c>
      <c r="F1671" s="4"/>
      <c r="G1671" s="208"/>
      <c r="H1671" s="208"/>
      <c r="I1671" s="208"/>
      <c r="J1671" s="208">
        <v>91</v>
      </c>
      <c r="K1671" s="208">
        <v>34</v>
      </c>
      <c r="L1671" s="208"/>
      <c r="M1671" s="208">
        <v>34</v>
      </c>
      <c r="N1671" s="208"/>
      <c r="O1671" s="208"/>
      <c r="P1671" s="208"/>
      <c r="Q1671" s="208"/>
      <c r="R1671" s="208"/>
      <c r="S1671" s="208"/>
      <c r="T1671" s="208"/>
      <c r="U1671" s="208"/>
      <c r="V1671" s="208"/>
      <c r="W1671" s="19"/>
      <c r="X1671" s="17"/>
      <c r="Y1671" s="5">
        <f t="shared" si="156"/>
        <v>0</v>
      </c>
      <c r="Z1671" s="5">
        <f t="shared" si="157"/>
        <v>0</v>
      </c>
      <c r="AA1671" s="5">
        <f t="shared" si="158"/>
        <v>0</v>
      </c>
      <c r="AB1671" s="5">
        <f t="shared" si="159"/>
        <v>0</v>
      </c>
      <c r="AC1671" s="5"/>
      <c r="AD1671" s="5">
        <v>0</v>
      </c>
      <c r="AE1671" s="5">
        <f t="shared" si="160"/>
        <v>0</v>
      </c>
      <c r="AF1671" s="70">
        <v>0</v>
      </c>
      <c r="AG1671" s="17"/>
      <c r="AH1671" s="18"/>
      <c r="AI1671" s="47" t="s">
        <v>4336</v>
      </c>
      <c r="AJ1671" s="73" t="s">
        <v>4337</v>
      </c>
      <c r="AK1671" s="45"/>
      <c r="AL1671" s="17"/>
      <c r="AM1671" s="20" t="s">
        <v>18</v>
      </c>
      <c r="AN1671" s="19"/>
      <c r="AO1671" s="19"/>
      <c r="AP1671" s="19"/>
      <c r="AQ1671" s="19"/>
      <c r="AR1671" s="19"/>
      <c r="AS1671" s="19"/>
      <c r="AT1671" s="19"/>
      <c r="AU1671" s="19"/>
      <c r="AV1671" s="19"/>
      <c r="AW1671" s="19"/>
      <c r="AX1671" s="107"/>
      <c r="AY1671" s="107"/>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c r="CE1671" s="19"/>
      <c r="CF1671" s="19"/>
      <c r="CG1671" s="19"/>
      <c r="CH1671" s="19"/>
      <c r="CI1671" s="19"/>
      <c r="CJ1671" s="19"/>
      <c r="CK1671" s="19"/>
      <c r="CL1671" s="19"/>
      <c r="CM1671" s="19"/>
      <c r="CN1671" s="139"/>
      <c r="CO1671" s="138"/>
      <c r="CP1671" s="139"/>
      <c r="CQ1671" s="138"/>
      <c r="CR1671" s="139"/>
      <c r="CS1671" s="138"/>
      <c r="CT1671" s="72"/>
      <c r="CU1671" s="139"/>
      <c r="CV1671" s="99">
        <f t="shared" si="161"/>
        <v>0</v>
      </c>
      <c r="CW1671" s="139"/>
      <c r="CX1671" s="138"/>
      <c r="CY1671" s="138"/>
      <c r="CZ1671" s="138"/>
      <c r="DA1671" s="139"/>
      <c r="DB1671" s="138"/>
      <c r="DC1671" s="45"/>
      <c r="DD1671" s="138"/>
      <c r="DE1671" s="45"/>
      <c r="DF1671" s="46"/>
    </row>
    <row r="1672" spans="1:110" s="42" customFormat="1" ht="48" x14ac:dyDescent="0.2">
      <c r="A1672" s="89">
        <v>40724</v>
      </c>
      <c r="B1672" s="145" t="s">
        <v>4344</v>
      </c>
      <c r="C1672" s="145" t="s">
        <v>1731</v>
      </c>
      <c r="D1672" s="145" t="s">
        <v>3346</v>
      </c>
      <c r="E1672" s="90" t="str">
        <f>VLOOKUP(B1672&amp;C1672,Divipola!$C$2:$F$1138,4,FALSE)</f>
        <v>25368</v>
      </c>
      <c r="F1672" s="145"/>
      <c r="G1672" s="164"/>
      <c r="H1672" s="164"/>
      <c r="I1672" s="164"/>
      <c r="J1672" s="164">
        <v>84</v>
      </c>
      <c r="K1672" s="164">
        <v>28</v>
      </c>
      <c r="L1672" s="164"/>
      <c r="M1672" s="164"/>
      <c r="N1672" s="164"/>
      <c r="O1672" s="164"/>
      <c r="P1672" s="164"/>
      <c r="Q1672" s="164"/>
      <c r="R1672" s="164"/>
      <c r="S1672" s="164"/>
      <c r="T1672" s="164"/>
      <c r="U1672" s="164"/>
      <c r="V1672" s="164">
        <v>38</v>
      </c>
      <c r="W1672" s="173"/>
      <c r="X1672" s="17"/>
      <c r="Y1672" s="5">
        <f t="shared" si="156"/>
        <v>0</v>
      </c>
      <c r="Z1672" s="5">
        <f t="shared" si="157"/>
        <v>0</v>
      </c>
      <c r="AA1672" s="5">
        <f t="shared" si="158"/>
        <v>0</v>
      </c>
      <c r="AB1672" s="5">
        <f t="shared" si="159"/>
        <v>0</v>
      </c>
      <c r="AC1672" s="5"/>
      <c r="AD1672" s="5">
        <v>0</v>
      </c>
      <c r="AE1672" s="5">
        <f t="shared" si="160"/>
        <v>0</v>
      </c>
      <c r="AF1672" s="70">
        <v>0</v>
      </c>
      <c r="AG1672" s="135">
        <v>40809</v>
      </c>
      <c r="AH1672" s="161"/>
      <c r="AI1672" s="135" t="s">
        <v>4336</v>
      </c>
      <c r="AJ1672" s="176" t="s">
        <v>4337</v>
      </c>
      <c r="AK1672" s="178"/>
      <c r="AL1672" s="180" t="s">
        <v>4579</v>
      </c>
      <c r="AM1672" s="182" t="s">
        <v>4580</v>
      </c>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39"/>
      <c r="CE1672" s="138"/>
      <c r="CF1672" s="139"/>
      <c r="CG1672" s="138"/>
      <c r="CH1672" s="139"/>
      <c r="CI1672" s="138"/>
      <c r="CJ1672" s="72"/>
      <c r="CK1672" s="139"/>
      <c r="CL1672" s="71"/>
      <c r="CM1672" s="139"/>
      <c r="CN1672" s="138"/>
      <c r="CO1672" s="138"/>
      <c r="CP1672" s="138"/>
      <c r="CQ1672" s="139"/>
      <c r="CR1672" s="138"/>
      <c r="CS1672" s="45"/>
      <c r="CT1672" s="138"/>
      <c r="CU1672" s="45"/>
      <c r="CV1672" s="99">
        <f t="shared" si="161"/>
        <v>0</v>
      </c>
      <c r="CW1672" s="139"/>
      <c r="CX1672" s="138"/>
      <c r="CY1672" s="138"/>
      <c r="CZ1672" s="138"/>
      <c r="DA1672" s="139"/>
      <c r="DB1672" s="138"/>
      <c r="DC1672" s="45"/>
      <c r="DD1672" s="138"/>
      <c r="DE1672" s="45"/>
      <c r="DF1672" s="46"/>
    </row>
    <row r="1673" spans="1:110" s="42" customFormat="1" x14ac:dyDescent="0.2">
      <c r="A1673" s="89">
        <v>40724</v>
      </c>
      <c r="B1673" s="16" t="s">
        <v>4344</v>
      </c>
      <c r="C1673" s="90" t="s">
        <v>4512</v>
      </c>
      <c r="D1673" s="90" t="s">
        <v>4264</v>
      </c>
      <c r="E1673" s="90" t="str">
        <f>VLOOKUP(B1673&amp;C1673,Divipola!$C$2:$F$1138,4,FALSE)</f>
        <v>25372</v>
      </c>
      <c r="F1673" s="4"/>
      <c r="G1673" s="208"/>
      <c r="H1673" s="208"/>
      <c r="I1673" s="208"/>
      <c r="J1673" s="208">
        <v>87</v>
      </c>
      <c r="K1673" s="208">
        <v>23</v>
      </c>
      <c r="L1673" s="208"/>
      <c r="M1673" s="208">
        <v>23</v>
      </c>
      <c r="N1673" s="208"/>
      <c r="O1673" s="208"/>
      <c r="P1673" s="208"/>
      <c r="Q1673" s="208"/>
      <c r="R1673" s="208"/>
      <c r="S1673" s="208"/>
      <c r="T1673" s="208"/>
      <c r="U1673" s="208"/>
      <c r="V1673" s="208"/>
      <c r="W1673" s="19"/>
      <c r="X1673" s="17"/>
      <c r="Y1673" s="5">
        <f t="shared" si="156"/>
        <v>0</v>
      </c>
      <c r="Z1673" s="5">
        <f t="shared" si="157"/>
        <v>0</v>
      </c>
      <c r="AA1673" s="5">
        <f t="shared" si="158"/>
        <v>0</v>
      </c>
      <c r="AB1673" s="5">
        <f t="shared" si="159"/>
        <v>0</v>
      </c>
      <c r="AC1673" s="5"/>
      <c r="AD1673" s="5">
        <v>0</v>
      </c>
      <c r="AE1673" s="5">
        <f t="shared" si="160"/>
        <v>0</v>
      </c>
      <c r="AF1673" s="70">
        <v>0</v>
      </c>
      <c r="AG1673" s="17"/>
      <c r="AH1673" s="18"/>
      <c r="AI1673" s="47" t="s">
        <v>4336</v>
      </c>
      <c r="AJ1673" s="73" t="s">
        <v>4337</v>
      </c>
      <c r="AK1673" s="45"/>
      <c r="AL1673" s="17"/>
      <c r="AM1673" s="20" t="s">
        <v>18</v>
      </c>
      <c r="AN1673" s="19"/>
      <c r="AO1673" s="19"/>
      <c r="AP1673" s="19"/>
      <c r="AQ1673" s="19"/>
      <c r="AR1673" s="19"/>
      <c r="AS1673" s="19"/>
      <c r="AT1673" s="19"/>
      <c r="AU1673" s="19"/>
      <c r="AV1673" s="19"/>
      <c r="AW1673" s="19"/>
      <c r="AX1673" s="107"/>
      <c r="AY1673" s="107"/>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c r="CE1673" s="19"/>
      <c r="CF1673" s="19"/>
      <c r="CG1673" s="19"/>
      <c r="CH1673" s="19"/>
      <c r="CI1673" s="19"/>
      <c r="CJ1673" s="19"/>
      <c r="CK1673" s="19"/>
      <c r="CL1673" s="19"/>
      <c r="CM1673" s="19"/>
      <c r="CN1673" s="139"/>
      <c r="CO1673" s="138"/>
      <c r="CP1673" s="139"/>
      <c r="CQ1673" s="138"/>
      <c r="CR1673" s="139"/>
      <c r="CS1673" s="138"/>
      <c r="CT1673" s="72"/>
      <c r="CU1673" s="139"/>
      <c r="CV1673" s="99">
        <f t="shared" si="161"/>
        <v>0</v>
      </c>
      <c r="CW1673" s="139"/>
      <c r="CX1673" s="138"/>
      <c r="CY1673" s="138"/>
      <c r="CZ1673" s="138"/>
      <c r="DA1673" s="139"/>
      <c r="DB1673" s="138"/>
      <c r="DC1673" s="45"/>
      <c r="DD1673" s="138"/>
      <c r="DE1673" s="45"/>
      <c r="DF1673" s="46"/>
    </row>
    <row r="1674" spans="1:110" s="42" customFormat="1" ht="48" x14ac:dyDescent="0.2">
      <c r="A1674" s="89">
        <v>40724</v>
      </c>
      <c r="B1674" s="145" t="s">
        <v>4344</v>
      </c>
      <c r="C1674" s="145" t="s">
        <v>3501</v>
      </c>
      <c r="D1674" s="145" t="s">
        <v>3346</v>
      </c>
      <c r="E1674" s="90" t="str">
        <f>VLOOKUP(B1674&amp;C1674,Divipola!$C$2:$F$1138,4,FALSE)</f>
        <v>25377</v>
      </c>
      <c r="F1674" s="145"/>
      <c r="G1674" s="164"/>
      <c r="H1674" s="164"/>
      <c r="I1674" s="164"/>
      <c r="J1674" s="164">
        <v>51</v>
      </c>
      <c r="K1674" s="164">
        <v>17</v>
      </c>
      <c r="L1674" s="164"/>
      <c r="M1674" s="164"/>
      <c r="N1674" s="164"/>
      <c r="O1674" s="164"/>
      <c r="P1674" s="164"/>
      <c r="Q1674" s="164"/>
      <c r="R1674" s="164"/>
      <c r="S1674" s="164"/>
      <c r="T1674" s="164"/>
      <c r="U1674" s="164"/>
      <c r="V1674" s="164">
        <v>387.2</v>
      </c>
      <c r="W1674" s="173"/>
      <c r="X1674" s="17"/>
      <c r="Y1674" s="5">
        <f t="shared" si="156"/>
        <v>0</v>
      </c>
      <c r="Z1674" s="5">
        <f t="shared" si="157"/>
        <v>0</v>
      </c>
      <c r="AA1674" s="5">
        <f t="shared" si="158"/>
        <v>0</v>
      </c>
      <c r="AB1674" s="5">
        <f t="shared" si="159"/>
        <v>0</v>
      </c>
      <c r="AC1674" s="5"/>
      <c r="AD1674" s="5">
        <v>0</v>
      </c>
      <c r="AE1674" s="5">
        <f t="shared" si="160"/>
        <v>0</v>
      </c>
      <c r="AF1674" s="70">
        <v>0</v>
      </c>
      <c r="AG1674" s="135">
        <v>40809</v>
      </c>
      <c r="AH1674" s="161"/>
      <c r="AI1674" s="135" t="s">
        <v>4336</v>
      </c>
      <c r="AJ1674" s="176" t="s">
        <v>4337</v>
      </c>
      <c r="AK1674" s="178"/>
      <c r="AL1674" s="180" t="s">
        <v>4579</v>
      </c>
      <c r="AM1674" s="182" t="s">
        <v>4580</v>
      </c>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39"/>
      <c r="CE1674" s="138"/>
      <c r="CF1674" s="139"/>
      <c r="CG1674" s="138"/>
      <c r="CH1674" s="139"/>
      <c r="CI1674" s="138"/>
      <c r="CJ1674" s="72"/>
      <c r="CK1674" s="139"/>
      <c r="CL1674" s="71"/>
      <c r="CM1674" s="139"/>
      <c r="CN1674" s="138"/>
      <c r="CO1674" s="138"/>
      <c r="CP1674" s="138"/>
      <c r="CQ1674" s="139"/>
      <c r="CR1674" s="138"/>
      <c r="CS1674" s="45"/>
      <c r="CT1674" s="138"/>
      <c r="CU1674" s="45"/>
      <c r="CV1674" s="99">
        <f t="shared" si="161"/>
        <v>0</v>
      </c>
      <c r="CW1674" s="139"/>
      <c r="CX1674" s="138"/>
      <c r="CY1674" s="138"/>
      <c r="CZ1674" s="138"/>
      <c r="DA1674" s="139"/>
      <c r="DB1674" s="138"/>
      <c r="DC1674" s="45"/>
      <c r="DD1674" s="138"/>
      <c r="DE1674" s="45"/>
      <c r="DF1674" s="46"/>
    </row>
    <row r="1675" spans="1:110" s="42" customFormat="1" x14ac:dyDescent="0.2">
      <c r="A1675" s="89">
        <v>40724</v>
      </c>
      <c r="B1675" s="16" t="s">
        <v>4344</v>
      </c>
      <c r="C1675" s="106" t="s">
        <v>1736</v>
      </c>
      <c r="D1675" s="90" t="s">
        <v>4264</v>
      </c>
      <c r="E1675" s="90" t="str">
        <f>VLOOKUP(B1675&amp;C1675,Divipola!$C$2:$F$1138,4,FALSE)</f>
        <v>25386</v>
      </c>
      <c r="F1675" s="4"/>
      <c r="G1675" s="208"/>
      <c r="H1675" s="208"/>
      <c r="I1675" s="208"/>
      <c r="J1675" s="208">
        <v>1833</v>
      </c>
      <c r="K1675" s="208">
        <v>860</v>
      </c>
      <c r="L1675" s="208"/>
      <c r="M1675" s="208">
        <v>860</v>
      </c>
      <c r="N1675" s="208"/>
      <c r="O1675" s="208"/>
      <c r="P1675" s="208"/>
      <c r="Q1675" s="208"/>
      <c r="R1675" s="208"/>
      <c r="S1675" s="208"/>
      <c r="T1675" s="208"/>
      <c r="U1675" s="208"/>
      <c r="V1675" s="208"/>
      <c r="W1675" s="19"/>
      <c r="X1675" s="17"/>
      <c r="Y1675" s="5">
        <f t="shared" si="156"/>
        <v>0</v>
      </c>
      <c r="Z1675" s="5">
        <f t="shared" si="157"/>
        <v>0</v>
      </c>
      <c r="AA1675" s="5">
        <f t="shared" si="158"/>
        <v>0</v>
      </c>
      <c r="AB1675" s="5">
        <f t="shared" si="159"/>
        <v>0</v>
      </c>
      <c r="AC1675" s="5"/>
      <c r="AD1675" s="5">
        <v>0</v>
      </c>
      <c r="AE1675" s="5">
        <f t="shared" si="160"/>
        <v>0</v>
      </c>
      <c r="AF1675" s="70">
        <v>0</v>
      </c>
      <c r="AG1675" s="17"/>
      <c r="AH1675" s="18"/>
      <c r="AI1675" s="47" t="s">
        <v>4336</v>
      </c>
      <c r="AJ1675" s="73" t="s">
        <v>4337</v>
      </c>
      <c r="AK1675" s="45"/>
      <c r="AL1675" s="17"/>
      <c r="AM1675" s="20" t="s">
        <v>18</v>
      </c>
      <c r="AN1675" s="19"/>
      <c r="AO1675" s="19"/>
      <c r="AP1675" s="19"/>
      <c r="AQ1675" s="19"/>
      <c r="AR1675" s="19"/>
      <c r="AS1675" s="19"/>
      <c r="AT1675" s="19"/>
      <c r="AU1675" s="19"/>
      <c r="AV1675" s="19"/>
      <c r="AW1675" s="19"/>
      <c r="AX1675" s="107"/>
      <c r="AY1675" s="107"/>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c r="CE1675" s="19"/>
      <c r="CF1675" s="19"/>
      <c r="CG1675" s="19"/>
      <c r="CH1675" s="19"/>
      <c r="CI1675" s="19"/>
      <c r="CJ1675" s="19"/>
      <c r="CK1675" s="19"/>
      <c r="CL1675" s="19"/>
      <c r="CM1675" s="19"/>
      <c r="CN1675" s="139"/>
      <c r="CO1675" s="138"/>
      <c r="CP1675" s="139"/>
      <c r="CQ1675" s="138"/>
      <c r="CR1675" s="139"/>
      <c r="CS1675" s="138"/>
      <c r="CT1675" s="72"/>
      <c r="CU1675" s="139"/>
      <c r="CV1675" s="99">
        <f t="shared" si="161"/>
        <v>0</v>
      </c>
      <c r="CW1675" s="139"/>
      <c r="CX1675" s="138"/>
      <c r="CY1675" s="138"/>
      <c r="CZ1675" s="138"/>
      <c r="DA1675" s="139"/>
      <c r="DB1675" s="138"/>
      <c r="DC1675" s="45"/>
      <c r="DD1675" s="138"/>
      <c r="DE1675" s="45"/>
      <c r="DF1675" s="46"/>
    </row>
    <row r="1676" spans="1:110" s="42" customFormat="1" ht="48" x14ac:dyDescent="0.2">
      <c r="A1676" s="89">
        <v>40724</v>
      </c>
      <c r="B1676" s="145" t="s">
        <v>4344</v>
      </c>
      <c r="C1676" s="145" t="s">
        <v>1736</v>
      </c>
      <c r="D1676" s="145" t="s">
        <v>3346</v>
      </c>
      <c r="E1676" s="90" t="str">
        <f>VLOOKUP(B1676&amp;C1676,Divipola!$C$2:$F$1138,4,FALSE)</f>
        <v>25386</v>
      </c>
      <c r="F1676" s="145"/>
      <c r="G1676" s="164"/>
      <c r="H1676" s="164"/>
      <c r="I1676" s="164"/>
      <c r="J1676" s="164">
        <v>672</v>
      </c>
      <c r="K1676" s="164">
        <v>224</v>
      </c>
      <c r="L1676" s="164"/>
      <c r="M1676" s="164"/>
      <c r="N1676" s="164"/>
      <c r="O1676" s="164"/>
      <c r="P1676" s="164"/>
      <c r="Q1676" s="164"/>
      <c r="R1676" s="164"/>
      <c r="S1676" s="164"/>
      <c r="T1676" s="164"/>
      <c r="U1676" s="164"/>
      <c r="V1676" s="164">
        <v>642.59059999999988</v>
      </c>
      <c r="W1676" s="173"/>
      <c r="X1676" s="17"/>
      <c r="Y1676" s="5">
        <f t="shared" si="156"/>
        <v>0</v>
      </c>
      <c r="Z1676" s="5">
        <f t="shared" si="157"/>
        <v>0</v>
      </c>
      <c r="AA1676" s="5">
        <f t="shared" si="158"/>
        <v>0</v>
      </c>
      <c r="AB1676" s="5">
        <f t="shared" si="159"/>
        <v>0</v>
      </c>
      <c r="AC1676" s="5"/>
      <c r="AD1676" s="5">
        <v>0</v>
      </c>
      <c r="AE1676" s="5">
        <f t="shared" si="160"/>
        <v>0</v>
      </c>
      <c r="AF1676" s="70">
        <v>0</v>
      </c>
      <c r="AG1676" s="135">
        <v>40809</v>
      </c>
      <c r="AH1676" s="161"/>
      <c r="AI1676" s="135" t="s">
        <v>4336</v>
      </c>
      <c r="AJ1676" s="176" t="s">
        <v>4337</v>
      </c>
      <c r="AK1676" s="178"/>
      <c r="AL1676" s="180" t="s">
        <v>4579</v>
      </c>
      <c r="AM1676" s="182" t="s">
        <v>4580</v>
      </c>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39"/>
      <c r="CE1676" s="138"/>
      <c r="CF1676" s="139"/>
      <c r="CG1676" s="138"/>
      <c r="CH1676" s="139"/>
      <c r="CI1676" s="138"/>
      <c r="CJ1676" s="72"/>
      <c r="CK1676" s="139"/>
      <c r="CL1676" s="71"/>
      <c r="CM1676" s="139"/>
      <c r="CN1676" s="138"/>
      <c r="CO1676" s="138"/>
      <c r="CP1676" s="138"/>
      <c r="CQ1676" s="139"/>
      <c r="CR1676" s="138"/>
      <c r="CS1676" s="45"/>
      <c r="CT1676" s="138"/>
      <c r="CU1676" s="45"/>
      <c r="CV1676" s="99">
        <f t="shared" si="161"/>
        <v>0</v>
      </c>
      <c r="CW1676" s="139"/>
      <c r="CX1676" s="138"/>
      <c r="CY1676" s="138"/>
      <c r="CZ1676" s="138"/>
      <c r="DA1676" s="139"/>
      <c r="DB1676" s="138"/>
      <c r="DC1676" s="45"/>
      <c r="DD1676" s="138"/>
      <c r="DE1676" s="45"/>
      <c r="DF1676" s="46"/>
    </row>
    <row r="1677" spans="1:110" s="42" customFormat="1" x14ac:dyDescent="0.2">
      <c r="A1677" s="89">
        <v>40724</v>
      </c>
      <c r="B1677" s="16" t="s">
        <v>4344</v>
      </c>
      <c r="C1677" s="90" t="s">
        <v>2214</v>
      </c>
      <c r="D1677" s="90" t="s">
        <v>4264</v>
      </c>
      <c r="E1677" s="90" t="str">
        <f>VLOOKUP(B1677&amp;C1677,Divipola!$C$2:$F$1138,4,FALSE)</f>
        <v>25394</v>
      </c>
      <c r="F1677" s="4"/>
      <c r="G1677" s="208"/>
      <c r="H1677" s="208"/>
      <c r="I1677" s="208"/>
      <c r="J1677" s="208">
        <v>327</v>
      </c>
      <c r="K1677" s="208">
        <v>235</v>
      </c>
      <c r="L1677" s="208"/>
      <c r="M1677" s="208">
        <v>235</v>
      </c>
      <c r="N1677" s="208"/>
      <c r="O1677" s="208"/>
      <c r="P1677" s="208"/>
      <c r="Q1677" s="208"/>
      <c r="R1677" s="208"/>
      <c r="S1677" s="208"/>
      <c r="T1677" s="208"/>
      <c r="U1677" s="208"/>
      <c r="V1677" s="208"/>
      <c r="W1677" s="19"/>
      <c r="X1677" s="17"/>
      <c r="Y1677" s="5">
        <f t="shared" si="156"/>
        <v>0</v>
      </c>
      <c r="Z1677" s="5">
        <f t="shared" si="157"/>
        <v>0</v>
      </c>
      <c r="AA1677" s="5">
        <f t="shared" si="158"/>
        <v>0</v>
      </c>
      <c r="AB1677" s="5">
        <f t="shared" si="159"/>
        <v>0</v>
      </c>
      <c r="AC1677" s="5"/>
      <c r="AD1677" s="5">
        <v>0</v>
      </c>
      <c r="AE1677" s="5">
        <f t="shared" si="160"/>
        <v>0</v>
      </c>
      <c r="AF1677" s="70">
        <v>0</v>
      </c>
      <c r="AG1677" s="17"/>
      <c r="AH1677" s="18"/>
      <c r="AI1677" s="47" t="s">
        <v>4336</v>
      </c>
      <c r="AJ1677" s="73" t="s">
        <v>4337</v>
      </c>
      <c r="AK1677" s="45"/>
      <c r="AL1677" s="17"/>
      <c r="AM1677" s="20" t="s">
        <v>18</v>
      </c>
      <c r="AN1677" s="19"/>
      <c r="AO1677" s="19"/>
      <c r="AP1677" s="19"/>
      <c r="AQ1677" s="19"/>
      <c r="AR1677" s="19"/>
      <c r="AS1677" s="19"/>
      <c r="AT1677" s="19"/>
      <c r="AU1677" s="19"/>
      <c r="AV1677" s="19"/>
      <c r="AW1677" s="19"/>
      <c r="AX1677" s="107"/>
      <c r="AY1677" s="107"/>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c r="CE1677" s="19"/>
      <c r="CF1677" s="19"/>
      <c r="CG1677" s="19"/>
      <c r="CH1677" s="19"/>
      <c r="CI1677" s="19"/>
      <c r="CJ1677" s="19"/>
      <c r="CK1677" s="19"/>
      <c r="CL1677" s="19"/>
      <c r="CM1677" s="19"/>
      <c r="CN1677" s="139"/>
      <c r="CO1677" s="138"/>
      <c r="CP1677" s="139"/>
      <c r="CQ1677" s="138"/>
      <c r="CR1677" s="139"/>
      <c r="CS1677" s="138"/>
      <c r="CT1677" s="72"/>
      <c r="CU1677" s="139"/>
      <c r="CV1677" s="99">
        <f t="shared" si="161"/>
        <v>0</v>
      </c>
      <c r="CW1677" s="139"/>
      <c r="CX1677" s="138"/>
      <c r="CY1677" s="138"/>
      <c r="CZ1677" s="138"/>
      <c r="DA1677" s="139"/>
      <c r="DB1677" s="138"/>
      <c r="DC1677" s="45"/>
      <c r="DD1677" s="138"/>
      <c r="DE1677" s="45"/>
      <c r="DF1677" s="46"/>
    </row>
    <row r="1678" spans="1:110" s="42" customFormat="1" ht="48" x14ac:dyDescent="0.2">
      <c r="A1678" s="89">
        <v>40724</v>
      </c>
      <c r="B1678" s="145" t="s">
        <v>4344</v>
      </c>
      <c r="C1678" s="145" t="s">
        <v>2214</v>
      </c>
      <c r="D1678" s="145" t="s">
        <v>3346</v>
      </c>
      <c r="E1678" s="90" t="str">
        <f>VLOOKUP(B1678&amp;C1678,Divipola!$C$2:$F$1138,4,FALSE)</f>
        <v>25394</v>
      </c>
      <c r="F1678" s="145"/>
      <c r="G1678" s="164"/>
      <c r="H1678" s="164"/>
      <c r="I1678" s="164"/>
      <c r="J1678" s="164">
        <v>438</v>
      </c>
      <c r="K1678" s="164">
        <v>146</v>
      </c>
      <c r="L1678" s="164"/>
      <c r="M1678" s="164"/>
      <c r="N1678" s="164"/>
      <c r="O1678" s="164"/>
      <c r="P1678" s="164"/>
      <c r="Q1678" s="164"/>
      <c r="R1678" s="164"/>
      <c r="S1678" s="164"/>
      <c r="T1678" s="164"/>
      <c r="U1678" s="164"/>
      <c r="V1678" s="164">
        <v>184.5</v>
      </c>
      <c r="W1678" s="173"/>
      <c r="X1678" s="17"/>
      <c r="Y1678" s="5">
        <f t="shared" si="156"/>
        <v>0</v>
      </c>
      <c r="Z1678" s="5">
        <f t="shared" si="157"/>
        <v>0</v>
      </c>
      <c r="AA1678" s="5">
        <f t="shared" si="158"/>
        <v>0</v>
      </c>
      <c r="AB1678" s="5">
        <f t="shared" si="159"/>
        <v>0</v>
      </c>
      <c r="AC1678" s="5"/>
      <c r="AD1678" s="5">
        <v>0</v>
      </c>
      <c r="AE1678" s="5">
        <f t="shared" si="160"/>
        <v>0</v>
      </c>
      <c r="AF1678" s="70">
        <v>0</v>
      </c>
      <c r="AG1678" s="135">
        <v>40809</v>
      </c>
      <c r="AH1678" s="161"/>
      <c r="AI1678" s="135" t="s">
        <v>4336</v>
      </c>
      <c r="AJ1678" s="176" t="s">
        <v>4337</v>
      </c>
      <c r="AK1678" s="178"/>
      <c r="AL1678" s="180" t="s">
        <v>4579</v>
      </c>
      <c r="AM1678" s="182" t="s">
        <v>4580</v>
      </c>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39"/>
      <c r="CE1678" s="138"/>
      <c r="CF1678" s="139"/>
      <c r="CG1678" s="138"/>
      <c r="CH1678" s="139"/>
      <c r="CI1678" s="138"/>
      <c r="CJ1678" s="72"/>
      <c r="CK1678" s="139"/>
      <c r="CL1678" s="71"/>
      <c r="CM1678" s="139"/>
      <c r="CN1678" s="138"/>
      <c r="CO1678" s="138"/>
      <c r="CP1678" s="138"/>
      <c r="CQ1678" s="139"/>
      <c r="CR1678" s="138"/>
      <c r="CS1678" s="45"/>
      <c r="CT1678" s="138"/>
      <c r="CU1678" s="45"/>
      <c r="CV1678" s="99">
        <f t="shared" si="161"/>
        <v>0</v>
      </c>
      <c r="CW1678" s="139"/>
      <c r="CX1678" s="138"/>
      <c r="CY1678" s="138"/>
      <c r="CZ1678" s="138"/>
      <c r="DA1678" s="139"/>
      <c r="DB1678" s="138"/>
      <c r="DC1678" s="45"/>
      <c r="DD1678" s="138"/>
      <c r="DE1678" s="45"/>
      <c r="DF1678" s="46"/>
    </row>
    <row r="1679" spans="1:110" s="42" customFormat="1" x14ac:dyDescent="0.2">
      <c r="A1679" s="89">
        <v>40724</v>
      </c>
      <c r="B1679" s="16" t="s">
        <v>4344</v>
      </c>
      <c r="C1679" s="4" t="s">
        <v>1741</v>
      </c>
      <c r="D1679" s="90" t="s">
        <v>4264</v>
      </c>
      <c r="E1679" s="90" t="str">
        <f>VLOOKUP(B1679&amp;C1679,Divipola!$C$2:$F$1138,4,FALSE)</f>
        <v>25398</v>
      </c>
      <c r="F1679" s="4"/>
      <c r="G1679" s="208"/>
      <c r="H1679" s="208"/>
      <c r="I1679" s="208"/>
      <c r="J1679" s="208">
        <v>435</v>
      </c>
      <c r="K1679" s="208">
        <v>130</v>
      </c>
      <c r="L1679" s="208"/>
      <c r="M1679" s="208">
        <v>130</v>
      </c>
      <c r="N1679" s="208"/>
      <c r="O1679" s="208"/>
      <c r="P1679" s="208"/>
      <c r="Q1679" s="208"/>
      <c r="R1679" s="208"/>
      <c r="S1679" s="208"/>
      <c r="T1679" s="208"/>
      <c r="U1679" s="208"/>
      <c r="V1679" s="208"/>
      <c r="W1679" s="19"/>
      <c r="X1679" s="17"/>
      <c r="Y1679" s="5">
        <f t="shared" si="156"/>
        <v>0</v>
      </c>
      <c r="Z1679" s="5">
        <f t="shared" si="157"/>
        <v>0</v>
      </c>
      <c r="AA1679" s="5">
        <f t="shared" si="158"/>
        <v>0</v>
      </c>
      <c r="AB1679" s="5">
        <f t="shared" si="159"/>
        <v>0</v>
      </c>
      <c r="AC1679" s="5"/>
      <c r="AD1679" s="5">
        <v>0</v>
      </c>
      <c r="AE1679" s="5">
        <f t="shared" si="160"/>
        <v>0</v>
      </c>
      <c r="AF1679" s="70">
        <v>0</v>
      </c>
      <c r="AG1679" s="17"/>
      <c r="AH1679" s="18"/>
      <c r="AI1679" s="47" t="s">
        <v>4336</v>
      </c>
      <c r="AJ1679" s="73" t="s">
        <v>4337</v>
      </c>
      <c r="AK1679" s="45"/>
      <c r="AL1679" s="17"/>
      <c r="AM1679" s="20" t="s">
        <v>18</v>
      </c>
      <c r="AN1679" s="19"/>
      <c r="AO1679" s="19"/>
      <c r="AP1679" s="19"/>
      <c r="AQ1679" s="19"/>
      <c r="AR1679" s="19"/>
      <c r="AS1679" s="19"/>
      <c r="AT1679" s="19"/>
      <c r="AU1679" s="19"/>
      <c r="AV1679" s="19"/>
      <c r="AW1679" s="19"/>
      <c r="AX1679" s="107"/>
      <c r="AY1679" s="107"/>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c r="CE1679" s="19"/>
      <c r="CF1679" s="19"/>
      <c r="CG1679" s="19"/>
      <c r="CH1679" s="19"/>
      <c r="CI1679" s="19"/>
      <c r="CJ1679" s="19"/>
      <c r="CK1679" s="19"/>
      <c r="CL1679" s="19"/>
      <c r="CM1679" s="19"/>
      <c r="CN1679" s="139"/>
      <c r="CO1679" s="138"/>
      <c r="CP1679" s="139"/>
      <c r="CQ1679" s="138"/>
      <c r="CR1679" s="139"/>
      <c r="CS1679" s="138"/>
      <c r="CT1679" s="72"/>
      <c r="CU1679" s="139"/>
      <c r="CV1679" s="99">
        <f t="shared" si="161"/>
        <v>0</v>
      </c>
      <c r="CW1679" s="139"/>
      <c r="CX1679" s="138"/>
      <c r="CY1679" s="138"/>
      <c r="CZ1679" s="138"/>
      <c r="DA1679" s="139"/>
      <c r="DB1679" s="138"/>
      <c r="DC1679" s="45"/>
      <c r="DD1679" s="138"/>
      <c r="DE1679" s="45"/>
      <c r="DF1679" s="46"/>
    </row>
    <row r="1680" spans="1:110" s="42" customFormat="1" ht="48" x14ac:dyDescent="0.2">
      <c r="A1680" s="89">
        <v>40724</v>
      </c>
      <c r="B1680" s="145" t="s">
        <v>4344</v>
      </c>
      <c r="C1680" s="145" t="s">
        <v>1741</v>
      </c>
      <c r="D1680" s="145" t="s">
        <v>3346</v>
      </c>
      <c r="E1680" s="90" t="str">
        <f>VLOOKUP(B1680&amp;C1680,Divipola!$C$2:$F$1138,4,FALSE)</f>
        <v>25398</v>
      </c>
      <c r="F1680" s="145"/>
      <c r="G1680" s="164"/>
      <c r="H1680" s="164"/>
      <c r="I1680" s="164"/>
      <c r="J1680" s="164">
        <v>114</v>
      </c>
      <c r="K1680" s="164">
        <v>38</v>
      </c>
      <c r="L1680" s="164"/>
      <c r="M1680" s="164"/>
      <c r="N1680" s="164"/>
      <c r="O1680" s="164"/>
      <c r="P1680" s="164"/>
      <c r="Q1680" s="164"/>
      <c r="R1680" s="164"/>
      <c r="S1680" s="164"/>
      <c r="T1680" s="164"/>
      <c r="U1680" s="164"/>
      <c r="V1680" s="164">
        <v>123</v>
      </c>
      <c r="W1680" s="173"/>
      <c r="X1680" s="17"/>
      <c r="Y1680" s="5">
        <f t="shared" si="156"/>
        <v>0</v>
      </c>
      <c r="Z1680" s="5">
        <f t="shared" si="157"/>
        <v>0</v>
      </c>
      <c r="AA1680" s="5">
        <f t="shared" si="158"/>
        <v>0</v>
      </c>
      <c r="AB1680" s="5">
        <f t="shared" si="159"/>
        <v>0</v>
      </c>
      <c r="AC1680" s="5"/>
      <c r="AD1680" s="5">
        <v>0</v>
      </c>
      <c r="AE1680" s="5">
        <f t="shared" si="160"/>
        <v>0</v>
      </c>
      <c r="AF1680" s="70">
        <v>0</v>
      </c>
      <c r="AG1680" s="135">
        <v>40809</v>
      </c>
      <c r="AH1680" s="161"/>
      <c r="AI1680" s="135" t="s">
        <v>4336</v>
      </c>
      <c r="AJ1680" s="176" t="s">
        <v>4337</v>
      </c>
      <c r="AK1680" s="178"/>
      <c r="AL1680" s="180" t="s">
        <v>4579</v>
      </c>
      <c r="AM1680" s="182" t="s">
        <v>4580</v>
      </c>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39"/>
      <c r="CE1680" s="138"/>
      <c r="CF1680" s="139"/>
      <c r="CG1680" s="138"/>
      <c r="CH1680" s="139"/>
      <c r="CI1680" s="138"/>
      <c r="CJ1680" s="72"/>
      <c r="CK1680" s="139"/>
      <c r="CL1680" s="71"/>
      <c r="CM1680" s="139"/>
      <c r="CN1680" s="138"/>
      <c r="CO1680" s="138"/>
      <c r="CP1680" s="138"/>
      <c r="CQ1680" s="139"/>
      <c r="CR1680" s="138"/>
      <c r="CS1680" s="45"/>
      <c r="CT1680" s="138"/>
      <c r="CU1680" s="45"/>
      <c r="CV1680" s="99">
        <f t="shared" si="161"/>
        <v>0</v>
      </c>
      <c r="CW1680" s="139"/>
      <c r="CX1680" s="138"/>
      <c r="CY1680" s="138"/>
      <c r="CZ1680" s="138"/>
      <c r="DA1680" s="139"/>
      <c r="DB1680" s="138"/>
      <c r="DC1680" s="45"/>
      <c r="DD1680" s="138"/>
      <c r="DE1680" s="45"/>
      <c r="DF1680" s="46"/>
    </row>
    <row r="1681" spans="1:110" s="42" customFormat="1" ht="48" x14ac:dyDescent="0.2">
      <c r="A1681" s="89">
        <v>40724</v>
      </c>
      <c r="B1681" s="145" t="s">
        <v>4344</v>
      </c>
      <c r="C1681" s="145" t="s">
        <v>3371</v>
      </c>
      <c r="D1681" s="145" t="s">
        <v>3346</v>
      </c>
      <c r="E1681" s="90" t="str">
        <f>VLOOKUP(B1681&amp;C1681,Divipola!$C$2:$F$1138,4,FALSE)</f>
        <v>25402</v>
      </c>
      <c r="F1681" s="145"/>
      <c r="G1681" s="164"/>
      <c r="H1681" s="164"/>
      <c r="I1681" s="164"/>
      <c r="J1681" s="164">
        <v>756</v>
      </c>
      <c r="K1681" s="164">
        <v>252</v>
      </c>
      <c r="L1681" s="164"/>
      <c r="M1681" s="164"/>
      <c r="N1681" s="164"/>
      <c r="O1681" s="164"/>
      <c r="P1681" s="164"/>
      <c r="Q1681" s="164"/>
      <c r="R1681" s="164"/>
      <c r="S1681" s="164"/>
      <c r="T1681" s="164"/>
      <c r="U1681" s="164"/>
      <c r="V1681" s="164">
        <v>729.91</v>
      </c>
      <c r="W1681" s="173"/>
      <c r="X1681" s="17"/>
      <c r="Y1681" s="5">
        <f t="shared" si="156"/>
        <v>0</v>
      </c>
      <c r="Z1681" s="5">
        <f t="shared" si="157"/>
        <v>0</v>
      </c>
      <c r="AA1681" s="5">
        <f t="shared" si="158"/>
        <v>0</v>
      </c>
      <c r="AB1681" s="5">
        <f t="shared" si="159"/>
        <v>0</v>
      </c>
      <c r="AC1681" s="5"/>
      <c r="AD1681" s="5">
        <v>0</v>
      </c>
      <c r="AE1681" s="5">
        <f t="shared" si="160"/>
        <v>0</v>
      </c>
      <c r="AF1681" s="70">
        <v>0</v>
      </c>
      <c r="AG1681" s="135">
        <v>40809</v>
      </c>
      <c r="AH1681" s="161"/>
      <c r="AI1681" s="135" t="s">
        <v>4336</v>
      </c>
      <c r="AJ1681" s="176" t="s">
        <v>4337</v>
      </c>
      <c r="AK1681" s="178"/>
      <c r="AL1681" s="180" t="s">
        <v>4579</v>
      </c>
      <c r="AM1681" s="182" t="s">
        <v>4580</v>
      </c>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39"/>
      <c r="CE1681" s="138"/>
      <c r="CF1681" s="139"/>
      <c r="CG1681" s="138"/>
      <c r="CH1681" s="139"/>
      <c r="CI1681" s="138"/>
      <c r="CJ1681" s="72"/>
      <c r="CK1681" s="139"/>
      <c r="CL1681" s="71"/>
      <c r="CM1681" s="139"/>
      <c r="CN1681" s="138"/>
      <c r="CO1681" s="138"/>
      <c r="CP1681" s="138"/>
      <c r="CQ1681" s="139"/>
      <c r="CR1681" s="138"/>
      <c r="CS1681" s="45"/>
      <c r="CT1681" s="138"/>
      <c r="CU1681" s="45"/>
      <c r="CV1681" s="99">
        <f t="shared" si="161"/>
        <v>0</v>
      </c>
      <c r="CW1681" s="139"/>
      <c r="CX1681" s="138"/>
      <c r="CY1681" s="138"/>
      <c r="CZ1681" s="138"/>
      <c r="DA1681" s="139"/>
      <c r="DB1681" s="138"/>
      <c r="DC1681" s="45"/>
      <c r="DD1681" s="138"/>
      <c r="DE1681" s="45"/>
      <c r="DF1681" s="46"/>
    </row>
    <row r="1682" spans="1:110" s="42" customFormat="1" ht="48" x14ac:dyDescent="0.2">
      <c r="A1682" s="89">
        <v>40724</v>
      </c>
      <c r="B1682" s="145" t="s">
        <v>4344</v>
      </c>
      <c r="C1682" s="145" t="s">
        <v>2215</v>
      </c>
      <c r="D1682" s="145" t="s">
        <v>3346</v>
      </c>
      <c r="E1682" s="90" t="str">
        <f>VLOOKUP(B1682&amp;C1682,Divipola!$C$2:$F$1138,4,FALSE)</f>
        <v>25407</v>
      </c>
      <c r="F1682" s="145"/>
      <c r="G1682" s="164"/>
      <c r="H1682" s="164"/>
      <c r="I1682" s="164"/>
      <c r="J1682" s="164">
        <v>369</v>
      </c>
      <c r="K1682" s="164">
        <v>123</v>
      </c>
      <c r="L1682" s="164"/>
      <c r="M1682" s="164"/>
      <c r="N1682" s="164"/>
      <c r="O1682" s="164"/>
      <c r="P1682" s="164"/>
      <c r="Q1682" s="164"/>
      <c r="R1682" s="164"/>
      <c r="S1682" s="164"/>
      <c r="T1682" s="164"/>
      <c r="U1682" s="164"/>
      <c r="V1682" s="164">
        <v>1461.3300000000002</v>
      </c>
      <c r="W1682" s="173"/>
      <c r="X1682" s="17"/>
      <c r="Y1682" s="5">
        <f t="shared" si="156"/>
        <v>0</v>
      </c>
      <c r="Z1682" s="5">
        <f t="shared" si="157"/>
        <v>0</v>
      </c>
      <c r="AA1682" s="5">
        <f t="shared" si="158"/>
        <v>0</v>
      </c>
      <c r="AB1682" s="5">
        <f t="shared" si="159"/>
        <v>0</v>
      </c>
      <c r="AC1682" s="5"/>
      <c r="AD1682" s="5">
        <v>0</v>
      </c>
      <c r="AE1682" s="5">
        <f t="shared" si="160"/>
        <v>0</v>
      </c>
      <c r="AF1682" s="70">
        <v>0</v>
      </c>
      <c r="AG1682" s="135">
        <v>40809</v>
      </c>
      <c r="AH1682" s="161"/>
      <c r="AI1682" s="135" t="s">
        <v>4336</v>
      </c>
      <c r="AJ1682" s="176" t="s">
        <v>4337</v>
      </c>
      <c r="AK1682" s="178"/>
      <c r="AL1682" s="180" t="s">
        <v>4579</v>
      </c>
      <c r="AM1682" s="182" t="s">
        <v>4580</v>
      </c>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39"/>
      <c r="CE1682" s="138"/>
      <c r="CF1682" s="139"/>
      <c r="CG1682" s="138"/>
      <c r="CH1682" s="139"/>
      <c r="CI1682" s="138"/>
      <c r="CJ1682" s="72"/>
      <c r="CK1682" s="139"/>
      <c r="CL1682" s="71"/>
      <c r="CM1682" s="139"/>
      <c r="CN1682" s="138"/>
      <c r="CO1682" s="138"/>
      <c r="CP1682" s="138"/>
      <c r="CQ1682" s="139"/>
      <c r="CR1682" s="138"/>
      <c r="CS1682" s="45"/>
      <c r="CT1682" s="138"/>
      <c r="CU1682" s="45"/>
      <c r="CV1682" s="99">
        <f t="shared" si="161"/>
        <v>0</v>
      </c>
      <c r="CW1682" s="139"/>
      <c r="CX1682" s="138"/>
      <c r="CY1682" s="138"/>
      <c r="CZ1682" s="138"/>
      <c r="DA1682" s="139"/>
      <c r="DB1682" s="138"/>
      <c r="DC1682" s="45"/>
      <c r="DD1682" s="138"/>
      <c r="DE1682" s="45"/>
      <c r="DF1682" s="46"/>
    </row>
    <row r="1683" spans="1:110" s="42" customFormat="1" ht="48" x14ac:dyDescent="0.2">
      <c r="A1683" s="89">
        <v>40724</v>
      </c>
      <c r="B1683" s="145" t="s">
        <v>4344</v>
      </c>
      <c r="C1683" s="145" t="s">
        <v>1747</v>
      </c>
      <c r="D1683" s="145" t="s">
        <v>3346</v>
      </c>
      <c r="E1683" s="90" t="str">
        <f>VLOOKUP(B1683&amp;C1683,Divipola!$C$2:$F$1138,4,FALSE)</f>
        <v>25426</v>
      </c>
      <c r="F1683" s="145"/>
      <c r="G1683" s="164"/>
      <c r="H1683" s="164"/>
      <c r="I1683" s="164"/>
      <c r="J1683" s="164">
        <v>18</v>
      </c>
      <c r="K1683" s="164">
        <v>6</v>
      </c>
      <c r="L1683" s="164"/>
      <c r="M1683" s="164"/>
      <c r="N1683" s="164"/>
      <c r="O1683" s="164"/>
      <c r="P1683" s="164"/>
      <c r="Q1683" s="164"/>
      <c r="R1683" s="164"/>
      <c r="S1683" s="164"/>
      <c r="T1683" s="164"/>
      <c r="U1683" s="164"/>
      <c r="V1683" s="164">
        <v>15.57</v>
      </c>
      <c r="W1683" s="173"/>
      <c r="X1683" s="17"/>
      <c r="Y1683" s="5">
        <f t="shared" si="156"/>
        <v>0</v>
      </c>
      <c r="Z1683" s="5">
        <f t="shared" si="157"/>
        <v>0</v>
      </c>
      <c r="AA1683" s="5">
        <f t="shared" si="158"/>
        <v>0</v>
      </c>
      <c r="AB1683" s="5">
        <f t="shared" si="159"/>
        <v>0</v>
      </c>
      <c r="AC1683" s="5"/>
      <c r="AD1683" s="5">
        <v>0</v>
      </c>
      <c r="AE1683" s="5">
        <f t="shared" si="160"/>
        <v>0</v>
      </c>
      <c r="AF1683" s="70">
        <v>0</v>
      </c>
      <c r="AG1683" s="135">
        <v>40809</v>
      </c>
      <c r="AH1683" s="161"/>
      <c r="AI1683" s="135" t="s">
        <v>4336</v>
      </c>
      <c r="AJ1683" s="176" t="s">
        <v>4337</v>
      </c>
      <c r="AK1683" s="178"/>
      <c r="AL1683" s="180" t="s">
        <v>4579</v>
      </c>
      <c r="AM1683" s="182" t="s">
        <v>4580</v>
      </c>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39"/>
      <c r="CE1683" s="138"/>
      <c r="CF1683" s="139"/>
      <c r="CG1683" s="138"/>
      <c r="CH1683" s="139"/>
      <c r="CI1683" s="138"/>
      <c r="CJ1683" s="72"/>
      <c r="CK1683" s="139"/>
      <c r="CL1683" s="71"/>
      <c r="CM1683" s="139"/>
      <c r="CN1683" s="138"/>
      <c r="CO1683" s="138"/>
      <c r="CP1683" s="138"/>
      <c r="CQ1683" s="139"/>
      <c r="CR1683" s="138"/>
      <c r="CS1683" s="45"/>
      <c r="CT1683" s="138"/>
      <c r="CU1683" s="45"/>
      <c r="CV1683" s="99">
        <f t="shared" si="161"/>
        <v>0</v>
      </c>
      <c r="CW1683" s="139"/>
      <c r="CX1683" s="138"/>
      <c r="CY1683" s="138"/>
      <c r="CZ1683" s="138"/>
      <c r="DA1683" s="139"/>
      <c r="DB1683" s="138"/>
      <c r="DC1683" s="45"/>
      <c r="DD1683" s="138"/>
      <c r="DE1683" s="45"/>
      <c r="DF1683" s="46"/>
    </row>
    <row r="1684" spans="1:110" s="42" customFormat="1" ht="48" x14ac:dyDescent="0.2">
      <c r="A1684" s="89">
        <v>40724</v>
      </c>
      <c r="B1684" s="145" t="s">
        <v>4344</v>
      </c>
      <c r="C1684" s="145" t="s">
        <v>1749</v>
      </c>
      <c r="D1684" s="145" t="s">
        <v>3346</v>
      </c>
      <c r="E1684" s="90" t="str">
        <f>VLOOKUP(B1684&amp;C1684,Divipola!$C$2:$F$1138,4,FALSE)</f>
        <v>25430</v>
      </c>
      <c r="F1684" s="145"/>
      <c r="G1684" s="164"/>
      <c r="H1684" s="164"/>
      <c r="I1684" s="164"/>
      <c r="J1684" s="164">
        <v>210</v>
      </c>
      <c r="K1684" s="164">
        <v>70</v>
      </c>
      <c r="L1684" s="164"/>
      <c r="M1684" s="164"/>
      <c r="N1684" s="164"/>
      <c r="O1684" s="164"/>
      <c r="P1684" s="164"/>
      <c r="Q1684" s="164"/>
      <c r="R1684" s="164"/>
      <c r="S1684" s="164"/>
      <c r="T1684" s="164"/>
      <c r="U1684" s="164"/>
      <c r="V1684" s="164">
        <v>680.85</v>
      </c>
      <c r="W1684" s="173"/>
      <c r="X1684" s="17"/>
      <c r="Y1684" s="5">
        <f t="shared" si="156"/>
        <v>0</v>
      </c>
      <c r="Z1684" s="5">
        <f t="shared" si="157"/>
        <v>0</v>
      </c>
      <c r="AA1684" s="5">
        <f t="shared" si="158"/>
        <v>0</v>
      </c>
      <c r="AB1684" s="5">
        <f t="shared" si="159"/>
        <v>0</v>
      </c>
      <c r="AC1684" s="5"/>
      <c r="AD1684" s="5">
        <v>0</v>
      </c>
      <c r="AE1684" s="5">
        <f t="shared" si="160"/>
        <v>0</v>
      </c>
      <c r="AF1684" s="70">
        <v>0</v>
      </c>
      <c r="AG1684" s="135">
        <v>40809</v>
      </c>
      <c r="AH1684" s="161"/>
      <c r="AI1684" s="135" t="s">
        <v>4336</v>
      </c>
      <c r="AJ1684" s="176" t="s">
        <v>4337</v>
      </c>
      <c r="AK1684" s="178"/>
      <c r="AL1684" s="180" t="s">
        <v>4579</v>
      </c>
      <c r="AM1684" s="182" t="s">
        <v>4580</v>
      </c>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39"/>
      <c r="CE1684" s="138"/>
      <c r="CF1684" s="139"/>
      <c r="CG1684" s="138"/>
      <c r="CH1684" s="139"/>
      <c r="CI1684" s="138"/>
      <c r="CJ1684" s="72"/>
      <c r="CK1684" s="139"/>
      <c r="CL1684" s="71"/>
      <c r="CM1684" s="139"/>
      <c r="CN1684" s="138"/>
      <c r="CO1684" s="138"/>
      <c r="CP1684" s="138"/>
      <c r="CQ1684" s="139"/>
      <c r="CR1684" s="138"/>
      <c r="CS1684" s="45"/>
      <c r="CT1684" s="138"/>
      <c r="CU1684" s="45"/>
      <c r="CV1684" s="99">
        <f t="shared" si="161"/>
        <v>0</v>
      </c>
      <c r="CW1684" s="139"/>
      <c r="CX1684" s="138"/>
      <c r="CY1684" s="138"/>
      <c r="CZ1684" s="138"/>
      <c r="DA1684" s="139"/>
      <c r="DB1684" s="138"/>
      <c r="DC1684" s="45"/>
      <c r="DD1684" s="138"/>
      <c r="DE1684" s="45"/>
      <c r="DF1684" s="46"/>
    </row>
    <row r="1685" spans="1:110" s="42" customFormat="1" x14ac:dyDescent="0.2">
      <c r="A1685" s="89">
        <v>40724</v>
      </c>
      <c r="B1685" s="16" t="s">
        <v>4344</v>
      </c>
      <c r="C1685" s="4" t="s">
        <v>1751</v>
      </c>
      <c r="D1685" s="90" t="s">
        <v>4264</v>
      </c>
      <c r="E1685" s="90" t="str">
        <f>VLOOKUP(B1685&amp;C1685,Divipola!$C$2:$F$1138,4,FALSE)</f>
        <v>25436</v>
      </c>
      <c r="F1685" s="4"/>
      <c r="G1685" s="208"/>
      <c r="H1685" s="208"/>
      <c r="I1685" s="208"/>
      <c r="J1685" s="208">
        <v>840</v>
      </c>
      <c r="K1685" s="208">
        <v>266</v>
      </c>
      <c r="L1685" s="208"/>
      <c r="M1685" s="208">
        <v>266</v>
      </c>
      <c r="N1685" s="208"/>
      <c r="O1685" s="208"/>
      <c r="P1685" s="208"/>
      <c r="Q1685" s="208"/>
      <c r="R1685" s="208"/>
      <c r="S1685" s="208"/>
      <c r="T1685" s="208"/>
      <c r="U1685" s="208"/>
      <c r="V1685" s="208"/>
      <c r="W1685" s="19"/>
      <c r="X1685" s="17"/>
      <c r="Y1685" s="5">
        <f t="shared" si="156"/>
        <v>0</v>
      </c>
      <c r="Z1685" s="5">
        <f t="shared" si="157"/>
        <v>0</v>
      </c>
      <c r="AA1685" s="5">
        <f t="shared" si="158"/>
        <v>0</v>
      </c>
      <c r="AB1685" s="5">
        <f t="shared" si="159"/>
        <v>0</v>
      </c>
      <c r="AC1685" s="5"/>
      <c r="AD1685" s="5">
        <v>0</v>
      </c>
      <c r="AE1685" s="5">
        <f t="shared" si="160"/>
        <v>0</v>
      </c>
      <c r="AF1685" s="70">
        <v>0</v>
      </c>
      <c r="AG1685" s="17"/>
      <c r="AH1685" s="18"/>
      <c r="AI1685" s="47" t="s">
        <v>4336</v>
      </c>
      <c r="AJ1685" s="73" t="s">
        <v>4337</v>
      </c>
      <c r="AK1685" s="45"/>
      <c r="AL1685" s="17"/>
      <c r="AM1685" s="20" t="s">
        <v>18</v>
      </c>
      <c r="AN1685" s="19"/>
      <c r="AO1685" s="19"/>
      <c r="AP1685" s="19"/>
      <c r="AQ1685" s="19"/>
      <c r="AR1685" s="19"/>
      <c r="AS1685" s="19"/>
      <c r="AT1685" s="19"/>
      <c r="AU1685" s="19"/>
      <c r="AV1685" s="19"/>
      <c r="AW1685" s="19"/>
      <c r="AX1685" s="107"/>
      <c r="AY1685" s="107"/>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39"/>
      <c r="CO1685" s="138"/>
      <c r="CP1685" s="139"/>
      <c r="CQ1685" s="138"/>
      <c r="CR1685" s="139"/>
      <c r="CS1685" s="138"/>
      <c r="CT1685" s="72"/>
      <c r="CU1685" s="139"/>
      <c r="CV1685" s="99">
        <f t="shared" si="161"/>
        <v>0</v>
      </c>
      <c r="CW1685" s="139"/>
      <c r="CX1685" s="138"/>
      <c r="CY1685" s="138"/>
      <c r="CZ1685" s="138"/>
      <c r="DA1685" s="139"/>
      <c r="DB1685" s="138"/>
      <c r="DC1685" s="45"/>
      <c r="DD1685" s="138"/>
      <c r="DE1685" s="45"/>
      <c r="DF1685" s="46"/>
    </row>
    <row r="1686" spans="1:110" s="42" customFormat="1" ht="48" x14ac:dyDescent="0.2">
      <c r="A1686" s="89">
        <v>40724</v>
      </c>
      <c r="B1686" s="145" t="s">
        <v>4344</v>
      </c>
      <c r="C1686" s="145" t="s">
        <v>1751</v>
      </c>
      <c r="D1686" s="145" t="s">
        <v>3346</v>
      </c>
      <c r="E1686" s="90" t="str">
        <f>VLOOKUP(B1686&amp;C1686,Divipola!$C$2:$F$1138,4,FALSE)</f>
        <v>25436</v>
      </c>
      <c r="F1686" s="145"/>
      <c r="G1686" s="164"/>
      <c r="H1686" s="164"/>
      <c r="I1686" s="164"/>
      <c r="J1686" s="164">
        <v>159</v>
      </c>
      <c r="K1686" s="164">
        <v>53</v>
      </c>
      <c r="L1686" s="164"/>
      <c r="M1686" s="164"/>
      <c r="N1686" s="164"/>
      <c r="O1686" s="164"/>
      <c r="P1686" s="164"/>
      <c r="Q1686" s="164"/>
      <c r="R1686" s="164"/>
      <c r="S1686" s="164"/>
      <c r="T1686" s="164"/>
      <c r="U1686" s="164"/>
      <c r="V1686" s="164">
        <v>93.5</v>
      </c>
      <c r="W1686" s="173"/>
      <c r="X1686" s="17"/>
      <c r="Y1686" s="5">
        <f t="shared" si="156"/>
        <v>0</v>
      </c>
      <c r="Z1686" s="5">
        <f t="shared" si="157"/>
        <v>0</v>
      </c>
      <c r="AA1686" s="5">
        <f t="shared" si="158"/>
        <v>0</v>
      </c>
      <c r="AB1686" s="5">
        <f t="shared" si="159"/>
        <v>0</v>
      </c>
      <c r="AC1686" s="5"/>
      <c r="AD1686" s="5">
        <v>0</v>
      </c>
      <c r="AE1686" s="5">
        <f t="shared" si="160"/>
        <v>0</v>
      </c>
      <c r="AF1686" s="70">
        <v>0</v>
      </c>
      <c r="AG1686" s="135">
        <v>40809</v>
      </c>
      <c r="AH1686" s="161"/>
      <c r="AI1686" s="135" t="s">
        <v>4336</v>
      </c>
      <c r="AJ1686" s="176" t="s">
        <v>4337</v>
      </c>
      <c r="AK1686" s="178"/>
      <c r="AL1686" s="180" t="s">
        <v>4579</v>
      </c>
      <c r="AM1686" s="182" t="s">
        <v>4580</v>
      </c>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39"/>
      <c r="CE1686" s="138"/>
      <c r="CF1686" s="139"/>
      <c r="CG1686" s="138"/>
      <c r="CH1686" s="139"/>
      <c r="CI1686" s="138"/>
      <c r="CJ1686" s="72"/>
      <c r="CK1686" s="139"/>
      <c r="CL1686" s="71"/>
      <c r="CM1686" s="139"/>
      <c r="CN1686" s="138"/>
      <c r="CO1686" s="138"/>
      <c r="CP1686" s="138"/>
      <c r="CQ1686" s="139"/>
      <c r="CR1686" s="138"/>
      <c r="CS1686" s="45"/>
      <c r="CT1686" s="138"/>
      <c r="CU1686" s="45"/>
      <c r="CV1686" s="99">
        <f t="shared" si="161"/>
        <v>0</v>
      </c>
      <c r="CW1686" s="139"/>
      <c r="CX1686" s="138"/>
      <c r="CY1686" s="138"/>
      <c r="CZ1686" s="138"/>
      <c r="DA1686" s="139"/>
      <c r="DB1686" s="138"/>
      <c r="DC1686" s="45"/>
      <c r="DD1686" s="138"/>
      <c r="DE1686" s="45"/>
      <c r="DF1686" s="46"/>
    </row>
    <row r="1687" spans="1:110" s="42" customFormat="1" ht="48" x14ac:dyDescent="0.2">
      <c r="A1687" s="89">
        <v>40724</v>
      </c>
      <c r="B1687" s="145" t="s">
        <v>4344</v>
      </c>
      <c r="C1687" s="145" t="s">
        <v>1754</v>
      </c>
      <c r="D1687" s="145" t="s">
        <v>3346</v>
      </c>
      <c r="E1687" s="90" t="str">
        <f>VLOOKUP(B1687&amp;C1687,Divipola!$C$2:$F$1138,4,FALSE)</f>
        <v>25438</v>
      </c>
      <c r="F1687" s="145"/>
      <c r="G1687" s="164"/>
      <c r="H1687" s="164"/>
      <c r="I1687" s="164"/>
      <c r="J1687" s="164">
        <v>573</v>
      </c>
      <c r="K1687" s="164">
        <v>191</v>
      </c>
      <c r="L1687" s="164"/>
      <c r="M1687" s="164"/>
      <c r="N1687" s="164"/>
      <c r="O1687" s="164"/>
      <c r="P1687" s="164"/>
      <c r="Q1687" s="164"/>
      <c r="R1687" s="164"/>
      <c r="S1687" s="164"/>
      <c r="T1687" s="164"/>
      <c r="U1687" s="164"/>
      <c r="V1687" s="164">
        <v>7843.7000000000007</v>
      </c>
      <c r="W1687" s="173"/>
      <c r="X1687" s="17"/>
      <c r="Y1687" s="5">
        <f t="shared" si="156"/>
        <v>0</v>
      </c>
      <c r="Z1687" s="5">
        <f t="shared" si="157"/>
        <v>0</v>
      </c>
      <c r="AA1687" s="5">
        <f t="shared" si="158"/>
        <v>0</v>
      </c>
      <c r="AB1687" s="5">
        <f t="shared" si="159"/>
        <v>0</v>
      </c>
      <c r="AC1687" s="5"/>
      <c r="AD1687" s="5">
        <v>0</v>
      </c>
      <c r="AE1687" s="5">
        <f t="shared" si="160"/>
        <v>0</v>
      </c>
      <c r="AF1687" s="70">
        <v>0</v>
      </c>
      <c r="AG1687" s="135">
        <v>40809</v>
      </c>
      <c r="AH1687" s="161"/>
      <c r="AI1687" s="135" t="s">
        <v>4336</v>
      </c>
      <c r="AJ1687" s="176" t="s">
        <v>4337</v>
      </c>
      <c r="AK1687" s="178"/>
      <c r="AL1687" s="180" t="s">
        <v>4579</v>
      </c>
      <c r="AM1687" s="182" t="s">
        <v>4580</v>
      </c>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39"/>
      <c r="CE1687" s="138"/>
      <c r="CF1687" s="139"/>
      <c r="CG1687" s="138"/>
      <c r="CH1687" s="139"/>
      <c r="CI1687" s="138"/>
      <c r="CJ1687" s="72"/>
      <c r="CK1687" s="139"/>
      <c r="CL1687" s="71"/>
      <c r="CM1687" s="139"/>
      <c r="CN1687" s="138"/>
      <c r="CO1687" s="138"/>
      <c r="CP1687" s="138"/>
      <c r="CQ1687" s="139"/>
      <c r="CR1687" s="138"/>
      <c r="CS1687" s="45"/>
      <c r="CT1687" s="138"/>
      <c r="CU1687" s="45"/>
      <c r="CV1687" s="99">
        <f t="shared" si="161"/>
        <v>0</v>
      </c>
      <c r="CW1687" s="139"/>
      <c r="CX1687" s="138"/>
      <c r="CY1687" s="138"/>
      <c r="CZ1687" s="138"/>
      <c r="DA1687" s="139"/>
      <c r="DB1687" s="138"/>
      <c r="DC1687" s="45"/>
      <c r="DD1687" s="138"/>
      <c r="DE1687" s="45"/>
      <c r="DF1687" s="46"/>
    </row>
    <row r="1688" spans="1:110" s="42" customFormat="1" x14ac:dyDescent="0.2">
      <c r="A1688" s="89">
        <v>40724</v>
      </c>
      <c r="B1688" s="16" t="s">
        <v>4344</v>
      </c>
      <c r="C1688" s="4" t="s">
        <v>1756</v>
      </c>
      <c r="D1688" s="90" t="s">
        <v>4264</v>
      </c>
      <c r="E1688" s="90" t="str">
        <f>VLOOKUP(B1688&amp;C1688,Divipola!$C$2:$F$1138,4,FALSE)</f>
        <v>25473</v>
      </c>
      <c r="F1688" s="4"/>
      <c r="G1688" s="208"/>
      <c r="H1688" s="208"/>
      <c r="I1688" s="208"/>
      <c r="J1688" s="208">
        <v>822</v>
      </c>
      <c r="K1688" s="208">
        <v>242</v>
      </c>
      <c r="L1688" s="208"/>
      <c r="M1688" s="208">
        <v>242</v>
      </c>
      <c r="N1688" s="208"/>
      <c r="O1688" s="208"/>
      <c r="P1688" s="208"/>
      <c r="Q1688" s="208"/>
      <c r="R1688" s="208"/>
      <c r="S1688" s="208"/>
      <c r="T1688" s="208"/>
      <c r="U1688" s="208"/>
      <c r="V1688" s="208"/>
      <c r="W1688" s="19"/>
      <c r="X1688" s="17"/>
      <c r="Y1688" s="5">
        <f t="shared" si="156"/>
        <v>0</v>
      </c>
      <c r="Z1688" s="5">
        <f t="shared" si="157"/>
        <v>0</v>
      </c>
      <c r="AA1688" s="5">
        <f t="shared" si="158"/>
        <v>0</v>
      </c>
      <c r="AB1688" s="5">
        <f t="shared" si="159"/>
        <v>0</v>
      </c>
      <c r="AC1688" s="5"/>
      <c r="AD1688" s="5">
        <v>0</v>
      </c>
      <c r="AE1688" s="5">
        <f t="shared" si="160"/>
        <v>0</v>
      </c>
      <c r="AF1688" s="70">
        <v>0</v>
      </c>
      <c r="AG1688" s="17"/>
      <c r="AH1688" s="18"/>
      <c r="AI1688" s="47" t="s">
        <v>4336</v>
      </c>
      <c r="AJ1688" s="73" t="s">
        <v>4337</v>
      </c>
      <c r="AK1688" s="45"/>
      <c r="AL1688" s="17"/>
      <c r="AM1688" s="20" t="s">
        <v>18</v>
      </c>
      <c r="AN1688" s="19"/>
      <c r="AO1688" s="19"/>
      <c r="AP1688" s="19"/>
      <c r="AQ1688" s="19"/>
      <c r="AR1688" s="19"/>
      <c r="AS1688" s="19"/>
      <c r="AT1688" s="19"/>
      <c r="AU1688" s="19"/>
      <c r="AV1688" s="19"/>
      <c r="AW1688" s="19"/>
      <c r="AX1688" s="107"/>
      <c r="AY1688" s="107"/>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39"/>
      <c r="CO1688" s="138"/>
      <c r="CP1688" s="139"/>
      <c r="CQ1688" s="138"/>
      <c r="CR1688" s="139"/>
      <c r="CS1688" s="138"/>
      <c r="CT1688" s="72"/>
      <c r="CU1688" s="139"/>
      <c r="CV1688" s="99">
        <f t="shared" si="161"/>
        <v>0</v>
      </c>
      <c r="CW1688" s="139"/>
      <c r="CX1688" s="138"/>
      <c r="CY1688" s="138"/>
      <c r="CZ1688" s="138"/>
      <c r="DA1688" s="139"/>
      <c r="DB1688" s="138"/>
      <c r="DC1688" s="45"/>
      <c r="DD1688" s="138"/>
      <c r="DE1688" s="45"/>
      <c r="DF1688" s="46"/>
    </row>
    <row r="1689" spans="1:110" s="42" customFormat="1" ht="48" x14ac:dyDescent="0.2">
      <c r="A1689" s="89">
        <v>40724</v>
      </c>
      <c r="B1689" s="145" t="s">
        <v>4344</v>
      </c>
      <c r="C1689" s="145" t="s">
        <v>1756</v>
      </c>
      <c r="D1689" s="145" t="s">
        <v>3346</v>
      </c>
      <c r="E1689" s="90" t="str">
        <f>VLOOKUP(B1689&amp;C1689,Divipola!$C$2:$F$1138,4,FALSE)</f>
        <v>25473</v>
      </c>
      <c r="F1689" s="145"/>
      <c r="G1689" s="164"/>
      <c r="H1689" s="164"/>
      <c r="I1689" s="164"/>
      <c r="J1689" s="164">
        <v>822</v>
      </c>
      <c r="K1689" s="164">
        <v>274</v>
      </c>
      <c r="L1689" s="164"/>
      <c r="M1689" s="164"/>
      <c r="N1689" s="164"/>
      <c r="O1689" s="164"/>
      <c r="P1689" s="164"/>
      <c r="Q1689" s="164"/>
      <c r="R1689" s="164"/>
      <c r="S1689" s="164"/>
      <c r="T1689" s="164"/>
      <c r="U1689" s="164"/>
      <c r="V1689" s="164">
        <v>3931.1459999999997</v>
      </c>
      <c r="W1689" s="173"/>
      <c r="X1689" s="17"/>
      <c r="Y1689" s="5">
        <f t="shared" si="156"/>
        <v>0</v>
      </c>
      <c r="Z1689" s="5">
        <f t="shared" si="157"/>
        <v>0</v>
      </c>
      <c r="AA1689" s="5">
        <f t="shared" si="158"/>
        <v>0</v>
      </c>
      <c r="AB1689" s="5">
        <f t="shared" si="159"/>
        <v>0</v>
      </c>
      <c r="AC1689" s="5"/>
      <c r="AD1689" s="5">
        <v>0</v>
      </c>
      <c r="AE1689" s="5">
        <f t="shared" si="160"/>
        <v>0</v>
      </c>
      <c r="AF1689" s="70">
        <v>0</v>
      </c>
      <c r="AG1689" s="135">
        <v>40809</v>
      </c>
      <c r="AH1689" s="161"/>
      <c r="AI1689" s="135" t="s">
        <v>4336</v>
      </c>
      <c r="AJ1689" s="176" t="s">
        <v>4337</v>
      </c>
      <c r="AK1689" s="178"/>
      <c r="AL1689" s="180" t="s">
        <v>4579</v>
      </c>
      <c r="AM1689" s="182" t="s">
        <v>4580</v>
      </c>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39"/>
      <c r="CE1689" s="138"/>
      <c r="CF1689" s="139"/>
      <c r="CG1689" s="138"/>
      <c r="CH1689" s="139"/>
      <c r="CI1689" s="138"/>
      <c r="CJ1689" s="72"/>
      <c r="CK1689" s="139"/>
      <c r="CL1689" s="71"/>
      <c r="CM1689" s="139"/>
      <c r="CN1689" s="138"/>
      <c r="CO1689" s="138"/>
      <c r="CP1689" s="138"/>
      <c r="CQ1689" s="139"/>
      <c r="CR1689" s="138"/>
      <c r="CS1689" s="45"/>
      <c r="CT1689" s="138"/>
      <c r="CU1689" s="45"/>
      <c r="CV1689" s="99">
        <f t="shared" si="161"/>
        <v>0</v>
      </c>
      <c r="CW1689" s="139"/>
      <c r="CX1689" s="138"/>
      <c r="CY1689" s="138"/>
      <c r="CZ1689" s="138"/>
      <c r="DA1689" s="139"/>
      <c r="DB1689" s="138"/>
      <c r="DC1689" s="45"/>
      <c r="DD1689" s="138"/>
      <c r="DE1689" s="45"/>
      <c r="DF1689" s="46"/>
    </row>
    <row r="1690" spans="1:110" s="42" customFormat="1" ht="48" x14ac:dyDescent="0.2">
      <c r="A1690" s="89">
        <v>40724</v>
      </c>
      <c r="B1690" s="145" t="s">
        <v>4344</v>
      </c>
      <c r="C1690" s="145" t="s">
        <v>4513</v>
      </c>
      <c r="D1690" s="145" t="s">
        <v>3346</v>
      </c>
      <c r="E1690" s="90" t="str">
        <f>VLOOKUP(B1690&amp;C1690,Divipola!$C$2:$F$1138,4,FALSE)</f>
        <v>25486</v>
      </c>
      <c r="F1690" s="145"/>
      <c r="G1690" s="164"/>
      <c r="H1690" s="164"/>
      <c r="I1690" s="164"/>
      <c r="J1690" s="164">
        <v>462</v>
      </c>
      <c r="K1690" s="164">
        <v>154</v>
      </c>
      <c r="L1690" s="164"/>
      <c r="M1690" s="164"/>
      <c r="N1690" s="164"/>
      <c r="O1690" s="164"/>
      <c r="P1690" s="164"/>
      <c r="Q1690" s="164"/>
      <c r="R1690" s="164"/>
      <c r="S1690" s="164"/>
      <c r="T1690" s="164"/>
      <c r="U1690" s="164"/>
      <c r="V1690" s="164">
        <v>3013.199999999998</v>
      </c>
      <c r="W1690" s="173"/>
      <c r="X1690" s="17"/>
      <c r="Y1690" s="5">
        <f t="shared" si="156"/>
        <v>0</v>
      </c>
      <c r="Z1690" s="5">
        <f t="shared" si="157"/>
        <v>0</v>
      </c>
      <c r="AA1690" s="5">
        <f t="shared" si="158"/>
        <v>0</v>
      </c>
      <c r="AB1690" s="5">
        <f t="shared" si="159"/>
        <v>0</v>
      </c>
      <c r="AC1690" s="5"/>
      <c r="AD1690" s="5">
        <v>0</v>
      </c>
      <c r="AE1690" s="5">
        <f t="shared" si="160"/>
        <v>0</v>
      </c>
      <c r="AF1690" s="70">
        <v>0</v>
      </c>
      <c r="AG1690" s="135">
        <v>40809</v>
      </c>
      <c r="AH1690" s="161"/>
      <c r="AI1690" s="135" t="s">
        <v>4336</v>
      </c>
      <c r="AJ1690" s="176" t="s">
        <v>4337</v>
      </c>
      <c r="AK1690" s="178"/>
      <c r="AL1690" s="180" t="s">
        <v>4579</v>
      </c>
      <c r="AM1690" s="182" t="s">
        <v>4580</v>
      </c>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39"/>
      <c r="CE1690" s="138"/>
      <c r="CF1690" s="139"/>
      <c r="CG1690" s="138"/>
      <c r="CH1690" s="139"/>
      <c r="CI1690" s="138"/>
      <c r="CJ1690" s="72"/>
      <c r="CK1690" s="139"/>
      <c r="CL1690" s="71"/>
      <c r="CM1690" s="139"/>
      <c r="CN1690" s="138"/>
      <c r="CO1690" s="138"/>
      <c r="CP1690" s="138"/>
      <c r="CQ1690" s="139"/>
      <c r="CR1690" s="138"/>
      <c r="CS1690" s="45"/>
      <c r="CT1690" s="138"/>
      <c r="CU1690" s="45"/>
      <c r="CV1690" s="99">
        <f t="shared" si="161"/>
        <v>0</v>
      </c>
      <c r="CW1690" s="139"/>
      <c r="CX1690" s="138"/>
      <c r="CY1690" s="138"/>
      <c r="CZ1690" s="138"/>
      <c r="DA1690" s="139"/>
      <c r="DB1690" s="138"/>
      <c r="DC1690" s="45"/>
      <c r="DD1690" s="138"/>
      <c r="DE1690" s="45"/>
      <c r="DF1690" s="46"/>
    </row>
    <row r="1691" spans="1:110" s="42" customFormat="1" ht="48" x14ac:dyDescent="0.2">
      <c r="A1691" s="89">
        <v>40724</v>
      </c>
      <c r="B1691" s="145" t="s">
        <v>4344</v>
      </c>
      <c r="C1691" s="145" t="s">
        <v>1761</v>
      </c>
      <c r="D1691" s="145" t="s">
        <v>3346</v>
      </c>
      <c r="E1691" s="90" t="str">
        <f>VLOOKUP(B1691&amp;C1691,Divipola!$C$2:$F$1138,4,FALSE)</f>
        <v>25488</v>
      </c>
      <c r="F1691" s="145"/>
      <c r="G1691" s="164"/>
      <c r="H1691" s="164"/>
      <c r="I1691" s="164"/>
      <c r="J1691" s="164">
        <v>102</v>
      </c>
      <c r="K1691" s="164">
        <v>34</v>
      </c>
      <c r="L1691" s="164"/>
      <c r="M1691" s="164"/>
      <c r="N1691" s="164"/>
      <c r="O1691" s="164"/>
      <c r="P1691" s="164"/>
      <c r="Q1691" s="164"/>
      <c r="R1691" s="164"/>
      <c r="S1691" s="164"/>
      <c r="T1691" s="164"/>
      <c r="U1691" s="164"/>
      <c r="V1691" s="164">
        <v>74</v>
      </c>
      <c r="W1691" s="173"/>
      <c r="X1691" s="17"/>
      <c r="Y1691" s="5">
        <f t="shared" si="156"/>
        <v>0</v>
      </c>
      <c r="Z1691" s="5">
        <f t="shared" si="157"/>
        <v>0</v>
      </c>
      <c r="AA1691" s="5">
        <f t="shared" si="158"/>
        <v>0</v>
      </c>
      <c r="AB1691" s="5">
        <f t="shared" si="159"/>
        <v>0</v>
      </c>
      <c r="AC1691" s="5"/>
      <c r="AD1691" s="5">
        <v>0</v>
      </c>
      <c r="AE1691" s="5">
        <f t="shared" si="160"/>
        <v>0</v>
      </c>
      <c r="AF1691" s="70">
        <v>0</v>
      </c>
      <c r="AG1691" s="135">
        <v>40809</v>
      </c>
      <c r="AH1691" s="161"/>
      <c r="AI1691" s="135" t="s">
        <v>4336</v>
      </c>
      <c r="AJ1691" s="176" t="s">
        <v>4337</v>
      </c>
      <c r="AK1691" s="178"/>
      <c r="AL1691" s="180" t="s">
        <v>4579</v>
      </c>
      <c r="AM1691" s="182" t="s">
        <v>4580</v>
      </c>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39"/>
      <c r="CE1691" s="138"/>
      <c r="CF1691" s="139"/>
      <c r="CG1691" s="138"/>
      <c r="CH1691" s="139"/>
      <c r="CI1691" s="138"/>
      <c r="CJ1691" s="72"/>
      <c r="CK1691" s="139"/>
      <c r="CL1691" s="71"/>
      <c r="CM1691" s="139"/>
      <c r="CN1691" s="138"/>
      <c r="CO1691" s="138"/>
      <c r="CP1691" s="138"/>
      <c r="CQ1691" s="139"/>
      <c r="CR1691" s="138"/>
      <c r="CS1691" s="45"/>
      <c r="CT1691" s="138"/>
      <c r="CU1691" s="45"/>
      <c r="CV1691" s="99">
        <f t="shared" si="161"/>
        <v>0</v>
      </c>
      <c r="CW1691" s="139"/>
      <c r="CX1691" s="138"/>
      <c r="CY1691" s="138"/>
      <c r="CZ1691" s="138"/>
      <c r="DA1691" s="139"/>
      <c r="DB1691" s="138"/>
      <c r="DC1691" s="45"/>
      <c r="DD1691" s="138"/>
      <c r="DE1691" s="45"/>
      <c r="DF1691" s="46"/>
    </row>
    <row r="1692" spans="1:110" s="42" customFormat="1" x14ac:dyDescent="0.2">
      <c r="A1692" s="89">
        <v>40724</v>
      </c>
      <c r="B1692" s="16" t="s">
        <v>4344</v>
      </c>
      <c r="C1692" s="106" t="s">
        <v>3350</v>
      </c>
      <c r="D1692" s="90" t="s">
        <v>4264</v>
      </c>
      <c r="E1692" s="90" t="str">
        <f>VLOOKUP(B1692&amp;C1692,Divipola!$C$2:$F$1138,4,FALSE)</f>
        <v>25489</v>
      </c>
      <c r="F1692" s="4"/>
      <c r="G1692" s="208"/>
      <c r="H1692" s="208"/>
      <c r="I1692" s="208"/>
      <c r="J1692" s="208">
        <v>510</v>
      </c>
      <c r="K1692" s="208">
        <v>193</v>
      </c>
      <c r="L1692" s="208"/>
      <c r="M1692" s="208">
        <v>193</v>
      </c>
      <c r="N1692" s="208"/>
      <c r="O1692" s="208"/>
      <c r="P1692" s="208"/>
      <c r="Q1692" s="208"/>
      <c r="R1692" s="208"/>
      <c r="S1692" s="208"/>
      <c r="T1692" s="208"/>
      <c r="U1692" s="208"/>
      <c r="V1692" s="208"/>
      <c r="W1692" s="19"/>
      <c r="X1692" s="17"/>
      <c r="Y1692" s="5">
        <f t="shared" si="156"/>
        <v>0</v>
      </c>
      <c r="Z1692" s="5">
        <f t="shared" si="157"/>
        <v>0</v>
      </c>
      <c r="AA1692" s="5">
        <f t="shared" si="158"/>
        <v>0</v>
      </c>
      <c r="AB1692" s="5">
        <f t="shared" si="159"/>
        <v>0</v>
      </c>
      <c r="AC1692" s="5"/>
      <c r="AD1692" s="5">
        <v>0</v>
      </c>
      <c r="AE1692" s="5">
        <f t="shared" si="160"/>
        <v>0</v>
      </c>
      <c r="AF1692" s="70">
        <v>0</v>
      </c>
      <c r="AG1692" s="17"/>
      <c r="AH1692" s="18"/>
      <c r="AI1692" s="47" t="s">
        <v>4336</v>
      </c>
      <c r="AJ1692" s="73" t="s">
        <v>4337</v>
      </c>
      <c r="AK1692" s="45"/>
      <c r="AL1692" s="17"/>
      <c r="AM1692" s="20" t="s">
        <v>18</v>
      </c>
      <c r="AN1692" s="19"/>
      <c r="AO1692" s="19"/>
      <c r="AP1692" s="19"/>
      <c r="AQ1692" s="19"/>
      <c r="AR1692" s="19"/>
      <c r="AS1692" s="19"/>
      <c r="AT1692" s="19"/>
      <c r="AU1692" s="19"/>
      <c r="AV1692" s="19"/>
      <c r="AW1692" s="19"/>
      <c r="AX1692" s="107"/>
      <c r="AY1692" s="107"/>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39"/>
      <c r="CO1692" s="138"/>
      <c r="CP1692" s="139"/>
      <c r="CQ1692" s="138"/>
      <c r="CR1692" s="139"/>
      <c r="CS1692" s="138"/>
      <c r="CT1692" s="72"/>
      <c r="CU1692" s="139"/>
      <c r="CV1692" s="99">
        <f t="shared" si="161"/>
        <v>0</v>
      </c>
      <c r="CW1692" s="139"/>
      <c r="CX1692" s="138"/>
      <c r="CY1692" s="138"/>
      <c r="CZ1692" s="138"/>
      <c r="DA1692" s="139"/>
      <c r="DB1692" s="138"/>
      <c r="DC1692" s="45"/>
      <c r="DD1692" s="138"/>
      <c r="DE1692" s="45"/>
      <c r="DF1692" s="46"/>
    </row>
    <row r="1693" spans="1:110" s="42" customFormat="1" ht="48" x14ac:dyDescent="0.2">
      <c r="A1693" s="89">
        <v>40724</v>
      </c>
      <c r="B1693" s="145" t="s">
        <v>4344</v>
      </c>
      <c r="C1693" s="145" t="s">
        <v>3350</v>
      </c>
      <c r="D1693" s="145" t="s">
        <v>3346</v>
      </c>
      <c r="E1693" s="90" t="str">
        <f>VLOOKUP(B1693&amp;C1693,Divipola!$C$2:$F$1138,4,FALSE)</f>
        <v>25489</v>
      </c>
      <c r="F1693" s="145"/>
      <c r="G1693" s="164"/>
      <c r="H1693" s="164"/>
      <c r="I1693" s="164"/>
      <c r="J1693" s="164">
        <v>522</v>
      </c>
      <c r="K1693" s="164">
        <v>174</v>
      </c>
      <c r="L1693" s="164"/>
      <c r="M1693" s="164"/>
      <c r="N1693" s="164"/>
      <c r="O1693" s="164"/>
      <c r="P1693" s="164"/>
      <c r="Q1693" s="164"/>
      <c r="R1693" s="164"/>
      <c r="S1693" s="164"/>
      <c r="T1693" s="164"/>
      <c r="U1693" s="164"/>
      <c r="V1693" s="164">
        <v>185.3499999999998</v>
      </c>
      <c r="W1693" s="173"/>
      <c r="X1693" s="17"/>
      <c r="Y1693" s="5">
        <f t="shared" si="156"/>
        <v>0</v>
      </c>
      <c r="Z1693" s="5">
        <f t="shared" si="157"/>
        <v>0</v>
      </c>
      <c r="AA1693" s="5">
        <f t="shared" si="158"/>
        <v>0</v>
      </c>
      <c r="AB1693" s="5">
        <f t="shared" si="159"/>
        <v>0</v>
      </c>
      <c r="AC1693" s="5"/>
      <c r="AD1693" s="5">
        <v>0</v>
      </c>
      <c r="AE1693" s="5">
        <f t="shared" si="160"/>
        <v>0</v>
      </c>
      <c r="AF1693" s="70">
        <v>0</v>
      </c>
      <c r="AG1693" s="135">
        <v>40809</v>
      </c>
      <c r="AH1693" s="161"/>
      <c r="AI1693" s="135" t="s">
        <v>4336</v>
      </c>
      <c r="AJ1693" s="176" t="s">
        <v>4337</v>
      </c>
      <c r="AK1693" s="178"/>
      <c r="AL1693" s="180" t="s">
        <v>4579</v>
      </c>
      <c r="AM1693" s="182" t="s">
        <v>4580</v>
      </c>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39"/>
      <c r="CE1693" s="138"/>
      <c r="CF1693" s="139"/>
      <c r="CG1693" s="138"/>
      <c r="CH1693" s="139"/>
      <c r="CI1693" s="138"/>
      <c r="CJ1693" s="72"/>
      <c r="CK1693" s="139"/>
      <c r="CL1693" s="71"/>
      <c r="CM1693" s="139"/>
      <c r="CN1693" s="138"/>
      <c r="CO1693" s="138"/>
      <c r="CP1693" s="138"/>
      <c r="CQ1693" s="139"/>
      <c r="CR1693" s="138"/>
      <c r="CS1693" s="45"/>
      <c r="CT1693" s="138"/>
      <c r="CU1693" s="45"/>
      <c r="CV1693" s="99">
        <f t="shared" si="161"/>
        <v>0</v>
      </c>
      <c r="CW1693" s="139"/>
      <c r="CX1693" s="138"/>
      <c r="CY1693" s="138"/>
      <c r="CZ1693" s="138"/>
      <c r="DA1693" s="139"/>
      <c r="DB1693" s="138"/>
      <c r="DC1693" s="45"/>
      <c r="DD1693" s="138"/>
      <c r="DE1693" s="45"/>
      <c r="DF1693" s="46"/>
    </row>
    <row r="1694" spans="1:110" s="42" customFormat="1" x14ac:dyDescent="0.2">
      <c r="A1694" s="89">
        <v>40724</v>
      </c>
      <c r="B1694" s="16" t="s">
        <v>4344</v>
      </c>
      <c r="C1694" s="90" t="s">
        <v>840</v>
      </c>
      <c r="D1694" s="90" t="s">
        <v>4264</v>
      </c>
      <c r="E1694" s="90" t="str">
        <f>VLOOKUP(B1694&amp;C1694,Divipola!$C$2:$F$1138,4,FALSE)</f>
        <v>25491</v>
      </c>
      <c r="F1694" s="4"/>
      <c r="G1694" s="208"/>
      <c r="H1694" s="208"/>
      <c r="I1694" s="208"/>
      <c r="J1694" s="208">
        <v>1325</v>
      </c>
      <c r="K1694" s="208">
        <v>408</v>
      </c>
      <c r="L1694" s="208"/>
      <c r="M1694" s="208">
        <v>408</v>
      </c>
      <c r="N1694" s="208"/>
      <c r="O1694" s="208"/>
      <c r="P1694" s="208"/>
      <c r="Q1694" s="208"/>
      <c r="R1694" s="208"/>
      <c r="S1694" s="208"/>
      <c r="T1694" s="208"/>
      <c r="U1694" s="208"/>
      <c r="V1694" s="208"/>
      <c r="W1694" s="19"/>
      <c r="X1694" s="17"/>
      <c r="Y1694" s="5">
        <f t="shared" ref="Y1694:Y1757" si="162">CV1694</f>
        <v>0</v>
      </c>
      <c r="Z1694" s="5">
        <f t="shared" ref="Z1694:Z1757" si="163">CZ1694</f>
        <v>0</v>
      </c>
      <c r="AA1694" s="5">
        <f t="shared" ref="AA1694:AA1757" si="164">DB1694+DD1694</f>
        <v>0</v>
      </c>
      <c r="AB1694" s="5">
        <f t="shared" ref="AB1694:AB1757" si="165">CX1694</f>
        <v>0</v>
      </c>
      <c r="AC1694" s="5"/>
      <c r="AD1694" s="5">
        <v>0</v>
      </c>
      <c r="AE1694" s="5">
        <f t="shared" ref="AE1694:AE1757" si="166">Y1694+Z1694+AA1694+AB1694+AC1694+AD1694</f>
        <v>0</v>
      </c>
      <c r="AF1694" s="70">
        <v>0</v>
      </c>
      <c r="AG1694" s="17"/>
      <c r="AH1694" s="18"/>
      <c r="AI1694" s="47" t="s">
        <v>4336</v>
      </c>
      <c r="AJ1694" s="73" t="s">
        <v>4337</v>
      </c>
      <c r="AK1694" s="45"/>
      <c r="AL1694" s="17"/>
      <c r="AM1694" s="20" t="s">
        <v>18</v>
      </c>
      <c r="AN1694" s="19"/>
      <c r="AO1694" s="19"/>
      <c r="AP1694" s="19"/>
      <c r="AQ1694" s="19"/>
      <c r="AR1694" s="19"/>
      <c r="AS1694" s="19"/>
      <c r="AT1694" s="19"/>
      <c r="AU1694" s="19"/>
      <c r="AV1694" s="19"/>
      <c r="AW1694" s="19"/>
      <c r="AX1694" s="107"/>
      <c r="AY1694" s="107"/>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39"/>
      <c r="CO1694" s="138"/>
      <c r="CP1694" s="139"/>
      <c r="CQ1694" s="138"/>
      <c r="CR1694" s="139"/>
      <c r="CS1694" s="138"/>
      <c r="CT1694" s="72"/>
      <c r="CU1694" s="139"/>
      <c r="CV1694" s="99">
        <f t="shared" si="161"/>
        <v>0</v>
      </c>
      <c r="CW1694" s="139"/>
      <c r="CX1694" s="138"/>
      <c r="CY1694" s="138"/>
      <c r="CZ1694" s="138"/>
      <c r="DA1694" s="139"/>
      <c r="DB1694" s="138"/>
      <c r="DC1694" s="45"/>
      <c r="DD1694" s="138"/>
      <c r="DE1694" s="45"/>
      <c r="DF1694" s="46"/>
    </row>
    <row r="1695" spans="1:110" s="42" customFormat="1" ht="48" x14ac:dyDescent="0.2">
      <c r="A1695" s="89">
        <v>40724</v>
      </c>
      <c r="B1695" s="145" t="s">
        <v>4344</v>
      </c>
      <c r="C1695" s="145" t="s">
        <v>840</v>
      </c>
      <c r="D1695" s="145" t="s">
        <v>3346</v>
      </c>
      <c r="E1695" s="90" t="str">
        <f>VLOOKUP(B1695&amp;C1695,Divipola!$C$2:$F$1138,4,FALSE)</f>
        <v>25491</v>
      </c>
      <c r="F1695" s="145"/>
      <c r="G1695" s="164"/>
      <c r="H1695" s="164"/>
      <c r="I1695" s="164"/>
      <c r="J1695" s="164">
        <v>993</v>
      </c>
      <c r="K1695" s="164">
        <v>331</v>
      </c>
      <c r="L1695" s="164"/>
      <c r="M1695" s="164"/>
      <c r="N1695" s="164"/>
      <c r="O1695" s="164"/>
      <c r="P1695" s="164"/>
      <c r="Q1695" s="164"/>
      <c r="R1695" s="164"/>
      <c r="S1695" s="164"/>
      <c r="T1695" s="164"/>
      <c r="U1695" s="164"/>
      <c r="V1695" s="164">
        <v>61.456000000000017</v>
      </c>
      <c r="W1695" s="173"/>
      <c r="X1695" s="17"/>
      <c r="Y1695" s="5">
        <f t="shared" si="162"/>
        <v>0</v>
      </c>
      <c r="Z1695" s="5">
        <f t="shared" si="163"/>
        <v>0</v>
      </c>
      <c r="AA1695" s="5">
        <f t="shared" si="164"/>
        <v>0</v>
      </c>
      <c r="AB1695" s="5">
        <f t="shared" si="165"/>
        <v>0</v>
      </c>
      <c r="AC1695" s="5"/>
      <c r="AD1695" s="5">
        <v>0</v>
      </c>
      <c r="AE1695" s="5">
        <f t="shared" si="166"/>
        <v>0</v>
      </c>
      <c r="AF1695" s="70">
        <v>0</v>
      </c>
      <c r="AG1695" s="135">
        <v>40809</v>
      </c>
      <c r="AH1695" s="161"/>
      <c r="AI1695" s="135" t="s">
        <v>4336</v>
      </c>
      <c r="AJ1695" s="176" t="s">
        <v>4337</v>
      </c>
      <c r="AK1695" s="178"/>
      <c r="AL1695" s="180" t="s">
        <v>4579</v>
      </c>
      <c r="AM1695" s="182" t="s">
        <v>4580</v>
      </c>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39"/>
      <c r="CE1695" s="138"/>
      <c r="CF1695" s="139"/>
      <c r="CG1695" s="138"/>
      <c r="CH1695" s="139"/>
      <c r="CI1695" s="138"/>
      <c r="CJ1695" s="72"/>
      <c r="CK1695" s="139"/>
      <c r="CL1695" s="71"/>
      <c r="CM1695" s="139"/>
      <c r="CN1695" s="138"/>
      <c r="CO1695" s="138"/>
      <c r="CP1695" s="138"/>
      <c r="CQ1695" s="139"/>
      <c r="CR1695" s="138"/>
      <c r="CS1695" s="45"/>
      <c r="CT1695" s="138"/>
      <c r="CU1695" s="45"/>
      <c r="CV1695" s="99">
        <f t="shared" si="161"/>
        <v>0</v>
      </c>
      <c r="CW1695" s="139"/>
      <c r="CX1695" s="138"/>
      <c r="CY1695" s="138"/>
      <c r="CZ1695" s="138"/>
      <c r="DA1695" s="139"/>
      <c r="DB1695" s="138"/>
      <c r="DC1695" s="45"/>
      <c r="DD1695" s="138"/>
      <c r="DE1695" s="45"/>
      <c r="DF1695" s="46"/>
    </row>
    <row r="1696" spans="1:110" s="42" customFormat="1" x14ac:dyDescent="0.2">
      <c r="A1696" s="89">
        <v>40724</v>
      </c>
      <c r="B1696" s="16" t="s">
        <v>4344</v>
      </c>
      <c r="C1696" s="90" t="s">
        <v>4251</v>
      </c>
      <c r="D1696" s="90" t="s">
        <v>4264</v>
      </c>
      <c r="E1696" s="90" t="str">
        <f>VLOOKUP(B1696&amp;C1696,Divipola!$C$2:$F$1138,4,FALSE)</f>
        <v>25513</v>
      </c>
      <c r="F1696" s="4"/>
      <c r="G1696" s="208"/>
      <c r="H1696" s="208"/>
      <c r="I1696" s="208"/>
      <c r="J1696" s="208">
        <v>2844</v>
      </c>
      <c r="K1696" s="208">
        <v>1202</v>
      </c>
      <c r="L1696" s="208"/>
      <c r="M1696" s="208">
        <v>1202</v>
      </c>
      <c r="N1696" s="208"/>
      <c r="O1696" s="208"/>
      <c r="P1696" s="208"/>
      <c r="Q1696" s="208"/>
      <c r="R1696" s="208"/>
      <c r="S1696" s="208"/>
      <c r="T1696" s="208"/>
      <c r="U1696" s="208"/>
      <c r="V1696" s="208"/>
      <c r="W1696" s="19"/>
      <c r="X1696" s="17"/>
      <c r="Y1696" s="5">
        <f t="shared" si="162"/>
        <v>0</v>
      </c>
      <c r="Z1696" s="5">
        <f t="shared" si="163"/>
        <v>0</v>
      </c>
      <c r="AA1696" s="5">
        <f t="shared" si="164"/>
        <v>0</v>
      </c>
      <c r="AB1696" s="5">
        <f t="shared" si="165"/>
        <v>0</v>
      </c>
      <c r="AC1696" s="5"/>
      <c r="AD1696" s="5">
        <v>0</v>
      </c>
      <c r="AE1696" s="5">
        <f t="shared" si="166"/>
        <v>0</v>
      </c>
      <c r="AF1696" s="70">
        <v>0</v>
      </c>
      <c r="AG1696" s="17"/>
      <c r="AH1696" s="18"/>
      <c r="AI1696" s="47" t="s">
        <v>4336</v>
      </c>
      <c r="AJ1696" s="73" t="s">
        <v>4337</v>
      </c>
      <c r="AK1696" s="45"/>
      <c r="AL1696" s="17"/>
      <c r="AM1696" s="20" t="s">
        <v>18</v>
      </c>
      <c r="AN1696" s="19"/>
      <c r="AO1696" s="19"/>
      <c r="AP1696" s="19"/>
      <c r="AQ1696" s="19"/>
      <c r="AR1696" s="19"/>
      <c r="AS1696" s="19"/>
      <c r="AT1696" s="19"/>
      <c r="AU1696" s="19"/>
      <c r="AV1696" s="19"/>
      <c r="AW1696" s="19"/>
      <c r="AX1696" s="107"/>
      <c r="AY1696" s="107"/>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39"/>
      <c r="CO1696" s="138"/>
      <c r="CP1696" s="139"/>
      <c r="CQ1696" s="138"/>
      <c r="CR1696" s="139"/>
      <c r="CS1696" s="138"/>
      <c r="CT1696" s="72"/>
      <c r="CU1696" s="139"/>
      <c r="CV1696" s="99">
        <f t="shared" si="161"/>
        <v>0</v>
      </c>
      <c r="CW1696" s="139"/>
      <c r="CX1696" s="138"/>
      <c r="CY1696" s="138"/>
      <c r="CZ1696" s="138"/>
      <c r="DA1696" s="139"/>
      <c r="DB1696" s="138"/>
      <c r="DC1696" s="45"/>
      <c r="DD1696" s="138"/>
      <c r="DE1696" s="45"/>
      <c r="DF1696" s="46"/>
    </row>
    <row r="1697" spans="1:110" s="42" customFormat="1" ht="48" x14ac:dyDescent="0.2">
      <c r="A1697" s="89">
        <v>40724</v>
      </c>
      <c r="B1697" s="145" t="s">
        <v>4344</v>
      </c>
      <c r="C1697" s="145" t="s">
        <v>4251</v>
      </c>
      <c r="D1697" s="145" t="s">
        <v>3346</v>
      </c>
      <c r="E1697" s="90" t="str">
        <f>VLOOKUP(B1697&amp;C1697,Divipola!$C$2:$F$1138,4,FALSE)</f>
        <v>25513</v>
      </c>
      <c r="F1697" s="145"/>
      <c r="G1697" s="164"/>
      <c r="H1697" s="164"/>
      <c r="I1697" s="164"/>
      <c r="J1697" s="164">
        <v>450</v>
      </c>
      <c r="K1697" s="164">
        <v>150</v>
      </c>
      <c r="L1697" s="164"/>
      <c r="M1697" s="164"/>
      <c r="N1697" s="164"/>
      <c r="O1697" s="164"/>
      <c r="P1697" s="164"/>
      <c r="Q1697" s="164"/>
      <c r="R1697" s="164"/>
      <c r="S1697" s="164"/>
      <c r="T1697" s="164"/>
      <c r="U1697" s="164"/>
      <c r="V1697" s="164">
        <v>360.19000000000005</v>
      </c>
      <c r="W1697" s="173"/>
      <c r="X1697" s="17"/>
      <c r="Y1697" s="5">
        <f t="shared" si="162"/>
        <v>0</v>
      </c>
      <c r="Z1697" s="5">
        <f t="shared" si="163"/>
        <v>0</v>
      </c>
      <c r="AA1697" s="5">
        <f t="shared" si="164"/>
        <v>0</v>
      </c>
      <c r="AB1697" s="5">
        <f t="shared" si="165"/>
        <v>0</v>
      </c>
      <c r="AC1697" s="5"/>
      <c r="AD1697" s="5">
        <v>0</v>
      </c>
      <c r="AE1697" s="5">
        <f t="shared" si="166"/>
        <v>0</v>
      </c>
      <c r="AF1697" s="70">
        <v>0</v>
      </c>
      <c r="AG1697" s="135">
        <v>40809</v>
      </c>
      <c r="AH1697" s="161"/>
      <c r="AI1697" s="135" t="s">
        <v>4336</v>
      </c>
      <c r="AJ1697" s="176" t="s">
        <v>4337</v>
      </c>
      <c r="AK1697" s="178"/>
      <c r="AL1697" s="180" t="s">
        <v>4579</v>
      </c>
      <c r="AM1697" s="182" t="s">
        <v>4580</v>
      </c>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39"/>
      <c r="CE1697" s="138"/>
      <c r="CF1697" s="139"/>
      <c r="CG1697" s="138"/>
      <c r="CH1697" s="139"/>
      <c r="CI1697" s="138"/>
      <c r="CJ1697" s="72"/>
      <c r="CK1697" s="139"/>
      <c r="CL1697" s="71"/>
      <c r="CM1697" s="139"/>
      <c r="CN1697" s="138"/>
      <c r="CO1697" s="138"/>
      <c r="CP1697" s="138"/>
      <c r="CQ1697" s="139"/>
      <c r="CR1697" s="138"/>
      <c r="CS1697" s="45"/>
      <c r="CT1697" s="138"/>
      <c r="CU1697" s="45"/>
      <c r="CV1697" s="99">
        <f t="shared" si="161"/>
        <v>0</v>
      </c>
      <c r="CW1697" s="139"/>
      <c r="CX1697" s="138"/>
      <c r="CY1697" s="138"/>
      <c r="CZ1697" s="138"/>
      <c r="DA1697" s="139"/>
      <c r="DB1697" s="138"/>
      <c r="DC1697" s="45"/>
      <c r="DD1697" s="138"/>
      <c r="DE1697" s="45"/>
      <c r="DF1697" s="46"/>
    </row>
    <row r="1698" spans="1:110" s="42" customFormat="1" x14ac:dyDescent="0.2">
      <c r="A1698" s="89">
        <v>40724</v>
      </c>
      <c r="B1698" s="16" t="s">
        <v>4344</v>
      </c>
      <c r="C1698" s="16" t="s">
        <v>851</v>
      </c>
      <c r="D1698" s="90" t="s">
        <v>4264</v>
      </c>
      <c r="E1698" s="90" t="str">
        <f>VLOOKUP(B1698&amp;C1698,Divipola!$C$2:$F$1138,4,FALSE)</f>
        <v>25518</v>
      </c>
      <c r="F1698" s="4"/>
      <c r="G1698" s="208"/>
      <c r="H1698" s="208"/>
      <c r="I1698" s="208"/>
      <c r="J1698" s="208">
        <v>328</v>
      </c>
      <c r="K1698" s="208">
        <v>221</v>
      </c>
      <c r="L1698" s="208"/>
      <c r="M1698" s="208">
        <v>221</v>
      </c>
      <c r="N1698" s="208"/>
      <c r="O1698" s="208"/>
      <c r="P1698" s="208"/>
      <c r="Q1698" s="208"/>
      <c r="R1698" s="208"/>
      <c r="S1698" s="208"/>
      <c r="T1698" s="208"/>
      <c r="U1698" s="208"/>
      <c r="V1698" s="208"/>
      <c r="W1698" s="19"/>
      <c r="X1698" s="17"/>
      <c r="Y1698" s="5">
        <f t="shared" si="162"/>
        <v>0</v>
      </c>
      <c r="Z1698" s="5">
        <f t="shared" si="163"/>
        <v>0</v>
      </c>
      <c r="AA1698" s="5">
        <f t="shared" si="164"/>
        <v>0</v>
      </c>
      <c r="AB1698" s="5">
        <f t="shared" si="165"/>
        <v>0</v>
      </c>
      <c r="AC1698" s="5"/>
      <c r="AD1698" s="5">
        <v>0</v>
      </c>
      <c r="AE1698" s="5">
        <f t="shared" si="166"/>
        <v>0</v>
      </c>
      <c r="AF1698" s="70">
        <v>0</v>
      </c>
      <c r="AG1698" s="17"/>
      <c r="AH1698" s="18"/>
      <c r="AI1698" s="47" t="s">
        <v>4336</v>
      </c>
      <c r="AJ1698" s="73" t="s">
        <v>4337</v>
      </c>
      <c r="AK1698" s="45"/>
      <c r="AL1698" s="17"/>
      <c r="AM1698" s="20" t="s">
        <v>18</v>
      </c>
      <c r="AN1698" s="19"/>
      <c r="AO1698" s="19"/>
      <c r="AP1698" s="19"/>
      <c r="AQ1698" s="19"/>
      <c r="AR1698" s="19"/>
      <c r="AS1698" s="19"/>
      <c r="AT1698" s="19"/>
      <c r="AU1698" s="19"/>
      <c r="AV1698" s="19"/>
      <c r="AW1698" s="19"/>
      <c r="AX1698" s="107"/>
      <c r="AY1698" s="107"/>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39"/>
      <c r="CO1698" s="138"/>
      <c r="CP1698" s="139"/>
      <c r="CQ1698" s="138"/>
      <c r="CR1698" s="139"/>
      <c r="CS1698" s="138"/>
      <c r="CT1698" s="72"/>
      <c r="CU1698" s="139"/>
      <c r="CV1698" s="99">
        <f t="shared" si="161"/>
        <v>0</v>
      </c>
      <c r="CW1698" s="139"/>
      <c r="CX1698" s="138"/>
      <c r="CY1698" s="138"/>
      <c r="CZ1698" s="138"/>
      <c r="DA1698" s="139"/>
      <c r="DB1698" s="138"/>
      <c r="DC1698" s="45"/>
      <c r="DD1698" s="138"/>
      <c r="DE1698" s="45"/>
      <c r="DF1698" s="46"/>
    </row>
    <row r="1699" spans="1:110" s="42" customFormat="1" ht="48" x14ac:dyDescent="0.2">
      <c r="A1699" s="89">
        <v>40724</v>
      </c>
      <c r="B1699" s="145" t="s">
        <v>4344</v>
      </c>
      <c r="C1699" s="145" t="s">
        <v>851</v>
      </c>
      <c r="D1699" s="145" t="s">
        <v>3346</v>
      </c>
      <c r="E1699" s="90" t="str">
        <f>VLOOKUP(B1699&amp;C1699,Divipola!$C$2:$F$1138,4,FALSE)</f>
        <v>25518</v>
      </c>
      <c r="F1699" s="145"/>
      <c r="G1699" s="164"/>
      <c r="H1699" s="164"/>
      <c r="I1699" s="164"/>
      <c r="J1699" s="164">
        <v>222</v>
      </c>
      <c r="K1699" s="164">
        <v>74</v>
      </c>
      <c r="L1699" s="164"/>
      <c r="M1699" s="164"/>
      <c r="N1699" s="164"/>
      <c r="O1699" s="164"/>
      <c r="P1699" s="164"/>
      <c r="Q1699" s="164"/>
      <c r="R1699" s="164"/>
      <c r="S1699" s="164"/>
      <c r="T1699" s="164"/>
      <c r="U1699" s="164"/>
      <c r="V1699" s="164">
        <v>92.000000000000014</v>
      </c>
      <c r="W1699" s="173"/>
      <c r="X1699" s="17"/>
      <c r="Y1699" s="5">
        <f t="shared" si="162"/>
        <v>0</v>
      </c>
      <c r="Z1699" s="5">
        <f t="shared" si="163"/>
        <v>0</v>
      </c>
      <c r="AA1699" s="5">
        <f t="shared" si="164"/>
        <v>0</v>
      </c>
      <c r="AB1699" s="5">
        <f t="shared" si="165"/>
        <v>0</v>
      </c>
      <c r="AC1699" s="5"/>
      <c r="AD1699" s="5">
        <v>0</v>
      </c>
      <c r="AE1699" s="5">
        <f t="shared" si="166"/>
        <v>0</v>
      </c>
      <c r="AF1699" s="70">
        <v>0</v>
      </c>
      <c r="AG1699" s="135">
        <v>40809</v>
      </c>
      <c r="AH1699" s="161"/>
      <c r="AI1699" s="135" t="s">
        <v>4336</v>
      </c>
      <c r="AJ1699" s="176" t="s">
        <v>4337</v>
      </c>
      <c r="AK1699" s="178"/>
      <c r="AL1699" s="180" t="s">
        <v>4579</v>
      </c>
      <c r="AM1699" s="182" t="s">
        <v>4580</v>
      </c>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39"/>
      <c r="CE1699" s="138"/>
      <c r="CF1699" s="139"/>
      <c r="CG1699" s="138"/>
      <c r="CH1699" s="139"/>
      <c r="CI1699" s="138"/>
      <c r="CJ1699" s="72"/>
      <c r="CK1699" s="139"/>
      <c r="CL1699" s="71"/>
      <c r="CM1699" s="139"/>
      <c r="CN1699" s="138"/>
      <c r="CO1699" s="138"/>
      <c r="CP1699" s="138"/>
      <c r="CQ1699" s="139"/>
      <c r="CR1699" s="138"/>
      <c r="CS1699" s="45"/>
      <c r="CT1699" s="138"/>
      <c r="CU1699" s="45"/>
      <c r="CV1699" s="99">
        <f t="shared" si="161"/>
        <v>0</v>
      </c>
      <c r="CW1699" s="139"/>
      <c r="CX1699" s="138"/>
      <c r="CY1699" s="138"/>
      <c r="CZ1699" s="138"/>
      <c r="DA1699" s="139"/>
      <c r="DB1699" s="138"/>
      <c r="DC1699" s="45"/>
      <c r="DD1699" s="138"/>
      <c r="DE1699" s="45"/>
      <c r="DF1699" s="46">
        <v>1865</v>
      </c>
    </row>
    <row r="1700" spans="1:110" s="42" customFormat="1" x14ac:dyDescent="0.2">
      <c r="A1700" s="89">
        <v>40724</v>
      </c>
      <c r="B1700" s="16" t="s">
        <v>4344</v>
      </c>
      <c r="C1700" s="90" t="s">
        <v>3468</v>
      </c>
      <c r="D1700" s="90" t="s">
        <v>4264</v>
      </c>
      <c r="E1700" s="90" t="str">
        <f>VLOOKUP(B1700&amp;C1700,Divipola!$C$2:$F$1138,4,FALSE)</f>
        <v>25524</v>
      </c>
      <c r="F1700" s="4"/>
      <c r="G1700" s="208"/>
      <c r="H1700" s="208"/>
      <c r="I1700" s="208"/>
      <c r="J1700" s="208">
        <v>306</v>
      </c>
      <c r="K1700" s="208">
        <v>106</v>
      </c>
      <c r="L1700" s="208"/>
      <c r="M1700" s="208">
        <v>106</v>
      </c>
      <c r="N1700" s="208"/>
      <c r="O1700" s="208"/>
      <c r="P1700" s="208"/>
      <c r="Q1700" s="208"/>
      <c r="R1700" s="208"/>
      <c r="S1700" s="208"/>
      <c r="T1700" s="208"/>
      <c r="U1700" s="208"/>
      <c r="V1700" s="208"/>
      <c r="W1700" s="19"/>
      <c r="X1700" s="17"/>
      <c r="Y1700" s="5">
        <f t="shared" si="162"/>
        <v>0</v>
      </c>
      <c r="Z1700" s="5">
        <f t="shared" si="163"/>
        <v>0</v>
      </c>
      <c r="AA1700" s="5">
        <f t="shared" si="164"/>
        <v>0</v>
      </c>
      <c r="AB1700" s="5">
        <f t="shared" si="165"/>
        <v>0</v>
      </c>
      <c r="AC1700" s="5"/>
      <c r="AD1700" s="5">
        <v>0</v>
      </c>
      <c r="AE1700" s="5">
        <f t="shared" si="166"/>
        <v>0</v>
      </c>
      <c r="AF1700" s="70">
        <v>0</v>
      </c>
      <c r="AG1700" s="17"/>
      <c r="AH1700" s="18"/>
      <c r="AI1700" s="47" t="s">
        <v>4336</v>
      </c>
      <c r="AJ1700" s="73" t="s">
        <v>4337</v>
      </c>
      <c r="AK1700" s="45"/>
      <c r="AL1700" s="17"/>
      <c r="AM1700" s="20" t="s">
        <v>18</v>
      </c>
      <c r="AN1700" s="19"/>
      <c r="AO1700" s="19"/>
      <c r="AP1700" s="19"/>
      <c r="AQ1700" s="19"/>
      <c r="AR1700" s="19"/>
      <c r="AS1700" s="19"/>
      <c r="AT1700" s="19"/>
      <c r="AU1700" s="19"/>
      <c r="AV1700" s="19"/>
      <c r="AW1700" s="19"/>
      <c r="AX1700" s="107"/>
      <c r="AY1700" s="107"/>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39"/>
      <c r="CO1700" s="138"/>
      <c r="CP1700" s="139"/>
      <c r="CQ1700" s="138"/>
      <c r="CR1700" s="139"/>
      <c r="CS1700" s="138"/>
      <c r="CT1700" s="72"/>
      <c r="CU1700" s="139"/>
      <c r="CV1700" s="99">
        <f t="shared" si="161"/>
        <v>0</v>
      </c>
      <c r="CW1700" s="139"/>
      <c r="CX1700" s="138"/>
      <c r="CY1700" s="138"/>
      <c r="CZ1700" s="138"/>
      <c r="DA1700" s="139"/>
      <c r="DB1700" s="138"/>
      <c r="DC1700" s="45"/>
      <c r="DD1700" s="138"/>
      <c r="DE1700" s="45"/>
      <c r="DF1700" s="46"/>
    </row>
    <row r="1701" spans="1:110" s="42" customFormat="1" ht="48" x14ac:dyDescent="0.2">
      <c r="A1701" s="89">
        <v>40724</v>
      </c>
      <c r="B1701" s="145" t="s">
        <v>4344</v>
      </c>
      <c r="C1701" s="145" t="s">
        <v>3468</v>
      </c>
      <c r="D1701" s="145" t="s">
        <v>3346</v>
      </c>
      <c r="E1701" s="90" t="str">
        <f>VLOOKUP(B1701&amp;C1701,Divipola!$C$2:$F$1138,4,FALSE)</f>
        <v>25524</v>
      </c>
      <c r="F1701" s="145"/>
      <c r="G1701" s="164"/>
      <c r="H1701" s="164"/>
      <c r="I1701" s="164"/>
      <c r="J1701" s="164">
        <v>390</v>
      </c>
      <c r="K1701" s="164">
        <v>130</v>
      </c>
      <c r="L1701" s="164"/>
      <c r="M1701" s="164"/>
      <c r="N1701" s="164"/>
      <c r="O1701" s="164"/>
      <c r="P1701" s="164"/>
      <c r="Q1701" s="164"/>
      <c r="R1701" s="164"/>
      <c r="S1701" s="164"/>
      <c r="T1701" s="164"/>
      <c r="U1701" s="164"/>
      <c r="V1701" s="164">
        <v>247.95000000000002</v>
      </c>
      <c r="W1701" s="173"/>
      <c r="X1701" s="17"/>
      <c r="Y1701" s="5">
        <f t="shared" si="162"/>
        <v>0</v>
      </c>
      <c r="Z1701" s="5">
        <f t="shared" si="163"/>
        <v>0</v>
      </c>
      <c r="AA1701" s="5">
        <f t="shared" si="164"/>
        <v>0</v>
      </c>
      <c r="AB1701" s="5">
        <f t="shared" si="165"/>
        <v>0</v>
      </c>
      <c r="AC1701" s="5"/>
      <c r="AD1701" s="5">
        <v>0</v>
      </c>
      <c r="AE1701" s="5">
        <f t="shared" si="166"/>
        <v>0</v>
      </c>
      <c r="AF1701" s="70">
        <v>0</v>
      </c>
      <c r="AG1701" s="135">
        <v>40809</v>
      </c>
      <c r="AH1701" s="161"/>
      <c r="AI1701" s="135" t="s">
        <v>4336</v>
      </c>
      <c r="AJ1701" s="176" t="s">
        <v>4337</v>
      </c>
      <c r="AK1701" s="178"/>
      <c r="AL1701" s="180" t="s">
        <v>4579</v>
      </c>
      <c r="AM1701" s="182" t="s">
        <v>4580</v>
      </c>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39"/>
      <c r="CE1701" s="138"/>
      <c r="CF1701" s="139"/>
      <c r="CG1701" s="138"/>
      <c r="CH1701" s="139"/>
      <c r="CI1701" s="138"/>
      <c r="CJ1701" s="72"/>
      <c r="CK1701" s="139"/>
      <c r="CL1701" s="71"/>
      <c r="CM1701" s="139"/>
      <c r="CN1701" s="138"/>
      <c r="CO1701" s="138"/>
      <c r="CP1701" s="138"/>
      <c r="CQ1701" s="139"/>
      <c r="CR1701" s="138"/>
      <c r="CS1701" s="45"/>
      <c r="CT1701" s="138"/>
      <c r="CU1701" s="45"/>
      <c r="CV1701" s="99">
        <f t="shared" si="161"/>
        <v>0</v>
      </c>
      <c r="CW1701" s="139"/>
      <c r="CX1701" s="138"/>
      <c r="CY1701" s="138"/>
      <c r="CZ1701" s="138"/>
      <c r="DA1701" s="139"/>
      <c r="DB1701" s="138"/>
      <c r="DC1701" s="45"/>
      <c r="DD1701" s="138"/>
      <c r="DE1701" s="45"/>
      <c r="DF1701" s="46"/>
    </row>
    <row r="1702" spans="1:110" s="42" customFormat="1" ht="48" x14ac:dyDescent="0.2">
      <c r="A1702" s="89">
        <v>40724</v>
      </c>
      <c r="B1702" s="145" t="s">
        <v>4344</v>
      </c>
      <c r="C1702" s="145" t="s">
        <v>1771</v>
      </c>
      <c r="D1702" s="145" t="s">
        <v>3346</v>
      </c>
      <c r="E1702" s="90" t="str">
        <f>VLOOKUP(B1702&amp;C1702,Divipola!$C$2:$F$1138,4,FALSE)</f>
        <v>25530</v>
      </c>
      <c r="F1702" s="145"/>
      <c r="G1702" s="164"/>
      <c r="H1702" s="164"/>
      <c r="I1702" s="164"/>
      <c r="J1702" s="164">
        <v>198</v>
      </c>
      <c r="K1702" s="164">
        <v>66</v>
      </c>
      <c r="L1702" s="164"/>
      <c r="M1702" s="164"/>
      <c r="N1702" s="164"/>
      <c r="O1702" s="164"/>
      <c r="P1702" s="164"/>
      <c r="Q1702" s="164"/>
      <c r="R1702" s="164"/>
      <c r="S1702" s="164"/>
      <c r="T1702" s="164"/>
      <c r="U1702" s="164"/>
      <c r="V1702" s="164">
        <v>1464</v>
      </c>
      <c r="W1702" s="173"/>
      <c r="X1702" s="17"/>
      <c r="Y1702" s="5">
        <f t="shared" si="162"/>
        <v>0</v>
      </c>
      <c r="Z1702" s="5">
        <f t="shared" si="163"/>
        <v>0</v>
      </c>
      <c r="AA1702" s="5">
        <f t="shared" si="164"/>
        <v>0</v>
      </c>
      <c r="AB1702" s="5">
        <f t="shared" si="165"/>
        <v>0</v>
      </c>
      <c r="AC1702" s="5"/>
      <c r="AD1702" s="5">
        <v>0</v>
      </c>
      <c r="AE1702" s="5">
        <f t="shared" si="166"/>
        <v>0</v>
      </c>
      <c r="AF1702" s="70">
        <v>0</v>
      </c>
      <c r="AG1702" s="135">
        <v>40809</v>
      </c>
      <c r="AH1702" s="161"/>
      <c r="AI1702" s="135" t="s">
        <v>4336</v>
      </c>
      <c r="AJ1702" s="176" t="s">
        <v>4337</v>
      </c>
      <c r="AK1702" s="178"/>
      <c r="AL1702" s="180" t="s">
        <v>4579</v>
      </c>
      <c r="AM1702" s="182" t="s">
        <v>4580</v>
      </c>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39"/>
      <c r="CE1702" s="138"/>
      <c r="CF1702" s="139"/>
      <c r="CG1702" s="138"/>
      <c r="CH1702" s="139"/>
      <c r="CI1702" s="138"/>
      <c r="CJ1702" s="72"/>
      <c r="CK1702" s="139"/>
      <c r="CL1702" s="71"/>
      <c r="CM1702" s="139"/>
      <c r="CN1702" s="138"/>
      <c r="CO1702" s="138"/>
      <c r="CP1702" s="138"/>
      <c r="CQ1702" s="139"/>
      <c r="CR1702" s="138"/>
      <c r="CS1702" s="45"/>
      <c r="CT1702" s="138"/>
      <c r="CU1702" s="45"/>
      <c r="CV1702" s="99">
        <f t="shared" si="161"/>
        <v>0</v>
      </c>
      <c r="CW1702" s="139"/>
      <c r="CX1702" s="138"/>
      <c r="CY1702" s="138"/>
      <c r="CZ1702" s="138"/>
      <c r="DA1702" s="139"/>
      <c r="DB1702" s="138"/>
      <c r="DC1702" s="45"/>
      <c r="DD1702" s="138"/>
      <c r="DE1702" s="45"/>
      <c r="DF1702" s="46"/>
    </row>
    <row r="1703" spans="1:110" s="42" customFormat="1" ht="48" x14ac:dyDescent="0.2">
      <c r="A1703" s="89">
        <v>40724</v>
      </c>
      <c r="B1703" s="145" t="s">
        <v>4344</v>
      </c>
      <c r="C1703" s="145" t="s">
        <v>1774</v>
      </c>
      <c r="D1703" s="145" t="s">
        <v>3346</v>
      </c>
      <c r="E1703" s="90" t="str">
        <f>VLOOKUP(B1703&amp;C1703,Divipola!$C$2:$F$1138,4,FALSE)</f>
        <v>25535</v>
      </c>
      <c r="F1703" s="145"/>
      <c r="G1703" s="164"/>
      <c r="H1703" s="164"/>
      <c r="I1703" s="164"/>
      <c r="J1703" s="164">
        <v>447</v>
      </c>
      <c r="K1703" s="164">
        <v>149</v>
      </c>
      <c r="L1703" s="164"/>
      <c r="M1703" s="164"/>
      <c r="N1703" s="164"/>
      <c r="O1703" s="164"/>
      <c r="P1703" s="164"/>
      <c r="Q1703" s="164"/>
      <c r="R1703" s="164"/>
      <c r="S1703" s="164"/>
      <c r="T1703" s="164"/>
      <c r="U1703" s="164"/>
      <c r="V1703" s="164">
        <v>512.6</v>
      </c>
      <c r="W1703" s="173"/>
      <c r="X1703" s="17"/>
      <c r="Y1703" s="5">
        <f t="shared" si="162"/>
        <v>0</v>
      </c>
      <c r="Z1703" s="5">
        <f t="shared" si="163"/>
        <v>0</v>
      </c>
      <c r="AA1703" s="5">
        <f t="shared" si="164"/>
        <v>0</v>
      </c>
      <c r="AB1703" s="5">
        <f t="shared" si="165"/>
        <v>0</v>
      </c>
      <c r="AC1703" s="5"/>
      <c r="AD1703" s="5">
        <v>0</v>
      </c>
      <c r="AE1703" s="5">
        <f t="shared" si="166"/>
        <v>0</v>
      </c>
      <c r="AF1703" s="70">
        <v>0</v>
      </c>
      <c r="AG1703" s="135">
        <v>40809</v>
      </c>
      <c r="AH1703" s="161"/>
      <c r="AI1703" s="135" t="s">
        <v>4336</v>
      </c>
      <c r="AJ1703" s="176" t="s">
        <v>4337</v>
      </c>
      <c r="AK1703" s="178"/>
      <c r="AL1703" s="180" t="s">
        <v>4579</v>
      </c>
      <c r="AM1703" s="182" t="s">
        <v>4580</v>
      </c>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39"/>
      <c r="CE1703" s="138"/>
      <c r="CF1703" s="139"/>
      <c r="CG1703" s="138"/>
      <c r="CH1703" s="139"/>
      <c r="CI1703" s="138"/>
      <c r="CJ1703" s="72"/>
      <c r="CK1703" s="139"/>
      <c r="CL1703" s="71"/>
      <c r="CM1703" s="139"/>
      <c r="CN1703" s="138"/>
      <c r="CO1703" s="138"/>
      <c r="CP1703" s="138"/>
      <c r="CQ1703" s="139"/>
      <c r="CR1703" s="138"/>
      <c r="CS1703" s="45"/>
      <c r="CT1703" s="138"/>
      <c r="CU1703" s="45"/>
      <c r="CV1703" s="99">
        <f t="shared" si="161"/>
        <v>0</v>
      </c>
      <c r="CW1703" s="139"/>
      <c r="CX1703" s="138"/>
      <c r="CY1703" s="138"/>
      <c r="CZ1703" s="138"/>
      <c r="DA1703" s="139"/>
      <c r="DB1703" s="138"/>
      <c r="DC1703" s="45"/>
      <c r="DD1703" s="138"/>
      <c r="DE1703" s="45"/>
      <c r="DF1703" s="46"/>
    </row>
    <row r="1704" spans="1:110" s="42" customFormat="1" ht="48" x14ac:dyDescent="0.2">
      <c r="A1704" s="89">
        <v>40724</v>
      </c>
      <c r="B1704" s="145" t="s">
        <v>4344</v>
      </c>
      <c r="C1704" s="145" t="s">
        <v>1776</v>
      </c>
      <c r="D1704" s="145" t="s">
        <v>3346</v>
      </c>
      <c r="E1704" s="90" t="str">
        <f>VLOOKUP(B1704&amp;C1704,Divipola!$C$2:$F$1138,4,FALSE)</f>
        <v>25572</v>
      </c>
      <c r="F1704" s="145"/>
      <c r="G1704" s="164"/>
      <c r="H1704" s="164"/>
      <c r="I1704" s="164"/>
      <c r="J1704" s="164">
        <v>1083</v>
      </c>
      <c r="K1704" s="164">
        <v>361</v>
      </c>
      <c r="L1704" s="164"/>
      <c r="M1704" s="164"/>
      <c r="N1704" s="164"/>
      <c r="O1704" s="164"/>
      <c r="P1704" s="164"/>
      <c r="Q1704" s="164"/>
      <c r="R1704" s="164"/>
      <c r="S1704" s="164"/>
      <c r="T1704" s="164"/>
      <c r="U1704" s="164"/>
      <c r="V1704" s="164">
        <v>2212.75</v>
      </c>
      <c r="W1704" s="173"/>
      <c r="X1704" s="17"/>
      <c r="Y1704" s="5">
        <f t="shared" si="162"/>
        <v>0</v>
      </c>
      <c r="Z1704" s="5">
        <f t="shared" si="163"/>
        <v>0</v>
      </c>
      <c r="AA1704" s="5">
        <f t="shared" si="164"/>
        <v>0</v>
      </c>
      <c r="AB1704" s="5">
        <f t="shared" si="165"/>
        <v>0</v>
      </c>
      <c r="AC1704" s="5"/>
      <c r="AD1704" s="5">
        <v>0</v>
      </c>
      <c r="AE1704" s="5">
        <f t="shared" si="166"/>
        <v>0</v>
      </c>
      <c r="AF1704" s="70">
        <v>0</v>
      </c>
      <c r="AG1704" s="135">
        <v>40809</v>
      </c>
      <c r="AH1704" s="161"/>
      <c r="AI1704" s="135" t="s">
        <v>4336</v>
      </c>
      <c r="AJ1704" s="176" t="s">
        <v>4337</v>
      </c>
      <c r="AK1704" s="178"/>
      <c r="AL1704" s="180" t="s">
        <v>4579</v>
      </c>
      <c r="AM1704" s="182" t="s">
        <v>4580</v>
      </c>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39"/>
      <c r="CE1704" s="138"/>
      <c r="CF1704" s="139"/>
      <c r="CG1704" s="138"/>
      <c r="CH1704" s="139"/>
      <c r="CI1704" s="138"/>
      <c r="CJ1704" s="72"/>
      <c r="CK1704" s="139"/>
      <c r="CL1704" s="71"/>
      <c r="CM1704" s="139"/>
      <c r="CN1704" s="138"/>
      <c r="CO1704" s="138"/>
      <c r="CP1704" s="138"/>
      <c r="CQ1704" s="139"/>
      <c r="CR1704" s="138"/>
      <c r="CS1704" s="45"/>
      <c r="CT1704" s="138"/>
      <c r="CU1704" s="45"/>
      <c r="CV1704" s="99">
        <f t="shared" si="161"/>
        <v>0</v>
      </c>
      <c r="CW1704" s="139"/>
      <c r="CX1704" s="138"/>
      <c r="CY1704" s="138"/>
      <c r="CZ1704" s="138"/>
      <c r="DA1704" s="139"/>
      <c r="DB1704" s="138"/>
      <c r="DC1704" s="45"/>
      <c r="DD1704" s="138"/>
      <c r="DE1704" s="45"/>
      <c r="DF1704" s="46"/>
    </row>
    <row r="1705" spans="1:110" s="42" customFormat="1" ht="48" x14ac:dyDescent="0.2">
      <c r="A1705" s="89">
        <v>40724</v>
      </c>
      <c r="B1705" s="145" t="s">
        <v>4344</v>
      </c>
      <c r="C1705" s="145" t="s">
        <v>1778</v>
      </c>
      <c r="D1705" s="145" t="s">
        <v>3346</v>
      </c>
      <c r="E1705" s="90" t="str">
        <f>VLOOKUP(B1705&amp;C1705,Divipola!$C$2:$F$1138,4,FALSE)</f>
        <v>25580</v>
      </c>
      <c r="F1705" s="145"/>
      <c r="G1705" s="164"/>
      <c r="H1705" s="164"/>
      <c r="I1705" s="164"/>
      <c r="J1705" s="164">
        <v>123</v>
      </c>
      <c r="K1705" s="164">
        <v>41</v>
      </c>
      <c r="L1705" s="164"/>
      <c r="M1705" s="164"/>
      <c r="N1705" s="164"/>
      <c r="O1705" s="164"/>
      <c r="P1705" s="164"/>
      <c r="Q1705" s="164"/>
      <c r="R1705" s="164"/>
      <c r="S1705" s="164"/>
      <c r="T1705" s="164"/>
      <c r="U1705" s="164"/>
      <c r="V1705" s="164">
        <v>148.6</v>
      </c>
      <c r="W1705" s="173"/>
      <c r="X1705" s="17"/>
      <c r="Y1705" s="5">
        <f t="shared" si="162"/>
        <v>0</v>
      </c>
      <c r="Z1705" s="5">
        <f t="shared" si="163"/>
        <v>0</v>
      </c>
      <c r="AA1705" s="5">
        <f t="shared" si="164"/>
        <v>0</v>
      </c>
      <c r="AB1705" s="5">
        <f t="shared" si="165"/>
        <v>0</v>
      </c>
      <c r="AC1705" s="5"/>
      <c r="AD1705" s="5">
        <v>0</v>
      </c>
      <c r="AE1705" s="5">
        <f t="shared" si="166"/>
        <v>0</v>
      </c>
      <c r="AF1705" s="70">
        <v>0</v>
      </c>
      <c r="AG1705" s="135">
        <v>40809</v>
      </c>
      <c r="AH1705" s="161"/>
      <c r="AI1705" s="135" t="s">
        <v>4336</v>
      </c>
      <c r="AJ1705" s="176" t="s">
        <v>4337</v>
      </c>
      <c r="AK1705" s="178"/>
      <c r="AL1705" s="180" t="s">
        <v>4579</v>
      </c>
      <c r="AM1705" s="182" t="s">
        <v>4580</v>
      </c>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39"/>
      <c r="CE1705" s="138"/>
      <c r="CF1705" s="139"/>
      <c r="CG1705" s="138"/>
      <c r="CH1705" s="139"/>
      <c r="CI1705" s="138"/>
      <c r="CJ1705" s="72"/>
      <c r="CK1705" s="139"/>
      <c r="CL1705" s="71"/>
      <c r="CM1705" s="139"/>
      <c r="CN1705" s="138"/>
      <c r="CO1705" s="138"/>
      <c r="CP1705" s="138"/>
      <c r="CQ1705" s="139"/>
      <c r="CR1705" s="138"/>
      <c r="CS1705" s="45"/>
      <c r="CT1705" s="138"/>
      <c r="CU1705" s="45"/>
      <c r="CV1705" s="99">
        <f t="shared" si="161"/>
        <v>0</v>
      </c>
      <c r="CW1705" s="139"/>
      <c r="CX1705" s="138"/>
      <c r="CY1705" s="138"/>
      <c r="CZ1705" s="138"/>
      <c r="DA1705" s="139"/>
      <c r="DB1705" s="138"/>
      <c r="DC1705" s="45"/>
      <c r="DD1705" s="138"/>
      <c r="DE1705" s="45"/>
      <c r="DF1705" s="46"/>
    </row>
    <row r="1706" spans="1:110" s="42" customFormat="1" x14ac:dyDescent="0.2">
      <c r="A1706" s="89">
        <v>40724</v>
      </c>
      <c r="B1706" s="16" t="s">
        <v>4344</v>
      </c>
      <c r="C1706" s="90" t="s">
        <v>4514</v>
      </c>
      <c r="D1706" s="90" t="s">
        <v>4264</v>
      </c>
      <c r="E1706" s="90" t="str">
        <f>VLOOKUP(B1706&amp;C1706,Divipola!$C$2:$F$1138,4,FALSE)</f>
        <v>25592</v>
      </c>
      <c r="F1706" s="4"/>
      <c r="G1706" s="208"/>
      <c r="H1706" s="208"/>
      <c r="I1706" s="208"/>
      <c r="J1706" s="208">
        <v>168</v>
      </c>
      <c r="K1706" s="208">
        <v>110</v>
      </c>
      <c r="L1706" s="208"/>
      <c r="M1706" s="208">
        <v>110</v>
      </c>
      <c r="N1706" s="208"/>
      <c r="O1706" s="208"/>
      <c r="P1706" s="208"/>
      <c r="Q1706" s="208"/>
      <c r="R1706" s="208"/>
      <c r="S1706" s="208"/>
      <c r="T1706" s="208"/>
      <c r="U1706" s="208"/>
      <c r="V1706" s="208"/>
      <c r="W1706" s="19"/>
      <c r="X1706" s="17"/>
      <c r="Y1706" s="5">
        <f t="shared" si="162"/>
        <v>0</v>
      </c>
      <c r="Z1706" s="5">
        <f t="shared" si="163"/>
        <v>0</v>
      </c>
      <c r="AA1706" s="5">
        <f t="shared" si="164"/>
        <v>0</v>
      </c>
      <c r="AB1706" s="5">
        <f t="shared" si="165"/>
        <v>0</v>
      </c>
      <c r="AC1706" s="5"/>
      <c r="AD1706" s="5">
        <v>0</v>
      </c>
      <c r="AE1706" s="5">
        <f t="shared" si="166"/>
        <v>0</v>
      </c>
      <c r="AF1706" s="70">
        <v>0</v>
      </c>
      <c r="AG1706" s="17"/>
      <c r="AH1706" s="18"/>
      <c r="AI1706" s="47" t="s">
        <v>4336</v>
      </c>
      <c r="AJ1706" s="73" t="s">
        <v>4337</v>
      </c>
      <c r="AK1706" s="45"/>
      <c r="AL1706" s="17"/>
      <c r="AM1706" s="20" t="s">
        <v>18</v>
      </c>
      <c r="AN1706" s="19"/>
      <c r="AO1706" s="19"/>
      <c r="AP1706" s="19"/>
      <c r="AQ1706" s="19"/>
      <c r="AR1706" s="19"/>
      <c r="AS1706" s="19"/>
      <c r="AT1706" s="19"/>
      <c r="AU1706" s="19"/>
      <c r="AV1706" s="19"/>
      <c r="AW1706" s="19"/>
      <c r="AX1706" s="107"/>
      <c r="AY1706" s="107"/>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39"/>
      <c r="CO1706" s="138"/>
      <c r="CP1706" s="139"/>
      <c r="CQ1706" s="138"/>
      <c r="CR1706" s="139"/>
      <c r="CS1706" s="138"/>
      <c r="CT1706" s="72"/>
      <c r="CU1706" s="139"/>
      <c r="CV1706" s="99">
        <f t="shared" si="161"/>
        <v>0</v>
      </c>
      <c r="CW1706" s="139"/>
      <c r="CX1706" s="138"/>
      <c r="CY1706" s="138"/>
      <c r="CZ1706" s="138"/>
      <c r="DA1706" s="139"/>
      <c r="DB1706" s="138"/>
      <c r="DC1706" s="45"/>
      <c r="DD1706" s="138"/>
      <c r="DE1706" s="45"/>
      <c r="DF1706" s="46"/>
    </row>
    <row r="1707" spans="1:110" s="42" customFormat="1" ht="48" x14ac:dyDescent="0.2">
      <c r="A1707" s="89">
        <v>40724</v>
      </c>
      <c r="B1707" s="145" t="s">
        <v>4344</v>
      </c>
      <c r="C1707" s="145" t="s">
        <v>4514</v>
      </c>
      <c r="D1707" s="145" t="s">
        <v>3346</v>
      </c>
      <c r="E1707" s="90" t="str">
        <f>VLOOKUP(B1707&amp;C1707,Divipola!$C$2:$F$1138,4,FALSE)</f>
        <v>25592</v>
      </c>
      <c r="F1707" s="145"/>
      <c r="G1707" s="164"/>
      <c r="H1707" s="164"/>
      <c r="I1707" s="164"/>
      <c r="J1707" s="164">
        <v>729</v>
      </c>
      <c r="K1707" s="164">
        <v>243</v>
      </c>
      <c r="L1707" s="164"/>
      <c r="M1707" s="164"/>
      <c r="N1707" s="164"/>
      <c r="O1707" s="164"/>
      <c r="P1707" s="164"/>
      <c r="Q1707" s="164"/>
      <c r="R1707" s="164"/>
      <c r="S1707" s="164"/>
      <c r="T1707" s="164"/>
      <c r="U1707" s="164"/>
      <c r="V1707" s="164">
        <v>259.45999999999998</v>
      </c>
      <c r="W1707" s="173"/>
      <c r="X1707" s="17"/>
      <c r="Y1707" s="5">
        <f t="shared" si="162"/>
        <v>0</v>
      </c>
      <c r="Z1707" s="5">
        <f t="shared" si="163"/>
        <v>0</v>
      </c>
      <c r="AA1707" s="5">
        <f t="shared" si="164"/>
        <v>0</v>
      </c>
      <c r="AB1707" s="5">
        <f t="shared" si="165"/>
        <v>0</v>
      </c>
      <c r="AC1707" s="5"/>
      <c r="AD1707" s="5">
        <v>0</v>
      </c>
      <c r="AE1707" s="5">
        <f t="shared" si="166"/>
        <v>0</v>
      </c>
      <c r="AF1707" s="70">
        <v>0</v>
      </c>
      <c r="AG1707" s="135">
        <v>40809</v>
      </c>
      <c r="AH1707" s="161"/>
      <c r="AI1707" s="135" t="s">
        <v>4336</v>
      </c>
      <c r="AJ1707" s="176" t="s">
        <v>4337</v>
      </c>
      <c r="AK1707" s="178"/>
      <c r="AL1707" s="180" t="s">
        <v>4579</v>
      </c>
      <c r="AM1707" s="182" t="s">
        <v>4580</v>
      </c>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39"/>
      <c r="CE1707" s="138"/>
      <c r="CF1707" s="139"/>
      <c r="CG1707" s="138"/>
      <c r="CH1707" s="139"/>
      <c r="CI1707" s="138"/>
      <c r="CJ1707" s="72"/>
      <c r="CK1707" s="139"/>
      <c r="CL1707" s="71"/>
      <c r="CM1707" s="139"/>
      <c r="CN1707" s="138"/>
      <c r="CO1707" s="138"/>
      <c r="CP1707" s="138"/>
      <c r="CQ1707" s="139"/>
      <c r="CR1707" s="138"/>
      <c r="CS1707" s="45"/>
      <c r="CT1707" s="138"/>
      <c r="CU1707" s="45"/>
      <c r="CV1707" s="99">
        <f t="shared" si="161"/>
        <v>0</v>
      </c>
      <c r="CW1707" s="139"/>
      <c r="CX1707" s="138"/>
      <c r="CY1707" s="138"/>
      <c r="CZ1707" s="138"/>
      <c r="DA1707" s="139"/>
      <c r="DB1707" s="138"/>
      <c r="DC1707" s="45"/>
      <c r="DD1707" s="138"/>
      <c r="DE1707" s="45"/>
      <c r="DF1707" s="46"/>
    </row>
    <row r="1708" spans="1:110" s="42" customFormat="1" x14ac:dyDescent="0.2">
      <c r="A1708" s="89">
        <v>40724</v>
      </c>
      <c r="B1708" s="16" t="s">
        <v>4344</v>
      </c>
      <c r="C1708" s="90" t="s">
        <v>3469</v>
      </c>
      <c r="D1708" s="90" t="s">
        <v>4264</v>
      </c>
      <c r="E1708" s="90" t="str">
        <f>VLOOKUP(B1708&amp;C1708,Divipola!$C$2:$F$1138,4,FALSE)</f>
        <v>25594</v>
      </c>
      <c r="F1708" s="4"/>
      <c r="G1708" s="208"/>
      <c r="H1708" s="208"/>
      <c r="I1708" s="208"/>
      <c r="J1708" s="208">
        <v>646</v>
      </c>
      <c r="K1708" s="208">
        <v>181</v>
      </c>
      <c r="L1708" s="208"/>
      <c r="M1708" s="208">
        <v>181</v>
      </c>
      <c r="N1708" s="208"/>
      <c r="O1708" s="208"/>
      <c r="P1708" s="208"/>
      <c r="Q1708" s="208"/>
      <c r="R1708" s="208"/>
      <c r="S1708" s="208"/>
      <c r="T1708" s="208"/>
      <c r="U1708" s="208"/>
      <c r="V1708" s="208"/>
      <c r="W1708" s="19"/>
      <c r="X1708" s="17"/>
      <c r="Y1708" s="5">
        <f t="shared" si="162"/>
        <v>0</v>
      </c>
      <c r="Z1708" s="5">
        <f t="shared" si="163"/>
        <v>0</v>
      </c>
      <c r="AA1708" s="5">
        <f t="shared" si="164"/>
        <v>0</v>
      </c>
      <c r="AB1708" s="5">
        <f t="shared" si="165"/>
        <v>0</v>
      </c>
      <c r="AC1708" s="5"/>
      <c r="AD1708" s="5">
        <v>0</v>
      </c>
      <c r="AE1708" s="5">
        <f t="shared" si="166"/>
        <v>0</v>
      </c>
      <c r="AF1708" s="70">
        <v>0</v>
      </c>
      <c r="AG1708" s="17"/>
      <c r="AH1708" s="18"/>
      <c r="AI1708" s="47" t="s">
        <v>4336</v>
      </c>
      <c r="AJ1708" s="73" t="s">
        <v>4337</v>
      </c>
      <c r="AK1708" s="45"/>
      <c r="AL1708" s="17"/>
      <c r="AM1708" s="20" t="s">
        <v>18</v>
      </c>
      <c r="AN1708" s="19"/>
      <c r="AO1708" s="19"/>
      <c r="AP1708" s="19"/>
      <c r="AQ1708" s="19"/>
      <c r="AR1708" s="19"/>
      <c r="AS1708" s="19"/>
      <c r="AT1708" s="19"/>
      <c r="AU1708" s="19"/>
      <c r="AV1708" s="19"/>
      <c r="AW1708" s="19"/>
      <c r="AX1708" s="107"/>
      <c r="AY1708" s="107"/>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39"/>
      <c r="CO1708" s="138"/>
      <c r="CP1708" s="139"/>
      <c r="CQ1708" s="138"/>
      <c r="CR1708" s="139"/>
      <c r="CS1708" s="138"/>
      <c r="CT1708" s="72"/>
      <c r="CU1708" s="139"/>
      <c r="CV1708" s="99">
        <f t="shared" si="161"/>
        <v>0</v>
      </c>
      <c r="CW1708" s="139"/>
      <c r="CX1708" s="138"/>
      <c r="CY1708" s="138"/>
      <c r="CZ1708" s="138"/>
      <c r="DA1708" s="139"/>
      <c r="DB1708" s="138"/>
      <c r="DC1708" s="45"/>
      <c r="DD1708" s="138"/>
      <c r="DE1708" s="45"/>
      <c r="DF1708" s="46"/>
    </row>
    <row r="1709" spans="1:110" s="42" customFormat="1" ht="48" x14ac:dyDescent="0.2">
      <c r="A1709" s="89">
        <v>40724</v>
      </c>
      <c r="B1709" s="145" t="s">
        <v>4344</v>
      </c>
      <c r="C1709" s="145" t="s">
        <v>3469</v>
      </c>
      <c r="D1709" s="145" t="s">
        <v>3346</v>
      </c>
      <c r="E1709" s="90" t="str">
        <f>VLOOKUP(B1709&amp;C1709,Divipola!$C$2:$F$1138,4,FALSE)</f>
        <v>25594</v>
      </c>
      <c r="F1709" s="145"/>
      <c r="G1709" s="164"/>
      <c r="H1709" s="164"/>
      <c r="I1709" s="164"/>
      <c r="J1709" s="164">
        <v>84</v>
      </c>
      <c r="K1709" s="164">
        <v>28</v>
      </c>
      <c r="L1709" s="164"/>
      <c r="M1709" s="164"/>
      <c r="N1709" s="164"/>
      <c r="O1709" s="164"/>
      <c r="P1709" s="164"/>
      <c r="Q1709" s="164"/>
      <c r="R1709" s="164"/>
      <c r="S1709" s="164"/>
      <c r="T1709" s="164"/>
      <c r="U1709" s="164"/>
      <c r="V1709" s="164">
        <v>22.844000000000001</v>
      </c>
      <c r="W1709" s="173"/>
      <c r="X1709" s="17"/>
      <c r="Y1709" s="5">
        <f t="shared" si="162"/>
        <v>0</v>
      </c>
      <c r="Z1709" s="5">
        <f t="shared" si="163"/>
        <v>0</v>
      </c>
      <c r="AA1709" s="5">
        <f t="shared" si="164"/>
        <v>0</v>
      </c>
      <c r="AB1709" s="5">
        <f t="shared" si="165"/>
        <v>0</v>
      </c>
      <c r="AC1709" s="5"/>
      <c r="AD1709" s="5">
        <v>0</v>
      </c>
      <c r="AE1709" s="5">
        <f t="shared" si="166"/>
        <v>0</v>
      </c>
      <c r="AF1709" s="70">
        <v>0</v>
      </c>
      <c r="AG1709" s="135">
        <v>40809</v>
      </c>
      <c r="AH1709" s="161"/>
      <c r="AI1709" s="135" t="s">
        <v>4336</v>
      </c>
      <c r="AJ1709" s="176" t="s">
        <v>4337</v>
      </c>
      <c r="AK1709" s="178"/>
      <c r="AL1709" s="180" t="s">
        <v>4579</v>
      </c>
      <c r="AM1709" s="182" t="s">
        <v>4580</v>
      </c>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39"/>
      <c r="CE1709" s="138"/>
      <c r="CF1709" s="139"/>
      <c r="CG1709" s="138"/>
      <c r="CH1709" s="139"/>
      <c r="CI1709" s="138"/>
      <c r="CJ1709" s="72"/>
      <c r="CK1709" s="139"/>
      <c r="CL1709" s="71"/>
      <c r="CM1709" s="139"/>
      <c r="CN1709" s="138"/>
      <c r="CO1709" s="138"/>
      <c r="CP1709" s="138"/>
      <c r="CQ1709" s="139"/>
      <c r="CR1709" s="138"/>
      <c r="CS1709" s="45"/>
      <c r="CT1709" s="138"/>
      <c r="CU1709" s="45"/>
      <c r="CV1709" s="99">
        <f t="shared" si="161"/>
        <v>0</v>
      </c>
      <c r="CW1709" s="139"/>
      <c r="CX1709" s="138"/>
      <c r="CY1709" s="138"/>
      <c r="CZ1709" s="138"/>
      <c r="DA1709" s="139"/>
      <c r="DB1709" s="138"/>
      <c r="DC1709" s="45"/>
      <c r="DD1709" s="138"/>
      <c r="DE1709" s="45"/>
      <c r="DF1709" s="46"/>
    </row>
    <row r="1710" spans="1:110" s="42" customFormat="1" x14ac:dyDescent="0.2">
      <c r="A1710" s="89">
        <v>40724</v>
      </c>
      <c r="B1710" s="16" t="s">
        <v>4344</v>
      </c>
      <c r="C1710" s="145" t="s">
        <v>1784</v>
      </c>
      <c r="D1710" s="90" t="s">
        <v>4264</v>
      </c>
      <c r="E1710" s="90" t="str">
        <f>VLOOKUP(B1710&amp;C1710,Divipola!$C$2:$F$1138,4,FALSE)</f>
        <v>25596</v>
      </c>
      <c r="F1710" s="4"/>
      <c r="G1710" s="208"/>
      <c r="H1710" s="208"/>
      <c r="I1710" s="208"/>
      <c r="J1710" s="208">
        <v>627</v>
      </c>
      <c r="K1710" s="208">
        <v>241</v>
      </c>
      <c r="L1710" s="208"/>
      <c r="M1710" s="208">
        <v>241</v>
      </c>
      <c r="N1710" s="208"/>
      <c r="O1710" s="208"/>
      <c r="P1710" s="208"/>
      <c r="Q1710" s="208"/>
      <c r="R1710" s="208"/>
      <c r="S1710" s="208"/>
      <c r="T1710" s="208"/>
      <c r="U1710" s="208"/>
      <c r="V1710" s="208"/>
      <c r="W1710" s="19"/>
      <c r="X1710" s="17"/>
      <c r="Y1710" s="5">
        <f t="shared" si="162"/>
        <v>0</v>
      </c>
      <c r="Z1710" s="5">
        <f t="shared" si="163"/>
        <v>0</v>
      </c>
      <c r="AA1710" s="5">
        <f t="shared" si="164"/>
        <v>0</v>
      </c>
      <c r="AB1710" s="5">
        <f t="shared" si="165"/>
        <v>0</v>
      </c>
      <c r="AC1710" s="5"/>
      <c r="AD1710" s="5">
        <v>0</v>
      </c>
      <c r="AE1710" s="5">
        <f t="shared" si="166"/>
        <v>0</v>
      </c>
      <c r="AF1710" s="70">
        <v>0</v>
      </c>
      <c r="AG1710" s="17"/>
      <c r="AH1710" s="18"/>
      <c r="AI1710" s="47" t="s">
        <v>4336</v>
      </c>
      <c r="AJ1710" s="73" t="s">
        <v>4337</v>
      </c>
      <c r="AK1710" s="45"/>
      <c r="AL1710" s="17"/>
      <c r="AM1710" s="20" t="s">
        <v>18</v>
      </c>
      <c r="AN1710" s="19"/>
      <c r="AO1710" s="19"/>
      <c r="AP1710" s="19"/>
      <c r="AQ1710" s="19"/>
      <c r="AR1710" s="19"/>
      <c r="AS1710" s="19"/>
      <c r="AT1710" s="19"/>
      <c r="AU1710" s="19"/>
      <c r="AV1710" s="19"/>
      <c r="AW1710" s="19"/>
      <c r="AX1710" s="107"/>
      <c r="AY1710" s="107"/>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39"/>
      <c r="CO1710" s="138"/>
      <c r="CP1710" s="139"/>
      <c r="CQ1710" s="138"/>
      <c r="CR1710" s="139"/>
      <c r="CS1710" s="138"/>
      <c r="CT1710" s="72"/>
      <c r="CU1710" s="139"/>
      <c r="CV1710" s="99">
        <f t="shared" si="161"/>
        <v>0</v>
      </c>
      <c r="CW1710" s="139"/>
      <c r="CX1710" s="138"/>
      <c r="CY1710" s="138"/>
      <c r="CZ1710" s="138"/>
      <c r="DA1710" s="139"/>
      <c r="DB1710" s="138"/>
      <c r="DC1710" s="45"/>
      <c r="DD1710" s="138"/>
      <c r="DE1710" s="45"/>
      <c r="DF1710" s="46">
        <v>1867</v>
      </c>
    </row>
    <row r="1711" spans="1:110" s="42" customFormat="1" ht="48" x14ac:dyDescent="0.2">
      <c r="A1711" s="89">
        <v>40724</v>
      </c>
      <c r="B1711" s="145" t="s">
        <v>4344</v>
      </c>
      <c r="C1711" s="145" t="s">
        <v>1784</v>
      </c>
      <c r="D1711" s="145" t="s">
        <v>3346</v>
      </c>
      <c r="E1711" s="90" t="str">
        <f>VLOOKUP(B1711&amp;C1711,Divipola!$C$2:$F$1138,4,FALSE)</f>
        <v>25596</v>
      </c>
      <c r="F1711" s="145"/>
      <c r="G1711" s="164"/>
      <c r="H1711" s="164"/>
      <c r="I1711" s="164"/>
      <c r="J1711" s="164">
        <v>741</v>
      </c>
      <c r="K1711" s="164">
        <v>247</v>
      </c>
      <c r="L1711" s="164"/>
      <c r="M1711" s="164"/>
      <c r="N1711" s="164"/>
      <c r="O1711" s="164"/>
      <c r="P1711" s="164"/>
      <c r="Q1711" s="164"/>
      <c r="R1711" s="164"/>
      <c r="S1711" s="164"/>
      <c r="T1711" s="164"/>
      <c r="U1711" s="164"/>
      <c r="V1711" s="164">
        <v>458.9</v>
      </c>
      <c r="W1711" s="173"/>
      <c r="X1711" s="17"/>
      <c r="Y1711" s="5">
        <f t="shared" si="162"/>
        <v>0</v>
      </c>
      <c r="Z1711" s="5">
        <f t="shared" si="163"/>
        <v>0</v>
      </c>
      <c r="AA1711" s="5">
        <f t="shared" si="164"/>
        <v>0</v>
      </c>
      <c r="AB1711" s="5">
        <f t="shared" si="165"/>
        <v>0</v>
      </c>
      <c r="AC1711" s="5"/>
      <c r="AD1711" s="5">
        <v>0</v>
      </c>
      <c r="AE1711" s="5">
        <f t="shared" si="166"/>
        <v>0</v>
      </c>
      <c r="AF1711" s="70">
        <v>0</v>
      </c>
      <c r="AG1711" s="135">
        <v>40809</v>
      </c>
      <c r="AH1711" s="161"/>
      <c r="AI1711" s="135" t="s">
        <v>4336</v>
      </c>
      <c r="AJ1711" s="176" t="s">
        <v>4337</v>
      </c>
      <c r="AK1711" s="178"/>
      <c r="AL1711" s="180" t="s">
        <v>4579</v>
      </c>
      <c r="AM1711" s="182" t="s">
        <v>4580</v>
      </c>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39"/>
      <c r="CE1711" s="138"/>
      <c r="CF1711" s="139"/>
      <c r="CG1711" s="138"/>
      <c r="CH1711" s="139"/>
      <c r="CI1711" s="138"/>
      <c r="CJ1711" s="72"/>
      <c r="CK1711" s="139"/>
      <c r="CL1711" s="71"/>
      <c r="CM1711" s="139"/>
      <c r="CN1711" s="138"/>
      <c r="CO1711" s="138"/>
      <c r="CP1711" s="138"/>
      <c r="CQ1711" s="139"/>
      <c r="CR1711" s="138"/>
      <c r="CS1711" s="45"/>
      <c r="CT1711" s="138"/>
      <c r="CU1711" s="45"/>
      <c r="CV1711" s="99">
        <f t="shared" si="161"/>
        <v>0</v>
      </c>
      <c r="CW1711" s="139"/>
      <c r="CX1711" s="138"/>
      <c r="CY1711" s="138"/>
      <c r="CZ1711" s="138"/>
      <c r="DA1711" s="139"/>
      <c r="DB1711" s="138"/>
      <c r="DC1711" s="45"/>
      <c r="DD1711" s="138"/>
      <c r="DE1711" s="45"/>
      <c r="DF1711" s="46"/>
    </row>
    <row r="1712" spans="1:110" s="42" customFormat="1" ht="48" x14ac:dyDescent="0.2">
      <c r="A1712" s="89">
        <v>40724</v>
      </c>
      <c r="B1712" s="145" t="s">
        <v>4344</v>
      </c>
      <c r="C1712" s="145" t="s">
        <v>3445</v>
      </c>
      <c r="D1712" s="145" t="s">
        <v>3346</v>
      </c>
      <c r="E1712" s="90" t="str">
        <f>VLOOKUP(B1712&amp;C1712,Divipola!$C$2:$F$1138,4,FALSE)</f>
        <v>25612</v>
      </c>
      <c r="F1712" s="145"/>
      <c r="G1712" s="164"/>
      <c r="H1712" s="164"/>
      <c r="I1712" s="164"/>
      <c r="J1712" s="164">
        <v>237</v>
      </c>
      <c r="K1712" s="164">
        <v>79</v>
      </c>
      <c r="L1712" s="164"/>
      <c r="M1712" s="164"/>
      <c r="N1712" s="164"/>
      <c r="O1712" s="164"/>
      <c r="P1712" s="164"/>
      <c r="Q1712" s="164"/>
      <c r="R1712" s="164"/>
      <c r="S1712" s="164"/>
      <c r="T1712" s="164"/>
      <c r="U1712" s="164"/>
      <c r="V1712" s="164">
        <v>64.5</v>
      </c>
      <c r="W1712" s="173"/>
      <c r="X1712" s="17"/>
      <c r="Y1712" s="5">
        <f t="shared" si="162"/>
        <v>0</v>
      </c>
      <c r="Z1712" s="5">
        <f t="shared" si="163"/>
        <v>0</v>
      </c>
      <c r="AA1712" s="5">
        <f t="shared" si="164"/>
        <v>0</v>
      </c>
      <c r="AB1712" s="5">
        <f t="shared" si="165"/>
        <v>0</v>
      </c>
      <c r="AC1712" s="5"/>
      <c r="AD1712" s="5">
        <v>0</v>
      </c>
      <c r="AE1712" s="5">
        <f t="shared" si="166"/>
        <v>0</v>
      </c>
      <c r="AF1712" s="70">
        <v>0</v>
      </c>
      <c r="AG1712" s="135">
        <v>40809</v>
      </c>
      <c r="AH1712" s="161"/>
      <c r="AI1712" s="135" t="s">
        <v>4336</v>
      </c>
      <c r="AJ1712" s="176" t="s">
        <v>4337</v>
      </c>
      <c r="AK1712" s="178"/>
      <c r="AL1712" s="180" t="s">
        <v>4579</v>
      </c>
      <c r="AM1712" s="182" t="s">
        <v>4580</v>
      </c>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39"/>
      <c r="CE1712" s="138"/>
      <c r="CF1712" s="139"/>
      <c r="CG1712" s="138"/>
      <c r="CH1712" s="139"/>
      <c r="CI1712" s="138"/>
      <c r="CJ1712" s="72"/>
      <c r="CK1712" s="139"/>
      <c r="CL1712" s="71"/>
      <c r="CM1712" s="139"/>
      <c r="CN1712" s="138"/>
      <c r="CO1712" s="138"/>
      <c r="CP1712" s="138"/>
      <c r="CQ1712" s="139"/>
      <c r="CR1712" s="138"/>
      <c r="CS1712" s="45"/>
      <c r="CT1712" s="138"/>
      <c r="CU1712" s="45"/>
      <c r="CV1712" s="99">
        <f t="shared" si="161"/>
        <v>0</v>
      </c>
      <c r="CW1712" s="139"/>
      <c r="CX1712" s="138"/>
      <c r="CY1712" s="138"/>
      <c r="CZ1712" s="138"/>
      <c r="DA1712" s="139"/>
      <c r="DB1712" s="138"/>
      <c r="DC1712" s="45"/>
      <c r="DD1712" s="138"/>
      <c r="DE1712" s="45"/>
      <c r="DF1712" s="46"/>
    </row>
    <row r="1713" spans="1:110" s="42" customFormat="1" ht="22.5" x14ac:dyDescent="0.2">
      <c r="A1713" s="89">
        <v>40724</v>
      </c>
      <c r="B1713" s="16" t="s">
        <v>4344</v>
      </c>
      <c r="C1713" s="106" t="s">
        <v>2154</v>
      </c>
      <c r="D1713" s="90" t="s">
        <v>4264</v>
      </c>
      <c r="E1713" s="90" t="str">
        <f>VLOOKUP(B1713&amp;C1713,Divipola!$C$2:$F$1138,4,FALSE)</f>
        <v>25645</v>
      </c>
      <c r="F1713" s="4"/>
      <c r="G1713" s="208"/>
      <c r="H1713" s="208"/>
      <c r="I1713" s="208"/>
      <c r="J1713" s="208">
        <v>525</v>
      </c>
      <c r="K1713" s="208">
        <v>220</v>
      </c>
      <c r="L1713" s="208"/>
      <c r="M1713" s="208">
        <v>220</v>
      </c>
      <c r="N1713" s="208"/>
      <c r="O1713" s="208"/>
      <c r="P1713" s="208"/>
      <c r="Q1713" s="208"/>
      <c r="R1713" s="208"/>
      <c r="S1713" s="208"/>
      <c r="T1713" s="208"/>
      <c r="U1713" s="208"/>
      <c r="V1713" s="208"/>
      <c r="W1713" s="19"/>
      <c r="X1713" s="17"/>
      <c r="Y1713" s="5">
        <f t="shared" si="162"/>
        <v>0</v>
      </c>
      <c r="Z1713" s="5">
        <f t="shared" si="163"/>
        <v>0</v>
      </c>
      <c r="AA1713" s="5">
        <f t="shared" si="164"/>
        <v>0</v>
      </c>
      <c r="AB1713" s="5">
        <f t="shared" si="165"/>
        <v>0</v>
      </c>
      <c r="AC1713" s="5"/>
      <c r="AD1713" s="5">
        <v>0</v>
      </c>
      <c r="AE1713" s="5">
        <f t="shared" si="166"/>
        <v>0</v>
      </c>
      <c r="AF1713" s="70">
        <v>0</v>
      </c>
      <c r="AG1713" s="17"/>
      <c r="AH1713" s="18"/>
      <c r="AI1713" s="47" t="s">
        <v>4336</v>
      </c>
      <c r="AJ1713" s="73" t="s">
        <v>4337</v>
      </c>
      <c r="AK1713" s="45"/>
      <c r="AL1713" s="17"/>
      <c r="AM1713" s="20" t="s">
        <v>18</v>
      </c>
      <c r="AN1713" s="19"/>
      <c r="AO1713" s="19"/>
      <c r="AP1713" s="19"/>
      <c r="AQ1713" s="19"/>
      <c r="AR1713" s="19"/>
      <c r="AS1713" s="19"/>
      <c r="AT1713" s="19"/>
      <c r="AU1713" s="19"/>
      <c r="AV1713" s="19"/>
      <c r="AW1713" s="19"/>
      <c r="AX1713" s="107"/>
      <c r="AY1713" s="107"/>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39"/>
      <c r="CO1713" s="138"/>
      <c r="CP1713" s="139"/>
      <c r="CQ1713" s="138"/>
      <c r="CR1713" s="139"/>
      <c r="CS1713" s="138"/>
      <c r="CT1713" s="72"/>
      <c r="CU1713" s="139"/>
      <c r="CV1713" s="99">
        <f t="shared" si="161"/>
        <v>0</v>
      </c>
      <c r="CW1713" s="139"/>
      <c r="CX1713" s="138"/>
      <c r="CY1713" s="138"/>
      <c r="CZ1713" s="138"/>
      <c r="DA1713" s="139"/>
      <c r="DB1713" s="138"/>
      <c r="DC1713" s="45"/>
      <c r="DD1713" s="138"/>
      <c r="DE1713" s="45"/>
      <c r="DF1713" s="46"/>
    </row>
    <row r="1714" spans="1:110" s="42" customFormat="1" ht="48" x14ac:dyDescent="0.2">
      <c r="A1714" s="89">
        <v>40724</v>
      </c>
      <c r="B1714" s="145" t="s">
        <v>4344</v>
      </c>
      <c r="C1714" s="145" t="s">
        <v>2154</v>
      </c>
      <c r="D1714" s="145" t="s">
        <v>3346</v>
      </c>
      <c r="E1714" s="90" t="str">
        <f>VLOOKUP(B1714&amp;C1714,Divipola!$C$2:$F$1138,4,FALSE)</f>
        <v>25645</v>
      </c>
      <c r="F1714" s="145"/>
      <c r="G1714" s="164"/>
      <c r="H1714" s="164"/>
      <c r="I1714" s="164"/>
      <c r="J1714" s="164">
        <v>180</v>
      </c>
      <c r="K1714" s="164">
        <v>60</v>
      </c>
      <c r="L1714" s="164"/>
      <c r="M1714" s="164"/>
      <c r="N1714" s="164"/>
      <c r="O1714" s="164"/>
      <c r="P1714" s="164"/>
      <c r="Q1714" s="164"/>
      <c r="R1714" s="164"/>
      <c r="S1714" s="164"/>
      <c r="T1714" s="164"/>
      <c r="U1714" s="164"/>
      <c r="V1714" s="164">
        <v>43.530000000000008</v>
      </c>
      <c r="W1714" s="173"/>
      <c r="X1714" s="17"/>
      <c r="Y1714" s="5">
        <f t="shared" si="162"/>
        <v>0</v>
      </c>
      <c r="Z1714" s="5">
        <f t="shared" si="163"/>
        <v>0</v>
      </c>
      <c r="AA1714" s="5">
        <f t="shared" si="164"/>
        <v>0</v>
      </c>
      <c r="AB1714" s="5">
        <f t="shared" si="165"/>
        <v>0</v>
      </c>
      <c r="AC1714" s="5"/>
      <c r="AD1714" s="5">
        <v>0</v>
      </c>
      <c r="AE1714" s="5">
        <f t="shared" si="166"/>
        <v>0</v>
      </c>
      <c r="AF1714" s="70">
        <v>0</v>
      </c>
      <c r="AG1714" s="135">
        <v>40809</v>
      </c>
      <c r="AH1714" s="161"/>
      <c r="AI1714" s="135" t="s">
        <v>4336</v>
      </c>
      <c r="AJ1714" s="176" t="s">
        <v>4337</v>
      </c>
      <c r="AK1714" s="178"/>
      <c r="AL1714" s="180" t="s">
        <v>4579</v>
      </c>
      <c r="AM1714" s="182" t="s">
        <v>4580</v>
      </c>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39"/>
      <c r="CE1714" s="138"/>
      <c r="CF1714" s="139"/>
      <c r="CG1714" s="138"/>
      <c r="CH1714" s="139"/>
      <c r="CI1714" s="138"/>
      <c r="CJ1714" s="72"/>
      <c r="CK1714" s="139"/>
      <c r="CL1714" s="71"/>
      <c r="CM1714" s="139"/>
      <c r="CN1714" s="138"/>
      <c r="CO1714" s="138"/>
      <c r="CP1714" s="138"/>
      <c r="CQ1714" s="139"/>
      <c r="CR1714" s="138"/>
      <c r="CS1714" s="45"/>
      <c r="CT1714" s="138"/>
      <c r="CU1714" s="45"/>
      <c r="CV1714" s="99">
        <f t="shared" si="161"/>
        <v>0</v>
      </c>
      <c r="CW1714" s="139"/>
      <c r="CX1714" s="138"/>
      <c r="CY1714" s="138"/>
      <c r="CZ1714" s="138"/>
      <c r="DA1714" s="139"/>
      <c r="DB1714" s="138"/>
      <c r="DC1714" s="45"/>
      <c r="DD1714" s="138"/>
      <c r="DE1714" s="45"/>
      <c r="DF1714" s="46"/>
    </row>
    <row r="1715" spans="1:110" s="42" customFormat="1" x14ac:dyDescent="0.2">
      <c r="A1715" s="89">
        <v>40724</v>
      </c>
      <c r="B1715" s="16" t="s">
        <v>4344</v>
      </c>
      <c r="C1715" s="90" t="s">
        <v>3470</v>
      </c>
      <c r="D1715" s="90" t="s">
        <v>4264</v>
      </c>
      <c r="E1715" s="90" t="str">
        <f>VLOOKUP(B1715&amp;C1715,Divipola!$C$2:$F$1138,4,FALSE)</f>
        <v>25649</v>
      </c>
      <c r="F1715" s="4"/>
      <c r="G1715" s="208"/>
      <c r="H1715" s="208"/>
      <c r="I1715" s="208"/>
      <c r="J1715" s="208">
        <v>1568</v>
      </c>
      <c r="K1715" s="208">
        <v>409</v>
      </c>
      <c r="L1715" s="208"/>
      <c r="M1715" s="208">
        <v>409</v>
      </c>
      <c r="N1715" s="208"/>
      <c r="O1715" s="208"/>
      <c r="P1715" s="208"/>
      <c r="Q1715" s="208"/>
      <c r="R1715" s="208"/>
      <c r="S1715" s="208"/>
      <c r="T1715" s="208"/>
      <c r="U1715" s="208"/>
      <c r="V1715" s="208"/>
      <c r="W1715" s="19"/>
      <c r="X1715" s="17"/>
      <c r="Y1715" s="5">
        <f t="shared" si="162"/>
        <v>0</v>
      </c>
      <c r="Z1715" s="5">
        <f t="shared" si="163"/>
        <v>0</v>
      </c>
      <c r="AA1715" s="5">
        <f t="shared" si="164"/>
        <v>0</v>
      </c>
      <c r="AB1715" s="5">
        <f t="shared" si="165"/>
        <v>0</v>
      </c>
      <c r="AC1715" s="5"/>
      <c r="AD1715" s="5">
        <v>0</v>
      </c>
      <c r="AE1715" s="5">
        <f t="shared" si="166"/>
        <v>0</v>
      </c>
      <c r="AF1715" s="70">
        <v>0</v>
      </c>
      <c r="AG1715" s="17"/>
      <c r="AH1715" s="18"/>
      <c r="AI1715" s="47" t="s">
        <v>4336</v>
      </c>
      <c r="AJ1715" s="73" t="s">
        <v>4337</v>
      </c>
      <c r="AK1715" s="45"/>
      <c r="AL1715" s="17"/>
      <c r="AM1715" s="20" t="s">
        <v>18</v>
      </c>
      <c r="AN1715" s="19"/>
      <c r="AO1715" s="19"/>
      <c r="AP1715" s="19"/>
      <c r="AQ1715" s="19"/>
      <c r="AR1715" s="19"/>
      <c r="AS1715" s="19"/>
      <c r="AT1715" s="19"/>
      <c r="AU1715" s="19"/>
      <c r="AV1715" s="19"/>
      <c r="AW1715" s="19"/>
      <c r="AX1715" s="107"/>
      <c r="AY1715" s="107"/>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39"/>
      <c r="CO1715" s="138"/>
      <c r="CP1715" s="139"/>
      <c r="CQ1715" s="138"/>
      <c r="CR1715" s="139"/>
      <c r="CS1715" s="138"/>
      <c r="CT1715" s="72"/>
      <c r="CU1715" s="139"/>
      <c r="CV1715" s="99">
        <f t="shared" si="161"/>
        <v>0</v>
      </c>
      <c r="CW1715" s="139"/>
      <c r="CX1715" s="138"/>
      <c r="CY1715" s="138"/>
      <c r="CZ1715" s="138"/>
      <c r="DA1715" s="139"/>
      <c r="DB1715" s="138"/>
      <c r="DC1715" s="45"/>
      <c r="DD1715" s="138"/>
      <c r="DE1715" s="45"/>
      <c r="DF1715" s="46"/>
    </row>
    <row r="1716" spans="1:110" s="42" customFormat="1" ht="48" x14ac:dyDescent="0.2">
      <c r="A1716" s="89">
        <v>40724</v>
      </c>
      <c r="B1716" s="145" t="s">
        <v>4344</v>
      </c>
      <c r="C1716" s="145" t="s">
        <v>3470</v>
      </c>
      <c r="D1716" s="145" t="s">
        <v>3346</v>
      </c>
      <c r="E1716" s="90" t="str">
        <f>VLOOKUP(B1716&amp;C1716,Divipola!$C$2:$F$1138,4,FALSE)</f>
        <v>25649</v>
      </c>
      <c r="F1716" s="145"/>
      <c r="G1716" s="164"/>
      <c r="H1716" s="164"/>
      <c r="I1716" s="164"/>
      <c r="J1716" s="164">
        <v>459</v>
      </c>
      <c r="K1716" s="164">
        <v>153</v>
      </c>
      <c r="L1716" s="164"/>
      <c r="M1716" s="164"/>
      <c r="N1716" s="164"/>
      <c r="O1716" s="164"/>
      <c r="P1716" s="164"/>
      <c r="Q1716" s="164"/>
      <c r="R1716" s="164"/>
      <c r="S1716" s="164"/>
      <c r="T1716" s="164"/>
      <c r="U1716" s="164"/>
      <c r="V1716" s="164">
        <v>410.70000000000005</v>
      </c>
      <c r="W1716" s="173"/>
      <c r="X1716" s="17"/>
      <c r="Y1716" s="5">
        <f t="shared" si="162"/>
        <v>0</v>
      </c>
      <c r="Z1716" s="5">
        <f t="shared" si="163"/>
        <v>0</v>
      </c>
      <c r="AA1716" s="5">
        <f t="shared" si="164"/>
        <v>0</v>
      </c>
      <c r="AB1716" s="5">
        <f t="shared" si="165"/>
        <v>0</v>
      </c>
      <c r="AC1716" s="5"/>
      <c r="AD1716" s="5">
        <v>0</v>
      </c>
      <c r="AE1716" s="5">
        <f t="shared" si="166"/>
        <v>0</v>
      </c>
      <c r="AF1716" s="70">
        <v>0</v>
      </c>
      <c r="AG1716" s="135">
        <v>40809</v>
      </c>
      <c r="AH1716" s="161"/>
      <c r="AI1716" s="135" t="s">
        <v>4336</v>
      </c>
      <c r="AJ1716" s="176" t="s">
        <v>4337</v>
      </c>
      <c r="AK1716" s="178"/>
      <c r="AL1716" s="180" t="s">
        <v>4579</v>
      </c>
      <c r="AM1716" s="182" t="s">
        <v>4580</v>
      </c>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39"/>
      <c r="CE1716" s="138"/>
      <c r="CF1716" s="139"/>
      <c r="CG1716" s="138"/>
      <c r="CH1716" s="139"/>
      <c r="CI1716" s="138"/>
      <c r="CJ1716" s="72"/>
      <c r="CK1716" s="139"/>
      <c r="CL1716" s="71"/>
      <c r="CM1716" s="139"/>
      <c r="CN1716" s="138"/>
      <c r="CO1716" s="138"/>
      <c r="CP1716" s="138"/>
      <c r="CQ1716" s="139"/>
      <c r="CR1716" s="138"/>
      <c r="CS1716" s="45"/>
      <c r="CT1716" s="138"/>
      <c r="CU1716" s="45"/>
      <c r="CV1716" s="99">
        <f t="shared" si="161"/>
        <v>0</v>
      </c>
      <c r="CW1716" s="139"/>
      <c r="CX1716" s="138"/>
      <c r="CY1716" s="138"/>
      <c r="CZ1716" s="138"/>
      <c r="DA1716" s="139"/>
      <c r="DB1716" s="138"/>
      <c r="DC1716" s="45"/>
      <c r="DD1716" s="138"/>
      <c r="DE1716" s="45"/>
      <c r="DF1716" s="46"/>
    </row>
    <row r="1717" spans="1:110" s="42" customFormat="1" ht="48" x14ac:dyDescent="0.2">
      <c r="A1717" s="89">
        <v>40724</v>
      </c>
      <c r="B1717" s="145" t="s">
        <v>4344</v>
      </c>
      <c r="C1717" s="145" t="s">
        <v>3296</v>
      </c>
      <c r="D1717" s="145" t="s">
        <v>3346</v>
      </c>
      <c r="E1717" s="90" t="str">
        <f>VLOOKUP(B1717&amp;C1717,Divipola!$C$2:$F$1138,4,FALSE)</f>
        <v>25653</v>
      </c>
      <c r="F1717" s="145"/>
      <c r="G1717" s="164"/>
      <c r="H1717" s="164"/>
      <c r="I1717" s="164"/>
      <c r="J1717" s="164">
        <v>225</v>
      </c>
      <c r="K1717" s="164">
        <v>75</v>
      </c>
      <c r="L1717" s="164"/>
      <c r="M1717" s="164"/>
      <c r="N1717" s="164"/>
      <c r="O1717" s="164"/>
      <c r="P1717" s="164"/>
      <c r="Q1717" s="164"/>
      <c r="R1717" s="164"/>
      <c r="S1717" s="164"/>
      <c r="T1717" s="164"/>
      <c r="U1717" s="164"/>
      <c r="V1717" s="164">
        <v>188.5</v>
      </c>
      <c r="W1717" s="173"/>
      <c r="X1717" s="17"/>
      <c r="Y1717" s="5">
        <f t="shared" si="162"/>
        <v>0</v>
      </c>
      <c r="Z1717" s="5">
        <f t="shared" si="163"/>
        <v>0</v>
      </c>
      <c r="AA1717" s="5">
        <f t="shared" si="164"/>
        <v>0</v>
      </c>
      <c r="AB1717" s="5">
        <f t="shared" si="165"/>
        <v>0</v>
      </c>
      <c r="AC1717" s="5"/>
      <c r="AD1717" s="5">
        <v>0</v>
      </c>
      <c r="AE1717" s="5">
        <f t="shared" si="166"/>
        <v>0</v>
      </c>
      <c r="AF1717" s="70">
        <v>0</v>
      </c>
      <c r="AG1717" s="135">
        <v>40809</v>
      </c>
      <c r="AH1717" s="161"/>
      <c r="AI1717" s="135" t="s">
        <v>4336</v>
      </c>
      <c r="AJ1717" s="176" t="s">
        <v>4337</v>
      </c>
      <c r="AK1717" s="178"/>
      <c r="AL1717" s="180" t="s">
        <v>4579</v>
      </c>
      <c r="AM1717" s="182" t="s">
        <v>4580</v>
      </c>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39"/>
      <c r="CE1717" s="138"/>
      <c r="CF1717" s="139"/>
      <c r="CG1717" s="138"/>
      <c r="CH1717" s="139"/>
      <c r="CI1717" s="138"/>
      <c r="CJ1717" s="72"/>
      <c r="CK1717" s="139"/>
      <c r="CL1717" s="71"/>
      <c r="CM1717" s="139"/>
      <c r="CN1717" s="138"/>
      <c r="CO1717" s="138"/>
      <c r="CP1717" s="138"/>
      <c r="CQ1717" s="139"/>
      <c r="CR1717" s="138"/>
      <c r="CS1717" s="45"/>
      <c r="CT1717" s="138"/>
      <c r="CU1717" s="45"/>
      <c r="CV1717" s="99">
        <f t="shared" si="161"/>
        <v>0</v>
      </c>
      <c r="CW1717" s="139"/>
      <c r="CX1717" s="138"/>
      <c r="CY1717" s="138"/>
      <c r="CZ1717" s="138"/>
      <c r="DA1717" s="139"/>
      <c r="DB1717" s="138"/>
      <c r="DC1717" s="45"/>
      <c r="DD1717" s="138"/>
      <c r="DE1717" s="45"/>
      <c r="DF1717" s="46"/>
    </row>
    <row r="1718" spans="1:110" s="42" customFormat="1" x14ac:dyDescent="0.2">
      <c r="A1718" s="89">
        <v>40724</v>
      </c>
      <c r="B1718" s="16" t="s">
        <v>4344</v>
      </c>
      <c r="C1718" s="90" t="s">
        <v>2277</v>
      </c>
      <c r="D1718" s="90" t="s">
        <v>4264</v>
      </c>
      <c r="E1718" s="90" t="str">
        <f>VLOOKUP(B1718&amp;C1718,Divipola!$C$2:$F$1138,4,FALSE)</f>
        <v>25658</v>
      </c>
      <c r="F1718" s="4"/>
      <c r="G1718" s="208"/>
      <c r="H1718" s="208"/>
      <c r="I1718" s="208"/>
      <c r="J1718" s="208">
        <v>486</v>
      </c>
      <c r="K1718" s="208">
        <v>131</v>
      </c>
      <c r="L1718" s="208"/>
      <c r="M1718" s="208">
        <v>131</v>
      </c>
      <c r="N1718" s="208"/>
      <c r="O1718" s="208"/>
      <c r="P1718" s="208"/>
      <c r="Q1718" s="208"/>
      <c r="R1718" s="208"/>
      <c r="S1718" s="208"/>
      <c r="T1718" s="208"/>
      <c r="U1718" s="208"/>
      <c r="V1718" s="208"/>
      <c r="W1718" s="19"/>
      <c r="X1718" s="17"/>
      <c r="Y1718" s="5">
        <f t="shared" si="162"/>
        <v>0</v>
      </c>
      <c r="Z1718" s="5">
        <f t="shared" si="163"/>
        <v>0</v>
      </c>
      <c r="AA1718" s="5">
        <f t="shared" si="164"/>
        <v>0</v>
      </c>
      <c r="AB1718" s="5">
        <f t="shared" si="165"/>
        <v>0</v>
      </c>
      <c r="AC1718" s="5"/>
      <c r="AD1718" s="5">
        <v>0</v>
      </c>
      <c r="AE1718" s="5">
        <f t="shared" si="166"/>
        <v>0</v>
      </c>
      <c r="AF1718" s="70">
        <v>0</v>
      </c>
      <c r="AG1718" s="17"/>
      <c r="AH1718" s="18"/>
      <c r="AI1718" s="47" t="s">
        <v>4336</v>
      </c>
      <c r="AJ1718" s="73" t="s">
        <v>4337</v>
      </c>
      <c r="AK1718" s="45"/>
      <c r="AL1718" s="17"/>
      <c r="AM1718" s="20" t="s">
        <v>18</v>
      </c>
      <c r="AN1718" s="19"/>
      <c r="AO1718" s="19"/>
      <c r="AP1718" s="19"/>
      <c r="AQ1718" s="19"/>
      <c r="AR1718" s="19"/>
      <c r="AS1718" s="19"/>
      <c r="AT1718" s="19"/>
      <c r="AU1718" s="19"/>
      <c r="AV1718" s="19"/>
      <c r="AW1718" s="19"/>
      <c r="AX1718" s="107"/>
      <c r="AY1718" s="107"/>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39"/>
      <c r="CO1718" s="138"/>
      <c r="CP1718" s="139"/>
      <c r="CQ1718" s="138"/>
      <c r="CR1718" s="139"/>
      <c r="CS1718" s="138"/>
      <c r="CT1718" s="72"/>
      <c r="CU1718" s="139"/>
      <c r="CV1718" s="99">
        <f t="shared" si="161"/>
        <v>0</v>
      </c>
      <c r="CW1718" s="139"/>
      <c r="CX1718" s="138"/>
      <c r="CY1718" s="138"/>
      <c r="CZ1718" s="138"/>
      <c r="DA1718" s="139"/>
      <c r="DB1718" s="138"/>
      <c r="DC1718" s="45"/>
      <c r="DD1718" s="138"/>
      <c r="DE1718" s="45"/>
      <c r="DF1718" s="46"/>
    </row>
    <row r="1719" spans="1:110" s="42" customFormat="1" ht="48" x14ac:dyDescent="0.2">
      <c r="A1719" s="89">
        <v>40724</v>
      </c>
      <c r="B1719" s="145" t="s">
        <v>4344</v>
      </c>
      <c r="C1719" s="145" t="s">
        <v>2277</v>
      </c>
      <c r="D1719" s="145" t="s">
        <v>3346</v>
      </c>
      <c r="E1719" s="90" t="str">
        <f>VLOOKUP(B1719&amp;C1719,Divipola!$C$2:$F$1138,4,FALSE)</f>
        <v>25658</v>
      </c>
      <c r="F1719" s="145"/>
      <c r="G1719" s="164"/>
      <c r="H1719" s="164"/>
      <c r="I1719" s="164"/>
      <c r="J1719" s="164">
        <v>1491</v>
      </c>
      <c r="K1719" s="164">
        <v>497</v>
      </c>
      <c r="L1719" s="164"/>
      <c r="M1719" s="164"/>
      <c r="N1719" s="164"/>
      <c r="O1719" s="164"/>
      <c r="P1719" s="164"/>
      <c r="Q1719" s="164"/>
      <c r="R1719" s="164"/>
      <c r="S1719" s="164"/>
      <c r="T1719" s="164"/>
      <c r="U1719" s="164"/>
      <c r="V1719" s="164">
        <v>553.63499999999999</v>
      </c>
      <c r="W1719" s="173"/>
      <c r="X1719" s="17"/>
      <c r="Y1719" s="5">
        <f t="shared" si="162"/>
        <v>0</v>
      </c>
      <c r="Z1719" s="5">
        <f t="shared" si="163"/>
        <v>0</v>
      </c>
      <c r="AA1719" s="5">
        <f t="shared" si="164"/>
        <v>0</v>
      </c>
      <c r="AB1719" s="5">
        <f t="shared" si="165"/>
        <v>0</v>
      </c>
      <c r="AC1719" s="5"/>
      <c r="AD1719" s="5">
        <v>0</v>
      </c>
      <c r="AE1719" s="5">
        <f t="shared" si="166"/>
        <v>0</v>
      </c>
      <c r="AF1719" s="70">
        <v>0</v>
      </c>
      <c r="AG1719" s="135">
        <v>40809</v>
      </c>
      <c r="AH1719" s="161"/>
      <c r="AI1719" s="135" t="s">
        <v>4336</v>
      </c>
      <c r="AJ1719" s="176" t="s">
        <v>4337</v>
      </c>
      <c r="AK1719" s="178"/>
      <c r="AL1719" s="180" t="s">
        <v>4579</v>
      </c>
      <c r="AM1719" s="182" t="s">
        <v>4580</v>
      </c>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39"/>
      <c r="CE1719" s="138"/>
      <c r="CF1719" s="139"/>
      <c r="CG1719" s="138"/>
      <c r="CH1719" s="139"/>
      <c r="CI1719" s="138"/>
      <c r="CJ1719" s="72"/>
      <c r="CK1719" s="139"/>
      <c r="CL1719" s="71"/>
      <c r="CM1719" s="139"/>
      <c r="CN1719" s="138"/>
      <c r="CO1719" s="138"/>
      <c r="CP1719" s="138"/>
      <c r="CQ1719" s="139"/>
      <c r="CR1719" s="138"/>
      <c r="CS1719" s="45"/>
      <c r="CT1719" s="138"/>
      <c r="CU1719" s="45"/>
      <c r="CV1719" s="99">
        <f t="shared" si="161"/>
        <v>0</v>
      </c>
      <c r="CW1719" s="139"/>
      <c r="CX1719" s="138"/>
      <c r="CY1719" s="138"/>
      <c r="CZ1719" s="138"/>
      <c r="DA1719" s="139"/>
      <c r="DB1719" s="138"/>
      <c r="DC1719" s="45"/>
      <c r="DD1719" s="138"/>
      <c r="DE1719" s="45"/>
      <c r="DF1719" s="46"/>
    </row>
    <row r="1720" spans="1:110" s="42" customFormat="1" ht="22.5" x14ac:dyDescent="0.2">
      <c r="A1720" s="89">
        <v>40724</v>
      </c>
      <c r="B1720" s="16" t="s">
        <v>4344</v>
      </c>
      <c r="C1720" s="4" t="s">
        <v>1792</v>
      </c>
      <c r="D1720" s="90" t="s">
        <v>4264</v>
      </c>
      <c r="E1720" s="90" t="str">
        <f>VLOOKUP(B1720&amp;C1720,Divipola!$C$2:$F$1138,4,FALSE)</f>
        <v>25662</v>
      </c>
      <c r="F1720" s="4"/>
      <c r="G1720" s="208"/>
      <c r="H1720" s="208"/>
      <c r="I1720" s="208"/>
      <c r="J1720" s="208">
        <v>1527</v>
      </c>
      <c r="K1720" s="208">
        <v>424</v>
      </c>
      <c r="L1720" s="208"/>
      <c r="M1720" s="208">
        <v>424</v>
      </c>
      <c r="N1720" s="208"/>
      <c r="O1720" s="208"/>
      <c r="P1720" s="208"/>
      <c r="Q1720" s="208"/>
      <c r="R1720" s="208"/>
      <c r="S1720" s="208"/>
      <c r="T1720" s="208"/>
      <c r="U1720" s="208"/>
      <c r="V1720" s="208"/>
      <c r="W1720" s="19"/>
      <c r="X1720" s="17"/>
      <c r="Y1720" s="5">
        <f t="shared" si="162"/>
        <v>0</v>
      </c>
      <c r="Z1720" s="5">
        <f t="shared" si="163"/>
        <v>0</v>
      </c>
      <c r="AA1720" s="5">
        <f t="shared" si="164"/>
        <v>0</v>
      </c>
      <c r="AB1720" s="5">
        <f t="shared" si="165"/>
        <v>0</v>
      </c>
      <c r="AC1720" s="5"/>
      <c r="AD1720" s="5">
        <v>0</v>
      </c>
      <c r="AE1720" s="5">
        <f t="shared" si="166"/>
        <v>0</v>
      </c>
      <c r="AF1720" s="70">
        <v>0</v>
      </c>
      <c r="AG1720" s="17"/>
      <c r="AH1720" s="18"/>
      <c r="AI1720" s="47" t="s">
        <v>4336</v>
      </c>
      <c r="AJ1720" s="73" t="s">
        <v>4337</v>
      </c>
      <c r="AK1720" s="45"/>
      <c r="AL1720" s="17"/>
      <c r="AM1720" s="20" t="s">
        <v>18</v>
      </c>
      <c r="AN1720" s="19"/>
      <c r="AO1720" s="19"/>
      <c r="AP1720" s="19"/>
      <c r="AQ1720" s="19"/>
      <c r="AR1720" s="19"/>
      <c r="AS1720" s="19"/>
      <c r="AT1720" s="19"/>
      <c r="AU1720" s="19"/>
      <c r="AV1720" s="19"/>
      <c r="AW1720" s="19"/>
      <c r="AX1720" s="107"/>
      <c r="AY1720" s="107"/>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39"/>
      <c r="CO1720" s="138"/>
      <c r="CP1720" s="139"/>
      <c r="CQ1720" s="138"/>
      <c r="CR1720" s="139"/>
      <c r="CS1720" s="138"/>
      <c r="CT1720" s="72"/>
      <c r="CU1720" s="139"/>
      <c r="CV1720" s="99">
        <f t="shared" si="161"/>
        <v>0</v>
      </c>
      <c r="CW1720" s="139"/>
      <c r="CX1720" s="138"/>
      <c r="CY1720" s="138"/>
      <c r="CZ1720" s="138"/>
      <c r="DA1720" s="139"/>
      <c r="DB1720" s="138"/>
      <c r="DC1720" s="45"/>
      <c r="DD1720" s="138"/>
      <c r="DE1720" s="45"/>
      <c r="DF1720" s="46"/>
    </row>
    <row r="1721" spans="1:110" s="42" customFormat="1" ht="48" x14ac:dyDescent="0.2">
      <c r="A1721" s="89">
        <v>40724</v>
      </c>
      <c r="B1721" s="145" t="s">
        <v>4344</v>
      </c>
      <c r="C1721" s="145" t="s">
        <v>1792</v>
      </c>
      <c r="D1721" s="145" t="s">
        <v>3346</v>
      </c>
      <c r="E1721" s="90" t="str">
        <f>VLOOKUP(B1721&amp;C1721,Divipola!$C$2:$F$1138,4,FALSE)</f>
        <v>25662</v>
      </c>
      <c r="F1721" s="145"/>
      <c r="G1721" s="164"/>
      <c r="H1721" s="164"/>
      <c r="I1721" s="164"/>
      <c r="J1721" s="164">
        <v>1575</v>
      </c>
      <c r="K1721" s="164">
        <v>525</v>
      </c>
      <c r="L1721" s="164"/>
      <c r="M1721" s="164"/>
      <c r="N1721" s="164"/>
      <c r="O1721" s="164"/>
      <c r="P1721" s="164"/>
      <c r="Q1721" s="164"/>
      <c r="R1721" s="164"/>
      <c r="S1721" s="164"/>
      <c r="T1721" s="164"/>
      <c r="U1721" s="164"/>
      <c r="V1721" s="164">
        <v>797.75</v>
      </c>
      <c r="W1721" s="173"/>
      <c r="X1721" s="17"/>
      <c r="Y1721" s="5">
        <f t="shared" si="162"/>
        <v>0</v>
      </c>
      <c r="Z1721" s="5">
        <f t="shared" si="163"/>
        <v>0</v>
      </c>
      <c r="AA1721" s="5">
        <f t="shared" si="164"/>
        <v>0</v>
      </c>
      <c r="AB1721" s="5">
        <f t="shared" si="165"/>
        <v>0</v>
      </c>
      <c r="AC1721" s="5"/>
      <c r="AD1721" s="5">
        <v>0</v>
      </c>
      <c r="AE1721" s="5">
        <f t="shared" si="166"/>
        <v>0</v>
      </c>
      <c r="AF1721" s="70">
        <v>0</v>
      </c>
      <c r="AG1721" s="135">
        <v>40809</v>
      </c>
      <c r="AH1721" s="161"/>
      <c r="AI1721" s="135" t="s">
        <v>4336</v>
      </c>
      <c r="AJ1721" s="176" t="s">
        <v>4337</v>
      </c>
      <c r="AK1721" s="178"/>
      <c r="AL1721" s="180" t="s">
        <v>4579</v>
      </c>
      <c r="AM1721" s="182" t="s">
        <v>4580</v>
      </c>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39"/>
      <c r="CE1721" s="138"/>
      <c r="CF1721" s="139"/>
      <c r="CG1721" s="138"/>
      <c r="CH1721" s="139"/>
      <c r="CI1721" s="138"/>
      <c r="CJ1721" s="72"/>
      <c r="CK1721" s="139"/>
      <c r="CL1721" s="71"/>
      <c r="CM1721" s="139"/>
      <c r="CN1721" s="138"/>
      <c r="CO1721" s="138"/>
      <c r="CP1721" s="138"/>
      <c r="CQ1721" s="139"/>
      <c r="CR1721" s="138"/>
      <c r="CS1721" s="45"/>
      <c r="CT1721" s="138"/>
      <c r="CU1721" s="45"/>
      <c r="CV1721" s="99">
        <f t="shared" si="161"/>
        <v>0</v>
      </c>
      <c r="CW1721" s="139"/>
      <c r="CX1721" s="138"/>
      <c r="CY1721" s="138"/>
      <c r="CZ1721" s="138"/>
      <c r="DA1721" s="139"/>
      <c r="DB1721" s="138"/>
      <c r="DC1721" s="45"/>
      <c r="DD1721" s="138"/>
      <c r="DE1721" s="45"/>
      <c r="DF1721" s="46"/>
    </row>
    <row r="1722" spans="1:110" s="42" customFormat="1" x14ac:dyDescent="0.2">
      <c r="A1722" s="89">
        <v>40724</v>
      </c>
      <c r="B1722" s="16" t="s">
        <v>4344</v>
      </c>
      <c r="C1722" s="106" t="s">
        <v>3336</v>
      </c>
      <c r="D1722" s="90" t="s">
        <v>4264</v>
      </c>
      <c r="E1722" s="90" t="str">
        <f>VLOOKUP(B1722&amp;C1722,Divipola!$C$2:$F$1138,4,FALSE)</f>
        <v>25718</v>
      </c>
      <c r="F1722" s="4"/>
      <c r="G1722" s="208"/>
      <c r="H1722" s="208"/>
      <c r="I1722" s="208"/>
      <c r="J1722" s="208">
        <v>259</v>
      </c>
      <c r="K1722" s="208">
        <v>85</v>
      </c>
      <c r="L1722" s="208"/>
      <c r="M1722" s="208">
        <v>85</v>
      </c>
      <c r="N1722" s="208"/>
      <c r="O1722" s="208"/>
      <c r="P1722" s="208"/>
      <c r="Q1722" s="208"/>
      <c r="R1722" s="208"/>
      <c r="S1722" s="208"/>
      <c r="T1722" s="208"/>
      <c r="U1722" s="208"/>
      <c r="V1722" s="208"/>
      <c r="W1722" s="19"/>
      <c r="X1722" s="17"/>
      <c r="Y1722" s="5">
        <f t="shared" si="162"/>
        <v>0</v>
      </c>
      <c r="Z1722" s="5">
        <f t="shared" si="163"/>
        <v>0</v>
      </c>
      <c r="AA1722" s="5">
        <f t="shared" si="164"/>
        <v>0</v>
      </c>
      <c r="AB1722" s="5">
        <f t="shared" si="165"/>
        <v>0</v>
      </c>
      <c r="AC1722" s="5"/>
      <c r="AD1722" s="5">
        <v>0</v>
      </c>
      <c r="AE1722" s="5">
        <f t="shared" si="166"/>
        <v>0</v>
      </c>
      <c r="AF1722" s="70">
        <v>0</v>
      </c>
      <c r="AG1722" s="17"/>
      <c r="AH1722" s="18"/>
      <c r="AI1722" s="47" t="s">
        <v>4336</v>
      </c>
      <c r="AJ1722" s="73" t="s">
        <v>4337</v>
      </c>
      <c r="AK1722" s="45"/>
      <c r="AL1722" s="17"/>
      <c r="AM1722" s="20" t="s">
        <v>18</v>
      </c>
      <c r="AN1722" s="19"/>
      <c r="AO1722" s="19"/>
      <c r="AP1722" s="19"/>
      <c r="AQ1722" s="19"/>
      <c r="AR1722" s="19"/>
      <c r="AS1722" s="19"/>
      <c r="AT1722" s="19"/>
      <c r="AU1722" s="19"/>
      <c r="AV1722" s="19"/>
      <c r="AW1722" s="19"/>
      <c r="AX1722" s="107"/>
      <c r="AY1722" s="107"/>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39"/>
      <c r="CO1722" s="138"/>
      <c r="CP1722" s="139"/>
      <c r="CQ1722" s="138"/>
      <c r="CR1722" s="139"/>
      <c r="CS1722" s="138"/>
      <c r="CT1722" s="72"/>
      <c r="CU1722" s="139"/>
      <c r="CV1722" s="99">
        <f t="shared" si="161"/>
        <v>0</v>
      </c>
      <c r="CW1722" s="139"/>
      <c r="CX1722" s="138"/>
      <c r="CY1722" s="138"/>
      <c r="CZ1722" s="138"/>
      <c r="DA1722" s="139"/>
      <c r="DB1722" s="138"/>
      <c r="DC1722" s="45"/>
      <c r="DD1722" s="138"/>
      <c r="DE1722" s="45"/>
      <c r="DF1722" s="46"/>
    </row>
    <row r="1723" spans="1:110" s="42" customFormat="1" ht="48" x14ac:dyDescent="0.2">
      <c r="A1723" s="89">
        <v>40724</v>
      </c>
      <c r="B1723" s="145" t="s">
        <v>4344</v>
      </c>
      <c r="C1723" s="145" t="s">
        <v>3336</v>
      </c>
      <c r="D1723" s="145" t="s">
        <v>3346</v>
      </c>
      <c r="E1723" s="90" t="str">
        <f>VLOOKUP(B1723&amp;C1723,Divipola!$C$2:$F$1138,4,FALSE)</f>
        <v>25718</v>
      </c>
      <c r="F1723" s="145"/>
      <c r="G1723" s="164"/>
      <c r="H1723" s="164"/>
      <c r="I1723" s="164"/>
      <c r="J1723" s="164">
        <v>129</v>
      </c>
      <c r="K1723" s="164">
        <v>43</v>
      </c>
      <c r="L1723" s="164"/>
      <c r="M1723" s="164"/>
      <c r="N1723" s="164"/>
      <c r="O1723" s="164"/>
      <c r="P1723" s="164"/>
      <c r="Q1723" s="164"/>
      <c r="R1723" s="164"/>
      <c r="S1723" s="164"/>
      <c r="T1723" s="164"/>
      <c r="U1723" s="164"/>
      <c r="V1723" s="164">
        <v>56.800000000000004</v>
      </c>
      <c r="W1723" s="173"/>
      <c r="X1723" s="17"/>
      <c r="Y1723" s="5">
        <f t="shared" si="162"/>
        <v>0</v>
      </c>
      <c r="Z1723" s="5">
        <f t="shared" si="163"/>
        <v>0</v>
      </c>
      <c r="AA1723" s="5">
        <f t="shared" si="164"/>
        <v>0</v>
      </c>
      <c r="AB1723" s="5">
        <f t="shared" si="165"/>
        <v>0</v>
      </c>
      <c r="AC1723" s="5"/>
      <c r="AD1723" s="5">
        <v>0</v>
      </c>
      <c r="AE1723" s="5">
        <f t="shared" si="166"/>
        <v>0</v>
      </c>
      <c r="AF1723" s="70">
        <v>0</v>
      </c>
      <c r="AG1723" s="135">
        <v>40809</v>
      </c>
      <c r="AH1723" s="161"/>
      <c r="AI1723" s="135" t="s">
        <v>4336</v>
      </c>
      <c r="AJ1723" s="176" t="s">
        <v>4337</v>
      </c>
      <c r="AK1723" s="178"/>
      <c r="AL1723" s="180" t="s">
        <v>4579</v>
      </c>
      <c r="AM1723" s="182" t="s">
        <v>4580</v>
      </c>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39"/>
      <c r="CE1723" s="138"/>
      <c r="CF1723" s="139"/>
      <c r="CG1723" s="138"/>
      <c r="CH1723" s="139"/>
      <c r="CI1723" s="138"/>
      <c r="CJ1723" s="72"/>
      <c r="CK1723" s="139"/>
      <c r="CL1723" s="71"/>
      <c r="CM1723" s="139"/>
      <c r="CN1723" s="138"/>
      <c r="CO1723" s="138"/>
      <c r="CP1723" s="138"/>
      <c r="CQ1723" s="139"/>
      <c r="CR1723" s="138"/>
      <c r="CS1723" s="45"/>
      <c r="CT1723" s="138"/>
      <c r="CU1723" s="45"/>
      <c r="CV1723" s="99">
        <f t="shared" si="161"/>
        <v>0</v>
      </c>
      <c r="CW1723" s="139"/>
      <c r="CX1723" s="138"/>
      <c r="CY1723" s="138"/>
      <c r="CZ1723" s="138"/>
      <c r="DA1723" s="139"/>
      <c r="DB1723" s="138"/>
      <c r="DC1723" s="45"/>
      <c r="DD1723" s="138"/>
      <c r="DE1723" s="45"/>
      <c r="DF1723" s="46"/>
    </row>
    <row r="1724" spans="1:110" s="42" customFormat="1" ht="48" x14ac:dyDescent="0.2">
      <c r="A1724" s="89">
        <v>40724</v>
      </c>
      <c r="B1724" s="145" t="s">
        <v>4344</v>
      </c>
      <c r="C1724" s="145" t="s">
        <v>4515</v>
      </c>
      <c r="D1724" s="145" t="s">
        <v>3346</v>
      </c>
      <c r="E1724" s="90" t="str">
        <f>VLOOKUP(B1724&amp;C1724,Divipola!$C$2:$F$1138,4,FALSE)</f>
        <v>25736</v>
      </c>
      <c r="F1724" s="145"/>
      <c r="G1724" s="164"/>
      <c r="H1724" s="164"/>
      <c r="I1724" s="164"/>
      <c r="J1724" s="164">
        <v>135</v>
      </c>
      <c r="K1724" s="164">
        <v>45</v>
      </c>
      <c r="L1724" s="164"/>
      <c r="M1724" s="164"/>
      <c r="N1724" s="164"/>
      <c r="O1724" s="164"/>
      <c r="P1724" s="164"/>
      <c r="Q1724" s="164"/>
      <c r="R1724" s="164"/>
      <c r="S1724" s="164"/>
      <c r="T1724" s="164"/>
      <c r="U1724" s="164"/>
      <c r="V1724" s="164">
        <v>916.80000000000007</v>
      </c>
      <c r="W1724" s="173"/>
      <c r="X1724" s="17"/>
      <c r="Y1724" s="5">
        <f t="shared" si="162"/>
        <v>0</v>
      </c>
      <c r="Z1724" s="5">
        <f t="shared" si="163"/>
        <v>0</v>
      </c>
      <c r="AA1724" s="5">
        <f t="shared" si="164"/>
        <v>0</v>
      </c>
      <c r="AB1724" s="5">
        <f t="shared" si="165"/>
        <v>0</v>
      </c>
      <c r="AC1724" s="5"/>
      <c r="AD1724" s="5">
        <v>0</v>
      </c>
      <c r="AE1724" s="5">
        <f t="shared" si="166"/>
        <v>0</v>
      </c>
      <c r="AF1724" s="70">
        <v>0</v>
      </c>
      <c r="AG1724" s="135">
        <v>40809</v>
      </c>
      <c r="AH1724" s="161"/>
      <c r="AI1724" s="135" t="s">
        <v>4336</v>
      </c>
      <c r="AJ1724" s="176" t="s">
        <v>4337</v>
      </c>
      <c r="AK1724" s="178"/>
      <c r="AL1724" s="180" t="s">
        <v>4579</v>
      </c>
      <c r="AM1724" s="182" t="s">
        <v>4580</v>
      </c>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39"/>
      <c r="CE1724" s="138"/>
      <c r="CF1724" s="139"/>
      <c r="CG1724" s="138"/>
      <c r="CH1724" s="139"/>
      <c r="CI1724" s="138"/>
      <c r="CJ1724" s="72"/>
      <c r="CK1724" s="139"/>
      <c r="CL1724" s="71"/>
      <c r="CM1724" s="139"/>
      <c r="CN1724" s="138"/>
      <c r="CO1724" s="138"/>
      <c r="CP1724" s="138"/>
      <c r="CQ1724" s="139"/>
      <c r="CR1724" s="138"/>
      <c r="CS1724" s="45"/>
      <c r="CT1724" s="138"/>
      <c r="CU1724" s="45"/>
      <c r="CV1724" s="99">
        <f t="shared" si="161"/>
        <v>0</v>
      </c>
      <c r="CW1724" s="139"/>
      <c r="CX1724" s="138"/>
      <c r="CY1724" s="138"/>
      <c r="CZ1724" s="138"/>
      <c r="DA1724" s="139"/>
      <c r="DB1724" s="138"/>
      <c r="DC1724" s="45"/>
      <c r="DD1724" s="138"/>
      <c r="DE1724" s="45"/>
      <c r="DF1724" s="46"/>
    </row>
    <row r="1725" spans="1:110" s="42" customFormat="1" x14ac:dyDescent="0.2">
      <c r="A1725" s="89">
        <v>40724</v>
      </c>
      <c r="B1725" s="16" t="s">
        <v>4344</v>
      </c>
      <c r="C1725" s="90" t="s">
        <v>3448</v>
      </c>
      <c r="D1725" s="90" t="s">
        <v>4264</v>
      </c>
      <c r="E1725" s="90" t="str">
        <f>VLOOKUP(B1725&amp;C1725,Divipola!$C$2:$F$1138,4,FALSE)</f>
        <v>25740</v>
      </c>
      <c r="F1725" s="4"/>
      <c r="G1725" s="208"/>
      <c r="H1725" s="208"/>
      <c r="I1725" s="208"/>
      <c r="J1725" s="208">
        <v>162</v>
      </c>
      <c r="K1725" s="208">
        <v>47</v>
      </c>
      <c r="L1725" s="208"/>
      <c r="M1725" s="208">
        <v>47</v>
      </c>
      <c r="N1725" s="208"/>
      <c r="O1725" s="208"/>
      <c r="P1725" s="208"/>
      <c r="Q1725" s="208"/>
      <c r="R1725" s="208"/>
      <c r="S1725" s="208"/>
      <c r="T1725" s="208"/>
      <c r="U1725" s="208"/>
      <c r="V1725" s="208"/>
      <c r="W1725" s="19"/>
      <c r="X1725" s="17"/>
      <c r="Y1725" s="5">
        <f t="shared" si="162"/>
        <v>0</v>
      </c>
      <c r="Z1725" s="5">
        <f t="shared" si="163"/>
        <v>0</v>
      </c>
      <c r="AA1725" s="5">
        <f t="shared" si="164"/>
        <v>0</v>
      </c>
      <c r="AB1725" s="5">
        <f t="shared" si="165"/>
        <v>0</v>
      </c>
      <c r="AC1725" s="5"/>
      <c r="AD1725" s="5">
        <v>0</v>
      </c>
      <c r="AE1725" s="5">
        <f t="shared" si="166"/>
        <v>0</v>
      </c>
      <c r="AF1725" s="70">
        <v>0</v>
      </c>
      <c r="AG1725" s="17"/>
      <c r="AH1725" s="18"/>
      <c r="AI1725" s="47" t="s">
        <v>4336</v>
      </c>
      <c r="AJ1725" s="73" t="s">
        <v>4337</v>
      </c>
      <c r="AK1725" s="45"/>
      <c r="AL1725" s="17"/>
      <c r="AM1725" s="20" t="s">
        <v>18</v>
      </c>
      <c r="AN1725" s="19"/>
      <c r="AO1725" s="19"/>
      <c r="AP1725" s="19"/>
      <c r="AQ1725" s="19"/>
      <c r="AR1725" s="19"/>
      <c r="AS1725" s="19"/>
      <c r="AT1725" s="19"/>
      <c r="AU1725" s="19"/>
      <c r="AV1725" s="19"/>
      <c r="AW1725" s="19"/>
      <c r="AX1725" s="107"/>
      <c r="AY1725" s="107"/>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39"/>
      <c r="CO1725" s="138"/>
      <c r="CP1725" s="139"/>
      <c r="CQ1725" s="138"/>
      <c r="CR1725" s="139"/>
      <c r="CS1725" s="138"/>
      <c r="CT1725" s="72"/>
      <c r="CU1725" s="139"/>
      <c r="CV1725" s="99">
        <f t="shared" si="161"/>
        <v>0</v>
      </c>
      <c r="CW1725" s="139"/>
      <c r="CX1725" s="138"/>
      <c r="CY1725" s="138"/>
      <c r="CZ1725" s="138"/>
      <c r="DA1725" s="139"/>
      <c r="DB1725" s="138"/>
      <c r="DC1725" s="45"/>
      <c r="DD1725" s="138"/>
      <c r="DE1725" s="45"/>
      <c r="DF1725" s="46"/>
    </row>
    <row r="1726" spans="1:110" s="42" customFormat="1" ht="48" x14ac:dyDescent="0.2">
      <c r="A1726" s="89">
        <v>40724</v>
      </c>
      <c r="B1726" s="145" t="s">
        <v>4344</v>
      </c>
      <c r="C1726" s="145" t="s">
        <v>3448</v>
      </c>
      <c r="D1726" s="145" t="s">
        <v>3346</v>
      </c>
      <c r="E1726" s="90" t="str">
        <f>VLOOKUP(B1726&amp;C1726,Divipola!$C$2:$F$1138,4,FALSE)</f>
        <v>25740</v>
      </c>
      <c r="F1726" s="145"/>
      <c r="G1726" s="164"/>
      <c r="H1726" s="164"/>
      <c r="I1726" s="164"/>
      <c r="J1726" s="164">
        <v>87</v>
      </c>
      <c r="K1726" s="164">
        <v>29</v>
      </c>
      <c r="L1726" s="164"/>
      <c r="M1726" s="164"/>
      <c r="N1726" s="164"/>
      <c r="O1726" s="164"/>
      <c r="P1726" s="164"/>
      <c r="Q1726" s="164"/>
      <c r="R1726" s="164"/>
      <c r="S1726" s="164"/>
      <c r="T1726" s="164"/>
      <c r="U1726" s="164"/>
      <c r="V1726" s="164">
        <v>253.98</v>
      </c>
      <c r="W1726" s="173"/>
      <c r="X1726" s="17"/>
      <c r="Y1726" s="5">
        <f t="shared" si="162"/>
        <v>0</v>
      </c>
      <c r="Z1726" s="5">
        <f t="shared" si="163"/>
        <v>0</v>
      </c>
      <c r="AA1726" s="5">
        <f t="shared" si="164"/>
        <v>0</v>
      </c>
      <c r="AB1726" s="5">
        <f t="shared" si="165"/>
        <v>0</v>
      </c>
      <c r="AC1726" s="5"/>
      <c r="AD1726" s="5">
        <v>0</v>
      </c>
      <c r="AE1726" s="5">
        <f t="shared" si="166"/>
        <v>0</v>
      </c>
      <c r="AF1726" s="70">
        <v>0</v>
      </c>
      <c r="AG1726" s="135">
        <v>40809</v>
      </c>
      <c r="AH1726" s="161"/>
      <c r="AI1726" s="135" t="s">
        <v>4336</v>
      </c>
      <c r="AJ1726" s="176" t="s">
        <v>4337</v>
      </c>
      <c r="AK1726" s="178"/>
      <c r="AL1726" s="180" t="s">
        <v>4579</v>
      </c>
      <c r="AM1726" s="182" t="s">
        <v>4580</v>
      </c>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39"/>
      <c r="CE1726" s="138"/>
      <c r="CF1726" s="139"/>
      <c r="CG1726" s="138"/>
      <c r="CH1726" s="139"/>
      <c r="CI1726" s="138"/>
      <c r="CJ1726" s="72"/>
      <c r="CK1726" s="139"/>
      <c r="CL1726" s="71"/>
      <c r="CM1726" s="139"/>
      <c r="CN1726" s="138"/>
      <c r="CO1726" s="138"/>
      <c r="CP1726" s="138"/>
      <c r="CQ1726" s="139"/>
      <c r="CR1726" s="138"/>
      <c r="CS1726" s="45"/>
      <c r="CT1726" s="138"/>
      <c r="CU1726" s="45"/>
      <c r="CV1726" s="99">
        <f t="shared" si="161"/>
        <v>0</v>
      </c>
      <c r="CW1726" s="139"/>
      <c r="CX1726" s="138"/>
      <c r="CY1726" s="138"/>
      <c r="CZ1726" s="138"/>
      <c r="DA1726" s="139"/>
      <c r="DB1726" s="138"/>
      <c r="DC1726" s="45"/>
      <c r="DD1726" s="138"/>
      <c r="DE1726" s="45"/>
      <c r="DF1726" s="46"/>
    </row>
    <row r="1727" spans="1:110" s="42" customFormat="1" x14ac:dyDescent="0.2">
      <c r="A1727" s="89">
        <v>40724</v>
      </c>
      <c r="B1727" s="16" t="s">
        <v>4344</v>
      </c>
      <c r="C1727" s="4" t="s">
        <v>1797</v>
      </c>
      <c r="D1727" s="90" t="s">
        <v>4264</v>
      </c>
      <c r="E1727" s="90" t="str">
        <f>VLOOKUP(B1727&amp;C1727,Divipola!$C$2:$F$1138,4,FALSE)</f>
        <v>25743</v>
      </c>
      <c r="F1727" s="4"/>
      <c r="G1727" s="208"/>
      <c r="H1727" s="208"/>
      <c r="I1727" s="208"/>
      <c r="J1727" s="208">
        <v>639</v>
      </c>
      <c r="K1727" s="208">
        <v>150</v>
      </c>
      <c r="L1727" s="208"/>
      <c r="M1727" s="208">
        <v>150</v>
      </c>
      <c r="N1727" s="208"/>
      <c r="O1727" s="208"/>
      <c r="P1727" s="208"/>
      <c r="Q1727" s="208"/>
      <c r="R1727" s="208"/>
      <c r="S1727" s="208"/>
      <c r="T1727" s="208"/>
      <c r="U1727" s="208"/>
      <c r="V1727" s="208"/>
      <c r="W1727" s="19"/>
      <c r="X1727" s="17"/>
      <c r="Y1727" s="5">
        <f t="shared" si="162"/>
        <v>0</v>
      </c>
      <c r="Z1727" s="5">
        <f t="shared" si="163"/>
        <v>0</v>
      </c>
      <c r="AA1727" s="5">
        <f t="shared" si="164"/>
        <v>0</v>
      </c>
      <c r="AB1727" s="5">
        <f t="shared" si="165"/>
        <v>0</v>
      </c>
      <c r="AC1727" s="5"/>
      <c r="AD1727" s="5">
        <v>0</v>
      </c>
      <c r="AE1727" s="5">
        <f t="shared" si="166"/>
        <v>0</v>
      </c>
      <c r="AF1727" s="70">
        <v>0</v>
      </c>
      <c r="AG1727" s="17"/>
      <c r="AH1727" s="18"/>
      <c r="AI1727" s="47" t="s">
        <v>4336</v>
      </c>
      <c r="AJ1727" s="73" t="s">
        <v>4337</v>
      </c>
      <c r="AK1727" s="45"/>
      <c r="AL1727" s="17"/>
      <c r="AM1727" s="20" t="s">
        <v>18</v>
      </c>
      <c r="AN1727" s="19"/>
      <c r="AO1727" s="19"/>
      <c r="AP1727" s="19"/>
      <c r="AQ1727" s="19"/>
      <c r="AR1727" s="19"/>
      <c r="AS1727" s="19"/>
      <c r="AT1727" s="19"/>
      <c r="AU1727" s="19"/>
      <c r="AV1727" s="19"/>
      <c r="AW1727" s="19"/>
      <c r="AX1727" s="107"/>
      <c r="AY1727" s="107"/>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39"/>
      <c r="CO1727" s="138"/>
      <c r="CP1727" s="139"/>
      <c r="CQ1727" s="138"/>
      <c r="CR1727" s="139"/>
      <c r="CS1727" s="138"/>
      <c r="CT1727" s="72"/>
      <c r="CU1727" s="139"/>
      <c r="CV1727" s="99">
        <f t="shared" si="161"/>
        <v>0</v>
      </c>
      <c r="CW1727" s="139"/>
      <c r="CX1727" s="138"/>
      <c r="CY1727" s="138"/>
      <c r="CZ1727" s="138"/>
      <c r="DA1727" s="139"/>
      <c r="DB1727" s="138"/>
      <c r="DC1727" s="45"/>
      <c r="DD1727" s="138"/>
      <c r="DE1727" s="45"/>
      <c r="DF1727" s="46"/>
    </row>
    <row r="1728" spans="1:110" s="42" customFormat="1" ht="48" x14ac:dyDescent="0.2">
      <c r="A1728" s="89">
        <v>40724</v>
      </c>
      <c r="B1728" s="145" t="s">
        <v>4344</v>
      </c>
      <c r="C1728" s="145" t="s">
        <v>1797</v>
      </c>
      <c r="D1728" s="145" t="s">
        <v>3346</v>
      </c>
      <c r="E1728" s="90" t="str">
        <f>VLOOKUP(B1728&amp;C1728,Divipola!$C$2:$F$1138,4,FALSE)</f>
        <v>25743</v>
      </c>
      <c r="F1728" s="145"/>
      <c r="G1728" s="164"/>
      <c r="H1728" s="164"/>
      <c r="I1728" s="164"/>
      <c r="J1728" s="164">
        <v>2895</v>
      </c>
      <c r="K1728" s="164">
        <v>965</v>
      </c>
      <c r="L1728" s="164"/>
      <c r="M1728" s="164"/>
      <c r="N1728" s="164"/>
      <c r="O1728" s="164"/>
      <c r="P1728" s="164"/>
      <c r="Q1728" s="164"/>
      <c r="R1728" s="164"/>
      <c r="S1728" s="164"/>
      <c r="T1728" s="164"/>
      <c r="U1728" s="164"/>
      <c r="V1728" s="164">
        <v>2751.6099999999992</v>
      </c>
      <c r="W1728" s="173"/>
      <c r="X1728" s="17"/>
      <c r="Y1728" s="5">
        <f t="shared" si="162"/>
        <v>0</v>
      </c>
      <c r="Z1728" s="5">
        <f t="shared" si="163"/>
        <v>0</v>
      </c>
      <c r="AA1728" s="5">
        <f t="shared" si="164"/>
        <v>0</v>
      </c>
      <c r="AB1728" s="5">
        <f t="shared" si="165"/>
        <v>0</v>
      </c>
      <c r="AC1728" s="5"/>
      <c r="AD1728" s="5">
        <v>0</v>
      </c>
      <c r="AE1728" s="5">
        <f t="shared" si="166"/>
        <v>0</v>
      </c>
      <c r="AF1728" s="70">
        <v>0</v>
      </c>
      <c r="AG1728" s="135">
        <v>40809</v>
      </c>
      <c r="AH1728" s="161"/>
      <c r="AI1728" s="135" t="s">
        <v>4336</v>
      </c>
      <c r="AJ1728" s="176" t="s">
        <v>4337</v>
      </c>
      <c r="AK1728" s="178"/>
      <c r="AL1728" s="180" t="s">
        <v>4579</v>
      </c>
      <c r="AM1728" s="182" t="s">
        <v>4580</v>
      </c>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39"/>
      <c r="CE1728" s="138"/>
      <c r="CF1728" s="139"/>
      <c r="CG1728" s="138"/>
      <c r="CH1728" s="139"/>
      <c r="CI1728" s="138"/>
      <c r="CJ1728" s="72"/>
      <c r="CK1728" s="139"/>
      <c r="CL1728" s="71"/>
      <c r="CM1728" s="139"/>
      <c r="CN1728" s="138"/>
      <c r="CO1728" s="138"/>
      <c r="CP1728" s="138"/>
      <c r="CQ1728" s="139"/>
      <c r="CR1728" s="138"/>
      <c r="CS1728" s="45"/>
      <c r="CT1728" s="138"/>
      <c r="CU1728" s="45"/>
      <c r="CV1728" s="99">
        <f t="shared" si="161"/>
        <v>0</v>
      </c>
      <c r="CW1728" s="139"/>
      <c r="CX1728" s="138"/>
      <c r="CY1728" s="138"/>
      <c r="CZ1728" s="138"/>
      <c r="DA1728" s="139"/>
      <c r="DB1728" s="138"/>
      <c r="DC1728" s="45"/>
      <c r="DD1728" s="138"/>
      <c r="DE1728" s="45"/>
      <c r="DF1728" s="46"/>
    </row>
    <row r="1729" spans="1:110" s="42" customFormat="1" ht="48" x14ac:dyDescent="0.2">
      <c r="A1729" s="89">
        <v>40724</v>
      </c>
      <c r="B1729" s="145" t="s">
        <v>4344</v>
      </c>
      <c r="C1729" s="145" t="s">
        <v>4273</v>
      </c>
      <c r="D1729" s="145" t="s">
        <v>3346</v>
      </c>
      <c r="E1729" s="90" t="str">
        <f>VLOOKUP(B1729&amp;C1729,Divipola!$C$2:$F$1138,4,FALSE)</f>
        <v>25745</v>
      </c>
      <c r="F1729" s="145"/>
      <c r="G1729" s="164"/>
      <c r="H1729" s="164"/>
      <c r="I1729" s="164"/>
      <c r="J1729" s="164">
        <v>1293</v>
      </c>
      <c r="K1729" s="164">
        <v>431</v>
      </c>
      <c r="L1729" s="164"/>
      <c r="M1729" s="164"/>
      <c r="N1729" s="164"/>
      <c r="O1729" s="164"/>
      <c r="P1729" s="164"/>
      <c r="Q1729" s="164"/>
      <c r="R1729" s="164"/>
      <c r="S1729" s="164"/>
      <c r="T1729" s="164"/>
      <c r="U1729" s="164"/>
      <c r="V1729" s="164">
        <v>2449.079999999999</v>
      </c>
      <c r="W1729" s="173"/>
      <c r="X1729" s="17"/>
      <c r="Y1729" s="5">
        <f t="shared" si="162"/>
        <v>0</v>
      </c>
      <c r="Z1729" s="5">
        <f t="shared" si="163"/>
        <v>0</v>
      </c>
      <c r="AA1729" s="5">
        <f t="shared" si="164"/>
        <v>0</v>
      </c>
      <c r="AB1729" s="5">
        <f t="shared" si="165"/>
        <v>0</v>
      </c>
      <c r="AC1729" s="5"/>
      <c r="AD1729" s="5">
        <v>0</v>
      </c>
      <c r="AE1729" s="5">
        <f t="shared" si="166"/>
        <v>0</v>
      </c>
      <c r="AF1729" s="70">
        <v>0</v>
      </c>
      <c r="AG1729" s="135">
        <v>40809</v>
      </c>
      <c r="AH1729" s="161"/>
      <c r="AI1729" s="135" t="s">
        <v>4336</v>
      </c>
      <c r="AJ1729" s="176" t="s">
        <v>4337</v>
      </c>
      <c r="AK1729" s="178"/>
      <c r="AL1729" s="180" t="s">
        <v>4579</v>
      </c>
      <c r="AM1729" s="182" t="s">
        <v>4580</v>
      </c>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39"/>
      <c r="CE1729" s="138"/>
      <c r="CF1729" s="139"/>
      <c r="CG1729" s="138"/>
      <c r="CH1729" s="139"/>
      <c r="CI1729" s="138"/>
      <c r="CJ1729" s="72"/>
      <c r="CK1729" s="139"/>
      <c r="CL1729" s="71"/>
      <c r="CM1729" s="139"/>
      <c r="CN1729" s="138"/>
      <c r="CO1729" s="138"/>
      <c r="CP1729" s="138"/>
      <c r="CQ1729" s="139"/>
      <c r="CR1729" s="138"/>
      <c r="CS1729" s="45"/>
      <c r="CT1729" s="138"/>
      <c r="CU1729" s="45"/>
      <c r="CV1729" s="99">
        <f t="shared" si="161"/>
        <v>0</v>
      </c>
      <c r="CW1729" s="139"/>
      <c r="CX1729" s="138"/>
      <c r="CY1729" s="138"/>
      <c r="CZ1729" s="138"/>
      <c r="DA1729" s="139"/>
      <c r="DB1729" s="138"/>
      <c r="DC1729" s="45"/>
      <c r="DD1729" s="138"/>
      <c r="DE1729" s="45"/>
      <c r="DF1729" s="46"/>
    </row>
    <row r="1730" spans="1:110" s="42" customFormat="1" ht="48" x14ac:dyDescent="0.2">
      <c r="A1730" s="89">
        <v>40724</v>
      </c>
      <c r="B1730" s="145" t="s">
        <v>4344</v>
      </c>
      <c r="C1730" s="145" t="s">
        <v>3295</v>
      </c>
      <c r="D1730" s="145" t="s">
        <v>3346</v>
      </c>
      <c r="E1730" s="90" t="str">
        <f>VLOOKUP(B1730&amp;C1730,Divipola!$C$2:$F$1138,4,FALSE)</f>
        <v>25754</v>
      </c>
      <c r="F1730" s="145"/>
      <c r="G1730" s="164"/>
      <c r="H1730" s="164"/>
      <c r="I1730" s="164"/>
      <c r="J1730" s="164">
        <v>405</v>
      </c>
      <c r="K1730" s="164">
        <v>135</v>
      </c>
      <c r="L1730" s="164"/>
      <c r="M1730" s="164"/>
      <c r="N1730" s="164"/>
      <c r="O1730" s="164"/>
      <c r="P1730" s="164"/>
      <c r="Q1730" s="164"/>
      <c r="R1730" s="164"/>
      <c r="S1730" s="164"/>
      <c r="T1730" s="164"/>
      <c r="U1730" s="164"/>
      <c r="V1730" s="164">
        <v>804.18000000000006</v>
      </c>
      <c r="W1730" s="173"/>
      <c r="X1730" s="17"/>
      <c r="Y1730" s="5">
        <f t="shared" si="162"/>
        <v>0</v>
      </c>
      <c r="Z1730" s="5">
        <f t="shared" si="163"/>
        <v>0</v>
      </c>
      <c r="AA1730" s="5">
        <f t="shared" si="164"/>
        <v>0</v>
      </c>
      <c r="AB1730" s="5">
        <f t="shared" si="165"/>
        <v>0</v>
      </c>
      <c r="AC1730" s="5"/>
      <c r="AD1730" s="5">
        <v>0</v>
      </c>
      <c r="AE1730" s="5">
        <f t="shared" si="166"/>
        <v>0</v>
      </c>
      <c r="AF1730" s="70">
        <v>0</v>
      </c>
      <c r="AG1730" s="135">
        <v>40809</v>
      </c>
      <c r="AH1730" s="161"/>
      <c r="AI1730" s="135" t="s">
        <v>4336</v>
      </c>
      <c r="AJ1730" s="176" t="s">
        <v>4337</v>
      </c>
      <c r="AK1730" s="178"/>
      <c r="AL1730" s="180" t="s">
        <v>4579</v>
      </c>
      <c r="AM1730" s="182" t="s">
        <v>4580</v>
      </c>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39"/>
      <c r="CE1730" s="138"/>
      <c r="CF1730" s="139"/>
      <c r="CG1730" s="138"/>
      <c r="CH1730" s="139"/>
      <c r="CI1730" s="138"/>
      <c r="CJ1730" s="72"/>
      <c r="CK1730" s="139"/>
      <c r="CL1730" s="71"/>
      <c r="CM1730" s="139"/>
      <c r="CN1730" s="138"/>
      <c r="CO1730" s="138"/>
      <c r="CP1730" s="138"/>
      <c r="CQ1730" s="139"/>
      <c r="CR1730" s="138"/>
      <c r="CS1730" s="45"/>
      <c r="CT1730" s="138"/>
      <c r="CU1730" s="45"/>
      <c r="CV1730" s="99">
        <f t="shared" si="161"/>
        <v>0</v>
      </c>
      <c r="CW1730" s="139"/>
      <c r="CX1730" s="138"/>
      <c r="CY1730" s="138"/>
      <c r="CZ1730" s="138"/>
      <c r="DA1730" s="139"/>
      <c r="DB1730" s="138"/>
      <c r="DC1730" s="45"/>
      <c r="DD1730" s="138"/>
      <c r="DE1730" s="45"/>
      <c r="DF1730" s="46"/>
    </row>
    <row r="1731" spans="1:110" s="42" customFormat="1" ht="48" x14ac:dyDescent="0.2">
      <c r="A1731" s="89">
        <v>40724</v>
      </c>
      <c r="B1731" s="145" t="s">
        <v>4344</v>
      </c>
      <c r="C1731" s="145" t="s">
        <v>3327</v>
      </c>
      <c r="D1731" s="145" t="s">
        <v>3346</v>
      </c>
      <c r="E1731" s="90" t="str">
        <f>VLOOKUP(B1731&amp;C1731,Divipola!$C$2:$F$1138,4,FALSE)</f>
        <v>25758</v>
      </c>
      <c r="F1731" s="145"/>
      <c r="G1731" s="164"/>
      <c r="H1731" s="164"/>
      <c r="I1731" s="164"/>
      <c r="J1731" s="164">
        <v>177</v>
      </c>
      <c r="K1731" s="164">
        <v>59</v>
      </c>
      <c r="L1731" s="164"/>
      <c r="M1731" s="164"/>
      <c r="N1731" s="164"/>
      <c r="O1731" s="164"/>
      <c r="P1731" s="164"/>
      <c r="Q1731" s="164"/>
      <c r="R1731" s="164"/>
      <c r="S1731" s="164"/>
      <c r="T1731" s="164"/>
      <c r="U1731" s="164"/>
      <c r="V1731" s="164">
        <v>893.5</v>
      </c>
      <c r="W1731" s="173"/>
      <c r="X1731" s="17"/>
      <c r="Y1731" s="5">
        <f t="shared" si="162"/>
        <v>0</v>
      </c>
      <c r="Z1731" s="5">
        <f t="shared" si="163"/>
        <v>0</v>
      </c>
      <c r="AA1731" s="5">
        <f t="shared" si="164"/>
        <v>0</v>
      </c>
      <c r="AB1731" s="5">
        <f t="shared" si="165"/>
        <v>0</v>
      </c>
      <c r="AC1731" s="5"/>
      <c r="AD1731" s="5">
        <v>0</v>
      </c>
      <c r="AE1731" s="5">
        <f t="shared" si="166"/>
        <v>0</v>
      </c>
      <c r="AF1731" s="70">
        <v>0</v>
      </c>
      <c r="AG1731" s="135">
        <v>40809</v>
      </c>
      <c r="AH1731" s="161"/>
      <c r="AI1731" s="135" t="s">
        <v>4336</v>
      </c>
      <c r="AJ1731" s="176" t="s">
        <v>4337</v>
      </c>
      <c r="AK1731" s="178"/>
      <c r="AL1731" s="180" t="s">
        <v>4579</v>
      </c>
      <c r="AM1731" s="182" t="s">
        <v>4580</v>
      </c>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39"/>
      <c r="CE1731" s="138"/>
      <c r="CF1731" s="139"/>
      <c r="CG1731" s="138"/>
      <c r="CH1731" s="139"/>
      <c r="CI1731" s="138"/>
      <c r="CJ1731" s="72"/>
      <c r="CK1731" s="139"/>
      <c r="CL1731" s="71"/>
      <c r="CM1731" s="139"/>
      <c r="CN1731" s="138"/>
      <c r="CO1731" s="138"/>
      <c r="CP1731" s="138"/>
      <c r="CQ1731" s="139"/>
      <c r="CR1731" s="138"/>
      <c r="CS1731" s="45"/>
      <c r="CT1731" s="138"/>
      <c r="CU1731" s="45"/>
      <c r="CV1731" s="99">
        <f t="shared" ref="CV1731:CV1794" si="167">AO1731+AQ1731+AS1731+AU1731+AW1731+AY1731+BA1731+BC1731+BE1731+BG1731+BI1731+BK1731+BM1731+BO1731+BQ1731+BS1731+BU1731+BW1731+BY1731+CA1731+CC1731+CE1731+CG1731+CI1731+CK1731+CM1731+CO1731+CQ1731+CS1731+CU1731</f>
        <v>0</v>
      </c>
      <c r="CW1731" s="139"/>
      <c r="CX1731" s="138"/>
      <c r="CY1731" s="138"/>
      <c r="CZ1731" s="138"/>
      <c r="DA1731" s="139"/>
      <c r="DB1731" s="138"/>
      <c r="DC1731" s="45"/>
      <c r="DD1731" s="138"/>
      <c r="DE1731" s="45"/>
      <c r="DF1731" s="46"/>
    </row>
    <row r="1732" spans="1:110" s="42" customFormat="1" ht="48" x14ac:dyDescent="0.2">
      <c r="A1732" s="89">
        <v>40724</v>
      </c>
      <c r="B1732" s="145" t="s">
        <v>4344</v>
      </c>
      <c r="C1732" s="145" t="s">
        <v>1804</v>
      </c>
      <c r="D1732" s="145" t="s">
        <v>3346</v>
      </c>
      <c r="E1732" s="90" t="str">
        <f>VLOOKUP(B1732&amp;C1732,Divipola!$C$2:$F$1138,4,FALSE)</f>
        <v>25769</v>
      </c>
      <c r="F1732" s="145"/>
      <c r="G1732" s="164"/>
      <c r="H1732" s="164"/>
      <c r="I1732" s="164"/>
      <c r="J1732" s="164">
        <v>75</v>
      </c>
      <c r="K1732" s="164">
        <v>25</v>
      </c>
      <c r="L1732" s="164"/>
      <c r="M1732" s="164"/>
      <c r="N1732" s="164"/>
      <c r="O1732" s="164"/>
      <c r="P1732" s="164"/>
      <c r="Q1732" s="164"/>
      <c r="R1732" s="164"/>
      <c r="S1732" s="164"/>
      <c r="T1732" s="164"/>
      <c r="U1732" s="164"/>
      <c r="V1732" s="164">
        <v>124.00000000000001</v>
      </c>
      <c r="W1732" s="173"/>
      <c r="X1732" s="17"/>
      <c r="Y1732" s="5">
        <f t="shared" si="162"/>
        <v>0</v>
      </c>
      <c r="Z1732" s="5">
        <f t="shared" si="163"/>
        <v>0</v>
      </c>
      <c r="AA1732" s="5">
        <f t="shared" si="164"/>
        <v>0</v>
      </c>
      <c r="AB1732" s="5">
        <f t="shared" si="165"/>
        <v>0</v>
      </c>
      <c r="AC1732" s="5"/>
      <c r="AD1732" s="5">
        <v>0</v>
      </c>
      <c r="AE1732" s="5">
        <f t="shared" si="166"/>
        <v>0</v>
      </c>
      <c r="AF1732" s="70">
        <v>0</v>
      </c>
      <c r="AG1732" s="135">
        <v>40809</v>
      </c>
      <c r="AH1732" s="161"/>
      <c r="AI1732" s="135" t="s">
        <v>4336</v>
      </c>
      <c r="AJ1732" s="176" t="s">
        <v>4337</v>
      </c>
      <c r="AK1732" s="178"/>
      <c r="AL1732" s="180" t="s">
        <v>4579</v>
      </c>
      <c r="AM1732" s="182" t="s">
        <v>4580</v>
      </c>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39"/>
      <c r="CE1732" s="138"/>
      <c r="CF1732" s="139"/>
      <c r="CG1732" s="138"/>
      <c r="CH1732" s="139"/>
      <c r="CI1732" s="138"/>
      <c r="CJ1732" s="72"/>
      <c r="CK1732" s="139"/>
      <c r="CL1732" s="71"/>
      <c r="CM1732" s="139"/>
      <c r="CN1732" s="138"/>
      <c r="CO1732" s="138"/>
      <c r="CP1732" s="138"/>
      <c r="CQ1732" s="139"/>
      <c r="CR1732" s="138"/>
      <c r="CS1732" s="45"/>
      <c r="CT1732" s="138"/>
      <c r="CU1732" s="45"/>
      <c r="CV1732" s="99">
        <f t="shared" si="167"/>
        <v>0</v>
      </c>
      <c r="CW1732" s="139"/>
      <c r="CX1732" s="138"/>
      <c r="CY1732" s="138"/>
      <c r="CZ1732" s="138"/>
      <c r="DA1732" s="139"/>
      <c r="DB1732" s="138"/>
      <c r="DC1732" s="45"/>
      <c r="DD1732" s="138"/>
      <c r="DE1732" s="45"/>
      <c r="DF1732" s="46"/>
    </row>
    <row r="1733" spans="1:110" s="42" customFormat="1" x14ac:dyDescent="0.2">
      <c r="A1733" s="89">
        <v>40724</v>
      </c>
      <c r="B1733" s="16" t="s">
        <v>4344</v>
      </c>
      <c r="C1733" s="90" t="s">
        <v>4516</v>
      </c>
      <c r="D1733" s="90" t="s">
        <v>4264</v>
      </c>
      <c r="E1733" s="90" t="str">
        <f>VLOOKUP(B1733&amp;C1733,Divipola!$C$2:$F$1138,4,FALSE)</f>
        <v>25772</v>
      </c>
      <c r="F1733" s="4"/>
      <c r="G1733" s="208"/>
      <c r="H1733" s="208"/>
      <c r="I1733" s="208"/>
      <c r="J1733" s="208">
        <v>125</v>
      </c>
      <c r="K1733" s="208">
        <v>90</v>
      </c>
      <c r="L1733" s="208"/>
      <c r="M1733" s="208">
        <v>90</v>
      </c>
      <c r="N1733" s="208"/>
      <c r="O1733" s="208"/>
      <c r="P1733" s="208"/>
      <c r="Q1733" s="208"/>
      <c r="R1733" s="208"/>
      <c r="S1733" s="208"/>
      <c r="T1733" s="208"/>
      <c r="U1733" s="208"/>
      <c r="V1733" s="208"/>
      <c r="W1733" s="19"/>
      <c r="X1733" s="17"/>
      <c r="Y1733" s="5">
        <f t="shared" si="162"/>
        <v>0</v>
      </c>
      <c r="Z1733" s="5">
        <f t="shared" si="163"/>
        <v>0</v>
      </c>
      <c r="AA1733" s="5">
        <f t="shared" si="164"/>
        <v>0</v>
      </c>
      <c r="AB1733" s="5">
        <f t="shared" si="165"/>
        <v>0</v>
      </c>
      <c r="AC1733" s="5"/>
      <c r="AD1733" s="5">
        <v>0</v>
      </c>
      <c r="AE1733" s="5">
        <f t="shared" si="166"/>
        <v>0</v>
      </c>
      <c r="AF1733" s="70">
        <v>0</v>
      </c>
      <c r="AG1733" s="17"/>
      <c r="AH1733" s="18"/>
      <c r="AI1733" s="47" t="s">
        <v>4336</v>
      </c>
      <c r="AJ1733" s="73" t="s">
        <v>4337</v>
      </c>
      <c r="AK1733" s="45"/>
      <c r="AL1733" s="17"/>
      <c r="AM1733" s="20" t="s">
        <v>18</v>
      </c>
      <c r="AN1733" s="19"/>
      <c r="AO1733" s="19"/>
      <c r="AP1733" s="19"/>
      <c r="AQ1733" s="19"/>
      <c r="AR1733" s="19"/>
      <c r="AS1733" s="19"/>
      <c r="AT1733" s="19"/>
      <c r="AU1733" s="19"/>
      <c r="AV1733" s="19"/>
      <c r="AW1733" s="19"/>
      <c r="AX1733" s="107"/>
      <c r="AY1733" s="107"/>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39"/>
      <c r="CO1733" s="138"/>
      <c r="CP1733" s="139"/>
      <c r="CQ1733" s="138"/>
      <c r="CR1733" s="139"/>
      <c r="CS1733" s="138"/>
      <c r="CT1733" s="72"/>
      <c r="CU1733" s="139"/>
      <c r="CV1733" s="99">
        <f t="shared" si="167"/>
        <v>0</v>
      </c>
      <c r="CW1733" s="139"/>
      <c r="CX1733" s="138"/>
      <c r="CY1733" s="138"/>
      <c r="CZ1733" s="138"/>
      <c r="DA1733" s="139"/>
      <c r="DB1733" s="138"/>
      <c r="DC1733" s="45"/>
      <c r="DD1733" s="138"/>
      <c r="DE1733" s="45"/>
      <c r="DF1733" s="46"/>
    </row>
    <row r="1734" spans="1:110" s="42" customFormat="1" ht="48" x14ac:dyDescent="0.2">
      <c r="A1734" s="89">
        <v>40724</v>
      </c>
      <c r="B1734" s="145" t="s">
        <v>4344</v>
      </c>
      <c r="C1734" s="145" t="s">
        <v>4516</v>
      </c>
      <c r="D1734" s="145" t="s">
        <v>3346</v>
      </c>
      <c r="E1734" s="90" t="str">
        <f>VLOOKUP(B1734&amp;C1734,Divipola!$C$2:$F$1138,4,FALSE)</f>
        <v>25772</v>
      </c>
      <c r="F1734" s="145"/>
      <c r="G1734" s="164"/>
      <c r="H1734" s="164"/>
      <c r="I1734" s="164"/>
      <c r="J1734" s="164">
        <v>93</v>
      </c>
      <c r="K1734" s="164">
        <v>31</v>
      </c>
      <c r="L1734" s="164"/>
      <c r="M1734" s="164"/>
      <c r="N1734" s="164"/>
      <c r="O1734" s="164"/>
      <c r="P1734" s="164"/>
      <c r="Q1734" s="164"/>
      <c r="R1734" s="164"/>
      <c r="S1734" s="164"/>
      <c r="T1734" s="164"/>
      <c r="U1734" s="164"/>
      <c r="V1734" s="164">
        <v>344</v>
      </c>
      <c r="W1734" s="173"/>
      <c r="X1734" s="17"/>
      <c r="Y1734" s="5">
        <f t="shared" si="162"/>
        <v>0</v>
      </c>
      <c r="Z1734" s="5">
        <f t="shared" si="163"/>
        <v>0</v>
      </c>
      <c r="AA1734" s="5">
        <f t="shared" si="164"/>
        <v>0</v>
      </c>
      <c r="AB1734" s="5">
        <f t="shared" si="165"/>
        <v>0</v>
      </c>
      <c r="AC1734" s="5"/>
      <c r="AD1734" s="5">
        <v>0</v>
      </c>
      <c r="AE1734" s="5">
        <f t="shared" si="166"/>
        <v>0</v>
      </c>
      <c r="AF1734" s="70">
        <v>0</v>
      </c>
      <c r="AG1734" s="135">
        <v>40809</v>
      </c>
      <c r="AH1734" s="161"/>
      <c r="AI1734" s="135" t="s">
        <v>4336</v>
      </c>
      <c r="AJ1734" s="176" t="s">
        <v>4337</v>
      </c>
      <c r="AK1734" s="178"/>
      <c r="AL1734" s="180" t="s">
        <v>4579</v>
      </c>
      <c r="AM1734" s="182" t="s">
        <v>4580</v>
      </c>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39"/>
      <c r="CE1734" s="138"/>
      <c r="CF1734" s="139"/>
      <c r="CG1734" s="138"/>
      <c r="CH1734" s="139"/>
      <c r="CI1734" s="138"/>
      <c r="CJ1734" s="72"/>
      <c r="CK1734" s="139"/>
      <c r="CL1734" s="71"/>
      <c r="CM1734" s="139"/>
      <c r="CN1734" s="138"/>
      <c r="CO1734" s="138"/>
      <c r="CP1734" s="138"/>
      <c r="CQ1734" s="139"/>
      <c r="CR1734" s="138"/>
      <c r="CS1734" s="45"/>
      <c r="CT1734" s="138"/>
      <c r="CU1734" s="45"/>
      <c r="CV1734" s="99">
        <f t="shared" si="167"/>
        <v>0</v>
      </c>
      <c r="CW1734" s="139"/>
      <c r="CX1734" s="138"/>
      <c r="CY1734" s="138"/>
      <c r="CZ1734" s="138"/>
      <c r="DA1734" s="139"/>
      <c r="DB1734" s="138"/>
      <c r="DC1734" s="45"/>
      <c r="DD1734" s="138"/>
      <c r="DE1734" s="45"/>
      <c r="DF1734" s="46"/>
    </row>
    <row r="1735" spans="1:110" s="42" customFormat="1" x14ac:dyDescent="0.2">
      <c r="A1735" s="89">
        <v>40724</v>
      </c>
      <c r="B1735" s="16" t="s">
        <v>4344</v>
      </c>
      <c r="C1735" s="90" t="s">
        <v>841</v>
      </c>
      <c r="D1735" s="90" t="s">
        <v>4264</v>
      </c>
      <c r="E1735" s="90" t="str">
        <f>VLOOKUP(B1735&amp;C1735,Divipola!$C$2:$F$1138,4,FALSE)</f>
        <v>25777</v>
      </c>
      <c r="F1735" s="4"/>
      <c r="G1735" s="208"/>
      <c r="H1735" s="208"/>
      <c r="I1735" s="208"/>
      <c r="J1735" s="208">
        <v>698</v>
      </c>
      <c r="K1735" s="208">
        <v>220</v>
      </c>
      <c r="L1735" s="208"/>
      <c r="M1735" s="208">
        <v>120</v>
      </c>
      <c r="N1735" s="208"/>
      <c r="O1735" s="208"/>
      <c r="P1735" s="208"/>
      <c r="Q1735" s="208"/>
      <c r="R1735" s="208"/>
      <c r="S1735" s="208"/>
      <c r="T1735" s="208"/>
      <c r="U1735" s="208"/>
      <c r="V1735" s="208"/>
      <c r="W1735" s="19"/>
      <c r="X1735" s="17"/>
      <c r="Y1735" s="5">
        <f t="shared" si="162"/>
        <v>0</v>
      </c>
      <c r="Z1735" s="5">
        <f t="shared" si="163"/>
        <v>0</v>
      </c>
      <c r="AA1735" s="5">
        <f t="shared" si="164"/>
        <v>0</v>
      </c>
      <c r="AB1735" s="5">
        <f t="shared" si="165"/>
        <v>0</v>
      </c>
      <c r="AC1735" s="5"/>
      <c r="AD1735" s="5">
        <v>0</v>
      </c>
      <c r="AE1735" s="5">
        <f t="shared" si="166"/>
        <v>0</v>
      </c>
      <c r="AF1735" s="70">
        <v>0</v>
      </c>
      <c r="AG1735" s="17"/>
      <c r="AH1735" s="18"/>
      <c r="AI1735" s="47" t="s">
        <v>4336</v>
      </c>
      <c r="AJ1735" s="73" t="s">
        <v>4337</v>
      </c>
      <c r="AK1735" s="45"/>
      <c r="AL1735" s="17"/>
      <c r="AM1735" s="20" t="s">
        <v>18</v>
      </c>
      <c r="AN1735" s="19"/>
      <c r="AO1735" s="19"/>
      <c r="AP1735" s="19"/>
      <c r="AQ1735" s="19"/>
      <c r="AR1735" s="19"/>
      <c r="AS1735" s="19"/>
      <c r="AT1735" s="19"/>
      <c r="AU1735" s="19"/>
      <c r="AV1735" s="19"/>
      <c r="AW1735" s="19"/>
      <c r="AX1735" s="107"/>
      <c r="AY1735" s="107"/>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39"/>
      <c r="CO1735" s="138"/>
      <c r="CP1735" s="139"/>
      <c r="CQ1735" s="138"/>
      <c r="CR1735" s="139"/>
      <c r="CS1735" s="138"/>
      <c r="CT1735" s="72"/>
      <c r="CU1735" s="139"/>
      <c r="CV1735" s="99">
        <f t="shared" si="167"/>
        <v>0</v>
      </c>
      <c r="CW1735" s="139"/>
      <c r="CX1735" s="138"/>
      <c r="CY1735" s="138"/>
      <c r="CZ1735" s="138"/>
      <c r="DA1735" s="139"/>
      <c r="DB1735" s="138"/>
      <c r="DC1735" s="45"/>
      <c r="DD1735" s="138"/>
      <c r="DE1735" s="45"/>
      <c r="DF1735" s="46">
        <v>1871</v>
      </c>
    </row>
    <row r="1736" spans="1:110" s="42" customFormat="1" ht="48" x14ac:dyDescent="0.2">
      <c r="A1736" s="89">
        <v>40724</v>
      </c>
      <c r="B1736" s="145" t="s">
        <v>4344</v>
      </c>
      <c r="C1736" s="145" t="s">
        <v>841</v>
      </c>
      <c r="D1736" s="145" t="s">
        <v>3346</v>
      </c>
      <c r="E1736" s="90" t="str">
        <f>VLOOKUP(B1736&amp;C1736,Divipola!$C$2:$F$1138,4,FALSE)</f>
        <v>25777</v>
      </c>
      <c r="F1736" s="145"/>
      <c r="G1736" s="164"/>
      <c r="H1736" s="164"/>
      <c r="I1736" s="164"/>
      <c r="J1736" s="164">
        <v>3246</v>
      </c>
      <c r="K1736" s="164">
        <v>1082</v>
      </c>
      <c r="L1736" s="164"/>
      <c r="M1736" s="164"/>
      <c r="N1736" s="164"/>
      <c r="O1736" s="164"/>
      <c r="P1736" s="164"/>
      <c r="Q1736" s="164"/>
      <c r="R1736" s="164"/>
      <c r="S1736" s="164"/>
      <c r="T1736" s="164"/>
      <c r="U1736" s="164"/>
      <c r="V1736" s="164">
        <v>979.99000000000103</v>
      </c>
      <c r="W1736" s="173"/>
      <c r="X1736" s="17"/>
      <c r="Y1736" s="5">
        <f t="shared" si="162"/>
        <v>0</v>
      </c>
      <c r="Z1736" s="5">
        <f t="shared" si="163"/>
        <v>0</v>
      </c>
      <c r="AA1736" s="5">
        <f t="shared" si="164"/>
        <v>0</v>
      </c>
      <c r="AB1736" s="5">
        <f t="shared" si="165"/>
        <v>0</v>
      </c>
      <c r="AC1736" s="5"/>
      <c r="AD1736" s="5">
        <v>0</v>
      </c>
      <c r="AE1736" s="5">
        <f t="shared" si="166"/>
        <v>0</v>
      </c>
      <c r="AF1736" s="70">
        <v>0</v>
      </c>
      <c r="AG1736" s="135">
        <v>40809</v>
      </c>
      <c r="AH1736" s="161"/>
      <c r="AI1736" s="135" t="s">
        <v>4336</v>
      </c>
      <c r="AJ1736" s="176" t="s">
        <v>4337</v>
      </c>
      <c r="AK1736" s="178"/>
      <c r="AL1736" s="180" t="s">
        <v>4579</v>
      </c>
      <c r="AM1736" s="182" t="s">
        <v>4580</v>
      </c>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39"/>
      <c r="CE1736" s="138"/>
      <c r="CF1736" s="139"/>
      <c r="CG1736" s="138"/>
      <c r="CH1736" s="139"/>
      <c r="CI1736" s="138"/>
      <c r="CJ1736" s="72"/>
      <c r="CK1736" s="139"/>
      <c r="CL1736" s="71"/>
      <c r="CM1736" s="139"/>
      <c r="CN1736" s="138"/>
      <c r="CO1736" s="138"/>
      <c r="CP1736" s="138"/>
      <c r="CQ1736" s="139"/>
      <c r="CR1736" s="138"/>
      <c r="CS1736" s="45"/>
      <c r="CT1736" s="138"/>
      <c r="CU1736" s="45"/>
      <c r="CV1736" s="99">
        <f t="shared" si="167"/>
        <v>0</v>
      </c>
      <c r="CW1736" s="139"/>
      <c r="CX1736" s="138"/>
      <c r="CY1736" s="138"/>
      <c r="CZ1736" s="138"/>
      <c r="DA1736" s="139"/>
      <c r="DB1736" s="138"/>
      <c r="DC1736" s="45"/>
      <c r="DD1736" s="138"/>
      <c r="DE1736" s="45"/>
      <c r="DF1736" s="46"/>
    </row>
    <row r="1737" spans="1:110" s="42" customFormat="1" ht="48" x14ac:dyDescent="0.2">
      <c r="A1737" s="89">
        <v>40724</v>
      </c>
      <c r="B1737" s="145" t="s">
        <v>4344</v>
      </c>
      <c r="C1737" s="145" t="s">
        <v>1809</v>
      </c>
      <c r="D1737" s="145" t="s">
        <v>3346</v>
      </c>
      <c r="E1737" s="90" t="str">
        <f>VLOOKUP(B1737&amp;C1737,Divipola!$C$2:$F$1138,4,FALSE)</f>
        <v>25779</v>
      </c>
      <c r="F1737" s="145"/>
      <c r="G1737" s="164"/>
      <c r="H1737" s="164"/>
      <c r="I1737" s="164"/>
      <c r="J1737" s="164">
        <v>1113</v>
      </c>
      <c r="K1737" s="164">
        <v>371</v>
      </c>
      <c r="L1737" s="164"/>
      <c r="M1737" s="164"/>
      <c r="N1737" s="164"/>
      <c r="O1737" s="164"/>
      <c r="P1737" s="164"/>
      <c r="Q1737" s="164"/>
      <c r="R1737" s="164"/>
      <c r="S1737" s="164"/>
      <c r="T1737" s="164"/>
      <c r="U1737" s="164"/>
      <c r="V1737" s="164">
        <v>1721.2919999999999</v>
      </c>
      <c r="W1737" s="173"/>
      <c r="X1737" s="17"/>
      <c r="Y1737" s="5">
        <f t="shared" si="162"/>
        <v>0</v>
      </c>
      <c r="Z1737" s="5">
        <f t="shared" si="163"/>
        <v>0</v>
      </c>
      <c r="AA1737" s="5">
        <f t="shared" si="164"/>
        <v>0</v>
      </c>
      <c r="AB1737" s="5">
        <f t="shared" si="165"/>
        <v>0</v>
      </c>
      <c r="AC1737" s="5"/>
      <c r="AD1737" s="5">
        <v>0</v>
      </c>
      <c r="AE1737" s="5">
        <f t="shared" si="166"/>
        <v>0</v>
      </c>
      <c r="AF1737" s="70">
        <v>0</v>
      </c>
      <c r="AG1737" s="135">
        <v>40809</v>
      </c>
      <c r="AH1737" s="161"/>
      <c r="AI1737" s="135" t="s">
        <v>4336</v>
      </c>
      <c r="AJ1737" s="176" t="s">
        <v>4337</v>
      </c>
      <c r="AK1737" s="178"/>
      <c r="AL1737" s="180" t="s">
        <v>4579</v>
      </c>
      <c r="AM1737" s="182" t="s">
        <v>4580</v>
      </c>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39"/>
      <c r="CE1737" s="138"/>
      <c r="CF1737" s="139"/>
      <c r="CG1737" s="138"/>
      <c r="CH1737" s="139"/>
      <c r="CI1737" s="138"/>
      <c r="CJ1737" s="72"/>
      <c r="CK1737" s="139"/>
      <c r="CL1737" s="71"/>
      <c r="CM1737" s="139"/>
      <c r="CN1737" s="138"/>
      <c r="CO1737" s="138"/>
      <c r="CP1737" s="138"/>
      <c r="CQ1737" s="139"/>
      <c r="CR1737" s="138"/>
      <c r="CS1737" s="45"/>
      <c r="CT1737" s="138"/>
      <c r="CU1737" s="45"/>
      <c r="CV1737" s="99">
        <f t="shared" si="167"/>
        <v>0</v>
      </c>
      <c r="CW1737" s="139"/>
      <c r="CX1737" s="138"/>
      <c r="CY1737" s="138"/>
      <c r="CZ1737" s="138"/>
      <c r="DA1737" s="139"/>
      <c r="DB1737" s="138"/>
      <c r="DC1737" s="45"/>
      <c r="DD1737" s="138"/>
      <c r="DE1737" s="45"/>
      <c r="DF1737" s="46"/>
    </row>
    <row r="1738" spans="1:110" s="42" customFormat="1" x14ac:dyDescent="0.2">
      <c r="A1738" s="89">
        <v>40724</v>
      </c>
      <c r="B1738" s="16" t="s">
        <v>4344</v>
      </c>
      <c r="C1738" s="90" t="s">
        <v>972</v>
      </c>
      <c r="D1738" s="90" t="s">
        <v>4264</v>
      </c>
      <c r="E1738" s="90" t="str">
        <f>VLOOKUP(B1738&amp;C1738,Divipola!$C$2:$F$1138,4,FALSE)</f>
        <v>25781</v>
      </c>
      <c r="F1738" s="4"/>
      <c r="G1738" s="208"/>
      <c r="H1738" s="208"/>
      <c r="I1738" s="208"/>
      <c r="J1738" s="208">
        <v>106</v>
      </c>
      <c r="K1738" s="208">
        <v>36</v>
      </c>
      <c r="L1738" s="208"/>
      <c r="M1738" s="208">
        <v>36</v>
      </c>
      <c r="N1738" s="208"/>
      <c r="O1738" s="208"/>
      <c r="P1738" s="208"/>
      <c r="Q1738" s="208"/>
      <c r="R1738" s="208"/>
      <c r="S1738" s="208"/>
      <c r="T1738" s="208"/>
      <c r="U1738" s="208"/>
      <c r="V1738" s="208"/>
      <c r="W1738" s="19"/>
      <c r="X1738" s="17"/>
      <c r="Y1738" s="5">
        <f t="shared" si="162"/>
        <v>0</v>
      </c>
      <c r="Z1738" s="5">
        <f t="shared" si="163"/>
        <v>0</v>
      </c>
      <c r="AA1738" s="5">
        <f t="shared" si="164"/>
        <v>0</v>
      </c>
      <c r="AB1738" s="5">
        <f t="shared" si="165"/>
        <v>0</v>
      </c>
      <c r="AC1738" s="5"/>
      <c r="AD1738" s="5">
        <v>0</v>
      </c>
      <c r="AE1738" s="5">
        <f t="shared" si="166"/>
        <v>0</v>
      </c>
      <c r="AF1738" s="70">
        <v>0</v>
      </c>
      <c r="AG1738" s="17"/>
      <c r="AH1738" s="18"/>
      <c r="AI1738" s="47" t="s">
        <v>4336</v>
      </c>
      <c r="AJ1738" s="73" t="s">
        <v>4337</v>
      </c>
      <c r="AK1738" s="45"/>
      <c r="AL1738" s="17"/>
      <c r="AM1738" s="20" t="s">
        <v>18</v>
      </c>
      <c r="AN1738" s="19"/>
      <c r="AO1738" s="19"/>
      <c r="AP1738" s="19"/>
      <c r="AQ1738" s="19"/>
      <c r="AR1738" s="19"/>
      <c r="AS1738" s="19"/>
      <c r="AT1738" s="19"/>
      <c r="AU1738" s="19"/>
      <c r="AV1738" s="19"/>
      <c r="AW1738" s="19"/>
      <c r="AX1738" s="107"/>
      <c r="AY1738" s="107"/>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39"/>
      <c r="CO1738" s="138"/>
      <c r="CP1738" s="139"/>
      <c r="CQ1738" s="138"/>
      <c r="CR1738" s="139"/>
      <c r="CS1738" s="138"/>
      <c r="CT1738" s="72"/>
      <c r="CU1738" s="139"/>
      <c r="CV1738" s="99">
        <f t="shared" si="167"/>
        <v>0</v>
      </c>
      <c r="CW1738" s="139"/>
      <c r="CX1738" s="138"/>
      <c r="CY1738" s="138"/>
      <c r="CZ1738" s="138"/>
      <c r="DA1738" s="139"/>
      <c r="DB1738" s="138"/>
      <c r="DC1738" s="45"/>
      <c r="DD1738" s="138"/>
      <c r="DE1738" s="45"/>
      <c r="DF1738" s="46"/>
    </row>
    <row r="1739" spans="1:110" s="42" customFormat="1" ht="48" x14ac:dyDescent="0.2">
      <c r="A1739" s="89">
        <v>40724</v>
      </c>
      <c r="B1739" s="145" t="s">
        <v>4344</v>
      </c>
      <c r="C1739" s="145" t="s">
        <v>972</v>
      </c>
      <c r="D1739" s="145" t="s">
        <v>3346</v>
      </c>
      <c r="E1739" s="90" t="str">
        <f>VLOOKUP(B1739&amp;C1739,Divipola!$C$2:$F$1138,4,FALSE)</f>
        <v>25781</v>
      </c>
      <c r="F1739" s="145"/>
      <c r="G1739" s="164"/>
      <c r="H1739" s="164"/>
      <c r="I1739" s="164"/>
      <c r="J1739" s="164">
        <v>114</v>
      </c>
      <c r="K1739" s="164">
        <v>38</v>
      </c>
      <c r="L1739" s="164"/>
      <c r="M1739" s="164"/>
      <c r="N1739" s="164"/>
      <c r="O1739" s="164"/>
      <c r="P1739" s="164"/>
      <c r="Q1739" s="164"/>
      <c r="R1739" s="164"/>
      <c r="S1739" s="164"/>
      <c r="T1739" s="164"/>
      <c r="U1739" s="164"/>
      <c r="V1739" s="164">
        <v>397.34000000000003</v>
      </c>
      <c r="W1739" s="173"/>
      <c r="X1739" s="17"/>
      <c r="Y1739" s="5">
        <f t="shared" si="162"/>
        <v>0</v>
      </c>
      <c r="Z1739" s="5">
        <f t="shared" si="163"/>
        <v>0</v>
      </c>
      <c r="AA1739" s="5">
        <f t="shared" si="164"/>
        <v>0</v>
      </c>
      <c r="AB1739" s="5">
        <f t="shared" si="165"/>
        <v>0</v>
      </c>
      <c r="AC1739" s="5"/>
      <c r="AD1739" s="5">
        <v>0</v>
      </c>
      <c r="AE1739" s="5">
        <f t="shared" si="166"/>
        <v>0</v>
      </c>
      <c r="AF1739" s="70">
        <v>0</v>
      </c>
      <c r="AG1739" s="135">
        <v>40809</v>
      </c>
      <c r="AH1739" s="161"/>
      <c r="AI1739" s="135" t="s">
        <v>4336</v>
      </c>
      <c r="AJ1739" s="176" t="s">
        <v>4337</v>
      </c>
      <c r="AK1739" s="178"/>
      <c r="AL1739" s="180" t="s">
        <v>4579</v>
      </c>
      <c r="AM1739" s="182" t="s">
        <v>4580</v>
      </c>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39"/>
      <c r="CE1739" s="138"/>
      <c r="CF1739" s="139"/>
      <c r="CG1739" s="138"/>
      <c r="CH1739" s="139"/>
      <c r="CI1739" s="138"/>
      <c r="CJ1739" s="72"/>
      <c r="CK1739" s="139"/>
      <c r="CL1739" s="71"/>
      <c r="CM1739" s="139"/>
      <c r="CN1739" s="138"/>
      <c r="CO1739" s="138"/>
      <c r="CP1739" s="138"/>
      <c r="CQ1739" s="139"/>
      <c r="CR1739" s="138"/>
      <c r="CS1739" s="45"/>
      <c r="CT1739" s="138"/>
      <c r="CU1739" s="45"/>
      <c r="CV1739" s="99">
        <f t="shared" si="167"/>
        <v>0</v>
      </c>
      <c r="CW1739" s="139"/>
      <c r="CX1739" s="138"/>
      <c r="CY1739" s="138"/>
      <c r="CZ1739" s="138"/>
      <c r="DA1739" s="139"/>
      <c r="DB1739" s="138"/>
      <c r="DC1739" s="45"/>
      <c r="DD1739" s="138"/>
      <c r="DE1739" s="45"/>
      <c r="DF1739" s="46"/>
    </row>
    <row r="1740" spans="1:110" s="42" customFormat="1" ht="48" x14ac:dyDescent="0.2">
      <c r="A1740" s="89">
        <v>40724</v>
      </c>
      <c r="B1740" s="145" t="s">
        <v>4344</v>
      </c>
      <c r="C1740" s="145" t="s">
        <v>3391</v>
      </c>
      <c r="D1740" s="145" t="s">
        <v>3346</v>
      </c>
      <c r="E1740" s="90" t="str">
        <f>VLOOKUP(B1740&amp;C1740,Divipola!$C$2:$F$1138,4,FALSE)</f>
        <v>25785</v>
      </c>
      <c r="F1740" s="145"/>
      <c r="G1740" s="164"/>
      <c r="H1740" s="164"/>
      <c r="I1740" s="164"/>
      <c r="J1740" s="164">
        <v>120</v>
      </c>
      <c r="K1740" s="164">
        <v>40</v>
      </c>
      <c r="L1740" s="164"/>
      <c r="M1740" s="164"/>
      <c r="N1740" s="164"/>
      <c r="O1740" s="164"/>
      <c r="P1740" s="164"/>
      <c r="Q1740" s="164"/>
      <c r="R1740" s="164"/>
      <c r="S1740" s="164"/>
      <c r="T1740" s="164"/>
      <c r="U1740" s="164"/>
      <c r="V1740" s="164">
        <v>232.6</v>
      </c>
      <c r="W1740" s="173"/>
      <c r="X1740" s="17"/>
      <c r="Y1740" s="5">
        <f t="shared" si="162"/>
        <v>0</v>
      </c>
      <c r="Z1740" s="5">
        <f t="shared" si="163"/>
        <v>0</v>
      </c>
      <c r="AA1740" s="5">
        <f t="shared" si="164"/>
        <v>0</v>
      </c>
      <c r="AB1740" s="5">
        <f t="shared" si="165"/>
        <v>0</v>
      </c>
      <c r="AC1740" s="5"/>
      <c r="AD1740" s="5">
        <v>0</v>
      </c>
      <c r="AE1740" s="5">
        <f t="shared" si="166"/>
        <v>0</v>
      </c>
      <c r="AF1740" s="70">
        <v>0</v>
      </c>
      <c r="AG1740" s="135">
        <v>40809</v>
      </c>
      <c r="AH1740" s="161"/>
      <c r="AI1740" s="135" t="s">
        <v>4336</v>
      </c>
      <c r="AJ1740" s="176" t="s">
        <v>4337</v>
      </c>
      <c r="AK1740" s="178"/>
      <c r="AL1740" s="180" t="s">
        <v>4579</v>
      </c>
      <c r="AM1740" s="182" t="s">
        <v>4580</v>
      </c>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39"/>
      <c r="CE1740" s="138"/>
      <c r="CF1740" s="139"/>
      <c r="CG1740" s="138"/>
      <c r="CH1740" s="139"/>
      <c r="CI1740" s="138"/>
      <c r="CJ1740" s="72"/>
      <c r="CK1740" s="139"/>
      <c r="CL1740" s="71"/>
      <c r="CM1740" s="139"/>
      <c r="CN1740" s="138"/>
      <c r="CO1740" s="138"/>
      <c r="CP1740" s="138"/>
      <c r="CQ1740" s="139"/>
      <c r="CR1740" s="138"/>
      <c r="CS1740" s="45"/>
      <c r="CT1740" s="138"/>
      <c r="CU1740" s="45"/>
      <c r="CV1740" s="99">
        <f t="shared" si="167"/>
        <v>0</v>
      </c>
      <c r="CW1740" s="139"/>
      <c r="CX1740" s="138"/>
      <c r="CY1740" s="138"/>
      <c r="CZ1740" s="138"/>
      <c r="DA1740" s="139"/>
      <c r="DB1740" s="138"/>
      <c r="DC1740" s="45"/>
      <c r="DD1740" s="138"/>
      <c r="DE1740" s="45"/>
      <c r="DF1740" s="46"/>
    </row>
    <row r="1741" spans="1:110" s="42" customFormat="1" x14ac:dyDescent="0.2">
      <c r="A1741" s="89">
        <v>40724</v>
      </c>
      <c r="B1741" s="16" t="s">
        <v>4344</v>
      </c>
      <c r="C1741" s="16" t="s">
        <v>1814</v>
      </c>
      <c r="D1741" s="90" t="s">
        <v>4264</v>
      </c>
      <c r="E1741" s="90" t="str">
        <f>VLOOKUP(B1741&amp;C1741,Divipola!$C$2:$F$1138,4,FALSE)</f>
        <v>25793</v>
      </c>
      <c r="F1741" s="4"/>
      <c r="G1741" s="208"/>
      <c r="H1741" s="208"/>
      <c r="I1741" s="208"/>
      <c r="J1741" s="208">
        <v>458</v>
      </c>
      <c r="K1741" s="208">
        <v>132</v>
      </c>
      <c r="L1741" s="208"/>
      <c r="M1741" s="208">
        <v>132</v>
      </c>
      <c r="N1741" s="208"/>
      <c r="O1741" s="208"/>
      <c r="P1741" s="208"/>
      <c r="Q1741" s="208"/>
      <c r="R1741" s="208"/>
      <c r="S1741" s="208"/>
      <c r="T1741" s="208"/>
      <c r="U1741" s="208"/>
      <c r="V1741" s="208"/>
      <c r="W1741" s="19"/>
      <c r="X1741" s="17"/>
      <c r="Y1741" s="5">
        <f t="shared" si="162"/>
        <v>0</v>
      </c>
      <c r="Z1741" s="5">
        <f t="shared" si="163"/>
        <v>0</v>
      </c>
      <c r="AA1741" s="5">
        <f t="shared" si="164"/>
        <v>0</v>
      </c>
      <c r="AB1741" s="5">
        <f t="shared" si="165"/>
        <v>0</v>
      </c>
      <c r="AC1741" s="5"/>
      <c r="AD1741" s="5">
        <v>0</v>
      </c>
      <c r="AE1741" s="5">
        <f t="shared" si="166"/>
        <v>0</v>
      </c>
      <c r="AF1741" s="70">
        <v>0</v>
      </c>
      <c r="AG1741" s="17"/>
      <c r="AH1741" s="18"/>
      <c r="AI1741" s="47" t="s">
        <v>4336</v>
      </c>
      <c r="AJ1741" s="73" t="s">
        <v>4337</v>
      </c>
      <c r="AK1741" s="45"/>
      <c r="AL1741" s="17"/>
      <c r="AM1741" s="20" t="s">
        <v>18</v>
      </c>
      <c r="AN1741" s="19"/>
      <c r="AO1741" s="19"/>
      <c r="AP1741" s="19"/>
      <c r="AQ1741" s="19"/>
      <c r="AR1741" s="19"/>
      <c r="AS1741" s="19"/>
      <c r="AT1741" s="19"/>
      <c r="AU1741" s="19"/>
      <c r="AV1741" s="19"/>
      <c r="AW1741" s="19"/>
      <c r="AX1741" s="107"/>
      <c r="AY1741" s="107"/>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39"/>
      <c r="CO1741" s="138"/>
      <c r="CP1741" s="139"/>
      <c r="CQ1741" s="138"/>
      <c r="CR1741" s="139"/>
      <c r="CS1741" s="138"/>
      <c r="CT1741" s="72"/>
      <c r="CU1741" s="139"/>
      <c r="CV1741" s="99">
        <f t="shared" si="167"/>
        <v>0</v>
      </c>
      <c r="CW1741" s="139"/>
      <c r="CX1741" s="138"/>
      <c r="CY1741" s="138"/>
      <c r="CZ1741" s="138"/>
      <c r="DA1741" s="139"/>
      <c r="DB1741" s="138"/>
      <c r="DC1741" s="45"/>
      <c r="DD1741" s="138"/>
      <c r="DE1741" s="45"/>
      <c r="DF1741" s="46"/>
    </row>
    <row r="1742" spans="1:110" s="42" customFormat="1" x14ac:dyDescent="0.2">
      <c r="A1742" s="89">
        <v>40724</v>
      </c>
      <c r="B1742" s="16" t="s">
        <v>4344</v>
      </c>
      <c r="C1742" s="4" t="s">
        <v>1817</v>
      </c>
      <c r="D1742" s="90" t="s">
        <v>4264</v>
      </c>
      <c r="E1742" s="90" t="str">
        <f>VLOOKUP(B1742&amp;C1742,Divipola!$C$2:$F$1138,4,FALSE)</f>
        <v>25797</v>
      </c>
      <c r="F1742" s="4"/>
      <c r="G1742" s="208"/>
      <c r="H1742" s="208"/>
      <c r="I1742" s="208"/>
      <c r="J1742" s="208">
        <v>370</v>
      </c>
      <c r="K1742" s="208">
        <v>112</v>
      </c>
      <c r="L1742" s="208"/>
      <c r="M1742" s="208">
        <v>112</v>
      </c>
      <c r="N1742" s="208"/>
      <c r="O1742" s="208"/>
      <c r="P1742" s="208"/>
      <c r="Q1742" s="208"/>
      <c r="R1742" s="208"/>
      <c r="S1742" s="208"/>
      <c r="T1742" s="208"/>
      <c r="U1742" s="208"/>
      <c r="V1742" s="208"/>
      <c r="W1742" s="19"/>
      <c r="X1742" s="17"/>
      <c r="Y1742" s="5">
        <f t="shared" si="162"/>
        <v>0</v>
      </c>
      <c r="Z1742" s="5">
        <f t="shared" si="163"/>
        <v>0</v>
      </c>
      <c r="AA1742" s="5">
        <f t="shared" si="164"/>
        <v>0</v>
      </c>
      <c r="AB1742" s="5">
        <f t="shared" si="165"/>
        <v>0</v>
      </c>
      <c r="AC1742" s="5"/>
      <c r="AD1742" s="5">
        <v>0</v>
      </c>
      <c r="AE1742" s="5">
        <f t="shared" si="166"/>
        <v>0</v>
      </c>
      <c r="AF1742" s="70">
        <v>0</v>
      </c>
      <c r="AG1742" s="17"/>
      <c r="AH1742" s="18"/>
      <c r="AI1742" s="47" t="s">
        <v>4336</v>
      </c>
      <c r="AJ1742" s="73" t="s">
        <v>4337</v>
      </c>
      <c r="AK1742" s="45"/>
      <c r="AL1742" s="17"/>
      <c r="AM1742" s="20" t="s">
        <v>18</v>
      </c>
      <c r="AN1742" s="19"/>
      <c r="AO1742" s="19"/>
      <c r="AP1742" s="19"/>
      <c r="AQ1742" s="19"/>
      <c r="AR1742" s="19"/>
      <c r="AS1742" s="19"/>
      <c r="AT1742" s="19"/>
      <c r="AU1742" s="19"/>
      <c r="AV1742" s="19"/>
      <c r="AW1742" s="19"/>
      <c r="AX1742" s="107"/>
      <c r="AY1742" s="107"/>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39"/>
      <c r="CO1742" s="138"/>
      <c r="CP1742" s="139"/>
      <c r="CQ1742" s="138"/>
      <c r="CR1742" s="139"/>
      <c r="CS1742" s="138"/>
      <c r="CT1742" s="72"/>
      <c r="CU1742" s="139"/>
      <c r="CV1742" s="99">
        <f t="shared" si="167"/>
        <v>0</v>
      </c>
      <c r="CW1742" s="139"/>
      <c r="CX1742" s="138"/>
      <c r="CY1742" s="138"/>
      <c r="CZ1742" s="138"/>
      <c r="DA1742" s="139"/>
      <c r="DB1742" s="138"/>
      <c r="DC1742" s="45"/>
      <c r="DD1742" s="138"/>
      <c r="DE1742" s="45"/>
      <c r="DF1742" s="46"/>
    </row>
    <row r="1743" spans="1:110" s="42" customFormat="1" ht="48" x14ac:dyDescent="0.2">
      <c r="A1743" s="89">
        <v>40724</v>
      </c>
      <c r="B1743" s="145" t="s">
        <v>4344</v>
      </c>
      <c r="C1743" s="145" t="s">
        <v>1817</v>
      </c>
      <c r="D1743" s="145" t="s">
        <v>3346</v>
      </c>
      <c r="E1743" s="90" t="str">
        <f>VLOOKUP(B1743&amp;C1743,Divipola!$C$2:$F$1138,4,FALSE)</f>
        <v>25797</v>
      </c>
      <c r="F1743" s="145"/>
      <c r="G1743" s="164"/>
      <c r="H1743" s="164"/>
      <c r="I1743" s="164"/>
      <c r="J1743" s="164">
        <v>207</v>
      </c>
      <c r="K1743" s="164">
        <v>69</v>
      </c>
      <c r="L1743" s="164"/>
      <c r="M1743" s="164"/>
      <c r="N1743" s="164"/>
      <c r="O1743" s="164"/>
      <c r="P1743" s="164"/>
      <c r="Q1743" s="164"/>
      <c r="R1743" s="164"/>
      <c r="S1743" s="164"/>
      <c r="T1743" s="164"/>
      <c r="U1743" s="164"/>
      <c r="V1743" s="164">
        <v>65.677700000000016</v>
      </c>
      <c r="W1743" s="173"/>
      <c r="X1743" s="17"/>
      <c r="Y1743" s="5">
        <f t="shared" si="162"/>
        <v>0</v>
      </c>
      <c r="Z1743" s="5">
        <f t="shared" si="163"/>
        <v>0</v>
      </c>
      <c r="AA1743" s="5">
        <f t="shared" si="164"/>
        <v>0</v>
      </c>
      <c r="AB1743" s="5">
        <f t="shared" si="165"/>
        <v>0</v>
      </c>
      <c r="AC1743" s="5"/>
      <c r="AD1743" s="5">
        <v>0</v>
      </c>
      <c r="AE1743" s="5">
        <f t="shared" si="166"/>
        <v>0</v>
      </c>
      <c r="AF1743" s="70">
        <v>0</v>
      </c>
      <c r="AG1743" s="135">
        <v>40809</v>
      </c>
      <c r="AH1743" s="161"/>
      <c r="AI1743" s="135" t="s">
        <v>4336</v>
      </c>
      <c r="AJ1743" s="176" t="s">
        <v>4337</v>
      </c>
      <c r="AK1743" s="178"/>
      <c r="AL1743" s="180" t="s">
        <v>4579</v>
      </c>
      <c r="AM1743" s="182" t="s">
        <v>4580</v>
      </c>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39"/>
      <c r="CE1743" s="138"/>
      <c r="CF1743" s="139"/>
      <c r="CG1743" s="138"/>
      <c r="CH1743" s="139"/>
      <c r="CI1743" s="138"/>
      <c r="CJ1743" s="72"/>
      <c r="CK1743" s="139"/>
      <c r="CL1743" s="71"/>
      <c r="CM1743" s="139"/>
      <c r="CN1743" s="138"/>
      <c r="CO1743" s="138"/>
      <c r="CP1743" s="138"/>
      <c r="CQ1743" s="139"/>
      <c r="CR1743" s="138"/>
      <c r="CS1743" s="45"/>
      <c r="CT1743" s="138"/>
      <c r="CU1743" s="45"/>
      <c r="CV1743" s="99">
        <f t="shared" si="167"/>
        <v>0</v>
      </c>
      <c r="CW1743" s="139"/>
      <c r="CX1743" s="138"/>
      <c r="CY1743" s="138"/>
      <c r="CZ1743" s="138"/>
      <c r="DA1743" s="139"/>
      <c r="DB1743" s="138"/>
      <c r="DC1743" s="45"/>
      <c r="DD1743" s="138"/>
      <c r="DE1743" s="45"/>
      <c r="DF1743" s="46"/>
    </row>
    <row r="1744" spans="1:110" s="42" customFormat="1" ht="48" x14ac:dyDescent="0.2">
      <c r="A1744" s="89">
        <v>40724</v>
      </c>
      <c r="B1744" s="145" t="s">
        <v>4344</v>
      </c>
      <c r="C1744" s="145" t="s">
        <v>3319</v>
      </c>
      <c r="D1744" s="145" t="s">
        <v>3346</v>
      </c>
      <c r="E1744" s="90" t="str">
        <f>VLOOKUP(B1744&amp;C1744,Divipola!$C$2:$F$1138,4,FALSE)</f>
        <v>25799</v>
      </c>
      <c r="F1744" s="145"/>
      <c r="G1744" s="164"/>
      <c r="H1744" s="164"/>
      <c r="I1744" s="164"/>
      <c r="J1744" s="164">
        <v>57</v>
      </c>
      <c r="K1744" s="164">
        <v>19</v>
      </c>
      <c r="L1744" s="164"/>
      <c r="M1744" s="164"/>
      <c r="N1744" s="164"/>
      <c r="O1744" s="164"/>
      <c r="P1744" s="164"/>
      <c r="Q1744" s="164"/>
      <c r="R1744" s="164"/>
      <c r="S1744" s="164"/>
      <c r="T1744" s="164"/>
      <c r="U1744" s="164"/>
      <c r="V1744" s="164">
        <v>74.94</v>
      </c>
      <c r="W1744" s="173"/>
      <c r="X1744" s="17"/>
      <c r="Y1744" s="5">
        <f t="shared" si="162"/>
        <v>0</v>
      </c>
      <c r="Z1744" s="5">
        <f t="shared" si="163"/>
        <v>0</v>
      </c>
      <c r="AA1744" s="5">
        <f t="shared" si="164"/>
        <v>0</v>
      </c>
      <c r="AB1744" s="5">
        <f t="shared" si="165"/>
        <v>0</v>
      </c>
      <c r="AC1744" s="5"/>
      <c r="AD1744" s="5">
        <v>0</v>
      </c>
      <c r="AE1744" s="5">
        <f t="shared" si="166"/>
        <v>0</v>
      </c>
      <c r="AF1744" s="70">
        <v>0</v>
      </c>
      <c r="AG1744" s="135">
        <v>40809</v>
      </c>
      <c r="AH1744" s="161"/>
      <c r="AI1744" s="135" t="s">
        <v>4336</v>
      </c>
      <c r="AJ1744" s="176" t="s">
        <v>4337</v>
      </c>
      <c r="AK1744" s="178"/>
      <c r="AL1744" s="180" t="s">
        <v>4579</v>
      </c>
      <c r="AM1744" s="182" t="s">
        <v>4580</v>
      </c>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39"/>
      <c r="CE1744" s="138"/>
      <c r="CF1744" s="139"/>
      <c r="CG1744" s="138"/>
      <c r="CH1744" s="139"/>
      <c r="CI1744" s="138"/>
      <c r="CJ1744" s="72"/>
      <c r="CK1744" s="139"/>
      <c r="CL1744" s="71"/>
      <c r="CM1744" s="139"/>
      <c r="CN1744" s="138"/>
      <c r="CO1744" s="138"/>
      <c r="CP1744" s="138"/>
      <c r="CQ1744" s="139"/>
      <c r="CR1744" s="138"/>
      <c r="CS1744" s="45"/>
      <c r="CT1744" s="138"/>
      <c r="CU1744" s="45"/>
      <c r="CV1744" s="99">
        <f t="shared" si="167"/>
        <v>0</v>
      </c>
      <c r="CW1744" s="139"/>
      <c r="CX1744" s="138"/>
      <c r="CY1744" s="138"/>
      <c r="CZ1744" s="138"/>
      <c r="DA1744" s="139"/>
      <c r="DB1744" s="138"/>
      <c r="DC1744" s="45"/>
      <c r="DD1744" s="138"/>
      <c r="DE1744" s="45"/>
      <c r="DF1744" s="46"/>
    </row>
    <row r="1745" spans="1:110" s="42" customFormat="1" x14ac:dyDescent="0.2">
      <c r="A1745" s="89">
        <v>40724</v>
      </c>
      <c r="B1745" s="16" t="s">
        <v>4344</v>
      </c>
      <c r="C1745" s="4" t="s">
        <v>1822</v>
      </c>
      <c r="D1745" s="90" t="s">
        <v>4264</v>
      </c>
      <c r="E1745" s="90" t="str">
        <f>VLOOKUP(B1745&amp;C1745,Divipola!$C$2:$F$1138,4,FALSE)</f>
        <v>25805</v>
      </c>
      <c r="F1745" s="4"/>
      <c r="G1745" s="208"/>
      <c r="H1745" s="208"/>
      <c r="I1745" s="208"/>
      <c r="J1745" s="208">
        <v>525</v>
      </c>
      <c r="K1745" s="208">
        <v>191</v>
      </c>
      <c r="L1745" s="208"/>
      <c r="M1745" s="208">
        <v>191</v>
      </c>
      <c r="N1745" s="208"/>
      <c r="O1745" s="208"/>
      <c r="P1745" s="208"/>
      <c r="Q1745" s="208"/>
      <c r="R1745" s="208"/>
      <c r="S1745" s="208"/>
      <c r="T1745" s="208"/>
      <c r="U1745" s="208"/>
      <c r="V1745" s="208"/>
      <c r="W1745" s="19"/>
      <c r="X1745" s="17"/>
      <c r="Y1745" s="5">
        <f t="shared" si="162"/>
        <v>0</v>
      </c>
      <c r="Z1745" s="5">
        <f t="shared" si="163"/>
        <v>0</v>
      </c>
      <c r="AA1745" s="5">
        <f t="shared" si="164"/>
        <v>0</v>
      </c>
      <c r="AB1745" s="5">
        <f t="shared" si="165"/>
        <v>0</v>
      </c>
      <c r="AC1745" s="5"/>
      <c r="AD1745" s="5">
        <v>0</v>
      </c>
      <c r="AE1745" s="5">
        <f t="shared" si="166"/>
        <v>0</v>
      </c>
      <c r="AF1745" s="70">
        <v>0</v>
      </c>
      <c r="AG1745" s="17"/>
      <c r="AH1745" s="18"/>
      <c r="AI1745" s="47" t="s">
        <v>4336</v>
      </c>
      <c r="AJ1745" s="73" t="s">
        <v>4337</v>
      </c>
      <c r="AK1745" s="45"/>
      <c r="AL1745" s="17"/>
      <c r="AM1745" s="20" t="s">
        <v>18</v>
      </c>
      <c r="AN1745" s="19"/>
      <c r="AO1745" s="19"/>
      <c r="AP1745" s="19"/>
      <c r="AQ1745" s="19"/>
      <c r="AR1745" s="19"/>
      <c r="AS1745" s="19"/>
      <c r="AT1745" s="19"/>
      <c r="AU1745" s="19"/>
      <c r="AV1745" s="19"/>
      <c r="AW1745" s="19"/>
      <c r="AX1745" s="107"/>
      <c r="AY1745" s="107"/>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39"/>
      <c r="CO1745" s="138"/>
      <c r="CP1745" s="139"/>
      <c r="CQ1745" s="138"/>
      <c r="CR1745" s="139"/>
      <c r="CS1745" s="138"/>
      <c r="CT1745" s="72"/>
      <c r="CU1745" s="139"/>
      <c r="CV1745" s="99">
        <f t="shared" si="167"/>
        <v>0</v>
      </c>
      <c r="CW1745" s="139"/>
      <c r="CX1745" s="138"/>
      <c r="CY1745" s="138"/>
      <c r="CZ1745" s="138"/>
      <c r="DA1745" s="139"/>
      <c r="DB1745" s="138"/>
      <c r="DC1745" s="45"/>
      <c r="DD1745" s="138"/>
      <c r="DE1745" s="45"/>
      <c r="DF1745" s="46"/>
    </row>
    <row r="1746" spans="1:110" s="42" customFormat="1" ht="48" x14ac:dyDescent="0.2">
      <c r="A1746" s="89">
        <v>40724</v>
      </c>
      <c r="B1746" s="145" t="s">
        <v>4344</v>
      </c>
      <c r="C1746" s="145" t="s">
        <v>1822</v>
      </c>
      <c r="D1746" s="145" t="s">
        <v>3346</v>
      </c>
      <c r="E1746" s="90" t="str">
        <f>VLOOKUP(B1746&amp;C1746,Divipola!$C$2:$F$1138,4,FALSE)</f>
        <v>25805</v>
      </c>
      <c r="F1746" s="145"/>
      <c r="G1746" s="164"/>
      <c r="H1746" s="164"/>
      <c r="I1746" s="164"/>
      <c r="J1746" s="164">
        <v>1299</v>
      </c>
      <c r="K1746" s="164">
        <v>433</v>
      </c>
      <c r="L1746" s="164"/>
      <c r="M1746" s="164"/>
      <c r="N1746" s="164"/>
      <c r="O1746" s="164"/>
      <c r="P1746" s="164"/>
      <c r="Q1746" s="164"/>
      <c r="R1746" s="164"/>
      <c r="S1746" s="164"/>
      <c r="T1746" s="164"/>
      <c r="U1746" s="164"/>
      <c r="V1746" s="164">
        <v>815.70000000000016</v>
      </c>
      <c r="W1746" s="173"/>
      <c r="X1746" s="17"/>
      <c r="Y1746" s="5">
        <f t="shared" si="162"/>
        <v>0</v>
      </c>
      <c r="Z1746" s="5">
        <f t="shared" si="163"/>
        <v>0</v>
      </c>
      <c r="AA1746" s="5">
        <f t="shared" si="164"/>
        <v>0</v>
      </c>
      <c r="AB1746" s="5">
        <f t="shared" si="165"/>
        <v>0</v>
      </c>
      <c r="AC1746" s="5"/>
      <c r="AD1746" s="5">
        <v>0</v>
      </c>
      <c r="AE1746" s="5">
        <f t="shared" si="166"/>
        <v>0</v>
      </c>
      <c r="AF1746" s="70">
        <v>0</v>
      </c>
      <c r="AG1746" s="135">
        <v>40809</v>
      </c>
      <c r="AH1746" s="161"/>
      <c r="AI1746" s="135" t="s">
        <v>4336</v>
      </c>
      <c r="AJ1746" s="176" t="s">
        <v>4337</v>
      </c>
      <c r="AK1746" s="178"/>
      <c r="AL1746" s="180" t="s">
        <v>4579</v>
      </c>
      <c r="AM1746" s="182" t="s">
        <v>4580</v>
      </c>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39"/>
      <c r="CE1746" s="138"/>
      <c r="CF1746" s="139"/>
      <c r="CG1746" s="138"/>
      <c r="CH1746" s="139"/>
      <c r="CI1746" s="138"/>
      <c r="CJ1746" s="72"/>
      <c r="CK1746" s="139"/>
      <c r="CL1746" s="71"/>
      <c r="CM1746" s="139"/>
      <c r="CN1746" s="138"/>
      <c r="CO1746" s="138"/>
      <c r="CP1746" s="138"/>
      <c r="CQ1746" s="139"/>
      <c r="CR1746" s="138"/>
      <c r="CS1746" s="45"/>
      <c r="CT1746" s="138"/>
      <c r="CU1746" s="45"/>
      <c r="CV1746" s="99">
        <f t="shared" si="167"/>
        <v>0</v>
      </c>
      <c r="CW1746" s="139"/>
      <c r="CX1746" s="138"/>
      <c r="CY1746" s="138"/>
      <c r="CZ1746" s="138"/>
      <c r="DA1746" s="139"/>
      <c r="DB1746" s="138"/>
      <c r="DC1746" s="45"/>
      <c r="DD1746" s="138"/>
      <c r="DE1746" s="45"/>
      <c r="DF1746" s="46"/>
    </row>
    <row r="1747" spans="1:110" s="42" customFormat="1" ht="48" x14ac:dyDescent="0.2">
      <c r="A1747" s="89">
        <v>40724</v>
      </c>
      <c r="B1747" s="145" t="s">
        <v>4344</v>
      </c>
      <c r="C1747" s="145" t="s">
        <v>1824</v>
      </c>
      <c r="D1747" s="145" t="s">
        <v>3346</v>
      </c>
      <c r="E1747" s="90" t="str">
        <f>VLOOKUP(B1747&amp;C1747,Divipola!$C$2:$F$1138,4,FALSE)</f>
        <v>25807</v>
      </c>
      <c r="F1747" s="145"/>
      <c r="G1747" s="164"/>
      <c r="H1747" s="164"/>
      <c r="I1747" s="164"/>
      <c r="J1747" s="164">
        <v>48</v>
      </c>
      <c r="K1747" s="164">
        <v>16</v>
      </c>
      <c r="L1747" s="164"/>
      <c r="M1747" s="164"/>
      <c r="N1747" s="164"/>
      <c r="O1747" s="164"/>
      <c r="P1747" s="164"/>
      <c r="Q1747" s="164"/>
      <c r="R1747" s="164"/>
      <c r="S1747" s="164"/>
      <c r="T1747" s="164"/>
      <c r="U1747" s="164"/>
      <c r="V1747" s="164">
        <v>23.23</v>
      </c>
      <c r="W1747" s="173"/>
      <c r="X1747" s="17"/>
      <c r="Y1747" s="5">
        <f t="shared" si="162"/>
        <v>0</v>
      </c>
      <c r="Z1747" s="5">
        <f t="shared" si="163"/>
        <v>0</v>
      </c>
      <c r="AA1747" s="5">
        <f t="shared" si="164"/>
        <v>0</v>
      </c>
      <c r="AB1747" s="5">
        <f t="shared" si="165"/>
        <v>0</v>
      </c>
      <c r="AC1747" s="5"/>
      <c r="AD1747" s="5">
        <v>0</v>
      </c>
      <c r="AE1747" s="5">
        <f t="shared" si="166"/>
        <v>0</v>
      </c>
      <c r="AF1747" s="70">
        <v>0</v>
      </c>
      <c r="AG1747" s="135">
        <v>40809</v>
      </c>
      <c r="AH1747" s="161"/>
      <c r="AI1747" s="135" t="s">
        <v>4336</v>
      </c>
      <c r="AJ1747" s="176" t="s">
        <v>4337</v>
      </c>
      <c r="AK1747" s="178"/>
      <c r="AL1747" s="180" t="s">
        <v>4579</v>
      </c>
      <c r="AM1747" s="182" t="s">
        <v>4580</v>
      </c>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39"/>
      <c r="CE1747" s="138"/>
      <c r="CF1747" s="139"/>
      <c r="CG1747" s="138"/>
      <c r="CH1747" s="139"/>
      <c r="CI1747" s="138"/>
      <c r="CJ1747" s="72"/>
      <c r="CK1747" s="139"/>
      <c r="CL1747" s="71"/>
      <c r="CM1747" s="139"/>
      <c r="CN1747" s="138"/>
      <c r="CO1747" s="138"/>
      <c r="CP1747" s="138"/>
      <c r="CQ1747" s="139"/>
      <c r="CR1747" s="138"/>
      <c r="CS1747" s="45"/>
      <c r="CT1747" s="138"/>
      <c r="CU1747" s="45"/>
      <c r="CV1747" s="99">
        <f t="shared" si="167"/>
        <v>0</v>
      </c>
      <c r="CW1747" s="139"/>
      <c r="CX1747" s="138"/>
      <c r="CY1747" s="138"/>
      <c r="CZ1747" s="138"/>
      <c r="DA1747" s="139"/>
      <c r="DB1747" s="138"/>
      <c r="DC1747" s="45"/>
      <c r="DD1747" s="138"/>
      <c r="DE1747" s="45"/>
      <c r="DF1747" s="46"/>
    </row>
    <row r="1748" spans="1:110" s="42" customFormat="1" ht="48" x14ac:dyDescent="0.2">
      <c r="A1748" s="89">
        <v>40724</v>
      </c>
      <c r="B1748" s="145" t="s">
        <v>4344</v>
      </c>
      <c r="C1748" s="145" t="s">
        <v>4223</v>
      </c>
      <c r="D1748" s="145" t="s">
        <v>3346</v>
      </c>
      <c r="E1748" s="90" t="str">
        <f>VLOOKUP(B1748&amp;C1748,Divipola!$C$2:$F$1138,4,FALSE)</f>
        <v>25815</v>
      </c>
      <c r="F1748" s="145"/>
      <c r="G1748" s="164"/>
      <c r="H1748" s="164"/>
      <c r="I1748" s="164"/>
      <c r="J1748" s="164">
        <v>297</v>
      </c>
      <c r="K1748" s="164">
        <v>99</v>
      </c>
      <c r="L1748" s="164"/>
      <c r="M1748" s="164"/>
      <c r="N1748" s="164"/>
      <c r="O1748" s="164"/>
      <c r="P1748" s="164"/>
      <c r="Q1748" s="164"/>
      <c r="R1748" s="164"/>
      <c r="S1748" s="164"/>
      <c r="T1748" s="164"/>
      <c r="U1748" s="164"/>
      <c r="V1748" s="164">
        <v>188.5</v>
      </c>
      <c r="W1748" s="173"/>
      <c r="X1748" s="17"/>
      <c r="Y1748" s="5">
        <f t="shared" si="162"/>
        <v>0</v>
      </c>
      <c r="Z1748" s="5">
        <f t="shared" si="163"/>
        <v>0</v>
      </c>
      <c r="AA1748" s="5">
        <f t="shared" si="164"/>
        <v>0</v>
      </c>
      <c r="AB1748" s="5">
        <f t="shared" si="165"/>
        <v>0</v>
      </c>
      <c r="AC1748" s="5"/>
      <c r="AD1748" s="5">
        <v>0</v>
      </c>
      <c r="AE1748" s="5">
        <f t="shared" si="166"/>
        <v>0</v>
      </c>
      <c r="AF1748" s="70">
        <v>0</v>
      </c>
      <c r="AG1748" s="135">
        <v>40809</v>
      </c>
      <c r="AH1748" s="161"/>
      <c r="AI1748" s="135" t="s">
        <v>4336</v>
      </c>
      <c r="AJ1748" s="176" t="s">
        <v>4337</v>
      </c>
      <c r="AK1748" s="178"/>
      <c r="AL1748" s="180" t="s">
        <v>4579</v>
      </c>
      <c r="AM1748" s="182" t="s">
        <v>4580</v>
      </c>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39"/>
      <c r="CE1748" s="138"/>
      <c r="CF1748" s="139"/>
      <c r="CG1748" s="138"/>
      <c r="CH1748" s="139"/>
      <c r="CI1748" s="138"/>
      <c r="CJ1748" s="72"/>
      <c r="CK1748" s="139"/>
      <c r="CL1748" s="71"/>
      <c r="CM1748" s="139"/>
      <c r="CN1748" s="138"/>
      <c r="CO1748" s="138"/>
      <c r="CP1748" s="138"/>
      <c r="CQ1748" s="139"/>
      <c r="CR1748" s="138"/>
      <c r="CS1748" s="45"/>
      <c r="CT1748" s="138"/>
      <c r="CU1748" s="45"/>
      <c r="CV1748" s="99">
        <f t="shared" si="167"/>
        <v>0</v>
      </c>
      <c r="CW1748" s="139"/>
      <c r="CX1748" s="138"/>
      <c r="CY1748" s="138"/>
      <c r="CZ1748" s="138"/>
      <c r="DA1748" s="139"/>
      <c r="DB1748" s="138"/>
      <c r="DC1748" s="45"/>
      <c r="DD1748" s="138"/>
      <c r="DE1748" s="45"/>
      <c r="DF1748" s="46"/>
    </row>
    <row r="1749" spans="1:110" s="42" customFormat="1" ht="48" x14ac:dyDescent="0.2">
      <c r="A1749" s="89">
        <v>40724</v>
      </c>
      <c r="B1749" s="145" t="s">
        <v>4344</v>
      </c>
      <c r="C1749" s="145" t="s">
        <v>2253</v>
      </c>
      <c r="D1749" s="145" t="s">
        <v>3346</v>
      </c>
      <c r="E1749" s="90" t="str">
        <f>VLOOKUP(B1749&amp;C1749,Divipola!$C$2:$F$1138,4,FALSE)</f>
        <v>25817</v>
      </c>
      <c r="F1749" s="145"/>
      <c r="G1749" s="164"/>
      <c r="H1749" s="164"/>
      <c r="I1749" s="164"/>
      <c r="J1749" s="164">
        <v>132</v>
      </c>
      <c r="K1749" s="164">
        <v>44</v>
      </c>
      <c r="L1749" s="164"/>
      <c r="M1749" s="164"/>
      <c r="N1749" s="164"/>
      <c r="O1749" s="164"/>
      <c r="P1749" s="164"/>
      <c r="Q1749" s="164"/>
      <c r="R1749" s="164"/>
      <c r="S1749" s="164"/>
      <c r="T1749" s="164"/>
      <c r="U1749" s="164"/>
      <c r="V1749" s="164">
        <v>595.09999999999991</v>
      </c>
      <c r="W1749" s="173"/>
      <c r="X1749" s="17"/>
      <c r="Y1749" s="5">
        <f t="shared" si="162"/>
        <v>0</v>
      </c>
      <c r="Z1749" s="5">
        <f t="shared" si="163"/>
        <v>0</v>
      </c>
      <c r="AA1749" s="5">
        <f t="shared" si="164"/>
        <v>0</v>
      </c>
      <c r="AB1749" s="5">
        <f t="shared" si="165"/>
        <v>0</v>
      </c>
      <c r="AC1749" s="5"/>
      <c r="AD1749" s="5">
        <v>0</v>
      </c>
      <c r="AE1749" s="5">
        <f t="shared" si="166"/>
        <v>0</v>
      </c>
      <c r="AF1749" s="70">
        <v>0</v>
      </c>
      <c r="AG1749" s="135">
        <v>40809</v>
      </c>
      <c r="AH1749" s="161"/>
      <c r="AI1749" s="135" t="s">
        <v>4336</v>
      </c>
      <c r="AJ1749" s="176" t="s">
        <v>4337</v>
      </c>
      <c r="AK1749" s="178"/>
      <c r="AL1749" s="180" t="s">
        <v>4579</v>
      </c>
      <c r="AM1749" s="182" t="s">
        <v>4580</v>
      </c>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39"/>
      <c r="CE1749" s="138"/>
      <c r="CF1749" s="139"/>
      <c r="CG1749" s="138"/>
      <c r="CH1749" s="139"/>
      <c r="CI1749" s="138"/>
      <c r="CJ1749" s="72"/>
      <c r="CK1749" s="139"/>
      <c r="CL1749" s="71"/>
      <c r="CM1749" s="139"/>
      <c r="CN1749" s="138"/>
      <c r="CO1749" s="138"/>
      <c r="CP1749" s="138"/>
      <c r="CQ1749" s="139"/>
      <c r="CR1749" s="138"/>
      <c r="CS1749" s="45"/>
      <c r="CT1749" s="138"/>
      <c r="CU1749" s="45"/>
      <c r="CV1749" s="99">
        <f t="shared" si="167"/>
        <v>0</v>
      </c>
      <c r="CW1749" s="139"/>
      <c r="CX1749" s="138"/>
      <c r="CY1749" s="138"/>
      <c r="CZ1749" s="138"/>
      <c r="DA1749" s="139"/>
      <c r="DB1749" s="138"/>
      <c r="DC1749" s="45"/>
      <c r="DD1749" s="138"/>
      <c r="DE1749" s="45"/>
      <c r="DF1749" s="46"/>
    </row>
    <row r="1750" spans="1:110" s="42" customFormat="1" x14ac:dyDescent="0.2">
      <c r="A1750" s="89">
        <v>40724</v>
      </c>
      <c r="B1750" s="16" t="s">
        <v>4344</v>
      </c>
      <c r="C1750" s="90" t="s">
        <v>842</v>
      </c>
      <c r="D1750" s="90" t="s">
        <v>4264</v>
      </c>
      <c r="E1750" s="90" t="str">
        <f>VLOOKUP(B1750&amp;C1750,Divipola!$C$2:$F$1138,4,FALSE)</f>
        <v>25823</v>
      </c>
      <c r="F1750" s="4"/>
      <c r="G1750" s="208"/>
      <c r="H1750" s="208"/>
      <c r="I1750" s="208"/>
      <c r="J1750" s="208">
        <v>333</v>
      </c>
      <c r="K1750" s="208">
        <v>84</v>
      </c>
      <c r="L1750" s="208"/>
      <c r="M1750" s="208">
        <v>84</v>
      </c>
      <c r="N1750" s="208"/>
      <c r="O1750" s="208"/>
      <c r="P1750" s="208"/>
      <c r="Q1750" s="208"/>
      <c r="R1750" s="208"/>
      <c r="S1750" s="208"/>
      <c r="T1750" s="208"/>
      <c r="U1750" s="208"/>
      <c r="V1750" s="208"/>
      <c r="W1750" s="19"/>
      <c r="X1750" s="17"/>
      <c r="Y1750" s="5">
        <f t="shared" si="162"/>
        <v>0</v>
      </c>
      <c r="Z1750" s="5">
        <f t="shared" si="163"/>
        <v>0</v>
      </c>
      <c r="AA1750" s="5">
        <f t="shared" si="164"/>
        <v>0</v>
      </c>
      <c r="AB1750" s="5">
        <f t="shared" si="165"/>
        <v>0</v>
      </c>
      <c r="AC1750" s="5"/>
      <c r="AD1750" s="5">
        <v>0</v>
      </c>
      <c r="AE1750" s="5">
        <f t="shared" si="166"/>
        <v>0</v>
      </c>
      <c r="AF1750" s="70">
        <v>0</v>
      </c>
      <c r="AG1750" s="17"/>
      <c r="AH1750" s="18"/>
      <c r="AI1750" s="47" t="s">
        <v>4336</v>
      </c>
      <c r="AJ1750" s="73" t="s">
        <v>4337</v>
      </c>
      <c r="AK1750" s="45"/>
      <c r="AL1750" s="17"/>
      <c r="AM1750" s="20" t="s">
        <v>18</v>
      </c>
      <c r="AN1750" s="19"/>
      <c r="AO1750" s="19"/>
      <c r="AP1750" s="19"/>
      <c r="AQ1750" s="19"/>
      <c r="AR1750" s="19"/>
      <c r="AS1750" s="19"/>
      <c r="AT1750" s="19"/>
      <c r="AU1750" s="19"/>
      <c r="AV1750" s="19"/>
      <c r="AW1750" s="19"/>
      <c r="AX1750" s="107"/>
      <c r="AY1750" s="107"/>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39"/>
      <c r="CO1750" s="138"/>
      <c r="CP1750" s="139"/>
      <c r="CQ1750" s="138"/>
      <c r="CR1750" s="139"/>
      <c r="CS1750" s="138"/>
      <c r="CT1750" s="72"/>
      <c r="CU1750" s="139"/>
      <c r="CV1750" s="99">
        <f t="shared" si="167"/>
        <v>0</v>
      </c>
      <c r="CW1750" s="139"/>
      <c r="CX1750" s="138"/>
      <c r="CY1750" s="138"/>
      <c r="CZ1750" s="138"/>
      <c r="DA1750" s="139"/>
      <c r="DB1750" s="138"/>
      <c r="DC1750" s="45"/>
      <c r="DD1750" s="138"/>
      <c r="DE1750" s="45"/>
      <c r="DF1750" s="46"/>
    </row>
    <row r="1751" spans="1:110" s="42" customFormat="1" ht="48" x14ac:dyDescent="0.2">
      <c r="A1751" s="89">
        <v>40724</v>
      </c>
      <c r="B1751" s="145" t="s">
        <v>4344</v>
      </c>
      <c r="C1751" s="145" t="s">
        <v>842</v>
      </c>
      <c r="D1751" s="145" t="s">
        <v>3346</v>
      </c>
      <c r="E1751" s="90" t="str">
        <f>VLOOKUP(B1751&amp;C1751,Divipola!$C$2:$F$1138,4,FALSE)</f>
        <v>25823</v>
      </c>
      <c r="F1751" s="145"/>
      <c r="G1751" s="164"/>
      <c r="H1751" s="164"/>
      <c r="I1751" s="164"/>
      <c r="J1751" s="164">
        <v>39</v>
      </c>
      <c r="K1751" s="164">
        <v>13</v>
      </c>
      <c r="L1751" s="164"/>
      <c r="M1751" s="164"/>
      <c r="N1751" s="164"/>
      <c r="O1751" s="164"/>
      <c r="P1751" s="164"/>
      <c r="Q1751" s="164"/>
      <c r="R1751" s="164"/>
      <c r="S1751" s="164"/>
      <c r="T1751" s="164"/>
      <c r="U1751" s="164"/>
      <c r="V1751" s="164">
        <v>3</v>
      </c>
      <c r="W1751" s="173"/>
      <c r="X1751" s="17"/>
      <c r="Y1751" s="5">
        <f t="shared" si="162"/>
        <v>0</v>
      </c>
      <c r="Z1751" s="5">
        <f t="shared" si="163"/>
        <v>0</v>
      </c>
      <c r="AA1751" s="5">
        <f t="shared" si="164"/>
        <v>0</v>
      </c>
      <c r="AB1751" s="5">
        <f t="shared" si="165"/>
        <v>0</v>
      </c>
      <c r="AC1751" s="5"/>
      <c r="AD1751" s="5">
        <v>0</v>
      </c>
      <c r="AE1751" s="5">
        <f t="shared" si="166"/>
        <v>0</v>
      </c>
      <c r="AF1751" s="70">
        <v>0</v>
      </c>
      <c r="AG1751" s="135">
        <v>40809</v>
      </c>
      <c r="AH1751" s="161"/>
      <c r="AI1751" s="135" t="s">
        <v>4336</v>
      </c>
      <c r="AJ1751" s="176" t="s">
        <v>4337</v>
      </c>
      <c r="AK1751" s="178"/>
      <c r="AL1751" s="180" t="s">
        <v>4579</v>
      </c>
      <c r="AM1751" s="182" t="s">
        <v>4580</v>
      </c>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39"/>
      <c r="CE1751" s="138"/>
      <c r="CF1751" s="139"/>
      <c r="CG1751" s="138"/>
      <c r="CH1751" s="139"/>
      <c r="CI1751" s="138"/>
      <c r="CJ1751" s="72"/>
      <c r="CK1751" s="139"/>
      <c r="CL1751" s="71"/>
      <c r="CM1751" s="139"/>
      <c r="CN1751" s="138"/>
      <c r="CO1751" s="138"/>
      <c r="CP1751" s="138"/>
      <c r="CQ1751" s="139"/>
      <c r="CR1751" s="138"/>
      <c r="CS1751" s="45"/>
      <c r="CT1751" s="138"/>
      <c r="CU1751" s="45"/>
      <c r="CV1751" s="99">
        <f t="shared" si="167"/>
        <v>0</v>
      </c>
      <c r="CW1751" s="139"/>
      <c r="CX1751" s="138"/>
      <c r="CY1751" s="138"/>
      <c r="CZ1751" s="138"/>
      <c r="DA1751" s="139"/>
      <c r="DB1751" s="138"/>
      <c r="DC1751" s="45"/>
      <c r="DD1751" s="138"/>
      <c r="DE1751" s="45"/>
      <c r="DF1751" s="46"/>
    </row>
    <row r="1752" spans="1:110" s="42" customFormat="1" x14ac:dyDescent="0.2">
      <c r="A1752" s="89">
        <v>40724</v>
      </c>
      <c r="B1752" s="16" t="s">
        <v>4344</v>
      </c>
      <c r="C1752" s="90" t="s">
        <v>4280</v>
      </c>
      <c r="D1752" s="90" t="s">
        <v>4264</v>
      </c>
      <c r="E1752" s="90" t="str">
        <f>VLOOKUP(B1752&amp;C1752,Divipola!$C$2:$F$1138,4,FALSE)</f>
        <v>25841</v>
      </c>
      <c r="F1752" s="4"/>
      <c r="G1752" s="208"/>
      <c r="H1752" s="208"/>
      <c r="I1752" s="208"/>
      <c r="J1752" s="208">
        <v>1764</v>
      </c>
      <c r="K1752" s="208">
        <v>578</v>
      </c>
      <c r="L1752" s="208"/>
      <c r="M1752" s="208">
        <v>578</v>
      </c>
      <c r="N1752" s="208"/>
      <c r="O1752" s="208"/>
      <c r="P1752" s="208"/>
      <c r="Q1752" s="208"/>
      <c r="R1752" s="208"/>
      <c r="S1752" s="208"/>
      <c r="T1752" s="208"/>
      <c r="U1752" s="208"/>
      <c r="V1752" s="208"/>
      <c r="W1752" s="19"/>
      <c r="X1752" s="17"/>
      <c r="Y1752" s="5">
        <f t="shared" si="162"/>
        <v>0</v>
      </c>
      <c r="Z1752" s="5">
        <f t="shared" si="163"/>
        <v>0</v>
      </c>
      <c r="AA1752" s="5">
        <f t="shared" si="164"/>
        <v>0</v>
      </c>
      <c r="AB1752" s="5">
        <f t="shared" si="165"/>
        <v>0</v>
      </c>
      <c r="AC1752" s="5"/>
      <c r="AD1752" s="5">
        <v>0</v>
      </c>
      <c r="AE1752" s="5">
        <f t="shared" si="166"/>
        <v>0</v>
      </c>
      <c r="AF1752" s="70">
        <v>0</v>
      </c>
      <c r="AG1752" s="17"/>
      <c r="AH1752" s="18"/>
      <c r="AI1752" s="47" t="s">
        <v>4336</v>
      </c>
      <c r="AJ1752" s="73" t="s">
        <v>4337</v>
      </c>
      <c r="AK1752" s="45"/>
      <c r="AL1752" s="17"/>
      <c r="AM1752" s="20" t="s">
        <v>18</v>
      </c>
      <c r="AN1752" s="19"/>
      <c r="AO1752" s="19"/>
      <c r="AP1752" s="19"/>
      <c r="AQ1752" s="19"/>
      <c r="AR1752" s="19"/>
      <c r="AS1752" s="19"/>
      <c r="AT1752" s="19"/>
      <c r="AU1752" s="19"/>
      <c r="AV1752" s="19"/>
      <c r="AW1752" s="19"/>
      <c r="AX1752" s="107"/>
      <c r="AY1752" s="107"/>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39"/>
      <c r="CO1752" s="138"/>
      <c r="CP1752" s="139"/>
      <c r="CQ1752" s="138"/>
      <c r="CR1752" s="139"/>
      <c r="CS1752" s="138"/>
      <c r="CT1752" s="72"/>
      <c r="CU1752" s="139"/>
      <c r="CV1752" s="99">
        <f t="shared" si="167"/>
        <v>0</v>
      </c>
      <c r="CW1752" s="139"/>
      <c r="CX1752" s="138"/>
      <c r="CY1752" s="138"/>
      <c r="CZ1752" s="138"/>
      <c r="DA1752" s="139"/>
      <c r="DB1752" s="138"/>
      <c r="DC1752" s="45"/>
      <c r="DD1752" s="138"/>
      <c r="DE1752" s="45"/>
      <c r="DF1752" s="46"/>
    </row>
    <row r="1753" spans="1:110" s="42" customFormat="1" ht="48" x14ac:dyDescent="0.2">
      <c r="A1753" s="89">
        <v>40724</v>
      </c>
      <c r="B1753" s="145" t="s">
        <v>4344</v>
      </c>
      <c r="C1753" s="145" t="s">
        <v>4280</v>
      </c>
      <c r="D1753" s="145" t="s">
        <v>3346</v>
      </c>
      <c r="E1753" s="90" t="str">
        <f>VLOOKUP(B1753&amp;C1753,Divipola!$C$2:$F$1138,4,FALSE)</f>
        <v>25841</v>
      </c>
      <c r="F1753" s="145"/>
      <c r="G1753" s="164"/>
      <c r="H1753" s="164"/>
      <c r="I1753" s="164"/>
      <c r="J1753" s="164">
        <v>96</v>
      </c>
      <c r="K1753" s="164">
        <v>32</v>
      </c>
      <c r="L1753" s="164"/>
      <c r="M1753" s="164"/>
      <c r="N1753" s="164"/>
      <c r="O1753" s="164"/>
      <c r="P1753" s="164"/>
      <c r="Q1753" s="164"/>
      <c r="R1753" s="164"/>
      <c r="S1753" s="164"/>
      <c r="T1753" s="164"/>
      <c r="U1753" s="164"/>
      <c r="V1753" s="164">
        <v>22.699999999999992</v>
      </c>
      <c r="W1753" s="173"/>
      <c r="X1753" s="17"/>
      <c r="Y1753" s="5">
        <f t="shared" si="162"/>
        <v>0</v>
      </c>
      <c r="Z1753" s="5">
        <f t="shared" si="163"/>
        <v>0</v>
      </c>
      <c r="AA1753" s="5">
        <f t="shared" si="164"/>
        <v>0</v>
      </c>
      <c r="AB1753" s="5">
        <f t="shared" si="165"/>
        <v>0</v>
      </c>
      <c r="AC1753" s="5"/>
      <c r="AD1753" s="5">
        <v>0</v>
      </c>
      <c r="AE1753" s="5">
        <f t="shared" si="166"/>
        <v>0</v>
      </c>
      <c r="AF1753" s="70">
        <v>0</v>
      </c>
      <c r="AG1753" s="135">
        <v>40809</v>
      </c>
      <c r="AH1753" s="161"/>
      <c r="AI1753" s="135" t="s">
        <v>4336</v>
      </c>
      <c r="AJ1753" s="176" t="s">
        <v>4337</v>
      </c>
      <c r="AK1753" s="178"/>
      <c r="AL1753" s="180" t="s">
        <v>4579</v>
      </c>
      <c r="AM1753" s="182" t="s">
        <v>4580</v>
      </c>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39"/>
      <c r="CE1753" s="138"/>
      <c r="CF1753" s="139"/>
      <c r="CG1753" s="138"/>
      <c r="CH1753" s="139"/>
      <c r="CI1753" s="138"/>
      <c r="CJ1753" s="72"/>
      <c r="CK1753" s="139"/>
      <c r="CL1753" s="71"/>
      <c r="CM1753" s="139"/>
      <c r="CN1753" s="138"/>
      <c r="CO1753" s="138"/>
      <c r="CP1753" s="138"/>
      <c r="CQ1753" s="139"/>
      <c r="CR1753" s="138"/>
      <c r="CS1753" s="45"/>
      <c r="CT1753" s="138"/>
      <c r="CU1753" s="45"/>
      <c r="CV1753" s="99">
        <f t="shared" si="167"/>
        <v>0</v>
      </c>
      <c r="CW1753" s="139"/>
      <c r="CX1753" s="138"/>
      <c r="CY1753" s="138"/>
      <c r="CZ1753" s="138"/>
      <c r="DA1753" s="139"/>
      <c r="DB1753" s="138"/>
      <c r="DC1753" s="45"/>
      <c r="DD1753" s="138"/>
      <c r="DE1753" s="45"/>
      <c r="DF1753" s="46"/>
    </row>
    <row r="1754" spans="1:110" s="42" customFormat="1" ht="48" x14ac:dyDescent="0.2">
      <c r="A1754" s="89">
        <v>40724</v>
      </c>
      <c r="B1754" s="145" t="s">
        <v>4344</v>
      </c>
      <c r="C1754" s="145" t="s">
        <v>3324</v>
      </c>
      <c r="D1754" s="145" t="s">
        <v>3346</v>
      </c>
      <c r="E1754" s="90" t="str">
        <f>VLOOKUP(B1754&amp;C1754,Divipola!$C$2:$F$1138,4,FALSE)</f>
        <v>25843</v>
      </c>
      <c r="F1754" s="145"/>
      <c r="G1754" s="164"/>
      <c r="H1754" s="164"/>
      <c r="I1754" s="164"/>
      <c r="J1754" s="164">
        <v>918</v>
      </c>
      <c r="K1754" s="164">
        <v>306</v>
      </c>
      <c r="L1754" s="164"/>
      <c r="M1754" s="164"/>
      <c r="N1754" s="164"/>
      <c r="O1754" s="164"/>
      <c r="P1754" s="164"/>
      <c r="Q1754" s="164"/>
      <c r="R1754" s="164"/>
      <c r="S1754" s="164"/>
      <c r="T1754" s="164"/>
      <c r="U1754" s="164"/>
      <c r="V1754" s="164">
        <v>2717.62</v>
      </c>
      <c r="W1754" s="173"/>
      <c r="X1754" s="17"/>
      <c r="Y1754" s="5">
        <f t="shared" si="162"/>
        <v>0</v>
      </c>
      <c r="Z1754" s="5">
        <f t="shared" si="163"/>
        <v>0</v>
      </c>
      <c r="AA1754" s="5">
        <f t="shared" si="164"/>
        <v>0</v>
      </c>
      <c r="AB1754" s="5">
        <f t="shared" si="165"/>
        <v>0</v>
      </c>
      <c r="AC1754" s="5"/>
      <c r="AD1754" s="5">
        <v>0</v>
      </c>
      <c r="AE1754" s="5">
        <f t="shared" si="166"/>
        <v>0</v>
      </c>
      <c r="AF1754" s="70">
        <v>0</v>
      </c>
      <c r="AG1754" s="135">
        <v>40809</v>
      </c>
      <c r="AH1754" s="161"/>
      <c r="AI1754" s="135" t="s">
        <v>4336</v>
      </c>
      <c r="AJ1754" s="176" t="s">
        <v>4337</v>
      </c>
      <c r="AK1754" s="178"/>
      <c r="AL1754" s="180" t="s">
        <v>4579</v>
      </c>
      <c r="AM1754" s="182" t="s">
        <v>4580</v>
      </c>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39"/>
      <c r="CE1754" s="138"/>
      <c r="CF1754" s="139"/>
      <c r="CG1754" s="138"/>
      <c r="CH1754" s="139"/>
      <c r="CI1754" s="138"/>
      <c r="CJ1754" s="72"/>
      <c r="CK1754" s="139"/>
      <c r="CL1754" s="71"/>
      <c r="CM1754" s="139"/>
      <c r="CN1754" s="138"/>
      <c r="CO1754" s="138"/>
      <c r="CP1754" s="138"/>
      <c r="CQ1754" s="139"/>
      <c r="CR1754" s="138"/>
      <c r="CS1754" s="45"/>
      <c r="CT1754" s="138"/>
      <c r="CU1754" s="45"/>
      <c r="CV1754" s="99">
        <f t="shared" si="167"/>
        <v>0</v>
      </c>
      <c r="CW1754" s="139"/>
      <c r="CX1754" s="138"/>
      <c r="CY1754" s="138"/>
      <c r="CZ1754" s="138"/>
      <c r="DA1754" s="139"/>
      <c r="DB1754" s="138"/>
      <c r="DC1754" s="45"/>
      <c r="DD1754" s="138"/>
      <c r="DE1754" s="45"/>
      <c r="DF1754" s="46"/>
    </row>
    <row r="1755" spans="1:110" s="42" customFormat="1" x14ac:dyDescent="0.2">
      <c r="A1755" s="89">
        <v>40724</v>
      </c>
      <c r="B1755" s="16" t="s">
        <v>4344</v>
      </c>
      <c r="C1755" s="90" t="s">
        <v>3326</v>
      </c>
      <c r="D1755" s="90" t="s">
        <v>4264</v>
      </c>
      <c r="E1755" s="90" t="str">
        <f>VLOOKUP(B1755&amp;C1755,Divipola!$C$2:$F$1138,4,FALSE)</f>
        <v>25845</v>
      </c>
      <c r="F1755" s="4"/>
      <c r="G1755" s="208"/>
      <c r="H1755" s="208"/>
      <c r="I1755" s="208"/>
      <c r="J1755" s="208">
        <v>237</v>
      </c>
      <c r="K1755" s="208">
        <v>83</v>
      </c>
      <c r="L1755" s="208"/>
      <c r="M1755" s="208">
        <v>83</v>
      </c>
      <c r="N1755" s="208"/>
      <c r="O1755" s="208"/>
      <c r="P1755" s="208"/>
      <c r="Q1755" s="208"/>
      <c r="R1755" s="208"/>
      <c r="S1755" s="208"/>
      <c r="T1755" s="208"/>
      <c r="U1755" s="208"/>
      <c r="V1755" s="208"/>
      <c r="W1755" s="19"/>
      <c r="X1755" s="17"/>
      <c r="Y1755" s="5">
        <f t="shared" si="162"/>
        <v>0</v>
      </c>
      <c r="Z1755" s="5">
        <f t="shared" si="163"/>
        <v>0</v>
      </c>
      <c r="AA1755" s="5">
        <f t="shared" si="164"/>
        <v>0</v>
      </c>
      <c r="AB1755" s="5">
        <f t="shared" si="165"/>
        <v>0</v>
      </c>
      <c r="AC1755" s="5"/>
      <c r="AD1755" s="5">
        <v>0</v>
      </c>
      <c r="AE1755" s="5">
        <f t="shared" si="166"/>
        <v>0</v>
      </c>
      <c r="AF1755" s="70">
        <v>0</v>
      </c>
      <c r="AG1755" s="17"/>
      <c r="AH1755" s="18"/>
      <c r="AI1755" s="47" t="s">
        <v>4336</v>
      </c>
      <c r="AJ1755" s="73" t="s">
        <v>4337</v>
      </c>
      <c r="AK1755" s="45"/>
      <c r="AL1755" s="17"/>
      <c r="AM1755" s="20" t="s">
        <v>18</v>
      </c>
      <c r="AN1755" s="19"/>
      <c r="AO1755" s="19"/>
      <c r="AP1755" s="19"/>
      <c r="AQ1755" s="19"/>
      <c r="AR1755" s="19"/>
      <c r="AS1755" s="19"/>
      <c r="AT1755" s="19"/>
      <c r="AU1755" s="19"/>
      <c r="AV1755" s="19"/>
      <c r="AW1755" s="19"/>
      <c r="AX1755" s="107"/>
      <c r="AY1755" s="107"/>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39"/>
      <c r="CO1755" s="138"/>
      <c r="CP1755" s="139"/>
      <c r="CQ1755" s="138"/>
      <c r="CR1755" s="139"/>
      <c r="CS1755" s="138"/>
      <c r="CT1755" s="72"/>
      <c r="CU1755" s="139"/>
      <c r="CV1755" s="99">
        <f t="shared" si="167"/>
        <v>0</v>
      </c>
      <c r="CW1755" s="139"/>
      <c r="CX1755" s="138"/>
      <c r="CY1755" s="138"/>
      <c r="CZ1755" s="138"/>
      <c r="DA1755" s="139"/>
      <c r="DB1755" s="138"/>
      <c r="DC1755" s="45"/>
      <c r="DD1755" s="138"/>
      <c r="DE1755" s="45"/>
      <c r="DF1755" s="46"/>
    </row>
    <row r="1756" spans="1:110" s="42" customFormat="1" ht="48" x14ac:dyDescent="0.2">
      <c r="A1756" s="89">
        <v>40724</v>
      </c>
      <c r="B1756" s="145" t="s">
        <v>4344</v>
      </c>
      <c r="C1756" s="145" t="s">
        <v>3326</v>
      </c>
      <c r="D1756" s="145" t="s">
        <v>3346</v>
      </c>
      <c r="E1756" s="90" t="str">
        <f>VLOOKUP(B1756&amp;C1756,Divipola!$C$2:$F$1138,4,FALSE)</f>
        <v>25845</v>
      </c>
      <c r="F1756" s="145"/>
      <c r="G1756" s="164"/>
      <c r="H1756" s="164"/>
      <c r="I1756" s="164"/>
      <c r="J1756" s="164">
        <v>615</v>
      </c>
      <c r="K1756" s="164">
        <v>205</v>
      </c>
      <c r="L1756" s="164"/>
      <c r="M1756" s="164"/>
      <c r="N1756" s="164"/>
      <c r="O1756" s="164"/>
      <c r="P1756" s="164"/>
      <c r="Q1756" s="164"/>
      <c r="R1756" s="164"/>
      <c r="S1756" s="164"/>
      <c r="T1756" s="164"/>
      <c r="U1756" s="164"/>
      <c r="V1756" s="164">
        <v>431</v>
      </c>
      <c r="W1756" s="173"/>
      <c r="X1756" s="17"/>
      <c r="Y1756" s="5">
        <f t="shared" si="162"/>
        <v>0</v>
      </c>
      <c r="Z1756" s="5">
        <f t="shared" si="163"/>
        <v>0</v>
      </c>
      <c r="AA1756" s="5">
        <f t="shared" si="164"/>
        <v>0</v>
      </c>
      <c r="AB1756" s="5">
        <f t="shared" si="165"/>
        <v>0</v>
      </c>
      <c r="AC1756" s="5"/>
      <c r="AD1756" s="5">
        <v>0</v>
      </c>
      <c r="AE1756" s="5">
        <f t="shared" si="166"/>
        <v>0</v>
      </c>
      <c r="AF1756" s="70">
        <v>0</v>
      </c>
      <c r="AG1756" s="135">
        <v>40809</v>
      </c>
      <c r="AH1756" s="161"/>
      <c r="AI1756" s="135" t="s">
        <v>4336</v>
      </c>
      <c r="AJ1756" s="176" t="s">
        <v>4337</v>
      </c>
      <c r="AK1756" s="178"/>
      <c r="AL1756" s="180" t="s">
        <v>4579</v>
      </c>
      <c r="AM1756" s="182" t="s">
        <v>4580</v>
      </c>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39"/>
      <c r="CE1756" s="138"/>
      <c r="CF1756" s="139"/>
      <c r="CG1756" s="138"/>
      <c r="CH1756" s="139"/>
      <c r="CI1756" s="138"/>
      <c r="CJ1756" s="72"/>
      <c r="CK1756" s="139"/>
      <c r="CL1756" s="71"/>
      <c r="CM1756" s="139"/>
      <c r="CN1756" s="138"/>
      <c r="CO1756" s="138"/>
      <c r="CP1756" s="138"/>
      <c r="CQ1756" s="139"/>
      <c r="CR1756" s="138"/>
      <c r="CS1756" s="45"/>
      <c r="CT1756" s="138"/>
      <c r="CU1756" s="45"/>
      <c r="CV1756" s="99">
        <f t="shared" si="167"/>
        <v>0</v>
      </c>
      <c r="CW1756" s="139"/>
      <c r="CX1756" s="138"/>
      <c r="CY1756" s="138"/>
      <c r="CZ1756" s="138"/>
      <c r="DA1756" s="139"/>
      <c r="DB1756" s="138"/>
      <c r="DC1756" s="45"/>
      <c r="DD1756" s="138"/>
      <c r="DE1756" s="45"/>
      <c r="DF1756" s="46"/>
    </row>
    <row r="1757" spans="1:110" s="42" customFormat="1" ht="48" x14ac:dyDescent="0.2">
      <c r="A1757" s="89">
        <v>40724</v>
      </c>
      <c r="B1757" s="145" t="s">
        <v>4344</v>
      </c>
      <c r="C1757" s="145" t="s">
        <v>4517</v>
      </c>
      <c r="D1757" s="145" t="s">
        <v>3346</v>
      </c>
      <c r="E1757" s="90" t="str">
        <f>VLOOKUP(B1757&amp;C1757,Divipola!$C$2:$F$1138,4,FALSE)</f>
        <v>25851</v>
      </c>
      <c r="F1757" s="145"/>
      <c r="G1757" s="164"/>
      <c r="H1757" s="164"/>
      <c r="I1757" s="164"/>
      <c r="J1757" s="164">
        <v>639</v>
      </c>
      <c r="K1757" s="164">
        <v>213</v>
      </c>
      <c r="L1757" s="164"/>
      <c r="M1757" s="164"/>
      <c r="N1757" s="164"/>
      <c r="O1757" s="164"/>
      <c r="P1757" s="164"/>
      <c r="Q1757" s="164"/>
      <c r="R1757" s="164"/>
      <c r="S1757" s="164"/>
      <c r="T1757" s="164"/>
      <c r="U1757" s="164"/>
      <c r="V1757" s="164">
        <v>420.14716666666664</v>
      </c>
      <c r="W1757" s="173"/>
      <c r="X1757" s="17"/>
      <c r="Y1757" s="5">
        <f t="shared" si="162"/>
        <v>0</v>
      </c>
      <c r="Z1757" s="5">
        <f t="shared" si="163"/>
        <v>0</v>
      </c>
      <c r="AA1757" s="5">
        <f t="shared" si="164"/>
        <v>0</v>
      </c>
      <c r="AB1757" s="5">
        <f t="shared" si="165"/>
        <v>0</v>
      </c>
      <c r="AC1757" s="5"/>
      <c r="AD1757" s="5">
        <v>0</v>
      </c>
      <c r="AE1757" s="5">
        <f t="shared" si="166"/>
        <v>0</v>
      </c>
      <c r="AF1757" s="70">
        <v>0</v>
      </c>
      <c r="AG1757" s="135">
        <v>40809</v>
      </c>
      <c r="AH1757" s="161"/>
      <c r="AI1757" s="135" t="s">
        <v>4336</v>
      </c>
      <c r="AJ1757" s="176" t="s">
        <v>4337</v>
      </c>
      <c r="AK1757" s="178"/>
      <c r="AL1757" s="180" t="s">
        <v>4579</v>
      </c>
      <c r="AM1757" s="182" t="s">
        <v>4580</v>
      </c>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39"/>
      <c r="CE1757" s="138"/>
      <c r="CF1757" s="139"/>
      <c r="CG1757" s="138"/>
      <c r="CH1757" s="139"/>
      <c r="CI1757" s="138"/>
      <c r="CJ1757" s="72"/>
      <c r="CK1757" s="139"/>
      <c r="CL1757" s="71"/>
      <c r="CM1757" s="139"/>
      <c r="CN1757" s="138"/>
      <c r="CO1757" s="138"/>
      <c r="CP1757" s="138"/>
      <c r="CQ1757" s="139"/>
      <c r="CR1757" s="138"/>
      <c r="CS1757" s="45"/>
      <c r="CT1757" s="138"/>
      <c r="CU1757" s="45"/>
      <c r="CV1757" s="99">
        <f t="shared" si="167"/>
        <v>0</v>
      </c>
      <c r="CW1757" s="139"/>
      <c r="CX1757" s="138"/>
      <c r="CY1757" s="138"/>
      <c r="CZ1757" s="138"/>
      <c r="DA1757" s="139"/>
      <c r="DB1757" s="138"/>
      <c r="DC1757" s="45"/>
      <c r="DD1757" s="138"/>
      <c r="DE1757" s="45"/>
      <c r="DF1757" s="46"/>
    </row>
    <row r="1758" spans="1:110" s="42" customFormat="1" x14ac:dyDescent="0.2">
      <c r="A1758" s="89">
        <v>40724</v>
      </c>
      <c r="B1758" s="16" t="s">
        <v>4344</v>
      </c>
      <c r="C1758" s="16" t="s">
        <v>3441</v>
      </c>
      <c r="D1758" s="90" t="s">
        <v>4264</v>
      </c>
      <c r="E1758" s="90" t="str">
        <f>VLOOKUP(B1758&amp;C1758,Divipola!$C$2:$F$1138,4,FALSE)</f>
        <v>25506</v>
      </c>
      <c r="F1758" s="4"/>
      <c r="G1758" s="208"/>
      <c r="H1758" s="208"/>
      <c r="I1758" s="208"/>
      <c r="J1758" s="208">
        <v>1071</v>
      </c>
      <c r="K1758" s="208">
        <v>321</v>
      </c>
      <c r="L1758" s="208"/>
      <c r="M1758" s="208">
        <v>321</v>
      </c>
      <c r="N1758" s="208"/>
      <c r="O1758" s="208"/>
      <c r="P1758" s="208"/>
      <c r="Q1758" s="208"/>
      <c r="R1758" s="208"/>
      <c r="S1758" s="208"/>
      <c r="T1758" s="208"/>
      <c r="U1758" s="208"/>
      <c r="V1758" s="208"/>
      <c r="W1758" s="19"/>
      <c r="X1758" s="17"/>
      <c r="Y1758" s="5">
        <f t="shared" ref="Y1758:Y1821" si="168">CV1758</f>
        <v>0</v>
      </c>
      <c r="Z1758" s="5">
        <f t="shared" ref="Z1758:Z1821" si="169">CZ1758</f>
        <v>0</v>
      </c>
      <c r="AA1758" s="5">
        <f t="shared" ref="AA1758:AA1821" si="170">DB1758+DD1758</f>
        <v>0</v>
      </c>
      <c r="AB1758" s="5">
        <f t="shared" ref="AB1758:AB1821" si="171">CX1758</f>
        <v>0</v>
      </c>
      <c r="AC1758" s="5"/>
      <c r="AD1758" s="5">
        <v>0</v>
      </c>
      <c r="AE1758" s="5">
        <f t="shared" ref="AE1758:AE1821" si="172">Y1758+Z1758+AA1758+AB1758+AC1758+AD1758</f>
        <v>0</v>
      </c>
      <c r="AF1758" s="70">
        <v>0</v>
      </c>
      <c r="AG1758" s="17"/>
      <c r="AH1758" s="18"/>
      <c r="AI1758" s="47" t="s">
        <v>4336</v>
      </c>
      <c r="AJ1758" s="73" t="s">
        <v>4337</v>
      </c>
      <c r="AK1758" s="45"/>
      <c r="AL1758" s="17"/>
      <c r="AM1758" s="20" t="s">
        <v>18</v>
      </c>
      <c r="AN1758" s="19"/>
      <c r="AO1758" s="19"/>
      <c r="AP1758" s="19"/>
      <c r="AQ1758" s="19"/>
      <c r="AR1758" s="19"/>
      <c r="AS1758" s="19"/>
      <c r="AT1758" s="19"/>
      <c r="AU1758" s="19"/>
      <c r="AV1758" s="19"/>
      <c r="AW1758" s="19"/>
      <c r="AX1758" s="107"/>
      <c r="AY1758" s="107"/>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39"/>
      <c r="CO1758" s="138"/>
      <c r="CP1758" s="139"/>
      <c r="CQ1758" s="138"/>
      <c r="CR1758" s="139"/>
      <c r="CS1758" s="138"/>
      <c r="CT1758" s="72"/>
      <c r="CU1758" s="139"/>
      <c r="CV1758" s="99">
        <f t="shared" si="167"/>
        <v>0</v>
      </c>
      <c r="CW1758" s="139"/>
      <c r="CX1758" s="138"/>
      <c r="CY1758" s="138"/>
      <c r="CZ1758" s="138"/>
      <c r="DA1758" s="139"/>
      <c r="DB1758" s="138"/>
      <c r="DC1758" s="45"/>
      <c r="DD1758" s="138"/>
      <c r="DE1758" s="45"/>
      <c r="DF1758" s="46"/>
    </row>
    <row r="1759" spans="1:110" s="42" customFormat="1" ht="48" x14ac:dyDescent="0.2">
      <c r="A1759" s="89">
        <v>40724</v>
      </c>
      <c r="B1759" s="145" t="s">
        <v>4344</v>
      </c>
      <c r="C1759" s="145" t="s">
        <v>3441</v>
      </c>
      <c r="D1759" s="145" t="s">
        <v>3346</v>
      </c>
      <c r="E1759" s="90" t="str">
        <f>VLOOKUP(B1759&amp;C1759,Divipola!$C$2:$F$1138,4,FALSE)</f>
        <v>25506</v>
      </c>
      <c r="F1759" s="145"/>
      <c r="G1759" s="164"/>
      <c r="H1759" s="164"/>
      <c r="I1759" s="164"/>
      <c r="J1759" s="164">
        <v>1341</v>
      </c>
      <c r="K1759" s="164">
        <v>447</v>
      </c>
      <c r="L1759" s="164"/>
      <c r="M1759" s="164"/>
      <c r="N1759" s="164"/>
      <c r="O1759" s="164"/>
      <c r="P1759" s="164"/>
      <c r="Q1759" s="164"/>
      <c r="R1759" s="164"/>
      <c r="S1759" s="164"/>
      <c r="T1759" s="164"/>
      <c r="U1759" s="164"/>
      <c r="V1759" s="164">
        <v>883.38</v>
      </c>
      <c r="W1759" s="173"/>
      <c r="X1759" s="17"/>
      <c r="Y1759" s="5">
        <f t="shared" si="168"/>
        <v>0</v>
      </c>
      <c r="Z1759" s="5">
        <f t="shared" si="169"/>
        <v>0</v>
      </c>
      <c r="AA1759" s="5">
        <f t="shared" si="170"/>
        <v>0</v>
      </c>
      <c r="AB1759" s="5">
        <f t="shared" si="171"/>
        <v>0</v>
      </c>
      <c r="AC1759" s="5"/>
      <c r="AD1759" s="5">
        <v>0</v>
      </c>
      <c r="AE1759" s="5">
        <f t="shared" si="172"/>
        <v>0</v>
      </c>
      <c r="AF1759" s="70">
        <v>0</v>
      </c>
      <c r="AG1759" s="135">
        <v>40809</v>
      </c>
      <c r="AH1759" s="161"/>
      <c r="AI1759" s="135" t="s">
        <v>4336</v>
      </c>
      <c r="AJ1759" s="176" t="s">
        <v>4337</v>
      </c>
      <c r="AK1759" s="178"/>
      <c r="AL1759" s="180" t="s">
        <v>4579</v>
      </c>
      <c r="AM1759" s="182" t="s">
        <v>4580</v>
      </c>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39"/>
      <c r="CE1759" s="138"/>
      <c r="CF1759" s="139"/>
      <c r="CG1759" s="138"/>
      <c r="CH1759" s="139"/>
      <c r="CI1759" s="138"/>
      <c r="CJ1759" s="72"/>
      <c r="CK1759" s="139"/>
      <c r="CL1759" s="71"/>
      <c r="CM1759" s="139"/>
      <c r="CN1759" s="138"/>
      <c r="CO1759" s="138"/>
      <c r="CP1759" s="138"/>
      <c r="CQ1759" s="139"/>
      <c r="CR1759" s="138"/>
      <c r="CS1759" s="45"/>
      <c r="CT1759" s="138"/>
      <c r="CU1759" s="45"/>
      <c r="CV1759" s="99">
        <f t="shared" si="167"/>
        <v>0</v>
      </c>
      <c r="CW1759" s="139"/>
      <c r="CX1759" s="138"/>
      <c r="CY1759" s="138"/>
      <c r="CZ1759" s="138"/>
      <c r="DA1759" s="139"/>
      <c r="DB1759" s="138"/>
      <c r="DC1759" s="45"/>
      <c r="DD1759" s="138"/>
      <c r="DE1759" s="45"/>
      <c r="DF1759" s="46"/>
    </row>
    <row r="1760" spans="1:110" s="42" customFormat="1" x14ac:dyDescent="0.2">
      <c r="A1760" s="89">
        <v>40724</v>
      </c>
      <c r="B1760" s="16" t="s">
        <v>4344</v>
      </c>
      <c r="C1760" s="16" t="s">
        <v>843</v>
      </c>
      <c r="D1760" s="90" t="s">
        <v>4264</v>
      </c>
      <c r="E1760" s="90" t="str">
        <f>VLOOKUP(B1760&amp;C1760,Divipola!$C$2:$F$1138,4,FALSE)</f>
        <v>25867</v>
      </c>
      <c r="F1760" s="4"/>
      <c r="G1760" s="208"/>
      <c r="H1760" s="208"/>
      <c r="I1760" s="208"/>
      <c r="J1760" s="208">
        <v>317</v>
      </c>
      <c r="K1760" s="208">
        <v>73</v>
      </c>
      <c r="L1760" s="208"/>
      <c r="M1760" s="208">
        <v>73</v>
      </c>
      <c r="N1760" s="208"/>
      <c r="O1760" s="208"/>
      <c r="P1760" s="208"/>
      <c r="Q1760" s="208"/>
      <c r="R1760" s="208"/>
      <c r="S1760" s="208"/>
      <c r="T1760" s="208"/>
      <c r="U1760" s="208"/>
      <c r="V1760" s="208"/>
      <c r="W1760" s="19"/>
      <c r="X1760" s="17"/>
      <c r="Y1760" s="5">
        <f t="shared" si="168"/>
        <v>0</v>
      </c>
      <c r="Z1760" s="5">
        <f t="shared" si="169"/>
        <v>0</v>
      </c>
      <c r="AA1760" s="5">
        <f t="shared" si="170"/>
        <v>0</v>
      </c>
      <c r="AB1760" s="5">
        <f t="shared" si="171"/>
        <v>0</v>
      </c>
      <c r="AC1760" s="5"/>
      <c r="AD1760" s="5">
        <v>0</v>
      </c>
      <c r="AE1760" s="5">
        <f t="shared" si="172"/>
        <v>0</v>
      </c>
      <c r="AF1760" s="70">
        <v>0</v>
      </c>
      <c r="AG1760" s="17"/>
      <c r="AH1760" s="18"/>
      <c r="AI1760" s="47" t="s">
        <v>4336</v>
      </c>
      <c r="AJ1760" s="73" t="s">
        <v>4337</v>
      </c>
      <c r="AK1760" s="45"/>
      <c r="AL1760" s="17"/>
      <c r="AM1760" s="20" t="s">
        <v>18</v>
      </c>
      <c r="AN1760" s="19"/>
      <c r="AO1760" s="19"/>
      <c r="AP1760" s="19"/>
      <c r="AQ1760" s="19"/>
      <c r="AR1760" s="19"/>
      <c r="AS1760" s="19"/>
      <c r="AT1760" s="19"/>
      <c r="AU1760" s="19"/>
      <c r="AV1760" s="19"/>
      <c r="AW1760" s="19"/>
      <c r="AX1760" s="107"/>
      <c r="AY1760" s="107"/>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39"/>
      <c r="CO1760" s="138"/>
      <c r="CP1760" s="139"/>
      <c r="CQ1760" s="138"/>
      <c r="CR1760" s="139"/>
      <c r="CS1760" s="138"/>
      <c r="CT1760" s="72"/>
      <c r="CU1760" s="139"/>
      <c r="CV1760" s="99">
        <f t="shared" si="167"/>
        <v>0</v>
      </c>
      <c r="CW1760" s="139"/>
      <c r="CX1760" s="138"/>
      <c r="CY1760" s="138"/>
      <c r="CZ1760" s="138"/>
      <c r="DA1760" s="139"/>
      <c r="DB1760" s="138"/>
      <c r="DC1760" s="45"/>
      <c r="DD1760" s="138"/>
      <c r="DE1760" s="45"/>
      <c r="DF1760" s="46">
        <v>1880</v>
      </c>
    </row>
    <row r="1761" spans="1:110" s="42" customFormat="1" ht="48" x14ac:dyDescent="0.2">
      <c r="A1761" s="89">
        <v>40724</v>
      </c>
      <c r="B1761" s="145" t="s">
        <v>4344</v>
      </c>
      <c r="C1761" s="145" t="s">
        <v>843</v>
      </c>
      <c r="D1761" s="145" t="s">
        <v>3346</v>
      </c>
      <c r="E1761" s="90" t="str">
        <f>VLOOKUP(B1761&amp;C1761,Divipola!$C$2:$F$1138,4,FALSE)</f>
        <v>25867</v>
      </c>
      <c r="F1761" s="145"/>
      <c r="G1761" s="164"/>
      <c r="H1761" s="164"/>
      <c r="I1761" s="164"/>
      <c r="J1761" s="164">
        <v>660</v>
      </c>
      <c r="K1761" s="164">
        <v>220</v>
      </c>
      <c r="L1761" s="164"/>
      <c r="M1761" s="164"/>
      <c r="N1761" s="164"/>
      <c r="O1761" s="164"/>
      <c r="P1761" s="164"/>
      <c r="Q1761" s="164"/>
      <c r="R1761" s="164"/>
      <c r="S1761" s="164"/>
      <c r="T1761" s="164"/>
      <c r="U1761" s="164"/>
      <c r="V1761" s="164">
        <v>361.25000000000006</v>
      </c>
      <c r="W1761" s="173"/>
      <c r="X1761" s="17"/>
      <c r="Y1761" s="5">
        <f t="shared" si="168"/>
        <v>0</v>
      </c>
      <c r="Z1761" s="5">
        <f t="shared" si="169"/>
        <v>0</v>
      </c>
      <c r="AA1761" s="5">
        <f t="shared" si="170"/>
        <v>0</v>
      </c>
      <c r="AB1761" s="5">
        <f t="shared" si="171"/>
        <v>0</v>
      </c>
      <c r="AC1761" s="5"/>
      <c r="AD1761" s="5">
        <v>0</v>
      </c>
      <c r="AE1761" s="5">
        <f t="shared" si="172"/>
        <v>0</v>
      </c>
      <c r="AF1761" s="70">
        <v>0</v>
      </c>
      <c r="AG1761" s="135">
        <v>40809</v>
      </c>
      <c r="AH1761" s="161"/>
      <c r="AI1761" s="135" t="s">
        <v>4336</v>
      </c>
      <c r="AJ1761" s="176" t="s">
        <v>4337</v>
      </c>
      <c r="AK1761" s="178"/>
      <c r="AL1761" s="180" t="s">
        <v>4579</v>
      </c>
      <c r="AM1761" s="182" t="s">
        <v>4580</v>
      </c>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39"/>
      <c r="CE1761" s="138"/>
      <c r="CF1761" s="139"/>
      <c r="CG1761" s="138"/>
      <c r="CH1761" s="139"/>
      <c r="CI1761" s="138"/>
      <c r="CJ1761" s="72"/>
      <c r="CK1761" s="139"/>
      <c r="CL1761" s="71"/>
      <c r="CM1761" s="139"/>
      <c r="CN1761" s="138"/>
      <c r="CO1761" s="138"/>
      <c r="CP1761" s="138"/>
      <c r="CQ1761" s="139"/>
      <c r="CR1761" s="138"/>
      <c r="CS1761" s="45"/>
      <c r="CT1761" s="138"/>
      <c r="CU1761" s="45"/>
      <c r="CV1761" s="99">
        <f t="shared" si="167"/>
        <v>0</v>
      </c>
      <c r="CW1761" s="139"/>
      <c r="CX1761" s="138"/>
      <c r="CY1761" s="138"/>
      <c r="CZ1761" s="138"/>
      <c r="DA1761" s="139"/>
      <c r="DB1761" s="138"/>
      <c r="DC1761" s="45"/>
      <c r="DD1761" s="138"/>
      <c r="DE1761" s="45"/>
      <c r="DF1761" s="46"/>
    </row>
    <row r="1762" spans="1:110" s="42" customFormat="1" ht="48" x14ac:dyDescent="0.2">
      <c r="A1762" s="89">
        <v>40724</v>
      </c>
      <c r="B1762" s="145" t="s">
        <v>4344</v>
      </c>
      <c r="C1762" s="145" t="s">
        <v>1840</v>
      </c>
      <c r="D1762" s="145" t="s">
        <v>3346</v>
      </c>
      <c r="E1762" s="90" t="str">
        <f>VLOOKUP(B1762&amp;C1762,Divipola!$C$2:$F$1138,4,FALSE)</f>
        <v>25871</v>
      </c>
      <c r="F1762" s="145"/>
      <c r="G1762" s="164"/>
      <c r="H1762" s="164"/>
      <c r="I1762" s="164"/>
      <c r="J1762" s="164">
        <v>156</v>
      </c>
      <c r="K1762" s="164">
        <v>52</v>
      </c>
      <c r="L1762" s="164"/>
      <c r="M1762" s="164"/>
      <c r="N1762" s="164"/>
      <c r="O1762" s="164"/>
      <c r="P1762" s="164"/>
      <c r="Q1762" s="164"/>
      <c r="R1762" s="164"/>
      <c r="S1762" s="164"/>
      <c r="T1762" s="164"/>
      <c r="U1762" s="164"/>
      <c r="V1762" s="164">
        <v>52.3</v>
      </c>
      <c r="W1762" s="173"/>
      <c r="X1762" s="17"/>
      <c r="Y1762" s="5">
        <f t="shared" si="168"/>
        <v>0</v>
      </c>
      <c r="Z1762" s="5">
        <f t="shared" si="169"/>
        <v>0</v>
      </c>
      <c r="AA1762" s="5">
        <f t="shared" si="170"/>
        <v>0</v>
      </c>
      <c r="AB1762" s="5">
        <f t="shared" si="171"/>
        <v>0</v>
      </c>
      <c r="AC1762" s="5"/>
      <c r="AD1762" s="5">
        <v>0</v>
      </c>
      <c r="AE1762" s="5">
        <f t="shared" si="172"/>
        <v>0</v>
      </c>
      <c r="AF1762" s="70">
        <v>0</v>
      </c>
      <c r="AG1762" s="135">
        <v>40809</v>
      </c>
      <c r="AH1762" s="161"/>
      <c r="AI1762" s="135" t="s">
        <v>4336</v>
      </c>
      <c r="AJ1762" s="176" t="s">
        <v>4337</v>
      </c>
      <c r="AK1762" s="178"/>
      <c r="AL1762" s="180" t="s">
        <v>4579</v>
      </c>
      <c r="AM1762" s="182" t="s">
        <v>4580</v>
      </c>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39"/>
      <c r="CE1762" s="138"/>
      <c r="CF1762" s="139"/>
      <c r="CG1762" s="138"/>
      <c r="CH1762" s="139"/>
      <c r="CI1762" s="138"/>
      <c r="CJ1762" s="72"/>
      <c r="CK1762" s="139"/>
      <c r="CL1762" s="71"/>
      <c r="CM1762" s="139"/>
      <c r="CN1762" s="138"/>
      <c r="CO1762" s="138"/>
      <c r="CP1762" s="138"/>
      <c r="CQ1762" s="139"/>
      <c r="CR1762" s="138"/>
      <c r="CS1762" s="45"/>
      <c r="CT1762" s="138"/>
      <c r="CU1762" s="45"/>
      <c r="CV1762" s="99">
        <f t="shared" si="167"/>
        <v>0</v>
      </c>
      <c r="CW1762" s="139"/>
      <c r="CX1762" s="138"/>
      <c r="CY1762" s="138"/>
      <c r="CZ1762" s="138"/>
      <c r="DA1762" s="139"/>
      <c r="DB1762" s="138"/>
      <c r="DC1762" s="45"/>
      <c r="DD1762" s="138"/>
      <c r="DE1762" s="45"/>
      <c r="DF1762" s="46"/>
    </row>
    <row r="1763" spans="1:110" s="42" customFormat="1" ht="48" x14ac:dyDescent="0.2">
      <c r="A1763" s="89">
        <v>40724</v>
      </c>
      <c r="B1763" s="145" t="s">
        <v>4344</v>
      </c>
      <c r="C1763" s="145" t="s">
        <v>4518</v>
      </c>
      <c r="D1763" s="145" t="s">
        <v>3346</v>
      </c>
      <c r="E1763" s="90" t="str">
        <f>VLOOKUP(B1763&amp;C1763,Divipola!$C$2:$F$1138,4,FALSE)</f>
        <v>25873</v>
      </c>
      <c r="F1763" s="145"/>
      <c r="G1763" s="164"/>
      <c r="H1763" s="164"/>
      <c r="I1763" s="164"/>
      <c r="J1763" s="164">
        <v>441</v>
      </c>
      <c r="K1763" s="164">
        <v>147</v>
      </c>
      <c r="L1763" s="164"/>
      <c r="M1763" s="164"/>
      <c r="N1763" s="164"/>
      <c r="O1763" s="164"/>
      <c r="P1763" s="164"/>
      <c r="Q1763" s="164"/>
      <c r="R1763" s="164"/>
      <c r="S1763" s="164"/>
      <c r="T1763" s="164"/>
      <c r="U1763" s="164"/>
      <c r="V1763" s="164">
        <v>530.53500000000008</v>
      </c>
      <c r="W1763" s="173"/>
      <c r="X1763" s="17"/>
      <c r="Y1763" s="5">
        <f t="shared" si="168"/>
        <v>0</v>
      </c>
      <c r="Z1763" s="5">
        <f t="shared" si="169"/>
        <v>0</v>
      </c>
      <c r="AA1763" s="5">
        <f t="shared" si="170"/>
        <v>0</v>
      </c>
      <c r="AB1763" s="5">
        <f t="shared" si="171"/>
        <v>0</v>
      </c>
      <c r="AC1763" s="5"/>
      <c r="AD1763" s="5">
        <v>0</v>
      </c>
      <c r="AE1763" s="5">
        <f t="shared" si="172"/>
        <v>0</v>
      </c>
      <c r="AF1763" s="70">
        <v>0</v>
      </c>
      <c r="AG1763" s="135">
        <v>40809</v>
      </c>
      <c r="AH1763" s="161"/>
      <c r="AI1763" s="135" t="s">
        <v>4336</v>
      </c>
      <c r="AJ1763" s="176" t="s">
        <v>4337</v>
      </c>
      <c r="AK1763" s="178"/>
      <c r="AL1763" s="180" t="s">
        <v>4579</v>
      </c>
      <c r="AM1763" s="182" t="s">
        <v>4580</v>
      </c>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39"/>
      <c r="CE1763" s="138"/>
      <c r="CF1763" s="139"/>
      <c r="CG1763" s="138"/>
      <c r="CH1763" s="139"/>
      <c r="CI1763" s="138"/>
      <c r="CJ1763" s="72"/>
      <c r="CK1763" s="139"/>
      <c r="CL1763" s="71"/>
      <c r="CM1763" s="139"/>
      <c r="CN1763" s="138"/>
      <c r="CO1763" s="138"/>
      <c r="CP1763" s="138"/>
      <c r="CQ1763" s="139"/>
      <c r="CR1763" s="138"/>
      <c r="CS1763" s="45"/>
      <c r="CT1763" s="138"/>
      <c r="CU1763" s="45"/>
      <c r="CV1763" s="99">
        <f t="shared" si="167"/>
        <v>0</v>
      </c>
      <c r="CW1763" s="139"/>
      <c r="CX1763" s="138"/>
      <c r="CY1763" s="138"/>
      <c r="CZ1763" s="138"/>
      <c r="DA1763" s="139"/>
      <c r="DB1763" s="138"/>
      <c r="DC1763" s="45"/>
      <c r="DD1763" s="138"/>
      <c r="DE1763" s="45"/>
      <c r="DF1763" s="46"/>
    </row>
    <row r="1764" spans="1:110" s="42" customFormat="1" x14ac:dyDescent="0.2">
      <c r="A1764" s="89">
        <v>40724</v>
      </c>
      <c r="B1764" s="16" t="s">
        <v>4344</v>
      </c>
      <c r="C1764" s="16" t="s">
        <v>3472</v>
      </c>
      <c r="D1764" s="90" t="s">
        <v>4264</v>
      </c>
      <c r="E1764" s="90" t="str">
        <f>VLOOKUP(B1764&amp;C1764,Divipola!$C$2:$F$1138,4,FALSE)</f>
        <v>25875</v>
      </c>
      <c r="F1764" s="4"/>
      <c r="G1764" s="208"/>
      <c r="H1764" s="208"/>
      <c r="I1764" s="208"/>
      <c r="J1764" s="208">
        <v>1522</v>
      </c>
      <c r="K1764" s="208">
        <v>429</v>
      </c>
      <c r="L1764" s="208"/>
      <c r="M1764" s="208">
        <v>429</v>
      </c>
      <c r="N1764" s="208"/>
      <c r="O1764" s="208"/>
      <c r="P1764" s="208"/>
      <c r="Q1764" s="208"/>
      <c r="R1764" s="208"/>
      <c r="S1764" s="208"/>
      <c r="T1764" s="208"/>
      <c r="U1764" s="208"/>
      <c r="V1764" s="208"/>
      <c r="W1764" s="19"/>
      <c r="X1764" s="17"/>
      <c r="Y1764" s="5">
        <f t="shared" si="168"/>
        <v>0</v>
      </c>
      <c r="Z1764" s="5">
        <f t="shared" si="169"/>
        <v>0</v>
      </c>
      <c r="AA1764" s="5">
        <f t="shared" si="170"/>
        <v>0</v>
      </c>
      <c r="AB1764" s="5">
        <f t="shared" si="171"/>
        <v>0</v>
      </c>
      <c r="AC1764" s="5"/>
      <c r="AD1764" s="5">
        <v>0</v>
      </c>
      <c r="AE1764" s="5">
        <f t="shared" si="172"/>
        <v>0</v>
      </c>
      <c r="AF1764" s="70">
        <v>0</v>
      </c>
      <c r="AG1764" s="17"/>
      <c r="AH1764" s="18"/>
      <c r="AI1764" s="47" t="s">
        <v>4336</v>
      </c>
      <c r="AJ1764" s="73" t="s">
        <v>4337</v>
      </c>
      <c r="AK1764" s="45"/>
      <c r="AL1764" s="17"/>
      <c r="AM1764" s="20" t="s">
        <v>18</v>
      </c>
      <c r="AN1764" s="19"/>
      <c r="AO1764" s="19"/>
      <c r="AP1764" s="19"/>
      <c r="AQ1764" s="19"/>
      <c r="AR1764" s="19"/>
      <c r="AS1764" s="19"/>
      <c r="AT1764" s="19"/>
      <c r="AU1764" s="19"/>
      <c r="AV1764" s="19"/>
      <c r="AW1764" s="19"/>
      <c r="AX1764" s="107"/>
      <c r="AY1764" s="107"/>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39"/>
      <c r="CO1764" s="138"/>
      <c r="CP1764" s="139"/>
      <c r="CQ1764" s="138"/>
      <c r="CR1764" s="139"/>
      <c r="CS1764" s="138"/>
      <c r="CT1764" s="72"/>
      <c r="CU1764" s="139"/>
      <c r="CV1764" s="99">
        <f t="shared" si="167"/>
        <v>0</v>
      </c>
      <c r="CW1764" s="139"/>
      <c r="CX1764" s="138"/>
      <c r="CY1764" s="138"/>
      <c r="CZ1764" s="138"/>
      <c r="DA1764" s="139"/>
      <c r="DB1764" s="138"/>
      <c r="DC1764" s="45"/>
      <c r="DD1764" s="138"/>
      <c r="DE1764" s="45"/>
      <c r="DF1764" s="46"/>
    </row>
    <row r="1765" spans="1:110" s="42" customFormat="1" ht="48" x14ac:dyDescent="0.2">
      <c r="A1765" s="89">
        <v>40724</v>
      </c>
      <c r="B1765" s="145" t="s">
        <v>4344</v>
      </c>
      <c r="C1765" s="145" t="s">
        <v>3472</v>
      </c>
      <c r="D1765" s="145" t="s">
        <v>3346</v>
      </c>
      <c r="E1765" s="90" t="str">
        <f>VLOOKUP(B1765&amp;C1765,Divipola!$C$2:$F$1138,4,FALSE)</f>
        <v>25875</v>
      </c>
      <c r="F1765" s="145"/>
      <c r="G1765" s="164"/>
      <c r="H1765" s="164"/>
      <c r="I1765" s="164"/>
      <c r="J1765" s="164">
        <v>990</v>
      </c>
      <c r="K1765" s="164">
        <v>330</v>
      </c>
      <c r="L1765" s="164"/>
      <c r="M1765" s="164"/>
      <c r="N1765" s="164"/>
      <c r="O1765" s="164"/>
      <c r="P1765" s="164"/>
      <c r="Q1765" s="164"/>
      <c r="R1765" s="164"/>
      <c r="S1765" s="164"/>
      <c r="T1765" s="164"/>
      <c r="U1765" s="164"/>
      <c r="V1765" s="164">
        <v>572.70199999999943</v>
      </c>
      <c r="W1765" s="173"/>
      <c r="X1765" s="17"/>
      <c r="Y1765" s="5">
        <f t="shared" si="168"/>
        <v>0</v>
      </c>
      <c r="Z1765" s="5">
        <f t="shared" si="169"/>
        <v>0</v>
      </c>
      <c r="AA1765" s="5">
        <f t="shared" si="170"/>
        <v>0</v>
      </c>
      <c r="AB1765" s="5">
        <f t="shared" si="171"/>
        <v>0</v>
      </c>
      <c r="AC1765" s="5"/>
      <c r="AD1765" s="5">
        <v>0</v>
      </c>
      <c r="AE1765" s="5">
        <f t="shared" si="172"/>
        <v>0</v>
      </c>
      <c r="AF1765" s="70">
        <v>0</v>
      </c>
      <c r="AG1765" s="135">
        <v>40809</v>
      </c>
      <c r="AH1765" s="161"/>
      <c r="AI1765" s="135" t="s">
        <v>4336</v>
      </c>
      <c r="AJ1765" s="176" t="s">
        <v>4337</v>
      </c>
      <c r="AK1765" s="178"/>
      <c r="AL1765" s="180" t="s">
        <v>4579</v>
      </c>
      <c r="AM1765" s="182" t="s">
        <v>4580</v>
      </c>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39"/>
      <c r="CE1765" s="138"/>
      <c r="CF1765" s="139"/>
      <c r="CG1765" s="138"/>
      <c r="CH1765" s="139"/>
      <c r="CI1765" s="138"/>
      <c r="CJ1765" s="72"/>
      <c r="CK1765" s="139"/>
      <c r="CL1765" s="71"/>
      <c r="CM1765" s="139"/>
      <c r="CN1765" s="138"/>
      <c r="CO1765" s="138"/>
      <c r="CP1765" s="138"/>
      <c r="CQ1765" s="139"/>
      <c r="CR1765" s="138"/>
      <c r="CS1765" s="45"/>
      <c r="CT1765" s="138"/>
      <c r="CU1765" s="45"/>
      <c r="CV1765" s="99">
        <f t="shared" si="167"/>
        <v>0</v>
      </c>
      <c r="CW1765" s="139"/>
      <c r="CX1765" s="138"/>
      <c r="CY1765" s="138"/>
      <c r="CZ1765" s="138"/>
      <c r="DA1765" s="139"/>
      <c r="DB1765" s="138"/>
      <c r="DC1765" s="45"/>
      <c r="DD1765" s="138"/>
      <c r="DE1765" s="45"/>
      <c r="DF1765" s="46"/>
    </row>
    <row r="1766" spans="1:110" s="42" customFormat="1" x14ac:dyDescent="0.2">
      <c r="A1766" s="89">
        <v>40724</v>
      </c>
      <c r="B1766" s="16" t="s">
        <v>4344</v>
      </c>
      <c r="C1766" s="16" t="s">
        <v>3473</v>
      </c>
      <c r="D1766" s="90" t="s">
        <v>4264</v>
      </c>
      <c r="E1766" s="90" t="str">
        <f>VLOOKUP(B1766&amp;C1766,Divipola!$C$2:$F$1138,4,FALSE)</f>
        <v>25878</v>
      </c>
      <c r="F1766" s="4"/>
      <c r="G1766" s="208"/>
      <c r="H1766" s="208"/>
      <c r="I1766" s="208"/>
      <c r="J1766" s="208">
        <v>558</v>
      </c>
      <c r="K1766" s="208">
        <v>243</v>
      </c>
      <c r="L1766" s="208"/>
      <c r="M1766" s="208">
        <v>243</v>
      </c>
      <c r="N1766" s="208"/>
      <c r="O1766" s="208"/>
      <c r="P1766" s="208"/>
      <c r="Q1766" s="208"/>
      <c r="R1766" s="208"/>
      <c r="S1766" s="208"/>
      <c r="T1766" s="208"/>
      <c r="U1766" s="208"/>
      <c r="V1766" s="208"/>
      <c r="W1766" s="19"/>
      <c r="X1766" s="17"/>
      <c r="Y1766" s="5">
        <f t="shared" si="168"/>
        <v>0</v>
      </c>
      <c r="Z1766" s="5">
        <f t="shared" si="169"/>
        <v>0</v>
      </c>
      <c r="AA1766" s="5">
        <f t="shared" si="170"/>
        <v>0</v>
      </c>
      <c r="AB1766" s="5">
        <f t="shared" si="171"/>
        <v>0</v>
      </c>
      <c r="AC1766" s="5"/>
      <c r="AD1766" s="5">
        <v>0</v>
      </c>
      <c r="AE1766" s="5">
        <f t="shared" si="172"/>
        <v>0</v>
      </c>
      <c r="AF1766" s="70">
        <v>0</v>
      </c>
      <c r="AG1766" s="17"/>
      <c r="AH1766" s="18"/>
      <c r="AI1766" s="47" t="s">
        <v>4336</v>
      </c>
      <c r="AJ1766" s="73" t="s">
        <v>4337</v>
      </c>
      <c r="AK1766" s="45"/>
      <c r="AL1766" s="17"/>
      <c r="AM1766" s="20" t="s">
        <v>18</v>
      </c>
      <c r="AN1766" s="19"/>
      <c r="AO1766" s="19"/>
      <c r="AP1766" s="19"/>
      <c r="AQ1766" s="19"/>
      <c r="AR1766" s="19"/>
      <c r="AS1766" s="19"/>
      <c r="AT1766" s="19"/>
      <c r="AU1766" s="19"/>
      <c r="AV1766" s="19"/>
      <c r="AW1766" s="19"/>
      <c r="AX1766" s="107"/>
      <c r="AY1766" s="107"/>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39"/>
      <c r="CO1766" s="138"/>
      <c r="CP1766" s="139"/>
      <c r="CQ1766" s="138"/>
      <c r="CR1766" s="139"/>
      <c r="CS1766" s="138"/>
      <c r="CT1766" s="72"/>
      <c r="CU1766" s="139"/>
      <c r="CV1766" s="99">
        <f t="shared" si="167"/>
        <v>0</v>
      </c>
      <c r="CW1766" s="139"/>
      <c r="CX1766" s="138"/>
      <c r="CY1766" s="138"/>
      <c r="CZ1766" s="138"/>
      <c r="DA1766" s="139"/>
      <c r="DB1766" s="138"/>
      <c r="DC1766" s="45"/>
      <c r="DD1766" s="138"/>
      <c r="DE1766" s="45"/>
      <c r="DF1766" s="46"/>
    </row>
    <row r="1767" spans="1:110" s="42" customFormat="1" ht="48" x14ac:dyDescent="0.2">
      <c r="A1767" s="89">
        <v>40724</v>
      </c>
      <c r="B1767" s="145" t="s">
        <v>4344</v>
      </c>
      <c r="C1767" s="145" t="s">
        <v>3473</v>
      </c>
      <c r="D1767" s="145" t="s">
        <v>3346</v>
      </c>
      <c r="E1767" s="90" t="str">
        <f>VLOOKUP(B1767&amp;C1767,Divipola!$C$2:$F$1138,4,FALSE)</f>
        <v>25878</v>
      </c>
      <c r="F1767" s="145"/>
      <c r="G1767" s="164"/>
      <c r="H1767" s="164"/>
      <c r="I1767" s="164"/>
      <c r="J1767" s="164">
        <v>1857</v>
      </c>
      <c r="K1767" s="164">
        <v>619</v>
      </c>
      <c r="L1767" s="164"/>
      <c r="M1767" s="164"/>
      <c r="N1767" s="164"/>
      <c r="O1767" s="164"/>
      <c r="P1767" s="164"/>
      <c r="Q1767" s="164"/>
      <c r="R1767" s="164"/>
      <c r="S1767" s="164"/>
      <c r="T1767" s="164"/>
      <c r="U1767" s="164"/>
      <c r="V1767" s="164">
        <v>1620.84</v>
      </c>
      <c r="W1767" s="173"/>
      <c r="X1767" s="17"/>
      <c r="Y1767" s="5">
        <f t="shared" si="168"/>
        <v>0</v>
      </c>
      <c r="Z1767" s="5">
        <f t="shared" si="169"/>
        <v>0</v>
      </c>
      <c r="AA1767" s="5">
        <f t="shared" si="170"/>
        <v>0</v>
      </c>
      <c r="AB1767" s="5">
        <f t="shared" si="171"/>
        <v>0</v>
      </c>
      <c r="AC1767" s="5"/>
      <c r="AD1767" s="5">
        <v>0</v>
      </c>
      <c r="AE1767" s="5">
        <f t="shared" si="172"/>
        <v>0</v>
      </c>
      <c r="AF1767" s="70">
        <v>0</v>
      </c>
      <c r="AG1767" s="135">
        <v>40809</v>
      </c>
      <c r="AH1767" s="161"/>
      <c r="AI1767" s="135" t="s">
        <v>4336</v>
      </c>
      <c r="AJ1767" s="176" t="s">
        <v>4337</v>
      </c>
      <c r="AK1767" s="178"/>
      <c r="AL1767" s="180" t="s">
        <v>4579</v>
      </c>
      <c r="AM1767" s="182" t="s">
        <v>4580</v>
      </c>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39"/>
      <c r="CE1767" s="138"/>
      <c r="CF1767" s="139"/>
      <c r="CG1767" s="138"/>
      <c r="CH1767" s="139"/>
      <c r="CI1767" s="138"/>
      <c r="CJ1767" s="72"/>
      <c r="CK1767" s="139"/>
      <c r="CL1767" s="71"/>
      <c r="CM1767" s="139"/>
      <c r="CN1767" s="138"/>
      <c r="CO1767" s="138"/>
      <c r="CP1767" s="138"/>
      <c r="CQ1767" s="139"/>
      <c r="CR1767" s="138"/>
      <c r="CS1767" s="45"/>
      <c r="CT1767" s="138"/>
      <c r="CU1767" s="45"/>
      <c r="CV1767" s="99">
        <f t="shared" si="167"/>
        <v>0</v>
      </c>
      <c r="CW1767" s="139"/>
      <c r="CX1767" s="138"/>
      <c r="CY1767" s="138"/>
      <c r="CZ1767" s="138"/>
      <c r="DA1767" s="139"/>
      <c r="DB1767" s="138"/>
      <c r="DC1767" s="45"/>
      <c r="DD1767" s="138"/>
      <c r="DE1767" s="45"/>
      <c r="DF1767" s="46"/>
    </row>
    <row r="1768" spans="1:110" s="42" customFormat="1" x14ac:dyDescent="0.2">
      <c r="A1768" s="89">
        <v>40724</v>
      </c>
      <c r="B1768" s="16" t="s">
        <v>4344</v>
      </c>
      <c r="C1768" s="16" t="s">
        <v>3474</v>
      </c>
      <c r="D1768" s="90" t="s">
        <v>4264</v>
      </c>
      <c r="E1768" s="90" t="str">
        <f>VLOOKUP(B1768&amp;C1768,Divipola!$C$2:$F$1138,4,FALSE)</f>
        <v>25885</v>
      </c>
      <c r="F1768" s="4"/>
      <c r="G1768" s="208"/>
      <c r="H1768" s="208"/>
      <c r="I1768" s="208"/>
      <c r="J1768" s="208">
        <v>1372</v>
      </c>
      <c r="K1768" s="208">
        <v>433</v>
      </c>
      <c r="L1768" s="208"/>
      <c r="M1768" s="208">
        <v>433</v>
      </c>
      <c r="N1768" s="208"/>
      <c r="O1768" s="208"/>
      <c r="P1768" s="208"/>
      <c r="Q1768" s="208"/>
      <c r="R1768" s="208"/>
      <c r="S1768" s="208"/>
      <c r="T1768" s="208"/>
      <c r="U1768" s="208"/>
      <c r="V1768" s="208"/>
      <c r="W1768" s="19"/>
      <c r="X1768" s="17"/>
      <c r="Y1768" s="5">
        <f t="shared" si="168"/>
        <v>0</v>
      </c>
      <c r="Z1768" s="5">
        <f t="shared" si="169"/>
        <v>0</v>
      </c>
      <c r="AA1768" s="5">
        <f t="shared" si="170"/>
        <v>0</v>
      </c>
      <c r="AB1768" s="5">
        <f t="shared" si="171"/>
        <v>0</v>
      </c>
      <c r="AC1768" s="5"/>
      <c r="AD1768" s="5">
        <v>0</v>
      </c>
      <c r="AE1768" s="5">
        <f t="shared" si="172"/>
        <v>0</v>
      </c>
      <c r="AF1768" s="70">
        <v>0</v>
      </c>
      <c r="AG1768" s="17"/>
      <c r="AH1768" s="18"/>
      <c r="AI1768" s="47" t="s">
        <v>4336</v>
      </c>
      <c r="AJ1768" s="73" t="s">
        <v>4337</v>
      </c>
      <c r="AK1768" s="45"/>
      <c r="AL1768" s="17"/>
      <c r="AM1768" s="20" t="s">
        <v>18</v>
      </c>
      <c r="AN1768" s="19"/>
      <c r="AO1768" s="19"/>
      <c r="AP1768" s="19"/>
      <c r="AQ1768" s="19"/>
      <c r="AR1768" s="19"/>
      <c r="AS1768" s="19"/>
      <c r="AT1768" s="19"/>
      <c r="AU1768" s="19"/>
      <c r="AV1768" s="19"/>
      <c r="AW1768" s="19"/>
      <c r="AX1768" s="107"/>
      <c r="AY1768" s="107"/>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39"/>
      <c r="CO1768" s="138"/>
      <c r="CP1768" s="139"/>
      <c r="CQ1768" s="138"/>
      <c r="CR1768" s="139"/>
      <c r="CS1768" s="138"/>
      <c r="CT1768" s="72"/>
      <c r="CU1768" s="139"/>
      <c r="CV1768" s="99">
        <f t="shared" si="167"/>
        <v>0</v>
      </c>
      <c r="CW1768" s="139"/>
      <c r="CX1768" s="138"/>
      <c r="CY1768" s="138"/>
      <c r="CZ1768" s="138"/>
      <c r="DA1768" s="139"/>
      <c r="DB1768" s="138"/>
      <c r="DC1768" s="45"/>
      <c r="DD1768" s="138"/>
      <c r="DE1768" s="45"/>
      <c r="DF1768" s="46"/>
    </row>
    <row r="1769" spans="1:110" s="42" customFormat="1" ht="48" x14ac:dyDescent="0.2">
      <c r="A1769" s="89">
        <v>40724</v>
      </c>
      <c r="B1769" s="145" t="s">
        <v>4344</v>
      </c>
      <c r="C1769" s="145" t="s">
        <v>3474</v>
      </c>
      <c r="D1769" s="145" t="s">
        <v>3346</v>
      </c>
      <c r="E1769" s="90" t="str">
        <f>VLOOKUP(B1769&amp;C1769,Divipola!$C$2:$F$1138,4,FALSE)</f>
        <v>25885</v>
      </c>
      <c r="F1769" s="145"/>
      <c r="G1769" s="164"/>
      <c r="H1769" s="164"/>
      <c r="I1769" s="164"/>
      <c r="J1769" s="164">
        <v>1860</v>
      </c>
      <c r="K1769" s="164">
        <v>620</v>
      </c>
      <c r="L1769" s="164"/>
      <c r="M1769" s="164"/>
      <c r="N1769" s="164"/>
      <c r="O1769" s="164"/>
      <c r="P1769" s="164"/>
      <c r="Q1769" s="164"/>
      <c r="R1769" s="164"/>
      <c r="S1769" s="164"/>
      <c r="T1769" s="164"/>
      <c r="U1769" s="164"/>
      <c r="V1769" s="164">
        <v>3248.125</v>
      </c>
      <c r="W1769" s="173"/>
      <c r="X1769" s="17"/>
      <c r="Y1769" s="5">
        <f t="shared" si="168"/>
        <v>0</v>
      </c>
      <c r="Z1769" s="5">
        <f t="shared" si="169"/>
        <v>0</v>
      </c>
      <c r="AA1769" s="5">
        <f t="shared" si="170"/>
        <v>0</v>
      </c>
      <c r="AB1769" s="5">
        <f t="shared" si="171"/>
        <v>0</v>
      </c>
      <c r="AC1769" s="5"/>
      <c r="AD1769" s="5">
        <v>0</v>
      </c>
      <c r="AE1769" s="5">
        <f t="shared" si="172"/>
        <v>0</v>
      </c>
      <c r="AF1769" s="70">
        <v>0</v>
      </c>
      <c r="AG1769" s="135">
        <v>40809</v>
      </c>
      <c r="AH1769" s="161"/>
      <c r="AI1769" s="135" t="s">
        <v>4336</v>
      </c>
      <c r="AJ1769" s="176" t="s">
        <v>4337</v>
      </c>
      <c r="AK1769" s="178"/>
      <c r="AL1769" s="180" t="s">
        <v>4579</v>
      </c>
      <c r="AM1769" s="182" t="s">
        <v>4580</v>
      </c>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39"/>
      <c r="CE1769" s="138"/>
      <c r="CF1769" s="139"/>
      <c r="CG1769" s="138"/>
      <c r="CH1769" s="139"/>
      <c r="CI1769" s="138"/>
      <c r="CJ1769" s="72"/>
      <c r="CK1769" s="139"/>
      <c r="CL1769" s="71"/>
      <c r="CM1769" s="139"/>
      <c r="CN1769" s="138"/>
      <c r="CO1769" s="138"/>
      <c r="CP1769" s="138"/>
      <c r="CQ1769" s="139"/>
      <c r="CR1769" s="138"/>
      <c r="CS1769" s="45"/>
      <c r="CT1769" s="138"/>
      <c r="CU1769" s="45"/>
      <c r="CV1769" s="99">
        <f t="shared" si="167"/>
        <v>0</v>
      </c>
      <c r="CW1769" s="139"/>
      <c r="CX1769" s="138"/>
      <c r="CY1769" s="138"/>
      <c r="CZ1769" s="138"/>
      <c r="DA1769" s="139"/>
      <c r="DB1769" s="138"/>
      <c r="DC1769" s="45"/>
      <c r="DD1769" s="138"/>
      <c r="DE1769" s="45"/>
      <c r="DF1769" s="46"/>
    </row>
    <row r="1770" spans="1:110" s="42" customFormat="1" ht="48" x14ac:dyDescent="0.2">
      <c r="A1770" s="89">
        <v>40724</v>
      </c>
      <c r="B1770" s="145" t="s">
        <v>4344</v>
      </c>
      <c r="C1770" s="145" t="s">
        <v>1847</v>
      </c>
      <c r="D1770" s="145" t="s">
        <v>3346</v>
      </c>
      <c r="E1770" s="90" t="str">
        <f>VLOOKUP(B1770&amp;C1770,Divipola!$C$2:$F$1138,4,FALSE)</f>
        <v>25898</v>
      </c>
      <c r="F1770" s="145"/>
      <c r="G1770" s="164"/>
      <c r="H1770" s="164"/>
      <c r="I1770" s="164"/>
      <c r="J1770" s="164">
        <v>63</v>
      </c>
      <c r="K1770" s="164">
        <v>21</v>
      </c>
      <c r="L1770" s="164"/>
      <c r="M1770" s="164"/>
      <c r="N1770" s="164"/>
      <c r="O1770" s="164"/>
      <c r="P1770" s="164"/>
      <c r="Q1770" s="164"/>
      <c r="R1770" s="164"/>
      <c r="S1770" s="164"/>
      <c r="T1770" s="164"/>
      <c r="U1770" s="164"/>
      <c r="V1770" s="164">
        <v>31</v>
      </c>
      <c r="W1770" s="173"/>
      <c r="X1770" s="17"/>
      <c r="Y1770" s="5">
        <f t="shared" si="168"/>
        <v>0</v>
      </c>
      <c r="Z1770" s="5">
        <f t="shared" si="169"/>
        <v>0</v>
      </c>
      <c r="AA1770" s="5">
        <f t="shared" si="170"/>
        <v>0</v>
      </c>
      <c r="AB1770" s="5">
        <f t="shared" si="171"/>
        <v>0</v>
      </c>
      <c r="AC1770" s="5"/>
      <c r="AD1770" s="5">
        <v>0</v>
      </c>
      <c r="AE1770" s="5">
        <f t="shared" si="172"/>
        <v>0</v>
      </c>
      <c r="AF1770" s="70">
        <v>0</v>
      </c>
      <c r="AG1770" s="135">
        <v>40809</v>
      </c>
      <c r="AH1770" s="161"/>
      <c r="AI1770" s="135" t="s">
        <v>4336</v>
      </c>
      <c r="AJ1770" s="176" t="s">
        <v>4337</v>
      </c>
      <c r="AK1770" s="178"/>
      <c r="AL1770" s="180" t="s">
        <v>4579</v>
      </c>
      <c r="AM1770" s="182" t="s">
        <v>4580</v>
      </c>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39"/>
      <c r="CE1770" s="138"/>
      <c r="CF1770" s="139"/>
      <c r="CG1770" s="138"/>
      <c r="CH1770" s="139"/>
      <c r="CI1770" s="138"/>
      <c r="CJ1770" s="72"/>
      <c r="CK1770" s="139"/>
      <c r="CL1770" s="71"/>
      <c r="CM1770" s="139"/>
      <c r="CN1770" s="138"/>
      <c r="CO1770" s="138"/>
      <c r="CP1770" s="138"/>
      <c r="CQ1770" s="139"/>
      <c r="CR1770" s="138"/>
      <c r="CS1770" s="45"/>
      <c r="CT1770" s="138"/>
      <c r="CU1770" s="45"/>
      <c r="CV1770" s="99">
        <f t="shared" si="167"/>
        <v>0</v>
      </c>
      <c r="CW1770" s="139"/>
      <c r="CX1770" s="138"/>
      <c r="CY1770" s="138"/>
      <c r="CZ1770" s="138"/>
      <c r="DA1770" s="139"/>
      <c r="DB1770" s="138"/>
      <c r="DC1770" s="45"/>
      <c r="DD1770" s="138"/>
      <c r="DE1770" s="45"/>
      <c r="DF1770" s="46"/>
    </row>
    <row r="1771" spans="1:110" s="42" customFormat="1" x14ac:dyDescent="0.2">
      <c r="A1771" s="89">
        <v>40724</v>
      </c>
      <c r="B1771" s="16" t="s">
        <v>4344</v>
      </c>
      <c r="C1771" s="16" t="s">
        <v>3475</v>
      </c>
      <c r="D1771" s="90" t="s">
        <v>4264</v>
      </c>
      <c r="E1771" s="90" t="str">
        <f>VLOOKUP(B1771&amp;C1771,Divipola!$C$2:$F$1138,4,FALSE)</f>
        <v>25899</v>
      </c>
      <c r="F1771" s="4"/>
      <c r="G1771" s="208"/>
      <c r="H1771" s="208"/>
      <c r="I1771" s="208"/>
      <c r="J1771" s="208">
        <v>163</v>
      </c>
      <c r="K1771" s="208">
        <v>52</v>
      </c>
      <c r="L1771" s="208"/>
      <c r="M1771" s="208">
        <v>52</v>
      </c>
      <c r="N1771" s="208"/>
      <c r="O1771" s="208"/>
      <c r="P1771" s="208"/>
      <c r="Q1771" s="208"/>
      <c r="R1771" s="208"/>
      <c r="S1771" s="208"/>
      <c r="T1771" s="208"/>
      <c r="U1771" s="208"/>
      <c r="V1771" s="208"/>
      <c r="W1771" s="19"/>
      <c r="X1771" s="17"/>
      <c r="Y1771" s="5">
        <f t="shared" si="168"/>
        <v>0</v>
      </c>
      <c r="Z1771" s="5">
        <f t="shared" si="169"/>
        <v>0</v>
      </c>
      <c r="AA1771" s="5">
        <f t="shared" si="170"/>
        <v>0</v>
      </c>
      <c r="AB1771" s="5">
        <f t="shared" si="171"/>
        <v>0</v>
      </c>
      <c r="AC1771" s="5"/>
      <c r="AD1771" s="5">
        <v>0</v>
      </c>
      <c r="AE1771" s="5">
        <f t="shared" si="172"/>
        <v>0</v>
      </c>
      <c r="AF1771" s="70">
        <v>0</v>
      </c>
      <c r="AG1771" s="17"/>
      <c r="AH1771" s="18"/>
      <c r="AI1771" s="47" t="s">
        <v>4336</v>
      </c>
      <c r="AJ1771" s="73" t="s">
        <v>4337</v>
      </c>
      <c r="AK1771" s="45"/>
      <c r="AL1771" s="17"/>
      <c r="AM1771" s="20" t="s">
        <v>18</v>
      </c>
      <c r="AN1771" s="19"/>
      <c r="AO1771" s="19"/>
      <c r="AP1771" s="19"/>
      <c r="AQ1771" s="19"/>
      <c r="AR1771" s="19"/>
      <c r="AS1771" s="19"/>
      <c r="AT1771" s="19"/>
      <c r="AU1771" s="19"/>
      <c r="AV1771" s="19"/>
      <c r="AW1771" s="19"/>
      <c r="AX1771" s="107"/>
      <c r="AY1771" s="107"/>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9"/>
      <c r="CE1771" s="19"/>
      <c r="CF1771" s="19"/>
      <c r="CG1771" s="19"/>
      <c r="CH1771" s="19"/>
      <c r="CI1771" s="19"/>
      <c r="CJ1771" s="19"/>
      <c r="CK1771" s="19"/>
      <c r="CL1771" s="19"/>
      <c r="CM1771" s="19"/>
      <c r="CN1771" s="139"/>
      <c r="CO1771" s="138"/>
      <c r="CP1771" s="139"/>
      <c r="CQ1771" s="138"/>
      <c r="CR1771" s="139"/>
      <c r="CS1771" s="138"/>
      <c r="CT1771" s="72"/>
      <c r="CU1771" s="139"/>
      <c r="CV1771" s="99">
        <f t="shared" si="167"/>
        <v>0</v>
      </c>
      <c r="CW1771" s="139"/>
      <c r="CX1771" s="138"/>
      <c r="CY1771" s="138"/>
      <c r="CZ1771" s="138"/>
      <c r="DA1771" s="139"/>
      <c r="DB1771" s="138"/>
      <c r="DC1771" s="45"/>
      <c r="DD1771" s="138"/>
      <c r="DE1771" s="45"/>
      <c r="DF1771" s="46"/>
    </row>
    <row r="1772" spans="1:110" s="42" customFormat="1" ht="48" x14ac:dyDescent="0.2">
      <c r="A1772" s="89">
        <v>40724</v>
      </c>
      <c r="B1772" s="145" t="s">
        <v>4344</v>
      </c>
      <c r="C1772" s="145" t="s">
        <v>3475</v>
      </c>
      <c r="D1772" s="145" t="s">
        <v>3346</v>
      </c>
      <c r="E1772" s="90" t="str">
        <f>VLOOKUP(B1772&amp;C1772,Divipola!$C$2:$F$1138,4,FALSE)</f>
        <v>25899</v>
      </c>
      <c r="F1772" s="145"/>
      <c r="G1772" s="164"/>
      <c r="H1772" s="164"/>
      <c r="I1772" s="164"/>
      <c r="J1772" s="164">
        <v>201</v>
      </c>
      <c r="K1772" s="164">
        <v>67</v>
      </c>
      <c r="L1772" s="164"/>
      <c r="M1772" s="164"/>
      <c r="N1772" s="164"/>
      <c r="O1772" s="164"/>
      <c r="P1772" s="164"/>
      <c r="Q1772" s="164"/>
      <c r="R1772" s="164"/>
      <c r="S1772" s="164"/>
      <c r="T1772" s="164"/>
      <c r="U1772" s="164"/>
      <c r="V1772" s="164">
        <v>870.42000000000007</v>
      </c>
      <c r="W1772" s="173"/>
      <c r="X1772" s="17"/>
      <c r="Y1772" s="5">
        <f t="shared" si="168"/>
        <v>0</v>
      </c>
      <c r="Z1772" s="5">
        <f t="shared" si="169"/>
        <v>0</v>
      </c>
      <c r="AA1772" s="5">
        <f t="shared" si="170"/>
        <v>0</v>
      </c>
      <c r="AB1772" s="5">
        <f t="shared" si="171"/>
        <v>0</v>
      </c>
      <c r="AC1772" s="5"/>
      <c r="AD1772" s="5">
        <v>0</v>
      </c>
      <c r="AE1772" s="5">
        <f t="shared" si="172"/>
        <v>0</v>
      </c>
      <c r="AF1772" s="70">
        <v>0</v>
      </c>
      <c r="AG1772" s="135">
        <v>40809</v>
      </c>
      <c r="AH1772" s="161"/>
      <c r="AI1772" s="135" t="s">
        <v>4336</v>
      </c>
      <c r="AJ1772" s="176" t="s">
        <v>4337</v>
      </c>
      <c r="AK1772" s="178"/>
      <c r="AL1772" s="180" t="s">
        <v>4579</v>
      </c>
      <c r="AM1772" s="182" t="s">
        <v>4580</v>
      </c>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39"/>
      <c r="CE1772" s="138"/>
      <c r="CF1772" s="139"/>
      <c r="CG1772" s="138"/>
      <c r="CH1772" s="139"/>
      <c r="CI1772" s="138"/>
      <c r="CJ1772" s="72"/>
      <c r="CK1772" s="139"/>
      <c r="CL1772" s="71"/>
      <c r="CM1772" s="139"/>
      <c r="CN1772" s="138"/>
      <c r="CO1772" s="138"/>
      <c r="CP1772" s="138"/>
      <c r="CQ1772" s="139"/>
      <c r="CR1772" s="138"/>
      <c r="CS1772" s="45"/>
      <c r="CT1772" s="138"/>
      <c r="CU1772" s="45"/>
      <c r="CV1772" s="99">
        <f t="shared" si="167"/>
        <v>0</v>
      </c>
      <c r="CW1772" s="139"/>
      <c r="CX1772" s="138"/>
      <c r="CY1772" s="138"/>
      <c r="CZ1772" s="138"/>
      <c r="DA1772" s="139"/>
      <c r="DB1772" s="138"/>
      <c r="DC1772" s="45"/>
      <c r="DD1772" s="138"/>
      <c r="DE1772" s="45"/>
      <c r="DF1772" s="46"/>
    </row>
    <row r="1773" spans="1:110" s="42" customFormat="1" x14ac:dyDescent="0.2">
      <c r="A1773" s="89">
        <v>40724</v>
      </c>
      <c r="B1773" s="90" t="s">
        <v>4387</v>
      </c>
      <c r="C1773" s="90" t="s">
        <v>461</v>
      </c>
      <c r="D1773" s="90" t="s">
        <v>4264</v>
      </c>
      <c r="E1773" s="90" t="str">
        <f>VLOOKUP(B1773&amp;C1773,Divipola!$C$2:$F$1138,4,FALSE)</f>
        <v>52250</v>
      </c>
      <c r="F1773" s="4"/>
      <c r="G1773" s="302"/>
      <c r="H1773" s="302"/>
      <c r="I1773" s="302"/>
      <c r="J1773" s="129">
        <v>600</v>
      </c>
      <c r="K1773" s="129">
        <v>150</v>
      </c>
      <c r="L1773" s="129"/>
      <c r="M1773" s="129">
        <v>150</v>
      </c>
      <c r="N1773" s="101"/>
      <c r="O1773" s="101"/>
      <c r="P1773" s="101"/>
      <c r="Q1773" s="101"/>
      <c r="R1773" s="101"/>
      <c r="S1773" s="101"/>
      <c r="T1773" s="101"/>
      <c r="U1773" s="101"/>
      <c r="V1773" s="101"/>
      <c r="W1773" s="19"/>
      <c r="X1773" s="17"/>
      <c r="Y1773" s="5">
        <f t="shared" si="168"/>
        <v>0</v>
      </c>
      <c r="Z1773" s="5">
        <f t="shared" si="169"/>
        <v>0</v>
      </c>
      <c r="AA1773" s="5">
        <f t="shared" si="170"/>
        <v>0</v>
      </c>
      <c r="AB1773" s="5">
        <f t="shared" si="171"/>
        <v>0</v>
      </c>
      <c r="AC1773" s="5"/>
      <c r="AD1773" s="5">
        <v>0</v>
      </c>
      <c r="AE1773" s="5">
        <f t="shared" si="172"/>
        <v>0</v>
      </c>
      <c r="AF1773" s="70">
        <v>0</v>
      </c>
      <c r="AG1773" s="17"/>
      <c r="AH1773" s="18"/>
      <c r="AI1773" s="109" t="s">
        <v>4336</v>
      </c>
      <c r="AJ1773" s="110" t="s">
        <v>4337</v>
      </c>
      <c r="AK1773" s="45"/>
      <c r="AL1773" s="17"/>
      <c r="AM1773" s="100"/>
      <c r="AN1773" s="19"/>
      <c r="AO1773" s="19"/>
      <c r="AP1773" s="19"/>
      <c r="AQ1773" s="19"/>
      <c r="AR1773" s="19"/>
      <c r="AS1773" s="19"/>
      <c r="AT1773" s="19"/>
      <c r="AU1773" s="19"/>
      <c r="AV1773" s="19"/>
      <c r="AW1773" s="19"/>
      <c r="AX1773" s="107"/>
      <c r="AY1773" s="107"/>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9"/>
      <c r="CE1773" s="19"/>
      <c r="CF1773" s="19"/>
      <c r="CG1773" s="19"/>
      <c r="CH1773" s="19"/>
      <c r="CI1773" s="19"/>
      <c r="CJ1773" s="19"/>
      <c r="CK1773" s="19"/>
      <c r="CL1773" s="19"/>
      <c r="CM1773" s="19"/>
      <c r="CN1773" s="139"/>
      <c r="CO1773" s="138"/>
      <c r="CP1773" s="139"/>
      <c r="CQ1773" s="138"/>
      <c r="CR1773" s="139"/>
      <c r="CS1773" s="138"/>
      <c r="CT1773" s="72"/>
      <c r="CU1773" s="139"/>
      <c r="CV1773" s="99">
        <f t="shared" si="167"/>
        <v>0</v>
      </c>
      <c r="CW1773" s="139"/>
      <c r="CX1773" s="138"/>
      <c r="CY1773" s="138"/>
      <c r="CZ1773" s="138"/>
      <c r="DA1773" s="139"/>
      <c r="DB1773" s="138"/>
      <c r="DC1773" s="45"/>
      <c r="DD1773" s="138"/>
      <c r="DE1773" s="45"/>
      <c r="DF1773" s="46"/>
    </row>
    <row r="1774" spans="1:110" s="42" customFormat="1" ht="24" x14ac:dyDescent="0.2">
      <c r="A1774" s="89">
        <v>40724</v>
      </c>
      <c r="B1774" s="90" t="s">
        <v>4387</v>
      </c>
      <c r="C1774" s="90" t="s">
        <v>464</v>
      </c>
      <c r="D1774" s="90" t="s">
        <v>2362</v>
      </c>
      <c r="E1774" s="90" t="str">
        <f>VLOOKUP(B1774&amp;C1774,Divipola!$C$2:$F$1138,4,FALSE)</f>
        <v>52254</v>
      </c>
      <c r="F1774" s="4"/>
      <c r="G1774" s="101"/>
      <c r="H1774" s="101"/>
      <c r="I1774" s="101"/>
      <c r="J1774" s="101"/>
      <c r="K1774" s="101"/>
      <c r="L1774" s="101"/>
      <c r="M1774" s="101"/>
      <c r="N1774" s="101"/>
      <c r="O1774" s="101"/>
      <c r="P1774" s="101"/>
      <c r="Q1774" s="101"/>
      <c r="R1774" s="101"/>
      <c r="S1774" s="101"/>
      <c r="T1774" s="101"/>
      <c r="U1774" s="101"/>
      <c r="V1774" s="101"/>
      <c r="W1774" s="19"/>
      <c r="X1774" s="17"/>
      <c r="Y1774" s="5">
        <f t="shared" si="168"/>
        <v>0</v>
      </c>
      <c r="Z1774" s="5">
        <f t="shared" si="169"/>
        <v>0</v>
      </c>
      <c r="AA1774" s="5">
        <f t="shared" si="170"/>
        <v>0</v>
      </c>
      <c r="AB1774" s="5">
        <f t="shared" si="171"/>
        <v>0</v>
      </c>
      <c r="AC1774" s="5"/>
      <c r="AD1774" s="5">
        <v>0</v>
      </c>
      <c r="AE1774" s="5">
        <f t="shared" si="172"/>
        <v>0</v>
      </c>
      <c r="AF1774" s="70">
        <v>0</v>
      </c>
      <c r="AG1774" s="17"/>
      <c r="AH1774" s="18"/>
      <c r="AI1774" s="109" t="s">
        <v>4336</v>
      </c>
      <c r="AJ1774" s="110" t="s">
        <v>4337</v>
      </c>
      <c r="AK1774" s="45"/>
      <c r="AL1774" s="17"/>
      <c r="AM1774" s="100" t="s">
        <v>1148</v>
      </c>
      <c r="AN1774" s="19"/>
      <c r="AO1774" s="19"/>
      <c r="AP1774" s="19"/>
      <c r="AQ1774" s="19"/>
      <c r="AR1774" s="19"/>
      <c r="AS1774" s="19"/>
      <c r="AT1774" s="19"/>
      <c r="AU1774" s="19"/>
      <c r="AV1774" s="19"/>
      <c r="AW1774" s="19"/>
      <c r="AX1774" s="107"/>
      <c r="AY1774" s="107"/>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39"/>
      <c r="CO1774" s="138"/>
      <c r="CP1774" s="139"/>
      <c r="CQ1774" s="138"/>
      <c r="CR1774" s="139"/>
      <c r="CS1774" s="138"/>
      <c r="CT1774" s="72"/>
      <c r="CU1774" s="139"/>
      <c r="CV1774" s="99">
        <f t="shared" si="167"/>
        <v>0</v>
      </c>
      <c r="CW1774" s="139"/>
      <c r="CX1774" s="138"/>
      <c r="CY1774" s="138"/>
      <c r="CZ1774" s="138"/>
      <c r="DA1774" s="139"/>
      <c r="DB1774" s="138"/>
      <c r="DC1774" s="45"/>
      <c r="DD1774" s="138"/>
      <c r="DE1774" s="45"/>
      <c r="DF1774" s="46"/>
    </row>
    <row r="1775" spans="1:110" s="42" customFormat="1" x14ac:dyDescent="0.2">
      <c r="A1775" s="89">
        <v>40724</v>
      </c>
      <c r="B1775" s="90" t="s">
        <v>4387</v>
      </c>
      <c r="C1775" s="90" t="s">
        <v>799</v>
      </c>
      <c r="D1775" s="90" t="s">
        <v>2362</v>
      </c>
      <c r="E1775" s="90" t="str">
        <f>VLOOKUP(B1775&amp;C1775,Divipola!$C$2:$F$1138,4,FALSE)</f>
        <v>52287</v>
      </c>
      <c r="F1775" s="4"/>
      <c r="G1775" s="101"/>
      <c r="H1775" s="101"/>
      <c r="I1775" s="101"/>
      <c r="J1775" s="101">
        <v>236</v>
      </c>
      <c r="K1775" s="101">
        <v>59</v>
      </c>
      <c r="L1775" s="101">
        <v>9</v>
      </c>
      <c r="M1775" s="101">
        <v>50</v>
      </c>
      <c r="N1775" s="101"/>
      <c r="O1775" s="101"/>
      <c r="P1775" s="101"/>
      <c r="Q1775" s="101"/>
      <c r="R1775" s="101"/>
      <c r="S1775" s="101"/>
      <c r="T1775" s="101"/>
      <c r="U1775" s="101"/>
      <c r="V1775" s="101"/>
      <c r="W1775" s="19"/>
      <c r="X1775" s="17"/>
      <c r="Y1775" s="5">
        <f t="shared" si="168"/>
        <v>0</v>
      </c>
      <c r="Z1775" s="5">
        <f t="shared" si="169"/>
        <v>0</v>
      </c>
      <c r="AA1775" s="5">
        <f t="shared" si="170"/>
        <v>0</v>
      </c>
      <c r="AB1775" s="5">
        <f t="shared" si="171"/>
        <v>0</v>
      </c>
      <c r="AC1775" s="5"/>
      <c r="AD1775" s="5">
        <v>0</v>
      </c>
      <c r="AE1775" s="5">
        <f t="shared" si="172"/>
        <v>0</v>
      </c>
      <c r="AF1775" s="70">
        <v>0</v>
      </c>
      <c r="AG1775" s="17"/>
      <c r="AH1775" s="18"/>
      <c r="AI1775" s="109" t="s">
        <v>4336</v>
      </c>
      <c r="AJ1775" s="110" t="s">
        <v>4337</v>
      </c>
      <c r="AK1775" s="45"/>
      <c r="AL1775" s="17"/>
      <c r="AM1775" s="100"/>
      <c r="AN1775" s="19"/>
      <c r="AO1775" s="19"/>
      <c r="AP1775" s="19"/>
      <c r="AQ1775" s="19"/>
      <c r="AR1775" s="19"/>
      <c r="AS1775" s="19"/>
      <c r="AT1775" s="19"/>
      <c r="AU1775" s="19"/>
      <c r="AV1775" s="19"/>
      <c r="AW1775" s="19"/>
      <c r="AX1775" s="107"/>
      <c r="AY1775" s="107"/>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39"/>
      <c r="CO1775" s="138"/>
      <c r="CP1775" s="139"/>
      <c r="CQ1775" s="138"/>
      <c r="CR1775" s="139"/>
      <c r="CS1775" s="138"/>
      <c r="CT1775" s="72"/>
      <c r="CU1775" s="139"/>
      <c r="CV1775" s="99">
        <f t="shared" si="167"/>
        <v>0</v>
      </c>
      <c r="CW1775" s="139"/>
      <c r="CX1775" s="138"/>
      <c r="CY1775" s="138"/>
      <c r="CZ1775" s="138"/>
      <c r="DA1775" s="139"/>
      <c r="DB1775" s="138"/>
      <c r="DC1775" s="45"/>
      <c r="DD1775" s="138"/>
      <c r="DE1775" s="45"/>
      <c r="DF1775" s="46"/>
    </row>
    <row r="1776" spans="1:110" s="42" customFormat="1" x14ac:dyDescent="0.2">
      <c r="A1776" s="89">
        <v>40724</v>
      </c>
      <c r="B1776" s="90" t="s">
        <v>4387</v>
      </c>
      <c r="C1776" s="90" t="s">
        <v>4204</v>
      </c>
      <c r="D1776" s="90" t="s">
        <v>2362</v>
      </c>
      <c r="E1776" s="90" t="str">
        <f>VLOOKUP(B1776&amp;C1776,Divipola!$C$2:$F$1138,4,FALSE)</f>
        <v>52381</v>
      </c>
      <c r="F1776" s="4"/>
      <c r="G1776" s="101"/>
      <c r="H1776" s="101"/>
      <c r="I1776" s="101"/>
      <c r="J1776" s="101">
        <v>275</v>
      </c>
      <c r="K1776" s="101">
        <v>67</v>
      </c>
      <c r="L1776" s="101"/>
      <c r="M1776" s="101">
        <v>53</v>
      </c>
      <c r="N1776" s="101"/>
      <c r="O1776" s="101"/>
      <c r="P1776" s="101"/>
      <c r="Q1776" s="101"/>
      <c r="R1776" s="101"/>
      <c r="S1776" s="101"/>
      <c r="T1776" s="101"/>
      <c r="U1776" s="101"/>
      <c r="V1776" s="101">
        <v>27</v>
      </c>
      <c r="W1776" s="19"/>
      <c r="X1776" s="17"/>
      <c r="Y1776" s="5">
        <f t="shared" si="168"/>
        <v>0</v>
      </c>
      <c r="Z1776" s="5">
        <f t="shared" si="169"/>
        <v>0</v>
      </c>
      <c r="AA1776" s="5">
        <f t="shared" si="170"/>
        <v>0</v>
      </c>
      <c r="AB1776" s="5">
        <f t="shared" si="171"/>
        <v>0</v>
      </c>
      <c r="AC1776" s="5"/>
      <c r="AD1776" s="5">
        <v>0</v>
      </c>
      <c r="AE1776" s="5">
        <f t="shared" si="172"/>
        <v>0</v>
      </c>
      <c r="AF1776" s="70">
        <v>0</v>
      </c>
      <c r="AG1776" s="17"/>
      <c r="AH1776" s="18"/>
      <c r="AI1776" s="109" t="s">
        <v>4336</v>
      </c>
      <c r="AJ1776" s="110" t="s">
        <v>4337</v>
      </c>
      <c r="AK1776" s="45"/>
      <c r="AL1776" s="17"/>
      <c r="AM1776" s="100" t="s">
        <v>1150</v>
      </c>
      <c r="AN1776" s="19"/>
      <c r="AO1776" s="19"/>
      <c r="AP1776" s="19"/>
      <c r="AQ1776" s="19"/>
      <c r="AR1776" s="19"/>
      <c r="AS1776" s="19"/>
      <c r="AT1776" s="19"/>
      <c r="AU1776" s="19"/>
      <c r="AV1776" s="19"/>
      <c r="AW1776" s="19"/>
      <c r="AX1776" s="107"/>
      <c r="AY1776" s="107"/>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39"/>
      <c r="CO1776" s="138"/>
      <c r="CP1776" s="139"/>
      <c r="CQ1776" s="138"/>
      <c r="CR1776" s="139"/>
      <c r="CS1776" s="138"/>
      <c r="CT1776" s="72"/>
      <c r="CU1776" s="139"/>
      <c r="CV1776" s="99">
        <f t="shared" si="167"/>
        <v>0</v>
      </c>
      <c r="CW1776" s="139"/>
      <c r="CX1776" s="138"/>
      <c r="CY1776" s="138"/>
      <c r="CZ1776" s="138"/>
      <c r="DA1776" s="139"/>
      <c r="DB1776" s="138"/>
      <c r="DC1776" s="45"/>
      <c r="DD1776" s="138"/>
      <c r="DE1776" s="45"/>
      <c r="DF1776" s="46"/>
    </row>
    <row r="1777" spans="1:110" s="42" customFormat="1" ht="36" x14ac:dyDescent="0.2">
      <c r="A1777" s="89">
        <v>40724</v>
      </c>
      <c r="B1777" s="90" t="s">
        <v>4263</v>
      </c>
      <c r="C1777" s="90" t="s">
        <v>3661</v>
      </c>
      <c r="D1777" s="90" t="s">
        <v>4264</v>
      </c>
      <c r="E1777" s="90" t="str">
        <f>VLOOKUP(B1777&amp;C1777,Divipola!$C$2:$F$1138,4,FALSE)</f>
        <v>86568</v>
      </c>
      <c r="F1777" s="4"/>
      <c r="G1777" s="274"/>
      <c r="H1777" s="274"/>
      <c r="I1777" s="274"/>
      <c r="J1777" s="101">
        <v>396</v>
      </c>
      <c r="K1777" s="101">
        <v>99</v>
      </c>
      <c r="L1777" s="101"/>
      <c r="M1777" s="101">
        <v>70</v>
      </c>
      <c r="N1777" s="208"/>
      <c r="O1777" s="208"/>
      <c r="P1777" s="208"/>
      <c r="Q1777" s="208"/>
      <c r="R1777" s="208"/>
      <c r="S1777" s="208"/>
      <c r="T1777" s="208"/>
      <c r="U1777" s="208"/>
      <c r="V1777" s="208"/>
      <c r="W1777" s="19"/>
      <c r="X1777" s="17"/>
      <c r="Y1777" s="5">
        <f t="shared" si="168"/>
        <v>0</v>
      </c>
      <c r="Z1777" s="5">
        <f t="shared" si="169"/>
        <v>0</v>
      </c>
      <c r="AA1777" s="5">
        <f t="shared" si="170"/>
        <v>0</v>
      </c>
      <c r="AB1777" s="5">
        <f t="shared" si="171"/>
        <v>0</v>
      </c>
      <c r="AC1777" s="5"/>
      <c r="AD1777" s="5">
        <v>0</v>
      </c>
      <c r="AE1777" s="5">
        <f t="shared" si="172"/>
        <v>0</v>
      </c>
      <c r="AF1777" s="70">
        <v>0</v>
      </c>
      <c r="AG1777" s="17"/>
      <c r="AH1777" s="18"/>
      <c r="AI1777" s="109" t="s">
        <v>4346</v>
      </c>
      <c r="AJ1777" s="110" t="s">
        <v>4347</v>
      </c>
      <c r="AK1777" s="275"/>
      <c r="AL1777" s="100" t="s">
        <v>105</v>
      </c>
      <c r="AM1777" s="100" t="s">
        <v>3775</v>
      </c>
      <c r="AN1777" s="19"/>
      <c r="AO1777" s="19"/>
      <c r="AP1777" s="19"/>
      <c r="AQ1777" s="19"/>
      <c r="AR1777" s="19"/>
      <c r="AS1777" s="19"/>
      <c r="AT1777" s="19"/>
      <c r="AU1777" s="19"/>
      <c r="AV1777" s="19"/>
      <c r="AW1777" s="19"/>
      <c r="AX1777" s="107"/>
      <c r="AY1777" s="107"/>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39"/>
      <c r="CO1777" s="138"/>
      <c r="CP1777" s="139"/>
      <c r="CQ1777" s="138"/>
      <c r="CR1777" s="139"/>
      <c r="CS1777" s="138"/>
      <c r="CT1777" s="72"/>
      <c r="CU1777" s="139"/>
      <c r="CV1777" s="99">
        <f t="shared" si="167"/>
        <v>0</v>
      </c>
      <c r="CW1777" s="139"/>
      <c r="CX1777" s="138"/>
      <c r="CY1777" s="138"/>
      <c r="CZ1777" s="138"/>
      <c r="DA1777" s="139"/>
      <c r="DB1777" s="138"/>
      <c r="DC1777" s="45"/>
      <c r="DD1777" s="138"/>
      <c r="DE1777" s="45"/>
      <c r="DF1777" s="46">
        <v>1888</v>
      </c>
    </row>
    <row r="1778" spans="1:110" s="42" customFormat="1" ht="36" x14ac:dyDescent="0.2">
      <c r="A1778" s="89">
        <v>40724</v>
      </c>
      <c r="B1778" s="106" t="s">
        <v>4348</v>
      </c>
      <c r="C1778" s="106" t="s">
        <v>3303</v>
      </c>
      <c r="D1778" s="106" t="s">
        <v>3311</v>
      </c>
      <c r="E1778" s="90" t="str">
        <f>VLOOKUP(B1778&amp;C1778,Divipola!$C$2:$F$1138,4,FALSE)</f>
        <v>66456</v>
      </c>
      <c r="F1778" s="4"/>
      <c r="G1778" s="129">
        <v>1</v>
      </c>
      <c r="H1778" s="129">
        <v>6</v>
      </c>
      <c r="I1778" s="129"/>
      <c r="J1778" s="274"/>
      <c r="K1778" s="274"/>
      <c r="L1778" s="274"/>
      <c r="M1778" s="274"/>
      <c r="N1778" s="208"/>
      <c r="O1778" s="208"/>
      <c r="P1778" s="208"/>
      <c r="Q1778" s="208"/>
      <c r="R1778" s="208"/>
      <c r="S1778" s="208"/>
      <c r="T1778" s="208"/>
      <c r="U1778" s="208"/>
      <c r="V1778" s="208"/>
      <c r="W1778" s="19"/>
      <c r="X1778" s="17"/>
      <c r="Y1778" s="5">
        <f t="shared" si="168"/>
        <v>0</v>
      </c>
      <c r="Z1778" s="5">
        <f t="shared" si="169"/>
        <v>0</v>
      </c>
      <c r="AA1778" s="5">
        <f t="shared" si="170"/>
        <v>0</v>
      </c>
      <c r="AB1778" s="5">
        <f t="shared" si="171"/>
        <v>0</v>
      </c>
      <c r="AC1778" s="5"/>
      <c r="AD1778" s="5">
        <v>0</v>
      </c>
      <c r="AE1778" s="5">
        <f t="shared" si="172"/>
        <v>0</v>
      </c>
      <c r="AF1778" s="70">
        <v>0</v>
      </c>
      <c r="AG1778" s="17"/>
      <c r="AH1778" s="18"/>
      <c r="AI1778" s="109" t="s">
        <v>4336</v>
      </c>
      <c r="AJ1778" s="110" t="s">
        <v>4337</v>
      </c>
      <c r="AK1778" s="275"/>
      <c r="AL1778" s="276"/>
      <c r="AM1778" s="112" t="s">
        <v>3776</v>
      </c>
      <c r="AN1778" s="19"/>
      <c r="AO1778" s="19"/>
      <c r="AP1778" s="19"/>
      <c r="AQ1778" s="19"/>
      <c r="AR1778" s="19"/>
      <c r="AS1778" s="19"/>
      <c r="AT1778" s="19"/>
      <c r="AU1778" s="19"/>
      <c r="AV1778" s="19"/>
      <c r="AW1778" s="19"/>
      <c r="AX1778" s="107"/>
      <c r="AY1778" s="107"/>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39"/>
      <c r="CO1778" s="138"/>
      <c r="CP1778" s="139"/>
      <c r="CQ1778" s="138"/>
      <c r="CR1778" s="139"/>
      <c r="CS1778" s="138"/>
      <c r="CT1778" s="72"/>
      <c r="CU1778" s="139"/>
      <c r="CV1778" s="99">
        <f t="shared" si="167"/>
        <v>0</v>
      </c>
      <c r="CW1778" s="139"/>
      <c r="CX1778" s="138"/>
      <c r="CY1778" s="138"/>
      <c r="CZ1778" s="138"/>
      <c r="DA1778" s="139"/>
      <c r="DB1778" s="138"/>
      <c r="DC1778" s="45"/>
      <c r="DD1778" s="138"/>
      <c r="DE1778" s="45"/>
      <c r="DF1778" s="46"/>
    </row>
    <row r="1779" spans="1:110" s="42" customFormat="1" ht="36" x14ac:dyDescent="0.2">
      <c r="A1779" s="89">
        <v>40724</v>
      </c>
      <c r="B1779" s="16" t="s">
        <v>4244</v>
      </c>
      <c r="C1779" s="16" t="s">
        <v>3159</v>
      </c>
      <c r="D1779" s="16" t="s">
        <v>3346</v>
      </c>
      <c r="E1779" s="90" t="str">
        <f>VLOOKUP(B1779&amp;C1779,Divipola!$C$2:$F$1138,4,FALSE)</f>
        <v>76126</v>
      </c>
      <c r="F1779" s="4"/>
      <c r="G1779" s="208"/>
      <c r="H1779" s="208"/>
      <c r="I1779" s="208"/>
      <c r="J1779" s="208">
        <v>12</v>
      </c>
      <c r="K1779" s="208">
        <v>2</v>
      </c>
      <c r="L1779" s="208"/>
      <c r="M1779" s="208">
        <v>2</v>
      </c>
      <c r="N1779" s="208"/>
      <c r="O1779" s="208"/>
      <c r="P1779" s="208"/>
      <c r="Q1779" s="208"/>
      <c r="R1779" s="208"/>
      <c r="S1779" s="208"/>
      <c r="T1779" s="208"/>
      <c r="U1779" s="208"/>
      <c r="V1779" s="208"/>
      <c r="W1779" s="19"/>
      <c r="X1779" s="17"/>
      <c r="Y1779" s="5">
        <f t="shared" si="168"/>
        <v>0</v>
      </c>
      <c r="Z1779" s="5">
        <f t="shared" si="169"/>
        <v>0</v>
      </c>
      <c r="AA1779" s="5">
        <f t="shared" si="170"/>
        <v>0</v>
      </c>
      <c r="AB1779" s="5">
        <f t="shared" si="171"/>
        <v>0</v>
      </c>
      <c r="AC1779" s="5"/>
      <c r="AD1779" s="5">
        <v>0</v>
      </c>
      <c r="AE1779" s="5">
        <f t="shared" si="172"/>
        <v>0</v>
      </c>
      <c r="AF1779" s="70">
        <v>0</v>
      </c>
      <c r="AG1779" s="17"/>
      <c r="AH1779" s="18"/>
      <c r="AI1779" s="47" t="s">
        <v>4336</v>
      </c>
      <c r="AJ1779" s="73" t="s">
        <v>4337</v>
      </c>
      <c r="AK1779" s="45"/>
      <c r="AL1779" s="17"/>
      <c r="AM1779" s="20" t="s">
        <v>3761</v>
      </c>
      <c r="AN1779" s="19"/>
      <c r="AO1779" s="19"/>
      <c r="AP1779" s="19"/>
      <c r="AQ1779" s="19"/>
      <c r="AR1779" s="19"/>
      <c r="AS1779" s="19"/>
      <c r="AT1779" s="19"/>
      <c r="AU1779" s="19"/>
      <c r="AV1779" s="19"/>
      <c r="AW1779" s="19"/>
      <c r="AX1779" s="107"/>
      <c r="AY1779" s="107"/>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39"/>
      <c r="CO1779" s="138"/>
      <c r="CP1779" s="139"/>
      <c r="CQ1779" s="138"/>
      <c r="CR1779" s="139"/>
      <c r="CS1779" s="138"/>
      <c r="CT1779" s="72"/>
      <c r="CU1779" s="139"/>
      <c r="CV1779" s="99">
        <f t="shared" si="167"/>
        <v>0</v>
      </c>
      <c r="CW1779" s="139"/>
      <c r="CX1779" s="138"/>
      <c r="CY1779" s="138"/>
      <c r="CZ1779" s="138"/>
      <c r="DA1779" s="139"/>
      <c r="DB1779" s="138"/>
      <c r="DC1779" s="45"/>
      <c r="DD1779" s="138"/>
      <c r="DE1779" s="45"/>
      <c r="DF1779" s="46"/>
    </row>
    <row r="1780" spans="1:110" s="42" customFormat="1" ht="24" x14ac:dyDescent="0.2">
      <c r="A1780" s="89">
        <v>40725</v>
      </c>
      <c r="B1780" s="106" t="s">
        <v>2218</v>
      </c>
      <c r="C1780" s="106" t="s">
        <v>3244</v>
      </c>
      <c r="D1780" s="90" t="s">
        <v>2362</v>
      </c>
      <c r="E1780" s="90" t="str">
        <f>VLOOKUP(B1780&amp;C1780,Divipola!$C$2:$F$1138,4,FALSE)</f>
        <v>05360</v>
      </c>
      <c r="F1780" s="4"/>
      <c r="G1780" s="274"/>
      <c r="H1780" s="274"/>
      <c r="I1780" s="274"/>
      <c r="J1780" s="129">
        <v>12</v>
      </c>
      <c r="K1780" s="129">
        <v>2</v>
      </c>
      <c r="L1780" s="129"/>
      <c r="M1780" s="129">
        <v>2</v>
      </c>
      <c r="N1780" s="208"/>
      <c r="O1780" s="208"/>
      <c r="P1780" s="208"/>
      <c r="Q1780" s="208"/>
      <c r="R1780" s="208"/>
      <c r="S1780" s="208"/>
      <c r="T1780" s="208"/>
      <c r="U1780" s="208"/>
      <c r="V1780" s="208"/>
      <c r="W1780" s="19"/>
      <c r="X1780" s="17"/>
      <c r="Y1780" s="5">
        <f t="shared" si="168"/>
        <v>0</v>
      </c>
      <c r="Z1780" s="5">
        <f t="shared" si="169"/>
        <v>0</v>
      </c>
      <c r="AA1780" s="5">
        <f t="shared" si="170"/>
        <v>0</v>
      </c>
      <c r="AB1780" s="5">
        <f t="shared" si="171"/>
        <v>0</v>
      </c>
      <c r="AC1780" s="5"/>
      <c r="AD1780" s="5">
        <v>0</v>
      </c>
      <c r="AE1780" s="5">
        <f t="shared" si="172"/>
        <v>0</v>
      </c>
      <c r="AF1780" s="70">
        <v>0</v>
      </c>
      <c r="AG1780" s="17"/>
      <c r="AH1780" s="18"/>
      <c r="AI1780" s="109" t="s">
        <v>4336</v>
      </c>
      <c r="AJ1780" s="110" t="s">
        <v>4337</v>
      </c>
      <c r="AK1780" s="45"/>
      <c r="AL1780" s="17"/>
      <c r="AM1780" s="112" t="s">
        <v>1084</v>
      </c>
      <c r="AN1780" s="19"/>
      <c r="AO1780" s="19"/>
      <c r="AP1780" s="19"/>
      <c r="AQ1780" s="19"/>
      <c r="AR1780" s="19"/>
      <c r="AS1780" s="19"/>
      <c r="AT1780" s="19"/>
      <c r="AU1780" s="19"/>
      <c r="AV1780" s="19"/>
      <c r="AW1780" s="19"/>
      <c r="AX1780" s="107"/>
      <c r="AY1780" s="107"/>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39"/>
      <c r="CO1780" s="138"/>
      <c r="CP1780" s="139"/>
      <c r="CQ1780" s="138"/>
      <c r="CR1780" s="139"/>
      <c r="CS1780" s="138"/>
      <c r="CT1780" s="72"/>
      <c r="CU1780" s="139"/>
      <c r="CV1780" s="99">
        <f t="shared" si="167"/>
        <v>0</v>
      </c>
      <c r="CW1780" s="139"/>
      <c r="CX1780" s="138"/>
      <c r="CY1780" s="138"/>
      <c r="CZ1780" s="138"/>
      <c r="DA1780" s="139"/>
      <c r="DB1780" s="138"/>
      <c r="DC1780" s="45"/>
      <c r="DD1780" s="138"/>
      <c r="DE1780" s="45"/>
      <c r="DF1780" s="46"/>
    </row>
    <row r="1781" spans="1:110" s="42" customFormat="1" ht="60" x14ac:dyDescent="0.2">
      <c r="A1781" s="89">
        <v>40725</v>
      </c>
      <c r="B1781" s="106" t="s">
        <v>2218</v>
      </c>
      <c r="C1781" s="106" t="s">
        <v>4415</v>
      </c>
      <c r="D1781" s="106" t="s">
        <v>3346</v>
      </c>
      <c r="E1781" s="90" t="str">
        <f>VLOOKUP(B1781&amp;C1781,Divipola!$C$2:$F$1138,4,FALSE)</f>
        <v>05631</v>
      </c>
      <c r="F1781" s="4"/>
      <c r="G1781" s="274"/>
      <c r="H1781" s="274"/>
      <c r="I1781" s="274"/>
      <c r="J1781" s="274"/>
      <c r="K1781" s="274"/>
      <c r="L1781" s="274"/>
      <c r="M1781" s="274"/>
      <c r="N1781" s="208"/>
      <c r="O1781" s="208"/>
      <c r="P1781" s="208"/>
      <c r="Q1781" s="208"/>
      <c r="R1781" s="208"/>
      <c r="S1781" s="208"/>
      <c r="T1781" s="208"/>
      <c r="U1781" s="208"/>
      <c r="V1781" s="208"/>
      <c r="W1781" s="19"/>
      <c r="X1781" s="17"/>
      <c r="Y1781" s="5">
        <f t="shared" si="168"/>
        <v>0</v>
      </c>
      <c r="Z1781" s="5">
        <f t="shared" si="169"/>
        <v>0</v>
      </c>
      <c r="AA1781" s="5">
        <f t="shared" si="170"/>
        <v>0</v>
      </c>
      <c r="AB1781" s="5">
        <f t="shared" si="171"/>
        <v>0</v>
      </c>
      <c r="AC1781" s="5"/>
      <c r="AD1781" s="5">
        <v>0</v>
      </c>
      <c r="AE1781" s="5">
        <f t="shared" si="172"/>
        <v>0</v>
      </c>
      <c r="AF1781" s="70">
        <v>0</v>
      </c>
      <c r="AG1781" s="17"/>
      <c r="AH1781" s="18"/>
      <c r="AI1781" s="109" t="s">
        <v>4336</v>
      </c>
      <c r="AJ1781" s="110" t="s">
        <v>4337</v>
      </c>
      <c r="AK1781" s="275"/>
      <c r="AL1781" s="276"/>
      <c r="AM1781" s="112" t="s">
        <v>1085</v>
      </c>
      <c r="AN1781" s="19"/>
      <c r="AO1781" s="19"/>
      <c r="AP1781" s="19"/>
      <c r="AQ1781" s="19"/>
      <c r="AR1781" s="19"/>
      <c r="AS1781" s="19"/>
      <c r="AT1781" s="19"/>
      <c r="AU1781" s="19"/>
      <c r="AV1781" s="19"/>
      <c r="AW1781" s="19"/>
      <c r="AX1781" s="107"/>
      <c r="AY1781" s="107"/>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39"/>
      <c r="CO1781" s="138"/>
      <c r="CP1781" s="139"/>
      <c r="CQ1781" s="138"/>
      <c r="CR1781" s="139"/>
      <c r="CS1781" s="138"/>
      <c r="CT1781" s="72"/>
      <c r="CU1781" s="139"/>
      <c r="CV1781" s="99">
        <f t="shared" si="167"/>
        <v>0</v>
      </c>
      <c r="CW1781" s="139"/>
      <c r="CX1781" s="138"/>
      <c r="CY1781" s="138"/>
      <c r="CZ1781" s="138"/>
      <c r="DA1781" s="139"/>
      <c r="DB1781" s="138"/>
      <c r="DC1781" s="45"/>
      <c r="DD1781" s="138"/>
      <c r="DE1781" s="45"/>
      <c r="DF1781" s="46"/>
    </row>
    <row r="1782" spans="1:110" s="42" customFormat="1" ht="22.5" x14ac:dyDescent="0.2">
      <c r="A1782" s="89">
        <v>40725</v>
      </c>
      <c r="B1782" s="106" t="s">
        <v>4352</v>
      </c>
      <c r="C1782" s="106" t="s">
        <v>2543</v>
      </c>
      <c r="D1782" s="90" t="s">
        <v>2362</v>
      </c>
      <c r="E1782" s="90" t="str">
        <f>VLOOKUP(B1782&amp;C1782,Divipola!$C$2:$F$1138,4,FALSE)</f>
        <v>13667</v>
      </c>
      <c r="F1782" s="90"/>
      <c r="G1782" s="129"/>
      <c r="H1782" s="129"/>
      <c r="I1782" s="129"/>
      <c r="J1782" s="129">
        <v>30</v>
      </c>
      <c r="K1782" s="129">
        <v>6</v>
      </c>
      <c r="L1782" s="129">
        <v>6</v>
      </c>
      <c r="M1782" s="279"/>
      <c r="N1782" s="129"/>
      <c r="O1782" s="129"/>
      <c r="P1782" s="129"/>
      <c r="Q1782" s="129"/>
      <c r="R1782" s="129"/>
      <c r="S1782" s="129"/>
      <c r="T1782" s="129"/>
      <c r="U1782" s="129"/>
      <c r="V1782" s="129"/>
      <c r="W1782" s="107"/>
      <c r="X1782" s="105"/>
      <c r="Y1782" s="92">
        <f t="shared" si="168"/>
        <v>0</v>
      </c>
      <c r="Z1782" s="92">
        <f t="shared" si="169"/>
        <v>0</v>
      </c>
      <c r="AA1782" s="92">
        <f t="shared" si="170"/>
        <v>0</v>
      </c>
      <c r="AB1782" s="92">
        <f t="shared" si="171"/>
        <v>0</v>
      </c>
      <c r="AC1782" s="92"/>
      <c r="AD1782" s="92">
        <v>0</v>
      </c>
      <c r="AE1782" s="92">
        <f t="shared" si="172"/>
        <v>0</v>
      </c>
      <c r="AF1782" s="93">
        <v>0</v>
      </c>
      <c r="AG1782" s="105"/>
      <c r="AH1782" s="108"/>
      <c r="AI1782" s="102" t="s">
        <v>4336</v>
      </c>
      <c r="AJ1782" s="96" t="s">
        <v>4337</v>
      </c>
      <c r="AK1782" s="280"/>
      <c r="AL1782" s="281"/>
      <c r="AM1782" s="112" t="s">
        <v>2114</v>
      </c>
      <c r="AN1782" s="107"/>
      <c r="AO1782" s="107"/>
      <c r="AP1782" s="107"/>
      <c r="AQ1782" s="107"/>
      <c r="AR1782" s="107"/>
      <c r="AS1782" s="107"/>
      <c r="AT1782" s="107"/>
      <c r="AU1782" s="107"/>
      <c r="AV1782" s="107"/>
      <c r="AW1782" s="107"/>
      <c r="AX1782" s="107"/>
      <c r="AY1782" s="107"/>
      <c r="AZ1782" s="107"/>
      <c r="BA1782" s="107"/>
      <c r="BB1782" s="107"/>
      <c r="BC1782" s="107"/>
      <c r="BD1782" s="107"/>
      <c r="BE1782" s="107"/>
      <c r="BF1782" s="107"/>
      <c r="BG1782" s="107"/>
      <c r="BH1782" s="107"/>
      <c r="BI1782" s="107"/>
      <c r="BJ1782" s="107"/>
      <c r="BK1782" s="107"/>
      <c r="BL1782" s="107"/>
      <c r="BM1782" s="107"/>
      <c r="BN1782" s="107"/>
      <c r="BO1782" s="107"/>
      <c r="BP1782" s="107"/>
      <c r="BQ1782" s="107"/>
      <c r="BR1782" s="107"/>
      <c r="BS1782" s="107"/>
      <c r="BT1782" s="107"/>
      <c r="BU1782" s="107"/>
      <c r="BV1782" s="107"/>
      <c r="BW1782" s="107"/>
      <c r="BX1782" s="107"/>
      <c r="BY1782" s="107"/>
      <c r="BZ1782" s="107"/>
      <c r="CA1782" s="107"/>
      <c r="CB1782" s="107"/>
      <c r="CC1782" s="107"/>
      <c r="CD1782" s="107"/>
      <c r="CE1782" s="107"/>
      <c r="CF1782" s="107"/>
      <c r="CG1782" s="107"/>
      <c r="CH1782" s="107"/>
      <c r="CI1782" s="107"/>
      <c r="CJ1782" s="107"/>
      <c r="CK1782" s="107"/>
      <c r="CL1782" s="107"/>
      <c r="CM1782" s="107"/>
      <c r="CN1782" s="118"/>
      <c r="CO1782" s="119"/>
      <c r="CP1782" s="118"/>
      <c r="CQ1782" s="119"/>
      <c r="CR1782" s="118"/>
      <c r="CS1782" s="119"/>
      <c r="CT1782" s="113"/>
      <c r="CU1782" s="118"/>
      <c r="CV1782" s="99">
        <f t="shared" si="167"/>
        <v>0</v>
      </c>
      <c r="CW1782" s="118"/>
      <c r="CX1782" s="119"/>
      <c r="CY1782" s="119"/>
      <c r="CZ1782" s="119"/>
      <c r="DA1782" s="118"/>
      <c r="DB1782" s="119"/>
      <c r="DC1782" s="111"/>
      <c r="DD1782" s="119"/>
      <c r="DE1782" s="111"/>
      <c r="DF1782" s="46"/>
    </row>
    <row r="1783" spans="1:110" s="42" customFormat="1" ht="36" x14ac:dyDescent="0.2">
      <c r="A1783" s="89">
        <v>40725</v>
      </c>
      <c r="B1783" s="16" t="s">
        <v>4261</v>
      </c>
      <c r="C1783" s="16" t="s">
        <v>1285</v>
      </c>
      <c r="D1783" s="90" t="s">
        <v>4264</v>
      </c>
      <c r="E1783" s="90" t="str">
        <f>VLOOKUP(B1783&amp;C1783,Divipola!$C$2:$F$1138,4,FALSE)</f>
        <v>15686</v>
      </c>
      <c r="F1783" s="4"/>
      <c r="G1783" s="208"/>
      <c r="H1783" s="208"/>
      <c r="I1783" s="208"/>
      <c r="J1783" s="208"/>
      <c r="K1783" s="208"/>
      <c r="L1783" s="208"/>
      <c r="M1783" s="208"/>
      <c r="N1783" s="208"/>
      <c r="O1783" s="208"/>
      <c r="P1783" s="208"/>
      <c r="Q1783" s="208"/>
      <c r="R1783" s="208"/>
      <c r="S1783" s="208"/>
      <c r="T1783" s="208"/>
      <c r="U1783" s="208"/>
      <c r="V1783" s="208"/>
      <c r="W1783" s="19"/>
      <c r="X1783" s="17"/>
      <c r="Y1783" s="5">
        <f t="shared" si="168"/>
        <v>0</v>
      </c>
      <c r="Z1783" s="5">
        <f t="shared" si="169"/>
        <v>0</v>
      </c>
      <c r="AA1783" s="5">
        <f t="shared" si="170"/>
        <v>0</v>
      </c>
      <c r="AB1783" s="5">
        <f t="shared" si="171"/>
        <v>0</v>
      </c>
      <c r="AC1783" s="5"/>
      <c r="AD1783" s="5">
        <v>30000000</v>
      </c>
      <c r="AE1783" s="5">
        <f t="shared" si="172"/>
        <v>30000000</v>
      </c>
      <c r="AF1783" s="70">
        <v>0</v>
      </c>
      <c r="AG1783" s="17"/>
      <c r="AH1783" s="18"/>
      <c r="AI1783" s="47" t="s">
        <v>4346</v>
      </c>
      <c r="AJ1783" s="73" t="s">
        <v>4347</v>
      </c>
      <c r="AK1783" s="45"/>
      <c r="AL1783" s="17"/>
      <c r="AM1783" s="20" t="s">
        <v>11</v>
      </c>
      <c r="AN1783" s="19"/>
      <c r="AO1783" s="19"/>
      <c r="AP1783" s="19"/>
      <c r="AQ1783" s="19"/>
      <c r="AR1783" s="19"/>
      <c r="AS1783" s="19"/>
      <c r="AT1783" s="19"/>
      <c r="AU1783" s="19"/>
      <c r="AV1783" s="19"/>
      <c r="AW1783" s="19"/>
      <c r="AX1783" s="107"/>
      <c r="AY1783" s="107"/>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39"/>
      <c r="CO1783" s="138"/>
      <c r="CP1783" s="139"/>
      <c r="CQ1783" s="138"/>
      <c r="CR1783" s="139"/>
      <c r="CS1783" s="138"/>
      <c r="CT1783" s="72"/>
      <c r="CU1783" s="139"/>
      <c r="CV1783" s="99">
        <f t="shared" si="167"/>
        <v>0</v>
      </c>
      <c r="CW1783" s="139"/>
      <c r="CX1783" s="138"/>
      <c r="CY1783" s="138"/>
      <c r="CZ1783" s="138"/>
      <c r="DA1783" s="139"/>
      <c r="DB1783" s="138"/>
      <c r="DC1783" s="45"/>
      <c r="DD1783" s="138"/>
      <c r="DE1783" s="45"/>
      <c r="DF1783" s="46"/>
    </row>
    <row r="1784" spans="1:110" s="42" customFormat="1" x14ac:dyDescent="0.2">
      <c r="A1784" s="89">
        <v>40725</v>
      </c>
      <c r="B1784" s="16" t="s">
        <v>3533</v>
      </c>
      <c r="C1784" s="16" t="s">
        <v>968</v>
      </c>
      <c r="D1784" s="90" t="s">
        <v>2362</v>
      </c>
      <c r="E1784" s="90" t="str">
        <f>VLOOKUP(B1784&amp;C1784,Divipola!$C$2:$F$1138,4,FALSE)</f>
        <v>17174</v>
      </c>
      <c r="F1784" s="4"/>
      <c r="G1784" s="208"/>
      <c r="H1784" s="208"/>
      <c r="I1784" s="208"/>
      <c r="J1784" s="208">
        <v>18</v>
      </c>
      <c r="K1784" s="208">
        <v>3</v>
      </c>
      <c r="L1784" s="208"/>
      <c r="M1784" s="208">
        <v>3</v>
      </c>
      <c r="N1784" s="208"/>
      <c r="O1784" s="208"/>
      <c r="P1784" s="208"/>
      <c r="Q1784" s="208"/>
      <c r="R1784" s="208"/>
      <c r="S1784" s="208"/>
      <c r="T1784" s="208"/>
      <c r="U1784" s="208"/>
      <c r="V1784" s="208"/>
      <c r="W1784" s="19"/>
      <c r="X1784" s="17"/>
      <c r="Y1784" s="5">
        <f t="shared" si="168"/>
        <v>0</v>
      </c>
      <c r="Z1784" s="5">
        <f t="shared" si="169"/>
        <v>0</v>
      </c>
      <c r="AA1784" s="5">
        <f t="shared" si="170"/>
        <v>0</v>
      </c>
      <c r="AB1784" s="5">
        <f t="shared" si="171"/>
        <v>0</v>
      </c>
      <c r="AC1784" s="5"/>
      <c r="AD1784" s="5">
        <v>0</v>
      </c>
      <c r="AE1784" s="5">
        <f t="shared" si="172"/>
        <v>0</v>
      </c>
      <c r="AF1784" s="70">
        <v>0</v>
      </c>
      <c r="AG1784" s="17"/>
      <c r="AH1784" s="18"/>
      <c r="AI1784" s="47" t="s">
        <v>4336</v>
      </c>
      <c r="AJ1784" s="73" t="s">
        <v>4337</v>
      </c>
      <c r="AK1784" s="45"/>
      <c r="AL1784" s="17"/>
      <c r="AM1784" s="20" t="s">
        <v>3530</v>
      </c>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19"/>
      <c r="BV1784" s="19"/>
      <c r="BW1784" s="19"/>
      <c r="BX1784" s="19"/>
      <c r="BY1784" s="19"/>
      <c r="BZ1784" s="19"/>
      <c r="CA1784" s="19"/>
      <c r="CB1784" s="19"/>
      <c r="CC1784" s="19"/>
      <c r="CD1784" s="139"/>
      <c r="CE1784" s="138"/>
      <c r="CF1784" s="139"/>
      <c r="CG1784" s="138"/>
      <c r="CH1784" s="139"/>
      <c r="CI1784" s="138"/>
      <c r="CJ1784" s="72"/>
      <c r="CK1784" s="139"/>
      <c r="CL1784" s="71"/>
      <c r="CM1784" s="139"/>
      <c r="CN1784" s="138"/>
      <c r="CO1784" s="138"/>
      <c r="CP1784" s="138"/>
      <c r="CQ1784" s="139"/>
      <c r="CR1784" s="138"/>
      <c r="CS1784" s="45"/>
      <c r="CT1784" s="138"/>
      <c r="CU1784" s="45"/>
      <c r="CV1784" s="99">
        <f t="shared" si="167"/>
        <v>0</v>
      </c>
      <c r="CW1784" s="139"/>
      <c r="CX1784" s="138"/>
      <c r="CY1784" s="138"/>
      <c r="CZ1784" s="138"/>
      <c r="DA1784" s="139"/>
      <c r="DB1784" s="138"/>
      <c r="DC1784" s="45"/>
      <c r="DD1784" s="138"/>
      <c r="DE1784" s="45"/>
      <c r="DF1784" s="46"/>
    </row>
    <row r="1785" spans="1:110" s="42" customFormat="1" ht="48" x14ac:dyDescent="0.2">
      <c r="A1785" s="89">
        <v>40725</v>
      </c>
      <c r="B1785" s="16" t="s">
        <v>3533</v>
      </c>
      <c r="C1785" s="16" t="s">
        <v>1421</v>
      </c>
      <c r="D1785" s="90" t="s">
        <v>4264</v>
      </c>
      <c r="E1785" s="90" t="str">
        <f>VLOOKUP(B1785&amp;C1785,Divipola!$C$2:$F$1138,4,FALSE)</f>
        <v>17867</v>
      </c>
      <c r="F1785" s="4"/>
      <c r="G1785" s="208"/>
      <c r="H1785" s="208"/>
      <c r="I1785" s="208"/>
      <c r="J1785" s="208"/>
      <c r="K1785" s="208"/>
      <c r="L1785" s="208"/>
      <c r="M1785" s="208"/>
      <c r="N1785" s="208"/>
      <c r="O1785" s="208"/>
      <c r="P1785" s="208"/>
      <c r="Q1785" s="208"/>
      <c r="R1785" s="208"/>
      <c r="S1785" s="208"/>
      <c r="T1785" s="208"/>
      <c r="U1785" s="208"/>
      <c r="V1785" s="208"/>
      <c r="W1785" s="19"/>
      <c r="X1785" s="17"/>
      <c r="Y1785" s="5">
        <f t="shared" si="168"/>
        <v>0</v>
      </c>
      <c r="Z1785" s="5">
        <f t="shared" si="169"/>
        <v>0</v>
      </c>
      <c r="AA1785" s="5">
        <f t="shared" si="170"/>
        <v>0</v>
      </c>
      <c r="AB1785" s="5">
        <f t="shared" si="171"/>
        <v>0</v>
      </c>
      <c r="AC1785" s="5"/>
      <c r="AD1785" s="5">
        <v>30000000</v>
      </c>
      <c r="AE1785" s="5">
        <f t="shared" si="172"/>
        <v>30000000</v>
      </c>
      <c r="AF1785" s="70">
        <v>0</v>
      </c>
      <c r="AG1785" s="17"/>
      <c r="AH1785" s="18"/>
      <c r="AI1785" s="47" t="s">
        <v>4346</v>
      </c>
      <c r="AJ1785" s="73" t="s">
        <v>4347</v>
      </c>
      <c r="AK1785" s="45"/>
      <c r="AL1785" s="17"/>
      <c r="AM1785" s="20" t="s">
        <v>137</v>
      </c>
      <c r="AN1785" s="19"/>
      <c r="AO1785" s="19"/>
      <c r="AP1785" s="19"/>
      <c r="AQ1785" s="19"/>
      <c r="AR1785" s="19"/>
      <c r="AS1785" s="19"/>
      <c r="AT1785" s="19"/>
      <c r="AU1785" s="19"/>
      <c r="AV1785" s="19"/>
      <c r="AW1785" s="19"/>
      <c r="AX1785" s="107"/>
      <c r="AY1785" s="107"/>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39"/>
      <c r="CO1785" s="138"/>
      <c r="CP1785" s="139"/>
      <c r="CQ1785" s="138"/>
      <c r="CR1785" s="139"/>
      <c r="CS1785" s="138"/>
      <c r="CT1785" s="72"/>
      <c r="CU1785" s="139"/>
      <c r="CV1785" s="99">
        <f t="shared" si="167"/>
        <v>0</v>
      </c>
      <c r="CW1785" s="139"/>
      <c r="CX1785" s="138"/>
      <c r="CY1785" s="138"/>
      <c r="CZ1785" s="138"/>
      <c r="DA1785" s="139"/>
      <c r="DB1785" s="138"/>
      <c r="DC1785" s="45"/>
      <c r="DD1785" s="138"/>
      <c r="DE1785" s="45"/>
      <c r="DF1785" s="46"/>
    </row>
    <row r="1786" spans="1:110" s="42" customFormat="1" ht="24" x14ac:dyDescent="0.2">
      <c r="A1786" s="89">
        <v>40725</v>
      </c>
      <c r="B1786" s="16" t="s">
        <v>3533</v>
      </c>
      <c r="C1786" s="16" t="s">
        <v>1424</v>
      </c>
      <c r="D1786" s="90" t="s">
        <v>4264</v>
      </c>
      <c r="E1786" s="90" t="str">
        <f>VLOOKUP(B1786&amp;C1786,Divipola!$C$2:$F$1138,4,FALSE)</f>
        <v>17877</v>
      </c>
      <c r="F1786" s="4"/>
      <c r="G1786" s="276"/>
      <c r="H1786" s="274"/>
      <c r="I1786" s="274"/>
      <c r="J1786" s="274"/>
      <c r="K1786" s="208">
        <v>25</v>
      </c>
      <c r="L1786" s="208">
        <v>5</v>
      </c>
      <c r="M1786" s="208"/>
      <c r="N1786" s="208">
        <v>5</v>
      </c>
      <c r="O1786" s="208"/>
      <c r="P1786" s="208"/>
      <c r="Q1786" s="208"/>
      <c r="R1786" s="208"/>
      <c r="S1786" s="208"/>
      <c r="T1786" s="208"/>
      <c r="U1786" s="208"/>
      <c r="V1786" s="208"/>
      <c r="W1786" s="19"/>
      <c r="X1786" s="17"/>
      <c r="Y1786" s="5">
        <f t="shared" si="168"/>
        <v>0</v>
      </c>
      <c r="Z1786" s="5">
        <f t="shared" si="169"/>
        <v>0</v>
      </c>
      <c r="AA1786" s="5">
        <f t="shared" si="170"/>
        <v>0</v>
      </c>
      <c r="AB1786" s="5">
        <f t="shared" si="171"/>
        <v>0</v>
      </c>
      <c r="AC1786" s="5"/>
      <c r="AD1786" s="5">
        <v>0</v>
      </c>
      <c r="AE1786" s="5">
        <f t="shared" si="172"/>
        <v>0</v>
      </c>
      <c r="AF1786" s="70">
        <v>0</v>
      </c>
      <c r="AG1786" s="17"/>
      <c r="AH1786" s="18"/>
      <c r="AI1786" s="47" t="s">
        <v>4336</v>
      </c>
      <c r="AJ1786" s="73" t="s">
        <v>4337</v>
      </c>
      <c r="AK1786" s="275"/>
      <c r="AL1786" s="276"/>
      <c r="AM1786" s="136" t="s">
        <v>4434</v>
      </c>
      <c r="AN1786" s="19"/>
      <c r="AO1786" s="19"/>
      <c r="AP1786" s="19"/>
      <c r="AQ1786" s="19"/>
      <c r="AR1786" s="19"/>
      <c r="AS1786" s="19"/>
      <c r="AT1786" s="19"/>
      <c r="AU1786" s="19"/>
      <c r="AV1786" s="19"/>
      <c r="AW1786" s="19"/>
      <c r="AX1786" s="107"/>
      <c r="AY1786" s="107"/>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9"/>
      <c r="CE1786" s="19"/>
      <c r="CF1786" s="19"/>
      <c r="CG1786" s="19"/>
      <c r="CH1786" s="19"/>
      <c r="CI1786" s="19"/>
      <c r="CJ1786" s="19"/>
      <c r="CK1786" s="19"/>
      <c r="CL1786" s="19"/>
      <c r="CM1786" s="19"/>
      <c r="CN1786" s="139"/>
      <c r="CO1786" s="138"/>
      <c r="CP1786" s="139"/>
      <c r="CQ1786" s="138"/>
      <c r="CR1786" s="139"/>
      <c r="CS1786" s="138"/>
      <c r="CT1786" s="72"/>
      <c r="CU1786" s="139"/>
      <c r="CV1786" s="99">
        <f t="shared" si="167"/>
        <v>0</v>
      </c>
      <c r="CW1786" s="139"/>
      <c r="CX1786" s="138"/>
      <c r="CY1786" s="138"/>
      <c r="CZ1786" s="138"/>
      <c r="DA1786" s="139"/>
      <c r="DB1786" s="138"/>
      <c r="DC1786" s="45"/>
      <c r="DD1786" s="138"/>
      <c r="DE1786" s="45"/>
      <c r="DF1786" s="46"/>
    </row>
    <row r="1787" spans="1:110" s="42" customFormat="1" ht="24" x14ac:dyDescent="0.2">
      <c r="A1787" s="89">
        <v>40725</v>
      </c>
      <c r="B1787" s="90" t="s">
        <v>4296</v>
      </c>
      <c r="C1787" s="90" t="s">
        <v>3352</v>
      </c>
      <c r="D1787" s="90" t="s">
        <v>3346</v>
      </c>
      <c r="E1787" s="90" t="str">
        <f>VLOOKUP(B1787&amp;C1787,Divipola!$C$2:$F$1138,4,FALSE)</f>
        <v>19532</v>
      </c>
      <c r="F1787" s="4"/>
      <c r="G1787" s="314"/>
      <c r="H1787" s="314"/>
      <c r="I1787" s="314"/>
      <c r="J1787" s="101">
        <f>80*5</f>
        <v>400</v>
      </c>
      <c r="K1787" s="101">
        <v>80</v>
      </c>
      <c r="L1787" s="101">
        <v>10</v>
      </c>
      <c r="M1787" s="101">
        <v>70</v>
      </c>
      <c r="N1787" s="208"/>
      <c r="O1787" s="208"/>
      <c r="P1787" s="208"/>
      <c r="Q1787" s="208"/>
      <c r="R1787" s="208"/>
      <c r="S1787" s="208"/>
      <c r="T1787" s="208"/>
      <c r="U1787" s="208"/>
      <c r="V1787" s="208"/>
      <c r="W1787" s="19"/>
      <c r="X1787" s="17"/>
      <c r="Y1787" s="5">
        <f t="shared" si="168"/>
        <v>0</v>
      </c>
      <c r="Z1787" s="5">
        <f t="shared" si="169"/>
        <v>0</v>
      </c>
      <c r="AA1787" s="5">
        <f t="shared" si="170"/>
        <v>32828255.199999999</v>
      </c>
      <c r="AB1787" s="5">
        <f t="shared" si="171"/>
        <v>0</v>
      </c>
      <c r="AC1787" s="5"/>
      <c r="AD1787" s="5">
        <v>0</v>
      </c>
      <c r="AE1787" s="5">
        <f t="shared" si="172"/>
        <v>32828255.199999999</v>
      </c>
      <c r="AF1787" s="70">
        <v>0</v>
      </c>
      <c r="AG1787" s="17"/>
      <c r="AH1787" s="18"/>
      <c r="AI1787" s="95" t="s">
        <v>4346</v>
      </c>
      <c r="AJ1787" s="96" t="s">
        <v>4347</v>
      </c>
      <c r="AK1787" s="315"/>
      <c r="AL1787" s="316"/>
      <c r="AM1787" s="100" t="s">
        <v>135</v>
      </c>
      <c r="AN1787" s="19"/>
      <c r="AO1787" s="19"/>
      <c r="AP1787" s="19"/>
      <c r="AQ1787" s="19"/>
      <c r="AR1787" s="19"/>
      <c r="AS1787" s="19"/>
      <c r="AT1787" s="19"/>
      <c r="AU1787" s="19"/>
      <c r="AV1787" s="19"/>
      <c r="AW1787" s="19"/>
      <c r="AX1787" s="107"/>
      <c r="AY1787" s="107"/>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39"/>
      <c r="CO1787" s="138"/>
      <c r="CP1787" s="139"/>
      <c r="CQ1787" s="138"/>
      <c r="CR1787" s="139"/>
      <c r="CS1787" s="138"/>
      <c r="CT1787" s="72"/>
      <c r="CU1787" s="139"/>
      <c r="CV1787" s="99">
        <f t="shared" si="167"/>
        <v>0</v>
      </c>
      <c r="CW1787" s="139"/>
      <c r="CX1787" s="138"/>
      <c r="CY1787" s="138"/>
      <c r="CZ1787" s="138"/>
      <c r="DA1787" s="139"/>
      <c r="DB1787" s="138"/>
      <c r="DC1787" s="45">
        <v>1223</v>
      </c>
      <c r="DD1787" s="138">
        <f>1223*25520+7338*220.4</f>
        <v>32828255.199999999</v>
      </c>
      <c r="DE1787" s="45"/>
      <c r="DF1787" s="46"/>
    </row>
    <row r="1788" spans="1:110" s="42" customFormat="1" ht="120" x14ac:dyDescent="0.2">
      <c r="A1788" s="89">
        <v>40725</v>
      </c>
      <c r="B1788" s="147" t="s">
        <v>4296</v>
      </c>
      <c r="C1788" s="16" t="s">
        <v>1506</v>
      </c>
      <c r="D1788" s="90" t="s">
        <v>4264</v>
      </c>
      <c r="E1788" s="90" t="str">
        <f>VLOOKUP(B1788&amp;C1788,Divipola!$C$2:$F$1138,4,FALSE)</f>
        <v>19622</v>
      </c>
      <c r="F1788" s="4"/>
      <c r="G1788" s="208"/>
      <c r="H1788" s="208"/>
      <c r="I1788" s="208"/>
      <c r="J1788" s="208"/>
      <c r="K1788" s="208"/>
      <c r="L1788" s="208"/>
      <c r="M1788" s="208"/>
      <c r="N1788" s="208">
        <v>9</v>
      </c>
      <c r="O1788" s="208"/>
      <c r="P1788" s="208"/>
      <c r="Q1788" s="208"/>
      <c r="R1788" s="208"/>
      <c r="S1788" s="208"/>
      <c r="T1788" s="208"/>
      <c r="U1788" s="208"/>
      <c r="V1788" s="208"/>
      <c r="W1788" s="19"/>
      <c r="X1788" s="17"/>
      <c r="Y1788" s="5">
        <f t="shared" si="168"/>
        <v>0</v>
      </c>
      <c r="Z1788" s="5">
        <f t="shared" si="169"/>
        <v>0</v>
      </c>
      <c r="AA1788" s="5">
        <f t="shared" si="170"/>
        <v>0</v>
      </c>
      <c r="AB1788" s="5">
        <f t="shared" si="171"/>
        <v>0</v>
      </c>
      <c r="AC1788" s="5"/>
      <c r="AD1788" s="5">
        <v>20000000</v>
      </c>
      <c r="AE1788" s="5">
        <f t="shared" si="172"/>
        <v>20000000</v>
      </c>
      <c r="AF1788" s="70">
        <v>0</v>
      </c>
      <c r="AG1788" s="17"/>
      <c r="AH1788" s="18"/>
      <c r="AI1788" s="47" t="s">
        <v>4346</v>
      </c>
      <c r="AJ1788" s="73" t="s">
        <v>4347</v>
      </c>
      <c r="AK1788" s="45"/>
      <c r="AL1788" s="17"/>
      <c r="AM1788" s="20" t="s">
        <v>2313</v>
      </c>
      <c r="AN1788" s="19"/>
      <c r="AO1788" s="19"/>
      <c r="AP1788" s="19"/>
      <c r="AQ1788" s="19"/>
      <c r="AR1788" s="19"/>
      <c r="AS1788" s="19"/>
      <c r="AT1788" s="19"/>
      <c r="AU1788" s="19"/>
      <c r="AV1788" s="19"/>
      <c r="AW1788" s="19"/>
      <c r="AX1788" s="107"/>
      <c r="AY1788" s="107"/>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39"/>
      <c r="CO1788" s="138"/>
      <c r="CP1788" s="139"/>
      <c r="CQ1788" s="138"/>
      <c r="CR1788" s="139"/>
      <c r="CS1788" s="138"/>
      <c r="CT1788" s="72"/>
      <c r="CU1788" s="139"/>
      <c r="CV1788" s="99">
        <f t="shared" si="167"/>
        <v>0</v>
      </c>
      <c r="CW1788" s="139"/>
      <c r="CX1788" s="138"/>
      <c r="CY1788" s="138"/>
      <c r="CZ1788" s="138"/>
      <c r="DA1788" s="139"/>
      <c r="DB1788" s="138"/>
      <c r="DC1788" s="45"/>
      <c r="DD1788" s="138"/>
      <c r="DE1788" s="45"/>
      <c r="DF1788" s="46"/>
    </row>
    <row r="1789" spans="1:110" s="42" customFormat="1" ht="48" x14ac:dyDescent="0.2">
      <c r="A1789" s="89">
        <v>40725</v>
      </c>
      <c r="B1789" s="16" t="s">
        <v>4344</v>
      </c>
      <c r="C1789" s="16" t="s">
        <v>1696</v>
      </c>
      <c r="D1789" s="90" t="s">
        <v>4264</v>
      </c>
      <c r="E1789" s="90" t="str">
        <f>VLOOKUP(B1789&amp;C1789,Divipola!$C$2:$F$1138,4,FALSE)</f>
        <v>25281</v>
      </c>
      <c r="F1789" s="4"/>
      <c r="G1789" s="208"/>
      <c r="H1789" s="208"/>
      <c r="I1789" s="208"/>
      <c r="J1789" s="208"/>
      <c r="K1789" s="208"/>
      <c r="L1789" s="208"/>
      <c r="M1789" s="208"/>
      <c r="N1789" s="208">
        <v>14</v>
      </c>
      <c r="O1789" s="208"/>
      <c r="P1789" s="208"/>
      <c r="Q1789" s="208"/>
      <c r="R1789" s="208"/>
      <c r="S1789" s="208"/>
      <c r="T1789" s="208"/>
      <c r="U1789" s="208"/>
      <c r="V1789" s="208"/>
      <c r="W1789" s="19"/>
      <c r="X1789" s="17"/>
      <c r="Y1789" s="5">
        <f t="shared" si="168"/>
        <v>0</v>
      </c>
      <c r="Z1789" s="5">
        <f t="shared" si="169"/>
        <v>0</v>
      </c>
      <c r="AA1789" s="5">
        <f t="shared" si="170"/>
        <v>0</v>
      </c>
      <c r="AB1789" s="5">
        <f t="shared" si="171"/>
        <v>0</v>
      </c>
      <c r="AC1789" s="5"/>
      <c r="AD1789" s="5">
        <v>10000000</v>
      </c>
      <c r="AE1789" s="5">
        <f t="shared" si="172"/>
        <v>10000000</v>
      </c>
      <c r="AF1789" s="70">
        <v>0</v>
      </c>
      <c r="AG1789" s="17"/>
      <c r="AH1789" s="18"/>
      <c r="AI1789" s="95" t="s">
        <v>4346</v>
      </c>
      <c r="AJ1789" s="96" t="s">
        <v>4347</v>
      </c>
      <c r="AK1789" s="45"/>
      <c r="AL1789" s="17"/>
      <c r="AM1789" s="20" t="s">
        <v>3762</v>
      </c>
      <c r="AN1789" s="19"/>
      <c r="AO1789" s="19"/>
      <c r="AP1789" s="19"/>
      <c r="AQ1789" s="19"/>
      <c r="AR1789" s="19"/>
      <c r="AS1789" s="19"/>
      <c r="AT1789" s="19"/>
      <c r="AU1789" s="19"/>
      <c r="AV1789" s="19"/>
      <c r="AW1789" s="19"/>
      <c r="AX1789" s="107"/>
      <c r="AY1789" s="107"/>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39"/>
      <c r="CO1789" s="138"/>
      <c r="CP1789" s="139"/>
      <c r="CQ1789" s="138"/>
      <c r="CR1789" s="139"/>
      <c r="CS1789" s="138"/>
      <c r="CT1789" s="72"/>
      <c r="CU1789" s="139"/>
      <c r="CV1789" s="99">
        <f t="shared" si="167"/>
        <v>0</v>
      </c>
      <c r="CW1789" s="139"/>
      <c r="CX1789" s="138"/>
      <c r="CY1789" s="138"/>
      <c r="CZ1789" s="138"/>
      <c r="DA1789" s="139"/>
      <c r="DB1789" s="138"/>
      <c r="DC1789" s="45"/>
      <c r="DD1789" s="138"/>
      <c r="DE1789" s="45"/>
      <c r="DF1789" s="46"/>
    </row>
    <row r="1790" spans="1:110" s="42" customFormat="1" ht="36" x14ac:dyDescent="0.2">
      <c r="A1790" s="89">
        <v>40725</v>
      </c>
      <c r="B1790" s="90" t="s">
        <v>4344</v>
      </c>
      <c r="C1790" s="90" t="s">
        <v>4251</v>
      </c>
      <c r="D1790" s="90" t="s">
        <v>3346</v>
      </c>
      <c r="E1790" s="90" t="str">
        <f>VLOOKUP(B1790&amp;C1790,Divipola!$C$2:$F$1138,4,FALSE)</f>
        <v>25513</v>
      </c>
      <c r="F1790" s="90"/>
      <c r="G1790" s="274"/>
      <c r="H1790" s="274"/>
      <c r="I1790" s="274"/>
      <c r="J1790" s="101">
        <v>132</v>
      </c>
      <c r="K1790" s="101">
        <v>30</v>
      </c>
      <c r="L1790" s="101"/>
      <c r="M1790" s="101">
        <v>30</v>
      </c>
      <c r="N1790" s="101"/>
      <c r="O1790" s="208"/>
      <c r="P1790" s="208"/>
      <c r="Q1790" s="208"/>
      <c r="R1790" s="208"/>
      <c r="S1790" s="208"/>
      <c r="T1790" s="208"/>
      <c r="U1790" s="208"/>
      <c r="V1790" s="208"/>
      <c r="W1790" s="19"/>
      <c r="X1790" s="17"/>
      <c r="Y1790" s="5">
        <f t="shared" si="168"/>
        <v>0</v>
      </c>
      <c r="Z1790" s="5">
        <f t="shared" si="169"/>
        <v>0</v>
      </c>
      <c r="AA1790" s="5">
        <f t="shared" si="170"/>
        <v>0</v>
      </c>
      <c r="AB1790" s="5">
        <f t="shared" si="171"/>
        <v>0</v>
      </c>
      <c r="AC1790" s="5"/>
      <c r="AD1790" s="5">
        <v>0</v>
      </c>
      <c r="AE1790" s="5">
        <f t="shared" si="172"/>
        <v>0</v>
      </c>
      <c r="AF1790" s="70">
        <v>0</v>
      </c>
      <c r="AG1790" s="17"/>
      <c r="AH1790" s="18"/>
      <c r="AI1790" s="109" t="s">
        <v>4336</v>
      </c>
      <c r="AJ1790" s="110" t="s">
        <v>4337</v>
      </c>
      <c r="AK1790" s="275"/>
      <c r="AL1790" s="276"/>
      <c r="AM1790" s="100" t="s">
        <v>3774</v>
      </c>
      <c r="AN1790" s="19"/>
      <c r="AO1790" s="19"/>
      <c r="AP1790" s="19"/>
      <c r="AQ1790" s="19"/>
      <c r="AR1790" s="19"/>
      <c r="AS1790" s="19"/>
      <c r="AT1790" s="19"/>
      <c r="AU1790" s="19"/>
      <c r="AV1790" s="19"/>
      <c r="AW1790" s="19"/>
      <c r="AX1790" s="107"/>
      <c r="AY1790" s="107"/>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39"/>
      <c r="CO1790" s="138"/>
      <c r="CP1790" s="139"/>
      <c r="CQ1790" s="138"/>
      <c r="CR1790" s="139"/>
      <c r="CS1790" s="138"/>
      <c r="CT1790" s="72"/>
      <c r="CU1790" s="139"/>
      <c r="CV1790" s="99">
        <f t="shared" si="167"/>
        <v>0</v>
      </c>
      <c r="CW1790" s="139"/>
      <c r="CX1790" s="138"/>
      <c r="CY1790" s="138"/>
      <c r="CZ1790" s="138"/>
      <c r="DA1790" s="139"/>
      <c r="DB1790" s="138"/>
      <c r="DC1790" s="45"/>
      <c r="DD1790" s="138"/>
      <c r="DE1790" s="45"/>
      <c r="DF1790" s="46"/>
    </row>
    <row r="1791" spans="1:110" s="42" customFormat="1" ht="36" x14ac:dyDescent="0.2">
      <c r="A1791" s="89">
        <v>40725</v>
      </c>
      <c r="B1791" s="16" t="s">
        <v>860</v>
      </c>
      <c r="C1791" s="16" t="s">
        <v>4345</v>
      </c>
      <c r="D1791" s="90" t="s">
        <v>4264</v>
      </c>
      <c r="E1791" s="90">
        <f>VLOOKUP(B1791&amp;C1791,Divipola!$C$2:$F$1138,4,FALSE)</f>
        <v>50</v>
      </c>
      <c r="F1791" s="4"/>
      <c r="G1791" s="208"/>
      <c r="H1791" s="208"/>
      <c r="I1791" s="208"/>
      <c r="J1791" s="208"/>
      <c r="K1791" s="208"/>
      <c r="L1791" s="208"/>
      <c r="M1791" s="208"/>
      <c r="N1791" s="208"/>
      <c r="O1791" s="208"/>
      <c r="P1791" s="208"/>
      <c r="Q1791" s="208"/>
      <c r="R1791" s="208"/>
      <c r="S1791" s="208"/>
      <c r="T1791" s="208"/>
      <c r="U1791" s="208"/>
      <c r="V1791" s="208"/>
      <c r="W1791" s="19"/>
      <c r="X1791" s="17"/>
      <c r="Y1791" s="5">
        <f t="shared" si="168"/>
        <v>0</v>
      </c>
      <c r="Z1791" s="5">
        <f t="shared" si="169"/>
        <v>0</v>
      </c>
      <c r="AA1791" s="5">
        <f t="shared" si="170"/>
        <v>0</v>
      </c>
      <c r="AB1791" s="5">
        <f t="shared" si="171"/>
        <v>0</v>
      </c>
      <c r="AC1791" s="5"/>
      <c r="AD1791" s="5">
        <v>150000000</v>
      </c>
      <c r="AE1791" s="5">
        <f t="shared" si="172"/>
        <v>150000000</v>
      </c>
      <c r="AF1791" s="70">
        <v>0</v>
      </c>
      <c r="AG1791" s="17"/>
      <c r="AH1791" s="18"/>
      <c r="AI1791" s="47" t="s">
        <v>4346</v>
      </c>
      <c r="AJ1791" s="73" t="s">
        <v>4347</v>
      </c>
      <c r="AK1791" s="45"/>
      <c r="AL1791" s="17"/>
      <c r="AM1791" s="20" t="s">
        <v>10</v>
      </c>
      <c r="AN1791" s="19"/>
      <c r="AO1791" s="19"/>
      <c r="AP1791" s="19"/>
      <c r="AQ1791" s="19"/>
      <c r="AR1791" s="19"/>
      <c r="AS1791" s="19"/>
      <c r="AT1791" s="19"/>
      <c r="AU1791" s="19"/>
      <c r="AV1791" s="19"/>
      <c r="AW1791" s="19"/>
      <c r="AX1791" s="107"/>
      <c r="AY1791" s="107"/>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39"/>
      <c r="CO1791" s="138"/>
      <c r="CP1791" s="139"/>
      <c r="CQ1791" s="138"/>
      <c r="CR1791" s="139"/>
      <c r="CS1791" s="138"/>
      <c r="CT1791" s="72"/>
      <c r="CU1791" s="139"/>
      <c r="CV1791" s="99">
        <f t="shared" si="167"/>
        <v>0</v>
      </c>
      <c r="CW1791" s="139"/>
      <c r="CX1791" s="138"/>
      <c r="CY1791" s="138"/>
      <c r="CZ1791" s="138"/>
      <c r="DA1791" s="139"/>
      <c r="DB1791" s="138"/>
      <c r="DC1791" s="45"/>
      <c r="DD1791" s="138"/>
      <c r="DE1791" s="45"/>
      <c r="DF1791" s="46"/>
    </row>
    <row r="1792" spans="1:110" s="42" customFormat="1" ht="22.5" x14ac:dyDescent="0.2">
      <c r="A1792" s="89">
        <v>40725</v>
      </c>
      <c r="B1792" s="90" t="s">
        <v>2226</v>
      </c>
      <c r="C1792" s="90" t="s">
        <v>4243</v>
      </c>
      <c r="D1792" s="90" t="s">
        <v>4264</v>
      </c>
      <c r="E1792" s="90" t="str">
        <f>VLOOKUP(B1792&amp;C1792,Divipola!$C$2:$F$1138,4,FALSE)</f>
        <v>68081</v>
      </c>
      <c r="F1792" s="4"/>
      <c r="G1792" s="314"/>
      <c r="H1792" s="314"/>
      <c r="I1792" s="314"/>
      <c r="J1792" s="101">
        <v>20</v>
      </c>
      <c r="K1792" s="101">
        <v>4</v>
      </c>
      <c r="L1792" s="101"/>
      <c r="M1792" s="101">
        <v>4</v>
      </c>
      <c r="N1792" s="208"/>
      <c r="O1792" s="208"/>
      <c r="P1792" s="208"/>
      <c r="Q1792" s="208"/>
      <c r="R1792" s="208"/>
      <c r="S1792" s="208"/>
      <c r="T1792" s="208"/>
      <c r="U1792" s="208"/>
      <c r="V1792" s="208"/>
      <c r="W1792" s="19"/>
      <c r="X1792" s="17"/>
      <c r="Y1792" s="5">
        <f t="shared" si="168"/>
        <v>0</v>
      </c>
      <c r="Z1792" s="5">
        <f t="shared" si="169"/>
        <v>0</v>
      </c>
      <c r="AA1792" s="5">
        <f t="shared" si="170"/>
        <v>0</v>
      </c>
      <c r="AB1792" s="5">
        <f t="shared" si="171"/>
        <v>0</v>
      </c>
      <c r="AC1792" s="5"/>
      <c r="AD1792" s="5">
        <v>0</v>
      </c>
      <c r="AE1792" s="5">
        <f t="shared" si="172"/>
        <v>0</v>
      </c>
      <c r="AF1792" s="70">
        <v>0</v>
      </c>
      <c r="AG1792" s="17"/>
      <c r="AH1792" s="18"/>
      <c r="AI1792" s="109" t="s">
        <v>4336</v>
      </c>
      <c r="AJ1792" s="110" t="s">
        <v>4337</v>
      </c>
      <c r="AK1792" s="315"/>
      <c r="AL1792" s="316"/>
      <c r="AM1792" s="100" t="s">
        <v>3781</v>
      </c>
      <c r="AN1792" s="19"/>
      <c r="AO1792" s="19"/>
      <c r="AP1792" s="19"/>
      <c r="AQ1792" s="19"/>
      <c r="AR1792" s="19"/>
      <c r="AS1792" s="19"/>
      <c r="AT1792" s="19"/>
      <c r="AU1792" s="19"/>
      <c r="AV1792" s="19"/>
      <c r="AW1792" s="19"/>
      <c r="AX1792" s="107"/>
      <c r="AY1792" s="107"/>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39"/>
      <c r="CO1792" s="138"/>
      <c r="CP1792" s="139"/>
      <c r="CQ1792" s="138"/>
      <c r="CR1792" s="139"/>
      <c r="CS1792" s="138"/>
      <c r="CT1792" s="72"/>
      <c r="CU1792" s="139"/>
      <c r="CV1792" s="99">
        <f t="shared" si="167"/>
        <v>0</v>
      </c>
      <c r="CW1792" s="139"/>
      <c r="CX1792" s="138"/>
      <c r="CY1792" s="138"/>
      <c r="CZ1792" s="138"/>
      <c r="DA1792" s="139"/>
      <c r="DB1792" s="138"/>
      <c r="DC1792" s="45"/>
      <c r="DD1792" s="138"/>
      <c r="DE1792" s="45"/>
      <c r="DF1792" s="46"/>
    </row>
    <row r="1793" spans="1:110" s="42" customFormat="1" ht="48" x14ac:dyDescent="0.2">
      <c r="A1793" s="89">
        <v>40725</v>
      </c>
      <c r="B1793" s="16" t="s">
        <v>2204</v>
      </c>
      <c r="C1793" s="16" t="s">
        <v>3493</v>
      </c>
      <c r="D1793" s="90" t="s">
        <v>4264</v>
      </c>
      <c r="E1793" s="90" t="str">
        <f>VLOOKUP(B1793&amp;C1793,Divipola!$C$2:$F$1138,4,FALSE)</f>
        <v>70400</v>
      </c>
      <c r="F1793" s="4"/>
      <c r="G1793" s="208"/>
      <c r="H1793" s="208"/>
      <c r="I1793" s="208"/>
      <c r="J1793" s="208"/>
      <c r="K1793" s="208"/>
      <c r="L1793" s="208"/>
      <c r="M1793" s="208"/>
      <c r="N1793" s="208"/>
      <c r="O1793" s="208"/>
      <c r="P1793" s="208"/>
      <c r="Q1793" s="208"/>
      <c r="R1793" s="208"/>
      <c r="S1793" s="208"/>
      <c r="T1793" s="208"/>
      <c r="U1793" s="208"/>
      <c r="V1793" s="208"/>
      <c r="W1793" s="19"/>
      <c r="X1793" s="17"/>
      <c r="Y1793" s="5">
        <f t="shared" si="168"/>
        <v>39200000</v>
      </c>
      <c r="Z1793" s="5">
        <f t="shared" si="169"/>
        <v>102000000</v>
      </c>
      <c r="AA1793" s="5">
        <f t="shared" si="170"/>
        <v>0</v>
      </c>
      <c r="AB1793" s="5">
        <f t="shared" si="171"/>
        <v>0</v>
      </c>
      <c r="AC1793" s="5"/>
      <c r="AD1793" s="5">
        <v>0</v>
      </c>
      <c r="AE1793" s="5">
        <f t="shared" si="172"/>
        <v>141200000</v>
      </c>
      <c r="AF1793" s="70">
        <v>0</v>
      </c>
      <c r="AG1793" s="17"/>
      <c r="AH1793" s="18"/>
      <c r="AI1793" s="95" t="s">
        <v>4346</v>
      </c>
      <c r="AJ1793" s="96" t="s">
        <v>4347</v>
      </c>
      <c r="AK1793" s="45"/>
      <c r="AL1793" s="17"/>
      <c r="AM1793" s="20" t="s">
        <v>134</v>
      </c>
      <c r="AN1793" s="19"/>
      <c r="AO1793" s="19"/>
      <c r="AP1793" s="19"/>
      <c r="AQ1793" s="19"/>
      <c r="AR1793" s="19"/>
      <c r="AS1793" s="19"/>
      <c r="AT1793" s="19"/>
      <c r="AU1793" s="19"/>
      <c r="AV1793" s="19"/>
      <c r="AW1793" s="19"/>
      <c r="AX1793" s="107"/>
      <c r="AY1793" s="107"/>
      <c r="AZ1793" s="19">
        <v>700</v>
      </c>
      <c r="BA1793" s="19">
        <f>700*56000</f>
        <v>39200000</v>
      </c>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39"/>
      <c r="CO1793" s="138"/>
      <c r="CP1793" s="139"/>
      <c r="CQ1793" s="138"/>
      <c r="CR1793" s="139"/>
      <c r="CS1793" s="138"/>
      <c r="CT1793" s="72"/>
      <c r="CU1793" s="139"/>
      <c r="CV1793" s="99">
        <f t="shared" si="167"/>
        <v>39200000</v>
      </c>
      <c r="CW1793" s="139"/>
      <c r="CX1793" s="138"/>
      <c r="CY1793" s="138">
        <v>1200</v>
      </c>
      <c r="CZ1793" s="138">
        <f>1200*85000</f>
        <v>102000000</v>
      </c>
      <c r="DA1793" s="139"/>
      <c r="DB1793" s="138"/>
      <c r="DC1793" s="45"/>
      <c r="DD1793" s="138"/>
      <c r="DE1793" s="45"/>
      <c r="DF1793" s="46"/>
    </row>
    <row r="1794" spans="1:110" s="42" customFormat="1" ht="24" x14ac:dyDescent="0.2">
      <c r="A1794" s="89">
        <v>40727</v>
      </c>
      <c r="B1794" s="90" t="s">
        <v>3358</v>
      </c>
      <c r="C1794" s="90" t="s">
        <v>4253</v>
      </c>
      <c r="D1794" s="90" t="s">
        <v>2362</v>
      </c>
      <c r="E1794" s="90" t="str">
        <f>VLOOKUP(B1794&amp;C1794,Divipola!$C$2:$F$1138,4,FALSE)</f>
        <v>18001</v>
      </c>
      <c r="F1794" s="4"/>
      <c r="G1794" s="101"/>
      <c r="H1794" s="101"/>
      <c r="I1794" s="101"/>
      <c r="J1794" s="101">
        <v>8</v>
      </c>
      <c r="K1794" s="101">
        <v>2</v>
      </c>
      <c r="L1794" s="101"/>
      <c r="M1794" s="101">
        <v>2</v>
      </c>
      <c r="N1794" s="101"/>
      <c r="O1794" s="101"/>
      <c r="P1794" s="101"/>
      <c r="Q1794" s="101"/>
      <c r="R1794" s="101"/>
      <c r="S1794" s="101"/>
      <c r="T1794" s="101"/>
      <c r="U1794" s="101"/>
      <c r="V1794" s="101"/>
      <c r="W1794" s="19"/>
      <c r="X1794" s="17"/>
      <c r="Y1794" s="5">
        <f t="shared" si="168"/>
        <v>0</v>
      </c>
      <c r="Z1794" s="5">
        <f t="shared" si="169"/>
        <v>0</v>
      </c>
      <c r="AA1794" s="5">
        <f t="shared" si="170"/>
        <v>0</v>
      </c>
      <c r="AB1794" s="5">
        <f t="shared" si="171"/>
        <v>0</v>
      </c>
      <c r="AC1794" s="5"/>
      <c r="AD1794" s="5">
        <v>0</v>
      </c>
      <c r="AE1794" s="5">
        <f t="shared" si="172"/>
        <v>0</v>
      </c>
      <c r="AF1794" s="70">
        <v>0</v>
      </c>
      <c r="AG1794" s="17"/>
      <c r="AH1794" s="18"/>
      <c r="AI1794" s="47" t="s">
        <v>4336</v>
      </c>
      <c r="AJ1794" s="73" t="s">
        <v>4337</v>
      </c>
      <c r="AK1794" s="45"/>
      <c r="AL1794" s="17"/>
      <c r="AM1794" s="100" t="s">
        <v>1925</v>
      </c>
      <c r="AN1794" s="19"/>
      <c r="AO1794" s="19"/>
      <c r="AP1794" s="19"/>
      <c r="AQ1794" s="19"/>
      <c r="AR1794" s="19"/>
      <c r="AS1794" s="19"/>
      <c r="AT1794" s="19"/>
      <c r="AU1794" s="19"/>
      <c r="AV1794" s="19"/>
      <c r="AW1794" s="19"/>
      <c r="AX1794" s="107"/>
      <c r="AY1794" s="107"/>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39"/>
      <c r="CO1794" s="138"/>
      <c r="CP1794" s="139"/>
      <c r="CQ1794" s="138"/>
      <c r="CR1794" s="139"/>
      <c r="CS1794" s="138"/>
      <c r="CT1794" s="72"/>
      <c r="CU1794" s="139"/>
      <c r="CV1794" s="99">
        <f t="shared" si="167"/>
        <v>0</v>
      </c>
      <c r="CW1794" s="139"/>
      <c r="CX1794" s="138"/>
      <c r="CY1794" s="138"/>
      <c r="CZ1794" s="138"/>
      <c r="DA1794" s="139"/>
      <c r="DB1794" s="138"/>
      <c r="DC1794" s="45"/>
      <c r="DD1794" s="138"/>
      <c r="DE1794" s="45"/>
      <c r="DF1794" s="46"/>
    </row>
    <row r="1795" spans="1:110" s="42" customFormat="1" ht="22.5" x14ac:dyDescent="0.2">
      <c r="A1795" s="89">
        <v>40728</v>
      </c>
      <c r="B1795" s="16" t="s">
        <v>3358</v>
      </c>
      <c r="C1795" s="16" t="s">
        <v>1431</v>
      </c>
      <c r="D1795" s="90" t="s">
        <v>4264</v>
      </c>
      <c r="E1795" s="90" t="str">
        <f>VLOOKUP(B1795&amp;C1795,Divipola!$C$2:$F$1138,4,FALSE)</f>
        <v>18150</v>
      </c>
      <c r="F1795" s="4"/>
      <c r="G1795" s="208"/>
      <c r="H1795" s="208"/>
      <c r="I1795" s="208"/>
      <c r="J1795" s="208">
        <f>150*5</f>
        <v>750</v>
      </c>
      <c r="K1795" s="208">
        <v>150</v>
      </c>
      <c r="L1795" s="208"/>
      <c r="M1795" s="208">
        <v>150</v>
      </c>
      <c r="N1795" s="208"/>
      <c r="O1795" s="208"/>
      <c r="P1795" s="208"/>
      <c r="Q1795" s="208"/>
      <c r="R1795" s="208"/>
      <c r="S1795" s="208"/>
      <c r="T1795" s="208"/>
      <c r="U1795" s="208"/>
      <c r="V1795" s="208"/>
      <c r="W1795" s="19"/>
      <c r="X1795" s="17"/>
      <c r="Y1795" s="5">
        <f t="shared" si="168"/>
        <v>24037636</v>
      </c>
      <c r="Z1795" s="5">
        <f t="shared" si="169"/>
        <v>11899787.199999999</v>
      </c>
      <c r="AA1795" s="5">
        <f t="shared" si="170"/>
        <v>16699476</v>
      </c>
      <c r="AB1795" s="5">
        <f t="shared" si="171"/>
        <v>0</v>
      </c>
      <c r="AC1795" s="5"/>
      <c r="AD1795" s="5">
        <v>0</v>
      </c>
      <c r="AE1795" s="5">
        <f t="shared" si="172"/>
        <v>52636899.200000003</v>
      </c>
      <c r="AF1795" s="70">
        <v>0</v>
      </c>
      <c r="AG1795" s="17"/>
      <c r="AH1795" s="18"/>
      <c r="AI1795" s="47" t="s">
        <v>4346</v>
      </c>
      <c r="AJ1795" s="73" t="s">
        <v>4347</v>
      </c>
      <c r="AK1795" s="45"/>
      <c r="AL1795" s="17"/>
      <c r="AM1795" s="20"/>
      <c r="AN1795" s="19"/>
      <c r="AO1795" s="19"/>
      <c r="AP1795" s="19"/>
      <c r="AQ1795" s="19"/>
      <c r="AR1795" s="19"/>
      <c r="AS1795" s="19"/>
      <c r="AT1795" s="19"/>
      <c r="AU1795" s="19"/>
      <c r="AV1795" s="19"/>
      <c r="AW1795" s="19"/>
      <c r="AX1795" s="107"/>
      <c r="AY1795" s="107"/>
      <c r="AZ1795" s="19">
        <v>140</v>
      </c>
      <c r="BA1795" s="19">
        <f>140*55999</f>
        <v>7839860</v>
      </c>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v>140</v>
      </c>
      <c r="CK1795" s="19">
        <f>140*20999.48</f>
        <v>2939927.1999999997</v>
      </c>
      <c r="CL1795" s="19"/>
      <c r="CM1795" s="19"/>
      <c r="CN1795" s="139">
        <v>140</v>
      </c>
      <c r="CO1795" s="138">
        <f>140*17999.72</f>
        <v>2519960.8000000003</v>
      </c>
      <c r="CP1795" s="139">
        <v>140</v>
      </c>
      <c r="CQ1795" s="138">
        <f>140*36999.36</f>
        <v>5179910.4000000004</v>
      </c>
      <c r="CR1795" s="139">
        <v>140</v>
      </c>
      <c r="CS1795" s="138">
        <f>140*39699.84</f>
        <v>5557977.5999999996</v>
      </c>
      <c r="CT1795" s="72"/>
      <c r="CU1795" s="139"/>
      <c r="CV1795" s="99">
        <f t="shared" ref="CV1795:CV1858" si="173">AO1795+AQ1795+AS1795+AU1795+AW1795+AY1795+BA1795+BC1795+BE1795+BG1795+BI1795+BK1795+BM1795+BO1795+BQ1795+BS1795+BU1795+BW1795+BY1795+CA1795+CC1795+CE1795+CG1795+CI1795+CK1795+CM1795+CO1795+CQ1795+CS1795+CU1795</f>
        <v>24037636</v>
      </c>
      <c r="CW1795" s="139"/>
      <c r="CX1795" s="138"/>
      <c r="CY1795" s="138">
        <v>140</v>
      </c>
      <c r="CZ1795" s="138">
        <f>140*84998.48</f>
        <v>11899787.199999999</v>
      </c>
      <c r="DA1795" s="139">
        <v>200</v>
      </c>
      <c r="DB1795" s="138">
        <f>200*25999.08</f>
        <v>5199816</v>
      </c>
      <c r="DC1795" s="45">
        <v>500</v>
      </c>
      <c r="DD1795" s="138">
        <f>500*22999.32</f>
        <v>11499660</v>
      </c>
      <c r="DE1795" s="45"/>
      <c r="DF1795" s="46">
        <v>1897</v>
      </c>
    </row>
    <row r="1796" spans="1:110" s="42" customFormat="1" ht="209.25" x14ac:dyDescent="0.2">
      <c r="A1796" s="89">
        <v>40728</v>
      </c>
      <c r="B1796" s="4" t="s">
        <v>3358</v>
      </c>
      <c r="C1796" s="4" t="s">
        <v>4253</v>
      </c>
      <c r="D1796" s="90" t="s">
        <v>4264</v>
      </c>
      <c r="E1796" s="90" t="str">
        <f>VLOOKUP(B1796&amp;C1796,Divipola!$C$2:$F$1138,4,FALSE)</f>
        <v>18001</v>
      </c>
      <c r="F1796" s="4"/>
      <c r="G1796" s="314"/>
      <c r="H1796" s="314"/>
      <c r="I1796" s="314"/>
      <c r="J1796" s="208">
        <v>9361</v>
      </c>
      <c r="K1796" s="208">
        <v>1873</v>
      </c>
      <c r="L1796" s="208"/>
      <c r="M1796" s="208">
        <v>1873</v>
      </c>
      <c r="N1796" s="208">
        <v>4</v>
      </c>
      <c r="O1796" s="208"/>
      <c r="P1796" s="208"/>
      <c r="Q1796" s="208"/>
      <c r="R1796" s="208"/>
      <c r="S1796" s="208"/>
      <c r="T1796" s="208">
        <v>4</v>
      </c>
      <c r="U1796" s="208"/>
      <c r="V1796" s="208"/>
      <c r="W1796" s="19" t="s">
        <v>1005</v>
      </c>
      <c r="X1796" s="17"/>
      <c r="Y1796" s="5">
        <f t="shared" si="168"/>
        <v>230900000</v>
      </c>
      <c r="Z1796" s="5">
        <f t="shared" si="169"/>
        <v>170000000</v>
      </c>
      <c r="AA1796" s="5">
        <f t="shared" si="170"/>
        <v>0</v>
      </c>
      <c r="AB1796" s="5">
        <f t="shared" si="171"/>
        <v>0</v>
      </c>
      <c r="AC1796" s="5"/>
      <c r="AD1796" s="5">
        <v>0</v>
      </c>
      <c r="AE1796" s="5">
        <f t="shared" si="172"/>
        <v>400900000</v>
      </c>
      <c r="AF1796" s="70">
        <v>0</v>
      </c>
      <c r="AG1796" s="17"/>
      <c r="AH1796" s="18"/>
      <c r="AI1796" s="47" t="s">
        <v>4346</v>
      </c>
      <c r="AJ1796" s="73" t="s">
        <v>4347</v>
      </c>
      <c r="AK1796" s="315"/>
      <c r="AL1796" s="136" t="s">
        <v>101</v>
      </c>
      <c r="AM1796" s="20" t="s">
        <v>1006</v>
      </c>
      <c r="AN1796" s="19"/>
      <c r="AO1796" s="19"/>
      <c r="AP1796" s="19"/>
      <c r="AQ1796" s="19"/>
      <c r="AR1796" s="19"/>
      <c r="AS1796" s="19"/>
      <c r="AT1796" s="19"/>
      <c r="AU1796" s="19"/>
      <c r="AV1796" s="19"/>
      <c r="AW1796" s="19"/>
      <c r="AX1796" s="107"/>
      <c r="AY1796" s="107"/>
      <c r="AZ1796" s="19">
        <v>1000</v>
      </c>
      <c r="BA1796" s="19">
        <f>1000*56000</f>
        <v>56000000</v>
      </c>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v>1000</v>
      </c>
      <c r="CK1796" s="19">
        <f>1000*21500</f>
        <v>21500000</v>
      </c>
      <c r="CL1796" s="19"/>
      <c r="CM1796" s="19"/>
      <c r="CN1796" s="139"/>
      <c r="CO1796" s="138"/>
      <c r="CP1796" s="139">
        <v>2000</v>
      </c>
      <c r="CQ1796" s="138">
        <f>2000*37000</f>
        <v>74000000</v>
      </c>
      <c r="CR1796" s="139">
        <v>2000</v>
      </c>
      <c r="CS1796" s="138">
        <f>2000*39700</f>
        <v>79400000</v>
      </c>
      <c r="CT1796" s="72"/>
      <c r="CU1796" s="139"/>
      <c r="CV1796" s="99">
        <f t="shared" si="173"/>
        <v>230900000</v>
      </c>
      <c r="CW1796" s="139"/>
      <c r="CX1796" s="138"/>
      <c r="CY1796" s="138">
        <v>2000</v>
      </c>
      <c r="CZ1796" s="138">
        <f>2000*85000</f>
        <v>170000000</v>
      </c>
      <c r="DA1796" s="139"/>
      <c r="DB1796" s="138"/>
      <c r="DC1796" s="45"/>
      <c r="DD1796" s="138"/>
      <c r="DE1796" s="45"/>
      <c r="DF1796" s="46"/>
    </row>
    <row r="1797" spans="1:110" s="42" customFormat="1" ht="108" x14ac:dyDescent="0.2">
      <c r="A1797" s="89">
        <v>40728</v>
      </c>
      <c r="B1797" s="4" t="s">
        <v>3358</v>
      </c>
      <c r="C1797" s="4" t="s">
        <v>1452</v>
      </c>
      <c r="D1797" s="90" t="s">
        <v>4264</v>
      </c>
      <c r="E1797" s="90" t="str">
        <f>VLOOKUP(B1797&amp;C1797,Divipola!$C$2:$F$1138,4,FALSE)</f>
        <v>18610</v>
      </c>
      <c r="F1797" s="4"/>
      <c r="G1797" s="276"/>
      <c r="H1797" s="274"/>
      <c r="I1797" s="274"/>
      <c r="J1797" s="208">
        <v>200</v>
      </c>
      <c r="K1797" s="208">
        <v>40</v>
      </c>
      <c r="L1797" s="208"/>
      <c r="M1797" s="208">
        <v>40</v>
      </c>
      <c r="N1797" s="208"/>
      <c r="O1797" s="208"/>
      <c r="P1797" s="208"/>
      <c r="Q1797" s="208"/>
      <c r="R1797" s="208"/>
      <c r="S1797" s="208"/>
      <c r="T1797" s="208"/>
      <c r="U1797" s="208"/>
      <c r="V1797" s="208"/>
      <c r="W1797" s="19"/>
      <c r="X1797" s="17"/>
      <c r="Y1797" s="5">
        <f t="shared" si="168"/>
        <v>6604402</v>
      </c>
      <c r="Z1797" s="5">
        <f t="shared" si="169"/>
        <v>5949893.5999999996</v>
      </c>
      <c r="AA1797" s="5">
        <f t="shared" si="170"/>
        <v>8319705.6000000006</v>
      </c>
      <c r="AB1797" s="5">
        <f t="shared" si="171"/>
        <v>0</v>
      </c>
      <c r="AC1797" s="5">
        <f>30*29000+60*379999.76+200*141999.08</f>
        <v>52069801.599999994</v>
      </c>
      <c r="AD1797" s="5">
        <v>0</v>
      </c>
      <c r="AE1797" s="5">
        <f t="shared" si="172"/>
        <v>72943802.799999997</v>
      </c>
      <c r="AF1797" s="70">
        <v>0</v>
      </c>
      <c r="AG1797" s="17"/>
      <c r="AH1797" s="18"/>
      <c r="AI1797" s="47" t="s">
        <v>4346</v>
      </c>
      <c r="AJ1797" s="73" t="s">
        <v>4347</v>
      </c>
      <c r="AK1797" s="275"/>
      <c r="AL1797" s="276"/>
      <c r="AM1797" s="136" t="s">
        <v>1164</v>
      </c>
      <c r="AN1797" s="19"/>
      <c r="AO1797" s="19"/>
      <c r="AP1797" s="19"/>
      <c r="AQ1797" s="19"/>
      <c r="AR1797" s="19"/>
      <c r="AS1797" s="19"/>
      <c r="AT1797" s="19"/>
      <c r="AU1797" s="19"/>
      <c r="AV1797" s="19"/>
      <c r="AW1797" s="19"/>
      <c r="AX1797" s="107"/>
      <c r="AY1797" s="107"/>
      <c r="AZ1797" s="19">
        <v>70</v>
      </c>
      <c r="BA1797" s="19">
        <f>70*55999</f>
        <v>3919930</v>
      </c>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c r="CK1797" s="19"/>
      <c r="CL1797" s="19"/>
      <c r="CM1797" s="19"/>
      <c r="CN1797" s="139"/>
      <c r="CO1797" s="138"/>
      <c r="CP1797" s="139">
        <v>35</v>
      </c>
      <c r="CQ1797" s="138">
        <f>35*36999.36</f>
        <v>1294977.6000000001</v>
      </c>
      <c r="CR1797" s="139">
        <v>35</v>
      </c>
      <c r="CS1797" s="138">
        <f>35*39699.84</f>
        <v>1389494.4</v>
      </c>
      <c r="CT1797" s="72"/>
      <c r="CU1797" s="139"/>
      <c r="CV1797" s="99">
        <f t="shared" si="173"/>
        <v>6604402</v>
      </c>
      <c r="CW1797" s="139"/>
      <c r="CX1797" s="138"/>
      <c r="CY1797" s="138">
        <v>70</v>
      </c>
      <c r="CZ1797" s="138">
        <f>70*84998.48</f>
        <v>5949893.5999999996</v>
      </c>
      <c r="DA1797" s="139">
        <v>320</v>
      </c>
      <c r="DB1797" s="138">
        <f>320*25999.08</f>
        <v>8319705.6000000006</v>
      </c>
      <c r="DC1797" s="45"/>
      <c r="DD1797" s="138"/>
      <c r="DE1797" s="45"/>
      <c r="DF1797" s="46"/>
    </row>
    <row r="1798" spans="1:110" s="42" customFormat="1" ht="36" x14ac:dyDescent="0.2">
      <c r="A1798" s="89">
        <v>40728</v>
      </c>
      <c r="B1798" s="4" t="s">
        <v>4263</v>
      </c>
      <c r="C1798" s="4" t="s">
        <v>3678</v>
      </c>
      <c r="D1798" s="90" t="s">
        <v>4264</v>
      </c>
      <c r="E1798" s="90" t="str">
        <f>VLOOKUP(B1798&amp;C1798,Divipola!$C$2:$F$1138,4,FALSE)</f>
        <v>86885</v>
      </c>
      <c r="F1798" s="4"/>
      <c r="G1798" s="314"/>
      <c r="H1798" s="314"/>
      <c r="I1798" s="314"/>
      <c r="J1798" s="208">
        <v>20</v>
      </c>
      <c r="K1798" s="208">
        <v>4</v>
      </c>
      <c r="L1798" s="208"/>
      <c r="M1798" s="208">
        <v>4</v>
      </c>
      <c r="N1798" s="208"/>
      <c r="O1798" s="208"/>
      <c r="P1798" s="208"/>
      <c r="Q1798" s="208"/>
      <c r="R1798" s="208"/>
      <c r="S1798" s="208"/>
      <c r="T1798" s="208"/>
      <c r="U1798" s="208"/>
      <c r="V1798" s="208"/>
      <c r="W1798" s="19"/>
      <c r="X1798" s="17"/>
      <c r="Y1798" s="5">
        <f t="shared" si="168"/>
        <v>0</v>
      </c>
      <c r="Z1798" s="5">
        <f t="shared" si="169"/>
        <v>0</v>
      </c>
      <c r="AA1798" s="5">
        <f t="shared" si="170"/>
        <v>0</v>
      </c>
      <c r="AB1798" s="5">
        <f t="shared" si="171"/>
        <v>0</v>
      </c>
      <c r="AC1798" s="5"/>
      <c r="AD1798" s="5">
        <v>0</v>
      </c>
      <c r="AE1798" s="5">
        <f t="shared" si="172"/>
        <v>0</v>
      </c>
      <c r="AF1798" s="70">
        <v>0</v>
      </c>
      <c r="AG1798" s="17"/>
      <c r="AH1798" s="18"/>
      <c r="AI1798" s="109" t="s">
        <v>4336</v>
      </c>
      <c r="AJ1798" s="110" t="s">
        <v>4337</v>
      </c>
      <c r="AK1798" s="315"/>
      <c r="AL1798" s="316"/>
      <c r="AM1798" s="20" t="s">
        <v>1003</v>
      </c>
      <c r="AN1798" s="19"/>
      <c r="AO1798" s="19"/>
      <c r="AP1798" s="19"/>
      <c r="AQ1798" s="19"/>
      <c r="AR1798" s="19"/>
      <c r="AS1798" s="19"/>
      <c r="AT1798" s="19"/>
      <c r="AU1798" s="19"/>
      <c r="AV1798" s="19"/>
      <c r="AW1798" s="19"/>
      <c r="AX1798" s="107"/>
      <c r="AY1798" s="107"/>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39"/>
      <c r="CO1798" s="138"/>
      <c r="CP1798" s="139"/>
      <c r="CQ1798" s="138"/>
      <c r="CR1798" s="139"/>
      <c r="CS1798" s="138"/>
      <c r="CT1798" s="72"/>
      <c r="CU1798" s="139"/>
      <c r="CV1798" s="99">
        <f t="shared" si="173"/>
        <v>0</v>
      </c>
      <c r="CW1798" s="139"/>
      <c r="CX1798" s="138"/>
      <c r="CY1798" s="138"/>
      <c r="CZ1798" s="138"/>
      <c r="DA1798" s="139"/>
      <c r="DB1798" s="138"/>
      <c r="DC1798" s="45"/>
      <c r="DD1798" s="138"/>
      <c r="DE1798" s="45"/>
      <c r="DF1798" s="46"/>
    </row>
    <row r="1799" spans="1:110" s="42" customFormat="1" ht="24" x14ac:dyDescent="0.2">
      <c r="A1799" s="89">
        <v>40728</v>
      </c>
      <c r="B1799" s="90" t="s">
        <v>4263</v>
      </c>
      <c r="C1799" s="90" t="s">
        <v>3678</v>
      </c>
      <c r="D1799" s="90" t="s">
        <v>4264</v>
      </c>
      <c r="E1799" s="90" t="str">
        <f>VLOOKUP(B1799&amp;C1799,Divipola!$C$2:$F$1138,4,FALSE)</f>
        <v>86885</v>
      </c>
      <c r="F1799" s="4"/>
      <c r="G1799" s="101"/>
      <c r="H1799" s="101"/>
      <c r="I1799" s="101"/>
      <c r="J1799" s="101">
        <v>225</v>
      </c>
      <c r="K1799" s="101">
        <v>45</v>
      </c>
      <c r="L1799" s="101"/>
      <c r="M1799" s="101">
        <v>45</v>
      </c>
      <c r="N1799" s="101"/>
      <c r="O1799" s="101"/>
      <c r="P1799" s="101"/>
      <c r="Q1799" s="101"/>
      <c r="R1799" s="101"/>
      <c r="S1799" s="101"/>
      <c r="T1799" s="101"/>
      <c r="U1799" s="101"/>
      <c r="V1799" s="101"/>
      <c r="W1799" s="19"/>
      <c r="X1799" s="17"/>
      <c r="Y1799" s="5">
        <f t="shared" si="168"/>
        <v>0</v>
      </c>
      <c r="Z1799" s="5">
        <f t="shared" si="169"/>
        <v>0</v>
      </c>
      <c r="AA1799" s="5">
        <f t="shared" si="170"/>
        <v>0</v>
      </c>
      <c r="AB1799" s="5">
        <f t="shared" si="171"/>
        <v>0</v>
      </c>
      <c r="AC1799" s="5"/>
      <c r="AD1799" s="5">
        <v>0</v>
      </c>
      <c r="AE1799" s="5">
        <f t="shared" si="172"/>
        <v>0</v>
      </c>
      <c r="AF1799" s="70">
        <v>0</v>
      </c>
      <c r="AG1799" s="17"/>
      <c r="AH1799" s="18"/>
      <c r="AI1799" s="109" t="s">
        <v>4336</v>
      </c>
      <c r="AJ1799" s="110" t="s">
        <v>4337</v>
      </c>
      <c r="AK1799" s="45"/>
      <c r="AL1799" s="17"/>
      <c r="AM1799" s="100" t="s">
        <v>1925</v>
      </c>
      <c r="AN1799" s="19"/>
      <c r="AO1799" s="19"/>
      <c r="AP1799" s="19"/>
      <c r="AQ1799" s="19"/>
      <c r="AR1799" s="19"/>
      <c r="AS1799" s="19"/>
      <c r="AT1799" s="19"/>
      <c r="AU1799" s="19"/>
      <c r="AV1799" s="19"/>
      <c r="AW1799" s="19"/>
      <c r="AX1799" s="107"/>
      <c r="AY1799" s="107"/>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39"/>
      <c r="CO1799" s="138"/>
      <c r="CP1799" s="139"/>
      <c r="CQ1799" s="138"/>
      <c r="CR1799" s="139"/>
      <c r="CS1799" s="138"/>
      <c r="CT1799" s="72"/>
      <c r="CU1799" s="139"/>
      <c r="CV1799" s="99">
        <f t="shared" si="173"/>
        <v>0</v>
      </c>
      <c r="CW1799" s="139"/>
      <c r="CX1799" s="138"/>
      <c r="CY1799" s="138"/>
      <c r="CZ1799" s="138"/>
      <c r="DA1799" s="139"/>
      <c r="DB1799" s="138"/>
      <c r="DC1799" s="45"/>
      <c r="DD1799" s="138"/>
      <c r="DE1799" s="45"/>
      <c r="DF1799" s="46"/>
    </row>
    <row r="1800" spans="1:110" s="42" customFormat="1" ht="24" x14ac:dyDescent="0.2">
      <c r="A1800" s="89">
        <v>40728</v>
      </c>
      <c r="B1800" s="4" t="s">
        <v>4350</v>
      </c>
      <c r="C1800" s="4" t="s">
        <v>4351</v>
      </c>
      <c r="D1800" s="4" t="s">
        <v>4298</v>
      </c>
      <c r="E1800" s="90" t="str">
        <f>VLOOKUP(B1800&amp;C1800,Divipola!$C$2:$F$1138,4,FALSE)</f>
        <v>63001</v>
      </c>
      <c r="F1800" s="4"/>
      <c r="G1800" s="314"/>
      <c r="H1800" s="314"/>
      <c r="I1800" s="314"/>
      <c r="J1800" s="208">
        <v>4</v>
      </c>
      <c r="K1800" s="208">
        <v>1</v>
      </c>
      <c r="L1800" s="208"/>
      <c r="M1800" s="208">
        <v>1</v>
      </c>
      <c r="N1800" s="208"/>
      <c r="O1800" s="208"/>
      <c r="P1800" s="208"/>
      <c r="Q1800" s="208"/>
      <c r="R1800" s="208"/>
      <c r="S1800" s="208"/>
      <c r="T1800" s="208"/>
      <c r="U1800" s="208"/>
      <c r="V1800" s="208"/>
      <c r="W1800" s="19"/>
      <c r="X1800" s="17"/>
      <c r="Y1800" s="5">
        <f t="shared" si="168"/>
        <v>0</v>
      </c>
      <c r="Z1800" s="5">
        <f t="shared" si="169"/>
        <v>0</v>
      </c>
      <c r="AA1800" s="5">
        <f t="shared" si="170"/>
        <v>0</v>
      </c>
      <c r="AB1800" s="5">
        <f t="shared" si="171"/>
        <v>0</v>
      </c>
      <c r="AC1800" s="5"/>
      <c r="AD1800" s="5">
        <v>0</v>
      </c>
      <c r="AE1800" s="5">
        <f t="shared" si="172"/>
        <v>0</v>
      </c>
      <c r="AF1800" s="70">
        <v>0</v>
      </c>
      <c r="AG1800" s="17"/>
      <c r="AH1800" s="18"/>
      <c r="AI1800" s="109" t="s">
        <v>4336</v>
      </c>
      <c r="AJ1800" s="110" t="s">
        <v>4337</v>
      </c>
      <c r="AK1800" s="315"/>
      <c r="AL1800" s="316"/>
      <c r="AM1800" s="20" t="s">
        <v>1002</v>
      </c>
      <c r="AN1800" s="19"/>
      <c r="AO1800" s="19"/>
      <c r="AP1800" s="19"/>
      <c r="AQ1800" s="19"/>
      <c r="AR1800" s="19"/>
      <c r="AS1800" s="19"/>
      <c r="AT1800" s="19"/>
      <c r="AU1800" s="19"/>
      <c r="AV1800" s="19"/>
      <c r="AW1800" s="19"/>
      <c r="AX1800" s="107"/>
      <c r="AY1800" s="107"/>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39"/>
      <c r="CO1800" s="138"/>
      <c r="CP1800" s="139"/>
      <c r="CQ1800" s="138"/>
      <c r="CR1800" s="139"/>
      <c r="CS1800" s="138"/>
      <c r="CT1800" s="72"/>
      <c r="CU1800" s="139"/>
      <c r="CV1800" s="99">
        <f t="shared" si="173"/>
        <v>0</v>
      </c>
      <c r="CW1800" s="139"/>
      <c r="CX1800" s="138"/>
      <c r="CY1800" s="138"/>
      <c r="CZ1800" s="138"/>
      <c r="DA1800" s="139"/>
      <c r="DB1800" s="138"/>
      <c r="DC1800" s="45"/>
      <c r="DD1800" s="138"/>
      <c r="DE1800" s="45"/>
      <c r="DF1800" s="46"/>
    </row>
    <row r="1801" spans="1:110" s="42" customFormat="1" ht="36" x14ac:dyDescent="0.2">
      <c r="A1801" s="89">
        <v>40728</v>
      </c>
      <c r="B1801" s="4" t="s">
        <v>2226</v>
      </c>
      <c r="C1801" s="4" t="s">
        <v>3534</v>
      </c>
      <c r="D1801" s="4" t="s">
        <v>3346</v>
      </c>
      <c r="E1801" s="90" t="str">
        <f>VLOOKUP(B1801&amp;C1801,Divipola!$C$2:$F$1138,4,FALSE)</f>
        <v>68276</v>
      </c>
      <c r="F1801" s="4"/>
      <c r="G1801" s="314"/>
      <c r="H1801" s="314"/>
      <c r="I1801" s="314"/>
      <c r="J1801" s="208"/>
      <c r="K1801" s="208"/>
      <c r="L1801" s="208"/>
      <c r="M1801" s="208"/>
      <c r="N1801" s="208"/>
      <c r="O1801" s="208"/>
      <c r="P1801" s="208"/>
      <c r="Q1801" s="208"/>
      <c r="R1801" s="208"/>
      <c r="S1801" s="208"/>
      <c r="T1801" s="208"/>
      <c r="U1801" s="208"/>
      <c r="V1801" s="208"/>
      <c r="W1801" s="19"/>
      <c r="X1801" s="17"/>
      <c r="Y1801" s="5">
        <f t="shared" si="168"/>
        <v>0</v>
      </c>
      <c r="Z1801" s="5">
        <f t="shared" si="169"/>
        <v>0</v>
      </c>
      <c r="AA1801" s="5">
        <f t="shared" si="170"/>
        <v>0</v>
      </c>
      <c r="AB1801" s="5">
        <f t="shared" si="171"/>
        <v>0</v>
      </c>
      <c r="AC1801" s="5"/>
      <c r="AD1801" s="5">
        <v>0</v>
      </c>
      <c r="AE1801" s="5">
        <f t="shared" si="172"/>
        <v>0</v>
      </c>
      <c r="AF1801" s="70">
        <v>0</v>
      </c>
      <c r="AG1801" s="17"/>
      <c r="AH1801" s="18"/>
      <c r="AI1801" s="109" t="s">
        <v>4336</v>
      </c>
      <c r="AJ1801" s="110" t="s">
        <v>4337</v>
      </c>
      <c r="AK1801" s="315"/>
      <c r="AL1801" s="316"/>
      <c r="AM1801" s="20" t="s">
        <v>1004</v>
      </c>
      <c r="AN1801" s="19"/>
      <c r="AO1801" s="19"/>
      <c r="AP1801" s="19"/>
      <c r="AQ1801" s="19"/>
      <c r="AR1801" s="19"/>
      <c r="AS1801" s="19"/>
      <c r="AT1801" s="19"/>
      <c r="AU1801" s="19"/>
      <c r="AV1801" s="19"/>
      <c r="AW1801" s="19"/>
      <c r="AX1801" s="107"/>
      <c r="AY1801" s="107"/>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39"/>
      <c r="CO1801" s="138"/>
      <c r="CP1801" s="139"/>
      <c r="CQ1801" s="138"/>
      <c r="CR1801" s="139"/>
      <c r="CS1801" s="138"/>
      <c r="CT1801" s="72"/>
      <c r="CU1801" s="139"/>
      <c r="CV1801" s="99">
        <f t="shared" si="173"/>
        <v>0</v>
      </c>
      <c r="CW1801" s="139"/>
      <c r="CX1801" s="138"/>
      <c r="CY1801" s="138"/>
      <c r="CZ1801" s="138"/>
      <c r="DA1801" s="139"/>
      <c r="DB1801" s="138"/>
      <c r="DC1801" s="45"/>
      <c r="DD1801" s="138"/>
      <c r="DE1801" s="45"/>
      <c r="DF1801" s="46"/>
    </row>
    <row r="1802" spans="1:110" s="42" customFormat="1" ht="60" x14ac:dyDescent="0.2">
      <c r="A1802" s="89">
        <v>40729</v>
      </c>
      <c r="B1802" s="90" t="s">
        <v>4261</v>
      </c>
      <c r="C1802" s="90" t="s">
        <v>1332</v>
      </c>
      <c r="D1802" s="90" t="s">
        <v>4264</v>
      </c>
      <c r="E1802" s="90" t="str">
        <f>VLOOKUP(B1802&amp;C1802,Divipola!$C$2:$F$1138,4,FALSE)</f>
        <v>15778</v>
      </c>
      <c r="F1802" s="4"/>
      <c r="G1802" s="101"/>
      <c r="H1802" s="101"/>
      <c r="I1802" s="101"/>
      <c r="J1802" s="101">
        <v>590</v>
      </c>
      <c r="K1802" s="101">
        <v>118</v>
      </c>
      <c r="L1802" s="101">
        <v>8</v>
      </c>
      <c r="M1802" s="101">
        <v>38</v>
      </c>
      <c r="N1802" s="208"/>
      <c r="O1802" s="208"/>
      <c r="P1802" s="208"/>
      <c r="Q1802" s="208"/>
      <c r="R1802" s="208"/>
      <c r="S1802" s="208"/>
      <c r="T1802" s="208"/>
      <c r="U1802" s="208"/>
      <c r="V1802" s="208"/>
      <c r="W1802" s="19"/>
      <c r="X1802" s="17"/>
      <c r="Y1802" s="5">
        <f t="shared" si="168"/>
        <v>0</v>
      </c>
      <c r="Z1802" s="5">
        <f t="shared" si="169"/>
        <v>0</v>
      </c>
      <c r="AA1802" s="5">
        <f t="shared" si="170"/>
        <v>0</v>
      </c>
      <c r="AB1802" s="5">
        <f t="shared" si="171"/>
        <v>0</v>
      </c>
      <c r="AC1802" s="5"/>
      <c r="AD1802" s="5">
        <v>0</v>
      </c>
      <c r="AE1802" s="5">
        <f t="shared" si="172"/>
        <v>0</v>
      </c>
      <c r="AF1802" s="70">
        <v>0</v>
      </c>
      <c r="AG1802" s="17"/>
      <c r="AH1802" s="18"/>
      <c r="AI1802" s="47" t="s">
        <v>4336</v>
      </c>
      <c r="AJ1802" s="73" t="s">
        <v>4337</v>
      </c>
      <c r="AK1802" s="45"/>
      <c r="AL1802" s="17"/>
      <c r="AM1802" s="100" t="s">
        <v>1137</v>
      </c>
      <c r="AN1802" s="19"/>
      <c r="AO1802" s="19"/>
      <c r="AP1802" s="19"/>
      <c r="AQ1802" s="19"/>
      <c r="AR1802" s="19"/>
      <c r="AS1802" s="19"/>
      <c r="AT1802" s="19"/>
      <c r="AU1802" s="19"/>
      <c r="AV1802" s="19"/>
      <c r="AW1802" s="19"/>
      <c r="AX1802" s="107"/>
      <c r="AY1802" s="107"/>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39"/>
      <c r="CO1802" s="138"/>
      <c r="CP1802" s="139"/>
      <c r="CQ1802" s="138"/>
      <c r="CR1802" s="139"/>
      <c r="CS1802" s="138"/>
      <c r="CT1802" s="72"/>
      <c r="CU1802" s="139"/>
      <c r="CV1802" s="99">
        <f t="shared" si="173"/>
        <v>0</v>
      </c>
      <c r="CW1802" s="139"/>
      <c r="CX1802" s="138"/>
      <c r="CY1802" s="138"/>
      <c r="CZ1802" s="138"/>
      <c r="DA1802" s="139"/>
      <c r="DB1802" s="138"/>
      <c r="DC1802" s="45"/>
      <c r="DD1802" s="138"/>
      <c r="DE1802" s="45"/>
      <c r="DF1802" s="46"/>
    </row>
    <row r="1803" spans="1:110" s="42" customFormat="1" ht="24" x14ac:dyDescent="0.2">
      <c r="A1803" s="89">
        <v>40729</v>
      </c>
      <c r="B1803" s="16" t="s">
        <v>4263</v>
      </c>
      <c r="C1803" s="16" t="s">
        <v>3664</v>
      </c>
      <c r="D1803" s="90" t="s">
        <v>4264</v>
      </c>
      <c r="E1803" s="90" t="str">
        <f>VLOOKUP(B1803&amp;C1803,Divipola!$C$2:$F$1138,4,FALSE)</f>
        <v>86569</v>
      </c>
      <c r="F1803" s="4"/>
      <c r="G1803" s="274"/>
      <c r="H1803" s="274"/>
      <c r="I1803" s="274"/>
      <c r="J1803" s="208">
        <v>18</v>
      </c>
      <c r="K1803" s="208">
        <v>3</v>
      </c>
      <c r="L1803" s="208"/>
      <c r="M1803" s="208">
        <v>3</v>
      </c>
      <c r="N1803" s="208"/>
      <c r="O1803" s="208"/>
      <c r="P1803" s="208"/>
      <c r="Q1803" s="208"/>
      <c r="R1803" s="208"/>
      <c r="S1803" s="208"/>
      <c r="T1803" s="208"/>
      <c r="U1803" s="208"/>
      <c r="V1803" s="208"/>
      <c r="W1803" s="19"/>
      <c r="X1803" s="17"/>
      <c r="Y1803" s="5">
        <f t="shared" si="168"/>
        <v>0</v>
      </c>
      <c r="Z1803" s="5">
        <f t="shared" si="169"/>
        <v>0</v>
      </c>
      <c r="AA1803" s="5">
        <f t="shared" si="170"/>
        <v>0</v>
      </c>
      <c r="AB1803" s="5">
        <f t="shared" si="171"/>
        <v>0</v>
      </c>
      <c r="AC1803" s="5"/>
      <c r="AD1803" s="5">
        <v>0</v>
      </c>
      <c r="AE1803" s="5">
        <f t="shared" si="172"/>
        <v>0</v>
      </c>
      <c r="AF1803" s="70">
        <v>0</v>
      </c>
      <c r="AG1803" s="17"/>
      <c r="AH1803" s="18"/>
      <c r="AI1803" s="109" t="s">
        <v>4336</v>
      </c>
      <c r="AJ1803" s="110" t="s">
        <v>4337</v>
      </c>
      <c r="AK1803" s="275"/>
      <c r="AL1803" s="276"/>
      <c r="AM1803" s="100" t="s">
        <v>1911</v>
      </c>
      <c r="AN1803" s="19"/>
      <c r="AO1803" s="19"/>
      <c r="AP1803" s="19"/>
      <c r="AQ1803" s="19"/>
      <c r="AR1803" s="19"/>
      <c r="AS1803" s="19"/>
      <c r="AT1803" s="19"/>
      <c r="AU1803" s="19"/>
      <c r="AV1803" s="19"/>
      <c r="AW1803" s="19"/>
      <c r="AX1803" s="107"/>
      <c r="AY1803" s="107"/>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39"/>
      <c r="CO1803" s="138"/>
      <c r="CP1803" s="139"/>
      <c r="CQ1803" s="138"/>
      <c r="CR1803" s="139"/>
      <c r="CS1803" s="138"/>
      <c r="CT1803" s="72"/>
      <c r="CU1803" s="139"/>
      <c r="CV1803" s="99">
        <f t="shared" si="173"/>
        <v>0</v>
      </c>
      <c r="CW1803" s="139"/>
      <c r="CX1803" s="138"/>
      <c r="CY1803" s="138"/>
      <c r="CZ1803" s="138"/>
      <c r="DA1803" s="139"/>
      <c r="DB1803" s="138"/>
      <c r="DC1803" s="45"/>
      <c r="DD1803" s="138"/>
      <c r="DE1803" s="45"/>
      <c r="DF1803" s="46"/>
    </row>
    <row r="1804" spans="1:110" s="42" customFormat="1" ht="48" x14ac:dyDescent="0.2">
      <c r="A1804" s="89">
        <v>40730</v>
      </c>
      <c r="B1804" s="90" t="s">
        <v>4261</v>
      </c>
      <c r="C1804" s="90" t="s">
        <v>2581</v>
      </c>
      <c r="D1804" s="90" t="s">
        <v>4264</v>
      </c>
      <c r="E1804" s="90" t="str">
        <f>VLOOKUP(B1804&amp;C1804,Divipola!$C$2:$F$1138,4,FALSE)</f>
        <v>15047</v>
      </c>
      <c r="F1804" s="4"/>
      <c r="G1804" s="101"/>
      <c r="H1804" s="101"/>
      <c r="I1804" s="101"/>
      <c r="J1804" s="101">
        <v>425</v>
      </c>
      <c r="K1804" s="101">
        <v>85</v>
      </c>
      <c r="L1804" s="101"/>
      <c r="M1804" s="101">
        <v>85</v>
      </c>
      <c r="N1804" s="208"/>
      <c r="O1804" s="208"/>
      <c r="P1804" s="208"/>
      <c r="Q1804" s="208"/>
      <c r="R1804" s="208"/>
      <c r="S1804" s="208"/>
      <c r="T1804" s="208"/>
      <c r="U1804" s="208"/>
      <c r="V1804" s="208"/>
      <c r="W1804" s="19"/>
      <c r="X1804" s="17"/>
      <c r="Y1804" s="5">
        <f t="shared" si="168"/>
        <v>0</v>
      </c>
      <c r="Z1804" s="5">
        <f t="shared" si="169"/>
        <v>0</v>
      </c>
      <c r="AA1804" s="5">
        <f t="shared" si="170"/>
        <v>0</v>
      </c>
      <c r="AB1804" s="5">
        <f t="shared" si="171"/>
        <v>0</v>
      </c>
      <c r="AC1804" s="5"/>
      <c r="AD1804" s="5">
        <v>0</v>
      </c>
      <c r="AE1804" s="5">
        <f t="shared" si="172"/>
        <v>0</v>
      </c>
      <c r="AF1804" s="70">
        <v>0</v>
      </c>
      <c r="AG1804" s="17"/>
      <c r="AH1804" s="18"/>
      <c r="AI1804" s="47" t="s">
        <v>4336</v>
      </c>
      <c r="AJ1804" s="73" t="s">
        <v>4337</v>
      </c>
      <c r="AK1804" s="45"/>
      <c r="AL1804" s="17"/>
      <c r="AM1804" s="100" t="s">
        <v>1136</v>
      </c>
      <c r="AN1804" s="19"/>
      <c r="AO1804" s="19"/>
      <c r="AP1804" s="19"/>
      <c r="AQ1804" s="19"/>
      <c r="AR1804" s="19"/>
      <c r="AS1804" s="19"/>
      <c r="AT1804" s="19"/>
      <c r="AU1804" s="19"/>
      <c r="AV1804" s="19"/>
      <c r="AW1804" s="19"/>
      <c r="AX1804" s="107"/>
      <c r="AY1804" s="107"/>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39"/>
      <c r="CO1804" s="138"/>
      <c r="CP1804" s="139"/>
      <c r="CQ1804" s="138"/>
      <c r="CR1804" s="139"/>
      <c r="CS1804" s="138"/>
      <c r="CT1804" s="72"/>
      <c r="CU1804" s="139"/>
      <c r="CV1804" s="99">
        <f t="shared" si="173"/>
        <v>0</v>
      </c>
      <c r="CW1804" s="139"/>
      <c r="CX1804" s="138"/>
      <c r="CY1804" s="138"/>
      <c r="CZ1804" s="138"/>
      <c r="DA1804" s="139"/>
      <c r="DB1804" s="138"/>
      <c r="DC1804" s="45"/>
      <c r="DD1804" s="138"/>
      <c r="DE1804" s="45"/>
      <c r="DF1804" s="46"/>
    </row>
    <row r="1805" spans="1:110" s="42" customFormat="1" ht="60" x14ac:dyDescent="0.2">
      <c r="A1805" s="89">
        <v>40730</v>
      </c>
      <c r="B1805" s="16" t="s">
        <v>4344</v>
      </c>
      <c r="C1805" s="16" t="s">
        <v>3319</v>
      </c>
      <c r="D1805" s="16" t="s">
        <v>4298</v>
      </c>
      <c r="E1805" s="90" t="str">
        <f>VLOOKUP(B1805&amp;C1805,Divipola!$C$2:$F$1138,4,FALSE)</f>
        <v>25799</v>
      </c>
      <c r="F1805" s="4"/>
      <c r="G1805" s="274"/>
      <c r="H1805" s="208">
        <v>1</v>
      </c>
      <c r="I1805" s="274"/>
      <c r="J1805" s="274"/>
      <c r="K1805" s="274"/>
      <c r="L1805" s="274"/>
      <c r="M1805" s="317"/>
      <c r="N1805" s="208"/>
      <c r="O1805" s="208"/>
      <c r="P1805" s="208"/>
      <c r="Q1805" s="208"/>
      <c r="R1805" s="208"/>
      <c r="S1805" s="208"/>
      <c r="T1805" s="208"/>
      <c r="U1805" s="208"/>
      <c r="V1805" s="208"/>
      <c r="W1805" s="19"/>
      <c r="X1805" s="17"/>
      <c r="Y1805" s="5">
        <f t="shared" si="168"/>
        <v>0</v>
      </c>
      <c r="Z1805" s="5">
        <f t="shared" si="169"/>
        <v>0</v>
      </c>
      <c r="AA1805" s="5">
        <f t="shared" si="170"/>
        <v>0</v>
      </c>
      <c r="AB1805" s="5">
        <f t="shared" si="171"/>
        <v>0</v>
      </c>
      <c r="AC1805" s="5"/>
      <c r="AD1805" s="5">
        <v>0</v>
      </c>
      <c r="AE1805" s="5">
        <f t="shared" si="172"/>
        <v>0</v>
      </c>
      <c r="AF1805" s="70">
        <v>0</v>
      </c>
      <c r="AG1805" s="17"/>
      <c r="AH1805" s="18"/>
      <c r="AI1805" s="109" t="s">
        <v>4336</v>
      </c>
      <c r="AJ1805" s="110" t="s">
        <v>4337</v>
      </c>
      <c r="AK1805" s="275"/>
      <c r="AL1805" s="276"/>
      <c r="AM1805" s="100" t="s">
        <v>1914</v>
      </c>
      <c r="AN1805" s="19"/>
      <c r="AO1805" s="19"/>
      <c r="AP1805" s="19"/>
      <c r="AQ1805" s="19"/>
      <c r="AR1805" s="19"/>
      <c r="AS1805" s="19"/>
      <c r="AT1805" s="19"/>
      <c r="AU1805" s="19"/>
      <c r="AV1805" s="19"/>
      <c r="AW1805" s="19"/>
      <c r="AX1805" s="107"/>
      <c r="AY1805" s="107"/>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39"/>
      <c r="CO1805" s="138"/>
      <c r="CP1805" s="139"/>
      <c r="CQ1805" s="138"/>
      <c r="CR1805" s="139"/>
      <c r="CS1805" s="138"/>
      <c r="CT1805" s="72"/>
      <c r="CU1805" s="139"/>
      <c r="CV1805" s="99">
        <f t="shared" si="173"/>
        <v>0</v>
      </c>
      <c r="CW1805" s="139"/>
      <c r="CX1805" s="138"/>
      <c r="CY1805" s="138"/>
      <c r="CZ1805" s="138"/>
      <c r="DA1805" s="139"/>
      <c r="DB1805" s="138"/>
      <c r="DC1805" s="45"/>
      <c r="DD1805" s="138"/>
      <c r="DE1805" s="45"/>
      <c r="DF1805" s="46"/>
    </row>
    <row r="1806" spans="1:110" s="42" customFormat="1" ht="36" x14ac:dyDescent="0.2">
      <c r="A1806" s="89">
        <v>40730</v>
      </c>
      <c r="B1806" s="16" t="s">
        <v>4263</v>
      </c>
      <c r="C1806" s="16" t="s">
        <v>3661</v>
      </c>
      <c r="D1806" s="90" t="s">
        <v>4264</v>
      </c>
      <c r="E1806" s="90" t="str">
        <f>VLOOKUP(B1806&amp;C1806,Divipola!$C$2:$F$1138,4,FALSE)</f>
        <v>86568</v>
      </c>
      <c r="F1806" s="4"/>
      <c r="G1806" s="274"/>
      <c r="H1806" s="274"/>
      <c r="I1806" s="274"/>
      <c r="J1806" s="208">
        <v>750</v>
      </c>
      <c r="K1806" s="208">
        <v>150</v>
      </c>
      <c r="L1806" s="208"/>
      <c r="M1806" s="208">
        <v>150</v>
      </c>
      <c r="N1806" s="208"/>
      <c r="O1806" s="208"/>
      <c r="P1806" s="208"/>
      <c r="Q1806" s="208"/>
      <c r="R1806" s="208"/>
      <c r="S1806" s="208"/>
      <c r="T1806" s="208"/>
      <c r="U1806" s="208"/>
      <c r="V1806" s="208"/>
      <c r="W1806" s="19"/>
      <c r="X1806" s="17"/>
      <c r="Y1806" s="5">
        <f t="shared" si="168"/>
        <v>76826000</v>
      </c>
      <c r="Z1806" s="5">
        <f t="shared" si="169"/>
        <v>42500000</v>
      </c>
      <c r="AA1806" s="5">
        <f t="shared" si="170"/>
        <v>0</v>
      </c>
      <c r="AB1806" s="5">
        <f t="shared" si="171"/>
        <v>0</v>
      </c>
      <c r="AC1806" s="5"/>
      <c r="AD1806" s="5">
        <v>0</v>
      </c>
      <c r="AE1806" s="5">
        <f t="shared" si="172"/>
        <v>119326000</v>
      </c>
      <c r="AF1806" s="70">
        <v>0</v>
      </c>
      <c r="AG1806" s="17"/>
      <c r="AH1806" s="18"/>
      <c r="AI1806" s="47" t="s">
        <v>4346</v>
      </c>
      <c r="AJ1806" s="73" t="s">
        <v>4347</v>
      </c>
      <c r="AK1806" s="275"/>
      <c r="AL1806" s="276"/>
      <c r="AM1806" s="100" t="s">
        <v>1912</v>
      </c>
      <c r="AN1806" s="19"/>
      <c r="AO1806" s="19"/>
      <c r="AP1806" s="19"/>
      <c r="AQ1806" s="19"/>
      <c r="AR1806" s="19"/>
      <c r="AS1806" s="19"/>
      <c r="AT1806" s="19"/>
      <c r="AU1806" s="19"/>
      <c r="AV1806" s="19"/>
      <c r="AW1806" s="19"/>
      <c r="AX1806" s="107"/>
      <c r="AY1806" s="107"/>
      <c r="AZ1806" s="19">
        <v>500</v>
      </c>
      <c r="BA1806" s="19">
        <f>500*56000</f>
        <v>28000000</v>
      </c>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v>500</v>
      </c>
      <c r="CK1806" s="19">
        <f>500*21000</f>
        <v>10500000</v>
      </c>
      <c r="CL1806" s="19"/>
      <c r="CM1806" s="19"/>
      <c r="CN1806" s="139"/>
      <c r="CO1806" s="138"/>
      <c r="CP1806" s="139">
        <v>500</v>
      </c>
      <c r="CQ1806" s="138">
        <f>500*36952</f>
        <v>18476000</v>
      </c>
      <c r="CR1806" s="139">
        <v>500</v>
      </c>
      <c r="CS1806" s="138">
        <f>500*39700</f>
        <v>19850000</v>
      </c>
      <c r="CT1806" s="72"/>
      <c r="CU1806" s="139"/>
      <c r="CV1806" s="99">
        <f t="shared" si="173"/>
        <v>76826000</v>
      </c>
      <c r="CW1806" s="139"/>
      <c r="CX1806" s="138"/>
      <c r="CY1806" s="138">
        <v>500</v>
      </c>
      <c r="CZ1806" s="138">
        <f>500*85000</f>
        <v>42500000</v>
      </c>
      <c r="DA1806" s="139"/>
      <c r="DB1806" s="138"/>
      <c r="DC1806" s="45"/>
      <c r="DD1806" s="138"/>
      <c r="DE1806" s="45"/>
      <c r="DF1806" s="46"/>
    </row>
    <row r="1807" spans="1:110" s="42" customFormat="1" ht="24" x14ac:dyDescent="0.2">
      <c r="A1807" s="89">
        <v>40730</v>
      </c>
      <c r="B1807" s="16" t="s">
        <v>4263</v>
      </c>
      <c r="C1807" s="16" t="s">
        <v>3667</v>
      </c>
      <c r="D1807" s="90" t="s">
        <v>4264</v>
      </c>
      <c r="E1807" s="90" t="str">
        <f>VLOOKUP(B1807&amp;C1807,Divipola!$C$2:$F$1138,4,FALSE)</f>
        <v>86571</v>
      </c>
      <c r="F1807" s="4"/>
      <c r="G1807" s="274"/>
      <c r="H1807" s="274"/>
      <c r="I1807" s="274"/>
      <c r="J1807" s="208"/>
      <c r="K1807" s="208"/>
      <c r="L1807" s="208"/>
      <c r="M1807" s="208"/>
      <c r="N1807" s="208"/>
      <c r="O1807" s="208"/>
      <c r="P1807" s="208"/>
      <c r="Q1807" s="208"/>
      <c r="R1807" s="208"/>
      <c r="S1807" s="208"/>
      <c r="T1807" s="208"/>
      <c r="U1807" s="208"/>
      <c r="V1807" s="208"/>
      <c r="W1807" s="19"/>
      <c r="X1807" s="17"/>
      <c r="Y1807" s="5">
        <f t="shared" si="168"/>
        <v>0</v>
      </c>
      <c r="Z1807" s="5">
        <f t="shared" si="169"/>
        <v>0</v>
      </c>
      <c r="AA1807" s="5">
        <f t="shared" si="170"/>
        <v>0</v>
      </c>
      <c r="AB1807" s="5">
        <f t="shared" si="171"/>
        <v>0</v>
      </c>
      <c r="AC1807" s="5"/>
      <c r="AD1807" s="5">
        <v>0</v>
      </c>
      <c r="AE1807" s="5">
        <f t="shared" si="172"/>
        <v>0</v>
      </c>
      <c r="AF1807" s="70">
        <v>0</v>
      </c>
      <c r="AG1807" s="17"/>
      <c r="AH1807" s="18"/>
      <c r="AI1807" s="109" t="s">
        <v>4336</v>
      </c>
      <c r="AJ1807" s="110" t="s">
        <v>4337</v>
      </c>
      <c r="AK1807" s="275"/>
      <c r="AL1807" s="276"/>
      <c r="AM1807" s="100" t="s">
        <v>1913</v>
      </c>
      <c r="AN1807" s="19"/>
      <c r="AO1807" s="19"/>
      <c r="AP1807" s="19"/>
      <c r="AQ1807" s="19"/>
      <c r="AR1807" s="19"/>
      <c r="AS1807" s="19"/>
      <c r="AT1807" s="19"/>
      <c r="AU1807" s="19"/>
      <c r="AV1807" s="19"/>
      <c r="AW1807" s="19"/>
      <c r="AX1807" s="107"/>
      <c r="AY1807" s="107"/>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39"/>
      <c r="CO1807" s="138"/>
      <c r="CP1807" s="139"/>
      <c r="CQ1807" s="138"/>
      <c r="CR1807" s="139"/>
      <c r="CS1807" s="138"/>
      <c r="CT1807" s="72"/>
      <c r="CU1807" s="139"/>
      <c r="CV1807" s="99">
        <f t="shared" si="173"/>
        <v>0</v>
      </c>
      <c r="CW1807" s="139"/>
      <c r="CX1807" s="138"/>
      <c r="CY1807" s="138"/>
      <c r="CZ1807" s="138"/>
      <c r="DA1807" s="139"/>
      <c r="DB1807" s="138"/>
      <c r="DC1807" s="45"/>
      <c r="DD1807" s="138"/>
      <c r="DE1807" s="45"/>
      <c r="DF1807" s="46"/>
    </row>
    <row r="1808" spans="1:110" s="42" customFormat="1" ht="60" x14ac:dyDescent="0.2">
      <c r="A1808" s="89">
        <v>40730</v>
      </c>
      <c r="B1808" s="16" t="s">
        <v>4348</v>
      </c>
      <c r="C1808" s="16" t="s">
        <v>1957</v>
      </c>
      <c r="D1808" s="90" t="s">
        <v>2362</v>
      </c>
      <c r="E1808" s="90" t="str">
        <f>VLOOKUP(B1808&amp;C1808,Divipola!$C$2:$F$1138,4,FALSE)</f>
        <v>66572</v>
      </c>
      <c r="F1808" s="4"/>
      <c r="G1808" s="208">
        <v>1</v>
      </c>
      <c r="H1808" s="274"/>
      <c r="I1808" s="274"/>
      <c r="J1808" s="274"/>
      <c r="K1808" s="274"/>
      <c r="L1808" s="274"/>
      <c r="M1808" s="317"/>
      <c r="N1808" s="208"/>
      <c r="O1808" s="208"/>
      <c r="P1808" s="208"/>
      <c r="Q1808" s="208"/>
      <c r="R1808" s="208"/>
      <c r="S1808" s="208"/>
      <c r="T1808" s="208"/>
      <c r="U1808" s="208"/>
      <c r="V1808" s="208"/>
      <c r="W1808" s="19"/>
      <c r="X1808" s="17"/>
      <c r="Y1808" s="5">
        <f t="shared" si="168"/>
        <v>0</v>
      </c>
      <c r="Z1808" s="5">
        <f t="shared" si="169"/>
        <v>0</v>
      </c>
      <c r="AA1808" s="5">
        <f t="shared" si="170"/>
        <v>0</v>
      </c>
      <c r="AB1808" s="5">
        <f t="shared" si="171"/>
        <v>0</v>
      </c>
      <c r="AC1808" s="5"/>
      <c r="AD1808" s="5">
        <v>0</v>
      </c>
      <c r="AE1808" s="5">
        <f t="shared" si="172"/>
        <v>0</v>
      </c>
      <c r="AF1808" s="70">
        <v>0</v>
      </c>
      <c r="AG1808" s="17"/>
      <c r="AH1808" s="18"/>
      <c r="AI1808" s="109" t="s">
        <v>4336</v>
      </c>
      <c r="AJ1808" s="110" t="s">
        <v>4337</v>
      </c>
      <c r="AK1808" s="275"/>
      <c r="AL1808" s="276"/>
      <c r="AM1808" s="100" t="s">
        <v>1915</v>
      </c>
      <c r="AN1808" s="19"/>
      <c r="AO1808" s="19"/>
      <c r="AP1808" s="19"/>
      <c r="AQ1808" s="19"/>
      <c r="AR1808" s="19"/>
      <c r="AS1808" s="19"/>
      <c r="AT1808" s="19"/>
      <c r="AU1808" s="19"/>
      <c r="AV1808" s="19"/>
      <c r="AW1808" s="19"/>
      <c r="AX1808" s="107"/>
      <c r="AY1808" s="107"/>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c r="CK1808" s="19"/>
      <c r="CL1808" s="19"/>
      <c r="CM1808" s="19"/>
      <c r="CN1808" s="139"/>
      <c r="CO1808" s="138"/>
      <c r="CP1808" s="139"/>
      <c r="CQ1808" s="138"/>
      <c r="CR1808" s="139"/>
      <c r="CS1808" s="138"/>
      <c r="CT1808" s="72"/>
      <c r="CU1808" s="139"/>
      <c r="CV1808" s="99">
        <f t="shared" si="173"/>
        <v>0</v>
      </c>
      <c r="CW1808" s="139"/>
      <c r="CX1808" s="138"/>
      <c r="CY1808" s="138"/>
      <c r="CZ1808" s="138"/>
      <c r="DA1808" s="139"/>
      <c r="DB1808" s="138"/>
      <c r="DC1808" s="45"/>
      <c r="DD1808" s="138"/>
      <c r="DE1808" s="45"/>
      <c r="DF1808" s="46"/>
    </row>
    <row r="1809" spans="1:110" s="42" customFormat="1" ht="108" x14ac:dyDescent="0.2">
      <c r="A1809" s="89">
        <v>40730</v>
      </c>
      <c r="B1809" s="16" t="s">
        <v>4244</v>
      </c>
      <c r="C1809" s="16" t="s">
        <v>2768</v>
      </c>
      <c r="D1809" s="90" t="s">
        <v>4264</v>
      </c>
      <c r="E1809" s="90" t="str">
        <f>VLOOKUP(B1809&amp;C1809,Divipola!$C$2:$F$1138,4,FALSE)</f>
        <v>76001</v>
      </c>
      <c r="F1809" s="4"/>
      <c r="G1809" s="274"/>
      <c r="H1809" s="274"/>
      <c r="I1809" s="274"/>
      <c r="J1809" s="274"/>
      <c r="K1809" s="274"/>
      <c r="L1809" s="274"/>
      <c r="M1809" s="274"/>
      <c r="N1809" s="208"/>
      <c r="O1809" s="208"/>
      <c r="P1809" s="208"/>
      <c r="Q1809" s="208"/>
      <c r="R1809" s="208"/>
      <c r="S1809" s="208"/>
      <c r="T1809" s="208"/>
      <c r="U1809" s="208"/>
      <c r="V1809" s="208"/>
      <c r="W1809" s="19"/>
      <c r="X1809" s="17"/>
      <c r="Y1809" s="5">
        <f t="shared" si="168"/>
        <v>0</v>
      </c>
      <c r="Z1809" s="5">
        <f t="shared" si="169"/>
        <v>0</v>
      </c>
      <c r="AA1809" s="5">
        <f t="shared" si="170"/>
        <v>0</v>
      </c>
      <c r="AB1809" s="5">
        <f t="shared" si="171"/>
        <v>0</v>
      </c>
      <c r="AC1809" s="5"/>
      <c r="AD1809" s="5">
        <v>0</v>
      </c>
      <c r="AE1809" s="5">
        <f t="shared" si="172"/>
        <v>0</v>
      </c>
      <c r="AF1809" s="70">
        <v>0</v>
      </c>
      <c r="AG1809" s="17"/>
      <c r="AH1809" s="18"/>
      <c r="AI1809" s="109" t="s">
        <v>4336</v>
      </c>
      <c r="AJ1809" s="110" t="s">
        <v>4337</v>
      </c>
      <c r="AK1809" s="275"/>
      <c r="AL1809" s="276"/>
      <c r="AM1809" s="100" t="s">
        <v>1916</v>
      </c>
      <c r="AN1809" s="19"/>
      <c r="AO1809" s="19"/>
      <c r="AP1809" s="19"/>
      <c r="AQ1809" s="19"/>
      <c r="AR1809" s="19"/>
      <c r="AS1809" s="19"/>
      <c r="AT1809" s="19"/>
      <c r="AU1809" s="19"/>
      <c r="AV1809" s="19"/>
      <c r="AW1809" s="19"/>
      <c r="AX1809" s="107"/>
      <c r="AY1809" s="107"/>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39"/>
      <c r="CO1809" s="138"/>
      <c r="CP1809" s="139"/>
      <c r="CQ1809" s="138"/>
      <c r="CR1809" s="139"/>
      <c r="CS1809" s="138"/>
      <c r="CT1809" s="72"/>
      <c r="CU1809" s="139"/>
      <c r="CV1809" s="99">
        <f t="shared" si="173"/>
        <v>0</v>
      </c>
      <c r="CW1809" s="139"/>
      <c r="CX1809" s="138"/>
      <c r="CY1809" s="138"/>
      <c r="CZ1809" s="138"/>
      <c r="DA1809" s="139"/>
      <c r="DB1809" s="138"/>
      <c r="DC1809" s="45"/>
      <c r="DD1809" s="138"/>
      <c r="DE1809" s="45"/>
      <c r="DF1809" s="46"/>
    </row>
    <row r="1810" spans="1:110" s="42" customFormat="1" ht="96" x14ac:dyDescent="0.2">
      <c r="A1810" s="89">
        <v>40730</v>
      </c>
      <c r="B1810" s="90" t="s">
        <v>4244</v>
      </c>
      <c r="C1810" s="90" t="s">
        <v>2247</v>
      </c>
      <c r="D1810" s="90" t="s">
        <v>4264</v>
      </c>
      <c r="E1810" s="90" t="str">
        <f>VLOOKUP(B1810&amp;C1810,Divipola!$C$2:$F$1138,4,FALSE)</f>
        <v>76622</v>
      </c>
      <c r="F1810" s="4"/>
      <c r="G1810" s="101"/>
      <c r="H1810" s="101"/>
      <c r="I1810" s="101"/>
      <c r="J1810" s="101"/>
      <c r="K1810" s="101"/>
      <c r="L1810" s="101"/>
      <c r="M1810" s="101"/>
      <c r="N1810" s="101"/>
      <c r="O1810" s="101"/>
      <c r="P1810" s="101"/>
      <c r="Q1810" s="101"/>
      <c r="R1810" s="101"/>
      <c r="S1810" s="101"/>
      <c r="T1810" s="101"/>
      <c r="U1810" s="101"/>
      <c r="V1810" s="101"/>
      <c r="W1810" s="19"/>
      <c r="X1810" s="17"/>
      <c r="Y1810" s="5">
        <f t="shared" si="168"/>
        <v>25513814.879999995</v>
      </c>
      <c r="Z1810" s="5">
        <f t="shared" si="169"/>
        <v>14110000</v>
      </c>
      <c r="AA1810" s="5">
        <f t="shared" si="170"/>
        <v>0</v>
      </c>
      <c r="AB1810" s="5">
        <f t="shared" si="171"/>
        <v>0</v>
      </c>
      <c r="AC1810" s="5"/>
      <c r="AD1810" s="5">
        <v>0</v>
      </c>
      <c r="AE1810" s="5">
        <f t="shared" si="172"/>
        <v>39623814.879999995</v>
      </c>
      <c r="AF1810" s="70">
        <v>0</v>
      </c>
      <c r="AG1810" s="17"/>
      <c r="AH1810" s="18"/>
      <c r="AI1810" s="95" t="s">
        <v>4346</v>
      </c>
      <c r="AJ1810" s="96" t="s">
        <v>4347</v>
      </c>
      <c r="AK1810" s="45"/>
      <c r="AL1810" s="17"/>
      <c r="AM1810" s="100" t="s">
        <v>1918</v>
      </c>
      <c r="AN1810" s="19"/>
      <c r="AO1810" s="19"/>
      <c r="AP1810" s="19"/>
      <c r="AQ1810" s="19"/>
      <c r="AR1810" s="19"/>
      <c r="AS1810" s="19"/>
      <c r="AT1810" s="19"/>
      <c r="AU1810" s="19"/>
      <c r="AV1810" s="19"/>
      <c r="AW1810" s="19"/>
      <c r="AX1810" s="107"/>
      <c r="AY1810" s="107"/>
      <c r="AZ1810" s="19">
        <v>166</v>
      </c>
      <c r="BA1810" s="19">
        <f>166*55999</f>
        <v>9295834</v>
      </c>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v>166</v>
      </c>
      <c r="CK1810" s="19">
        <f>166*20999.48</f>
        <v>3485913.6799999997</v>
      </c>
      <c r="CL1810" s="19"/>
      <c r="CM1810" s="19"/>
      <c r="CN1810" s="139"/>
      <c r="CO1810" s="138"/>
      <c r="CP1810" s="139">
        <v>166</v>
      </c>
      <c r="CQ1810" s="138">
        <f>166*36999.36</f>
        <v>6141893.7599999998</v>
      </c>
      <c r="CR1810" s="139">
        <v>166</v>
      </c>
      <c r="CS1810" s="138">
        <f>166*39699.84</f>
        <v>6590173.4399999995</v>
      </c>
      <c r="CT1810" s="72"/>
      <c r="CU1810" s="139"/>
      <c r="CV1810" s="99">
        <f t="shared" si="173"/>
        <v>25513814.879999995</v>
      </c>
      <c r="CW1810" s="139"/>
      <c r="CX1810" s="138"/>
      <c r="CY1810" s="138">
        <v>166</v>
      </c>
      <c r="CZ1810" s="138">
        <f>166*85000</f>
        <v>14110000</v>
      </c>
      <c r="DA1810" s="139"/>
      <c r="DB1810" s="138"/>
      <c r="DC1810" s="45"/>
      <c r="DD1810" s="138"/>
      <c r="DE1810" s="45"/>
      <c r="DF1810" s="46"/>
    </row>
    <row r="1811" spans="1:110" s="42" customFormat="1" ht="60" x14ac:dyDescent="0.2">
      <c r="A1811" s="89">
        <v>40730</v>
      </c>
      <c r="B1811" s="90" t="s">
        <v>4244</v>
      </c>
      <c r="C1811" s="90" t="s">
        <v>4248</v>
      </c>
      <c r="D1811" s="90" t="s">
        <v>4264</v>
      </c>
      <c r="E1811" s="90" t="str">
        <f>VLOOKUP(B1811&amp;C1811,Divipola!$C$2:$F$1138,4,FALSE)</f>
        <v>76736</v>
      </c>
      <c r="F1811" s="4"/>
      <c r="G1811" s="101"/>
      <c r="H1811" s="101"/>
      <c r="I1811" s="101"/>
      <c r="J1811" s="101"/>
      <c r="K1811" s="101"/>
      <c r="L1811" s="101"/>
      <c r="M1811" s="101"/>
      <c r="N1811" s="101"/>
      <c r="O1811" s="101"/>
      <c r="P1811" s="101"/>
      <c r="Q1811" s="101"/>
      <c r="R1811" s="101"/>
      <c r="S1811" s="101"/>
      <c r="T1811" s="101"/>
      <c r="U1811" s="101"/>
      <c r="V1811" s="101"/>
      <c r="W1811" s="19"/>
      <c r="X1811" s="17"/>
      <c r="Y1811" s="5">
        <f t="shared" si="168"/>
        <v>0</v>
      </c>
      <c r="Z1811" s="5">
        <f t="shared" si="169"/>
        <v>0</v>
      </c>
      <c r="AA1811" s="5">
        <f t="shared" si="170"/>
        <v>0</v>
      </c>
      <c r="AB1811" s="5">
        <f t="shared" si="171"/>
        <v>0</v>
      </c>
      <c r="AC1811" s="5"/>
      <c r="AD1811" s="5">
        <v>0</v>
      </c>
      <c r="AE1811" s="5">
        <f t="shared" si="172"/>
        <v>0</v>
      </c>
      <c r="AF1811" s="70">
        <v>0</v>
      </c>
      <c r="AG1811" s="17"/>
      <c r="AH1811" s="18"/>
      <c r="AI1811" s="109" t="s">
        <v>4336</v>
      </c>
      <c r="AJ1811" s="110" t="s">
        <v>4337</v>
      </c>
      <c r="AK1811" s="45"/>
      <c r="AL1811" s="17"/>
      <c r="AM1811" s="100" t="s">
        <v>1919</v>
      </c>
      <c r="AN1811" s="19"/>
      <c r="AO1811" s="19"/>
      <c r="AP1811" s="19"/>
      <c r="AQ1811" s="19"/>
      <c r="AR1811" s="19"/>
      <c r="AS1811" s="19"/>
      <c r="AT1811" s="19"/>
      <c r="AU1811" s="19"/>
      <c r="AV1811" s="19"/>
      <c r="AW1811" s="19"/>
      <c r="AX1811" s="107"/>
      <c r="AY1811" s="107"/>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39"/>
      <c r="CO1811" s="138"/>
      <c r="CP1811" s="139"/>
      <c r="CQ1811" s="138"/>
      <c r="CR1811" s="139"/>
      <c r="CS1811" s="138"/>
      <c r="CT1811" s="72"/>
      <c r="CU1811" s="139"/>
      <c r="CV1811" s="99">
        <f t="shared" si="173"/>
        <v>0</v>
      </c>
      <c r="CW1811" s="139"/>
      <c r="CX1811" s="138"/>
      <c r="CY1811" s="138"/>
      <c r="CZ1811" s="138"/>
      <c r="DA1811" s="139"/>
      <c r="DB1811" s="138"/>
      <c r="DC1811" s="45"/>
      <c r="DD1811" s="138"/>
      <c r="DE1811" s="45"/>
      <c r="DF1811" s="46"/>
    </row>
    <row r="1812" spans="1:110" s="42" customFormat="1" ht="72" x14ac:dyDescent="0.2">
      <c r="A1812" s="89">
        <v>40731</v>
      </c>
      <c r="B1812" s="90" t="s">
        <v>4261</v>
      </c>
      <c r="C1812" s="90" t="s">
        <v>4261</v>
      </c>
      <c r="D1812" s="90" t="s">
        <v>4264</v>
      </c>
      <c r="E1812" s="90" t="str">
        <f>VLOOKUP(B1812&amp;C1812,Divipola!$C$2:$F$1138,4,FALSE)</f>
        <v>15104</v>
      </c>
      <c r="F1812" s="4"/>
      <c r="G1812" s="101"/>
      <c r="H1812" s="101"/>
      <c r="I1812" s="101"/>
      <c r="J1812" s="101">
        <v>95</v>
      </c>
      <c r="K1812" s="101">
        <v>19</v>
      </c>
      <c r="L1812" s="101">
        <v>1</v>
      </c>
      <c r="M1812" s="101">
        <v>18</v>
      </c>
      <c r="N1812" s="101"/>
      <c r="O1812" s="101"/>
      <c r="P1812" s="101"/>
      <c r="Q1812" s="101"/>
      <c r="R1812" s="101"/>
      <c r="S1812" s="101"/>
      <c r="T1812" s="101"/>
      <c r="U1812" s="101"/>
      <c r="V1812" s="101">
        <v>10</v>
      </c>
      <c r="W1812" s="19"/>
      <c r="X1812" s="17"/>
      <c r="Y1812" s="5">
        <f t="shared" si="168"/>
        <v>0</v>
      </c>
      <c r="Z1812" s="5">
        <f t="shared" si="169"/>
        <v>0</v>
      </c>
      <c r="AA1812" s="5">
        <f t="shared" si="170"/>
        <v>0</v>
      </c>
      <c r="AB1812" s="5">
        <f t="shared" si="171"/>
        <v>0</v>
      </c>
      <c r="AC1812" s="5"/>
      <c r="AD1812" s="5">
        <v>0</v>
      </c>
      <c r="AE1812" s="5">
        <f t="shared" si="172"/>
        <v>0</v>
      </c>
      <c r="AF1812" s="70">
        <v>0</v>
      </c>
      <c r="AG1812" s="17"/>
      <c r="AH1812" s="18"/>
      <c r="AI1812" s="47" t="s">
        <v>4336</v>
      </c>
      <c r="AJ1812" s="73" t="s">
        <v>4337</v>
      </c>
      <c r="AK1812" s="45"/>
      <c r="AL1812" s="17"/>
      <c r="AM1812" s="100" t="s">
        <v>3755</v>
      </c>
      <c r="AN1812" s="19"/>
      <c r="AO1812" s="19"/>
      <c r="AP1812" s="19"/>
      <c r="AQ1812" s="19"/>
      <c r="AR1812" s="19"/>
      <c r="AS1812" s="19"/>
      <c r="AT1812" s="19"/>
      <c r="AU1812" s="19"/>
      <c r="AV1812" s="19"/>
      <c r="AW1812" s="19"/>
      <c r="AX1812" s="107"/>
      <c r="AY1812" s="107"/>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c r="CK1812" s="19"/>
      <c r="CL1812" s="19"/>
      <c r="CM1812" s="19"/>
      <c r="CN1812" s="139"/>
      <c r="CO1812" s="138"/>
      <c r="CP1812" s="139"/>
      <c r="CQ1812" s="138"/>
      <c r="CR1812" s="139"/>
      <c r="CS1812" s="138"/>
      <c r="CT1812" s="72"/>
      <c r="CU1812" s="139"/>
      <c r="CV1812" s="99">
        <f t="shared" si="173"/>
        <v>0</v>
      </c>
      <c r="CW1812" s="139"/>
      <c r="CX1812" s="138"/>
      <c r="CY1812" s="138"/>
      <c r="CZ1812" s="138"/>
      <c r="DA1812" s="139"/>
      <c r="DB1812" s="138"/>
      <c r="DC1812" s="45"/>
      <c r="DD1812" s="138"/>
      <c r="DE1812" s="45"/>
      <c r="DF1812" s="46"/>
    </row>
    <row r="1813" spans="1:110" s="42" customFormat="1" ht="48" x14ac:dyDescent="0.2">
      <c r="A1813" s="89">
        <v>40731</v>
      </c>
      <c r="B1813" s="90" t="s">
        <v>4261</v>
      </c>
      <c r="C1813" s="106" t="s">
        <v>4389</v>
      </c>
      <c r="D1813" s="90" t="s">
        <v>4264</v>
      </c>
      <c r="E1813" s="90" t="str">
        <f>VLOOKUP(B1813&amp;C1813,Divipola!$C$2:$F$1138,4,FALSE)</f>
        <v>15600</v>
      </c>
      <c r="F1813" s="4"/>
      <c r="G1813" s="101"/>
      <c r="H1813" s="101"/>
      <c r="I1813" s="101"/>
      <c r="J1813" s="101">
        <v>295</v>
      </c>
      <c r="K1813" s="101">
        <v>59</v>
      </c>
      <c r="L1813" s="101">
        <v>22</v>
      </c>
      <c r="M1813" s="101">
        <v>31</v>
      </c>
      <c r="N1813" s="101"/>
      <c r="O1813" s="101"/>
      <c r="P1813" s="101"/>
      <c r="Q1813" s="101"/>
      <c r="R1813" s="101"/>
      <c r="S1813" s="101"/>
      <c r="T1813" s="101"/>
      <c r="U1813" s="101"/>
      <c r="V1813" s="101"/>
      <c r="W1813" s="19"/>
      <c r="X1813" s="17"/>
      <c r="Y1813" s="5">
        <f t="shared" si="168"/>
        <v>0</v>
      </c>
      <c r="Z1813" s="5">
        <f t="shared" si="169"/>
        <v>0</v>
      </c>
      <c r="AA1813" s="5">
        <f t="shared" si="170"/>
        <v>0</v>
      </c>
      <c r="AB1813" s="5">
        <f t="shared" si="171"/>
        <v>0</v>
      </c>
      <c r="AC1813" s="5"/>
      <c r="AD1813" s="5">
        <v>0</v>
      </c>
      <c r="AE1813" s="5">
        <f t="shared" si="172"/>
        <v>0</v>
      </c>
      <c r="AF1813" s="70">
        <v>0</v>
      </c>
      <c r="AG1813" s="17"/>
      <c r="AH1813" s="18"/>
      <c r="AI1813" s="47" t="s">
        <v>4336</v>
      </c>
      <c r="AJ1813" s="73" t="s">
        <v>4337</v>
      </c>
      <c r="AK1813" s="45"/>
      <c r="AL1813" s="17"/>
      <c r="AM1813" s="100" t="s">
        <v>3756</v>
      </c>
      <c r="AN1813" s="19"/>
      <c r="AO1813" s="19"/>
      <c r="AP1813" s="19"/>
      <c r="AQ1813" s="19"/>
      <c r="AR1813" s="19"/>
      <c r="AS1813" s="19"/>
      <c r="AT1813" s="19"/>
      <c r="AU1813" s="19"/>
      <c r="AV1813" s="19"/>
      <c r="AW1813" s="19"/>
      <c r="AX1813" s="107"/>
      <c r="AY1813" s="107"/>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39"/>
      <c r="CO1813" s="138"/>
      <c r="CP1813" s="139"/>
      <c r="CQ1813" s="138"/>
      <c r="CR1813" s="139"/>
      <c r="CS1813" s="138"/>
      <c r="CT1813" s="72"/>
      <c r="CU1813" s="139"/>
      <c r="CV1813" s="99">
        <f t="shared" si="173"/>
        <v>0</v>
      </c>
      <c r="CW1813" s="139"/>
      <c r="CX1813" s="138"/>
      <c r="CY1813" s="138"/>
      <c r="CZ1813" s="138"/>
      <c r="DA1813" s="139"/>
      <c r="DB1813" s="138"/>
      <c r="DC1813" s="45"/>
      <c r="DD1813" s="138"/>
      <c r="DE1813" s="45"/>
      <c r="DF1813" s="46"/>
    </row>
    <row r="1814" spans="1:110" s="42" customFormat="1" ht="72" x14ac:dyDescent="0.2">
      <c r="A1814" s="89">
        <v>40731</v>
      </c>
      <c r="B1814" s="90" t="s">
        <v>4261</v>
      </c>
      <c r="C1814" s="90" t="s">
        <v>1307</v>
      </c>
      <c r="D1814" s="90" t="s">
        <v>4264</v>
      </c>
      <c r="E1814" s="90" t="str">
        <f>VLOOKUP(B1814&amp;C1814,Divipola!$C$2:$F$1138,4,FALSE)</f>
        <v>15755</v>
      </c>
      <c r="F1814" s="4"/>
      <c r="G1814" s="101"/>
      <c r="H1814" s="101"/>
      <c r="I1814" s="101"/>
      <c r="J1814" s="101">
        <v>2980</v>
      </c>
      <c r="K1814" s="101">
        <v>596</v>
      </c>
      <c r="L1814" s="101">
        <v>23</v>
      </c>
      <c r="M1814" s="101">
        <v>573</v>
      </c>
      <c r="N1814" s="101"/>
      <c r="O1814" s="101"/>
      <c r="P1814" s="101"/>
      <c r="Q1814" s="101"/>
      <c r="R1814" s="101"/>
      <c r="S1814" s="101"/>
      <c r="T1814" s="101"/>
      <c r="U1814" s="101"/>
      <c r="V1814" s="101"/>
      <c r="W1814" s="19"/>
      <c r="X1814" s="17"/>
      <c r="Y1814" s="5">
        <f t="shared" si="168"/>
        <v>0</v>
      </c>
      <c r="Z1814" s="5">
        <f t="shared" si="169"/>
        <v>0</v>
      </c>
      <c r="AA1814" s="5">
        <f t="shared" si="170"/>
        <v>0</v>
      </c>
      <c r="AB1814" s="5">
        <f t="shared" si="171"/>
        <v>0</v>
      </c>
      <c r="AC1814" s="5"/>
      <c r="AD1814" s="5">
        <v>0</v>
      </c>
      <c r="AE1814" s="5">
        <f t="shared" si="172"/>
        <v>0</v>
      </c>
      <c r="AF1814" s="70">
        <v>0</v>
      </c>
      <c r="AG1814" s="17"/>
      <c r="AH1814" s="18"/>
      <c r="AI1814" s="47" t="s">
        <v>4336</v>
      </c>
      <c r="AJ1814" s="73" t="s">
        <v>4337</v>
      </c>
      <c r="AK1814" s="45"/>
      <c r="AL1814" s="17"/>
      <c r="AM1814" s="100" t="s">
        <v>3753</v>
      </c>
      <c r="AN1814" s="19"/>
      <c r="AO1814" s="19"/>
      <c r="AP1814" s="19"/>
      <c r="AQ1814" s="19"/>
      <c r="AR1814" s="19"/>
      <c r="AS1814" s="19"/>
      <c r="AT1814" s="19"/>
      <c r="AU1814" s="19"/>
      <c r="AV1814" s="19"/>
      <c r="AW1814" s="19"/>
      <c r="AX1814" s="107"/>
      <c r="AY1814" s="107"/>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39"/>
      <c r="CO1814" s="138"/>
      <c r="CP1814" s="139"/>
      <c r="CQ1814" s="138"/>
      <c r="CR1814" s="139"/>
      <c r="CS1814" s="138"/>
      <c r="CT1814" s="72"/>
      <c r="CU1814" s="139"/>
      <c r="CV1814" s="99">
        <f t="shared" si="173"/>
        <v>0</v>
      </c>
      <c r="CW1814" s="139"/>
      <c r="CX1814" s="138"/>
      <c r="CY1814" s="138"/>
      <c r="CZ1814" s="138"/>
      <c r="DA1814" s="139"/>
      <c r="DB1814" s="138"/>
      <c r="DC1814" s="45"/>
      <c r="DD1814" s="138"/>
      <c r="DE1814" s="45"/>
      <c r="DF1814" s="46"/>
    </row>
    <row r="1815" spans="1:110" s="42" customFormat="1" ht="24" x14ac:dyDescent="0.2">
      <c r="A1815" s="89">
        <v>40731</v>
      </c>
      <c r="B1815" s="16" t="s">
        <v>4349</v>
      </c>
      <c r="C1815" s="16" t="s">
        <v>4349</v>
      </c>
      <c r="D1815" s="16" t="s">
        <v>1110</v>
      </c>
      <c r="E1815" s="90" t="str">
        <f>VLOOKUP(B1815&amp;C1815,Divipola!$C$2:$F$1138,4,FALSE)</f>
        <v>00000</v>
      </c>
      <c r="F1815" s="4"/>
      <c r="G1815" s="208"/>
      <c r="H1815" s="208"/>
      <c r="I1815" s="208"/>
      <c r="J1815" s="208"/>
      <c r="K1815" s="208"/>
      <c r="L1815" s="208"/>
      <c r="M1815" s="208"/>
      <c r="N1815" s="208"/>
      <c r="O1815" s="208"/>
      <c r="P1815" s="208"/>
      <c r="Q1815" s="208"/>
      <c r="R1815" s="208"/>
      <c r="S1815" s="208"/>
      <c r="T1815" s="208"/>
      <c r="U1815" s="208"/>
      <c r="V1815" s="208"/>
      <c r="W1815" s="19"/>
      <c r="X1815" s="17"/>
      <c r="Y1815" s="5">
        <f t="shared" si="168"/>
        <v>9200000</v>
      </c>
      <c r="Z1815" s="5">
        <f t="shared" si="169"/>
        <v>0</v>
      </c>
      <c r="AA1815" s="5">
        <f t="shared" si="170"/>
        <v>0</v>
      </c>
      <c r="AB1815" s="5">
        <f t="shared" si="171"/>
        <v>0</v>
      </c>
      <c r="AC1815" s="5"/>
      <c r="AD1815" s="5">
        <v>0</v>
      </c>
      <c r="AE1815" s="5">
        <f t="shared" si="172"/>
        <v>9200000</v>
      </c>
      <c r="AF1815" s="70">
        <v>0</v>
      </c>
      <c r="AG1815" s="17"/>
      <c r="AH1815" s="18"/>
      <c r="AI1815" s="47" t="s">
        <v>4346</v>
      </c>
      <c r="AJ1815" s="73" t="s">
        <v>4347</v>
      </c>
      <c r="AK1815" s="45"/>
      <c r="AL1815" s="17"/>
      <c r="AM1815" s="20" t="s">
        <v>1112</v>
      </c>
      <c r="AN1815" s="19"/>
      <c r="AO1815" s="19"/>
      <c r="AP1815" s="19"/>
      <c r="AQ1815" s="19"/>
      <c r="AR1815" s="19"/>
      <c r="AS1815" s="19"/>
      <c r="AT1815" s="19"/>
      <c r="AU1815" s="19"/>
      <c r="AV1815" s="19"/>
      <c r="AW1815" s="19"/>
      <c r="AX1815" s="107"/>
      <c r="AY1815" s="107"/>
      <c r="AZ1815" s="19">
        <v>100</v>
      </c>
      <c r="BA1815" s="19">
        <f>100*56000</f>
        <v>5600000</v>
      </c>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v>200</v>
      </c>
      <c r="CK1815" s="19">
        <f>200*18000</f>
        <v>3600000</v>
      </c>
      <c r="CL1815" s="19"/>
      <c r="CM1815" s="19"/>
      <c r="CN1815" s="139"/>
      <c r="CO1815" s="138"/>
      <c r="CP1815" s="139"/>
      <c r="CQ1815" s="138"/>
      <c r="CR1815" s="139"/>
      <c r="CS1815" s="138"/>
      <c r="CT1815" s="72"/>
      <c r="CU1815" s="139"/>
      <c r="CV1815" s="99">
        <f t="shared" si="173"/>
        <v>9200000</v>
      </c>
      <c r="CW1815" s="139"/>
      <c r="CX1815" s="138"/>
      <c r="CY1815" s="138"/>
      <c r="CZ1815" s="138"/>
      <c r="DA1815" s="139"/>
      <c r="DB1815" s="138"/>
      <c r="DC1815" s="45"/>
      <c r="DD1815" s="138"/>
      <c r="DE1815" s="45"/>
      <c r="DF1815" s="46"/>
    </row>
    <row r="1816" spans="1:110" s="42" customFormat="1" ht="60" x14ac:dyDescent="0.2">
      <c r="A1816" s="89">
        <v>40731</v>
      </c>
      <c r="B1816" s="16" t="s">
        <v>4221</v>
      </c>
      <c r="C1816" s="16" t="s">
        <v>563</v>
      </c>
      <c r="D1816" s="90" t="s">
        <v>4264</v>
      </c>
      <c r="E1816" s="90" t="str">
        <f>VLOOKUP(B1816&amp;C1816,Divipola!$C$2:$F$1138,4,FALSE)</f>
        <v>54377</v>
      </c>
      <c r="F1816" s="4"/>
      <c r="G1816" s="208"/>
      <c r="H1816" s="208"/>
      <c r="I1816" s="208"/>
      <c r="J1816" s="208"/>
      <c r="K1816" s="208"/>
      <c r="L1816" s="208"/>
      <c r="M1816" s="208"/>
      <c r="N1816" s="208"/>
      <c r="O1816" s="208"/>
      <c r="P1816" s="208"/>
      <c r="Q1816" s="208"/>
      <c r="R1816" s="208"/>
      <c r="S1816" s="208"/>
      <c r="T1816" s="208"/>
      <c r="U1816" s="208"/>
      <c r="V1816" s="208"/>
      <c r="W1816" s="19"/>
      <c r="X1816" s="17"/>
      <c r="Y1816" s="5">
        <f t="shared" si="168"/>
        <v>0</v>
      </c>
      <c r="Z1816" s="5">
        <f t="shared" si="169"/>
        <v>0</v>
      </c>
      <c r="AA1816" s="5">
        <f t="shared" si="170"/>
        <v>0</v>
      </c>
      <c r="AB1816" s="5">
        <f t="shared" si="171"/>
        <v>0</v>
      </c>
      <c r="AC1816" s="143">
        <f>1000*87999.92</f>
        <v>87999920</v>
      </c>
      <c r="AD1816" s="5">
        <v>220000000</v>
      </c>
      <c r="AE1816" s="5">
        <f t="shared" si="172"/>
        <v>307999920</v>
      </c>
      <c r="AF1816" s="70">
        <v>0</v>
      </c>
      <c r="AG1816" s="17"/>
      <c r="AH1816" s="18"/>
      <c r="AI1816" s="47" t="s">
        <v>4346</v>
      </c>
      <c r="AJ1816" s="73" t="s">
        <v>4347</v>
      </c>
      <c r="AK1816" s="45"/>
      <c r="AL1816" s="17"/>
      <c r="AM1816" s="20" t="s">
        <v>897</v>
      </c>
      <c r="AN1816" s="19"/>
      <c r="AO1816" s="19"/>
      <c r="AP1816" s="19"/>
      <c r="AQ1816" s="19"/>
      <c r="AR1816" s="19"/>
      <c r="AS1816" s="19"/>
      <c r="AT1816" s="19"/>
      <c r="AU1816" s="19"/>
      <c r="AV1816" s="19"/>
      <c r="AW1816" s="19"/>
      <c r="AX1816" s="107"/>
      <c r="AY1816" s="107"/>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39"/>
      <c r="CO1816" s="138"/>
      <c r="CP1816" s="139"/>
      <c r="CQ1816" s="138"/>
      <c r="CR1816" s="139"/>
      <c r="CS1816" s="138"/>
      <c r="CT1816" s="72"/>
      <c r="CU1816" s="139"/>
      <c r="CV1816" s="99">
        <f t="shared" si="173"/>
        <v>0</v>
      </c>
      <c r="CW1816" s="139"/>
      <c r="CX1816" s="138"/>
      <c r="CY1816" s="138"/>
      <c r="CZ1816" s="138"/>
      <c r="DA1816" s="139"/>
      <c r="DB1816" s="138"/>
      <c r="DC1816" s="45"/>
      <c r="DD1816" s="138"/>
      <c r="DE1816" s="45"/>
      <c r="DF1816" s="46"/>
    </row>
    <row r="1817" spans="1:110" s="42" customFormat="1" ht="72" x14ac:dyDescent="0.2">
      <c r="A1817" s="89">
        <v>40731</v>
      </c>
      <c r="B1817" s="16" t="s">
        <v>4350</v>
      </c>
      <c r="C1817" s="16" t="s">
        <v>4345</v>
      </c>
      <c r="D1817" s="16" t="s">
        <v>1110</v>
      </c>
      <c r="E1817" s="90">
        <f>VLOOKUP(B1817&amp;C1817,Divipola!$C$2:$F$1138,4,FALSE)</f>
        <v>63</v>
      </c>
      <c r="F1817" s="4"/>
      <c r="G1817" s="208"/>
      <c r="H1817" s="208"/>
      <c r="I1817" s="208"/>
      <c r="J1817" s="208"/>
      <c r="K1817" s="208"/>
      <c r="L1817" s="208"/>
      <c r="M1817" s="208"/>
      <c r="N1817" s="208"/>
      <c r="O1817" s="208"/>
      <c r="P1817" s="208"/>
      <c r="Q1817" s="208"/>
      <c r="R1817" s="208"/>
      <c r="S1817" s="208"/>
      <c r="T1817" s="208"/>
      <c r="U1817" s="208"/>
      <c r="V1817" s="208"/>
      <c r="W1817" s="19"/>
      <c r="X1817" s="17"/>
      <c r="Y1817" s="5">
        <f t="shared" si="168"/>
        <v>0</v>
      </c>
      <c r="Z1817" s="5">
        <f t="shared" si="169"/>
        <v>0</v>
      </c>
      <c r="AA1817" s="5">
        <f t="shared" si="170"/>
        <v>0</v>
      </c>
      <c r="AB1817" s="5">
        <f t="shared" si="171"/>
        <v>0</v>
      </c>
      <c r="AC1817" s="5">
        <f>200*23999.24+12600000</f>
        <v>17399848</v>
      </c>
      <c r="AD1817" s="5">
        <v>0</v>
      </c>
      <c r="AE1817" s="5">
        <f t="shared" si="172"/>
        <v>17399848</v>
      </c>
      <c r="AF1817" s="70">
        <v>0</v>
      </c>
      <c r="AG1817" s="17"/>
      <c r="AH1817" s="18"/>
      <c r="AI1817" s="47" t="s">
        <v>4346</v>
      </c>
      <c r="AJ1817" s="73" t="s">
        <v>4347</v>
      </c>
      <c r="AK1817" s="45"/>
      <c r="AL1817" s="17"/>
      <c r="AM1817" s="20" t="s">
        <v>2409</v>
      </c>
      <c r="AN1817" s="19"/>
      <c r="AO1817" s="19"/>
      <c r="AP1817" s="19"/>
      <c r="AQ1817" s="19"/>
      <c r="AR1817" s="19"/>
      <c r="AS1817" s="19"/>
      <c r="AT1817" s="19"/>
      <c r="AU1817" s="19"/>
      <c r="AV1817" s="19"/>
      <c r="AW1817" s="19"/>
      <c r="AX1817" s="107"/>
      <c r="AY1817" s="107"/>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c r="CK1817" s="19"/>
      <c r="CL1817" s="19"/>
      <c r="CM1817" s="19"/>
      <c r="CN1817" s="139"/>
      <c r="CO1817" s="138"/>
      <c r="CP1817" s="139"/>
      <c r="CQ1817" s="138"/>
      <c r="CR1817" s="139"/>
      <c r="CS1817" s="138"/>
      <c r="CT1817" s="72"/>
      <c r="CU1817" s="139"/>
      <c r="CV1817" s="99">
        <f t="shared" si="173"/>
        <v>0</v>
      </c>
      <c r="CW1817" s="139"/>
      <c r="CX1817" s="138"/>
      <c r="CY1817" s="138"/>
      <c r="CZ1817" s="138"/>
      <c r="DA1817" s="139"/>
      <c r="DB1817" s="138"/>
      <c r="DC1817" s="45"/>
      <c r="DD1817" s="138"/>
      <c r="DE1817" s="45"/>
      <c r="DF1817" s="46">
        <v>1905</v>
      </c>
    </row>
    <row r="1818" spans="1:110" s="42" customFormat="1" ht="132" x14ac:dyDescent="0.2">
      <c r="A1818" s="89">
        <v>40732</v>
      </c>
      <c r="B1818" s="16" t="s">
        <v>3358</v>
      </c>
      <c r="C1818" s="16" t="s">
        <v>3341</v>
      </c>
      <c r="D1818" s="90" t="s">
        <v>2362</v>
      </c>
      <c r="E1818" s="90" t="str">
        <f>VLOOKUP(B1818&amp;C1818,Divipola!$C$2:$F$1138,4,FALSE)</f>
        <v>18094</v>
      </c>
      <c r="F1818" s="4"/>
      <c r="G1818" s="208"/>
      <c r="H1818" s="208"/>
      <c r="I1818" s="208"/>
      <c r="J1818" s="208"/>
      <c r="K1818" s="208"/>
      <c r="L1818" s="208"/>
      <c r="M1818" s="208"/>
      <c r="N1818" s="208"/>
      <c r="O1818" s="208"/>
      <c r="P1818" s="208"/>
      <c r="Q1818" s="208"/>
      <c r="R1818" s="208"/>
      <c r="S1818" s="208"/>
      <c r="T1818" s="208"/>
      <c r="U1818" s="208"/>
      <c r="V1818" s="208"/>
      <c r="W1818" s="19"/>
      <c r="X1818" s="17"/>
      <c r="Y1818" s="5">
        <f t="shared" si="168"/>
        <v>0</v>
      </c>
      <c r="Z1818" s="5">
        <f t="shared" si="169"/>
        <v>0</v>
      </c>
      <c r="AA1818" s="5">
        <f t="shared" si="170"/>
        <v>0</v>
      </c>
      <c r="AB1818" s="5">
        <f t="shared" si="171"/>
        <v>0</v>
      </c>
      <c r="AC1818" s="5"/>
      <c r="AD1818" s="5">
        <v>20000000</v>
      </c>
      <c r="AE1818" s="5">
        <f t="shared" si="172"/>
        <v>20000000</v>
      </c>
      <c r="AF1818" s="70">
        <v>0</v>
      </c>
      <c r="AG1818" s="17"/>
      <c r="AH1818" s="18"/>
      <c r="AI1818" s="95" t="s">
        <v>4346</v>
      </c>
      <c r="AJ1818" s="96" t="s">
        <v>4347</v>
      </c>
      <c r="AK1818" s="45"/>
      <c r="AL1818" s="17"/>
      <c r="AM1818" s="20" t="s">
        <v>2415</v>
      </c>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39"/>
      <c r="CO1818" s="138"/>
      <c r="CP1818" s="139"/>
      <c r="CQ1818" s="138"/>
      <c r="CR1818" s="139"/>
      <c r="CS1818" s="138"/>
      <c r="CT1818" s="72"/>
      <c r="CU1818" s="139"/>
      <c r="CV1818" s="99">
        <f t="shared" si="173"/>
        <v>0</v>
      </c>
      <c r="CW1818" s="139"/>
      <c r="CX1818" s="138"/>
      <c r="CY1818" s="138"/>
      <c r="CZ1818" s="138"/>
      <c r="DA1818" s="139"/>
      <c r="DB1818" s="138"/>
      <c r="DC1818" s="45"/>
      <c r="DD1818" s="138"/>
      <c r="DE1818" s="45"/>
      <c r="DF1818" s="46"/>
    </row>
    <row r="1819" spans="1:110" s="42" customFormat="1" ht="48" x14ac:dyDescent="0.2">
      <c r="A1819" s="89">
        <v>40732</v>
      </c>
      <c r="B1819" s="16" t="s">
        <v>3358</v>
      </c>
      <c r="C1819" s="16" t="s">
        <v>1456</v>
      </c>
      <c r="D1819" s="90" t="s">
        <v>4264</v>
      </c>
      <c r="E1819" s="90" t="str">
        <f>VLOOKUP(B1819&amp;C1819,Divipola!$C$2:$F$1138,4,FALSE)</f>
        <v>18756</v>
      </c>
      <c r="F1819" s="4"/>
      <c r="G1819" s="208"/>
      <c r="H1819" s="208"/>
      <c r="I1819" s="208"/>
      <c r="J1819" s="208"/>
      <c r="K1819" s="208"/>
      <c r="L1819" s="208"/>
      <c r="M1819" s="208"/>
      <c r="N1819" s="208"/>
      <c r="O1819" s="208"/>
      <c r="P1819" s="208"/>
      <c r="Q1819" s="208"/>
      <c r="R1819" s="208"/>
      <c r="S1819" s="208"/>
      <c r="T1819" s="208"/>
      <c r="U1819" s="208"/>
      <c r="V1819" s="208"/>
      <c r="W1819" s="19"/>
      <c r="X1819" s="17"/>
      <c r="Y1819" s="5">
        <f t="shared" si="168"/>
        <v>0</v>
      </c>
      <c r="Z1819" s="5">
        <f t="shared" si="169"/>
        <v>0</v>
      </c>
      <c r="AA1819" s="5">
        <f t="shared" si="170"/>
        <v>0</v>
      </c>
      <c r="AB1819" s="5">
        <f t="shared" si="171"/>
        <v>0</v>
      </c>
      <c r="AC1819" s="5"/>
      <c r="AD1819" s="5">
        <v>20000000</v>
      </c>
      <c r="AE1819" s="5">
        <f t="shared" si="172"/>
        <v>20000000</v>
      </c>
      <c r="AF1819" s="70">
        <v>0</v>
      </c>
      <c r="AG1819" s="17"/>
      <c r="AH1819" s="18"/>
      <c r="AI1819" s="47" t="s">
        <v>4346</v>
      </c>
      <c r="AJ1819" s="73" t="s">
        <v>4347</v>
      </c>
      <c r="AK1819" s="45"/>
      <c r="AL1819" s="17"/>
      <c r="AM1819" s="20" t="s">
        <v>2314</v>
      </c>
      <c r="AN1819" s="19"/>
      <c r="AO1819" s="19"/>
      <c r="AP1819" s="19"/>
      <c r="AQ1819" s="19"/>
      <c r="AR1819" s="19"/>
      <c r="AS1819" s="19"/>
      <c r="AT1819" s="19"/>
      <c r="AU1819" s="19"/>
      <c r="AV1819" s="19"/>
      <c r="AW1819" s="19"/>
      <c r="AX1819" s="107"/>
      <c r="AY1819" s="107"/>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39"/>
      <c r="CO1819" s="138"/>
      <c r="CP1819" s="139"/>
      <c r="CQ1819" s="138"/>
      <c r="CR1819" s="139"/>
      <c r="CS1819" s="138"/>
      <c r="CT1819" s="72"/>
      <c r="CU1819" s="139"/>
      <c r="CV1819" s="99">
        <f t="shared" si="173"/>
        <v>0</v>
      </c>
      <c r="CW1819" s="139"/>
      <c r="CX1819" s="138"/>
      <c r="CY1819" s="138"/>
      <c r="CZ1819" s="138"/>
      <c r="DA1819" s="139"/>
      <c r="DB1819" s="138"/>
      <c r="DC1819" s="45"/>
      <c r="DD1819" s="138"/>
      <c r="DE1819" s="45"/>
      <c r="DF1819" s="46"/>
    </row>
    <row r="1820" spans="1:110" s="42" customFormat="1" ht="144" x14ac:dyDescent="0.2">
      <c r="A1820" s="89">
        <v>40732</v>
      </c>
      <c r="B1820" s="90" t="s">
        <v>4282</v>
      </c>
      <c r="C1820" s="90" t="s">
        <v>4262</v>
      </c>
      <c r="D1820" s="90" t="s">
        <v>4264</v>
      </c>
      <c r="E1820" s="90" t="str">
        <f>VLOOKUP(B1820&amp;C1820,Divipola!$C$2:$F$1138,4,FALSE)</f>
        <v>23580</v>
      </c>
      <c r="F1820" s="4"/>
      <c r="G1820" s="101"/>
      <c r="H1820" s="101"/>
      <c r="I1820" s="101"/>
      <c r="J1820" s="101">
        <v>6011</v>
      </c>
      <c r="K1820" s="101">
        <v>1290</v>
      </c>
      <c r="L1820" s="101">
        <v>12</v>
      </c>
      <c r="M1820" s="101">
        <v>1278</v>
      </c>
      <c r="N1820" s="101"/>
      <c r="O1820" s="101"/>
      <c r="P1820" s="101"/>
      <c r="Q1820" s="101"/>
      <c r="R1820" s="101"/>
      <c r="S1820" s="101"/>
      <c r="T1820" s="101"/>
      <c r="U1820" s="101"/>
      <c r="V1820" s="101"/>
      <c r="W1820" s="19"/>
      <c r="X1820" s="17"/>
      <c r="Y1820" s="5">
        <f t="shared" si="168"/>
        <v>0</v>
      </c>
      <c r="Z1820" s="5">
        <f t="shared" si="169"/>
        <v>0</v>
      </c>
      <c r="AA1820" s="5">
        <f t="shared" si="170"/>
        <v>0</v>
      </c>
      <c r="AB1820" s="5">
        <f t="shared" si="171"/>
        <v>0</v>
      </c>
      <c r="AC1820" s="5"/>
      <c r="AD1820" s="5">
        <v>0</v>
      </c>
      <c r="AE1820" s="5">
        <f t="shared" si="172"/>
        <v>0</v>
      </c>
      <c r="AF1820" s="70">
        <v>0</v>
      </c>
      <c r="AG1820" s="17"/>
      <c r="AH1820" s="18"/>
      <c r="AI1820" s="109" t="s">
        <v>4336</v>
      </c>
      <c r="AJ1820" s="110" t="s">
        <v>4337</v>
      </c>
      <c r="AK1820" s="45"/>
      <c r="AL1820" s="17"/>
      <c r="AM1820" s="100" t="s">
        <v>1135</v>
      </c>
      <c r="AN1820" s="19"/>
      <c r="AO1820" s="19"/>
      <c r="AP1820" s="19"/>
      <c r="AQ1820" s="19"/>
      <c r="AR1820" s="19"/>
      <c r="AS1820" s="19"/>
      <c r="AT1820" s="19"/>
      <c r="AU1820" s="19"/>
      <c r="AV1820" s="19"/>
      <c r="AW1820" s="19"/>
      <c r="AX1820" s="107"/>
      <c r="AY1820" s="107"/>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39"/>
      <c r="CO1820" s="138"/>
      <c r="CP1820" s="139"/>
      <c r="CQ1820" s="138"/>
      <c r="CR1820" s="139"/>
      <c r="CS1820" s="138"/>
      <c r="CT1820" s="72"/>
      <c r="CU1820" s="139"/>
      <c r="CV1820" s="99">
        <f t="shared" si="173"/>
        <v>0</v>
      </c>
      <c r="CW1820" s="139"/>
      <c r="CX1820" s="138"/>
      <c r="CY1820" s="138"/>
      <c r="CZ1820" s="138"/>
      <c r="DA1820" s="139"/>
      <c r="DB1820" s="138"/>
      <c r="DC1820" s="45"/>
      <c r="DD1820" s="138"/>
      <c r="DE1820" s="45"/>
      <c r="DF1820" s="46"/>
    </row>
    <row r="1821" spans="1:110" s="42" customFormat="1" ht="108" x14ac:dyDescent="0.2">
      <c r="A1821" s="89">
        <v>40732</v>
      </c>
      <c r="B1821" s="90" t="s">
        <v>2226</v>
      </c>
      <c r="C1821" s="90" t="s">
        <v>2204</v>
      </c>
      <c r="D1821" s="90" t="s">
        <v>4264</v>
      </c>
      <c r="E1821" s="90" t="str">
        <f>VLOOKUP(B1821&amp;C1821,Divipola!$C$2:$F$1138,4,FALSE)</f>
        <v>68773</v>
      </c>
      <c r="F1821" s="4"/>
      <c r="G1821" s="101"/>
      <c r="H1821" s="101"/>
      <c r="I1821" s="101"/>
      <c r="J1821" s="101">
        <v>8980</v>
      </c>
      <c r="K1821" s="101">
        <v>1796</v>
      </c>
      <c r="L1821" s="101"/>
      <c r="M1821" s="101">
        <v>1796</v>
      </c>
      <c r="N1821" s="208"/>
      <c r="O1821" s="208"/>
      <c r="P1821" s="208"/>
      <c r="Q1821" s="208"/>
      <c r="R1821" s="208"/>
      <c r="S1821" s="208"/>
      <c r="T1821" s="208"/>
      <c r="U1821" s="208"/>
      <c r="V1821" s="208"/>
      <c r="W1821" s="19"/>
      <c r="X1821" s="17"/>
      <c r="Y1821" s="5">
        <f t="shared" si="168"/>
        <v>0</v>
      </c>
      <c r="Z1821" s="5">
        <f t="shared" si="169"/>
        <v>0</v>
      </c>
      <c r="AA1821" s="5">
        <f t="shared" si="170"/>
        <v>0</v>
      </c>
      <c r="AB1821" s="5">
        <f t="shared" si="171"/>
        <v>0</v>
      </c>
      <c r="AC1821" s="143">
        <f>120*261000</f>
        <v>31320000</v>
      </c>
      <c r="AD1821" s="5">
        <v>15000000</v>
      </c>
      <c r="AE1821" s="5">
        <f t="shared" si="172"/>
        <v>46320000</v>
      </c>
      <c r="AF1821" s="70">
        <v>0</v>
      </c>
      <c r="AG1821" s="17"/>
      <c r="AH1821" s="18"/>
      <c r="AI1821" s="95" t="s">
        <v>4346</v>
      </c>
      <c r="AJ1821" s="96" t="s">
        <v>4347</v>
      </c>
      <c r="AK1821" s="45"/>
      <c r="AL1821" s="17"/>
      <c r="AM1821" s="100" t="s">
        <v>1</v>
      </c>
      <c r="AN1821" s="19"/>
      <c r="AO1821" s="19"/>
      <c r="AP1821" s="19"/>
      <c r="AQ1821" s="19"/>
      <c r="AR1821" s="19"/>
      <c r="AS1821" s="19"/>
      <c r="AT1821" s="19"/>
      <c r="AU1821" s="19"/>
      <c r="AV1821" s="19"/>
      <c r="AW1821" s="19"/>
      <c r="AX1821" s="107"/>
      <c r="AY1821" s="107"/>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39"/>
      <c r="CO1821" s="138"/>
      <c r="CP1821" s="139"/>
      <c r="CQ1821" s="138"/>
      <c r="CR1821" s="139"/>
      <c r="CS1821" s="138"/>
      <c r="CT1821" s="72"/>
      <c r="CU1821" s="139"/>
      <c r="CV1821" s="99">
        <f t="shared" si="173"/>
        <v>0</v>
      </c>
      <c r="CW1821" s="139"/>
      <c r="CX1821" s="138"/>
      <c r="CY1821" s="138"/>
      <c r="CZ1821" s="138"/>
      <c r="DA1821" s="139"/>
      <c r="DB1821" s="138"/>
      <c r="DC1821" s="45"/>
      <c r="DD1821" s="138"/>
      <c r="DE1821" s="45"/>
      <c r="DF1821" s="46"/>
    </row>
    <row r="1822" spans="1:110" s="42" customFormat="1" ht="72" x14ac:dyDescent="0.2">
      <c r="A1822" s="89">
        <v>40733</v>
      </c>
      <c r="B1822" s="90" t="s">
        <v>4352</v>
      </c>
      <c r="C1822" s="90" t="s">
        <v>4358</v>
      </c>
      <c r="D1822" s="90" t="s">
        <v>4340</v>
      </c>
      <c r="E1822" s="90" t="str">
        <f>VLOOKUP(B1822&amp;C1822,Divipola!$C$2:$F$1138,4,FALSE)</f>
        <v>13001</v>
      </c>
      <c r="F1822" s="4"/>
      <c r="G1822" s="208">
        <v>1</v>
      </c>
      <c r="H1822" s="208"/>
      <c r="I1822" s="208"/>
      <c r="J1822" s="208"/>
      <c r="K1822" s="208"/>
      <c r="L1822" s="208"/>
      <c r="M1822" s="208"/>
      <c r="N1822" s="208"/>
      <c r="O1822" s="208"/>
      <c r="P1822" s="208"/>
      <c r="Q1822" s="208"/>
      <c r="R1822" s="208"/>
      <c r="S1822" s="208"/>
      <c r="T1822" s="208"/>
      <c r="U1822" s="208"/>
      <c r="V1822" s="208"/>
      <c r="W1822" s="19"/>
      <c r="X1822" s="17"/>
      <c r="Y1822" s="5">
        <f t="shared" ref="Y1822:Y1885" si="174">CV1822</f>
        <v>0</v>
      </c>
      <c r="Z1822" s="5">
        <f t="shared" ref="Z1822:Z1885" si="175">CZ1822</f>
        <v>0</v>
      </c>
      <c r="AA1822" s="5">
        <f t="shared" ref="AA1822:AA1885" si="176">DB1822+DD1822</f>
        <v>0</v>
      </c>
      <c r="AB1822" s="5">
        <f t="shared" ref="AB1822:AB1885" si="177">CX1822</f>
        <v>0</v>
      </c>
      <c r="AC1822" s="5"/>
      <c r="AD1822" s="5">
        <v>0</v>
      </c>
      <c r="AE1822" s="5">
        <f t="shared" ref="AE1822:AE1885" si="178">Y1822+Z1822+AA1822+AB1822+AC1822+AD1822</f>
        <v>0</v>
      </c>
      <c r="AF1822" s="70">
        <v>0</v>
      </c>
      <c r="AG1822" s="17"/>
      <c r="AH1822" s="18"/>
      <c r="AI1822" s="109" t="s">
        <v>4336</v>
      </c>
      <c r="AJ1822" s="110" t="s">
        <v>4337</v>
      </c>
      <c r="AK1822" s="45"/>
      <c r="AL1822" s="17"/>
      <c r="AM1822" s="100" t="s">
        <v>1140</v>
      </c>
      <c r="AN1822" s="19"/>
      <c r="AO1822" s="19"/>
      <c r="AP1822" s="19"/>
      <c r="AQ1822" s="19"/>
      <c r="AR1822" s="19"/>
      <c r="AS1822" s="19"/>
      <c r="AT1822" s="19"/>
      <c r="AU1822" s="19"/>
      <c r="AV1822" s="19"/>
      <c r="AW1822" s="19"/>
      <c r="AX1822" s="107"/>
      <c r="AY1822" s="107"/>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39"/>
      <c r="CO1822" s="138"/>
      <c r="CP1822" s="139"/>
      <c r="CQ1822" s="138"/>
      <c r="CR1822" s="139"/>
      <c r="CS1822" s="138"/>
      <c r="CT1822" s="72"/>
      <c r="CU1822" s="139"/>
      <c r="CV1822" s="99">
        <f t="shared" si="173"/>
        <v>0</v>
      </c>
      <c r="CW1822" s="139"/>
      <c r="CX1822" s="138"/>
      <c r="CY1822" s="138"/>
      <c r="CZ1822" s="138"/>
      <c r="DA1822" s="139"/>
      <c r="DB1822" s="138"/>
      <c r="DC1822" s="45"/>
      <c r="DD1822" s="138"/>
      <c r="DE1822" s="45"/>
      <c r="DF1822" s="46"/>
    </row>
    <row r="1823" spans="1:110" s="42" customFormat="1" ht="84" x14ac:dyDescent="0.2">
      <c r="A1823" s="89">
        <v>40733</v>
      </c>
      <c r="B1823" s="90" t="s">
        <v>860</v>
      </c>
      <c r="C1823" s="90" t="s">
        <v>2859</v>
      </c>
      <c r="D1823" s="90" t="s">
        <v>4264</v>
      </c>
      <c r="E1823" s="90" t="str">
        <f>VLOOKUP(B1823&amp;C1823,Divipola!$C$2:$F$1138,4,FALSE)</f>
        <v>50001</v>
      </c>
      <c r="F1823" s="4"/>
      <c r="G1823" s="101"/>
      <c r="H1823" s="101"/>
      <c r="I1823" s="101"/>
      <c r="J1823" s="101">
        <v>200</v>
      </c>
      <c r="K1823" s="101">
        <v>40</v>
      </c>
      <c r="L1823" s="101"/>
      <c r="M1823" s="101">
        <v>40</v>
      </c>
      <c r="N1823" s="208"/>
      <c r="O1823" s="208"/>
      <c r="P1823" s="208">
        <v>2</v>
      </c>
      <c r="Q1823" s="208"/>
      <c r="R1823" s="208"/>
      <c r="S1823" s="208"/>
      <c r="T1823" s="208">
        <v>1</v>
      </c>
      <c r="U1823" s="208">
        <v>1</v>
      </c>
      <c r="V1823" s="208"/>
      <c r="W1823" s="19"/>
      <c r="X1823" s="17"/>
      <c r="Y1823" s="5">
        <f t="shared" si="174"/>
        <v>0</v>
      </c>
      <c r="Z1823" s="5">
        <f t="shared" si="175"/>
        <v>0</v>
      </c>
      <c r="AA1823" s="5">
        <f t="shared" si="176"/>
        <v>0</v>
      </c>
      <c r="AB1823" s="5">
        <f t="shared" si="177"/>
        <v>0</v>
      </c>
      <c r="AC1823" s="5"/>
      <c r="AD1823" s="5">
        <v>0</v>
      </c>
      <c r="AE1823" s="5">
        <f t="shared" si="178"/>
        <v>0</v>
      </c>
      <c r="AF1823" s="70">
        <v>0</v>
      </c>
      <c r="AG1823" s="17"/>
      <c r="AH1823" s="18"/>
      <c r="AI1823" s="47" t="s">
        <v>4336</v>
      </c>
      <c r="AJ1823" s="73" t="s">
        <v>4337</v>
      </c>
      <c r="AK1823" s="45"/>
      <c r="AL1823" s="17"/>
      <c r="AM1823" s="100" t="s">
        <v>121</v>
      </c>
      <c r="AN1823" s="19"/>
      <c r="AO1823" s="19"/>
      <c r="AP1823" s="19"/>
      <c r="AQ1823" s="19"/>
      <c r="AR1823" s="19"/>
      <c r="AS1823" s="19"/>
      <c r="AT1823" s="19"/>
      <c r="AU1823" s="19"/>
      <c r="AV1823" s="19"/>
      <c r="AW1823" s="19"/>
      <c r="AX1823" s="107"/>
      <c r="AY1823" s="107"/>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39"/>
      <c r="CO1823" s="138"/>
      <c r="CP1823" s="139"/>
      <c r="CQ1823" s="138"/>
      <c r="CR1823" s="139"/>
      <c r="CS1823" s="138"/>
      <c r="CT1823" s="72"/>
      <c r="CU1823" s="139"/>
      <c r="CV1823" s="99">
        <f t="shared" si="173"/>
        <v>0</v>
      </c>
      <c r="CW1823" s="139"/>
      <c r="CX1823" s="138"/>
      <c r="CY1823" s="138"/>
      <c r="CZ1823" s="138"/>
      <c r="DA1823" s="139"/>
      <c r="DB1823" s="138"/>
      <c r="DC1823" s="45"/>
      <c r="DD1823" s="138"/>
      <c r="DE1823" s="45"/>
      <c r="DF1823" s="46"/>
    </row>
    <row r="1824" spans="1:110" s="42" customFormat="1" ht="72" x14ac:dyDescent="0.2">
      <c r="A1824" s="89">
        <v>40734</v>
      </c>
      <c r="B1824" s="90" t="s">
        <v>2225</v>
      </c>
      <c r="C1824" s="90" t="s">
        <v>2205</v>
      </c>
      <c r="D1824" s="90" t="s">
        <v>3346</v>
      </c>
      <c r="E1824" s="90" t="str">
        <f>VLOOKUP(B1824&amp;C1824,Divipola!$C$2:$F$1138,4,FALSE)</f>
        <v>27001</v>
      </c>
      <c r="F1824" s="4"/>
      <c r="G1824" s="101"/>
      <c r="H1824" s="101"/>
      <c r="I1824" s="101"/>
      <c r="J1824" s="101">
        <v>239</v>
      </c>
      <c r="K1824" s="101">
        <v>51</v>
      </c>
      <c r="L1824" s="101"/>
      <c r="M1824" s="101">
        <v>40</v>
      </c>
      <c r="N1824" s="101"/>
      <c r="O1824" s="101"/>
      <c r="P1824" s="101"/>
      <c r="Q1824" s="101"/>
      <c r="R1824" s="101"/>
      <c r="S1824" s="101"/>
      <c r="T1824" s="101"/>
      <c r="U1824" s="101"/>
      <c r="V1824" s="101"/>
      <c r="W1824" s="19"/>
      <c r="X1824" s="17"/>
      <c r="Y1824" s="5">
        <f t="shared" si="174"/>
        <v>0</v>
      </c>
      <c r="Z1824" s="5">
        <f t="shared" si="175"/>
        <v>0</v>
      </c>
      <c r="AA1824" s="5">
        <f t="shared" si="176"/>
        <v>0</v>
      </c>
      <c r="AB1824" s="5">
        <f t="shared" si="177"/>
        <v>0</v>
      </c>
      <c r="AC1824" s="5"/>
      <c r="AD1824" s="5">
        <v>0</v>
      </c>
      <c r="AE1824" s="5">
        <f t="shared" si="178"/>
        <v>0</v>
      </c>
      <c r="AF1824" s="70">
        <v>0</v>
      </c>
      <c r="AG1824" s="17"/>
      <c r="AH1824" s="18"/>
      <c r="AI1824" s="47" t="s">
        <v>4336</v>
      </c>
      <c r="AJ1824" s="73" t="s">
        <v>4337</v>
      </c>
      <c r="AK1824" s="45"/>
      <c r="AL1824" s="17"/>
      <c r="AM1824" s="100" t="s">
        <v>106</v>
      </c>
      <c r="AN1824" s="19"/>
      <c r="AO1824" s="19"/>
      <c r="AP1824" s="19"/>
      <c r="AQ1824" s="19"/>
      <c r="AR1824" s="19"/>
      <c r="AS1824" s="19"/>
      <c r="AT1824" s="19"/>
      <c r="AU1824" s="19"/>
      <c r="AV1824" s="19"/>
      <c r="AW1824" s="19"/>
      <c r="AX1824" s="107"/>
      <c r="AY1824" s="107"/>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39"/>
      <c r="CO1824" s="138"/>
      <c r="CP1824" s="139"/>
      <c r="CQ1824" s="138"/>
      <c r="CR1824" s="139"/>
      <c r="CS1824" s="138"/>
      <c r="CT1824" s="72"/>
      <c r="CU1824" s="139"/>
      <c r="CV1824" s="99">
        <f t="shared" si="173"/>
        <v>0</v>
      </c>
      <c r="CW1824" s="139"/>
      <c r="CX1824" s="138"/>
      <c r="CY1824" s="138"/>
      <c r="CZ1824" s="138"/>
      <c r="DA1824" s="139"/>
      <c r="DB1824" s="138"/>
      <c r="DC1824" s="45"/>
      <c r="DD1824" s="138"/>
      <c r="DE1824" s="45"/>
      <c r="DF1824" s="46"/>
    </row>
    <row r="1825" spans="1:110" s="42" customFormat="1" ht="84" x14ac:dyDescent="0.2">
      <c r="A1825" s="89">
        <v>40735</v>
      </c>
      <c r="B1825" s="90" t="s">
        <v>4261</v>
      </c>
      <c r="C1825" s="90" t="s">
        <v>1326</v>
      </c>
      <c r="D1825" s="90" t="s">
        <v>4264</v>
      </c>
      <c r="E1825" s="90" t="str">
        <f>VLOOKUP(B1825&amp;C1825,Divipola!$C$2:$F$1138,4,FALSE)</f>
        <v>15774</v>
      </c>
      <c r="F1825" s="4"/>
      <c r="G1825" s="101"/>
      <c r="H1825" s="101"/>
      <c r="I1825" s="101"/>
      <c r="J1825" s="101">
        <v>1700</v>
      </c>
      <c r="K1825" s="101">
        <v>340</v>
      </c>
      <c r="L1825" s="101"/>
      <c r="M1825" s="101">
        <v>340</v>
      </c>
      <c r="N1825" s="101"/>
      <c r="O1825" s="101"/>
      <c r="P1825" s="101"/>
      <c r="Q1825" s="101"/>
      <c r="R1825" s="101"/>
      <c r="S1825" s="101"/>
      <c r="T1825" s="101"/>
      <c r="U1825" s="101"/>
      <c r="V1825" s="101"/>
      <c r="W1825" s="19"/>
      <c r="X1825" s="17"/>
      <c r="Y1825" s="5">
        <f t="shared" si="174"/>
        <v>0</v>
      </c>
      <c r="Z1825" s="5">
        <f t="shared" si="175"/>
        <v>0</v>
      </c>
      <c r="AA1825" s="5">
        <f t="shared" si="176"/>
        <v>0</v>
      </c>
      <c r="AB1825" s="5">
        <f t="shared" si="177"/>
        <v>0</v>
      </c>
      <c r="AC1825" s="5"/>
      <c r="AD1825" s="5">
        <v>0</v>
      </c>
      <c r="AE1825" s="5">
        <f t="shared" si="178"/>
        <v>0</v>
      </c>
      <c r="AF1825" s="70">
        <v>0</v>
      </c>
      <c r="AG1825" s="17"/>
      <c r="AH1825" s="18"/>
      <c r="AI1825" s="47" t="s">
        <v>4336</v>
      </c>
      <c r="AJ1825" s="73" t="s">
        <v>4337</v>
      </c>
      <c r="AK1825" s="45"/>
      <c r="AL1825" s="17"/>
      <c r="AM1825" s="100" t="s">
        <v>3754</v>
      </c>
      <c r="AN1825" s="19"/>
      <c r="AO1825" s="19"/>
      <c r="AP1825" s="19"/>
      <c r="AQ1825" s="19"/>
      <c r="AR1825" s="19"/>
      <c r="AS1825" s="19"/>
      <c r="AT1825" s="19"/>
      <c r="AU1825" s="19"/>
      <c r="AV1825" s="19"/>
      <c r="AW1825" s="19"/>
      <c r="AX1825" s="107"/>
      <c r="AY1825" s="107"/>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39"/>
      <c r="CO1825" s="138"/>
      <c r="CP1825" s="139"/>
      <c r="CQ1825" s="138"/>
      <c r="CR1825" s="139"/>
      <c r="CS1825" s="138"/>
      <c r="CT1825" s="72"/>
      <c r="CU1825" s="139"/>
      <c r="CV1825" s="99">
        <f t="shared" si="173"/>
        <v>0</v>
      </c>
      <c r="CW1825" s="139"/>
      <c r="CX1825" s="138"/>
      <c r="CY1825" s="138"/>
      <c r="CZ1825" s="138"/>
      <c r="DA1825" s="139"/>
      <c r="DB1825" s="138"/>
      <c r="DC1825" s="45"/>
      <c r="DD1825" s="138"/>
      <c r="DE1825" s="45"/>
      <c r="DF1825" s="46"/>
    </row>
    <row r="1826" spans="1:110" s="42" customFormat="1" ht="48" x14ac:dyDescent="0.2">
      <c r="A1826" s="89">
        <v>40736</v>
      </c>
      <c r="B1826" s="90" t="s">
        <v>4352</v>
      </c>
      <c r="C1826" s="90" t="s">
        <v>4318</v>
      </c>
      <c r="D1826" s="90" t="s">
        <v>3346</v>
      </c>
      <c r="E1826" s="90" t="str">
        <f>VLOOKUP(B1826&amp;C1826,Divipola!$C$2:$F$1138,4,FALSE)</f>
        <v>13549</v>
      </c>
      <c r="F1826" s="4"/>
      <c r="G1826" s="101"/>
      <c r="H1826" s="101"/>
      <c r="I1826" s="101"/>
      <c r="J1826" s="101">
        <v>50</v>
      </c>
      <c r="K1826" s="101">
        <v>10</v>
      </c>
      <c r="L1826" s="101"/>
      <c r="M1826" s="101">
        <v>10</v>
      </c>
      <c r="N1826" s="101"/>
      <c r="O1826" s="101"/>
      <c r="P1826" s="101"/>
      <c r="Q1826" s="101"/>
      <c r="R1826" s="101"/>
      <c r="S1826" s="101"/>
      <c r="T1826" s="101"/>
      <c r="U1826" s="101">
        <v>1</v>
      </c>
      <c r="V1826" s="101"/>
      <c r="W1826" s="19"/>
      <c r="X1826" s="17"/>
      <c r="Y1826" s="5">
        <f t="shared" si="174"/>
        <v>0</v>
      </c>
      <c r="Z1826" s="5">
        <f t="shared" si="175"/>
        <v>0</v>
      </c>
      <c r="AA1826" s="5">
        <f t="shared" si="176"/>
        <v>0</v>
      </c>
      <c r="AB1826" s="5">
        <f t="shared" si="177"/>
        <v>0</v>
      </c>
      <c r="AC1826" s="5"/>
      <c r="AD1826" s="5">
        <v>0</v>
      </c>
      <c r="AE1826" s="5">
        <f t="shared" si="178"/>
        <v>0</v>
      </c>
      <c r="AF1826" s="70">
        <v>0</v>
      </c>
      <c r="AG1826" s="17"/>
      <c r="AH1826" s="18"/>
      <c r="AI1826" s="47" t="s">
        <v>4336</v>
      </c>
      <c r="AJ1826" s="73" t="s">
        <v>4337</v>
      </c>
      <c r="AK1826" s="45"/>
      <c r="AL1826" s="17"/>
      <c r="AM1826" s="100" t="s">
        <v>124</v>
      </c>
      <c r="AN1826" s="19"/>
      <c r="AO1826" s="19"/>
      <c r="AP1826" s="19"/>
      <c r="AQ1826" s="19"/>
      <c r="AR1826" s="19"/>
      <c r="AS1826" s="19"/>
      <c r="AT1826" s="19"/>
      <c r="AU1826" s="19"/>
      <c r="AV1826" s="19"/>
      <c r="AW1826" s="19"/>
      <c r="AX1826" s="107"/>
      <c r="AY1826" s="107"/>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39"/>
      <c r="CO1826" s="138"/>
      <c r="CP1826" s="139"/>
      <c r="CQ1826" s="138"/>
      <c r="CR1826" s="139"/>
      <c r="CS1826" s="138"/>
      <c r="CT1826" s="72"/>
      <c r="CU1826" s="139"/>
      <c r="CV1826" s="99">
        <f t="shared" si="173"/>
        <v>0</v>
      </c>
      <c r="CW1826" s="139"/>
      <c r="CX1826" s="138"/>
      <c r="CY1826" s="138"/>
      <c r="CZ1826" s="138"/>
      <c r="DA1826" s="139"/>
      <c r="DB1826" s="138"/>
      <c r="DC1826" s="45"/>
      <c r="DD1826" s="138"/>
      <c r="DE1826" s="45"/>
      <c r="DF1826" s="46"/>
    </row>
    <row r="1827" spans="1:110" s="42" customFormat="1" ht="36" x14ac:dyDescent="0.2">
      <c r="A1827" s="89">
        <v>40736</v>
      </c>
      <c r="B1827" s="16" t="s">
        <v>4386</v>
      </c>
      <c r="C1827" s="16" t="s">
        <v>4345</v>
      </c>
      <c r="D1827" s="90" t="s">
        <v>4264</v>
      </c>
      <c r="E1827" s="90">
        <f>VLOOKUP(B1827&amp;C1827,Divipola!$C$2:$F$1138,4,FALSE)</f>
        <v>20</v>
      </c>
      <c r="F1827" s="4"/>
      <c r="G1827" s="208"/>
      <c r="H1827" s="208"/>
      <c r="I1827" s="208"/>
      <c r="J1827" s="208"/>
      <c r="K1827" s="208"/>
      <c r="L1827" s="208"/>
      <c r="M1827" s="208"/>
      <c r="N1827" s="208"/>
      <c r="O1827" s="208"/>
      <c r="P1827" s="208"/>
      <c r="Q1827" s="208"/>
      <c r="R1827" s="208"/>
      <c r="S1827" s="208"/>
      <c r="T1827" s="208"/>
      <c r="U1827" s="208"/>
      <c r="V1827" s="208"/>
      <c r="W1827" s="19"/>
      <c r="X1827" s="17"/>
      <c r="Y1827" s="5">
        <f t="shared" si="174"/>
        <v>24998000</v>
      </c>
      <c r="Z1827" s="5">
        <f t="shared" si="175"/>
        <v>0</v>
      </c>
      <c r="AA1827" s="5">
        <f t="shared" si="176"/>
        <v>68208000</v>
      </c>
      <c r="AB1827" s="5">
        <f t="shared" si="177"/>
        <v>0</v>
      </c>
      <c r="AC1827" s="143">
        <f>800*22272+800*32248</f>
        <v>43616000</v>
      </c>
      <c r="AD1827" s="5">
        <v>0</v>
      </c>
      <c r="AE1827" s="5">
        <f t="shared" si="178"/>
        <v>136822000</v>
      </c>
      <c r="AF1827" s="70">
        <v>0</v>
      </c>
      <c r="AG1827" s="17"/>
      <c r="AH1827" s="18"/>
      <c r="AI1827" s="47" t="s">
        <v>4346</v>
      </c>
      <c r="AJ1827" s="73" t="s">
        <v>4347</v>
      </c>
      <c r="AK1827" s="45"/>
      <c r="AL1827" s="17"/>
      <c r="AM1827" s="112" t="s">
        <v>895</v>
      </c>
      <c r="AN1827" s="19"/>
      <c r="AO1827" s="19"/>
      <c r="AP1827" s="19"/>
      <c r="AQ1827" s="19"/>
      <c r="AR1827" s="19"/>
      <c r="AS1827" s="19"/>
      <c r="AT1827" s="19"/>
      <c r="AU1827" s="19"/>
      <c r="AV1827" s="19"/>
      <c r="AW1827" s="19"/>
      <c r="AX1827" s="107"/>
      <c r="AY1827" s="107"/>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v>50</v>
      </c>
      <c r="CA1827" s="19">
        <f>50*499960</f>
        <v>24998000</v>
      </c>
      <c r="CB1827" s="19"/>
      <c r="CC1827" s="19"/>
      <c r="CD1827" s="19"/>
      <c r="CE1827" s="19"/>
      <c r="CF1827" s="19"/>
      <c r="CG1827" s="19"/>
      <c r="CH1827" s="19"/>
      <c r="CI1827" s="19"/>
      <c r="CJ1827" s="19"/>
      <c r="CK1827" s="19"/>
      <c r="CL1827" s="19"/>
      <c r="CM1827" s="19"/>
      <c r="CN1827" s="139"/>
      <c r="CO1827" s="138"/>
      <c r="CP1827" s="139"/>
      <c r="CQ1827" s="138"/>
      <c r="CR1827" s="139"/>
      <c r="CS1827" s="138"/>
      <c r="CT1827" s="72"/>
      <c r="CU1827" s="139"/>
      <c r="CV1827" s="99">
        <f t="shared" si="173"/>
        <v>24998000</v>
      </c>
      <c r="CW1827" s="139"/>
      <c r="CX1827" s="138"/>
      <c r="CY1827" s="138"/>
      <c r="CZ1827" s="138"/>
      <c r="DA1827" s="139"/>
      <c r="DB1827" s="138"/>
      <c r="DC1827" s="45">
        <v>3000</v>
      </c>
      <c r="DD1827" s="138">
        <f>3000*21924+12000*203</f>
        <v>68208000</v>
      </c>
      <c r="DE1827" s="45"/>
      <c r="DF1827" s="46"/>
    </row>
    <row r="1828" spans="1:110" s="42" customFormat="1" ht="24" x14ac:dyDescent="0.2">
      <c r="A1828" s="89">
        <v>40736</v>
      </c>
      <c r="B1828" s="16" t="s">
        <v>4308</v>
      </c>
      <c r="C1828" s="16" t="s">
        <v>3891</v>
      </c>
      <c r="D1828" s="90" t="s">
        <v>4264</v>
      </c>
      <c r="E1828" s="90" t="str">
        <f>VLOOKUP(B1828&amp;C1828,Divipola!$C$2:$F$1138,4,FALSE)</f>
        <v>47205</v>
      </c>
      <c r="F1828" s="4"/>
      <c r="G1828" s="208"/>
      <c r="H1828" s="208"/>
      <c r="I1828" s="208"/>
      <c r="J1828" s="208"/>
      <c r="K1828" s="208"/>
      <c r="L1828" s="208"/>
      <c r="M1828" s="208"/>
      <c r="N1828" s="208"/>
      <c r="O1828" s="208"/>
      <c r="P1828" s="208"/>
      <c r="Q1828" s="208"/>
      <c r="R1828" s="208"/>
      <c r="S1828" s="208"/>
      <c r="T1828" s="208"/>
      <c r="U1828" s="208"/>
      <c r="V1828" s="208"/>
      <c r="W1828" s="19"/>
      <c r="X1828" s="17"/>
      <c r="Y1828" s="5">
        <f t="shared" si="174"/>
        <v>0</v>
      </c>
      <c r="Z1828" s="5">
        <f t="shared" si="175"/>
        <v>0</v>
      </c>
      <c r="AA1828" s="5">
        <f t="shared" si="176"/>
        <v>0</v>
      </c>
      <c r="AB1828" s="5">
        <f t="shared" si="177"/>
        <v>0</v>
      </c>
      <c r="AC1828" s="5"/>
      <c r="AD1828" s="5">
        <v>10000000</v>
      </c>
      <c r="AE1828" s="5">
        <f t="shared" si="178"/>
        <v>10000000</v>
      </c>
      <c r="AF1828" s="70">
        <v>0</v>
      </c>
      <c r="AG1828" s="17"/>
      <c r="AH1828" s="18"/>
      <c r="AI1828" s="95" t="s">
        <v>4346</v>
      </c>
      <c r="AJ1828" s="96" t="s">
        <v>4347</v>
      </c>
      <c r="AK1828" s="45"/>
      <c r="AL1828" s="17"/>
      <c r="AM1828" s="20" t="s">
        <v>3760</v>
      </c>
      <c r="AN1828" s="19"/>
      <c r="AO1828" s="19"/>
      <c r="AP1828" s="19"/>
      <c r="AQ1828" s="19"/>
      <c r="AR1828" s="19"/>
      <c r="AS1828" s="19"/>
      <c r="AT1828" s="19"/>
      <c r="AU1828" s="19"/>
      <c r="AV1828" s="19"/>
      <c r="AW1828" s="19"/>
      <c r="AX1828" s="107"/>
      <c r="AY1828" s="107"/>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39"/>
      <c r="CO1828" s="138"/>
      <c r="CP1828" s="139"/>
      <c r="CQ1828" s="138"/>
      <c r="CR1828" s="139"/>
      <c r="CS1828" s="138"/>
      <c r="CT1828" s="72"/>
      <c r="CU1828" s="139"/>
      <c r="CV1828" s="99">
        <f t="shared" si="173"/>
        <v>0</v>
      </c>
      <c r="CW1828" s="139"/>
      <c r="CX1828" s="138"/>
      <c r="CY1828" s="138"/>
      <c r="CZ1828" s="138"/>
      <c r="DA1828" s="139"/>
      <c r="DB1828" s="138"/>
      <c r="DC1828" s="45"/>
      <c r="DD1828" s="138"/>
      <c r="DE1828" s="45"/>
      <c r="DF1828" s="46"/>
    </row>
    <row r="1829" spans="1:110" s="42" customFormat="1" ht="60" x14ac:dyDescent="0.2">
      <c r="A1829" s="89">
        <v>40736</v>
      </c>
      <c r="B1829" s="16" t="s">
        <v>2984</v>
      </c>
      <c r="C1829" s="16" t="s">
        <v>4345</v>
      </c>
      <c r="D1829" s="16" t="s">
        <v>1110</v>
      </c>
      <c r="E1829" s="90">
        <f>VLOOKUP(B1829&amp;C1829,Divipola!$C$2:$F$1138,4,FALSE)</f>
        <v>88</v>
      </c>
      <c r="F1829" s="4"/>
      <c r="G1829" s="208"/>
      <c r="H1829" s="208"/>
      <c r="I1829" s="208"/>
      <c r="J1829" s="208"/>
      <c r="K1829" s="208"/>
      <c r="L1829" s="208"/>
      <c r="M1829" s="208"/>
      <c r="N1829" s="208"/>
      <c r="O1829" s="208"/>
      <c r="P1829" s="208"/>
      <c r="Q1829" s="208"/>
      <c r="R1829" s="208"/>
      <c r="S1829" s="208"/>
      <c r="T1829" s="208"/>
      <c r="U1829" s="208"/>
      <c r="V1829" s="208"/>
      <c r="W1829" s="19"/>
      <c r="X1829" s="17"/>
      <c r="Y1829" s="5">
        <f t="shared" si="174"/>
        <v>17121000</v>
      </c>
      <c r="Z1829" s="5">
        <f t="shared" si="175"/>
        <v>0</v>
      </c>
      <c r="AA1829" s="5">
        <f t="shared" si="176"/>
        <v>0</v>
      </c>
      <c r="AB1829" s="5">
        <f t="shared" si="177"/>
        <v>0</v>
      </c>
      <c r="AC1829" s="5">
        <v>16093260</v>
      </c>
      <c r="AD1829" s="5">
        <v>0</v>
      </c>
      <c r="AE1829" s="5">
        <f t="shared" si="178"/>
        <v>33214260</v>
      </c>
      <c r="AF1829" s="70">
        <v>0</v>
      </c>
      <c r="AG1829" s="17"/>
      <c r="AH1829" s="18"/>
      <c r="AI1829" s="95" t="s">
        <v>4346</v>
      </c>
      <c r="AJ1829" s="96" t="s">
        <v>4347</v>
      </c>
      <c r="AK1829" s="45"/>
      <c r="AL1829" s="17"/>
      <c r="AM1829" s="20" t="s">
        <v>2414</v>
      </c>
      <c r="AN1829" s="19"/>
      <c r="AO1829" s="19"/>
      <c r="AP1829" s="19"/>
      <c r="AQ1829" s="19"/>
      <c r="AR1829" s="19"/>
      <c r="AS1829" s="19"/>
      <c r="AT1829" s="19"/>
      <c r="AU1829" s="19"/>
      <c r="AV1829" s="19"/>
      <c r="AW1829" s="19"/>
      <c r="AX1829" s="19"/>
      <c r="AY1829" s="19"/>
      <c r="AZ1829" s="19">
        <v>200</v>
      </c>
      <c r="BA1829" s="19">
        <f>200*56000</f>
        <v>11200000</v>
      </c>
      <c r="BB1829" s="19">
        <v>6</v>
      </c>
      <c r="BC1829" s="19">
        <f>6*56000</f>
        <v>336000</v>
      </c>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c r="CA1829" s="19"/>
      <c r="CB1829" s="19"/>
      <c r="CC1829" s="19"/>
      <c r="CD1829" s="19"/>
      <c r="CE1829" s="19"/>
      <c r="CF1829" s="19"/>
      <c r="CG1829" s="19"/>
      <c r="CH1829" s="19">
        <v>200</v>
      </c>
      <c r="CI1829" s="19">
        <f>200*18000</f>
        <v>3600000</v>
      </c>
      <c r="CJ1829" s="19"/>
      <c r="CK1829" s="19"/>
      <c r="CL1829" s="19"/>
      <c r="CM1829" s="19"/>
      <c r="CN1829" s="139"/>
      <c r="CO1829" s="138"/>
      <c r="CP1829" s="139"/>
      <c r="CQ1829" s="138"/>
      <c r="CR1829" s="139">
        <v>50</v>
      </c>
      <c r="CS1829" s="138">
        <f>50*39700</f>
        <v>1985000</v>
      </c>
      <c r="CT1829" s="72"/>
      <c r="CU1829" s="139"/>
      <c r="CV1829" s="99">
        <f t="shared" si="173"/>
        <v>17121000</v>
      </c>
      <c r="CW1829" s="139"/>
      <c r="CX1829" s="138"/>
      <c r="CY1829" s="138"/>
      <c r="CZ1829" s="138"/>
      <c r="DA1829" s="139"/>
      <c r="DB1829" s="138"/>
      <c r="DC1829" s="45"/>
      <c r="DD1829" s="138"/>
      <c r="DE1829" s="45"/>
      <c r="DF1829" s="46"/>
    </row>
    <row r="1830" spans="1:110" s="42" customFormat="1" ht="96" x14ac:dyDescent="0.2">
      <c r="A1830" s="89">
        <v>40737</v>
      </c>
      <c r="B1830" s="90" t="s">
        <v>4352</v>
      </c>
      <c r="C1830" s="90" t="s">
        <v>4358</v>
      </c>
      <c r="D1830" s="90" t="s">
        <v>4264</v>
      </c>
      <c r="E1830" s="90" t="str">
        <f>VLOOKUP(B1830&amp;C1830,Divipola!$C$2:$F$1138,4,FALSE)</f>
        <v>13001</v>
      </c>
      <c r="F1830" s="4"/>
      <c r="G1830" s="101"/>
      <c r="H1830" s="101"/>
      <c r="I1830" s="101"/>
      <c r="J1830" s="101"/>
      <c r="K1830" s="101"/>
      <c r="L1830" s="101"/>
      <c r="M1830" s="101"/>
      <c r="N1830" s="101"/>
      <c r="O1830" s="101"/>
      <c r="P1830" s="101"/>
      <c r="Q1830" s="101"/>
      <c r="R1830" s="101"/>
      <c r="S1830" s="101"/>
      <c r="T1830" s="101"/>
      <c r="U1830" s="101"/>
      <c r="V1830" s="101"/>
      <c r="W1830" s="19"/>
      <c r="X1830" s="17"/>
      <c r="Y1830" s="5">
        <f t="shared" si="174"/>
        <v>0</v>
      </c>
      <c r="Z1830" s="5">
        <f t="shared" si="175"/>
        <v>0</v>
      </c>
      <c r="AA1830" s="5">
        <f t="shared" si="176"/>
        <v>0</v>
      </c>
      <c r="AB1830" s="5">
        <f t="shared" si="177"/>
        <v>0</v>
      </c>
      <c r="AC1830" s="5"/>
      <c r="AD1830" s="5">
        <v>0</v>
      </c>
      <c r="AE1830" s="5">
        <f t="shared" si="178"/>
        <v>0</v>
      </c>
      <c r="AF1830" s="70">
        <v>0</v>
      </c>
      <c r="AG1830" s="17"/>
      <c r="AH1830" s="18"/>
      <c r="AI1830" s="47" t="s">
        <v>4336</v>
      </c>
      <c r="AJ1830" s="73" t="s">
        <v>4337</v>
      </c>
      <c r="AK1830" s="45"/>
      <c r="AL1830" s="17"/>
      <c r="AM1830" s="100" t="s">
        <v>126</v>
      </c>
      <c r="AN1830" s="19"/>
      <c r="AO1830" s="19"/>
      <c r="AP1830" s="19"/>
      <c r="AQ1830" s="19"/>
      <c r="AR1830" s="19"/>
      <c r="AS1830" s="19"/>
      <c r="AT1830" s="19"/>
      <c r="AU1830" s="19"/>
      <c r="AV1830" s="19"/>
      <c r="AW1830" s="19"/>
      <c r="AX1830" s="107"/>
      <c r="AY1830" s="107"/>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39"/>
      <c r="CO1830" s="138"/>
      <c r="CP1830" s="139"/>
      <c r="CQ1830" s="138"/>
      <c r="CR1830" s="139"/>
      <c r="CS1830" s="138"/>
      <c r="CT1830" s="72"/>
      <c r="CU1830" s="139"/>
      <c r="CV1830" s="99">
        <f t="shared" si="173"/>
        <v>0</v>
      </c>
      <c r="CW1830" s="139"/>
      <c r="CX1830" s="138"/>
      <c r="CY1830" s="138"/>
      <c r="CZ1830" s="138"/>
      <c r="DA1830" s="139"/>
      <c r="DB1830" s="138"/>
      <c r="DC1830" s="45"/>
      <c r="DD1830" s="138"/>
      <c r="DE1830" s="45"/>
      <c r="DF1830" s="46"/>
    </row>
    <row r="1831" spans="1:110" s="42" customFormat="1" ht="48" x14ac:dyDescent="0.2">
      <c r="A1831" s="89">
        <v>40737</v>
      </c>
      <c r="B1831" s="16" t="s">
        <v>3533</v>
      </c>
      <c r="C1831" s="16" t="s">
        <v>862</v>
      </c>
      <c r="D1831" s="90" t="s">
        <v>4264</v>
      </c>
      <c r="E1831" s="90" t="str">
        <f>VLOOKUP(B1831&amp;C1831,Divipola!$C$2:$F$1138,4,FALSE)</f>
        <v>17001</v>
      </c>
      <c r="F1831" s="4"/>
      <c r="G1831" s="208"/>
      <c r="H1831" s="208"/>
      <c r="I1831" s="208"/>
      <c r="J1831" s="208"/>
      <c r="K1831" s="208"/>
      <c r="L1831" s="208"/>
      <c r="M1831" s="208"/>
      <c r="N1831" s="208"/>
      <c r="O1831" s="208"/>
      <c r="P1831" s="208"/>
      <c r="Q1831" s="208"/>
      <c r="R1831" s="208"/>
      <c r="S1831" s="208"/>
      <c r="T1831" s="208"/>
      <c r="U1831" s="208"/>
      <c r="V1831" s="208"/>
      <c r="W1831" s="19"/>
      <c r="X1831" s="17"/>
      <c r="Y1831" s="5">
        <f t="shared" si="174"/>
        <v>0</v>
      </c>
      <c r="Z1831" s="5">
        <f t="shared" si="175"/>
        <v>0</v>
      </c>
      <c r="AA1831" s="5">
        <f t="shared" si="176"/>
        <v>0</v>
      </c>
      <c r="AB1831" s="5">
        <f t="shared" si="177"/>
        <v>0</v>
      </c>
      <c r="AC1831" s="5"/>
      <c r="AD1831" s="5">
        <v>180000000</v>
      </c>
      <c r="AE1831" s="5">
        <f t="shared" si="178"/>
        <v>180000000</v>
      </c>
      <c r="AF1831" s="70">
        <v>0</v>
      </c>
      <c r="AG1831" s="89">
        <v>40625</v>
      </c>
      <c r="AH1831" s="94"/>
      <c r="AI1831" s="95" t="s">
        <v>4346</v>
      </c>
      <c r="AJ1831" s="96" t="s">
        <v>4347</v>
      </c>
      <c r="AK1831" s="45"/>
      <c r="AL1831" s="17"/>
      <c r="AM1831" s="20" t="s">
        <v>4824</v>
      </c>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39"/>
      <c r="CE1831" s="138"/>
      <c r="CF1831" s="139"/>
      <c r="CG1831" s="138"/>
      <c r="CH1831" s="139"/>
      <c r="CI1831" s="138"/>
      <c r="CJ1831" s="72"/>
      <c r="CK1831" s="139"/>
      <c r="CL1831" s="71"/>
      <c r="CM1831" s="139"/>
      <c r="CN1831" s="138"/>
      <c r="CO1831" s="138"/>
      <c r="CP1831" s="138"/>
      <c r="CQ1831" s="139"/>
      <c r="CR1831" s="138"/>
      <c r="CS1831" s="45"/>
      <c r="CT1831" s="138"/>
      <c r="CU1831" s="45"/>
      <c r="CV1831" s="99">
        <f t="shared" si="173"/>
        <v>0</v>
      </c>
      <c r="CW1831" s="139"/>
      <c r="CX1831" s="138"/>
      <c r="CY1831" s="138"/>
      <c r="CZ1831" s="138"/>
      <c r="DA1831" s="139"/>
      <c r="DB1831" s="138"/>
      <c r="DC1831" s="45"/>
      <c r="DD1831" s="138"/>
      <c r="DE1831" s="45"/>
      <c r="DF1831" s="46"/>
    </row>
    <row r="1832" spans="1:110" s="42" customFormat="1" ht="48" x14ac:dyDescent="0.2">
      <c r="A1832" s="89">
        <v>40737</v>
      </c>
      <c r="B1832" s="90" t="s">
        <v>4353</v>
      </c>
      <c r="C1832" s="90" t="s">
        <v>2223</v>
      </c>
      <c r="D1832" s="90" t="s">
        <v>4264</v>
      </c>
      <c r="E1832" s="90" t="str">
        <f>VLOOKUP(B1832&amp;C1832,Divipola!$C$2:$F$1138,4,FALSE)</f>
        <v>85001</v>
      </c>
      <c r="F1832" s="4"/>
      <c r="G1832" s="101"/>
      <c r="H1832" s="101"/>
      <c r="I1832" s="101"/>
      <c r="J1832" s="101">
        <v>667</v>
      </c>
      <c r="K1832" s="101">
        <v>173</v>
      </c>
      <c r="L1832" s="101"/>
      <c r="M1832" s="101">
        <v>173</v>
      </c>
      <c r="N1832" s="101"/>
      <c r="O1832" s="101"/>
      <c r="P1832" s="101"/>
      <c r="Q1832" s="101"/>
      <c r="R1832" s="101"/>
      <c r="S1832" s="101"/>
      <c r="T1832" s="101"/>
      <c r="U1832" s="101"/>
      <c r="V1832" s="101"/>
      <c r="W1832" s="19"/>
      <c r="X1832" s="17"/>
      <c r="Y1832" s="5">
        <f t="shared" si="174"/>
        <v>0</v>
      </c>
      <c r="Z1832" s="5">
        <f t="shared" si="175"/>
        <v>0</v>
      </c>
      <c r="AA1832" s="5">
        <f t="shared" si="176"/>
        <v>0</v>
      </c>
      <c r="AB1832" s="5">
        <f t="shared" si="177"/>
        <v>0</v>
      </c>
      <c r="AC1832" s="5"/>
      <c r="AD1832" s="5">
        <v>0</v>
      </c>
      <c r="AE1832" s="5">
        <f t="shared" si="178"/>
        <v>0</v>
      </c>
      <c r="AF1832" s="70">
        <v>0</v>
      </c>
      <c r="AG1832" s="17"/>
      <c r="AH1832" s="18"/>
      <c r="AI1832" s="47" t="s">
        <v>4336</v>
      </c>
      <c r="AJ1832" s="73" t="s">
        <v>4337</v>
      </c>
      <c r="AK1832" s="45"/>
      <c r="AL1832" s="17"/>
      <c r="AM1832" s="100" t="s">
        <v>122</v>
      </c>
      <c r="AN1832" s="19"/>
      <c r="AO1832" s="19"/>
      <c r="AP1832" s="19"/>
      <c r="AQ1832" s="19"/>
      <c r="AR1832" s="19"/>
      <c r="AS1832" s="19"/>
      <c r="AT1832" s="19"/>
      <c r="AU1832" s="19"/>
      <c r="AV1832" s="19"/>
      <c r="AW1832" s="19"/>
      <c r="AX1832" s="107"/>
      <c r="AY1832" s="107"/>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39"/>
      <c r="CO1832" s="138"/>
      <c r="CP1832" s="139"/>
      <c r="CQ1832" s="138"/>
      <c r="CR1832" s="139"/>
      <c r="CS1832" s="138"/>
      <c r="CT1832" s="72"/>
      <c r="CU1832" s="139"/>
      <c r="CV1832" s="99">
        <f t="shared" si="173"/>
        <v>0</v>
      </c>
      <c r="CW1832" s="139"/>
      <c r="CX1832" s="138"/>
      <c r="CY1832" s="138"/>
      <c r="CZ1832" s="138"/>
      <c r="DA1832" s="139"/>
      <c r="DB1832" s="138"/>
      <c r="DC1832" s="45"/>
      <c r="DD1832" s="138"/>
      <c r="DE1832" s="45"/>
      <c r="DF1832" s="46"/>
    </row>
    <row r="1833" spans="1:110" s="42" customFormat="1" ht="48" x14ac:dyDescent="0.2">
      <c r="A1833" s="89">
        <v>40737</v>
      </c>
      <c r="B1833" s="90" t="s">
        <v>4263</v>
      </c>
      <c r="C1833" s="90" t="s">
        <v>123</v>
      </c>
      <c r="D1833" s="90" t="s">
        <v>4264</v>
      </c>
      <c r="E1833" s="90" t="str">
        <f>VLOOKUP(B1833&amp;C1833,Divipola!$C$2:$F$1138,4,FALSE)</f>
        <v>86573</v>
      </c>
      <c r="F1833" s="4"/>
      <c r="G1833" s="101"/>
      <c r="H1833" s="101"/>
      <c r="I1833" s="101"/>
      <c r="J1833" s="101">
        <v>370</v>
      </c>
      <c r="K1833" s="101">
        <v>74</v>
      </c>
      <c r="L1833" s="101"/>
      <c r="M1833" s="101">
        <v>74</v>
      </c>
      <c r="N1833" s="101"/>
      <c r="O1833" s="101"/>
      <c r="P1833" s="101"/>
      <c r="Q1833" s="101"/>
      <c r="R1833" s="101"/>
      <c r="S1833" s="101"/>
      <c r="T1833" s="101"/>
      <c r="U1833" s="101"/>
      <c r="V1833" s="101" t="s">
        <v>4265</v>
      </c>
      <c r="W1833" s="19"/>
      <c r="X1833" s="17"/>
      <c r="Y1833" s="5">
        <f t="shared" si="174"/>
        <v>0</v>
      </c>
      <c r="Z1833" s="5">
        <f t="shared" si="175"/>
        <v>0</v>
      </c>
      <c r="AA1833" s="5">
        <f t="shared" si="176"/>
        <v>0</v>
      </c>
      <c r="AB1833" s="5">
        <f t="shared" si="177"/>
        <v>0</v>
      </c>
      <c r="AC1833" s="5"/>
      <c r="AD1833" s="5">
        <v>0</v>
      </c>
      <c r="AE1833" s="5">
        <f t="shared" si="178"/>
        <v>0</v>
      </c>
      <c r="AF1833" s="70">
        <v>0</v>
      </c>
      <c r="AG1833" s="17"/>
      <c r="AH1833" s="18"/>
      <c r="AI1833" s="47" t="s">
        <v>4336</v>
      </c>
      <c r="AJ1833" s="73" t="s">
        <v>4337</v>
      </c>
      <c r="AK1833" s="45"/>
      <c r="AL1833" s="17"/>
      <c r="AM1833" s="100" t="s">
        <v>125</v>
      </c>
      <c r="AN1833" s="19"/>
      <c r="AO1833" s="19"/>
      <c r="AP1833" s="19"/>
      <c r="AQ1833" s="19"/>
      <c r="AR1833" s="19"/>
      <c r="AS1833" s="19"/>
      <c r="AT1833" s="19"/>
      <c r="AU1833" s="19"/>
      <c r="AV1833" s="19"/>
      <c r="AW1833" s="19"/>
      <c r="AX1833" s="107"/>
      <c r="AY1833" s="107"/>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9"/>
      <c r="CE1833" s="19"/>
      <c r="CF1833" s="19"/>
      <c r="CG1833" s="19"/>
      <c r="CH1833" s="19"/>
      <c r="CI1833" s="19"/>
      <c r="CJ1833" s="19"/>
      <c r="CK1833" s="19"/>
      <c r="CL1833" s="19"/>
      <c r="CM1833" s="19"/>
      <c r="CN1833" s="139"/>
      <c r="CO1833" s="138"/>
      <c r="CP1833" s="139"/>
      <c r="CQ1833" s="138"/>
      <c r="CR1833" s="139"/>
      <c r="CS1833" s="138"/>
      <c r="CT1833" s="72"/>
      <c r="CU1833" s="139"/>
      <c r="CV1833" s="99">
        <f t="shared" si="173"/>
        <v>0</v>
      </c>
      <c r="CW1833" s="139"/>
      <c r="CX1833" s="138"/>
      <c r="CY1833" s="138"/>
      <c r="CZ1833" s="138"/>
      <c r="DA1833" s="139"/>
      <c r="DB1833" s="138"/>
      <c r="DC1833" s="45"/>
      <c r="DD1833" s="138"/>
      <c r="DE1833" s="45"/>
      <c r="DF1833" s="46"/>
    </row>
    <row r="1834" spans="1:110" s="42" customFormat="1" ht="60" x14ac:dyDescent="0.2">
      <c r="A1834" s="89">
        <v>40737</v>
      </c>
      <c r="B1834" s="90" t="s">
        <v>2204</v>
      </c>
      <c r="C1834" s="90" t="s">
        <v>3024</v>
      </c>
      <c r="D1834" s="90" t="s">
        <v>4264</v>
      </c>
      <c r="E1834" s="90" t="str">
        <f>VLOOKUP(B1834&amp;C1834,Divipola!$C$2:$F$1138,4,FALSE)</f>
        <v>70215</v>
      </c>
      <c r="F1834" s="4"/>
      <c r="G1834" s="101"/>
      <c r="H1834" s="101"/>
      <c r="I1834" s="101"/>
      <c r="J1834" s="101">
        <v>24</v>
      </c>
      <c r="K1834" s="101">
        <v>5</v>
      </c>
      <c r="L1834" s="101"/>
      <c r="M1834" s="101">
        <v>5</v>
      </c>
      <c r="N1834" s="101"/>
      <c r="O1834" s="101"/>
      <c r="P1834" s="101"/>
      <c r="Q1834" s="101"/>
      <c r="R1834" s="101"/>
      <c r="S1834" s="101"/>
      <c r="T1834" s="101"/>
      <c r="U1834" s="101"/>
      <c r="V1834" s="101"/>
      <c r="W1834" s="19"/>
      <c r="X1834" s="17"/>
      <c r="Y1834" s="5">
        <f t="shared" si="174"/>
        <v>0</v>
      </c>
      <c r="Z1834" s="5">
        <f t="shared" si="175"/>
        <v>0</v>
      </c>
      <c r="AA1834" s="5">
        <f t="shared" si="176"/>
        <v>0</v>
      </c>
      <c r="AB1834" s="5">
        <f t="shared" si="177"/>
        <v>0</v>
      </c>
      <c r="AC1834" s="5"/>
      <c r="AD1834" s="5">
        <v>0</v>
      </c>
      <c r="AE1834" s="5">
        <f t="shared" si="178"/>
        <v>0</v>
      </c>
      <c r="AF1834" s="70">
        <v>0</v>
      </c>
      <c r="AG1834" s="17"/>
      <c r="AH1834" s="18"/>
      <c r="AI1834" s="47" t="s">
        <v>4336</v>
      </c>
      <c r="AJ1834" s="73" t="s">
        <v>4337</v>
      </c>
      <c r="AK1834" s="45"/>
      <c r="AL1834" s="17"/>
      <c r="AM1834" s="100" t="s">
        <v>120</v>
      </c>
      <c r="AN1834" s="19"/>
      <c r="AO1834" s="19"/>
      <c r="AP1834" s="19"/>
      <c r="AQ1834" s="19"/>
      <c r="AR1834" s="19"/>
      <c r="AS1834" s="19"/>
      <c r="AT1834" s="19"/>
      <c r="AU1834" s="19"/>
      <c r="AV1834" s="19"/>
      <c r="AW1834" s="19"/>
      <c r="AX1834" s="107"/>
      <c r="AY1834" s="107"/>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39"/>
      <c r="CO1834" s="138"/>
      <c r="CP1834" s="139"/>
      <c r="CQ1834" s="138"/>
      <c r="CR1834" s="139"/>
      <c r="CS1834" s="138"/>
      <c r="CT1834" s="72"/>
      <c r="CU1834" s="139"/>
      <c r="CV1834" s="99">
        <f t="shared" si="173"/>
        <v>0</v>
      </c>
      <c r="CW1834" s="139"/>
      <c r="CX1834" s="138"/>
      <c r="CY1834" s="138"/>
      <c r="CZ1834" s="138"/>
      <c r="DA1834" s="139"/>
      <c r="DB1834" s="138"/>
      <c r="DC1834" s="45"/>
      <c r="DD1834" s="138"/>
      <c r="DE1834" s="45"/>
      <c r="DF1834" s="46"/>
    </row>
    <row r="1835" spans="1:110" s="42" customFormat="1" ht="72" x14ac:dyDescent="0.2">
      <c r="A1835" s="89">
        <v>40738</v>
      </c>
      <c r="B1835" s="90" t="s">
        <v>2218</v>
      </c>
      <c r="C1835" s="90" t="s">
        <v>4391</v>
      </c>
      <c r="D1835" s="90" t="s">
        <v>2362</v>
      </c>
      <c r="E1835" s="90" t="str">
        <f>VLOOKUP(B1835&amp;C1835,Divipola!$C$2:$F$1138,4,FALSE)</f>
        <v>05736</v>
      </c>
      <c r="F1835" s="4"/>
      <c r="G1835" s="101">
        <v>1</v>
      </c>
      <c r="H1835" s="101">
        <v>2</v>
      </c>
      <c r="I1835" s="101"/>
      <c r="J1835" s="101">
        <v>60</v>
      </c>
      <c r="K1835" s="101">
        <v>12</v>
      </c>
      <c r="L1835" s="101"/>
      <c r="M1835" s="101">
        <v>12</v>
      </c>
      <c r="N1835" s="101"/>
      <c r="O1835" s="101"/>
      <c r="P1835" s="101"/>
      <c r="Q1835" s="101"/>
      <c r="R1835" s="101"/>
      <c r="S1835" s="101"/>
      <c r="T1835" s="101"/>
      <c r="U1835" s="101"/>
      <c r="V1835" s="101"/>
      <c r="W1835" s="19"/>
      <c r="X1835" s="17"/>
      <c r="Y1835" s="5">
        <f t="shared" si="174"/>
        <v>0</v>
      </c>
      <c r="Z1835" s="5">
        <f t="shared" si="175"/>
        <v>0</v>
      </c>
      <c r="AA1835" s="5">
        <f t="shared" si="176"/>
        <v>0</v>
      </c>
      <c r="AB1835" s="5">
        <f t="shared" si="177"/>
        <v>0</v>
      </c>
      <c r="AC1835" s="5"/>
      <c r="AD1835" s="5">
        <v>0</v>
      </c>
      <c r="AE1835" s="5">
        <f t="shared" si="178"/>
        <v>0</v>
      </c>
      <c r="AF1835" s="70">
        <v>0</v>
      </c>
      <c r="AG1835" s="17"/>
      <c r="AH1835" s="18"/>
      <c r="AI1835" s="47" t="s">
        <v>4336</v>
      </c>
      <c r="AJ1835" s="73" t="s">
        <v>4337</v>
      </c>
      <c r="AK1835" s="45"/>
      <c r="AL1835" s="17"/>
      <c r="AM1835" s="100" t="s">
        <v>127</v>
      </c>
      <c r="AN1835" s="19"/>
      <c r="AO1835" s="19"/>
      <c r="AP1835" s="19"/>
      <c r="AQ1835" s="19"/>
      <c r="AR1835" s="19"/>
      <c r="AS1835" s="19"/>
      <c r="AT1835" s="19"/>
      <c r="AU1835" s="19"/>
      <c r="AV1835" s="19"/>
      <c r="AW1835" s="19"/>
      <c r="AX1835" s="107"/>
      <c r="AY1835" s="107"/>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39"/>
      <c r="CO1835" s="138"/>
      <c r="CP1835" s="139"/>
      <c r="CQ1835" s="138"/>
      <c r="CR1835" s="139"/>
      <c r="CS1835" s="138"/>
      <c r="CT1835" s="72"/>
      <c r="CU1835" s="139"/>
      <c r="CV1835" s="99">
        <f t="shared" si="173"/>
        <v>0</v>
      </c>
      <c r="CW1835" s="139"/>
      <c r="CX1835" s="138"/>
      <c r="CY1835" s="138"/>
      <c r="CZ1835" s="138"/>
      <c r="DA1835" s="139"/>
      <c r="DB1835" s="138"/>
      <c r="DC1835" s="45"/>
      <c r="DD1835" s="138"/>
      <c r="DE1835" s="45"/>
      <c r="DF1835" s="46"/>
    </row>
    <row r="1836" spans="1:110" s="42" customFormat="1" ht="144" x14ac:dyDescent="0.2">
      <c r="A1836" s="89">
        <v>40738</v>
      </c>
      <c r="B1836" s="90" t="s">
        <v>3688</v>
      </c>
      <c r="C1836" s="90" t="s">
        <v>3689</v>
      </c>
      <c r="D1836" s="90" t="s">
        <v>4264</v>
      </c>
      <c r="E1836" s="90" t="str">
        <f>VLOOKUP(B1836&amp;C1836,Divipola!$C$2:$F$1138,4,FALSE)</f>
        <v>94001</v>
      </c>
      <c r="F1836" s="4"/>
      <c r="G1836" s="101"/>
      <c r="H1836" s="101"/>
      <c r="I1836" s="101"/>
      <c r="J1836" s="101">
        <v>12500</v>
      </c>
      <c r="K1836" s="101">
        <v>2500</v>
      </c>
      <c r="L1836" s="101"/>
      <c r="M1836" s="101">
        <v>2500</v>
      </c>
      <c r="N1836" s="101"/>
      <c r="O1836" s="101"/>
      <c r="P1836" s="101"/>
      <c r="Q1836" s="101"/>
      <c r="R1836" s="101"/>
      <c r="S1836" s="101"/>
      <c r="T1836" s="101"/>
      <c r="U1836" s="101"/>
      <c r="V1836" s="101"/>
      <c r="W1836" s="19"/>
      <c r="X1836" s="17"/>
      <c r="Y1836" s="5">
        <f t="shared" si="174"/>
        <v>136100000</v>
      </c>
      <c r="Z1836" s="5">
        <f t="shared" si="175"/>
        <v>185300000</v>
      </c>
      <c r="AA1836" s="5">
        <f t="shared" si="176"/>
        <v>0</v>
      </c>
      <c r="AB1836" s="5">
        <f t="shared" si="177"/>
        <v>0</v>
      </c>
      <c r="AC1836" s="5"/>
      <c r="AD1836" s="5">
        <v>0</v>
      </c>
      <c r="AE1836" s="5">
        <f t="shared" si="178"/>
        <v>321400000</v>
      </c>
      <c r="AF1836" s="70">
        <v>0</v>
      </c>
      <c r="AG1836" s="17"/>
      <c r="AH1836" s="18"/>
      <c r="AI1836" s="47" t="s">
        <v>4346</v>
      </c>
      <c r="AJ1836" s="73" t="s">
        <v>4347</v>
      </c>
      <c r="AK1836" s="45"/>
      <c r="AL1836" s="17"/>
      <c r="AM1836" s="100" t="s">
        <v>132</v>
      </c>
      <c r="AN1836" s="19"/>
      <c r="AO1836" s="19"/>
      <c r="AP1836" s="19"/>
      <c r="AQ1836" s="19"/>
      <c r="AR1836" s="19"/>
      <c r="AS1836" s="19"/>
      <c r="AT1836" s="19"/>
      <c r="AU1836" s="19"/>
      <c r="AV1836" s="19"/>
      <c r="AW1836" s="19"/>
      <c r="AX1836" s="107"/>
      <c r="AY1836" s="107"/>
      <c r="AZ1836" s="19">
        <v>100</v>
      </c>
      <c r="BA1836" s="19">
        <f>100*56000</f>
        <v>5600000</v>
      </c>
      <c r="BB1836" s="19"/>
      <c r="BC1836" s="19"/>
      <c r="BD1836" s="19"/>
      <c r="BE1836" s="19"/>
      <c r="BF1836" s="19"/>
      <c r="BG1836" s="19"/>
      <c r="BH1836" s="19"/>
      <c r="BI1836" s="19"/>
      <c r="BJ1836" s="19"/>
      <c r="BK1836" s="19"/>
      <c r="BL1836" s="19">
        <v>3000</v>
      </c>
      <c r="BM1836" s="19">
        <f>3000*25500</f>
        <v>76500000</v>
      </c>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39">
        <v>3000</v>
      </c>
      <c r="CO1836" s="138">
        <f>3000*18000</f>
        <v>54000000</v>
      </c>
      <c r="CP1836" s="139"/>
      <c r="CQ1836" s="138"/>
      <c r="CR1836" s="139"/>
      <c r="CS1836" s="138"/>
      <c r="CT1836" s="72"/>
      <c r="CU1836" s="139"/>
      <c r="CV1836" s="99">
        <f t="shared" si="173"/>
        <v>136100000</v>
      </c>
      <c r="CW1836" s="139"/>
      <c r="CX1836" s="138"/>
      <c r="CY1836" s="138">
        <v>2180</v>
      </c>
      <c r="CZ1836" s="138">
        <f>1180*85000+1000*85000</f>
        <v>185300000</v>
      </c>
      <c r="DA1836" s="139"/>
      <c r="DB1836" s="138"/>
      <c r="DC1836" s="45"/>
      <c r="DD1836" s="138"/>
      <c r="DE1836" s="45"/>
      <c r="DF1836" s="46"/>
    </row>
    <row r="1837" spans="1:110" s="42" customFormat="1" ht="36" x14ac:dyDescent="0.2">
      <c r="A1837" s="89">
        <v>40739</v>
      </c>
      <c r="B1837" s="16" t="s">
        <v>2218</v>
      </c>
      <c r="C1837" s="16" t="s">
        <v>3533</v>
      </c>
      <c r="D1837" s="90" t="s">
        <v>2362</v>
      </c>
      <c r="E1837" s="90" t="str">
        <f>VLOOKUP(B1837&amp;C1837,Divipola!$C$2:$F$1138,4,FALSE)</f>
        <v>05129</v>
      </c>
      <c r="F1837" s="4"/>
      <c r="G1837" s="208"/>
      <c r="H1837" s="208"/>
      <c r="I1837" s="208"/>
      <c r="J1837" s="208">
        <v>8</v>
      </c>
      <c r="K1837" s="208">
        <v>2</v>
      </c>
      <c r="L1837" s="208">
        <v>2</v>
      </c>
      <c r="M1837" s="208"/>
      <c r="N1837" s="208"/>
      <c r="O1837" s="208"/>
      <c r="P1837" s="208"/>
      <c r="Q1837" s="208"/>
      <c r="R1837" s="208"/>
      <c r="S1837" s="208"/>
      <c r="T1837" s="208"/>
      <c r="U1837" s="208"/>
      <c r="V1837" s="208"/>
      <c r="W1837" s="19"/>
      <c r="X1837" s="17"/>
      <c r="Y1837" s="5">
        <f t="shared" si="174"/>
        <v>0</v>
      </c>
      <c r="Z1837" s="5">
        <f t="shared" si="175"/>
        <v>0</v>
      </c>
      <c r="AA1837" s="5">
        <f t="shared" si="176"/>
        <v>0</v>
      </c>
      <c r="AB1837" s="5">
        <f t="shared" si="177"/>
        <v>0</v>
      </c>
      <c r="AC1837" s="5"/>
      <c r="AD1837" s="5">
        <v>0</v>
      </c>
      <c r="AE1837" s="5">
        <f t="shared" si="178"/>
        <v>0</v>
      </c>
      <c r="AF1837" s="70">
        <v>0</v>
      </c>
      <c r="AG1837" s="17"/>
      <c r="AH1837" s="18"/>
      <c r="AI1837" s="47" t="s">
        <v>4336</v>
      </c>
      <c r="AJ1837" s="73" t="s">
        <v>4337</v>
      </c>
      <c r="AK1837" s="45"/>
      <c r="AL1837" s="17"/>
      <c r="AM1837" s="100" t="s">
        <v>129</v>
      </c>
      <c r="AN1837" s="19"/>
      <c r="AO1837" s="19"/>
      <c r="AP1837" s="19"/>
      <c r="AQ1837" s="19"/>
      <c r="AR1837" s="19"/>
      <c r="AS1837" s="19"/>
      <c r="AT1837" s="19"/>
      <c r="AU1837" s="19"/>
      <c r="AV1837" s="19"/>
      <c r="AW1837" s="19"/>
      <c r="AX1837" s="107"/>
      <c r="AY1837" s="107"/>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39"/>
      <c r="CO1837" s="138"/>
      <c r="CP1837" s="139"/>
      <c r="CQ1837" s="138"/>
      <c r="CR1837" s="139"/>
      <c r="CS1837" s="138"/>
      <c r="CT1837" s="72"/>
      <c r="CU1837" s="139"/>
      <c r="CV1837" s="99">
        <f t="shared" si="173"/>
        <v>0</v>
      </c>
      <c r="CW1837" s="139"/>
      <c r="CX1837" s="138"/>
      <c r="CY1837" s="138"/>
      <c r="CZ1837" s="138"/>
      <c r="DA1837" s="139"/>
      <c r="DB1837" s="138"/>
      <c r="DC1837" s="45"/>
      <c r="DD1837" s="138"/>
      <c r="DE1837" s="45"/>
      <c r="DF1837" s="46"/>
    </row>
    <row r="1838" spans="1:110" s="42" customFormat="1" ht="72" x14ac:dyDescent="0.2">
      <c r="A1838" s="89">
        <v>40739</v>
      </c>
      <c r="B1838" s="90" t="s">
        <v>1116</v>
      </c>
      <c r="C1838" s="90" t="s">
        <v>1116</v>
      </c>
      <c r="D1838" s="90" t="s">
        <v>4298</v>
      </c>
      <c r="E1838" s="90" t="str">
        <f>VLOOKUP(B1838&amp;C1838,Divipola!$C$2:$F$1138,4,FALSE)</f>
        <v>11001</v>
      </c>
      <c r="F1838" s="4"/>
      <c r="G1838" s="208"/>
      <c r="H1838" s="208"/>
      <c r="I1838" s="208"/>
      <c r="J1838" s="208">
        <v>5</v>
      </c>
      <c r="K1838" s="208">
        <v>1</v>
      </c>
      <c r="L1838" s="208">
        <v>1</v>
      </c>
      <c r="M1838" s="208"/>
      <c r="N1838" s="208"/>
      <c r="O1838" s="208"/>
      <c r="P1838" s="208"/>
      <c r="Q1838" s="208"/>
      <c r="R1838" s="208"/>
      <c r="S1838" s="208"/>
      <c r="T1838" s="208"/>
      <c r="U1838" s="208"/>
      <c r="V1838" s="208"/>
      <c r="W1838" s="19"/>
      <c r="X1838" s="17"/>
      <c r="Y1838" s="5">
        <f t="shared" si="174"/>
        <v>0</v>
      </c>
      <c r="Z1838" s="5">
        <f t="shared" si="175"/>
        <v>0</v>
      </c>
      <c r="AA1838" s="5">
        <f t="shared" si="176"/>
        <v>0</v>
      </c>
      <c r="AB1838" s="5">
        <f t="shared" si="177"/>
        <v>0</v>
      </c>
      <c r="AC1838" s="5"/>
      <c r="AD1838" s="5">
        <v>0</v>
      </c>
      <c r="AE1838" s="5">
        <f t="shared" si="178"/>
        <v>0</v>
      </c>
      <c r="AF1838" s="70">
        <v>0</v>
      </c>
      <c r="AG1838" s="17"/>
      <c r="AH1838" s="18"/>
      <c r="AI1838" s="47" t="s">
        <v>4336</v>
      </c>
      <c r="AJ1838" s="73" t="s">
        <v>4337</v>
      </c>
      <c r="AK1838" s="45"/>
      <c r="AL1838" s="17"/>
      <c r="AM1838" s="100" t="s">
        <v>128</v>
      </c>
      <c r="AN1838" s="19"/>
      <c r="AO1838" s="19"/>
      <c r="AP1838" s="19"/>
      <c r="AQ1838" s="19"/>
      <c r="AR1838" s="19"/>
      <c r="AS1838" s="19"/>
      <c r="AT1838" s="19"/>
      <c r="AU1838" s="19"/>
      <c r="AV1838" s="19"/>
      <c r="AW1838" s="19"/>
      <c r="AX1838" s="107"/>
      <c r="AY1838" s="107"/>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39"/>
      <c r="CO1838" s="138"/>
      <c r="CP1838" s="139"/>
      <c r="CQ1838" s="138"/>
      <c r="CR1838" s="139"/>
      <c r="CS1838" s="138"/>
      <c r="CT1838" s="72"/>
      <c r="CU1838" s="139"/>
      <c r="CV1838" s="99">
        <f t="shared" si="173"/>
        <v>0</v>
      </c>
      <c r="CW1838" s="139"/>
      <c r="CX1838" s="138"/>
      <c r="CY1838" s="138"/>
      <c r="CZ1838" s="138"/>
      <c r="DA1838" s="139"/>
      <c r="DB1838" s="138"/>
      <c r="DC1838" s="45"/>
      <c r="DD1838" s="138"/>
      <c r="DE1838" s="45"/>
      <c r="DF1838" s="46"/>
    </row>
    <row r="1839" spans="1:110" s="42" customFormat="1" ht="60" x14ac:dyDescent="0.2">
      <c r="A1839" s="89">
        <v>40739</v>
      </c>
      <c r="B1839" s="16" t="s">
        <v>4221</v>
      </c>
      <c r="C1839" s="16" t="s">
        <v>4301</v>
      </c>
      <c r="D1839" s="16" t="s">
        <v>3311</v>
      </c>
      <c r="E1839" s="90" t="str">
        <f>VLOOKUP(B1839&amp;C1839,Divipola!$C$2:$F$1138,4,FALSE)</f>
        <v>54405</v>
      </c>
      <c r="F1839" s="4"/>
      <c r="G1839" s="208"/>
      <c r="H1839" s="208"/>
      <c r="I1839" s="208"/>
      <c r="J1839" s="208">
        <v>5</v>
      </c>
      <c r="K1839" s="208">
        <v>1</v>
      </c>
      <c r="L1839" s="208"/>
      <c r="M1839" s="208">
        <v>1</v>
      </c>
      <c r="N1839" s="208"/>
      <c r="O1839" s="208"/>
      <c r="P1839" s="208"/>
      <c r="Q1839" s="208"/>
      <c r="R1839" s="208"/>
      <c r="S1839" s="208"/>
      <c r="T1839" s="208"/>
      <c r="U1839" s="208"/>
      <c r="V1839" s="208"/>
      <c r="W1839" s="19"/>
      <c r="X1839" s="17"/>
      <c r="Y1839" s="5">
        <f t="shared" si="174"/>
        <v>0</v>
      </c>
      <c r="Z1839" s="5">
        <f t="shared" si="175"/>
        <v>0</v>
      </c>
      <c r="AA1839" s="5">
        <f t="shared" si="176"/>
        <v>0</v>
      </c>
      <c r="AB1839" s="5">
        <f t="shared" si="177"/>
        <v>0</v>
      </c>
      <c r="AC1839" s="5"/>
      <c r="AD1839" s="5">
        <v>0</v>
      </c>
      <c r="AE1839" s="5">
        <f t="shared" si="178"/>
        <v>0</v>
      </c>
      <c r="AF1839" s="70">
        <v>0</v>
      </c>
      <c r="AG1839" s="17"/>
      <c r="AH1839" s="18"/>
      <c r="AI1839" s="47" t="s">
        <v>4336</v>
      </c>
      <c r="AJ1839" s="73" t="s">
        <v>4337</v>
      </c>
      <c r="AK1839" s="45"/>
      <c r="AL1839" s="17"/>
      <c r="AM1839" s="100" t="s">
        <v>130</v>
      </c>
      <c r="AN1839" s="19"/>
      <c r="AO1839" s="19"/>
      <c r="AP1839" s="19"/>
      <c r="AQ1839" s="19"/>
      <c r="AR1839" s="19"/>
      <c r="AS1839" s="19"/>
      <c r="AT1839" s="19"/>
      <c r="AU1839" s="19"/>
      <c r="AV1839" s="19"/>
      <c r="AW1839" s="19"/>
      <c r="AX1839" s="107"/>
      <c r="AY1839" s="107"/>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39"/>
      <c r="CO1839" s="138"/>
      <c r="CP1839" s="139"/>
      <c r="CQ1839" s="138"/>
      <c r="CR1839" s="139"/>
      <c r="CS1839" s="138"/>
      <c r="CT1839" s="72"/>
      <c r="CU1839" s="139"/>
      <c r="CV1839" s="99">
        <f t="shared" si="173"/>
        <v>0</v>
      </c>
      <c r="CW1839" s="139"/>
      <c r="CX1839" s="138"/>
      <c r="CY1839" s="138"/>
      <c r="CZ1839" s="138"/>
      <c r="DA1839" s="139"/>
      <c r="DB1839" s="138"/>
      <c r="DC1839" s="45"/>
      <c r="DD1839" s="138"/>
      <c r="DE1839" s="45"/>
      <c r="DF1839" s="46"/>
    </row>
    <row r="1840" spans="1:110" s="42" customFormat="1" x14ac:dyDescent="0.2">
      <c r="A1840" s="89">
        <v>40739</v>
      </c>
      <c r="B1840" s="16" t="s">
        <v>2204</v>
      </c>
      <c r="C1840" s="16" t="s">
        <v>3066</v>
      </c>
      <c r="D1840" s="90" t="s">
        <v>4264</v>
      </c>
      <c r="E1840" s="90" t="str">
        <f>VLOOKUP(B1840&amp;C1840,Divipola!$C$2:$F$1138,4,FALSE)</f>
        <v>70742</v>
      </c>
      <c r="F1840" s="4"/>
      <c r="G1840" s="208"/>
      <c r="H1840" s="208"/>
      <c r="I1840" s="208"/>
      <c r="J1840" s="208">
        <f>241*3</f>
        <v>723</v>
      </c>
      <c r="K1840" s="208">
        <v>241</v>
      </c>
      <c r="L1840" s="208"/>
      <c r="M1840" s="208"/>
      <c r="N1840" s="208"/>
      <c r="O1840" s="208"/>
      <c r="P1840" s="208"/>
      <c r="Q1840" s="208"/>
      <c r="R1840" s="208"/>
      <c r="S1840" s="208"/>
      <c r="T1840" s="208"/>
      <c r="U1840" s="208"/>
      <c r="V1840" s="208"/>
      <c r="W1840" s="19"/>
      <c r="X1840" s="17"/>
      <c r="Y1840" s="5">
        <f t="shared" si="174"/>
        <v>8917000</v>
      </c>
      <c r="Z1840" s="5">
        <f t="shared" si="175"/>
        <v>20485000</v>
      </c>
      <c r="AA1840" s="5">
        <f t="shared" si="176"/>
        <v>0</v>
      </c>
      <c r="AB1840" s="5">
        <f t="shared" si="177"/>
        <v>0</v>
      </c>
      <c r="AC1840" s="5"/>
      <c r="AD1840" s="5">
        <v>0</v>
      </c>
      <c r="AE1840" s="5">
        <f t="shared" si="178"/>
        <v>29402000</v>
      </c>
      <c r="AF1840" s="70">
        <v>0</v>
      </c>
      <c r="AG1840" s="17"/>
      <c r="AH1840" s="18"/>
      <c r="AI1840" s="47" t="s">
        <v>4346</v>
      </c>
      <c r="AJ1840" s="73" t="s">
        <v>4347</v>
      </c>
      <c r="AK1840" s="45"/>
      <c r="AL1840" s="17"/>
      <c r="AM1840" s="20" t="s">
        <v>3530</v>
      </c>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39"/>
      <c r="CE1840" s="138"/>
      <c r="CF1840" s="139"/>
      <c r="CG1840" s="138"/>
      <c r="CH1840" s="139"/>
      <c r="CI1840" s="138"/>
      <c r="CJ1840" s="72"/>
      <c r="CK1840" s="139"/>
      <c r="CL1840" s="71"/>
      <c r="CM1840" s="139"/>
      <c r="CN1840" s="138"/>
      <c r="CO1840" s="138"/>
      <c r="CP1840" s="138">
        <v>241</v>
      </c>
      <c r="CQ1840" s="139">
        <f>241*37000</f>
        <v>8917000</v>
      </c>
      <c r="CR1840" s="138"/>
      <c r="CS1840" s="45"/>
      <c r="CT1840" s="138"/>
      <c r="CU1840" s="45"/>
      <c r="CV1840" s="99">
        <f t="shared" si="173"/>
        <v>8917000</v>
      </c>
      <c r="CW1840" s="139"/>
      <c r="CX1840" s="138"/>
      <c r="CY1840" s="138">
        <v>241</v>
      </c>
      <c r="CZ1840" s="138">
        <f>241*85000</f>
        <v>20485000</v>
      </c>
      <c r="DA1840" s="139"/>
      <c r="DB1840" s="138"/>
      <c r="DC1840" s="45"/>
      <c r="DD1840" s="138"/>
      <c r="DE1840" s="45"/>
      <c r="DF1840" s="46"/>
    </row>
    <row r="1841" spans="1:110" s="42" customFormat="1" ht="60" x14ac:dyDescent="0.2">
      <c r="A1841" s="89">
        <v>40740</v>
      </c>
      <c r="B1841" s="16" t="s">
        <v>4244</v>
      </c>
      <c r="C1841" s="16" t="s">
        <v>2768</v>
      </c>
      <c r="D1841" s="90" t="s">
        <v>4340</v>
      </c>
      <c r="E1841" s="90" t="str">
        <f>VLOOKUP(B1841&amp;C1841,Divipola!$C$2:$F$1138,4,FALSE)</f>
        <v>76001</v>
      </c>
      <c r="F1841" s="4"/>
      <c r="G1841" s="208"/>
      <c r="H1841" s="208">
        <v>3</v>
      </c>
      <c r="I1841" s="208"/>
      <c r="J1841" s="208"/>
      <c r="K1841" s="208"/>
      <c r="L1841" s="208"/>
      <c r="M1841" s="208"/>
      <c r="N1841" s="208"/>
      <c r="O1841" s="208"/>
      <c r="P1841" s="208"/>
      <c r="Q1841" s="208"/>
      <c r="R1841" s="208"/>
      <c r="S1841" s="208"/>
      <c r="T1841" s="208"/>
      <c r="U1841" s="208"/>
      <c r="V1841" s="208"/>
      <c r="W1841" s="19"/>
      <c r="X1841" s="17"/>
      <c r="Y1841" s="5">
        <f t="shared" si="174"/>
        <v>0</v>
      </c>
      <c r="Z1841" s="5">
        <f t="shared" si="175"/>
        <v>0</v>
      </c>
      <c r="AA1841" s="5">
        <f t="shared" si="176"/>
        <v>0</v>
      </c>
      <c r="AB1841" s="5">
        <f t="shared" si="177"/>
        <v>0</v>
      </c>
      <c r="AC1841" s="5"/>
      <c r="AD1841" s="5">
        <v>0</v>
      </c>
      <c r="AE1841" s="5">
        <f t="shared" si="178"/>
        <v>0</v>
      </c>
      <c r="AF1841" s="70">
        <v>0</v>
      </c>
      <c r="AG1841" s="17"/>
      <c r="AH1841" s="18"/>
      <c r="AI1841" s="47" t="s">
        <v>4336</v>
      </c>
      <c r="AJ1841" s="73" t="s">
        <v>4337</v>
      </c>
      <c r="AK1841" s="45"/>
      <c r="AL1841" s="17"/>
      <c r="AM1841" s="100" t="s">
        <v>131</v>
      </c>
      <c r="AN1841" s="19"/>
      <c r="AO1841" s="19"/>
      <c r="AP1841" s="19"/>
      <c r="AQ1841" s="19"/>
      <c r="AR1841" s="19"/>
      <c r="AS1841" s="19"/>
      <c r="AT1841" s="19"/>
      <c r="AU1841" s="19"/>
      <c r="AV1841" s="19"/>
      <c r="AW1841" s="19"/>
      <c r="AX1841" s="107"/>
      <c r="AY1841" s="107"/>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39"/>
      <c r="CO1841" s="138"/>
      <c r="CP1841" s="139"/>
      <c r="CQ1841" s="138"/>
      <c r="CR1841" s="139"/>
      <c r="CS1841" s="138"/>
      <c r="CT1841" s="72"/>
      <c r="CU1841" s="139"/>
      <c r="CV1841" s="99">
        <f t="shared" si="173"/>
        <v>0</v>
      </c>
      <c r="CW1841" s="139"/>
      <c r="CX1841" s="138"/>
      <c r="CY1841" s="138"/>
      <c r="CZ1841" s="138"/>
      <c r="DA1841" s="139"/>
      <c r="DB1841" s="138"/>
      <c r="DC1841" s="45"/>
      <c r="DD1841" s="138"/>
      <c r="DE1841" s="45"/>
      <c r="DF1841" s="46"/>
    </row>
    <row r="1842" spans="1:110" s="42" customFormat="1" ht="84" x14ac:dyDescent="0.2">
      <c r="A1842" s="89">
        <v>40741</v>
      </c>
      <c r="B1842" s="90" t="s">
        <v>4352</v>
      </c>
      <c r="C1842" s="90" t="s">
        <v>4358</v>
      </c>
      <c r="D1842" s="90" t="s">
        <v>4298</v>
      </c>
      <c r="E1842" s="90" t="str">
        <f>VLOOKUP(B1842&amp;C1842,Divipola!$C$2:$F$1138,4,FALSE)</f>
        <v>13001</v>
      </c>
      <c r="F1842" s="4"/>
      <c r="G1842" s="208"/>
      <c r="H1842" s="208"/>
      <c r="I1842" s="208"/>
      <c r="J1842" s="208">
        <v>85</v>
      </c>
      <c r="K1842" s="208">
        <v>17</v>
      </c>
      <c r="L1842" s="208">
        <v>17</v>
      </c>
      <c r="M1842" s="208"/>
      <c r="N1842" s="208"/>
      <c r="O1842" s="208"/>
      <c r="P1842" s="318"/>
      <c r="Q1842" s="318"/>
      <c r="R1842" s="318"/>
      <c r="S1842" s="318"/>
      <c r="T1842" s="318"/>
      <c r="U1842" s="319"/>
      <c r="V1842" s="318"/>
      <c r="W1842" s="19"/>
      <c r="X1842" s="17"/>
      <c r="Y1842" s="5">
        <f t="shared" si="174"/>
        <v>0</v>
      </c>
      <c r="Z1842" s="5">
        <f t="shared" si="175"/>
        <v>0</v>
      </c>
      <c r="AA1842" s="5">
        <f t="shared" si="176"/>
        <v>0</v>
      </c>
      <c r="AB1842" s="5">
        <f t="shared" si="177"/>
        <v>0</v>
      </c>
      <c r="AC1842" s="5"/>
      <c r="AD1842" s="5">
        <v>0</v>
      </c>
      <c r="AE1842" s="5">
        <f t="shared" si="178"/>
        <v>0</v>
      </c>
      <c r="AF1842" s="70">
        <v>0</v>
      </c>
      <c r="AG1842" s="17"/>
      <c r="AH1842" s="18"/>
      <c r="AI1842" s="47" t="s">
        <v>4336</v>
      </c>
      <c r="AJ1842" s="73" t="s">
        <v>4337</v>
      </c>
      <c r="AK1842" s="45"/>
      <c r="AL1842" s="17"/>
      <c r="AM1842" s="100" t="s">
        <v>133</v>
      </c>
      <c r="AN1842" s="19"/>
      <c r="AO1842" s="19"/>
      <c r="AP1842" s="19"/>
      <c r="AQ1842" s="19"/>
      <c r="AR1842" s="19"/>
      <c r="AS1842" s="19"/>
      <c r="AT1842" s="19"/>
      <c r="AU1842" s="19"/>
      <c r="AV1842" s="19"/>
      <c r="AW1842" s="19"/>
      <c r="AX1842" s="107"/>
      <c r="AY1842" s="107"/>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9"/>
      <c r="CE1842" s="19"/>
      <c r="CF1842" s="19"/>
      <c r="CG1842" s="19"/>
      <c r="CH1842" s="19"/>
      <c r="CI1842" s="19"/>
      <c r="CJ1842" s="19"/>
      <c r="CK1842" s="19"/>
      <c r="CL1842" s="19"/>
      <c r="CM1842" s="19"/>
      <c r="CN1842" s="139"/>
      <c r="CO1842" s="138"/>
      <c r="CP1842" s="139"/>
      <c r="CQ1842" s="138"/>
      <c r="CR1842" s="139"/>
      <c r="CS1842" s="138"/>
      <c r="CT1842" s="72"/>
      <c r="CU1842" s="139"/>
      <c r="CV1842" s="99">
        <f t="shared" si="173"/>
        <v>0</v>
      </c>
      <c r="CW1842" s="139"/>
      <c r="CX1842" s="138"/>
      <c r="CY1842" s="138"/>
      <c r="CZ1842" s="138"/>
      <c r="DA1842" s="139"/>
      <c r="DB1842" s="138"/>
      <c r="DC1842" s="45"/>
      <c r="DD1842" s="138"/>
      <c r="DE1842" s="45"/>
      <c r="DF1842" s="46"/>
    </row>
    <row r="1843" spans="1:110" s="42" customFormat="1" ht="72" x14ac:dyDescent="0.2">
      <c r="A1843" s="89">
        <v>40741</v>
      </c>
      <c r="B1843" s="90" t="s">
        <v>4261</v>
      </c>
      <c r="C1843" s="106" t="s">
        <v>2203</v>
      </c>
      <c r="D1843" s="90" t="s">
        <v>4264</v>
      </c>
      <c r="E1843" s="90" t="str">
        <f>VLOOKUP(B1843&amp;C1843,Divipola!$C$2:$F$1138,4,FALSE)</f>
        <v>15109</v>
      </c>
      <c r="F1843" s="4"/>
      <c r="G1843" s="101"/>
      <c r="H1843" s="101"/>
      <c r="I1843" s="101"/>
      <c r="J1843" s="101">
        <v>600</v>
      </c>
      <c r="K1843" s="101">
        <v>120</v>
      </c>
      <c r="L1843" s="101"/>
      <c r="M1843" s="101">
        <v>120</v>
      </c>
      <c r="N1843" s="101"/>
      <c r="O1843" s="101"/>
      <c r="P1843" s="101"/>
      <c r="Q1843" s="101"/>
      <c r="R1843" s="101"/>
      <c r="S1843" s="101"/>
      <c r="T1843" s="101"/>
      <c r="U1843" s="101"/>
      <c r="V1843" s="101"/>
      <c r="W1843" s="19"/>
      <c r="X1843" s="17"/>
      <c r="Y1843" s="5">
        <f t="shared" si="174"/>
        <v>0</v>
      </c>
      <c r="Z1843" s="5">
        <f t="shared" si="175"/>
        <v>0</v>
      </c>
      <c r="AA1843" s="5">
        <f t="shared" si="176"/>
        <v>0</v>
      </c>
      <c r="AB1843" s="5">
        <f t="shared" si="177"/>
        <v>0</v>
      </c>
      <c r="AC1843" s="5"/>
      <c r="AD1843" s="5">
        <v>0</v>
      </c>
      <c r="AE1843" s="5">
        <f t="shared" si="178"/>
        <v>0</v>
      </c>
      <c r="AF1843" s="70">
        <v>0</v>
      </c>
      <c r="AG1843" s="17"/>
      <c r="AH1843" s="18"/>
      <c r="AI1843" s="47" t="s">
        <v>4336</v>
      </c>
      <c r="AJ1843" s="73" t="s">
        <v>4337</v>
      </c>
      <c r="AK1843" s="45"/>
      <c r="AL1843" s="17"/>
      <c r="AM1843" s="100" t="s">
        <v>3757</v>
      </c>
      <c r="AN1843" s="19"/>
      <c r="AO1843" s="19"/>
      <c r="AP1843" s="19"/>
      <c r="AQ1843" s="19"/>
      <c r="AR1843" s="19"/>
      <c r="AS1843" s="19"/>
      <c r="AT1843" s="19"/>
      <c r="AU1843" s="19"/>
      <c r="AV1843" s="19"/>
      <c r="AW1843" s="19"/>
      <c r="AX1843" s="107"/>
      <c r="AY1843" s="107"/>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39"/>
      <c r="CO1843" s="138"/>
      <c r="CP1843" s="139"/>
      <c r="CQ1843" s="138"/>
      <c r="CR1843" s="139"/>
      <c r="CS1843" s="138"/>
      <c r="CT1843" s="72"/>
      <c r="CU1843" s="139"/>
      <c r="CV1843" s="99">
        <f t="shared" si="173"/>
        <v>0</v>
      </c>
      <c r="CW1843" s="139"/>
      <c r="CX1843" s="138"/>
      <c r="CY1843" s="138"/>
      <c r="CZ1843" s="138"/>
      <c r="DA1843" s="139"/>
      <c r="DB1843" s="138"/>
      <c r="DC1843" s="45"/>
      <c r="DD1843" s="138"/>
      <c r="DE1843" s="45"/>
      <c r="DF1843" s="46"/>
    </row>
    <row r="1844" spans="1:110" s="42" customFormat="1" ht="120" x14ac:dyDescent="0.2">
      <c r="A1844" s="89">
        <v>40741</v>
      </c>
      <c r="B1844" s="90" t="s">
        <v>4261</v>
      </c>
      <c r="C1844" s="90" t="s">
        <v>4230</v>
      </c>
      <c r="D1844" s="90" t="s">
        <v>2362</v>
      </c>
      <c r="E1844" s="90" t="str">
        <f>VLOOKUP(B1844&amp;C1844,Divipola!$C$2:$F$1138,4,FALSE)</f>
        <v>15001</v>
      </c>
      <c r="F1844" s="4"/>
      <c r="G1844" s="101"/>
      <c r="H1844" s="101"/>
      <c r="I1844" s="101"/>
      <c r="J1844" s="101">
        <v>360</v>
      </c>
      <c r="K1844" s="101">
        <v>72</v>
      </c>
      <c r="L1844" s="101"/>
      <c r="M1844" s="101">
        <v>75</v>
      </c>
      <c r="N1844" s="101"/>
      <c r="O1844" s="101"/>
      <c r="P1844" s="101"/>
      <c r="Q1844" s="101"/>
      <c r="R1844" s="101"/>
      <c r="S1844" s="101"/>
      <c r="T1844" s="101"/>
      <c r="U1844" s="101"/>
      <c r="V1844" s="101"/>
      <c r="W1844" s="19"/>
      <c r="X1844" s="17"/>
      <c r="Y1844" s="5">
        <f t="shared" si="174"/>
        <v>0</v>
      </c>
      <c r="Z1844" s="5">
        <f t="shared" si="175"/>
        <v>0</v>
      </c>
      <c r="AA1844" s="5">
        <f t="shared" si="176"/>
        <v>0</v>
      </c>
      <c r="AB1844" s="5">
        <f t="shared" si="177"/>
        <v>0</v>
      </c>
      <c r="AC1844" s="5"/>
      <c r="AD1844" s="5">
        <v>0</v>
      </c>
      <c r="AE1844" s="5">
        <f t="shared" si="178"/>
        <v>0</v>
      </c>
      <c r="AF1844" s="70">
        <v>0</v>
      </c>
      <c r="AG1844" s="17"/>
      <c r="AH1844" s="18"/>
      <c r="AI1844" s="47" t="s">
        <v>4336</v>
      </c>
      <c r="AJ1844" s="73" t="s">
        <v>4337</v>
      </c>
      <c r="AK1844" s="45"/>
      <c r="AL1844" s="17"/>
      <c r="AM1844" s="100" t="s">
        <v>3758</v>
      </c>
      <c r="AN1844" s="19"/>
      <c r="AO1844" s="19"/>
      <c r="AP1844" s="19"/>
      <c r="AQ1844" s="19"/>
      <c r="AR1844" s="19"/>
      <c r="AS1844" s="19"/>
      <c r="AT1844" s="19"/>
      <c r="AU1844" s="19"/>
      <c r="AV1844" s="19"/>
      <c r="AW1844" s="19"/>
      <c r="AX1844" s="107"/>
      <c r="AY1844" s="107"/>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39"/>
      <c r="CO1844" s="138"/>
      <c r="CP1844" s="139"/>
      <c r="CQ1844" s="138"/>
      <c r="CR1844" s="139"/>
      <c r="CS1844" s="138"/>
      <c r="CT1844" s="72"/>
      <c r="CU1844" s="139"/>
      <c r="CV1844" s="99">
        <f t="shared" si="173"/>
        <v>0</v>
      </c>
      <c r="CW1844" s="139"/>
      <c r="CX1844" s="138"/>
      <c r="CY1844" s="138"/>
      <c r="CZ1844" s="138"/>
      <c r="DA1844" s="139"/>
      <c r="DB1844" s="138"/>
      <c r="DC1844" s="45"/>
      <c r="DD1844" s="138"/>
      <c r="DE1844" s="45"/>
      <c r="DF1844" s="46">
        <v>1914</v>
      </c>
    </row>
    <row r="1845" spans="1:110" s="42" customFormat="1" ht="36" x14ac:dyDescent="0.2">
      <c r="A1845" s="89">
        <v>40742</v>
      </c>
      <c r="B1845" s="90" t="s">
        <v>3358</v>
      </c>
      <c r="C1845" s="90" t="s">
        <v>4253</v>
      </c>
      <c r="D1845" s="90" t="s">
        <v>4298</v>
      </c>
      <c r="E1845" s="90" t="str">
        <f>VLOOKUP(B1845&amp;C1845,Divipola!$C$2:$F$1138,4,FALSE)</f>
        <v>18001</v>
      </c>
      <c r="F1845" s="4"/>
      <c r="G1845" s="101"/>
      <c r="H1845" s="101"/>
      <c r="I1845" s="101"/>
      <c r="J1845" s="101">
        <v>80</v>
      </c>
      <c r="K1845" s="101">
        <v>16</v>
      </c>
      <c r="L1845" s="101">
        <v>7</v>
      </c>
      <c r="M1845" s="101"/>
      <c r="N1845" s="101"/>
      <c r="O1845" s="101"/>
      <c r="P1845" s="101"/>
      <c r="Q1845" s="101"/>
      <c r="R1845" s="101"/>
      <c r="S1845" s="101"/>
      <c r="T1845" s="101"/>
      <c r="U1845" s="101"/>
      <c r="V1845" s="101"/>
      <c r="W1845" s="19"/>
      <c r="X1845" s="17"/>
      <c r="Y1845" s="5">
        <f t="shared" si="174"/>
        <v>3971122.3999999994</v>
      </c>
      <c r="Z1845" s="5">
        <f t="shared" si="175"/>
        <v>2719951.36</v>
      </c>
      <c r="AA1845" s="5">
        <f t="shared" si="176"/>
        <v>11899616.4</v>
      </c>
      <c r="AB1845" s="5">
        <f t="shared" si="177"/>
        <v>0</v>
      </c>
      <c r="AC1845" s="5"/>
      <c r="AD1845" s="5">
        <v>0</v>
      </c>
      <c r="AE1845" s="5">
        <f t="shared" si="178"/>
        <v>18590690.16</v>
      </c>
      <c r="AF1845" s="70">
        <v>0</v>
      </c>
      <c r="AG1845" s="17"/>
      <c r="AH1845" s="18"/>
      <c r="AI1845" s="47" t="s">
        <v>4346</v>
      </c>
      <c r="AJ1845" s="73" t="s">
        <v>4347</v>
      </c>
      <c r="AK1845" s="45"/>
      <c r="AL1845" s="17"/>
      <c r="AM1845" s="100" t="s">
        <v>1111</v>
      </c>
      <c r="AN1845" s="19"/>
      <c r="AO1845" s="19"/>
      <c r="AP1845" s="19"/>
      <c r="AQ1845" s="19"/>
      <c r="AR1845" s="19"/>
      <c r="AS1845" s="19"/>
      <c r="AT1845" s="19"/>
      <c r="AU1845" s="19"/>
      <c r="AV1845" s="19">
        <v>28</v>
      </c>
      <c r="AW1845" s="19">
        <f>28*20999.48</f>
        <v>587985.43999999994</v>
      </c>
      <c r="AX1845" s="107"/>
      <c r="AY1845" s="107"/>
      <c r="AZ1845" s="19">
        <v>28</v>
      </c>
      <c r="BA1845" s="19">
        <f>28*55999</f>
        <v>1567972</v>
      </c>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v>28</v>
      </c>
      <c r="CK1845" s="19">
        <f>28*20999.48</f>
        <v>587985.43999999994</v>
      </c>
      <c r="CL1845" s="19"/>
      <c r="CM1845" s="19"/>
      <c r="CN1845" s="139"/>
      <c r="CO1845" s="138"/>
      <c r="CP1845" s="139">
        <v>16</v>
      </c>
      <c r="CQ1845" s="138">
        <f>16*36999.36</f>
        <v>591989.76000000001</v>
      </c>
      <c r="CR1845" s="139">
        <v>16</v>
      </c>
      <c r="CS1845" s="138">
        <f>16*39699.36</f>
        <v>635189.76000000001</v>
      </c>
      <c r="CT1845" s="72"/>
      <c r="CU1845" s="139"/>
      <c r="CV1845" s="99">
        <f t="shared" si="173"/>
        <v>3971122.3999999994</v>
      </c>
      <c r="CW1845" s="139"/>
      <c r="CX1845" s="138"/>
      <c r="CY1845" s="138">
        <v>32</v>
      </c>
      <c r="CZ1845" s="138">
        <f>32*84998.48</f>
        <v>2719951.36</v>
      </c>
      <c r="DA1845" s="139">
        <v>210</v>
      </c>
      <c r="DB1845" s="138">
        <f>210*25999.08</f>
        <v>5459806.8000000007</v>
      </c>
      <c r="DC1845" s="45">
        <v>280</v>
      </c>
      <c r="DD1845" s="138">
        <f>280*22999.32</f>
        <v>6439809.5999999996</v>
      </c>
      <c r="DE1845" s="45"/>
      <c r="DF1845" s="46"/>
    </row>
    <row r="1846" spans="1:110" s="42" customFormat="1" x14ac:dyDescent="0.2">
      <c r="A1846" s="89">
        <v>40742</v>
      </c>
      <c r="B1846" s="16" t="s">
        <v>4296</v>
      </c>
      <c r="C1846" s="16" t="s">
        <v>3334</v>
      </c>
      <c r="D1846" s="90" t="s">
        <v>4264</v>
      </c>
      <c r="E1846" s="90" t="str">
        <f>VLOOKUP(B1846&amp;C1846,Divipola!$C$2:$F$1138,4,FALSE)</f>
        <v>19130</v>
      </c>
      <c r="F1846" s="4"/>
      <c r="G1846" s="208"/>
      <c r="H1846" s="208"/>
      <c r="I1846" s="208"/>
      <c r="J1846" s="208">
        <f>536*5</f>
        <v>2680</v>
      </c>
      <c r="K1846" s="208">
        <v>536</v>
      </c>
      <c r="L1846" s="208"/>
      <c r="M1846" s="208">
        <v>536</v>
      </c>
      <c r="N1846" s="208">
        <v>2</v>
      </c>
      <c r="O1846" s="208"/>
      <c r="P1846" s="208"/>
      <c r="Q1846" s="208"/>
      <c r="R1846" s="208"/>
      <c r="S1846" s="208"/>
      <c r="T1846" s="208">
        <v>1</v>
      </c>
      <c r="U1846" s="208"/>
      <c r="V1846" s="208"/>
      <c r="W1846" s="19"/>
      <c r="X1846" s="17"/>
      <c r="Y1846" s="5">
        <f t="shared" si="174"/>
        <v>19832000</v>
      </c>
      <c r="Z1846" s="5">
        <f t="shared" si="175"/>
        <v>45560000</v>
      </c>
      <c r="AA1846" s="5">
        <f t="shared" si="176"/>
        <v>0</v>
      </c>
      <c r="AB1846" s="5">
        <f t="shared" si="177"/>
        <v>0</v>
      </c>
      <c r="AC1846" s="5"/>
      <c r="AD1846" s="5">
        <v>0</v>
      </c>
      <c r="AE1846" s="5">
        <f t="shared" si="178"/>
        <v>65392000</v>
      </c>
      <c r="AF1846" s="70">
        <v>0</v>
      </c>
      <c r="AG1846" s="17"/>
      <c r="AH1846" s="18"/>
      <c r="AI1846" s="95" t="s">
        <v>4346</v>
      </c>
      <c r="AJ1846" s="96" t="s">
        <v>4347</v>
      </c>
      <c r="AK1846" s="45"/>
      <c r="AL1846" s="17"/>
      <c r="AM1846" s="20"/>
      <c r="AN1846" s="19"/>
      <c r="AO1846" s="19"/>
      <c r="AP1846" s="19"/>
      <c r="AQ1846" s="19"/>
      <c r="AR1846" s="19"/>
      <c r="AS1846" s="19"/>
      <c r="AT1846" s="19"/>
      <c r="AU1846" s="19"/>
      <c r="AV1846" s="19"/>
      <c r="AW1846" s="19"/>
      <c r="AX1846" s="107"/>
      <c r="AY1846" s="107"/>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39"/>
      <c r="CO1846" s="138"/>
      <c r="CP1846" s="139">
        <v>536</v>
      </c>
      <c r="CQ1846" s="138">
        <f>536*37000</f>
        <v>19832000</v>
      </c>
      <c r="CR1846" s="139"/>
      <c r="CS1846" s="138"/>
      <c r="CT1846" s="72"/>
      <c r="CU1846" s="139"/>
      <c r="CV1846" s="99">
        <f t="shared" si="173"/>
        <v>19832000</v>
      </c>
      <c r="CW1846" s="139"/>
      <c r="CX1846" s="138"/>
      <c r="CY1846" s="138">
        <v>536</v>
      </c>
      <c r="CZ1846" s="138">
        <f>536*85000</f>
        <v>45560000</v>
      </c>
      <c r="DA1846" s="139"/>
      <c r="DB1846" s="138"/>
      <c r="DC1846" s="45"/>
      <c r="DD1846" s="138"/>
      <c r="DE1846" s="45"/>
      <c r="DF1846" s="46"/>
    </row>
    <row r="1847" spans="1:110" s="42" customFormat="1" ht="22.5" x14ac:dyDescent="0.2">
      <c r="A1847" s="89">
        <v>40742</v>
      </c>
      <c r="B1847" s="16" t="s">
        <v>4244</v>
      </c>
      <c r="C1847" s="16" t="s">
        <v>4268</v>
      </c>
      <c r="D1847" s="16" t="s">
        <v>2860</v>
      </c>
      <c r="E1847" s="90" t="str">
        <f>VLOOKUP(B1847&amp;C1847,Divipola!$C$2:$F$1138,4,FALSE)</f>
        <v>76243</v>
      </c>
      <c r="F1847" s="4"/>
      <c r="G1847" s="208"/>
      <c r="H1847" s="208"/>
      <c r="I1847" s="208"/>
      <c r="J1847" s="208">
        <f>21*5</f>
        <v>105</v>
      </c>
      <c r="K1847" s="208">
        <v>21</v>
      </c>
      <c r="L1847" s="208"/>
      <c r="M1847" s="208">
        <v>21</v>
      </c>
      <c r="N1847" s="208"/>
      <c r="O1847" s="208"/>
      <c r="P1847" s="208"/>
      <c r="Q1847" s="208"/>
      <c r="R1847" s="208"/>
      <c r="S1847" s="208"/>
      <c r="T1847" s="208"/>
      <c r="U1847" s="208"/>
      <c r="V1847" s="208"/>
      <c r="W1847" s="19"/>
      <c r="X1847" s="17"/>
      <c r="Y1847" s="5">
        <f t="shared" si="174"/>
        <v>833696.6399999999</v>
      </c>
      <c r="Z1847" s="5">
        <f t="shared" si="175"/>
        <v>1785000</v>
      </c>
      <c r="AA1847" s="5">
        <f t="shared" si="176"/>
        <v>0</v>
      </c>
      <c r="AB1847" s="5">
        <f t="shared" si="177"/>
        <v>0</v>
      </c>
      <c r="AC1847" s="5"/>
      <c r="AD1847" s="5">
        <v>0</v>
      </c>
      <c r="AE1847" s="5">
        <f t="shared" si="178"/>
        <v>2618696.6399999997</v>
      </c>
      <c r="AF1847" s="70">
        <v>0</v>
      </c>
      <c r="AG1847" s="17"/>
      <c r="AH1847" s="18"/>
      <c r="AI1847" s="95" t="s">
        <v>4346</v>
      </c>
      <c r="AJ1847" s="96" t="s">
        <v>4347</v>
      </c>
      <c r="AK1847" s="45"/>
      <c r="AL1847" s="17"/>
      <c r="AM1847" s="20" t="s">
        <v>12</v>
      </c>
      <c r="AN1847" s="19"/>
      <c r="AO1847" s="19"/>
      <c r="AP1847" s="19"/>
      <c r="AQ1847" s="19"/>
      <c r="AR1847" s="19"/>
      <c r="AS1847" s="19"/>
      <c r="AT1847" s="19"/>
      <c r="AU1847" s="19"/>
      <c r="AV1847" s="19"/>
      <c r="AW1847" s="19"/>
      <c r="AX1847" s="107"/>
      <c r="AY1847" s="107"/>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c r="CK1847" s="19"/>
      <c r="CL1847" s="19"/>
      <c r="CM1847" s="19"/>
      <c r="CN1847" s="139"/>
      <c r="CO1847" s="138"/>
      <c r="CP1847" s="139"/>
      <c r="CQ1847" s="138"/>
      <c r="CR1847" s="139">
        <v>21</v>
      </c>
      <c r="CS1847" s="138">
        <f>21*39699.84</f>
        <v>833696.6399999999</v>
      </c>
      <c r="CT1847" s="72"/>
      <c r="CU1847" s="139"/>
      <c r="CV1847" s="99">
        <f t="shared" si="173"/>
        <v>833696.6399999999</v>
      </c>
      <c r="CW1847" s="139"/>
      <c r="CX1847" s="138"/>
      <c r="CY1847" s="138">
        <v>21</v>
      </c>
      <c r="CZ1847" s="138">
        <f>21*85000</f>
        <v>1785000</v>
      </c>
      <c r="DA1847" s="139"/>
      <c r="DB1847" s="138"/>
      <c r="DC1847" s="45"/>
      <c r="DD1847" s="138"/>
      <c r="DE1847" s="45"/>
      <c r="DF1847" s="46"/>
    </row>
    <row r="1848" spans="1:110" s="42" customFormat="1" ht="72" x14ac:dyDescent="0.2">
      <c r="A1848" s="89">
        <v>40743</v>
      </c>
      <c r="B1848" s="90" t="s">
        <v>4261</v>
      </c>
      <c r="C1848" s="90" t="s">
        <v>2861</v>
      </c>
      <c r="D1848" s="90" t="s">
        <v>2362</v>
      </c>
      <c r="E1848" s="90" t="str">
        <f>VLOOKUP(B1848&amp;C1848,Divipola!$C$2:$F$1138,4,FALSE)</f>
        <v>15176</v>
      </c>
      <c r="F1848" s="4"/>
      <c r="G1848" s="101"/>
      <c r="H1848" s="101"/>
      <c r="I1848" s="101"/>
      <c r="J1848" s="101">
        <v>1390</v>
      </c>
      <c r="K1848" s="101">
        <v>278</v>
      </c>
      <c r="L1848" s="101"/>
      <c r="M1848" s="101">
        <v>278</v>
      </c>
      <c r="N1848" s="101"/>
      <c r="O1848" s="101"/>
      <c r="P1848" s="101"/>
      <c r="Q1848" s="101"/>
      <c r="R1848" s="101"/>
      <c r="S1848" s="101"/>
      <c r="T1848" s="101"/>
      <c r="U1848" s="101"/>
      <c r="V1848" s="101">
        <v>1388</v>
      </c>
      <c r="W1848" s="19"/>
      <c r="X1848" s="17"/>
      <c r="Y1848" s="5">
        <f t="shared" si="174"/>
        <v>0</v>
      </c>
      <c r="Z1848" s="5">
        <f t="shared" si="175"/>
        <v>0</v>
      </c>
      <c r="AA1848" s="5">
        <f t="shared" si="176"/>
        <v>0</v>
      </c>
      <c r="AB1848" s="5">
        <f t="shared" si="177"/>
        <v>0</v>
      </c>
      <c r="AC1848" s="5"/>
      <c r="AD1848" s="5">
        <v>0</v>
      </c>
      <c r="AE1848" s="5">
        <f t="shared" si="178"/>
        <v>0</v>
      </c>
      <c r="AF1848" s="70">
        <v>0</v>
      </c>
      <c r="AG1848" s="17"/>
      <c r="AH1848" s="18"/>
      <c r="AI1848" s="47" t="s">
        <v>4336</v>
      </c>
      <c r="AJ1848" s="73" t="s">
        <v>4337</v>
      </c>
      <c r="AK1848" s="45"/>
      <c r="AL1848" s="17"/>
      <c r="AM1848" s="100" t="s">
        <v>2320</v>
      </c>
      <c r="AN1848" s="19"/>
      <c r="AO1848" s="19"/>
      <c r="AP1848" s="19"/>
      <c r="AQ1848" s="19"/>
      <c r="AR1848" s="19"/>
      <c r="AS1848" s="19"/>
      <c r="AT1848" s="19"/>
      <c r="AU1848" s="19"/>
      <c r="AV1848" s="19"/>
      <c r="AW1848" s="19"/>
      <c r="AX1848" s="107"/>
      <c r="AY1848" s="107"/>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39"/>
      <c r="CO1848" s="138"/>
      <c r="CP1848" s="139"/>
      <c r="CQ1848" s="138"/>
      <c r="CR1848" s="139"/>
      <c r="CS1848" s="138"/>
      <c r="CT1848" s="72"/>
      <c r="CU1848" s="139"/>
      <c r="CV1848" s="99">
        <f t="shared" si="173"/>
        <v>0</v>
      </c>
      <c r="CW1848" s="139"/>
      <c r="CX1848" s="138"/>
      <c r="CY1848" s="138"/>
      <c r="CZ1848" s="138"/>
      <c r="DA1848" s="139"/>
      <c r="DB1848" s="138"/>
      <c r="DC1848" s="45"/>
      <c r="DD1848" s="138"/>
      <c r="DE1848" s="45"/>
      <c r="DF1848" s="46"/>
    </row>
    <row r="1849" spans="1:110" s="42" customFormat="1" x14ac:dyDescent="0.2">
      <c r="A1849" s="89">
        <v>40743</v>
      </c>
      <c r="B1849" s="4" t="s">
        <v>4353</v>
      </c>
      <c r="C1849" s="4" t="s">
        <v>2221</v>
      </c>
      <c r="D1849" s="90" t="s">
        <v>4264</v>
      </c>
      <c r="E1849" s="90" t="str">
        <f>VLOOKUP(B1849&amp;C1849,Divipola!$C$2:$F$1138,4,FALSE)</f>
        <v>85263</v>
      </c>
      <c r="F1849" s="4"/>
      <c r="G1849" s="208"/>
      <c r="H1849" s="208"/>
      <c r="I1849" s="208"/>
      <c r="J1849" s="208">
        <f>372*4</f>
        <v>1488</v>
      </c>
      <c r="K1849" s="208">
        <v>372</v>
      </c>
      <c r="L1849" s="208"/>
      <c r="M1849" s="208"/>
      <c r="N1849" s="208"/>
      <c r="O1849" s="208"/>
      <c r="P1849" s="208"/>
      <c r="Q1849" s="208"/>
      <c r="R1849" s="208"/>
      <c r="S1849" s="208"/>
      <c r="T1849" s="208"/>
      <c r="U1849" s="208"/>
      <c r="V1849" s="208"/>
      <c r="W1849" s="19"/>
      <c r="X1849" s="17"/>
      <c r="Y1849" s="5">
        <f t="shared" si="174"/>
        <v>0</v>
      </c>
      <c r="Z1849" s="5">
        <f t="shared" si="175"/>
        <v>31620000</v>
      </c>
      <c r="AA1849" s="5">
        <f t="shared" si="176"/>
        <v>61674300</v>
      </c>
      <c r="AB1849" s="5">
        <f t="shared" si="177"/>
        <v>0</v>
      </c>
      <c r="AC1849" s="5"/>
      <c r="AD1849" s="5">
        <v>0</v>
      </c>
      <c r="AE1849" s="5">
        <f t="shared" si="178"/>
        <v>93294300</v>
      </c>
      <c r="AF1849" s="70">
        <v>0</v>
      </c>
      <c r="AG1849" s="17"/>
      <c r="AH1849" s="18"/>
      <c r="AI1849" s="95" t="s">
        <v>4346</v>
      </c>
      <c r="AJ1849" s="96" t="s">
        <v>4347</v>
      </c>
      <c r="AK1849" s="45"/>
      <c r="AL1849" s="17"/>
      <c r="AM1849" s="20"/>
      <c r="AN1849" s="19"/>
      <c r="AO1849" s="19"/>
      <c r="AP1849" s="19"/>
      <c r="AQ1849" s="19"/>
      <c r="AR1849" s="19"/>
      <c r="AS1849" s="19"/>
      <c r="AT1849" s="19"/>
      <c r="AU1849" s="19"/>
      <c r="AV1849" s="19"/>
      <c r="AW1849" s="19"/>
      <c r="AX1849" s="107"/>
      <c r="AY1849" s="107"/>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39"/>
      <c r="CO1849" s="138"/>
      <c r="CP1849" s="139"/>
      <c r="CQ1849" s="138"/>
      <c r="CR1849" s="139"/>
      <c r="CS1849" s="138"/>
      <c r="CT1849" s="72"/>
      <c r="CU1849" s="139"/>
      <c r="CV1849" s="99">
        <f t="shared" si="173"/>
        <v>0</v>
      </c>
      <c r="CW1849" s="139"/>
      <c r="CX1849" s="138"/>
      <c r="CY1849" s="138">
        <v>372</v>
      </c>
      <c r="CZ1849" s="138">
        <f>372*85000</f>
        <v>31620000</v>
      </c>
      <c r="DA1849" s="139">
        <v>500</v>
      </c>
      <c r="DB1849" s="138">
        <f>500*24999.16</f>
        <v>12499580</v>
      </c>
      <c r="DC1849" s="45">
        <v>2000</v>
      </c>
      <c r="DD1849" s="138">
        <f>2000*22499.36+12000*348</f>
        <v>49174720</v>
      </c>
      <c r="DE1849" s="45"/>
      <c r="DF1849" s="46"/>
    </row>
    <row r="1850" spans="1:110" s="42" customFormat="1" ht="60" x14ac:dyDescent="0.2">
      <c r="A1850" s="89">
        <v>40744</v>
      </c>
      <c r="B1850" s="16" t="s">
        <v>4261</v>
      </c>
      <c r="C1850" s="16" t="s">
        <v>1307</v>
      </c>
      <c r="D1850" s="16" t="s">
        <v>2865</v>
      </c>
      <c r="E1850" s="90" t="str">
        <f>VLOOKUP(B1850&amp;C1850,Divipola!$C$2:$F$1138,4,FALSE)</f>
        <v>15755</v>
      </c>
      <c r="F1850" s="4"/>
      <c r="G1850" s="208">
        <v>2</v>
      </c>
      <c r="H1850" s="208"/>
      <c r="I1850" s="208"/>
      <c r="J1850" s="208"/>
      <c r="K1850" s="208"/>
      <c r="L1850" s="208"/>
      <c r="M1850" s="208"/>
      <c r="N1850" s="208"/>
      <c r="O1850" s="208"/>
      <c r="P1850" s="208"/>
      <c r="Q1850" s="208"/>
      <c r="R1850" s="208"/>
      <c r="S1850" s="208"/>
      <c r="T1850" s="208"/>
      <c r="U1850" s="208"/>
      <c r="V1850" s="208"/>
      <c r="W1850" s="19"/>
      <c r="X1850" s="17"/>
      <c r="Y1850" s="5">
        <f t="shared" si="174"/>
        <v>0</v>
      </c>
      <c r="Z1850" s="5">
        <f t="shared" si="175"/>
        <v>0</v>
      </c>
      <c r="AA1850" s="5">
        <f t="shared" si="176"/>
        <v>0</v>
      </c>
      <c r="AB1850" s="5">
        <f t="shared" si="177"/>
        <v>0</v>
      </c>
      <c r="AC1850" s="5"/>
      <c r="AD1850" s="5">
        <v>0</v>
      </c>
      <c r="AE1850" s="5">
        <f t="shared" si="178"/>
        <v>0</v>
      </c>
      <c r="AF1850" s="70">
        <v>0</v>
      </c>
      <c r="AG1850" s="17"/>
      <c r="AH1850" s="18"/>
      <c r="AI1850" s="47" t="s">
        <v>4336</v>
      </c>
      <c r="AJ1850" s="73" t="s">
        <v>4337</v>
      </c>
      <c r="AK1850" s="45"/>
      <c r="AL1850" s="17"/>
      <c r="AM1850" s="20" t="s">
        <v>1117</v>
      </c>
      <c r="AN1850" s="19"/>
      <c r="AO1850" s="19"/>
      <c r="AP1850" s="19"/>
      <c r="AQ1850" s="19"/>
      <c r="AR1850" s="19"/>
      <c r="AS1850" s="19"/>
      <c r="AT1850" s="19"/>
      <c r="AU1850" s="19"/>
      <c r="AV1850" s="19"/>
      <c r="AW1850" s="19"/>
      <c r="AX1850" s="107"/>
      <c r="AY1850" s="107"/>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39"/>
      <c r="CO1850" s="138"/>
      <c r="CP1850" s="139"/>
      <c r="CQ1850" s="138"/>
      <c r="CR1850" s="139"/>
      <c r="CS1850" s="138"/>
      <c r="CT1850" s="72"/>
      <c r="CU1850" s="139"/>
      <c r="CV1850" s="99">
        <f t="shared" si="173"/>
        <v>0</v>
      </c>
      <c r="CW1850" s="139"/>
      <c r="CX1850" s="138"/>
      <c r="CY1850" s="138"/>
      <c r="CZ1850" s="138"/>
      <c r="DA1850" s="139"/>
      <c r="DB1850" s="138"/>
      <c r="DC1850" s="45"/>
      <c r="DD1850" s="138"/>
      <c r="DE1850" s="45"/>
      <c r="DF1850" s="46"/>
    </row>
    <row r="1851" spans="1:110" s="42" customFormat="1" x14ac:dyDescent="0.2">
      <c r="A1851" s="89">
        <v>40744</v>
      </c>
      <c r="B1851" s="16" t="s">
        <v>4348</v>
      </c>
      <c r="C1851" s="16" t="s">
        <v>2228</v>
      </c>
      <c r="D1851" s="16" t="s">
        <v>3346</v>
      </c>
      <c r="E1851" s="90" t="str">
        <f>VLOOKUP(B1851&amp;C1851,Divipola!$C$2:$F$1138,4,FALSE)</f>
        <v>66001</v>
      </c>
      <c r="F1851" s="4"/>
      <c r="G1851" s="208"/>
      <c r="H1851" s="208"/>
      <c r="I1851" s="208"/>
      <c r="J1851" s="208">
        <v>120</v>
      </c>
      <c r="K1851" s="208">
        <v>24</v>
      </c>
      <c r="L1851" s="208"/>
      <c r="M1851" s="208">
        <v>24</v>
      </c>
      <c r="N1851" s="208"/>
      <c r="O1851" s="208"/>
      <c r="P1851" s="208"/>
      <c r="Q1851" s="208"/>
      <c r="R1851" s="208"/>
      <c r="S1851" s="208"/>
      <c r="T1851" s="208"/>
      <c r="U1851" s="208"/>
      <c r="V1851" s="208"/>
      <c r="W1851" s="19"/>
      <c r="X1851" s="17"/>
      <c r="Y1851" s="5">
        <f t="shared" si="174"/>
        <v>0</v>
      </c>
      <c r="Z1851" s="5">
        <f t="shared" si="175"/>
        <v>0</v>
      </c>
      <c r="AA1851" s="5">
        <f t="shared" si="176"/>
        <v>0</v>
      </c>
      <c r="AB1851" s="5">
        <f t="shared" si="177"/>
        <v>0</v>
      </c>
      <c r="AC1851" s="5"/>
      <c r="AD1851" s="5">
        <v>0</v>
      </c>
      <c r="AE1851" s="5">
        <f t="shared" si="178"/>
        <v>0</v>
      </c>
      <c r="AF1851" s="70">
        <v>0</v>
      </c>
      <c r="AG1851" s="17"/>
      <c r="AH1851" s="18"/>
      <c r="AI1851" s="47" t="s">
        <v>4336</v>
      </c>
      <c r="AJ1851" s="73" t="s">
        <v>4337</v>
      </c>
      <c r="AK1851" s="45"/>
      <c r="AL1851" s="17"/>
      <c r="AM1851" s="20" t="s">
        <v>224</v>
      </c>
      <c r="AN1851" s="19"/>
      <c r="AO1851" s="19"/>
      <c r="AP1851" s="19"/>
      <c r="AQ1851" s="19"/>
      <c r="AR1851" s="19"/>
      <c r="AS1851" s="19"/>
      <c r="AT1851" s="19"/>
      <c r="AU1851" s="19"/>
      <c r="AV1851" s="19"/>
      <c r="AW1851" s="19"/>
      <c r="AX1851" s="107"/>
      <c r="AY1851" s="107"/>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39"/>
      <c r="CO1851" s="138"/>
      <c r="CP1851" s="139"/>
      <c r="CQ1851" s="138"/>
      <c r="CR1851" s="139"/>
      <c r="CS1851" s="138"/>
      <c r="CT1851" s="72"/>
      <c r="CU1851" s="139"/>
      <c r="CV1851" s="99">
        <f t="shared" si="173"/>
        <v>0</v>
      </c>
      <c r="CW1851" s="139"/>
      <c r="CX1851" s="138"/>
      <c r="CY1851" s="138"/>
      <c r="CZ1851" s="138"/>
      <c r="DA1851" s="139"/>
      <c r="DB1851" s="138"/>
      <c r="DC1851" s="45"/>
      <c r="DD1851" s="138"/>
      <c r="DE1851" s="45"/>
      <c r="DF1851" s="46"/>
    </row>
    <row r="1852" spans="1:110" s="42" customFormat="1" x14ac:dyDescent="0.2">
      <c r="A1852" s="89">
        <v>40745</v>
      </c>
      <c r="B1852" s="16" t="s">
        <v>4348</v>
      </c>
      <c r="C1852" s="16" t="s">
        <v>2228</v>
      </c>
      <c r="D1852" s="90" t="s">
        <v>2362</v>
      </c>
      <c r="E1852" s="90" t="str">
        <f>VLOOKUP(B1852&amp;C1852,Divipola!$C$2:$F$1138,4,FALSE)</f>
        <v>66001</v>
      </c>
      <c r="F1852" s="4"/>
      <c r="G1852" s="208"/>
      <c r="H1852" s="208"/>
      <c r="I1852" s="208"/>
      <c r="J1852" s="208">
        <v>10</v>
      </c>
      <c r="K1852" s="208">
        <v>2</v>
      </c>
      <c r="L1852" s="208"/>
      <c r="M1852" s="208">
        <v>2</v>
      </c>
      <c r="N1852" s="208"/>
      <c r="O1852" s="208"/>
      <c r="P1852" s="208"/>
      <c r="Q1852" s="208"/>
      <c r="R1852" s="208"/>
      <c r="S1852" s="208"/>
      <c r="T1852" s="208"/>
      <c r="U1852" s="208"/>
      <c r="V1852" s="208"/>
      <c r="W1852" s="19"/>
      <c r="X1852" s="17"/>
      <c r="Y1852" s="5">
        <f t="shared" si="174"/>
        <v>0</v>
      </c>
      <c r="Z1852" s="5">
        <f t="shared" si="175"/>
        <v>0</v>
      </c>
      <c r="AA1852" s="5">
        <f t="shared" si="176"/>
        <v>0</v>
      </c>
      <c r="AB1852" s="5">
        <f t="shared" si="177"/>
        <v>0</v>
      </c>
      <c r="AC1852" s="5"/>
      <c r="AD1852" s="5">
        <v>0</v>
      </c>
      <c r="AE1852" s="5">
        <f t="shared" si="178"/>
        <v>0</v>
      </c>
      <c r="AF1852" s="70">
        <v>0</v>
      </c>
      <c r="AG1852" s="17"/>
      <c r="AH1852" s="18"/>
      <c r="AI1852" s="47" t="s">
        <v>4336</v>
      </c>
      <c r="AJ1852" s="73" t="s">
        <v>4337</v>
      </c>
      <c r="AK1852" s="45"/>
      <c r="AL1852" s="17"/>
      <c r="AM1852" s="20" t="s">
        <v>1115</v>
      </c>
      <c r="AN1852" s="19"/>
      <c r="AO1852" s="19"/>
      <c r="AP1852" s="19"/>
      <c r="AQ1852" s="19"/>
      <c r="AR1852" s="19"/>
      <c r="AS1852" s="19"/>
      <c r="AT1852" s="19"/>
      <c r="AU1852" s="19"/>
      <c r="AV1852" s="19"/>
      <c r="AW1852" s="19"/>
      <c r="AX1852" s="107"/>
      <c r="AY1852" s="107"/>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39"/>
      <c r="CO1852" s="138"/>
      <c r="CP1852" s="139"/>
      <c r="CQ1852" s="138"/>
      <c r="CR1852" s="139"/>
      <c r="CS1852" s="138"/>
      <c r="CT1852" s="72"/>
      <c r="CU1852" s="139"/>
      <c r="CV1852" s="99">
        <f t="shared" si="173"/>
        <v>0</v>
      </c>
      <c r="CW1852" s="139"/>
      <c r="CX1852" s="138"/>
      <c r="CY1852" s="138"/>
      <c r="CZ1852" s="138"/>
      <c r="DA1852" s="139"/>
      <c r="DB1852" s="138"/>
      <c r="DC1852" s="45"/>
      <c r="DD1852" s="138"/>
      <c r="DE1852" s="45"/>
      <c r="DF1852" s="46"/>
    </row>
    <row r="1853" spans="1:110" s="42" customFormat="1" ht="22.5" x14ac:dyDescent="0.2">
      <c r="A1853" s="89">
        <v>40746</v>
      </c>
      <c r="B1853" s="16" t="s">
        <v>4344</v>
      </c>
      <c r="C1853" s="16" t="s">
        <v>1792</v>
      </c>
      <c r="D1853" s="90" t="s">
        <v>4264</v>
      </c>
      <c r="E1853" s="90" t="str">
        <f>VLOOKUP(B1853&amp;C1853,Divipola!$C$2:$F$1138,4,FALSE)</f>
        <v>25662</v>
      </c>
      <c r="F1853" s="4"/>
      <c r="G1853" s="208"/>
      <c r="H1853" s="208"/>
      <c r="I1853" s="208"/>
      <c r="J1853" s="208"/>
      <c r="K1853" s="208"/>
      <c r="L1853" s="208"/>
      <c r="M1853" s="208"/>
      <c r="N1853" s="208"/>
      <c r="O1853" s="208"/>
      <c r="P1853" s="208"/>
      <c r="Q1853" s="208"/>
      <c r="R1853" s="208"/>
      <c r="S1853" s="208"/>
      <c r="T1853" s="208"/>
      <c r="U1853" s="208"/>
      <c r="V1853" s="208"/>
      <c r="W1853" s="19"/>
      <c r="X1853" s="17"/>
      <c r="Y1853" s="5">
        <f t="shared" si="174"/>
        <v>0</v>
      </c>
      <c r="Z1853" s="5">
        <f t="shared" si="175"/>
        <v>0</v>
      </c>
      <c r="AA1853" s="5">
        <f t="shared" si="176"/>
        <v>0</v>
      </c>
      <c r="AB1853" s="5">
        <f t="shared" si="177"/>
        <v>0</v>
      </c>
      <c r="AC1853" s="143">
        <f>20*229506</f>
        <v>4590120</v>
      </c>
      <c r="AD1853" s="5">
        <v>0</v>
      </c>
      <c r="AE1853" s="5">
        <f t="shared" si="178"/>
        <v>4590120</v>
      </c>
      <c r="AF1853" s="70">
        <v>0</v>
      </c>
      <c r="AG1853" s="17"/>
      <c r="AH1853" s="18"/>
      <c r="AI1853" s="47" t="s">
        <v>4346</v>
      </c>
      <c r="AJ1853" s="73" t="s">
        <v>4347</v>
      </c>
      <c r="AK1853" s="45"/>
      <c r="AL1853" s="17"/>
      <c r="AM1853" s="144" t="s">
        <v>896</v>
      </c>
      <c r="AN1853" s="19"/>
      <c r="AO1853" s="19"/>
      <c r="AP1853" s="19"/>
      <c r="AQ1853" s="19"/>
      <c r="AR1853" s="19"/>
      <c r="AS1853" s="19"/>
      <c r="AT1853" s="19"/>
      <c r="AU1853" s="19"/>
      <c r="AV1853" s="19"/>
      <c r="AW1853" s="19"/>
      <c r="AX1853" s="107"/>
      <c r="AY1853" s="107"/>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39"/>
      <c r="CO1853" s="138"/>
      <c r="CP1853" s="139"/>
      <c r="CQ1853" s="138"/>
      <c r="CR1853" s="139"/>
      <c r="CS1853" s="138"/>
      <c r="CT1853" s="72"/>
      <c r="CU1853" s="139"/>
      <c r="CV1853" s="99">
        <f t="shared" si="173"/>
        <v>0</v>
      </c>
      <c r="CW1853" s="139"/>
      <c r="CX1853" s="138"/>
      <c r="CY1853" s="138"/>
      <c r="CZ1853" s="138"/>
      <c r="DA1853" s="139"/>
      <c r="DB1853" s="138"/>
      <c r="DC1853" s="45"/>
      <c r="DD1853" s="138"/>
      <c r="DE1853" s="45"/>
      <c r="DF1853" s="46"/>
    </row>
    <row r="1854" spans="1:110" s="42" customFormat="1" ht="60" x14ac:dyDescent="0.2">
      <c r="A1854" s="89">
        <v>40746</v>
      </c>
      <c r="B1854" s="90" t="s">
        <v>2226</v>
      </c>
      <c r="C1854" s="90" t="s">
        <v>2988</v>
      </c>
      <c r="D1854" s="90" t="s">
        <v>3514</v>
      </c>
      <c r="E1854" s="90" t="str">
        <f>VLOOKUP(B1854&amp;C1854,Divipola!$C$2:$F$1138,4,FALSE)</f>
        <v>68679</v>
      </c>
      <c r="F1854" s="4"/>
      <c r="G1854" s="101"/>
      <c r="H1854" s="101"/>
      <c r="I1854" s="101"/>
      <c r="J1854" s="101">
        <v>800</v>
      </c>
      <c r="K1854" s="101">
        <v>200</v>
      </c>
      <c r="L1854" s="101"/>
      <c r="M1854" s="101"/>
      <c r="N1854" s="101"/>
      <c r="O1854" s="101"/>
      <c r="P1854" s="101"/>
      <c r="Q1854" s="101"/>
      <c r="R1854" s="101"/>
      <c r="S1854" s="101"/>
      <c r="T1854" s="101"/>
      <c r="U1854" s="101"/>
      <c r="V1854" s="101"/>
      <c r="W1854" s="19"/>
      <c r="X1854" s="17"/>
      <c r="Y1854" s="5">
        <f t="shared" si="174"/>
        <v>0</v>
      </c>
      <c r="Z1854" s="5">
        <f t="shared" si="175"/>
        <v>0</v>
      </c>
      <c r="AA1854" s="5">
        <f t="shared" si="176"/>
        <v>0</v>
      </c>
      <c r="AB1854" s="5">
        <f t="shared" si="177"/>
        <v>0</v>
      </c>
      <c r="AC1854" s="5"/>
      <c r="AD1854" s="5">
        <v>0</v>
      </c>
      <c r="AE1854" s="5">
        <f t="shared" si="178"/>
        <v>0</v>
      </c>
      <c r="AF1854" s="70">
        <v>0</v>
      </c>
      <c r="AG1854" s="17"/>
      <c r="AH1854" s="18"/>
      <c r="AI1854" s="47" t="s">
        <v>4336</v>
      </c>
      <c r="AJ1854" s="73" t="s">
        <v>4337</v>
      </c>
      <c r="AK1854" s="45"/>
      <c r="AL1854" s="17"/>
      <c r="AM1854" s="100" t="s">
        <v>22</v>
      </c>
      <c r="AN1854" s="19"/>
      <c r="AO1854" s="19"/>
      <c r="AP1854" s="19"/>
      <c r="AQ1854" s="19"/>
      <c r="AR1854" s="19"/>
      <c r="AS1854" s="19"/>
      <c r="AT1854" s="19"/>
      <c r="AU1854" s="19"/>
      <c r="AV1854" s="19"/>
      <c r="AW1854" s="19"/>
      <c r="AX1854" s="107"/>
      <c r="AY1854" s="107"/>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39"/>
      <c r="CO1854" s="138"/>
      <c r="CP1854" s="139"/>
      <c r="CQ1854" s="138"/>
      <c r="CR1854" s="139"/>
      <c r="CS1854" s="138"/>
      <c r="CT1854" s="72"/>
      <c r="CU1854" s="139"/>
      <c r="CV1854" s="99">
        <f t="shared" si="173"/>
        <v>0</v>
      </c>
      <c r="CW1854" s="139"/>
      <c r="CX1854" s="138"/>
      <c r="CY1854" s="138"/>
      <c r="CZ1854" s="138"/>
      <c r="DA1854" s="139"/>
      <c r="DB1854" s="138"/>
      <c r="DC1854" s="45"/>
      <c r="DD1854" s="138"/>
      <c r="DE1854" s="45"/>
      <c r="DF1854" s="46"/>
    </row>
    <row r="1855" spans="1:110" s="42" customFormat="1" ht="60" x14ac:dyDescent="0.2">
      <c r="A1855" s="89">
        <v>40747</v>
      </c>
      <c r="B1855" s="90" t="s">
        <v>4296</v>
      </c>
      <c r="C1855" s="90" t="s">
        <v>4378</v>
      </c>
      <c r="D1855" s="90" t="s">
        <v>4264</v>
      </c>
      <c r="E1855" s="90" t="str">
        <f>VLOOKUP(B1855&amp;C1855,Divipola!$C$2:$F$1138,4,FALSE)</f>
        <v>19533</v>
      </c>
      <c r="F1855" s="4"/>
      <c r="G1855" s="101"/>
      <c r="H1855" s="101"/>
      <c r="I1855" s="101"/>
      <c r="J1855" s="101">
        <v>15</v>
      </c>
      <c r="K1855" s="101">
        <v>3</v>
      </c>
      <c r="L1855" s="101">
        <v>3</v>
      </c>
      <c r="M1855" s="101"/>
      <c r="N1855" s="101"/>
      <c r="O1855" s="101"/>
      <c r="P1855" s="101"/>
      <c r="Q1855" s="101"/>
      <c r="R1855" s="101"/>
      <c r="S1855" s="101"/>
      <c r="T1855" s="101"/>
      <c r="U1855" s="101"/>
      <c r="V1855" s="101"/>
      <c r="W1855" s="19"/>
      <c r="X1855" s="17"/>
      <c r="Y1855" s="5">
        <f t="shared" si="174"/>
        <v>0</v>
      </c>
      <c r="Z1855" s="5">
        <f t="shared" si="175"/>
        <v>0</v>
      </c>
      <c r="AA1855" s="5">
        <f t="shared" si="176"/>
        <v>0</v>
      </c>
      <c r="AB1855" s="5">
        <f t="shared" si="177"/>
        <v>0</v>
      </c>
      <c r="AC1855" s="5"/>
      <c r="AD1855" s="5">
        <v>0</v>
      </c>
      <c r="AE1855" s="5">
        <f t="shared" si="178"/>
        <v>0</v>
      </c>
      <c r="AF1855" s="70">
        <v>0</v>
      </c>
      <c r="AG1855" s="17"/>
      <c r="AH1855" s="18"/>
      <c r="AI1855" s="47" t="s">
        <v>4336</v>
      </c>
      <c r="AJ1855" s="73" t="s">
        <v>4337</v>
      </c>
      <c r="AK1855" s="45"/>
      <c r="AL1855" s="17"/>
      <c r="AM1855" s="100" t="s">
        <v>19</v>
      </c>
      <c r="AN1855" s="19"/>
      <c r="AO1855" s="19"/>
      <c r="AP1855" s="19"/>
      <c r="AQ1855" s="19"/>
      <c r="AR1855" s="19"/>
      <c r="AS1855" s="19"/>
      <c r="AT1855" s="19"/>
      <c r="AU1855" s="19"/>
      <c r="AV1855" s="19"/>
      <c r="AW1855" s="19"/>
      <c r="AX1855" s="107"/>
      <c r="AY1855" s="107"/>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39"/>
      <c r="CO1855" s="138"/>
      <c r="CP1855" s="139"/>
      <c r="CQ1855" s="138"/>
      <c r="CR1855" s="139"/>
      <c r="CS1855" s="138"/>
      <c r="CT1855" s="72"/>
      <c r="CU1855" s="139"/>
      <c r="CV1855" s="99">
        <f t="shared" si="173"/>
        <v>0</v>
      </c>
      <c r="CW1855" s="139"/>
      <c r="CX1855" s="138"/>
      <c r="CY1855" s="138"/>
      <c r="CZ1855" s="138"/>
      <c r="DA1855" s="139"/>
      <c r="DB1855" s="138"/>
      <c r="DC1855" s="45"/>
      <c r="DD1855" s="138"/>
      <c r="DE1855" s="45"/>
      <c r="DF1855" s="46">
        <v>1919</v>
      </c>
    </row>
    <row r="1856" spans="1:110" s="42" customFormat="1" ht="96" x14ac:dyDescent="0.2">
      <c r="A1856" s="89">
        <v>40747</v>
      </c>
      <c r="B1856" s="90" t="s">
        <v>4387</v>
      </c>
      <c r="C1856" s="90" t="s">
        <v>3446</v>
      </c>
      <c r="D1856" s="90" t="s">
        <v>4264</v>
      </c>
      <c r="E1856" s="90" t="str">
        <f>VLOOKUP(B1856&amp;C1856,Divipola!$C$2:$F$1138,4,FALSE)</f>
        <v>52001</v>
      </c>
      <c r="F1856" s="4"/>
      <c r="G1856" s="101"/>
      <c r="H1856" s="101"/>
      <c r="I1856" s="101"/>
      <c r="J1856" s="101">
        <v>855</v>
      </c>
      <c r="K1856" s="101">
        <v>171</v>
      </c>
      <c r="L1856" s="101"/>
      <c r="M1856" s="101">
        <v>171</v>
      </c>
      <c r="N1856" s="101"/>
      <c r="O1856" s="101"/>
      <c r="P1856" s="101"/>
      <c r="Q1856" s="101"/>
      <c r="R1856" s="101"/>
      <c r="S1856" s="101"/>
      <c r="T1856" s="101"/>
      <c r="U1856" s="101"/>
      <c r="V1856" s="101"/>
      <c r="W1856" s="19"/>
      <c r="X1856" s="17"/>
      <c r="Y1856" s="5">
        <f t="shared" si="174"/>
        <v>0</v>
      </c>
      <c r="Z1856" s="5">
        <f t="shared" si="175"/>
        <v>0</v>
      </c>
      <c r="AA1856" s="5">
        <f t="shared" si="176"/>
        <v>0</v>
      </c>
      <c r="AB1856" s="5">
        <f t="shared" si="177"/>
        <v>0</v>
      </c>
      <c r="AC1856" s="5"/>
      <c r="AD1856" s="5">
        <v>0</v>
      </c>
      <c r="AE1856" s="5">
        <f t="shared" si="178"/>
        <v>0</v>
      </c>
      <c r="AF1856" s="70">
        <v>0</v>
      </c>
      <c r="AG1856" s="17"/>
      <c r="AH1856" s="18"/>
      <c r="AI1856" s="47" t="s">
        <v>4336</v>
      </c>
      <c r="AJ1856" s="73" t="s">
        <v>4337</v>
      </c>
      <c r="AK1856" s="45"/>
      <c r="AL1856" s="17"/>
      <c r="AM1856" s="100" t="s">
        <v>21</v>
      </c>
      <c r="AN1856" s="19"/>
      <c r="AO1856" s="19"/>
      <c r="AP1856" s="19"/>
      <c r="AQ1856" s="19"/>
      <c r="AR1856" s="19"/>
      <c r="AS1856" s="19"/>
      <c r="AT1856" s="19"/>
      <c r="AU1856" s="19"/>
      <c r="AV1856" s="19"/>
      <c r="AW1856" s="19"/>
      <c r="AX1856" s="107"/>
      <c r="AY1856" s="107"/>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39"/>
      <c r="CO1856" s="138"/>
      <c r="CP1856" s="139"/>
      <c r="CQ1856" s="138"/>
      <c r="CR1856" s="139"/>
      <c r="CS1856" s="138"/>
      <c r="CT1856" s="72"/>
      <c r="CU1856" s="139"/>
      <c r="CV1856" s="99">
        <f t="shared" si="173"/>
        <v>0</v>
      </c>
      <c r="CW1856" s="139"/>
      <c r="CX1856" s="138"/>
      <c r="CY1856" s="138"/>
      <c r="CZ1856" s="138"/>
      <c r="DA1856" s="139"/>
      <c r="DB1856" s="138"/>
      <c r="DC1856" s="45"/>
      <c r="DD1856" s="138"/>
      <c r="DE1856" s="45"/>
      <c r="DF1856" s="46"/>
    </row>
    <row r="1857" spans="1:110" s="42" customFormat="1" ht="48" x14ac:dyDescent="0.2">
      <c r="A1857" s="89">
        <v>40747</v>
      </c>
      <c r="B1857" s="90" t="s">
        <v>4263</v>
      </c>
      <c r="C1857" s="90" t="s">
        <v>3667</v>
      </c>
      <c r="D1857" s="90" t="s">
        <v>4264</v>
      </c>
      <c r="E1857" s="90" t="str">
        <f>VLOOKUP(B1857&amp;C1857,Divipola!$C$2:$F$1138,4,FALSE)</f>
        <v>86571</v>
      </c>
      <c r="F1857" s="4"/>
      <c r="G1857" s="101"/>
      <c r="H1857" s="101"/>
      <c r="I1857" s="101"/>
      <c r="J1857" s="101">
        <v>150</v>
      </c>
      <c r="K1857" s="101">
        <v>30</v>
      </c>
      <c r="L1857" s="101"/>
      <c r="M1857" s="101">
        <v>30</v>
      </c>
      <c r="N1857" s="101"/>
      <c r="O1857" s="101"/>
      <c r="P1857" s="101"/>
      <c r="Q1857" s="101"/>
      <c r="R1857" s="101"/>
      <c r="S1857" s="101"/>
      <c r="T1857" s="101"/>
      <c r="U1857" s="101"/>
      <c r="V1857" s="101"/>
      <c r="W1857" s="19"/>
      <c r="X1857" s="17"/>
      <c r="Y1857" s="5">
        <f t="shared" si="174"/>
        <v>0</v>
      </c>
      <c r="Z1857" s="5">
        <f t="shared" si="175"/>
        <v>0</v>
      </c>
      <c r="AA1857" s="5">
        <f t="shared" si="176"/>
        <v>0</v>
      </c>
      <c r="AB1857" s="5">
        <f t="shared" si="177"/>
        <v>0</v>
      </c>
      <c r="AC1857" s="5"/>
      <c r="AD1857" s="5">
        <v>0</v>
      </c>
      <c r="AE1857" s="5">
        <f t="shared" si="178"/>
        <v>0</v>
      </c>
      <c r="AF1857" s="70">
        <v>0</v>
      </c>
      <c r="AG1857" s="17"/>
      <c r="AH1857" s="18"/>
      <c r="AI1857" s="47" t="s">
        <v>4336</v>
      </c>
      <c r="AJ1857" s="73" t="s">
        <v>4337</v>
      </c>
      <c r="AK1857" s="45"/>
      <c r="AL1857" s="17"/>
      <c r="AM1857" s="100" t="s">
        <v>20</v>
      </c>
      <c r="AN1857" s="19"/>
      <c r="AO1857" s="19"/>
      <c r="AP1857" s="19"/>
      <c r="AQ1857" s="19"/>
      <c r="AR1857" s="19"/>
      <c r="AS1857" s="19"/>
      <c r="AT1857" s="19"/>
      <c r="AU1857" s="19"/>
      <c r="AV1857" s="19"/>
      <c r="AW1857" s="19"/>
      <c r="AX1857" s="107"/>
      <c r="AY1857" s="107"/>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39"/>
      <c r="CO1857" s="138"/>
      <c r="CP1857" s="139"/>
      <c r="CQ1857" s="138"/>
      <c r="CR1857" s="139"/>
      <c r="CS1857" s="138"/>
      <c r="CT1857" s="72"/>
      <c r="CU1857" s="139"/>
      <c r="CV1857" s="99">
        <f t="shared" si="173"/>
        <v>0</v>
      </c>
      <c r="CW1857" s="139"/>
      <c r="CX1857" s="138"/>
      <c r="CY1857" s="138"/>
      <c r="CZ1857" s="138"/>
      <c r="DA1857" s="139"/>
      <c r="DB1857" s="138"/>
      <c r="DC1857" s="45"/>
      <c r="DD1857" s="138"/>
      <c r="DE1857" s="45"/>
      <c r="DF1857" s="46"/>
    </row>
    <row r="1858" spans="1:110" s="42" customFormat="1" ht="36" x14ac:dyDescent="0.2">
      <c r="A1858" s="89">
        <v>40749</v>
      </c>
      <c r="B1858" s="90" t="s">
        <v>2225</v>
      </c>
      <c r="C1858" s="90" t="s">
        <v>2205</v>
      </c>
      <c r="D1858" s="90" t="s">
        <v>2362</v>
      </c>
      <c r="E1858" s="90" t="str">
        <f>VLOOKUP(B1858&amp;C1858,Divipola!$C$2:$F$1138,4,FALSE)</f>
        <v>27001</v>
      </c>
      <c r="F1858" s="4"/>
      <c r="G1858" s="101"/>
      <c r="H1858" s="101"/>
      <c r="I1858" s="101"/>
      <c r="J1858" s="101">
        <v>5</v>
      </c>
      <c r="K1858" s="101">
        <v>1</v>
      </c>
      <c r="L1858" s="101">
        <v>1</v>
      </c>
      <c r="M1858" s="101"/>
      <c r="N1858" s="101"/>
      <c r="O1858" s="101"/>
      <c r="P1858" s="101"/>
      <c r="Q1858" s="101"/>
      <c r="R1858" s="101"/>
      <c r="S1858" s="101"/>
      <c r="T1858" s="101"/>
      <c r="U1858" s="101"/>
      <c r="V1858" s="101"/>
      <c r="W1858" s="19"/>
      <c r="X1858" s="17"/>
      <c r="Y1858" s="5">
        <f t="shared" si="174"/>
        <v>0</v>
      </c>
      <c r="Z1858" s="5">
        <f t="shared" si="175"/>
        <v>0</v>
      </c>
      <c r="AA1858" s="5">
        <f t="shared" si="176"/>
        <v>0</v>
      </c>
      <c r="AB1858" s="5">
        <f t="shared" si="177"/>
        <v>0</v>
      </c>
      <c r="AC1858" s="5"/>
      <c r="AD1858" s="5">
        <v>0</v>
      </c>
      <c r="AE1858" s="5">
        <f t="shared" si="178"/>
        <v>0</v>
      </c>
      <c r="AF1858" s="70">
        <v>0</v>
      </c>
      <c r="AG1858" s="17"/>
      <c r="AH1858" s="18"/>
      <c r="AI1858" s="47" t="s">
        <v>4336</v>
      </c>
      <c r="AJ1858" s="73" t="s">
        <v>4337</v>
      </c>
      <c r="AK1858" s="45"/>
      <c r="AL1858" s="17"/>
      <c r="AM1858" s="100" t="s">
        <v>391</v>
      </c>
      <c r="AN1858" s="19"/>
      <c r="AO1858" s="19"/>
      <c r="AP1858" s="19"/>
      <c r="AQ1858" s="19"/>
      <c r="AR1858" s="19"/>
      <c r="AS1858" s="19"/>
      <c r="AT1858" s="19"/>
      <c r="AU1858" s="19"/>
      <c r="AV1858" s="19"/>
      <c r="AW1858" s="19"/>
      <c r="AX1858" s="107"/>
      <c r="AY1858" s="107"/>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39"/>
      <c r="CO1858" s="138"/>
      <c r="CP1858" s="139"/>
      <c r="CQ1858" s="138"/>
      <c r="CR1858" s="139"/>
      <c r="CS1858" s="138"/>
      <c r="CT1858" s="72"/>
      <c r="CU1858" s="139"/>
      <c r="CV1858" s="99">
        <f t="shared" si="173"/>
        <v>0</v>
      </c>
      <c r="CW1858" s="139"/>
      <c r="CX1858" s="138"/>
      <c r="CY1858" s="138"/>
      <c r="CZ1858" s="138"/>
      <c r="DA1858" s="139"/>
      <c r="DB1858" s="138"/>
      <c r="DC1858" s="45"/>
      <c r="DD1858" s="138"/>
      <c r="DE1858" s="45"/>
      <c r="DF1858" s="46"/>
    </row>
    <row r="1859" spans="1:110" s="42" customFormat="1" ht="48" x14ac:dyDescent="0.2">
      <c r="A1859" s="89">
        <v>40749</v>
      </c>
      <c r="B1859" s="16" t="s">
        <v>2984</v>
      </c>
      <c r="C1859" s="16" t="s">
        <v>2224</v>
      </c>
      <c r="D1859" s="16" t="s">
        <v>1110</v>
      </c>
      <c r="E1859" s="90" t="str">
        <f>VLOOKUP(B1859&amp;C1859,Divipola!$C$2:$F$1138,4,FALSE)</f>
        <v>88564</v>
      </c>
      <c r="F1859" s="4"/>
      <c r="G1859" s="208"/>
      <c r="H1859" s="208"/>
      <c r="I1859" s="208"/>
      <c r="J1859" s="208"/>
      <c r="K1859" s="208"/>
      <c r="L1859" s="208"/>
      <c r="M1859" s="208"/>
      <c r="N1859" s="208"/>
      <c r="O1859" s="208"/>
      <c r="P1859" s="208"/>
      <c r="Q1859" s="208"/>
      <c r="R1859" s="208"/>
      <c r="S1859" s="208"/>
      <c r="T1859" s="208"/>
      <c r="U1859" s="208"/>
      <c r="V1859" s="208"/>
      <c r="W1859" s="19"/>
      <c r="X1859" s="17"/>
      <c r="Y1859" s="5">
        <f t="shared" si="174"/>
        <v>16784736</v>
      </c>
      <c r="Z1859" s="5">
        <f t="shared" si="175"/>
        <v>0</v>
      </c>
      <c r="AA1859" s="5">
        <f t="shared" si="176"/>
        <v>0</v>
      </c>
      <c r="AB1859" s="5">
        <f t="shared" si="177"/>
        <v>0</v>
      </c>
      <c r="AC1859" s="5">
        <f>50*14999.96+6*440800</f>
        <v>3394798</v>
      </c>
      <c r="AD1859" s="5">
        <v>0</v>
      </c>
      <c r="AE1859" s="5">
        <f t="shared" si="178"/>
        <v>20179534</v>
      </c>
      <c r="AF1859" s="70">
        <v>0</v>
      </c>
      <c r="AG1859" s="17"/>
      <c r="AH1859" s="18"/>
      <c r="AI1859" s="47" t="s">
        <v>4346</v>
      </c>
      <c r="AJ1859" s="73" t="s">
        <v>4347</v>
      </c>
      <c r="AK1859" s="45"/>
      <c r="AL1859" s="17"/>
      <c r="AM1859" s="20" t="s">
        <v>4842</v>
      </c>
      <c r="AN1859" s="19"/>
      <c r="AO1859" s="19"/>
      <c r="AP1859" s="19"/>
      <c r="AQ1859" s="19"/>
      <c r="AR1859" s="19"/>
      <c r="AS1859" s="19"/>
      <c r="AT1859" s="19"/>
      <c r="AU1859" s="19"/>
      <c r="AV1859" s="19"/>
      <c r="AW1859" s="19"/>
      <c r="AX1859" s="19"/>
      <c r="AY1859" s="19"/>
      <c r="AZ1859" s="19">
        <v>200</v>
      </c>
      <c r="BA1859" s="19">
        <f>200*55999</f>
        <v>11199800</v>
      </c>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39"/>
      <c r="CE1859" s="138"/>
      <c r="CF1859" s="139"/>
      <c r="CG1859" s="138"/>
      <c r="CH1859" s="139">
        <v>200</v>
      </c>
      <c r="CI1859" s="138">
        <f>200*17999.72</f>
        <v>3599944</v>
      </c>
      <c r="CJ1859" s="72"/>
      <c r="CK1859" s="139"/>
      <c r="CL1859" s="71"/>
      <c r="CM1859" s="139"/>
      <c r="CN1859" s="138"/>
      <c r="CO1859" s="138"/>
      <c r="CP1859" s="138"/>
      <c r="CQ1859" s="139"/>
      <c r="CR1859" s="138"/>
      <c r="CS1859" s="45"/>
      <c r="CT1859" s="138">
        <v>50</v>
      </c>
      <c r="CU1859" s="45">
        <f>50*39699.84</f>
        <v>1984991.9999999998</v>
      </c>
      <c r="CV1859" s="99">
        <f t="shared" ref="CV1859:CV1922" si="179">AO1859+AQ1859+AS1859+AU1859+AW1859+AY1859+BA1859+BC1859+BE1859+BG1859+BI1859+BK1859+BM1859+BO1859+BQ1859+BS1859+BU1859+BW1859+BY1859+CA1859+CC1859+CE1859+CG1859+CI1859+CK1859+CM1859+CO1859+CQ1859+CS1859+CU1859</f>
        <v>16784736</v>
      </c>
      <c r="CW1859" s="139"/>
      <c r="CX1859" s="138"/>
      <c r="CY1859" s="138"/>
      <c r="CZ1859" s="138"/>
      <c r="DA1859" s="139"/>
      <c r="DB1859" s="138"/>
      <c r="DC1859" s="45"/>
      <c r="DD1859" s="138"/>
      <c r="DE1859" s="45"/>
      <c r="DF1859" s="46"/>
    </row>
    <row r="1860" spans="1:110" s="42" customFormat="1" ht="24" x14ac:dyDescent="0.2">
      <c r="A1860" s="89">
        <v>40750</v>
      </c>
      <c r="B1860" s="16" t="s">
        <v>3358</v>
      </c>
      <c r="C1860" s="16" t="s">
        <v>4345</v>
      </c>
      <c r="D1860" s="90" t="s">
        <v>4264</v>
      </c>
      <c r="E1860" s="90">
        <f>VLOOKUP(B1860&amp;C1860,Divipola!$C$2:$F$1138,4,FALSE)</f>
        <v>18</v>
      </c>
      <c r="F1860" s="4"/>
      <c r="G1860" s="208"/>
      <c r="H1860" s="208"/>
      <c r="I1860" s="208"/>
      <c r="J1860" s="208"/>
      <c r="K1860" s="208"/>
      <c r="L1860" s="208"/>
      <c r="M1860" s="208"/>
      <c r="N1860" s="208"/>
      <c r="O1860" s="208"/>
      <c r="P1860" s="208"/>
      <c r="Q1860" s="208"/>
      <c r="R1860" s="208"/>
      <c r="S1860" s="208"/>
      <c r="T1860" s="208"/>
      <c r="U1860" s="208"/>
      <c r="V1860" s="208"/>
      <c r="W1860" s="19"/>
      <c r="X1860" s="17"/>
      <c r="Y1860" s="5">
        <f t="shared" si="174"/>
        <v>0</v>
      </c>
      <c r="Z1860" s="5">
        <f t="shared" si="175"/>
        <v>0</v>
      </c>
      <c r="AA1860" s="5">
        <f t="shared" si="176"/>
        <v>0</v>
      </c>
      <c r="AB1860" s="5">
        <f t="shared" si="177"/>
        <v>0</v>
      </c>
      <c r="AC1860" s="5"/>
      <c r="AD1860" s="5">
        <v>200000000</v>
      </c>
      <c r="AE1860" s="5">
        <f t="shared" si="178"/>
        <v>200000000</v>
      </c>
      <c r="AF1860" s="70">
        <v>0</v>
      </c>
      <c r="AG1860" s="17"/>
      <c r="AH1860" s="18"/>
      <c r="AI1860" s="47" t="s">
        <v>4346</v>
      </c>
      <c r="AJ1860" s="73" t="s">
        <v>4347</v>
      </c>
      <c r="AK1860" s="45"/>
      <c r="AL1860" s="17"/>
      <c r="AM1860" s="20" t="s">
        <v>4</v>
      </c>
      <c r="AN1860" s="19"/>
      <c r="AO1860" s="19"/>
      <c r="AP1860" s="19"/>
      <c r="AQ1860" s="19"/>
      <c r="AR1860" s="19"/>
      <c r="AS1860" s="19"/>
      <c r="AT1860" s="19"/>
      <c r="AU1860" s="19"/>
      <c r="AV1860" s="19"/>
      <c r="AW1860" s="19"/>
      <c r="AX1860" s="107"/>
      <c r="AY1860" s="107"/>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39"/>
      <c r="CO1860" s="138"/>
      <c r="CP1860" s="139"/>
      <c r="CQ1860" s="138"/>
      <c r="CR1860" s="139"/>
      <c r="CS1860" s="138"/>
      <c r="CT1860" s="72"/>
      <c r="CU1860" s="139"/>
      <c r="CV1860" s="99">
        <f t="shared" si="179"/>
        <v>0</v>
      </c>
      <c r="CW1860" s="139"/>
      <c r="CX1860" s="138"/>
      <c r="CY1860" s="138"/>
      <c r="CZ1860" s="138"/>
      <c r="DA1860" s="139"/>
      <c r="DB1860" s="138"/>
      <c r="DC1860" s="45"/>
      <c r="DD1860" s="138"/>
      <c r="DE1860" s="45"/>
      <c r="DF1860" s="46"/>
    </row>
    <row r="1861" spans="1:110" s="42" customFormat="1" ht="228" x14ac:dyDescent="0.2">
      <c r="A1861" s="89">
        <v>40750</v>
      </c>
      <c r="B1861" s="16" t="s">
        <v>4221</v>
      </c>
      <c r="C1861" s="16" t="s">
        <v>850</v>
      </c>
      <c r="D1861" s="90" t="s">
        <v>4264</v>
      </c>
      <c r="E1861" s="90" t="str">
        <f>VLOOKUP(B1861&amp;C1861,Divipola!$C$2:$F$1138,4,FALSE)</f>
        <v>54128</v>
      </c>
      <c r="F1861" s="4"/>
      <c r="G1861" s="208"/>
      <c r="H1861" s="208"/>
      <c r="I1861" s="208"/>
      <c r="J1861" s="208"/>
      <c r="K1861" s="208"/>
      <c r="L1861" s="208"/>
      <c r="M1861" s="208"/>
      <c r="N1861" s="208">
        <v>6</v>
      </c>
      <c r="O1861" s="208"/>
      <c r="P1861" s="208"/>
      <c r="Q1861" s="208"/>
      <c r="R1861" s="208"/>
      <c r="S1861" s="208"/>
      <c r="T1861" s="208"/>
      <c r="U1861" s="208"/>
      <c r="V1861" s="208"/>
      <c r="W1861" s="19"/>
      <c r="X1861" s="17"/>
      <c r="Y1861" s="5">
        <f t="shared" si="174"/>
        <v>0</v>
      </c>
      <c r="Z1861" s="5">
        <f t="shared" si="175"/>
        <v>0</v>
      </c>
      <c r="AA1861" s="5">
        <f t="shared" si="176"/>
        <v>0</v>
      </c>
      <c r="AB1861" s="5">
        <f t="shared" si="177"/>
        <v>0</v>
      </c>
      <c r="AC1861" s="143">
        <f>500*27998.92+1700*4599.4+1600*4599.4+3700*1500+550*24989.88+120*55450.32+10*250560+80*78416+2500*8746.4+25*95816+25*68765.92</f>
        <v>89885380.400000006</v>
      </c>
      <c r="AD1861" s="5">
        <v>40000000</v>
      </c>
      <c r="AE1861" s="5">
        <f t="shared" si="178"/>
        <v>129885380.40000001</v>
      </c>
      <c r="AF1861" s="70">
        <v>0</v>
      </c>
      <c r="AG1861" s="17"/>
      <c r="AH1861" s="18"/>
      <c r="AI1861" s="95" t="s">
        <v>4346</v>
      </c>
      <c r="AJ1861" s="96" t="s">
        <v>4347</v>
      </c>
      <c r="AK1861" s="45"/>
      <c r="AL1861" s="17"/>
      <c r="AM1861" s="20" t="s">
        <v>2406</v>
      </c>
      <c r="AN1861" s="19"/>
      <c r="AO1861" s="19"/>
      <c r="AP1861" s="19"/>
      <c r="AQ1861" s="19"/>
      <c r="AR1861" s="19"/>
      <c r="AS1861" s="19"/>
      <c r="AT1861" s="19"/>
      <c r="AU1861" s="19"/>
      <c r="AV1861" s="19"/>
      <c r="AW1861" s="19"/>
      <c r="AX1861" s="107"/>
      <c r="AY1861" s="107"/>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39"/>
      <c r="CO1861" s="138"/>
      <c r="CP1861" s="139"/>
      <c r="CQ1861" s="138"/>
      <c r="CR1861" s="139"/>
      <c r="CS1861" s="138"/>
      <c r="CT1861" s="72"/>
      <c r="CU1861" s="139"/>
      <c r="CV1861" s="99">
        <f t="shared" si="179"/>
        <v>0</v>
      </c>
      <c r="CW1861" s="139"/>
      <c r="CX1861" s="138"/>
      <c r="CY1861" s="138"/>
      <c r="CZ1861" s="138"/>
      <c r="DA1861" s="139"/>
      <c r="DB1861" s="138"/>
      <c r="DC1861" s="45"/>
      <c r="DD1861" s="138"/>
      <c r="DE1861" s="45"/>
      <c r="DF1861" s="46"/>
    </row>
    <row r="1862" spans="1:110" s="42" customFormat="1" ht="60" x14ac:dyDescent="0.2">
      <c r="A1862" s="89">
        <v>40751</v>
      </c>
      <c r="B1862" s="90" t="s">
        <v>4261</v>
      </c>
      <c r="C1862" s="90" t="s">
        <v>2657</v>
      </c>
      <c r="D1862" s="90" t="s">
        <v>2362</v>
      </c>
      <c r="E1862" s="90" t="str">
        <f>VLOOKUP(B1862&amp;C1862,Divipola!$C$2:$F$1138,4,FALSE)</f>
        <v>15244</v>
      </c>
      <c r="F1862" s="4"/>
      <c r="G1862" s="101"/>
      <c r="H1862" s="101"/>
      <c r="I1862" s="101"/>
      <c r="J1862" s="101">
        <v>1075</v>
      </c>
      <c r="K1862" s="101">
        <v>215</v>
      </c>
      <c r="L1862" s="101"/>
      <c r="M1862" s="101">
        <v>215</v>
      </c>
      <c r="N1862" s="101"/>
      <c r="O1862" s="101"/>
      <c r="P1862" s="101"/>
      <c r="Q1862" s="101"/>
      <c r="R1862" s="101"/>
      <c r="S1862" s="101"/>
      <c r="T1862" s="101"/>
      <c r="U1862" s="101"/>
      <c r="V1862" s="101"/>
      <c r="W1862" s="19"/>
      <c r="X1862" s="17"/>
      <c r="Y1862" s="5">
        <f t="shared" si="174"/>
        <v>0</v>
      </c>
      <c r="Z1862" s="5">
        <f t="shared" si="175"/>
        <v>0</v>
      </c>
      <c r="AA1862" s="5">
        <f t="shared" si="176"/>
        <v>0</v>
      </c>
      <c r="AB1862" s="5">
        <f t="shared" si="177"/>
        <v>0</v>
      </c>
      <c r="AC1862" s="5"/>
      <c r="AD1862" s="5">
        <v>0</v>
      </c>
      <c r="AE1862" s="5">
        <f t="shared" si="178"/>
        <v>0</v>
      </c>
      <c r="AF1862" s="70">
        <v>0</v>
      </c>
      <c r="AG1862" s="17"/>
      <c r="AH1862" s="18"/>
      <c r="AI1862" s="47" t="s">
        <v>4346</v>
      </c>
      <c r="AJ1862" s="73" t="s">
        <v>4347</v>
      </c>
      <c r="AK1862" s="275"/>
      <c r="AL1862" s="89" t="s">
        <v>2798</v>
      </c>
      <c r="AM1862" s="100" t="s">
        <v>2323</v>
      </c>
      <c r="AN1862" s="19"/>
      <c r="AO1862" s="19"/>
      <c r="AP1862" s="19"/>
      <c r="AQ1862" s="19"/>
      <c r="AR1862" s="19"/>
      <c r="AS1862" s="19"/>
      <c r="AT1862" s="19"/>
      <c r="AU1862" s="19"/>
      <c r="AV1862" s="19"/>
      <c r="AW1862" s="19"/>
      <c r="AX1862" s="107"/>
      <c r="AY1862" s="107"/>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39"/>
      <c r="CO1862" s="138"/>
      <c r="CP1862" s="139"/>
      <c r="CQ1862" s="138"/>
      <c r="CR1862" s="139"/>
      <c r="CS1862" s="138"/>
      <c r="CT1862" s="72"/>
      <c r="CU1862" s="139"/>
      <c r="CV1862" s="99">
        <f t="shared" si="179"/>
        <v>0</v>
      </c>
      <c r="CW1862" s="139"/>
      <c r="CX1862" s="138"/>
      <c r="CY1862" s="138"/>
      <c r="CZ1862" s="138"/>
      <c r="DA1862" s="139"/>
      <c r="DB1862" s="138"/>
      <c r="DC1862" s="45"/>
      <c r="DD1862" s="138"/>
      <c r="DE1862" s="45"/>
      <c r="DF1862" s="46"/>
    </row>
    <row r="1863" spans="1:110" s="42" customFormat="1" ht="84" x14ac:dyDescent="0.2">
      <c r="A1863" s="89">
        <v>40751</v>
      </c>
      <c r="B1863" s="90" t="s">
        <v>4261</v>
      </c>
      <c r="C1863" s="90" t="s">
        <v>4260</v>
      </c>
      <c r="D1863" s="90" t="s">
        <v>4264</v>
      </c>
      <c r="E1863" s="90" t="str">
        <f>VLOOKUP(B1863&amp;C1863,Divipola!$C$2:$F$1138,4,FALSE)</f>
        <v>15673</v>
      </c>
      <c r="F1863" s="4"/>
      <c r="G1863" s="101"/>
      <c r="H1863" s="101"/>
      <c r="I1863" s="101"/>
      <c r="J1863" s="101">
        <v>580</v>
      </c>
      <c r="K1863" s="101">
        <v>116</v>
      </c>
      <c r="L1863" s="101"/>
      <c r="M1863" s="101">
        <v>116</v>
      </c>
      <c r="N1863" s="101"/>
      <c r="O1863" s="101"/>
      <c r="P1863" s="101"/>
      <c r="Q1863" s="101"/>
      <c r="R1863" s="101"/>
      <c r="S1863" s="101"/>
      <c r="T1863" s="101"/>
      <c r="U1863" s="101"/>
      <c r="V1863" s="101">
        <v>77</v>
      </c>
      <c r="W1863" s="19"/>
      <c r="X1863" s="17"/>
      <c r="Y1863" s="5">
        <f t="shared" si="174"/>
        <v>0</v>
      </c>
      <c r="Z1863" s="5">
        <f t="shared" si="175"/>
        <v>0</v>
      </c>
      <c r="AA1863" s="5">
        <f t="shared" si="176"/>
        <v>0</v>
      </c>
      <c r="AB1863" s="5">
        <f t="shared" si="177"/>
        <v>0</v>
      </c>
      <c r="AC1863" s="5"/>
      <c r="AD1863" s="5">
        <v>0</v>
      </c>
      <c r="AE1863" s="5">
        <f t="shared" si="178"/>
        <v>0</v>
      </c>
      <c r="AF1863" s="70">
        <v>0</v>
      </c>
      <c r="AG1863" s="17"/>
      <c r="AH1863" s="18"/>
      <c r="AI1863" s="47" t="s">
        <v>4336</v>
      </c>
      <c r="AJ1863" s="73" t="s">
        <v>4337</v>
      </c>
      <c r="AK1863" s="45"/>
      <c r="AL1863" s="17"/>
      <c r="AM1863" s="100" t="s">
        <v>2322</v>
      </c>
      <c r="AN1863" s="19"/>
      <c r="AO1863" s="19"/>
      <c r="AP1863" s="19"/>
      <c r="AQ1863" s="19"/>
      <c r="AR1863" s="19"/>
      <c r="AS1863" s="19"/>
      <c r="AT1863" s="19"/>
      <c r="AU1863" s="19"/>
      <c r="AV1863" s="19"/>
      <c r="AW1863" s="19"/>
      <c r="AX1863" s="107"/>
      <c r="AY1863" s="107"/>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39"/>
      <c r="CO1863" s="138"/>
      <c r="CP1863" s="139"/>
      <c r="CQ1863" s="138"/>
      <c r="CR1863" s="139"/>
      <c r="CS1863" s="138"/>
      <c r="CT1863" s="72"/>
      <c r="CU1863" s="139"/>
      <c r="CV1863" s="99">
        <f t="shared" si="179"/>
        <v>0</v>
      </c>
      <c r="CW1863" s="139"/>
      <c r="CX1863" s="138"/>
      <c r="CY1863" s="138"/>
      <c r="CZ1863" s="138"/>
      <c r="DA1863" s="139"/>
      <c r="DB1863" s="138"/>
      <c r="DC1863" s="45"/>
      <c r="DD1863" s="138"/>
      <c r="DE1863" s="45"/>
      <c r="DF1863" s="46"/>
    </row>
    <row r="1864" spans="1:110" s="42" customFormat="1" ht="72" x14ac:dyDescent="0.2">
      <c r="A1864" s="89">
        <v>40751</v>
      </c>
      <c r="B1864" s="90" t="s">
        <v>2225</v>
      </c>
      <c r="C1864" s="90" t="s">
        <v>1869</v>
      </c>
      <c r="D1864" s="90" t="s">
        <v>3346</v>
      </c>
      <c r="E1864" s="90" t="str">
        <f>VLOOKUP(B1864&amp;C1864,Divipola!$C$2:$F$1138,4,FALSE)</f>
        <v>27150</v>
      </c>
      <c r="F1864" s="4"/>
      <c r="G1864" s="101"/>
      <c r="H1864" s="101">
        <v>3</v>
      </c>
      <c r="I1864" s="101"/>
      <c r="J1864" s="101">
        <v>321</v>
      </c>
      <c r="K1864" s="101">
        <v>46</v>
      </c>
      <c r="L1864" s="101">
        <v>5</v>
      </c>
      <c r="M1864" s="101">
        <v>21</v>
      </c>
      <c r="N1864" s="101"/>
      <c r="O1864" s="101"/>
      <c r="P1864" s="101"/>
      <c r="Q1864" s="101"/>
      <c r="R1864" s="101"/>
      <c r="S1864" s="101"/>
      <c r="T1864" s="101"/>
      <c r="U1864" s="101"/>
      <c r="V1864" s="101"/>
      <c r="W1864" s="19"/>
      <c r="X1864" s="17"/>
      <c r="Y1864" s="5">
        <f t="shared" si="174"/>
        <v>0</v>
      </c>
      <c r="Z1864" s="5">
        <f t="shared" si="175"/>
        <v>0</v>
      </c>
      <c r="AA1864" s="5">
        <f t="shared" si="176"/>
        <v>0</v>
      </c>
      <c r="AB1864" s="5">
        <f t="shared" si="177"/>
        <v>0</v>
      </c>
      <c r="AC1864" s="5"/>
      <c r="AD1864" s="5">
        <v>0</v>
      </c>
      <c r="AE1864" s="5">
        <f t="shared" si="178"/>
        <v>0</v>
      </c>
      <c r="AF1864" s="70">
        <v>0</v>
      </c>
      <c r="AG1864" s="17"/>
      <c r="AH1864" s="18"/>
      <c r="AI1864" s="47" t="s">
        <v>4336</v>
      </c>
      <c r="AJ1864" s="73" t="s">
        <v>4337</v>
      </c>
      <c r="AK1864" s="45"/>
      <c r="AL1864" s="17"/>
      <c r="AM1864" s="100" t="s">
        <v>393</v>
      </c>
      <c r="AN1864" s="19"/>
      <c r="AO1864" s="19"/>
      <c r="AP1864" s="19"/>
      <c r="AQ1864" s="19"/>
      <c r="AR1864" s="19"/>
      <c r="AS1864" s="19"/>
      <c r="AT1864" s="19"/>
      <c r="AU1864" s="19"/>
      <c r="AV1864" s="19"/>
      <c r="AW1864" s="19"/>
      <c r="AX1864" s="107"/>
      <c r="AY1864" s="107"/>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39"/>
      <c r="CO1864" s="138"/>
      <c r="CP1864" s="139"/>
      <c r="CQ1864" s="138"/>
      <c r="CR1864" s="139"/>
      <c r="CS1864" s="138"/>
      <c r="CT1864" s="72"/>
      <c r="CU1864" s="139"/>
      <c r="CV1864" s="99">
        <f t="shared" si="179"/>
        <v>0</v>
      </c>
      <c r="CW1864" s="139"/>
      <c r="CX1864" s="138"/>
      <c r="CY1864" s="138"/>
      <c r="CZ1864" s="138"/>
      <c r="DA1864" s="139"/>
      <c r="DB1864" s="138"/>
      <c r="DC1864" s="45"/>
      <c r="DD1864" s="138"/>
      <c r="DE1864" s="45"/>
      <c r="DF1864" s="46"/>
    </row>
    <row r="1865" spans="1:110" s="42" customFormat="1" ht="24" x14ac:dyDescent="0.2">
      <c r="A1865" s="89">
        <v>40752</v>
      </c>
      <c r="B1865" s="90" t="s">
        <v>2218</v>
      </c>
      <c r="C1865" s="90" t="s">
        <v>4031</v>
      </c>
      <c r="D1865" s="90" t="s">
        <v>3346</v>
      </c>
      <c r="E1865" s="90" t="str">
        <f>VLOOKUP(B1865&amp;C1865,Divipola!$C$2:$F$1138,4,FALSE)</f>
        <v>05659</v>
      </c>
      <c r="F1865" s="4"/>
      <c r="G1865" s="101"/>
      <c r="H1865" s="101"/>
      <c r="I1865" s="101"/>
      <c r="J1865" s="101">
        <v>250</v>
      </c>
      <c r="K1865" s="101">
        <v>50</v>
      </c>
      <c r="L1865" s="101"/>
      <c r="M1865" s="101">
        <v>50</v>
      </c>
      <c r="N1865" s="101"/>
      <c r="O1865" s="101"/>
      <c r="P1865" s="101"/>
      <c r="Q1865" s="101"/>
      <c r="R1865" s="101"/>
      <c r="S1865" s="101"/>
      <c r="T1865" s="101"/>
      <c r="U1865" s="101"/>
      <c r="V1865" s="101"/>
      <c r="W1865" s="19"/>
      <c r="X1865" s="17"/>
      <c r="Y1865" s="5">
        <f t="shared" si="174"/>
        <v>0</v>
      </c>
      <c r="Z1865" s="5">
        <f t="shared" si="175"/>
        <v>0</v>
      </c>
      <c r="AA1865" s="5">
        <f t="shared" si="176"/>
        <v>0</v>
      </c>
      <c r="AB1865" s="5">
        <f t="shared" si="177"/>
        <v>0</v>
      </c>
      <c r="AC1865" s="5"/>
      <c r="AD1865" s="5">
        <v>0</v>
      </c>
      <c r="AE1865" s="5">
        <f t="shared" si="178"/>
        <v>0</v>
      </c>
      <c r="AF1865" s="70">
        <v>0</v>
      </c>
      <c r="AG1865" s="17"/>
      <c r="AH1865" s="18"/>
      <c r="AI1865" s="47" t="s">
        <v>4336</v>
      </c>
      <c r="AJ1865" s="73" t="s">
        <v>4337</v>
      </c>
      <c r="AK1865" s="45"/>
      <c r="AL1865" s="17"/>
      <c r="AM1865" s="121" t="s">
        <v>392</v>
      </c>
      <c r="AN1865" s="19"/>
      <c r="AO1865" s="19"/>
      <c r="AP1865" s="19"/>
      <c r="AQ1865" s="19"/>
      <c r="AR1865" s="19"/>
      <c r="AS1865" s="19"/>
      <c r="AT1865" s="19"/>
      <c r="AU1865" s="19"/>
      <c r="AV1865" s="19"/>
      <c r="AW1865" s="19"/>
      <c r="AX1865" s="107"/>
      <c r="AY1865" s="107"/>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39"/>
      <c r="CO1865" s="138"/>
      <c r="CP1865" s="139"/>
      <c r="CQ1865" s="138"/>
      <c r="CR1865" s="139"/>
      <c r="CS1865" s="138"/>
      <c r="CT1865" s="72"/>
      <c r="CU1865" s="139"/>
      <c r="CV1865" s="99">
        <f t="shared" si="179"/>
        <v>0</v>
      </c>
      <c r="CW1865" s="139"/>
      <c r="CX1865" s="138"/>
      <c r="CY1865" s="138"/>
      <c r="CZ1865" s="138"/>
      <c r="DA1865" s="139"/>
      <c r="DB1865" s="138"/>
      <c r="DC1865" s="45"/>
      <c r="DD1865" s="138"/>
      <c r="DE1865" s="45"/>
      <c r="DF1865" s="46"/>
    </row>
    <row r="1866" spans="1:110" s="42" customFormat="1" ht="48" x14ac:dyDescent="0.2">
      <c r="A1866" s="89">
        <v>40752</v>
      </c>
      <c r="B1866" s="90" t="s">
        <v>2218</v>
      </c>
      <c r="C1866" s="90" t="s">
        <v>4031</v>
      </c>
      <c r="D1866" s="90" t="s">
        <v>3346</v>
      </c>
      <c r="E1866" s="90" t="str">
        <f>VLOOKUP(B1866&amp;C1866,Divipola!$C$2:$F$1138,4,FALSE)</f>
        <v>05659</v>
      </c>
      <c r="F1866" s="4"/>
      <c r="G1866" s="101"/>
      <c r="H1866" s="101"/>
      <c r="I1866" s="101"/>
      <c r="J1866" s="101">
        <v>1000</v>
      </c>
      <c r="K1866" s="101">
        <v>200</v>
      </c>
      <c r="L1866" s="101"/>
      <c r="M1866" s="101">
        <v>200</v>
      </c>
      <c r="N1866" s="101"/>
      <c r="O1866" s="101"/>
      <c r="P1866" s="101"/>
      <c r="Q1866" s="101"/>
      <c r="R1866" s="101"/>
      <c r="S1866" s="101"/>
      <c r="T1866" s="101"/>
      <c r="U1866" s="101"/>
      <c r="V1866" s="101"/>
      <c r="W1866" s="19"/>
      <c r="X1866" s="17"/>
      <c r="Y1866" s="5">
        <f t="shared" si="174"/>
        <v>0</v>
      </c>
      <c r="Z1866" s="5">
        <f t="shared" si="175"/>
        <v>0</v>
      </c>
      <c r="AA1866" s="5">
        <f t="shared" si="176"/>
        <v>0</v>
      </c>
      <c r="AB1866" s="5">
        <f t="shared" si="177"/>
        <v>0</v>
      </c>
      <c r="AC1866" s="5"/>
      <c r="AD1866" s="5">
        <v>0</v>
      </c>
      <c r="AE1866" s="5">
        <f t="shared" si="178"/>
        <v>0</v>
      </c>
      <c r="AF1866" s="70">
        <v>0</v>
      </c>
      <c r="AG1866" s="17"/>
      <c r="AH1866" s="18"/>
      <c r="AI1866" s="47" t="s">
        <v>4346</v>
      </c>
      <c r="AJ1866" s="73" t="s">
        <v>4347</v>
      </c>
      <c r="AK1866" s="45"/>
      <c r="AL1866" s="89" t="s">
        <v>2798</v>
      </c>
      <c r="AM1866" s="100" t="s">
        <v>2327</v>
      </c>
      <c r="AN1866" s="19"/>
      <c r="AO1866" s="19"/>
      <c r="AP1866" s="19"/>
      <c r="AQ1866" s="19"/>
      <c r="AR1866" s="19"/>
      <c r="AS1866" s="19"/>
      <c r="AT1866" s="19"/>
      <c r="AU1866" s="19"/>
      <c r="AV1866" s="19"/>
      <c r="AW1866" s="19"/>
      <c r="AX1866" s="107"/>
      <c r="AY1866" s="107"/>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39"/>
      <c r="CO1866" s="138"/>
      <c r="CP1866" s="139"/>
      <c r="CQ1866" s="138"/>
      <c r="CR1866" s="139"/>
      <c r="CS1866" s="138"/>
      <c r="CT1866" s="72"/>
      <c r="CU1866" s="139"/>
      <c r="CV1866" s="99">
        <f t="shared" si="179"/>
        <v>0</v>
      </c>
      <c r="CW1866" s="139"/>
      <c r="CX1866" s="138"/>
      <c r="CY1866" s="138"/>
      <c r="CZ1866" s="138"/>
      <c r="DA1866" s="139"/>
      <c r="DB1866" s="138"/>
      <c r="DC1866" s="45"/>
      <c r="DD1866" s="138"/>
      <c r="DE1866" s="45"/>
      <c r="DF1866" s="46"/>
    </row>
    <row r="1867" spans="1:110" s="42" customFormat="1" x14ac:dyDescent="0.2">
      <c r="A1867" s="89">
        <v>40752</v>
      </c>
      <c r="B1867" s="16" t="s">
        <v>3358</v>
      </c>
      <c r="C1867" s="16" t="s">
        <v>2233</v>
      </c>
      <c r="D1867" s="90" t="s">
        <v>4264</v>
      </c>
      <c r="E1867" s="90" t="str">
        <f>VLOOKUP(B1867&amp;C1867,Divipola!$C$2:$F$1138,4,FALSE)</f>
        <v>18785</v>
      </c>
      <c r="F1867" s="4"/>
      <c r="G1867" s="208"/>
      <c r="H1867" s="208"/>
      <c r="I1867" s="208"/>
      <c r="J1867" s="208">
        <f>61*5</f>
        <v>305</v>
      </c>
      <c r="K1867" s="208">
        <v>61</v>
      </c>
      <c r="L1867" s="208"/>
      <c r="M1867" s="208">
        <v>61</v>
      </c>
      <c r="N1867" s="208"/>
      <c r="O1867" s="208"/>
      <c r="P1867" s="208"/>
      <c r="Q1867" s="208"/>
      <c r="R1867" s="208"/>
      <c r="S1867" s="208"/>
      <c r="T1867" s="208"/>
      <c r="U1867" s="208"/>
      <c r="V1867" s="208"/>
      <c r="W1867" s="19"/>
      <c r="X1867" s="17"/>
      <c r="Y1867" s="5">
        <f t="shared" si="174"/>
        <v>2256960.96</v>
      </c>
      <c r="Z1867" s="5">
        <f t="shared" si="175"/>
        <v>5184907.2799999993</v>
      </c>
      <c r="AA1867" s="5">
        <f t="shared" si="176"/>
        <v>6784799.4000000004</v>
      </c>
      <c r="AB1867" s="5">
        <f t="shared" si="177"/>
        <v>0</v>
      </c>
      <c r="AC1867" s="143">
        <f>649999.04*50</f>
        <v>32499952</v>
      </c>
      <c r="AD1867" s="5">
        <v>0</v>
      </c>
      <c r="AE1867" s="5">
        <f t="shared" si="178"/>
        <v>46726619.640000001</v>
      </c>
      <c r="AF1867" s="70">
        <v>0</v>
      </c>
      <c r="AG1867" s="17"/>
      <c r="AH1867" s="18"/>
      <c r="AI1867" s="95" t="s">
        <v>4346</v>
      </c>
      <c r="AJ1867" s="96" t="s">
        <v>4347</v>
      </c>
      <c r="AK1867" s="45"/>
      <c r="AL1867" s="17"/>
      <c r="AM1867" s="144" t="s">
        <v>4470</v>
      </c>
      <c r="AN1867" s="19"/>
      <c r="AO1867" s="19"/>
      <c r="AP1867" s="19"/>
      <c r="AQ1867" s="19"/>
      <c r="AR1867" s="19"/>
      <c r="AS1867" s="19"/>
      <c r="AT1867" s="19"/>
      <c r="AU1867" s="19"/>
      <c r="AV1867" s="19"/>
      <c r="AW1867" s="19"/>
      <c r="AX1867" s="107"/>
      <c r="AY1867" s="107"/>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39"/>
      <c r="CO1867" s="138"/>
      <c r="CP1867" s="139">
        <v>61</v>
      </c>
      <c r="CQ1867" s="138">
        <f>61*36999.36</f>
        <v>2256960.96</v>
      </c>
      <c r="CR1867" s="139"/>
      <c r="CS1867" s="138"/>
      <c r="CT1867" s="72"/>
      <c r="CU1867" s="139"/>
      <c r="CV1867" s="99">
        <f t="shared" si="179"/>
        <v>2256960.96</v>
      </c>
      <c r="CW1867" s="139"/>
      <c r="CX1867" s="138"/>
      <c r="CY1867" s="138">
        <v>61</v>
      </c>
      <c r="CZ1867" s="138">
        <f>61*84998.48</f>
        <v>5184907.2799999993</v>
      </c>
      <c r="DA1867" s="139"/>
      <c r="DB1867" s="138"/>
      <c r="DC1867" s="45">
        <v>295</v>
      </c>
      <c r="DD1867" s="138">
        <f>295*22999.32</f>
        <v>6784799.4000000004</v>
      </c>
      <c r="DE1867" s="45"/>
      <c r="DF1867" s="46"/>
    </row>
    <row r="1868" spans="1:110" s="42" customFormat="1" ht="48" x14ac:dyDescent="0.2">
      <c r="A1868" s="89">
        <v>40753</v>
      </c>
      <c r="B1868" s="90" t="s">
        <v>2218</v>
      </c>
      <c r="C1868" s="90" t="s">
        <v>2261</v>
      </c>
      <c r="D1868" s="90" t="s">
        <v>4264</v>
      </c>
      <c r="E1868" s="90" t="str">
        <f>VLOOKUP(B1868&amp;C1868,Divipola!$C$2:$F$1138,4,FALSE)</f>
        <v>05615</v>
      </c>
      <c r="F1868" s="4"/>
      <c r="G1868" s="101"/>
      <c r="H1868" s="101"/>
      <c r="I1868" s="101"/>
      <c r="J1868" s="101">
        <v>220</v>
      </c>
      <c r="K1868" s="101">
        <v>50</v>
      </c>
      <c r="L1868" s="101"/>
      <c r="M1868" s="101">
        <v>50</v>
      </c>
      <c r="N1868" s="101"/>
      <c r="O1868" s="101"/>
      <c r="P1868" s="101"/>
      <c r="Q1868" s="101"/>
      <c r="R1868" s="101"/>
      <c r="S1868" s="101"/>
      <c r="T1868" s="101"/>
      <c r="U1868" s="101"/>
      <c r="V1868" s="101"/>
      <c r="W1868" s="19"/>
      <c r="X1868" s="17"/>
      <c r="Y1868" s="5">
        <f t="shared" si="174"/>
        <v>0</v>
      </c>
      <c r="Z1868" s="5">
        <f t="shared" si="175"/>
        <v>0</v>
      </c>
      <c r="AA1868" s="5">
        <f t="shared" si="176"/>
        <v>0</v>
      </c>
      <c r="AB1868" s="5">
        <f t="shared" si="177"/>
        <v>0</v>
      </c>
      <c r="AC1868" s="5"/>
      <c r="AD1868" s="5">
        <v>0</v>
      </c>
      <c r="AE1868" s="5">
        <f t="shared" si="178"/>
        <v>0</v>
      </c>
      <c r="AF1868" s="70">
        <v>0</v>
      </c>
      <c r="AG1868" s="17"/>
      <c r="AH1868" s="18"/>
      <c r="AI1868" s="47" t="s">
        <v>4336</v>
      </c>
      <c r="AJ1868" s="73" t="s">
        <v>4337</v>
      </c>
      <c r="AK1868" s="45"/>
      <c r="AL1868" s="17"/>
      <c r="AM1868" s="100" t="s">
        <v>394</v>
      </c>
      <c r="AN1868" s="19"/>
      <c r="AO1868" s="19"/>
      <c r="AP1868" s="19"/>
      <c r="AQ1868" s="19"/>
      <c r="AR1868" s="19"/>
      <c r="AS1868" s="19"/>
      <c r="AT1868" s="19"/>
      <c r="AU1868" s="19"/>
      <c r="AV1868" s="19"/>
      <c r="AW1868" s="19"/>
      <c r="AX1868" s="107"/>
      <c r="AY1868" s="107"/>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39"/>
      <c r="CO1868" s="138"/>
      <c r="CP1868" s="139"/>
      <c r="CQ1868" s="138"/>
      <c r="CR1868" s="139"/>
      <c r="CS1868" s="138"/>
      <c r="CT1868" s="72"/>
      <c r="CU1868" s="139"/>
      <c r="CV1868" s="99">
        <f t="shared" si="179"/>
        <v>0</v>
      </c>
      <c r="CW1868" s="139"/>
      <c r="CX1868" s="138"/>
      <c r="CY1868" s="138"/>
      <c r="CZ1868" s="138"/>
      <c r="DA1868" s="139"/>
      <c r="DB1868" s="138"/>
      <c r="DC1868" s="45"/>
      <c r="DD1868" s="138"/>
      <c r="DE1868" s="45"/>
      <c r="DF1868" s="46"/>
    </row>
    <row r="1869" spans="1:110" s="42" customFormat="1" ht="36" x14ac:dyDescent="0.2">
      <c r="A1869" s="89">
        <v>40753</v>
      </c>
      <c r="B1869" s="90" t="s">
        <v>2218</v>
      </c>
      <c r="C1869" s="90" t="s">
        <v>2261</v>
      </c>
      <c r="D1869" s="90" t="s">
        <v>4264</v>
      </c>
      <c r="E1869" s="90" t="str">
        <f>VLOOKUP(B1869&amp;C1869,Divipola!$C$2:$F$1138,4,FALSE)</f>
        <v>05615</v>
      </c>
      <c r="F1869" s="4"/>
      <c r="G1869" s="101"/>
      <c r="H1869" s="101"/>
      <c r="I1869" s="101"/>
      <c r="J1869" s="101">
        <v>400</v>
      </c>
      <c r="K1869" s="101">
        <v>80</v>
      </c>
      <c r="L1869" s="101"/>
      <c r="M1869" s="101">
        <v>80</v>
      </c>
      <c r="N1869" s="101"/>
      <c r="O1869" s="101"/>
      <c r="P1869" s="101"/>
      <c r="Q1869" s="101"/>
      <c r="R1869" s="101"/>
      <c r="S1869" s="101"/>
      <c r="T1869" s="101"/>
      <c r="U1869" s="101"/>
      <c r="V1869" s="101"/>
      <c r="W1869" s="19"/>
      <c r="X1869" s="17"/>
      <c r="Y1869" s="5">
        <f t="shared" si="174"/>
        <v>0</v>
      </c>
      <c r="Z1869" s="5">
        <f t="shared" si="175"/>
        <v>0</v>
      </c>
      <c r="AA1869" s="5">
        <f t="shared" si="176"/>
        <v>0</v>
      </c>
      <c r="AB1869" s="5">
        <f t="shared" si="177"/>
        <v>0</v>
      </c>
      <c r="AC1869" s="5"/>
      <c r="AD1869" s="5">
        <v>0</v>
      </c>
      <c r="AE1869" s="5">
        <f t="shared" si="178"/>
        <v>0</v>
      </c>
      <c r="AF1869" s="70">
        <v>0</v>
      </c>
      <c r="AG1869" s="17"/>
      <c r="AH1869" s="18"/>
      <c r="AI1869" s="47" t="s">
        <v>4336</v>
      </c>
      <c r="AJ1869" s="73" t="s">
        <v>4337</v>
      </c>
      <c r="AK1869" s="45"/>
      <c r="AL1869" s="17"/>
      <c r="AM1869" s="100" t="s">
        <v>3750</v>
      </c>
      <c r="AN1869" s="19"/>
      <c r="AO1869" s="19"/>
      <c r="AP1869" s="19"/>
      <c r="AQ1869" s="19"/>
      <c r="AR1869" s="19"/>
      <c r="AS1869" s="19"/>
      <c r="AT1869" s="19"/>
      <c r="AU1869" s="19"/>
      <c r="AV1869" s="19"/>
      <c r="AW1869" s="19"/>
      <c r="AX1869" s="107"/>
      <c r="AY1869" s="107"/>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39"/>
      <c r="CO1869" s="138"/>
      <c r="CP1869" s="139"/>
      <c r="CQ1869" s="138"/>
      <c r="CR1869" s="139"/>
      <c r="CS1869" s="138"/>
      <c r="CT1869" s="72"/>
      <c r="CU1869" s="139"/>
      <c r="CV1869" s="99">
        <f t="shared" si="179"/>
        <v>0</v>
      </c>
      <c r="CW1869" s="139"/>
      <c r="CX1869" s="138"/>
      <c r="CY1869" s="138"/>
      <c r="CZ1869" s="138"/>
      <c r="DA1869" s="139"/>
      <c r="DB1869" s="138"/>
      <c r="DC1869" s="45"/>
      <c r="DD1869" s="138"/>
      <c r="DE1869" s="45"/>
      <c r="DF1869" s="46">
        <v>1923</v>
      </c>
    </row>
    <row r="1870" spans="1:110" s="42" customFormat="1" ht="96" x14ac:dyDescent="0.2">
      <c r="A1870" s="89">
        <v>40753</v>
      </c>
      <c r="B1870" s="151" t="s">
        <v>4282</v>
      </c>
      <c r="C1870" s="90" t="s">
        <v>854</v>
      </c>
      <c r="D1870" s="90" t="s">
        <v>4264</v>
      </c>
      <c r="E1870" s="90" t="str">
        <f>VLOOKUP(B1870&amp;C1870,Divipola!$C$2:$F$1138,4,FALSE)</f>
        <v>23068</v>
      </c>
      <c r="F1870" s="4"/>
      <c r="G1870" s="101"/>
      <c r="H1870" s="101"/>
      <c r="I1870" s="101"/>
      <c r="J1870" s="101">
        <v>20000</v>
      </c>
      <c r="K1870" s="101">
        <v>4000</v>
      </c>
      <c r="L1870" s="101"/>
      <c r="M1870" s="101">
        <v>4000</v>
      </c>
      <c r="N1870" s="101"/>
      <c r="O1870" s="101"/>
      <c r="P1870" s="101"/>
      <c r="Q1870" s="101"/>
      <c r="R1870" s="101"/>
      <c r="S1870" s="101"/>
      <c r="T1870" s="101"/>
      <c r="U1870" s="101"/>
      <c r="V1870" s="101"/>
      <c r="W1870" s="19"/>
      <c r="X1870" s="17"/>
      <c r="Y1870" s="5">
        <f t="shared" si="174"/>
        <v>0</v>
      </c>
      <c r="Z1870" s="5">
        <f t="shared" si="175"/>
        <v>0</v>
      </c>
      <c r="AA1870" s="5">
        <f t="shared" si="176"/>
        <v>0</v>
      </c>
      <c r="AB1870" s="5">
        <f t="shared" si="177"/>
        <v>0</v>
      </c>
      <c r="AC1870" s="5"/>
      <c r="AD1870" s="5">
        <v>0</v>
      </c>
      <c r="AE1870" s="5">
        <f t="shared" si="178"/>
        <v>0</v>
      </c>
      <c r="AF1870" s="70">
        <v>0</v>
      </c>
      <c r="AG1870" s="17"/>
      <c r="AH1870" s="18"/>
      <c r="AI1870" s="47" t="s">
        <v>4336</v>
      </c>
      <c r="AJ1870" s="73" t="s">
        <v>4337</v>
      </c>
      <c r="AK1870" s="45"/>
      <c r="AL1870" s="17"/>
      <c r="AM1870" s="121" t="s">
        <v>4809</v>
      </c>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39"/>
      <c r="CE1870" s="138"/>
      <c r="CF1870" s="139"/>
      <c r="CG1870" s="138"/>
      <c r="CH1870" s="139"/>
      <c r="CI1870" s="138"/>
      <c r="CJ1870" s="72"/>
      <c r="CK1870" s="139"/>
      <c r="CL1870" s="71"/>
      <c r="CM1870" s="139"/>
      <c r="CN1870" s="138"/>
      <c r="CO1870" s="138"/>
      <c r="CP1870" s="138"/>
      <c r="CQ1870" s="139"/>
      <c r="CR1870" s="138"/>
      <c r="CS1870" s="45"/>
      <c r="CT1870" s="138"/>
      <c r="CU1870" s="45"/>
      <c r="CV1870" s="99">
        <f t="shared" si="179"/>
        <v>0</v>
      </c>
      <c r="CW1870" s="139"/>
      <c r="CX1870" s="138"/>
      <c r="CY1870" s="138"/>
      <c r="CZ1870" s="138"/>
      <c r="DA1870" s="139"/>
      <c r="DB1870" s="138"/>
      <c r="DC1870" s="45"/>
      <c r="DD1870" s="138"/>
      <c r="DE1870" s="45"/>
      <c r="DF1870" s="46"/>
    </row>
    <row r="1871" spans="1:110" s="42" customFormat="1" ht="84" x14ac:dyDescent="0.2">
      <c r="A1871" s="89">
        <v>40753</v>
      </c>
      <c r="B1871" s="90" t="s">
        <v>860</v>
      </c>
      <c r="C1871" s="90" t="s">
        <v>2859</v>
      </c>
      <c r="D1871" s="90" t="s">
        <v>4298</v>
      </c>
      <c r="E1871" s="90" t="str">
        <f>VLOOKUP(B1871&amp;C1871,Divipola!$C$2:$F$1138,4,FALSE)</f>
        <v>50001</v>
      </c>
      <c r="F1871" s="4"/>
      <c r="G1871" s="101"/>
      <c r="H1871" s="101"/>
      <c r="I1871" s="101"/>
      <c r="J1871" s="101">
        <v>5</v>
      </c>
      <c r="K1871" s="101">
        <v>1</v>
      </c>
      <c r="L1871" s="101">
        <v>1</v>
      </c>
      <c r="M1871" s="101"/>
      <c r="N1871" s="101"/>
      <c r="O1871" s="101"/>
      <c r="P1871" s="101"/>
      <c r="Q1871" s="101"/>
      <c r="R1871" s="101"/>
      <c r="S1871" s="101"/>
      <c r="T1871" s="101"/>
      <c r="U1871" s="101"/>
      <c r="V1871" s="101"/>
      <c r="W1871" s="19"/>
      <c r="X1871" s="17"/>
      <c r="Y1871" s="5">
        <f t="shared" si="174"/>
        <v>0</v>
      </c>
      <c r="Z1871" s="5">
        <f t="shared" si="175"/>
        <v>0</v>
      </c>
      <c r="AA1871" s="5">
        <f t="shared" si="176"/>
        <v>0</v>
      </c>
      <c r="AB1871" s="5">
        <f t="shared" si="177"/>
        <v>0</v>
      </c>
      <c r="AC1871" s="5"/>
      <c r="AD1871" s="5">
        <v>0</v>
      </c>
      <c r="AE1871" s="5">
        <f t="shared" si="178"/>
        <v>0</v>
      </c>
      <c r="AF1871" s="70">
        <v>0</v>
      </c>
      <c r="AG1871" s="17"/>
      <c r="AH1871" s="18"/>
      <c r="AI1871" s="47" t="s">
        <v>4336</v>
      </c>
      <c r="AJ1871" s="73" t="s">
        <v>4337</v>
      </c>
      <c r="AK1871" s="45"/>
      <c r="AL1871" s="17"/>
      <c r="AM1871" s="100" t="s">
        <v>396</v>
      </c>
      <c r="AN1871" s="19"/>
      <c r="AO1871" s="19"/>
      <c r="AP1871" s="19"/>
      <c r="AQ1871" s="19"/>
      <c r="AR1871" s="19"/>
      <c r="AS1871" s="19"/>
      <c r="AT1871" s="19"/>
      <c r="AU1871" s="19"/>
      <c r="AV1871" s="19"/>
      <c r="AW1871" s="19"/>
      <c r="AX1871" s="107"/>
      <c r="AY1871" s="107"/>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39"/>
      <c r="CO1871" s="138"/>
      <c r="CP1871" s="139"/>
      <c r="CQ1871" s="138"/>
      <c r="CR1871" s="139"/>
      <c r="CS1871" s="138"/>
      <c r="CT1871" s="72"/>
      <c r="CU1871" s="139"/>
      <c r="CV1871" s="99">
        <f t="shared" si="179"/>
        <v>0</v>
      </c>
      <c r="CW1871" s="139"/>
      <c r="CX1871" s="138"/>
      <c r="CY1871" s="138"/>
      <c r="CZ1871" s="138"/>
      <c r="DA1871" s="139"/>
      <c r="DB1871" s="138"/>
      <c r="DC1871" s="45"/>
      <c r="DD1871" s="138"/>
      <c r="DE1871" s="45"/>
      <c r="DF1871" s="46"/>
    </row>
    <row r="1872" spans="1:110" s="42" customFormat="1" ht="96" x14ac:dyDescent="0.2">
      <c r="A1872" s="89">
        <v>40753</v>
      </c>
      <c r="B1872" s="90" t="s">
        <v>4387</v>
      </c>
      <c r="C1872" s="90" t="s">
        <v>3446</v>
      </c>
      <c r="D1872" s="90" t="s">
        <v>4264</v>
      </c>
      <c r="E1872" s="90" t="str">
        <f>VLOOKUP(B1872&amp;C1872,Divipola!$C$2:$F$1138,4,FALSE)</f>
        <v>52001</v>
      </c>
      <c r="F1872" s="4"/>
      <c r="G1872" s="101"/>
      <c r="H1872" s="101"/>
      <c r="I1872" s="101"/>
      <c r="J1872" s="101">
        <v>241</v>
      </c>
      <c r="K1872" s="101">
        <v>107</v>
      </c>
      <c r="L1872" s="101"/>
      <c r="M1872" s="101"/>
      <c r="N1872" s="101"/>
      <c r="O1872" s="101"/>
      <c r="P1872" s="101"/>
      <c r="Q1872" s="101"/>
      <c r="R1872" s="101"/>
      <c r="S1872" s="101"/>
      <c r="T1872" s="101"/>
      <c r="U1872" s="101"/>
      <c r="V1872" s="101"/>
      <c r="W1872" s="19" t="s">
        <v>2336</v>
      </c>
      <c r="X1872" s="17"/>
      <c r="Y1872" s="5">
        <f t="shared" si="174"/>
        <v>85098528</v>
      </c>
      <c r="Z1872" s="5">
        <f t="shared" si="175"/>
        <v>195496504</v>
      </c>
      <c r="AA1872" s="5">
        <f t="shared" si="176"/>
        <v>0</v>
      </c>
      <c r="AB1872" s="5">
        <f t="shared" si="177"/>
        <v>0</v>
      </c>
      <c r="AC1872" s="5"/>
      <c r="AD1872" s="5">
        <v>0</v>
      </c>
      <c r="AE1872" s="5">
        <f t="shared" si="178"/>
        <v>280595032</v>
      </c>
      <c r="AF1872" s="70">
        <v>0</v>
      </c>
      <c r="AG1872" s="17"/>
      <c r="AH1872" s="18"/>
      <c r="AI1872" s="95" t="s">
        <v>4346</v>
      </c>
      <c r="AJ1872" s="96" t="s">
        <v>4347</v>
      </c>
      <c r="AK1872" s="45"/>
      <c r="AL1872" s="17"/>
      <c r="AM1872" s="100" t="s">
        <v>397</v>
      </c>
      <c r="AN1872" s="19"/>
      <c r="AO1872" s="19"/>
      <c r="AP1872" s="19"/>
      <c r="AQ1872" s="19"/>
      <c r="AR1872" s="19"/>
      <c r="AS1872" s="19"/>
      <c r="AT1872" s="19"/>
      <c r="AU1872" s="19"/>
      <c r="AV1872" s="19"/>
      <c r="AW1872" s="19"/>
      <c r="AX1872" s="107"/>
      <c r="AY1872" s="107"/>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9"/>
      <c r="CE1872" s="19"/>
      <c r="CF1872" s="19"/>
      <c r="CG1872" s="19"/>
      <c r="CH1872" s="19"/>
      <c r="CI1872" s="19"/>
      <c r="CJ1872" s="19"/>
      <c r="CK1872" s="19"/>
      <c r="CL1872" s="19"/>
      <c r="CM1872" s="19"/>
      <c r="CN1872" s="139"/>
      <c r="CO1872" s="138"/>
      <c r="CP1872" s="139">
        <v>2300</v>
      </c>
      <c r="CQ1872" s="138">
        <f>2300*36999.36</f>
        <v>85098528</v>
      </c>
      <c r="CR1872" s="139"/>
      <c r="CS1872" s="138"/>
      <c r="CT1872" s="72"/>
      <c r="CU1872" s="139"/>
      <c r="CV1872" s="99">
        <f t="shared" si="179"/>
        <v>85098528</v>
      </c>
      <c r="CW1872" s="139"/>
      <c r="CX1872" s="138"/>
      <c r="CY1872" s="138">
        <v>2300</v>
      </c>
      <c r="CZ1872" s="138">
        <f>2300*84998.48</f>
        <v>195496504</v>
      </c>
      <c r="DA1872" s="139"/>
      <c r="DB1872" s="138"/>
      <c r="DC1872" s="45"/>
      <c r="DD1872" s="138"/>
      <c r="DE1872" s="45"/>
      <c r="DF1872" s="46"/>
    </row>
    <row r="1873" spans="1:110" s="42" customFormat="1" ht="60" x14ac:dyDescent="0.2">
      <c r="A1873" s="89">
        <v>40753</v>
      </c>
      <c r="B1873" s="90" t="s">
        <v>2226</v>
      </c>
      <c r="C1873" s="90" t="s">
        <v>4243</v>
      </c>
      <c r="D1873" s="90" t="s">
        <v>2362</v>
      </c>
      <c r="E1873" s="90" t="str">
        <f>VLOOKUP(B1873&amp;C1873,Divipola!$C$2:$F$1138,4,FALSE)</f>
        <v>68081</v>
      </c>
      <c r="F1873" s="4"/>
      <c r="G1873" s="101">
        <v>2</v>
      </c>
      <c r="H1873" s="101"/>
      <c r="I1873" s="101"/>
      <c r="J1873" s="101">
        <v>65</v>
      </c>
      <c r="K1873" s="101">
        <v>14</v>
      </c>
      <c r="L1873" s="101">
        <v>2</v>
      </c>
      <c r="M1873" s="101">
        <v>8</v>
      </c>
      <c r="N1873" s="101"/>
      <c r="O1873" s="101"/>
      <c r="P1873" s="101"/>
      <c r="Q1873" s="101"/>
      <c r="R1873" s="101"/>
      <c r="S1873" s="101"/>
      <c r="T1873" s="101"/>
      <c r="U1873" s="101"/>
      <c r="V1873" s="101"/>
      <c r="W1873" s="19"/>
      <c r="X1873" s="17"/>
      <c r="Y1873" s="5">
        <f t="shared" si="174"/>
        <v>0</v>
      </c>
      <c r="Z1873" s="5">
        <f t="shared" si="175"/>
        <v>0</v>
      </c>
      <c r="AA1873" s="5">
        <f t="shared" si="176"/>
        <v>0</v>
      </c>
      <c r="AB1873" s="5">
        <f t="shared" si="177"/>
        <v>0</v>
      </c>
      <c r="AC1873" s="5"/>
      <c r="AD1873" s="5">
        <v>0</v>
      </c>
      <c r="AE1873" s="5">
        <f t="shared" si="178"/>
        <v>0</v>
      </c>
      <c r="AF1873" s="70">
        <v>0</v>
      </c>
      <c r="AG1873" s="17"/>
      <c r="AH1873" s="18"/>
      <c r="AI1873" s="47" t="s">
        <v>4336</v>
      </c>
      <c r="AJ1873" s="73" t="s">
        <v>4337</v>
      </c>
      <c r="AK1873" s="45"/>
      <c r="AL1873" s="17"/>
      <c r="AM1873" s="100" t="s">
        <v>395</v>
      </c>
      <c r="AN1873" s="19"/>
      <c r="AO1873" s="19"/>
      <c r="AP1873" s="19"/>
      <c r="AQ1873" s="19"/>
      <c r="AR1873" s="19"/>
      <c r="AS1873" s="19"/>
      <c r="AT1873" s="19"/>
      <c r="AU1873" s="19"/>
      <c r="AV1873" s="19"/>
      <c r="AW1873" s="19"/>
      <c r="AX1873" s="107"/>
      <c r="AY1873" s="107"/>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39"/>
      <c r="CO1873" s="138"/>
      <c r="CP1873" s="139"/>
      <c r="CQ1873" s="138"/>
      <c r="CR1873" s="139"/>
      <c r="CS1873" s="138"/>
      <c r="CT1873" s="72"/>
      <c r="CU1873" s="139"/>
      <c r="CV1873" s="99">
        <f t="shared" si="179"/>
        <v>0</v>
      </c>
      <c r="CW1873" s="139"/>
      <c r="CX1873" s="138"/>
      <c r="CY1873" s="138"/>
      <c r="CZ1873" s="138"/>
      <c r="DA1873" s="139"/>
      <c r="DB1873" s="138"/>
      <c r="DC1873" s="45"/>
      <c r="DD1873" s="138"/>
      <c r="DE1873" s="45"/>
      <c r="DF1873" s="46"/>
    </row>
    <row r="1874" spans="1:110" s="42" customFormat="1" ht="48" x14ac:dyDescent="0.2">
      <c r="A1874" s="89">
        <v>40754</v>
      </c>
      <c r="B1874" s="16" t="s">
        <v>2218</v>
      </c>
      <c r="C1874" s="16" t="s">
        <v>4112</v>
      </c>
      <c r="D1874" s="16" t="s">
        <v>3346</v>
      </c>
      <c r="E1874" s="90" t="str">
        <f>VLOOKUP(B1874&amp;C1874,Divipola!$C$2:$F$1138,4,FALSE)</f>
        <v>05895</v>
      </c>
      <c r="F1874" s="4"/>
      <c r="G1874" s="208"/>
      <c r="H1874" s="208"/>
      <c r="I1874" s="208"/>
      <c r="J1874" s="208">
        <f>129*5</f>
        <v>645</v>
      </c>
      <c r="K1874" s="208">
        <v>129</v>
      </c>
      <c r="L1874" s="208"/>
      <c r="M1874" s="208">
        <v>129</v>
      </c>
      <c r="N1874" s="208"/>
      <c r="O1874" s="208"/>
      <c r="P1874" s="208"/>
      <c r="Q1874" s="208"/>
      <c r="R1874" s="208"/>
      <c r="S1874" s="208"/>
      <c r="T1874" s="208">
        <v>8</v>
      </c>
      <c r="U1874" s="208"/>
      <c r="V1874" s="208"/>
      <c r="W1874" s="19"/>
      <c r="X1874" s="17"/>
      <c r="Y1874" s="5">
        <f t="shared" si="174"/>
        <v>0</v>
      </c>
      <c r="Z1874" s="5">
        <f t="shared" si="175"/>
        <v>0</v>
      </c>
      <c r="AA1874" s="5">
        <f t="shared" si="176"/>
        <v>0</v>
      </c>
      <c r="AB1874" s="5">
        <f t="shared" si="177"/>
        <v>0</v>
      </c>
      <c r="AC1874" s="5"/>
      <c r="AD1874" s="5">
        <v>0</v>
      </c>
      <c r="AE1874" s="5">
        <f t="shared" si="178"/>
        <v>0</v>
      </c>
      <c r="AF1874" s="70">
        <v>0</v>
      </c>
      <c r="AG1874" s="17"/>
      <c r="AH1874" s="18"/>
      <c r="AI1874" s="47" t="s">
        <v>4346</v>
      </c>
      <c r="AJ1874" s="73" t="s">
        <v>4347</v>
      </c>
      <c r="AK1874" s="45"/>
      <c r="AL1874" s="17" t="s">
        <v>4647</v>
      </c>
      <c r="AM1874" s="20" t="s">
        <v>4636</v>
      </c>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39"/>
      <c r="CE1874" s="138"/>
      <c r="CF1874" s="139"/>
      <c r="CG1874" s="138"/>
      <c r="CH1874" s="139"/>
      <c r="CI1874" s="138"/>
      <c r="CJ1874" s="72"/>
      <c r="CK1874" s="139"/>
      <c r="CL1874" s="71"/>
      <c r="CM1874" s="139"/>
      <c r="CN1874" s="138"/>
      <c r="CO1874" s="138"/>
      <c r="CP1874" s="138"/>
      <c r="CQ1874" s="139"/>
      <c r="CR1874" s="138"/>
      <c r="CS1874" s="45"/>
      <c r="CT1874" s="138"/>
      <c r="CU1874" s="45"/>
      <c r="CV1874" s="99">
        <f t="shared" si="179"/>
        <v>0</v>
      </c>
      <c r="CW1874" s="139"/>
      <c r="CX1874" s="138"/>
      <c r="CY1874" s="138"/>
      <c r="CZ1874" s="138"/>
      <c r="DA1874" s="139"/>
      <c r="DB1874" s="138"/>
      <c r="DC1874" s="45"/>
      <c r="DD1874" s="138"/>
      <c r="DE1874" s="45"/>
      <c r="DF1874" s="46"/>
    </row>
    <row r="1875" spans="1:110" s="42" customFormat="1" ht="36" x14ac:dyDescent="0.2">
      <c r="A1875" s="89">
        <v>40754</v>
      </c>
      <c r="B1875" s="90" t="s">
        <v>4386</v>
      </c>
      <c r="C1875" s="104" t="s">
        <v>1541</v>
      </c>
      <c r="D1875" s="90" t="s">
        <v>3346</v>
      </c>
      <c r="E1875" s="90" t="str">
        <f>VLOOKUP(B1875&amp;C1875,Divipola!$C$2:$F$1138,4,FALSE)</f>
        <v>20060</v>
      </c>
      <c r="F1875" s="4"/>
      <c r="G1875" s="101"/>
      <c r="H1875" s="101"/>
      <c r="I1875" s="101"/>
      <c r="J1875" s="101"/>
      <c r="K1875" s="101"/>
      <c r="L1875" s="101"/>
      <c r="M1875" s="101"/>
      <c r="N1875" s="101"/>
      <c r="O1875" s="101"/>
      <c r="P1875" s="101"/>
      <c r="Q1875" s="101"/>
      <c r="R1875" s="101"/>
      <c r="S1875" s="101"/>
      <c r="T1875" s="101"/>
      <c r="U1875" s="101"/>
      <c r="V1875" s="101"/>
      <c r="W1875" s="19"/>
      <c r="X1875" s="17"/>
      <c r="Y1875" s="5">
        <f t="shared" si="174"/>
        <v>0</v>
      </c>
      <c r="Z1875" s="5">
        <f t="shared" si="175"/>
        <v>0</v>
      </c>
      <c r="AA1875" s="5">
        <f t="shared" si="176"/>
        <v>0</v>
      </c>
      <c r="AB1875" s="5">
        <f t="shared" si="177"/>
        <v>0</v>
      </c>
      <c r="AC1875" s="5"/>
      <c r="AD1875" s="5">
        <v>0</v>
      </c>
      <c r="AE1875" s="5">
        <f t="shared" si="178"/>
        <v>0</v>
      </c>
      <c r="AF1875" s="70">
        <v>0</v>
      </c>
      <c r="AG1875" s="17"/>
      <c r="AH1875" s="18"/>
      <c r="AI1875" s="47" t="s">
        <v>4336</v>
      </c>
      <c r="AJ1875" s="73" t="s">
        <v>4337</v>
      </c>
      <c r="AK1875" s="45"/>
      <c r="AL1875" s="17"/>
      <c r="AM1875" s="100" t="s">
        <v>3752</v>
      </c>
      <c r="AN1875" s="19"/>
      <c r="AO1875" s="19"/>
      <c r="AP1875" s="19"/>
      <c r="AQ1875" s="19"/>
      <c r="AR1875" s="19"/>
      <c r="AS1875" s="19"/>
      <c r="AT1875" s="19"/>
      <c r="AU1875" s="19"/>
      <c r="AV1875" s="19"/>
      <c r="AW1875" s="19"/>
      <c r="AX1875" s="107"/>
      <c r="AY1875" s="107"/>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39"/>
      <c r="CO1875" s="138"/>
      <c r="CP1875" s="139"/>
      <c r="CQ1875" s="138"/>
      <c r="CR1875" s="139"/>
      <c r="CS1875" s="138"/>
      <c r="CT1875" s="72"/>
      <c r="CU1875" s="139"/>
      <c r="CV1875" s="99">
        <f t="shared" si="179"/>
        <v>0</v>
      </c>
      <c r="CW1875" s="139"/>
      <c r="CX1875" s="138"/>
      <c r="CY1875" s="138"/>
      <c r="CZ1875" s="138"/>
      <c r="DA1875" s="139"/>
      <c r="DB1875" s="138"/>
      <c r="DC1875" s="45"/>
      <c r="DD1875" s="138"/>
      <c r="DE1875" s="45"/>
      <c r="DF1875" s="46"/>
    </row>
    <row r="1876" spans="1:110" s="42" customFormat="1" ht="36" x14ac:dyDescent="0.2">
      <c r="A1876" s="89">
        <v>40754</v>
      </c>
      <c r="B1876" s="90" t="s">
        <v>4386</v>
      </c>
      <c r="C1876" s="90" t="s">
        <v>857</v>
      </c>
      <c r="D1876" s="90" t="s">
        <v>4264</v>
      </c>
      <c r="E1876" s="90" t="str">
        <f>VLOOKUP(B1876&amp;C1876,Divipola!$C$2:$F$1138,4,FALSE)</f>
        <v>20175</v>
      </c>
      <c r="F1876" s="4"/>
      <c r="G1876" s="101"/>
      <c r="H1876" s="101"/>
      <c r="I1876" s="101"/>
      <c r="J1876" s="101">
        <v>325</v>
      </c>
      <c r="K1876" s="101">
        <v>65</v>
      </c>
      <c r="L1876" s="101"/>
      <c r="M1876" s="101">
        <v>65</v>
      </c>
      <c r="N1876" s="101"/>
      <c r="O1876" s="101"/>
      <c r="P1876" s="101"/>
      <c r="Q1876" s="101"/>
      <c r="R1876" s="101"/>
      <c r="S1876" s="101"/>
      <c r="T1876" s="101"/>
      <c r="U1876" s="101"/>
      <c r="V1876" s="101"/>
      <c r="W1876" s="19"/>
      <c r="X1876" s="17"/>
      <c r="Y1876" s="5">
        <f t="shared" si="174"/>
        <v>0</v>
      </c>
      <c r="Z1876" s="5">
        <f t="shared" si="175"/>
        <v>0</v>
      </c>
      <c r="AA1876" s="5">
        <f t="shared" si="176"/>
        <v>0</v>
      </c>
      <c r="AB1876" s="5">
        <f t="shared" si="177"/>
        <v>0</v>
      </c>
      <c r="AC1876" s="5"/>
      <c r="AD1876" s="5">
        <v>0</v>
      </c>
      <c r="AE1876" s="5">
        <f t="shared" si="178"/>
        <v>0</v>
      </c>
      <c r="AF1876" s="70">
        <v>0</v>
      </c>
      <c r="AG1876" s="17"/>
      <c r="AH1876" s="18"/>
      <c r="AI1876" s="47" t="s">
        <v>4336</v>
      </c>
      <c r="AJ1876" s="73" t="s">
        <v>4337</v>
      </c>
      <c r="AK1876" s="45"/>
      <c r="AL1876" s="17"/>
      <c r="AM1876" s="121" t="s">
        <v>3751</v>
      </c>
      <c r="AN1876" s="19"/>
      <c r="AO1876" s="19"/>
      <c r="AP1876" s="19"/>
      <c r="AQ1876" s="19"/>
      <c r="AR1876" s="19"/>
      <c r="AS1876" s="19"/>
      <c r="AT1876" s="19"/>
      <c r="AU1876" s="19"/>
      <c r="AV1876" s="19"/>
      <c r="AW1876" s="19"/>
      <c r="AX1876" s="107"/>
      <c r="AY1876" s="107"/>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9"/>
      <c r="CE1876" s="19"/>
      <c r="CF1876" s="19"/>
      <c r="CG1876" s="19"/>
      <c r="CH1876" s="19"/>
      <c r="CI1876" s="19"/>
      <c r="CJ1876" s="19"/>
      <c r="CK1876" s="19"/>
      <c r="CL1876" s="19"/>
      <c r="CM1876" s="19"/>
      <c r="CN1876" s="139"/>
      <c r="CO1876" s="138"/>
      <c r="CP1876" s="139"/>
      <c r="CQ1876" s="138"/>
      <c r="CR1876" s="139"/>
      <c r="CS1876" s="138"/>
      <c r="CT1876" s="72"/>
      <c r="CU1876" s="139"/>
      <c r="CV1876" s="99">
        <f t="shared" si="179"/>
        <v>0</v>
      </c>
      <c r="CW1876" s="139"/>
      <c r="CX1876" s="138"/>
      <c r="CY1876" s="138"/>
      <c r="CZ1876" s="138"/>
      <c r="DA1876" s="139"/>
      <c r="DB1876" s="138"/>
      <c r="DC1876" s="45"/>
      <c r="DD1876" s="138"/>
      <c r="DE1876" s="45"/>
      <c r="DF1876" s="46"/>
    </row>
    <row r="1877" spans="1:110" s="42" customFormat="1" ht="48" x14ac:dyDescent="0.2">
      <c r="A1877" s="89">
        <v>40756</v>
      </c>
      <c r="B1877" s="16" t="s">
        <v>4261</v>
      </c>
      <c r="C1877" s="16" t="s">
        <v>2866</v>
      </c>
      <c r="D1877" s="90" t="s">
        <v>4264</v>
      </c>
      <c r="E1877" s="90" t="str">
        <f>VLOOKUP(B1877&amp;C1877,Divipola!$C$2:$F$1138,4,FALSE)</f>
        <v>15368</v>
      </c>
      <c r="F1877" s="4"/>
      <c r="G1877" s="208"/>
      <c r="H1877" s="208"/>
      <c r="I1877" s="208"/>
      <c r="J1877" s="208"/>
      <c r="K1877" s="208"/>
      <c r="L1877" s="208"/>
      <c r="M1877" s="208"/>
      <c r="N1877" s="208">
        <v>1</v>
      </c>
      <c r="O1877" s="208"/>
      <c r="P1877" s="208"/>
      <c r="Q1877" s="208"/>
      <c r="R1877" s="208"/>
      <c r="S1877" s="208"/>
      <c r="T1877" s="208"/>
      <c r="U1877" s="208"/>
      <c r="V1877" s="208"/>
      <c r="W1877" s="19"/>
      <c r="X1877" s="17"/>
      <c r="Y1877" s="5">
        <f t="shared" si="174"/>
        <v>0</v>
      </c>
      <c r="Z1877" s="5">
        <f t="shared" si="175"/>
        <v>0</v>
      </c>
      <c r="AA1877" s="5">
        <f t="shared" si="176"/>
        <v>0</v>
      </c>
      <c r="AB1877" s="5">
        <f t="shared" si="177"/>
        <v>0</v>
      </c>
      <c r="AC1877" s="5"/>
      <c r="AD1877" s="5">
        <v>40000000</v>
      </c>
      <c r="AE1877" s="5">
        <f t="shared" si="178"/>
        <v>40000000</v>
      </c>
      <c r="AF1877" s="70">
        <v>0</v>
      </c>
      <c r="AG1877" s="17"/>
      <c r="AH1877" s="18"/>
      <c r="AI1877" s="95" t="s">
        <v>4346</v>
      </c>
      <c r="AJ1877" s="96" t="s">
        <v>4347</v>
      </c>
      <c r="AK1877" s="45"/>
      <c r="AL1877" s="17"/>
      <c r="AM1877" s="20" t="s">
        <v>3767</v>
      </c>
      <c r="AN1877" s="19"/>
      <c r="AO1877" s="19"/>
      <c r="AP1877" s="19"/>
      <c r="AQ1877" s="19"/>
      <c r="AR1877" s="19"/>
      <c r="AS1877" s="19"/>
      <c r="AT1877" s="19"/>
      <c r="AU1877" s="19"/>
      <c r="AV1877" s="19"/>
      <c r="AW1877" s="19"/>
      <c r="AX1877" s="107"/>
      <c r="AY1877" s="107"/>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39"/>
      <c r="CO1877" s="138"/>
      <c r="CP1877" s="139"/>
      <c r="CQ1877" s="138"/>
      <c r="CR1877" s="139"/>
      <c r="CS1877" s="138"/>
      <c r="CT1877" s="72"/>
      <c r="CU1877" s="139"/>
      <c r="CV1877" s="99">
        <f t="shared" si="179"/>
        <v>0</v>
      </c>
      <c r="CW1877" s="139"/>
      <c r="CX1877" s="138"/>
      <c r="CY1877" s="138"/>
      <c r="CZ1877" s="138"/>
      <c r="DA1877" s="139"/>
      <c r="DB1877" s="138"/>
      <c r="DC1877" s="45"/>
      <c r="DD1877" s="138"/>
      <c r="DE1877" s="45"/>
      <c r="DF1877" s="46"/>
    </row>
    <row r="1878" spans="1:110" s="42" customFormat="1" ht="84" x14ac:dyDescent="0.2">
      <c r="A1878" s="89">
        <v>40756</v>
      </c>
      <c r="B1878" s="90" t="s">
        <v>4261</v>
      </c>
      <c r="C1878" s="90" t="s">
        <v>3379</v>
      </c>
      <c r="D1878" s="90" t="s">
        <v>4264</v>
      </c>
      <c r="E1878" s="90" t="str">
        <f>VLOOKUP(B1878&amp;C1878,Divipola!$C$2:$F$1138,4,FALSE)</f>
        <v>15804</v>
      </c>
      <c r="F1878" s="4"/>
      <c r="G1878" s="101"/>
      <c r="H1878" s="101"/>
      <c r="I1878" s="101"/>
      <c r="J1878" s="101">
        <v>1180</v>
      </c>
      <c r="K1878" s="101">
        <v>236</v>
      </c>
      <c r="L1878" s="101"/>
      <c r="M1878" s="101">
        <v>236</v>
      </c>
      <c r="N1878" s="101"/>
      <c r="O1878" s="101"/>
      <c r="P1878" s="101"/>
      <c r="Q1878" s="101"/>
      <c r="R1878" s="101"/>
      <c r="S1878" s="101"/>
      <c r="T1878" s="101"/>
      <c r="U1878" s="101"/>
      <c r="V1878" s="101"/>
      <c r="W1878" s="19"/>
      <c r="X1878" s="17"/>
      <c r="Y1878" s="5">
        <f t="shared" si="174"/>
        <v>0</v>
      </c>
      <c r="Z1878" s="5">
        <f t="shared" si="175"/>
        <v>0</v>
      </c>
      <c r="AA1878" s="5">
        <f t="shared" si="176"/>
        <v>0</v>
      </c>
      <c r="AB1878" s="5">
        <f t="shared" si="177"/>
        <v>0</v>
      </c>
      <c r="AC1878" s="5"/>
      <c r="AD1878" s="5">
        <v>0</v>
      </c>
      <c r="AE1878" s="5">
        <f t="shared" si="178"/>
        <v>0</v>
      </c>
      <c r="AF1878" s="70">
        <v>0</v>
      </c>
      <c r="AG1878" s="17"/>
      <c r="AH1878" s="18"/>
      <c r="AI1878" s="47" t="s">
        <v>4336</v>
      </c>
      <c r="AJ1878" s="73" t="s">
        <v>4337</v>
      </c>
      <c r="AK1878" s="45"/>
      <c r="AL1878" s="17"/>
      <c r="AM1878" s="100" t="s">
        <v>2324</v>
      </c>
      <c r="AN1878" s="19"/>
      <c r="AO1878" s="19"/>
      <c r="AP1878" s="19"/>
      <c r="AQ1878" s="19"/>
      <c r="AR1878" s="19"/>
      <c r="AS1878" s="19"/>
      <c r="AT1878" s="19"/>
      <c r="AU1878" s="19"/>
      <c r="AV1878" s="19"/>
      <c r="AW1878" s="19"/>
      <c r="AX1878" s="107"/>
      <c r="AY1878" s="107"/>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39"/>
      <c r="CO1878" s="138"/>
      <c r="CP1878" s="139"/>
      <c r="CQ1878" s="138"/>
      <c r="CR1878" s="139"/>
      <c r="CS1878" s="138"/>
      <c r="CT1878" s="72"/>
      <c r="CU1878" s="139"/>
      <c r="CV1878" s="99">
        <f t="shared" si="179"/>
        <v>0</v>
      </c>
      <c r="CW1878" s="139"/>
      <c r="CX1878" s="138"/>
      <c r="CY1878" s="138"/>
      <c r="CZ1878" s="138"/>
      <c r="DA1878" s="139"/>
      <c r="DB1878" s="138"/>
      <c r="DC1878" s="45"/>
      <c r="DD1878" s="138"/>
      <c r="DE1878" s="45"/>
      <c r="DF1878" s="46"/>
    </row>
    <row r="1879" spans="1:110" s="42" customFormat="1" x14ac:dyDescent="0.2">
      <c r="A1879" s="89">
        <v>40756</v>
      </c>
      <c r="B1879" s="16" t="s">
        <v>3533</v>
      </c>
      <c r="C1879" s="16" t="s">
        <v>968</v>
      </c>
      <c r="D1879" s="90" t="s">
        <v>2362</v>
      </c>
      <c r="E1879" s="90" t="str">
        <f>VLOOKUP(B1879&amp;C1879,Divipola!$C$2:$F$1138,4,FALSE)</f>
        <v>17174</v>
      </c>
      <c r="F1879" s="4"/>
      <c r="G1879" s="208"/>
      <c r="H1879" s="208"/>
      <c r="I1879" s="208"/>
      <c r="J1879" s="208">
        <v>8</v>
      </c>
      <c r="K1879" s="208">
        <v>1</v>
      </c>
      <c r="L1879" s="208"/>
      <c r="M1879" s="208">
        <v>1</v>
      </c>
      <c r="N1879" s="208"/>
      <c r="O1879" s="208"/>
      <c r="P1879" s="208"/>
      <c r="Q1879" s="208"/>
      <c r="R1879" s="208"/>
      <c r="S1879" s="208"/>
      <c r="T1879" s="208"/>
      <c r="U1879" s="208"/>
      <c r="V1879" s="208"/>
      <c r="W1879" s="19"/>
      <c r="X1879" s="17"/>
      <c r="Y1879" s="5">
        <f t="shared" si="174"/>
        <v>0</v>
      </c>
      <c r="Z1879" s="5">
        <f t="shared" si="175"/>
        <v>0</v>
      </c>
      <c r="AA1879" s="5">
        <f t="shared" si="176"/>
        <v>0</v>
      </c>
      <c r="AB1879" s="5">
        <f t="shared" si="177"/>
        <v>0</v>
      </c>
      <c r="AC1879" s="5"/>
      <c r="AD1879" s="5">
        <v>0</v>
      </c>
      <c r="AE1879" s="5">
        <f t="shared" si="178"/>
        <v>0</v>
      </c>
      <c r="AF1879" s="70">
        <v>0</v>
      </c>
      <c r="AG1879" s="17"/>
      <c r="AH1879" s="18"/>
      <c r="AI1879" s="47" t="s">
        <v>4336</v>
      </c>
      <c r="AJ1879" s="73" t="s">
        <v>4337</v>
      </c>
      <c r="AK1879" s="45"/>
      <c r="AL1879" s="17"/>
      <c r="AM1879" s="20" t="s">
        <v>3530</v>
      </c>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39"/>
      <c r="CE1879" s="138"/>
      <c r="CF1879" s="139"/>
      <c r="CG1879" s="138"/>
      <c r="CH1879" s="139"/>
      <c r="CI1879" s="138"/>
      <c r="CJ1879" s="72"/>
      <c r="CK1879" s="139"/>
      <c r="CL1879" s="71"/>
      <c r="CM1879" s="139"/>
      <c r="CN1879" s="138"/>
      <c r="CO1879" s="138"/>
      <c r="CP1879" s="138"/>
      <c r="CQ1879" s="139"/>
      <c r="CR1879" s="138"/>
      <c r="CS1879" s="45"/>
      <c r="CT1879" s="138"/>
      <c r="CU1879" s="45"/>
      <c r="CV1879" s="99">
        <f t="shared" si="179"/>
        <v>0</v>
      </c>
      <c r="CW1879" s="139"/>
      <c r="CX1879" s="138"/>
      <c r="CY1879" s="138"/>
      <c r="CZ1879" s="138"/>
      <c r="DA1879" s="139"/>
      <c r="DB1879" s="138"/>
      <c r="DC1879" s="45"/>
      <c r="DD1879" s="138"/>
      <c r="DE1879" s="45"/>
      <c r="DF1879" s="46"/>
    </row>
    <row r="1880" spans="1:110" s="42" customFormat="1" ht="48" x14ac:dyDescent="0.2">
      <c r="A1880" s="89">
        <v>40756</v>
      </c>
      <c r="B1880" s="16" t="s">
        <v>3533</v>
      </c>
      <c r="C1880" s="16" t="s">
        <v>2219</v>
      </c>
      <c r="D1880" s="90" t="s">
        <v>4264</v>
      </c>
      <c r="E1880" s="90" t="str">
        <f>VLOOKUP(B1880&amp;C1880,Divipola!$C$2:$F$1138,4,FALSE)</f>
        <v>17433</v>
      </c>
      <c r="F1880" s="4"/>
      <c r="G1880" s="208"/>
      <c r="H1880" s="208"/>
      <c r="I1880" s="208"/>
      <c r="J1880" s="208"/>
      <c r="K1880" s="208"/>
      <c r="L1880" s="208"/>
      <c r="M1880" s="208"/>
      <c r="N1880" s="208">
        <v>4</v>
      </c>
      <c r="O1880" s="208"/>
      <c r="P1880" s="208"/>
      <c r="Q1880" s="208"/>
      <c r="R1880" s="208"/>
      <c r="S1880" s="208"/>
      <c r="T1880" s="208"/>
      <c r="U1880" s="208"/>
      <c r="V1880" s="208"/>
      <c r="W1880" s="19"/>
      <c r="X1880" s="17"/>
      <c r="Y1880" s="5">
        <f t="shared" si="174"/>
        <v>0</v>
      </c>
      <c r="Z1880" s="5">
        <f t="shared" si="175"/>
        <v>0</v>
      </c>
      <c r="AA1880" s="5">
        <f t="shared" si="176"/>
        <v>0</v>
      </c>
      <c r="AB1880" s="5">
        <f t="shared" si="177"/>
        <v>0</v>
      </c>
      <c r="AC1880" s="5"/>
      <c r="AD1880" s="5">
        <v>15000000</v>
      </c>
      <c r="AE1880" s="5">
        <f t="shared" si="178"/>
        <v>15000000</v>
      </c>
      <c r="AF1880" s="70">
        <v>0</v>
      </c>
      <c r="AG1880" s="17"/>
      <c r="AH1880" s="18"/>
      <c r="AI1880" s="95" t="s">
        <v>4346</v>
      </c>
      <c r="AJ1880" s="96" t="s">
        <v>4347</v>
      </c>
      <c r="AK1880" s="45"/>
      <c r="AL1880" s="17"/>
      <c r="AM1880" s="20" t="s">
        <v>3766</v>
      </c>
      <c r="AN1880" s="19"/>
      <c r="AO1880" s="19"/>
      <c r="AP1880" s="19"/>
      <c r="AQ1880" s="19"/>
      <c r="AR1880" s="19"/>
      <c r="AS1880" s="19"/>
      <c r="AT1880" s="19"/>
      <c r="AU1880" s="19"/>
      <c r="AV1880" s="19"/>
      <c r="AW1880" s="19"/>
      <c r="AX1880" s="107"/>
      <c r="AY1880" s="107"/>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39"/>
      <c r="CO1880" s="138"/>
      <c r="CP1880" s="139"/>
      <c r="CQ1880" s="138"/>
      <c r="CR1880" s="139"/>
      <c r="CS1880" s="138"/>
      <c r="CT1880" s="72"/>
      <c r="CU1880" s="139"/>
      <c r="CV1880" s="99">
        <f t="shared" si="179"/>
        <v>0</v>
      </c>
      <c r="CW1880" s="139"/>
      <c r="CX1880" s="138"/>
      <c r="CY1880" s="138"/>
      <c r="CZ1880" s="138"/>
      <c r="DA1880" s="139"/>
      <c r="DB1880" s="138"/>
      <c r="DC1880" s="45"/>
      <c r="DD1880" s="138"/>
      <c r="DE1880" s="45"/>
      <c r="DF1880" s="46"/>
    </row>
    <row r="1881" spans="1:110" s="42" customFormat="1" ht="156" x14ac:dyDescent="0.2">
      <c r="A1881" s="89">
        <v>40756</v>
      </c>
      <c r="B1881" s="16" t="s">
        <v>2225</v>
      </c>
      <c r="C1881" s="16" t="s">
        <v>4241</v>
      </c>
      <c r="D1881" s="90" t="s">
        <v>2362</v>
      </c>
      <c r="E1881" s="90" t="str">
        <f>VLOOKUP(B1881&amp;C1881,Divipola!$C$2:$F$1138,4,FALSE)</f>
        <v>27660</v>
      </c>
      <c r="F1881" s="4"/>
      <c r="G1881" s="208"/>
      <c r="H1881" s="208"/>
      <c r="I1881" s="208"/>
      <c r="J1881" s="208"/>
      <c r="K1881" s="208"/>
      <c r="L1881" s="208"/>
      <c r="M1881" s="208"/>
      <c r="N1881" s="208"/>
      <c r="O1881" s="208"/>
      <c r="P1881" s="208"/>
      <c r="Q1881" s="208"/>
      <c r="R1881" s="208"/>
      <c r="S1881" s="208"/>
      <c r="T1881" s="208"/>
      <c r="U1881" s="208"/>
      <c r="V1881" s="208"/>
      <c r="W1881" s="19"/>
      <c r="X1881" s="17"/>
      <c r="Y1881" s="5">
        <f t="shared" si="174"/>
        <v>0</v>
      </c>
      <c r="Z1881" s="5">
        <f t="shared" si="175"/>
        <v>0</v>
      </c>
      <c r="AA1881" s="5">
        <f t="shared" si="176"/>
        <v>0</v>
      </c>
      <c r="AB1881" s="5">
        <f t="shared" si="177"/>
        <v>0</v>
      </c>
      <c r="AC1881" s="5"/>
      <c r="AD1881" s="5">
        <v>150000000</v>
      </c>
      <c r="AE1881" s="5">
        <f t="shared" si="178"/>
        <v>150000000</v>
      </c>
      <c r="AF1881" s="70">
        <v>0</v>
      </c>
      <c r="AG1881" s="17"/>
      <c r="AH1881" s="18"/>
      <c r="AI1881" s="47" t="s">
        <v>4346</v>
      </c>
      <c r="AJ1881" s="73" t="s">
        <v>4347</v>
      </c>
      <c r="AK1881" s="45"/>
      <c r="AL1881" s="17"/>
      <c r="AM1881" s="20" t="s">
        <v>2312</v>
      </c>
      <c r="AN1881" s="19"/>
      <c r="AO1881" s="19"/>
      <c r="AP1881" s="19"/>
      <c r="AQ1881" s="19"/>
      <c r="AR1881" s="19"/>
      <c r="AS1881" s="19"/>
      <c r="AT1881" s="19"/>
      <c r="AU1881" s="19"/>
      <c r="AV1881" s="19"/>
      <c r="AW1881" s="19"/>
      <c r="AX1881" s="107"/>
      <c r="AY1881" s="107"/>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39"/>
      <c r="CO1881" s="138"/>
      <c r="CP1881" s="139"/>
      <c r="CQ1881" s="138"/>
      <c r="CR1881" s="139"/>
      <c r="CS1881" s="138"/>
      <c r="CT1881" s="72"/>
      <c r="CU1881" s="139"/>
      <c r="CV1881" s="99">
        <f t="shared" si="179"/>
        <v>0</v>
      </c>
      <c r="CW1881" s="139"/>
      <c r="CX1881" s="138"/>
      <c r="CY1881" s="138"/>
      <c r="CZ1881" s="138"/>
      <c r="DA1881" s="139"/>
      <c r="DB1881" s="138"/>
      <c r="DC1881" s="45"/>
      <c r="DD1881" s="138"/>
      <c r="DE1881" s="45"/>
      <c r="DF1881" s="46"/>
    </row>
    <row r="1882" spans="1:110" s="42" customFormat="1" ht="24" x14ac:dyDescent="0.2">
      <c r="A1882" s="89">
        <v>40756</v>
      </c>
      <c r="B1882" s="151" t="s">
        <v>4350</v>
      </c>
      <c r="C1882" s="90" t="s">
        <v>3361</v>
      </c>
      <c r="D1882" s="90" t="s">
        <v>2865</v>
      </c>
      <c r="E1882" s="90" t="str">
        <f>VLOOKUP(B1882&amp;C1882,Divipola!$C$2:$F$1138,4,FALSE)</f>
        <v>63548</v>
      </c>
      <c r="F1882" s="4"/>
      <c r="G1882" s="101"/>
      <c r="H1882" s="101"/>
      <c r="I1882" s="101"/>
      <c r="J1882" s="101">
        <v>5</v>
      </c>
      <c r="K1882" s="101">
        <v>1</v>
      </c>
      <c r="L1882" s="101">
        <v>1</v>
      </c>
      <c r="M1882" s="101"/>
      <c r="N1882" s="101"/>
      <c r="O1882" s="101"/>
      <c r="P1882" s="101"/>
      <c r="Q1882" s="101"/>
      <c r="R1882" s="101"/>
      <c r="S1882" s="101"/>
      <c r="T1882" s="101"/>
      <c r="U1882" s="101"/>
      <c r="V1882" s="101"/>
      <c r="W1882" s="19"/>
      <c r="X1882" s="17"/>
      <c r="Y1882" s="5">
        <f t="shared" si="174"/>
        <v>0</v>
      </c>
      <c r="Z1882" s="5">
        <f t="shared" si="175"/>
        <v>0</v>
      </c>
      <c r="AA1882" s="5">
        <f t="shared" si="176"/>
        <v>0</v>
      </c>
      <c r="AB1882" s="5">
        <f t="shared" si="177"/>
        <v>0</v>
      </c>
      <c r="AC1882" s="5"/>
      <c r="AD1882" s="5">
        <v>0</v>
      </c>
      <c r="AE1882" s="5">
        <f t="shared" si="178"/>
        <v>0</v>
      </c>
      <c r="AF1882" s="70">
        <v>0</v>
      </c>
      <c r="AG1882" s="17"/>
      <c r="AH1882" s="18"/>
      <c r="AI1882" s="47" t="s">
        <v>4336</v>
      </c>
      <c r="AJ1882" s="73" t="s">
        <v>4337</v>
      </c>
      <c r="AK1882" s="45"/>
      <c r="AL1882" s="17"/>
      <c r="AM1882" s="121" t="s">
        <v>34</v>
      </c>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39"/>
      <c r="CO1882" s="138"/>
      <c r="CP1882" s="139"/>
      <c r="CQ1882" s="138"/>
      <c r="CR1882" s="139"/>
      <c r="CS1882" s="138"/>
      <c r="CT1882" s="72"/>
      <c r="CU1882" s="139"/>
      <c r="CV1882" s="99">
        <f t="shared" si="179"/>
        <v>0</v>
      </c>
      <c r="CW1882" s="139"/>
      <c r="CX1882" s="138"/>
      <c r="CY1882" s="138"/>
      <c r="CZ1882" s="138"/>
      <c r="DA1882" s="139"/>
      <c r="DB1882" s="138"/>
      <c r="DC1882" s="45"/>
      <c r="DD1882" s="138"/>
      <c r="DE1882" s="45"/>
      <c r="DF1882" s="46"/>
    </row>
    <row r="1883" spans="1:110" s="42" customFormat="1" ht="144" x14ac:dyDescent="0.2">
      <c r="A1883" s="89">
        <v>40756</v>
      </c>
      <c r="B1883" s="16" t="s">
        <v>2226</v>
      </c>
      <c r="C1883" s="16" t="s">
        <v>2965</v>
      </c>
      <c r="D1883" s="90" t="s">
        <v>4264</v>
      </c>
      <c r="E1883" s="90" t="str">
        <f>VLOOKUP(B1883&amp;C1883,Divipola!$C$2:$F$1138,4,FALSE)</f>
        <v>68502</v>
      </c>
      <c r="F1883" s="4"/>
      <c r="G1883" s="208"/>
      <c r="H1883" s="208"/>
      <c r="I1883" s="208"/>
      <c r="J1883" s="208"/>
      <c r="K1883" s="208"/>
      <c r="L1883" s="208"/>
      <c r="M1883" s="208"/>
      <c r="N1883" s="208">
        <v>10</v>
      </c>
      <c r="O1883" s="208"/>
      <c r="P1883" s="208"/>
      <c r="Q1883" s="208"/>
      <c r="R1883" s="208"/>
      <c r="S1883" s="208"/>
      <c r="T1883" s="208"/>
      <c r="U1883" s="208"/>
      <c r="V1883" s="208"/>
      <c r="W1883" s="19"/>
      <c r="X1883" s="17"/>
      <c r="Y1883" s="5">
        <f t="shared" si="174"/>
        <v>0</v>
      </c>
      <c r="Z1883" s="5">
        <f t="shared" si="175"/>
        <v>0</v>
      </c>
      <c r="AA1883" s="5">
        <f t="shared" si="176"/>
        <v>0</v>
      </c>
      <c r="AB1883" s="5">
        <f t="shared" si="177"/>
        <v>0</v>
      </c>
      <c r="AC1883" s="5"/>
      <c r="AD1883" s="5">
        <v>15000000</v>
      </c>
      <c r="AE1883" s="5">
        <f t="shared" si="178"/>
        <v>15000000</v>
      </c>
      <c r="AF1883" s="70">
        <v>0</v>
      </c>
      <c r="AG1883" s="17"/>
      <c r="AH1883" s="18"/>
      <c r="AI1883" s="95" t="s">
        <v>4346</v>
      </c>
      <c r="AJ1883" s="96" t="s">
        <v>4347</v>
      </c>
      <c r="AK1883" s="45"/>
      <c r="AL1883" s="17"/>
      <c r="AM1883" s="136" t="s">
        <v>145</v>
      </c>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39"/>
      <c r="CO1883" s="138"/>
      <c r="CP1883" s="139"/>
      <c r="CQ1883" s="138"/>
      <c r="CR1883" s="139"/>
      <c r="CS1883" s="138"/>
      <c r="CT1883" s="72"/>
      <c r="CU1883" s="139"/>
      <c r="CV1883" s="99">
        <f t="shared" si="179"/>
        <v>0</v>
      </c>
      <c r="CW1883" s="139"/>
      <c r="CX1883" s="138"/>
      <c r="CY1883" s="138"/>
      <c r="CZ1883" s="138"/>
      <c r="DA1883" s="139"/>
      <c r="DB1883" s="138"/>
      <c r="DC1883" s="45"/>
      <c r="DD1883" s="138"/>
      <c r="DE1883" s="45"/>
      <c r="DF1883" s="46"/>
    </row>
    <row r="1884" spans="1:110" s="42" customFormat="1" ht="36" x14ac:dyDescent="0.2">
      <c r="A1884" s="89">
        <v>40756</v>
      </c>
      <c r="B1884" s="16" t="s">
        <v>4244</v>
      </c>
      <c r="C1884" s="16" t="s">
        <v>3451</v>
      </c>
      <c r="D1884" s="90" t="s">
        <v>4264</v>
      </c>
      <c r="E1884" s="90" t="str">
        <f>VLOOKUP(B1884&amp;C1884,Divipola!$C$2:$F$1138,4,FALSE)</f>
        <v>76834</v>
      </c>
      <c r="F1884" s="4"/>
      <c r="G1884" s="208"/>
      <c r="H1884" s="208"/>
      <c r="I1884" s="208"/>
      <c r="J1884" s="208"/>
      <c r="K1884" s="208"/>
      <c r="L1884" s="208"/>
      <c r="M1884" s="208"/>
      <c r="N1884" s="208"/>
      <c r="O1884" s="208"/>
      <c r="P1884" s="208"/>
      <c r="Q1884" s="208"/>
      <c r="R1884" s="208"/>
      <c r="S1884" s="208"/>
      <c r="T1884" s="208"/>
      <c r="U1884" s="208"/>
      <c r="V1884" s="208"/>
      <c r="W1884" s="19"/>
      <c r="X1884" s="17"/>
      <c r="Y1884" s="5">
        <f t="shared" si="174"/>
        <v>0</v>
      </c>
      <c r="Z1884" s="5">
        <f t="shared" si="175"/>
        <v>0</v>
      </c>
      <c r="AA1884" s="5">
        <f t="shared" si="176"/>
        <v>0</v>
      </c>
      <c r="AB1884" s="5">
        <f t="shared" si="177"/>
        <v>0</v>
      </c>
      <c r="AC1884" s="5"/>
      <c r="AD1884" s="5">
        <v>40000000</v>
      </c>
      <c r="AE1884" s="5">
        <f t="shared" si="178"/>
        <v>40000000</v>
      </c>
      <c r="AF1884" s="70">
        <v>0</v>
      </c>
      <c r="AG1884" s="17"/>
      <c r="AH1884" s="18"/>
      <c r="AI1884" s="95" t="s">
        <v>4346</v>
      </c>
      <c r="AJ1884" s="96" t="s">
        <v>4347</v>
      </c>
      <c r="AK1884" s="45"/>
      <c r="AL1884" s="17"/>
      <c r="AM1884" s="20" t="s">
        <v>2298</v>
      </c>
      <c r="AN1884" s="19"/>
      <c r="AO1884" s="19"/>
      <c r="AP1884" s="19"/>
      <c r="AQ1884" s="19"/>
      <c r="AR1884" s="19"/>
      <c r="AS1884" s="19"/>
      <c r="AT1884" s="19"/>
      <c r="AU1884" s="19"/>
      <c r="AV1884" s="19"/>
      <c r="AW1884" s="19"/>
      <c r="AX1884" s="107"/>
      <c r="AY1884" s="107"/>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39"/>
      <c r="CO1884" s="138"/>
      <c r="CP1884" s="139"/>
      <c r="CQ1884" s="138"/>
      <c r="CR1884" s="139"/>
      <c r="CS1884" s="138"/>
      <c r="CT1884" s="72"/>
      <c r="CU1884" s="139"/>
      <c r="CV1884" s="99">
        <f t="shared" si="179"/>
        <v>0</v>
      </c>
      <c r="CW1884" s="139"/>
      <c r="CX1884" s="138"/>
      <c r="CY1884" s="138"/>
      <c r="CZ1884" s="138"/>
      <c r="DA1884" s="139"/>
      <c r="DB1884" s="138"/>
      <c r="DC1884" s="45"/>
      <c r="DD1884" s="138"/>
      <c r="DE1884" s="45"/>
      <c r="DF1884" s="46"/>
    </row>
    <row r="1885" spans="1:110" s="42" customFormat="1" ht="72" x14ac:dyDescent="0.2">
      <c r="A1885" s="89">
        <v>40757</v>
      </c>
      <c r="B1885" s="16" t="s">
        <v>2218</v>
      </c>
      <c r="C1885" s="16" t="s">
        <v>4345</v>
      </c>
      <c r="D1885" s="90" t="s">
        <v>4264</v>
      </c>
      <c r="E1885" s="90">
        <f>VLOOKUP(B1885&amp;C1885,Divipola!$C$2:$F$1138,4,FALSE)</f>
        <v>5</v>
      </c>
      <c r="F1885" s="4"/>
      <c r="G1885" s="208"/>
      <c r="H1885" s="208"/>
      <c r="I1885" s="208"/>
      <c r="J1885" s="208"/>
      <c r="K1885" s="208"/>
      <c r="L1885" s="208"/>
      <c r="M1885" s="208"/>
      <c r="N1885" s="208"/>
      <c r="O1885" s="208"/>
      <c r="P1885" s="208"/>
      <c r="Q1885" s="208"/>
      <c r="R1885" s="208"/>
      <c r="S1885" s="208"/>
      <c r="T1885" s="208"/>
      <c r="U1885" s="208"/>
      <c r="V1885" s="208"/>
      <c r="W1885" s="19"/>
      <c r="X1885" s="17"/>
      <c r="Y1885" s="5">
        <f t="shared" si="174"/>
        <v>0</v>
      </c>
      <c r="Z1885" s="5">
        <f t="shared" si="175"/>
        <v>0</v>
      </c>
      <c r="AA1885" s="5">
        <f t="shared" si="176"/>
        <v>0</v>
      </c>
      <c r="AB1885" s="5">
        <f t="shared" si="177"/>
        <v>0</v>
      </c>
      <c r="AC1885" s="5"/>
      <c r="AD1885" s="5">
        <v>300000000</v>
      </c>
      <c r="AE1885" s="5">
        <f t="shared" si="178"/>
        <v>300000000</v>
      </c>
      <c r="AF1885" s="70">
        <v>0</v>
      </c>
      <c r="AG1885" s="17"/>
      <c r="AH1885" s="18"/>
      <c r="AI1885" s="47" t="s">
        <v>4346</v>
      </c>
      <c r="AJ1885" s="73" t="s">
        <v>4347</v>
      </c>
      <c r="AK1885" s="45"/>
      <c r="AL1885" s="17"/>
      <c r="AM1885" s="137" t="s">
        <v>4586</v>
      </c>
      <c r="AN1885" s="19"/>
      <c r="AO1885" s="19"/>
      <c r="AP1885" s="19"/>
      <c r="AQ1885" s="19"/>
      <c r="AR1885" s="19"/>
      <c r="AS1885" s="19"/>
      <c r="AT1885" s="19"/>
      <c r="AU1885" s="19"/>
      <c r="AV1885" s="19"/>
      <c r="AW1885" s="19"/>
      <c r="AX1885" s="107"/>
      <c r="AY1885" s="107"/>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39"/>
      <c r="CO1885" s="138"/>
      <c r="CP1885" s="139"/>
      <c r="CQ1885" s="138"/>
      <c r="CR1885" s="139"/>
      <c r="CS1885" s="138"/>
      <c r="CT1885" s="72"/>
      <c r="CU1885" s="139"/>
      <c r="CV1885" s="99">
        <f t="shared" si="179"/>
        <v>0</v>
      </c>
      <c r="CW1885" s="139"/>
      <c r="CX1885" s="138"/>
      <c r="CY1885" s="138"/>
      <c r="CZ1885" s="138"/>
      <c r="DA1885" s="139"/>
      <c r="DB1885" s="138"/>
      <c r="DC1885" s="45"/>
      <c r="DD1885" s="138"/>
      <c r="DE1885" s="45"/>
      <c r="DF1885" s="46">
        <v>1931</v>
      </c>
    </row>
    <row r="1886" spans="1:110" s="42" customFormat="1" ht="24" x14ac:dyDescent="0.2">
      <c r="A1886" s="89">
        <v>40757</v>
      </c>
      <c r="B1886" s="90" t="s">
        <v>4386</v>
      </c>
      <c r="C1886" s="90" t="s">
        <v>1552</v>
      </c>
      <c r="D1886" s="90" t="s">
        <v>4264</v>
      </c>
      <c r="E1886" s="90" t="str">
        <f>VLOOKUP(B1886&amp;C1886,Divipola!$C$2:$F$1138,4,FALSE)</f>
        <v>20250</v>
      </c>
      <c r="F1886" s="4"/>
      <c r="G1886" s="101"/>
      <c r="H1886" s="101"/>
      <c r="I1886" s="101"/>
      <c r="J1886" s="101">
        <v>750</v>
      </c>
      <c r="K1886" s="101">
        <v>150</v>
      </c>
      <c r="L1886" s="101"/>
      <c r="M1886" s="101">
        <v>150</v>
      </c>
      <c r="N1886" s="101"/>
      <c r="O1886" s="101"/>
      <c r="P1886" s="101"/>
      <c r="Q1886" s="101"/>
      <c r="R1886" s="101"/>
      <c r="S1886" s="101"/>
      <c r="T1886" s="101"/>
      <c r="U1886" s="101"/>
      <c r="V1886" s="101"/>
      <c r="W1886" s="19"/>
      <c r="X1886" s="17"/>
      <c r="Y1886" s="5">
        <f t="shared" ref="Y1886:Y1949" si="180">CV1886</f>
        <v>0</v>
      </c>
      <c r="Z1886" s="5">
        <f t="shared" ref="Z1886:Z1949" si="181">CZ1886</f>
        <v>0</v>
      </c>
      <c r="AA1886" s="5">
        <f t="shared" ref="AA1886:AA1949" si="182">DB1886+DD1886</f>
        <v>0</v>
      </c>
      <c r="AB1886" s="5">
        <f t="shared" ref="AB1886:AB1949" si="183">CX1886</f>
        <v>0</v>
      </c>
      <c r="AC1886" s="5"/>
      <c r="AD1886" s="5">
        <v>0</v>
      </c>
      <c r="AE1886" s="5">
        <f t="shared" ref="AE1886:AE1949" si="184">Y1886+Z1886+AA1886+AB1886+AC1886+AD1886</f>
        <v>0</v>
      </c>
      <c r="AF1886" s="70">
        <v>0</v>
      </c>
      <c r="AG1886" s="17"/>
      <c r="AH1886" s="18"/>
      <c r="AI1886" s="47" t="s">
        <v>4336</v>
      </c>
      <c r="AJ1886" s="73" t="s">
        <v>4337</v>
      </c>
      <c r="AK1886" s="45"/>
      <c r="AL1886" s="17"/>
      <c r="AM1886" s="100" t="s">
        <v>2304</v>
      </c>
      <c r="AN1886" s="19"/>
      <c r="AO1886" s="19"/>
      <c r="AP1886" s="19"/>
      <c r="AQ1886" s="19"/>
      <c r="AR1886" s="19"/>
      <c r="AS1886" s="19"/>
      <c r="AT1886" s="19"/>
      <c r="AU1886" s="19"/>
      <c r="AV1886" s="19"/>
      <c r="AW1886" s="19"/>
      <c r="AX1886" s="107"/>
      <c r="AY1886" s="107"/>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39"/>
      <c r="CO1886" s="138"/>
      <c r="CP1886" s="139"/>
      <c r="CQ1886" s="138"/>
      <c r="CR1886" s="139"/>
      <c r="CS1886" s="138"/>
      <c r="CT1886" s="72"/>
      <c r="CU1886" s="139"/>
      <c r="CV1886" s="99">
        <f t="shared" si="179"/>
        <v>0</v>
      </c>
      <c r="CW1886" s="139"/>
      <c r="CX1886" s="138"/>
      <c r="CY1886" s="138"/>
      <c r="CZ1886" s="138"/>
      <c r="DA1886" s="139"/>
      <c r="DB1886" s="138"/>
      <c r="DC1886" s="45"/>
      <c r="DD1886" s="138"/>
      <c r="DE1886" s="45"/>
      <c r="DF1886" s="46">
        <v>1931</v>
      </c>
    </row>
    <row r="1887" spans="1:110" s="42" customFormat="1" ht="48" x14ac:dyDescent="0.2">
      <c r="A1887" s="89">
        <v>40757</v>
      </c>
      <c r="B1887" s="90" t="s">
        <v>4344</v>
      </c>
      <c r="C1887" s="90" t="s">
        <v>4513</v>
      </c>
      <c r="D1887" s="90" t="s">
        <v>2865</v>
      </c>
      <c r="E1887" s="90" t="str">
        <f>VLOOKUP(B1887&amp;C1887,Divipola!$C$2:$F$1138,4,FALSE)</f>
        <v>25486</v>
      </c>
      <c r="F1887" s="4"/>
      <c r="G1887" s="101"/>
      <c r="H1887" s="101"/>
      <c r="I1887" s="101"/>
      <c r="J1887" s="101">
        <v>100</v>
      </c>
      <c r="K1887" s="101">
        <v>25</v>
      </c>
      <c r="L1887" s="101">
        <v>2</v>
      </c>
      <c r="M1887" s="101">
        <v>23</v>
      </c>
      <c r="N1887" s="101"/>
      <c r="O1887" s="101"/>
      <c r="P1887" s="101"/>
      <c r="Q1887" s="101"/>
      <c r="R1887" s="101"/>
      <c r="S1887" s="101"/>
      <c r="T1887" s="101"/>
      <c r="U1887" s="101"/>
      <c r="V1887" s="101"/>
      <c r="W1887" s="19"/>
      <c r="X1887" s="17"/>
      <c r="Y1887" s="5">
        <f t="shared" si="180"/>
        <v>0</v>
      </c>
      <c r="Z1887" s="5">
        <f t="shared" si="181"/>
        <v>0</v>
      </c>
      <c r="AA1887" s="5">
        <f t="shared" si="182"/>
        <v>0</v>
      </c>
      <c r="AB1887" s="5">
        <f t="shared" si="183"/>
        <v>0</v>
      </c>
      <c r="AC1887" s="5"/>
      <c r="AD1887" s="5">
        <v>0</v>
      </c>
      <c r="AE1887" s="5">
        <f t="shared" si="184"/>
        <v>0</v>
      </c>
      <c r="AF1887" s="70">
        <v>0</v>
      </c>
      <c r="AG1887" s="17"/>
      <c r="AH1887" s="18"/>
      <c r="AI1887" s="47" t="s">
        <v>4336</v>
      </c>
      <c r="AJ1887" s="73" t="s">
        <v>4337</v>
      </c>
      <c r="AK1887" s="45"/>
      <c r="AL1887" s="17"/>
      <c r="AM1887" s="100" t="s">
        <v>2299</v>
      </c>
      <c r="AN1887" s="19"/>
      <c r="AO1887" s="19"/>
      <c r="AP1887" s="19"/>
      <c r="AQ1887" s="19"/>
      <c r="AR1887" s="19"/>
      <c r="AS1887" s="19"/>
      <c r="AT1887" s="19"/>
      <c r="AU1887" s="19"/>
      <c r="AV1887" s="19"/>
      <c r="AW1887" s="19"/>
      <c r="AX1887" s="107"/>
      <c r="AY1887" s="107"/>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39"/>
      <c r="CO1887" s="138"/>
      <c r="CP1887" s="139"/>
      <c r="CQ1887" s="138"/>
      <c r="CR1887" s="139"/>
      <c r="CS1887" s="138"/>
      <c r="CT1887" s="72"/>
      <c r="CU1887" s="139"/>
      <c r="CV1887" s="99">
        <f t="shared" si="179"/>
        <v>0</v>
      </c>
      <c r="CW1887" s="139"/>
      <c r="CX1887" s="138"/>
      <c r="CY1887" s="138"/>
      <c r="CZ1887" s="138"/>
      <c r="DA1887" s="139"/>
      <c r="DB1887" s="138"/>
      <c r="DC1887" s="45"/>
      <c r="DD1887" s="138"/>
      <c r="DE1887" s="45"/>
      <c r="DF1887" s="46">
        <v>1931</v>
      </c>
    </row>
    <row r="1888" spans="1:110" s="42" customFormat="1" ht="60" x14ac:dyDescent="0.2">
      <c r="A1888" s="89">
        <v>40757</v>
      </c>
      <c r="B1888" s="90" t="s">
        <v>4344</v>
      </c>
      <c r="C1888" s="90" t="s">
        <v>4251</v>
      </c>
      <c r="D1888" s="90" t="s">
        <v>4298</v>
      </c>
      <c r="E1888" s="90" t="str">
        <f>VLOOKUP(B1888&amp;C1888,Divipola!$C$2:$F$1138,4,FALSE)</f>
        <v>25513</v>
      </c>
      <c r="F1888" s="4"/>
      <c r="G1888" s="101"/>
      <c r="H1888" s="101"/>
      <c r="I1888" s="101"/>
      <c r="J1888" s="101">
        <v>5</v>
      </c>
      <c r="K1888" s="101">
        <v>1</v>
      </c>
      <c r="L1888" s="101"/>
      <c r="M1888" s="101">
        <v>1</v>
      </c>
      <c r="N1888" s="101"/>
      <c r="O1888" s="101"/>
      <c r="P1888" s="101"/>
      <c r="Q1888" s="101"/>
      <c r="R1888" s="101"/>
      <c r="S1888" s="101"/>
      <c r="T1888" s="101"/>
      <c r="U1888" s="101"/>
      <c r="V1888" s="101"/>
      <c r="W1888" s="19"/>
      <c r="X1888" s="17"/>
      <c r="Y1888" s="5">
        <f t="shared" si="180"/>
        <v>0</v>
      </c>
      <c r="Z1888" s="5">
        <f t="shared" si="181"/>
        <v>0</v>
      </c>
      <c r="AA1888" s="5">
        <f t="shared" si="182"/>
        <v>0</v>
      </c>
      <c r="AB1888" s="5">
        <f t="shared" si="183"/>
        <v>0</v>
      </c>
      <c r="AC1888" s="5"/>
      <c r="AD1888" s="5">
        <v>0</v>
      </c>
      <c r="AE1888" s="5">
        <f t="shared" si="184"/>
        <v>0</v>
      </c>
      <c r="AF1888" s="70">
        <v>0</v>
      </c>
      <c r="AG1888" s="17"/>
      <c r="AH1888" s="18"/>
      <c r="AI1888" s="47" t="s">
        <v>4336</v>
      </c>
      <c r="AJ1888" s="73" t="s">
        <v>4337</v>
      </c>
      <c r="AK1888" s="45"/>
      <c r="AL1888" s="17"/>
      <c r="AM1888" s="100" t="s">
        <v>2302</v>
      </c>
      <c r="AN1888" s="19"/>
      <c r="AO1888" s="19"/>
      <c r="AP1888" s="19"/>
      <c r="AQ1888" s="19"/>
      <c r="AR1888" s="19"/>
      <c r="AS1888" s="19"/>
      <c r="AT1888" s="19"/>
      <c r="AU1888" s="19"/>
      <c r="AV1888" s="19"/>
      <c r="AW1888" s="19"/>
      <c r="AX1888" s="107"/>
      <c r="AY1888" s="107"/>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39"/>
      <c r="CO1888" s="138"/>
      <c r="CP1888" s="139"/>
      <c r="CQ1888" s="138"/>
      <c r="CR1888" s="139"/>
      <c r="CS1888" s="138"/>
      <c r="CT1888" s="72"/>
      <c r="CU1888" s="139"/>
      <c r="CV1888" s="99">
        <f t="shared" si="179"/>
        <v>0</v>
      </c>
      <c r="CW1888" s="139"/>
      <c r="CX1888" s="138"/>
      <c r="CY1888" s="138"/>
      <c r="CZ1888" s="138"/>
      <c r="DA1888" s="139"/>
      <c r="DB1888" s="138"/>
      <c r="DC1888" s="45"/>
      <c r="DD1888" s="138"/>
      <c r="DE1888" s="45"/>
      <c r="DF1888" s="46"/>
    </row>
    <row r="1889" spans="1:110" s="42" customFormat="1" ht="48" x14ac:dyDescent="0.2">
      <c r="A1889" s="89">
        <v>40757</v>
      </c>
      <c r="B1889" s="90" t="s">
        <v>4344</v>
      </c>
      <c r="C1889" s="90" t="s">
        <v>1804</v>
      </c>
      <c r="D1889" s="90" t="s">
        <v>2860</v>
      </c>
      <c r="E1889" s="90" t="str">
        <f>VLOOKUP(B1889&amp;C1889,Divipola!$C$2:$F$1138,4,FALSE)</f>
        <v>25769</v>
      </c>
      <c r="F1889" s="4"/>
      <c r="G1889" s="101"/>
      <c r="H1889" s="101"/>
      <c r="I1889" s="101"/>
      <c r="J1889" s="101">
        <v>10</v>
      </c>
      <c r="K1889" s="101">
        <v>2</v>
      </c>
      <c r="L1889" s="101"/>
      <c r="M1889" s="101">
        <v>2</v>
      </c>
      <c r="N1889" s="101"/>
      <c r="O1889" s="101"/>
      <c r="P1889" s="101"/>
      <c r="Q1889" s="101"/>
      <c r="R1889" s="101"/>
      <c r="S1889" s="101"/>
      <c r="T1889" s="101"/>
      <c r="U1889" s="101"/>
      <c r="V1889" s="101"/>
      <c r="W1889" s="19"/>
      <c r="X1889" s="17"/>
      <c r="Y1889" s="5">
        <f t="shared" si="180"/>
        <v>0</v>
      </c>
      <c r="Z1889" s="5">
        <f t="shared" si="181"/>
        <v>0</v>
      </c>
      <c r="AA1889" s="5">
        <f t="shared" si="182"/>
        <v>0</v>
      </c>
      <c r="AB1889" s="5">
        <f t="shared" si="183"/>
        <v>0</v>
      </c>
      <c r="AC1889" s="5"/>
      <c r="AD1889" s="5">
        <v>0</v>
      </c>
      <c r="AE1889" s="5">
        <f t="shared" si="184"/>
        <v>0</v>
      </c>
      <c r="AF1889" s="70">
        <v>0</v>
      </c>
      <c r="AG1889" s="17"/>
      <c r="AH1889" s="18"/>
      <c r="AI1889" s="47" t="s">
        <v>4336</v>
      </c>
      <c r="AJ1889" s="73" t="s">
        <v>4337</v>
      </c>
      <c r="AK1889" s="45"/>
      <c r="AL1889" s="17"/>
      <c r="AM1889" s="100" t="s">
        <v>2300</v>
      </c>
      <c r="AN1889" s="19"/>
      <c r="AO1889" s="19"/>
      <c r="AP1889" s="19"/>
      <c r="AQ1889" s="19"/>
      <c r="AR1889" s="19"/>
      <c r="AS1889" s="19"/>
      <c r="AT1889" s="19"/>
      <c r="AU1889" s="19"/>
      <c r="AV1889" s="19"/>
      <c r="AW1889" s="19"/>
      <c r="AX1889" s="107"/>
      <c r="AY1889" s="107"/>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39"/>
      <c r="CO1889" s="138"/>
      <c r="CP1889" s="139"/>
      <c r="CQ1889" s="138"/>
      <c r="CR1889" s="139"/>
      <c r="CS1889" s="138"/>
      <c r="CT1889" s="72"/>
      <c r="CU1889" s="139"/>
      <c r="CV1889" s="99">
        <f t="shared" si="179"/>
        <v>0</v>
      </c>
      <c r="CW1889" s="139"/>
      <c r="CX1889" s="138"/>
      <c r="CY1889" s="138"/>
      <c r="CZ1889" s="138"/>
      <c r="DA1889" s="139"/>
      <c r="DB1889" s="138"/>
      <c r="DC1889" s="45"/>
      <c r="DD1889" s="138"/>
      <c r="DE1889" s="45"/>
      <c r="DF1889" s="46">
        <v>1929</v>
      </c>
    </row>
    <row r="1890" spans="1:110" s="42" customFormat="1" ht="48" x14ac:dyDescent="0.2">
      <c r="A1890" s="89">
        <v>40758</v>
      </c>
      <c r="B1890" s="90" t="s">
        <v>4326</v>
      </c>
      <c r="C1890" s="90" t="s">
        <v>4338</v>
      </c>
      <c r="D1890" s="90" t="s">
        <v>4264</v>
      </c>
      <c r="E1890" s="90" t="str">
        <f>VLOOKUP(B1890&amp;C1890,Divipola!$C$2:$F$1138,4,FALSE)</f>
        <v>08001</v>
      </c>
      <c r="F1890" s="4"/>
      <c r="G1890" s="101"/>
      <c r="H1890" s="101"/>
      <c r="I1890" s="101"/>
      <c r="J1890" s="101">
        <v>265</v>
      </c>
      <c r="K1890" s="101">
        <v>53</v>
      </c>
      <c r="L1890" s="101">
        <v>3</v>
      </c>
      <c r="M1890" s="101">
        <v>53</v>
      </c>
      <c r="N1890" s="101"/>
      <c r="O1890" s="101"/>
      <c r="P1890" s="101"/>
      <c r="Q1890" s="101"/>
      <c r="R1890" s="101"/>
      <c r="S1890" s="101"/>
      <c r="T1890" s="101"/>
      <c r="U1890" s="101"/>
      <c r="V1890" s="101"/>
      <c r="W1890" s="19"/>
      <c r="X1890" s="17"/>
      <c r="Y1890" s="5">
        <f t="shared" si="180"/>
        <v>0</v>
      </c>
      <c r="Z1890" s="5">
        <f t="shared" si="181"/>
        <v>0</v>
      </c>
      <c r="AA1890" s="5">
        <f t="shared" si="182"/>
        <v>0</v>
      </c>
      <c r="AB1890" s="5">
        <f t="shared" si="183"/>
        <v>0</v>
      </c>
      <c r="AC1890" s="5"/>
      <c r="AD1890" s="5">
        <v>0</v>
      </c>
      <c r="AE1890" s="5">
        <f t="shared" si="184"/>
        <v>0</v>
      </c>
      <c r="AF1890" s="70">
        <v>0</v>
      </c>
      <c r="AG1890" s="17"/>
      <c r="AH1890" s="18"/>
      <c r="AI1890" s="47" t="s">
        <v>4336</v>
      </c>
      <c r="AJ1890" s="73" t="s">
        <v>4337</v>
      </c>
      <c r="AK1890" s="45"/>
      <c r="AL1890" s="17"/>
      <c r="AM1890" s="100" t="s">
        <v>2306</v>
      </c>
      <c r="AN1890" s="19"/>
      <c r="AO1890" s="19"/>
      <c r="AP1890" s="19"/>
      <c r="AQ1890" s="19"/>
      <c r="AR1890" s="19"/>
      <c r="AS1890" s="19"/>
      <c r="AT1890" s="19"/>
      <c r="AU1890" s="19"/>
      <c r="AV1890" s="19"/>
      <c r="AW1890" s="19"/>
      <c r="AX1890" s="107"/>
      <c r="AY1890" s="107"/>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39"/>
      <c r="CO1890" s="138"/>
      <c r="CP1890" s="139"/>
      <c r="CQ1890" s="138"/>
      <c r="CR1890" s="139"/>
      <c r="CS1890" s="138"/>
      <c r="CT1890" s="72"/>
      <c r="CU1890" s="139"/>
      <c r="CV1890" s="99">
        <f t="shared" si="179"/>
        <v>0</v>
      </c>
      <c r="CW1890" s="139"/>
      <c r="CX1890" s="138"/>
      <c r="CY1890" s="138"/>
      <c r="CZ1890" s="138"/>
      <c r="DA1890" s="139"/>
      <c r="DB1890" s="138"/>
      <c r="DC1890" s="45"/>
      <c r="DD1890" s="138"/>
      <c r="DE1890" s="45"/>
      <c r="DF1890" s="46">
        <v>1931</v>
      </c>
    </row>
    <row r="1891" spans="1:110" s="42" customFormat="1" ht="48" x14ac:dyDescent="0.2">
      <c r="A1891" s="89">
        <v>40758</v>
      </c>
      <c r="B1891" s="90" t="s">
        <v>4386</v>
      </c>
      <c r="C1891" s="90" t="s">
        <v>1536</v>
      </c>
      <c r="D1891" s="90" t="s">
        <v>4264</v>
      </c>
      <c r="E1891" s="90" t="str">
        <f>VLOOKUP(B1891&amp;C1891,Divipola!$C$2:$F$1138,4,FALSE)</f>
        <v>20032</v>
      </c>
      <c r="F1891" s="4"/>
      <c r="G1891" s="101"/>
      <c r="H1891" s="101"/>
      <c r="I1891" s="101"/>
      <c r="J1891" s="101">
        <v>75</v>
      </c>
      <c r="K1891" s="101">
        <v>15</v>
      </c>
      <c r="L1891" s="101"/>
      <c r="M1891" s="101">
        <v>15</v>
      </c>
      <c r="N1891" s="101"/>
      <c r="O1891" s="101"/>
      <c r="P1891" s="101"/>
      <c r="Q1891" s="101"/>
      <c r="R1891" s="101"/>
      <c r="S1891" s="101"/>
      <c r="T1891" s="101"/>
      <c r="U1891" s="101"/>
      <c r="V1891" s="101"/>
      <c r="W1891" s="19"/>
      <c r="X1891" s="17"/>
      <c r="Y1891" s="5">
        <f t="shared" si="180"/>
        <v>0</v>
      </c>
      <c r="Z1891" s="5">
        <f t="shared" si="181"/>
        <v>0</v>
      </c>
      <c r="AA1891" s="5">
        <f t="shared" si="182"/>
        <v>0</v>
      </c>
      <c r="AB1891" s="5">
        <f t="shared" si="183"/>
        <v>0</v>
      </c>
      <c r="AC1891" s="5"/>
      <c r="AD1891" s="5">
        <v>0</v>
      </c>
      <c r="AE1891" s="5">
        <f t="shared" si="184"/>
        <v>0</v>
      </c>
      <c r="AF1891" s="70">
        <v>0</v>
      </c>
      <c r="AG1891" s="17"/>
      <c r="AH1891" s="18"/>
      <c r="AI1891" s="47" t="s">
        <v>4336</v>
      </c>
      <c r="AJ1891" s="73" t="s">
        <v>4337</v>
      </c>
      <c r="AK1891" s="45"/>
      <c r="AL1891" s="17"/>
      <c r="AM1891" s="100" t="s">
        <v>2303</v>
      </c>
      <c r="AN1891" s="19"/>
      <c r="AO1891" s="19"/>
      <c r="AP1891" s="19"/>
      <c r="AQ1891" s="19"/>
      <c r="AR1891" s="19"/>
      <c r="AS1891" s="19"/>
      <c r="AT1891" s="19"/>
      <c r="AU1891" s="19"/>
      <c r="AV1891" s="19"/>
      <c r="AW1891" s="19"/>
      <c r="AX1891" s="107"/>
      <c r="AY1891" s="107"/>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39"/>
      <c r="CO1891" s="138"/>
      <c r="CP1891" s="139"/>
      <c r="CQ1891" s="138"/>
      <c r="CR1891" s="139"/>
      <c r="CS1891" s="138"/>
      <c r="CT1891" s="72"/>
      <c r="CU1891" s="139"/>
      <c r="CV1891" s="99">
        <f t="shared" si="179"/>
        <v>0</v>
      </c>
      <c r="CW1891" s="139"/>
      <c r="CX1891" s="138"/>
      <c r="CY1891" s="138"/>
      <c r="CZ1891" s="138"/>
      <c r="DA1891" s="139"/>
      <c r="DB1891" s="138"/>
      <c r="DC1891" s="45"/>
      <c r="DD1891" s="138"/>
      <c r="DE1891" s="45"/>
      <c r="DF1891" s="46">
        <v>1932</v>
      </c>
    </row>
    <row r="1892" spans="1:110" s="42" customFormat="1" ht="48" x14ac:dyDescent="0.2">
      <c r="A1892" s="89">
        <v>40758</v>
      </c>
      <c r="B1892" s="90" t="s">
        <v>4344</v>
      </c>
      <c r="C1892" s="90" t="s">
        <v>2212</v>
      </c>
      <c r="D1892" s="90" t="s">
        <v>2362</v>
      </c>
      <c r="E1892" s="90" t="str">
        <f>VLOOKUP(B1892&amp;C1892,Divipola!$C$2:$F$1138,4,FALSE)</f>
        <v>25317</v>
      </c>
      <c r="F1892" s="4"/>
      <c r="G1892" s="101"/>
      <c r="H1892" s="101">
        <v>1</v>
      </c>
      <c r="I1892" s="101"/>
      <c r="J1892" s="101"/>
      <c r="K1892" s="101"/>
      <c r="L1892" s="101"/>
      <c r="M1892" s="101"/>
      <c r="N1892" s="101"/>
      <c r="O1892" s="101"/>
      <c r="P1892" s="101"/>
      <c r="Q1892" s="101"/>
      <c r="R1892" s="101"/>
      <c r="S1892" s="101"/>
      <c r="T1892" s="101"/>
      <c r="U1892" s="101"/>
      <c r="V1892" s="101"/>
      <c r="W1892" s="19"/>
      <c r="X1892" s="17"/>
      <c r="Y1892" s="5">
        <f t="shared" si="180"/>
        <v>0</v>
      </c>
      <c r="Z1892" s="5">
        <f t="shared" si="181"/>
        <v>0</v>
      </c>
      <c r="AA1892" s="5">
        <f t="shared" si="182"/>
        <v>0</v>
      </c>
      <c r="AB1892" s="5">
        <f t="shared" si="183"/>
        <v>0</v>
      </c>
      <c r="AC1892" s="5"/>
      <c r="AD1892" s="5">
        <v>0</v>
      </c>
      <c r="AE1892" s="5">
        <f t="shared" si="184"/>
        <v>0</v>
      </c>
      <c r="AF1892" s="70">
        <v>0</v>
      </c>
      <c r="AG1892" s="17"/>
      <c r="AH1892" s="18"/>
      <c r="AI1892" s="47" t="s">
        <v>4336</v>
      </c>
      <c r="AJ1892" s="73" t="s">
        <v>4337</v>
      </c>
      <c r="AK1892" s="45"/>
      <c r="AL1892" s="17"/>
      <c r="AM1892" s="100" t="s">
        <v>2317</v>
      </c>
      <c r="AN1892" s="148"/>
      <c r="AO1892" s="19"/>
      <c r="AP1892" s="19"/>
      <c r="AQ1892" s="19"/>
      <c r="AR1892" s="19"/>
      <c r="AS1892" s="19"/>
      <c r="AT1892" s="19"/>
      <c r="AU1892" s="19"/>
      <c r="AV1892" s="19"/>
      <c r="AW1892" s="19"/>
      <c r="AX1892" s="107"/>
      <c r="AY1892" s="107"/>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39"/>
      <c r="CO1892" s="138"/>
      <c r="CP1892" s="139"/>
      <c r="CQ1892" s="138"/>
      <c r="CR1892" s="139"/>
      <c r="CS1892" s="138"/>
      <c r="CT1892" s="72"/>
      <c r="CU1892" s="139"/>
      <c r="CV1892" s="99">
        <f t="shared" si="179"/>
        <v>0</v>
      </c>
      <c r="CW1892" s="139"/>
      <c r="CX1892" s="138"/>
      <c r="CY1892" s="138"/>
      <c r="CZ1892" s="138"/>
      <c r="DA1892" s="139"/>
      <c r="DB1892" s="138"/>
      <c r="DC1892" s="45"/>
      <c r="DD1892" s="138"/>
      <c r="DE1892" s="45"/>
      <c r="DF1892" s="46" t="s">
        <v>186</v>
      </c>
    </row>
    <row r="1893" spans="1:110" s="42" customFormat="1" ht="72" x14ac:dyDescent="0.2">
      <c r="A1893" s="89">
        <v>40758</v>
      </c>
      <c r="B1893" s="90" t="s">
        <v>4344</v>
      </c>
      <c r="C1893" s="90" t="s">
        <v>3472</v>
      </c>
      <c r="D1893" s="90" t="s">
        <v>2287</v>
      </c>
      <c r="E1893" s="90" t="str">
        <f>VLOOKUP(B1893&amp;C1893,Divipola!$C$2:$F$1138,4,FALSE)</f>
        <v>25875</v>
      </c>
      <c r="F1893" s="4"/>
      <c r="G1893" s="101">
        <v>1</v>
      </c>
      <c r="H1893" s="101">
        <v>1</v>
      </c>
      <c r="I1893" s="101"/>
      <c r="J1893" s="101"/>
      <c r="K1893" s="101"/>
      <c r="L1893" s="101"/>
      <c r="M1893" s="101"/>
      <c r="N1893" s="101"/>
      <c r="O1893" s="101"/>
      <c r="P1893" s="101"/>
      <c r="Q1893" s="101"/>
      <c r="R1893" s="101"/>
      <c r="S1893" s="101"/>
      <c r="T1893" s="101"/>
      <c r="U1893" s="101"/>
      <c r="V1893" s="101"/>
      <c r="W1893" s="19"/>
      <c r="X1893" s="17"/>
      <c r="Y1893" s="5">
        <f t="shared" si="180"/>
        <v>0</v>
      </c>
      <c r="Z1893" s="5">
        <f t="shared" si="181"/>
        <v>0</v>
      </c>
      <c r="AA1893" s="5">
        <f t="shared" si="182"/>
        <v>0</v>
      </c>
      <c r="AB1893" s="5">
        <f t="shared" si="183"/>
        <v>0</v>
      </c>
      <c r="AC1893" s="5"/>
      <c r="AD1893" s="5">
        <v>0</v>
      </c>
      <c r="AE1893" s="5">
        <f t="shared" si="184"/>
        <v>0</v>
      </c>
      <c r="AF1893" s="70">
        <v>0</v>
      </c>
      <c r="AG1893" s="17"/>
      <c r="AH1893" s="18"/>
      <c r="AI1893" s="47" t="s">
        <v>4336</v>
      </c>
      <c r="AJ1893" s="73" t="s">
        <v>4337</v>
      </c>
      <c r="AK1893" s="45"/>
      <c r="AL1893" s="17"/>
      <c r="AM1893" s="100" t="s">
        <v>2301</v>
      </c>
      <c r="AN1893" s="19"/>
      <c r="AO1893" s="19"/>
      <c r="AP1893" s="19"/>
      <c r="AQ1893" s="19"/>
      <c r="AR1893" s="19"/>
      <c r="AS1893" s="19"/>
      <c r="AT1893" s="19"/>
      <c r="AU1893" s="19"/>
      <c r="AV1893" s="19"/>
      <c r="AW1893" s="19"/>
      <c r="AX1893" s="107"/>
      <c r="AY1893" s="107"/>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39"/>
      <c r="CO1893" s="138"/>
      <c r="CP1893" s="139"/>
      <c r="CQ1893" s="138"/>
      <c r="CR1893" s="139"/>
      <c r="CS1893" s="138"/>
      <c r="CT1893" s="72"/>
      <c r="CU1893" s="139"/>
      <c r="CV1893" s="99">
        <f t="shared" si="179"/>
        <v>0</v>
      </c>
      <c r="CW1893" s="139"/>
      <c r="CX1893" s="138"/>
      <c r="CY1893" s="138"/>
      <c r="CZ1893" s="138"/>
      <c r="DA1893" s="139"/>
      <c r="DB1893" s="138"/>
      <c r="DC1893" s="45"/>
      <c r="DD1893" s="138"/>
      <c r="DE1893" s="45"/>
      <c r="DF1893" s="46">
        <v>1928</v>
      </c>
    </row>
    <row r="1894" spans="1:110" s="42" customFormat="1" ht="48" x14ac:dyDescent="0.2">
      <c r="A1894" s="89">
        <v>40758</v>
      </c>
      <c r="B1894" s="90" t="s">
        <v>4219</v>
      </c>
      <c r="C1894" s="90" t="s">
        <v>956</v>
      </c>
      <c r="D1894" s="90" t="s">
        <v>3346</v>
      </c>
      <c r="E1894" s="90" t="str">
        <f>VLOOKUP(B1894&amp;C1894,Divipola!$C$2:$F$1138,4,FALSE)</f>
        <v>41298</v>
      </c>
      <c r="F1894" s="4"/>
      <c r="G1894" s="101"/>
      <c r="H1894" s="101">
        <v>1</v>
      </c>
      <c r="I1894" s="101"/>
      <c r="J1894" s="101">
        <v>5</v>
      </c>
      <c r="K1894" s="101">
        <v>1</v>
      </c>
      <c r="L1894" s="101">
        <v>1</v>
      </c>
      <c r="M1894" s="101"/>
      <c r="N1894" s="101"/>
      <c r="O1894" s="101"/>
      <c r="P1894" s="101"/>
      <c r="Q1894" s="101"/>
      <c r="R1894" s="101"/>
      <c r="S1894" s="101"/>
      <c r="T1894" s="101"/>
      <c r="U1894" s="101"/>
      <c r="V1894" s="101"/>
      <c r="W1894" s="19"/>
      <c r="X1894" s="17"/>
      <c r="Y1894" s="5">
        <f t="shared" si="180"/>
        <v>0</v>
      </c>
      <c r="Z1894" s="5">
        <f t="shared" si="181"/>
        <v>0</v>
      </c>
      <c r="AA1894" s="5">
        <f t="shared" si="182"/>
        <v>0</v>
      </c>
      <c r="AB1894" s="5">
        <f t="shared" si="183"/>
        <v>0</v>
      </c>
      <c r="AC1894" s="5"/>
      <c r="AD1894" s="5">
        <v>0</v>
      </c>
      <c r="AE1894" s="5">
        <f t="shared" si="184"/>
        <v>0</v>
      </c>
      <c r="AF1894" s="70">
        <v>0</v>
      </c>
      <c r="AG1894" s="17"/>
      <c r="AH1894" s="18"/>
      <c r="AI1894" s="47" t="s">
        <v>4336</v>
      </c>
      <c r="AJ1894" s="73" t="s">
        <v>4337</v>
      </c>
      <c r="AK1894" s="45"/>
      <c r="AL1894" s="17"/>
      <c r="AM1894" s="121" t="s">
        <v>2307</v>
      </c>
      <c r="AN1894" s="19"/>
      <c r="AO1894" s="19"/>
      <c r="AP1894" s="19"/>
      <c r="AQ1894" s="19"/>
      <c r="AR1894" s="19"/>
      <c r="AS1894" s="19"/>
      <c r="AT1894" s="19"/>
      <c r="AU1894" s="19"/>
      <c r="AV1894" s="19"/>
      <c r="AW1894" s="19"/>
      <c r="AX1894" s="107"/>
      <c r="AY1894" s="107"/>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39"/>
      <c r="CO1894" s="138"/>
      <c r="CP1894" s="139"/>
      <c r="CQ1894" s="138"/>
      <c r="CR1894" s="139"/>
      <c r="CS1894" s="138"/>
      <c r="CT1894" s="72"/>
      <c r="CU1894" s="139"/>
      <c r="CV1894" s="99">
        <f t="shared" si="179"/>
        <v>0</v>
      </c>
      <c r="CW1894" s="139"/>
      <c r="CX1894" s="138"/>
      <c r="CY1894" s="138"/>
      <c r="CZ1894" s="138"/>
      <c r="DA1894" s="139"/>
      <c r="DB1894" s="138"/>
      <c r="DC1894" s="45"/>
      <c r="DD1894" s="138"/>
      <c r="DE1894" s="45"/>
      <c r="DF1894" s="46">
        <v>1934</v>
      </c>
    </row>
    <row r="1895" spans="1:110" s="42" customFormat="1" ht="60" x14ac:dyDescent="0.2">
      <c r="A1895" s="89">
        <v>40758</v>
      </c>
      <c r="B1895" s="90" t="s">
        <v>4221</v>
      </c>
      <c r="C1895" s="90" t="s">
        <v>4299</v>
      </c>
      <c r="D1895" s="90" t="s">
        <v>2362</v>
      </c>
      <c r="E1895" s="90" t="str">
        <f>VLOOKUP(B1895&amp;C1895,Divipola!$C$2:$F$1138,4,FALSE)</f>
        <v>54001</v>
      </c>
      <c r="F1895" s="4"/>
      <c r="G1895" s="101"/>
      <c r="H1895" s="101"/>
      <c r="I1895" s="101"/>
      <c r="J1895" s="101"/>
      <c r="K1895" s="101"/>
      <c r="L1895" s="101"/>
      <c r="M1895" s="101"/>
      <c r="N1895" s="101">
        <v>2</v>
      </c>
      <c r="O1895" s="101"/>
      <c r="P1895" s="101"/>
      <c r="Q1895" s="101"/>
      <c r="R1895" s="101"/>
      <c r="S1895" s="101"/>
      <c r="T1895" s="101"/>
      <c r="U1895" s="101"/>
      <c r="V1895" s="101"/>
      <c r="W1895" s="19"/>
      <c r="X1895" s="17"/>
      <c r="Y1895" s="5">
        <f t="shared" si="180"/>
        <v>0</v>
      </c>
      <c r="Z1895" s="5">
        <f t="shared" si="181"/>
        <v>0</v>
      </c>
      <c r="AA1895" s="5">
        <f t="shared" si="182"/>
        <v>0</v>
      </c>
      <c r="AB1895" s="5">
        <f t="shared" si="183"/>
        <v>0</v>
      </c>
      <c r="AC1895" s="5"/>
      <c r="AD1895" s="5">
        <v>0</v>
      </c>
      <c r="AE1895" s="5">
        <f t="shared" si="184"/>
        <v>0</v>
      </c>
      <c r="AF1895" s="70">
        <v>0</v>
      </c>
      <c r="AG1895" s="17"/>
      <c r="AH1895" s="18"/>
      <c r="AI1895" s="47" t="s">
        <v>4336</v>
      </c>
      <c r="AJ1895" s="73" t="s">
        <v>4337</v>
      </c>
      <c r="AK1895" s="45"/>
      <c r="AL1895" s="17"/>
      <c r="AM1895" s="100" t="s">
        <v>2305</v>
      </c>
      <c r="AN1895" s="19"/>
      <c r="AO1895" s="19"/>
      <c r="AP1895" s="19"/>
      <c r="AQ1895" s="19"/>
      <c r="AR1895" s="19"/>
      <c r="AS1895" s="19"/>
      <c r="AT1895" s="19"/>
      <c r="AU1895" s="19"/>
      <c r="AV1895" s="19"/>
      <c r="AW1895" s="19"/>
      <c r="AX1895" s="107"/>
      <c r="AY1895" s="107"/>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39"/>
      <c r="CO1895" s="138"/>
      <c r="CP1895" s="139"/>
      <c r="CQ1895" s="138"/>
      <c r="CR1895" s="139"/>
      <c r="CS1895" s="138"/>
      <c r="CT1895" s="72"/>
      <c r="CU1895" s="139"/>
      <c r="CV1895" s="99">
        <f t="shared" si="179"/>
        <v>0</v>
      </c>
      <c r="CW1895" s="139"/>
      <c r="CX1895" s="138"/>
      <c r="CY1895" s="138"/>
      <c r="CZ1895" s="138"/>
      <c r="DA1895" s="139"/>
      <c r="DB1895" s="138"/>
      <c r="DC1895" s="45"/>
      <c r="DD1895" s="138"/>
      <c r="DE1895" s="45"/>
      <c r="DF1895" s="46"/>
    </row>
    <row r="1896" spans="1:110" s="42" customFormat="1" ht="36" x14ac:dyDescent="0.2">
      <c r="A1896" s="89">
        <v>40758</v>
      </c>
      <c r="B1896" s="90" t="s">
        <v>4350</v>
      </c>
      <c r="C1896" s="104" t="s">
        <v>4333</v>
      </c>
      <c r="D1896" s="90" t="s">
        <v>3346</v>
      </c>
      <c r="E1896" s="90" t="str">
        <f>VLOOKUP(B1896&amp;C1896,Divipola!$C$2:$F$1138,4,FALSE)</f>
        <v>63594</v>
      </c>
      <c r="F1896" s="4"/>
      <c r="G1896" s="101"/>
      <c r="H1896" s="101"/>
      <c r="I1896" s="101"/>
      <c r="J1896" s="101">
        <v>35</v>
      </c>
      <c r="K1896" s="101">
        <v>7</v>
      </c>
      <c r="L1896" s="101"/>
      <c r="M1896" s="101">
        <v>7</v>
      </c>
      <c r="N1896" s="101"/>
      <c r="O1896" s="101"/>
      <c r="P1896" s="101"/>
      <c r="Q1896" s="101"/>
      <c r="R1896" s="101"/>
      <c r="S1896" s="101"/>
      <c r="T1896" s="101"/>
      <c r="U1896" s="101"/>
      <c r="V1896" s="101"/>
      <c r="W1896" s="19"/>
      <c r="X1896" s="17"/>
      <c r="Y1896" s="5">
        <f t="shared" si="180"/>
        <v>0</v>
      </c>
      <c r="Z1896" s="5">
        <f t="shared" si="181"/>
        <v>0</v>
      </c>
      <c r="AA1896" s="5">
        <f t="shared" si="182"/>
        <v>0</v>
      </c>
      <c r="AB1896" s="5">
        <f t="shared" si="183"/>
        <v>0</v>
      </c>
      <c r="AC1896" s="5"/>
      <c r="AD1896" s="5">
        <v>0</v>
      </c>
      <c r="AE1896" s="5">
        <f t="shared" si="184"/>
        <v>0</v>
      </c>
      <c r="AF1896" s="70">
        <v>0</v>
      </c>
      <c r="AG1896" s="17"/>
      <c r="AH1896" s="18"/>
      <c r="AI1896" s="47" t="s">
        <v>4336</v>
      </c>
      <c r="AJ1896" s="73" t="s">
        <v>4337</v>
      </c>
      <c r="AK1896" s="45"/>
      <c r="AL1896" s="17"/>
      <c r="AM1896" s="100" t="s">
        <v>2308</v>
      </c>
      <c r="AN1896" s="19"/>
      <c r="AO1896" s="19"/>
      <c r="AP1896" s="19"/>
      <c r="AQ1896" s="19"/>
      <c r="AR1896" s="19"/>
      <c r="AS1896" s="19"/>
      <c r="AT1896" s="19"/>
      <c r="AU1896" s="19"/>
      <c r="AV1896" s="19"/>
      <c r="AW1896" s="19"/>
      <c r="AX1896" s="107"/>
      <c r="AY1896" s="107"/>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39"/>
      <c r="CO1896" s="138"/>
      <c r="CP1896" s="139"/>
      <c r="CQ1896" s="138"/>
      <c r="CR1896" s="139"/>
      <c r="CS1896" s="138"/>
      <c r="CT1896" s="72"/>
      <c r="CU1896" s="139"/>
      <c r="CV1896" s="99">
        <f t="shared" si="179"/>
        <v>0</v>
      </c>
      <c r="CW1896" s="139"/>
      <c r="CX1896" s="138"/>
      <c r="CY1896" s="138"/>
      <c r="CZ1896" s="138"/>
      <c r="DA1896" s="139"/>
      <c r="DB1896" s="138"/>
      <c r="DC1896" s="45"/>
      <c r="DD1896" s="138"/>
      <c r="DE1896" s="45"/>
      <c r="DF1896" s="46">
        <v>1931</v>
      </c>
    </row>
    <row r="1897" spans="1:110" s="42" customFormat="1" ht="84" x14ac:dyDescent="0.2">
      <c r="A1897" s="89">
        <v>40758</v>
      </c>
      <c r="B1897" s="90" t="s">
        <v>4350</v>
      </c>
      <c r="C1897" s="90" t="s">
        <v>4333</v>
      </c>
      <c r="D1897" s="90" t="s">
        <v>3346</v>
      </c>
      <c r="E1897" s="90" t="str">
        <f>VLOOKUP(B1897&amp;C1897,Divipola!$C$2:$F$1138,4,FALSE)</f>
        <v>63594</v>
      </c>
      <c r="F1897" s="4"/>
      <c r="G1897" s="101"/>
      <c r="H1897" s="101"/>
      <c r="I1897" s="101"/>
      <c r="J1897" s="101">
        <v>30</v>
      </c>
      <c r="K1897" s="101">
        <v>6</v>
      </c>
      <c r="L1897" s="101"/>
      <c r="M1897" s="101">
        <v>6</v>
      </c>
      <c r="N1897" s="101"/>
      <c r="O1897" s="101"/>
      <c r="P1897" s="101"/>
      <c r="Q1897" s="101"/>
      <c r="R1897" s="101"/>
      <c r="S1897" s="101"/>
      <c r="T1897" s="101"/>
      <c r="U1897" s="101"/>
      <c r="V1897" s="101"/>
      <c r="W1897" s="19"/>
      <c r="X1897" s="17"/>
      <c r="Y1897" s="5">
        <f t="shared" si="180"/>
        <v>0</v>
      </c>
      <c r="Z1897" s="5">
        <f t="shared" si="181"/>
        <v>0</v>
      </c>
      <c r="AA1897" s="5">
        <f t="shared" si="182"/>
        <v>0</v>
      </c>
      <c r="AB1897" s="5">
        <f t="shared" si="183"/>
        <v>0</v>
      </c>
      <c r="AC1897" s="5"/>
      <c r="AD1897" s="5">
        <v>0</v>
      </c>
      <c r="AE1897" s="5">
        <f t="shared" si="184"/>
        <v>0</v>
      </c>
      <c r="AF1897" s="70">
        <v>0</v>
      </c>
      <c r="AG1897" s="17"/>
      <c r="AH1897" s="18"/>
      <c r="AI1897" s="47" t="s">
        <v>4336</v>
      </c>
      <c r="AJ1897" s="73" t="s">
        <v>4337</v>
      </c>
      <c r="AK1897" s="45"/>
      <c r="AL1897" s="17"/>
      <c r="AM1897" s="100" t="s">
        <v>2310</v>
      </c>
      <c r="AN1897" s="19"/>
      <c r="AO1897" s="19"/>
      <c r="AP1897" s="19"/>
      <c r="AQ1897" s="19"/>
      <c r="AR1897" s="19"/>
      <c r="AS1897" s="19"/>
      <c r="AT1897" s="19"/>
      <c r="AU1897" s="19"/>
      <c r="AV1897" s="19"/>
      <c r="AW1897" s="19"/>
      <c r="AX1897" s="107"/>
      <c r="AY1897" s="107"/>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39"/>
      <c r="CO1897" s="138"/>
      <c r="CP1897" s="139"/>
      <c r="CQ1897" s="138"/>
      <c r="CR1897" s="139"/>
      <c r="CS1897" s="138"/>
      <c r="CT1897" s="72"/>
      <c r="CU1897" s="139"/>
      <c r="CV1897" s="99">
        <f t="shared" si="179"/>
        <v>0</v>
      </c>
      <c r="CW1897" s="139"/>
      <c r="CX1897" s="138"/>
      <c r="CY1897" s="138"/>
      <c r="CZ1897" s="138"/>
      <c r="DA1897" s="139"/>
      <c r="DB1897" s="138"/>
      <c r="DC1897" s="45"/>
      <c r="DD1897" s="138"/>
      <c r="DE1897" s="45"/>
      <c r="DF1897" s="46">
        <v>1933</v>
      </c>
    </row>
    <row r="1898" spans="1:110" s="42" customFormat="1" ht="60" x14ac:dyDescent="0.2">
      <c r="A1898" s="89">
        <v>40758</v>
      </c>
      <c r="B1898" s="151" t="s">
        <v>4219</v>
      </c>
      <c r="C1898" s="90" t="s">
        <v>4220</v>
      </c>
      <c r="D1898" s="90" t="s">
        <v>4264</v>
      </c>
      <c r="E1898" s="90" t="str">
        <f>VLOOKUP(B1898&amp;C1898,Divipola!$C$2:$F$1138,4,FALSE)</f>
        <v>41483</v>
      </c>
      <c r="F1898" s="4"/>
      <c r="G1898" s="101"/>
      <c r="H1898" s="101"/>
      <c r="I1898" s="101"/>
      <c r="J1898" s="101">
        <v>544</v>
      </c>
      <c r="K1898" s="101">
        <v>106</v>
      </c>
      <c r="L1898" s="101"/>
      <c r="M1898" s="101">
        <v>106</v>
      </c>
      <c r="N1898" s="101"/>
      <c r="O1898" s="101"/>
      <c r="P1898" s="101"/>
      <c r="Q1898" s="101"/>
      <c r="R1898" s="101"/>
      <c r="S1898" s="101"/>
      <c r="T1898" s="101">
        <v>1</v>
      </c>
      <c r="U1898" s="19"/>
      <c r="V1898" s="101"/>
      <c r="W1898" s="19"/>
      <c r="X1898" s="17"/>
      <c r="Y1898" s="5">
        <f t="shared" si="180"/>
        <v>0</v>
      </c>
      <c r="Z1898" s="5">
        <f t="shared" si="181"/>
        <v>0</v>
      </c>
      <c r="AA1898" s="5">
        <f t="shared" si="182"/>
        <v>0</v>
      </c>
      <c r="AB1898" s="5">
        <f t="shared" si="183"/>
        <v>0</v>
      </c>
      <c r="AC1898" s="5"/>
      <c r="AD1898" s="5">
        <v>0</v>
      </c>
      <c r="AE1898" s="5">
        <f t="shared" si="184"/>
        <v>0</v>
      </c>
      <c r="AF1898" s="70">
        <v>0</v>
      </c>
      <c r="AG1898" s="17"/>
      <c r="AH1898" s="18"/>
      <c r="AI1898" s="47" t="s">
        <v>4336</v>
      </c>
      <c r="AJ1898" s="73" t="s">
        <v>4337</v>
      </c>
      <c r="AK1898" s="45"/>
      <c r="AL1898" s="17"/>
      <c r="AM1898" s="121" t="s">
        <v>5493</v>
      </c>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39"/>
      <c r="CE1898" s="138"/>
      <c r="CF1898" s="139"/>
      <c r="CG1898" s="138"/>
      <c r="CH1898" s="139"/>
      <c r="CI1898" s="138"/>
      <c r="CJ1898" s="72"/>
      <c r="CK1898" s="139"/>
      <c r="CL1898" s="71"/>
      <c r="CM1898" s="139"/>
      <c r="CN1898" s="138"/>
      <c r="CO1898" s="138"/>
      <c r="CP1898" s="138"/>
      <c r="CQ1898" s="139"/>
      <c r="CR1898" s="138"/>
      <c r="CS1898" s="45"/>
      <c r="CT1898" s="138"/>
      <c r="CU1898" s="45"/>
      <c r="CV1898" s="99">
        <f t="shared" si="179"/>
        <v>0</v>
      </c>
      <c r="CW1898" s="139"/>
      <c r="CX1898" s="138"/>
      <c r="CY1898" s="138"/>
      <c r="CZ1898" s="138"/>
      <c r="DA1898" s="139"/>
      <c r="DB1898" s="138"/>
      <c r="DC1898" s="45"/>
      <c r="DD1898" s="138"/>
      <c r="DE1898" s="45"/>
      <c r="DF1898" s="46">
        <v>1933</v>
      </c>
    </row>
    <row r="1899" spans="1:110" s="42" customFormat="1" ht="36" x14ac:dyDescent="0.2">
      <c r="A1899" s="89">
        <v>40759</v>
      </c>
      <c r="B1899" s="90" t="s">
        <v>4326</v>
      </c>
      <c r="C1899" s="90" t="s">
        <v>4338</v>
      </c>
      <c r="D1899" s="90" t="s">
        <v>2865</v>
      </c>
      <c r="E1899" s="90" t="str">
        <f>VLOOKUP(B1899&amp;C1899,Divipola!$C$2:$F$1138,4,FALSE)</f>
        <v>08001</v>
      </c>
      <c r="F1899" s="4"/>
      <c r="G1899" s="101"/>
      <c r="H1899" s="101">
        <v>3</v>
      </c>
      <c r="I1899" s="101"/>
      <c r="J1899" s="101">
        <v>5</v>
      </c>
      <c r="K1899" s="101">
        <v>1</v>
      </c>
      <c r="L1899" s="101">
        <v>1</v>
      </c>
      <c r="M1899" s="101"/>
      <c r="N1899" s="101"/>
      <c r="O1899" s="101"/>
      <c r="P1899" s="101"/>
      <c r="Q1899" s="101"/>
      <c r="R1899" s="101"/>
      <c r="S1899" s="101"/>
      <c r="T1899" s="101"/>
      <c r="U1899" s="101"/>
      <c r="V1899" s="101"/>
      <c r="W1899" s="19"/>
      <c r="X1899" s="17"/>
      <c r="Y1899" s="5">
        <f t="shared" si="180"/>
        <v>0</v>
      </c>
      <c r="Z1899" s="5">
        <f t="shared" si="181"/>
        <v>0</v>
      </c>
      <c r="AA1899" s="5">
        <f t="shared" si="182"/>
        <v>0</v>
      </c>
      <c r="AB1899" s="5">
        <f t="shared" si="183"/>
        <v>0</v>
      </c>
      <c r="AC1899" s="5"/>
      <c r="AD1899" s="5">
        <v>0</v>
      </c>
      <c r="AE1899" s="5">
        <f t="shared" si="184"/>
        <v>0</v>
      </c>
      <c r="AF1899" s="70">
        <v>0</v>
      </c>
      <c r="AG1899" s="17"/>
      <c r="AH1899" s="18"/>
      <c r="AI1899" s="47" t="s">
        <v>4336</v>
      </c>
      <c r="AJ1899" s="73" t="s">
        <v>4337</v>
      </c>
      <c r="AK1899" s="45"/>
      <c r="AL1899" s="17"/>
      <c r="AM1899" s="100" t="s">
        <v>2311</v>
      </c>
      <c r="AN1899" s="19"/>
      <c r="AO1899" s="19"/>
      <c r="AP1899" s="19"/>
      <c r="AQ1899" s="19"/>
      <c r="AR1899" s="19"/>
      <c r="AS1899" s="19"/>
      <c r="AT1899" s="19"/>
      <c r="AU1899" s="19"/>
      <c r="AV1899" s="19"/>
      <c r="AW1899" s="19"/>
      <c r="AX1899" s="107"/>
      <c r="AY1899" s="107"/>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39"/>
      <c r="CO1899" s="138"/>
      <c r="CP1899" s="139"/>
      <c r="CQ1899" s="138"/>
      <c r="CR1899" s="139"/>
      <c r="CS1899" s="138"/>
      <c r="CT1899" s="72"/>
      <c r="CU1899" s="139"/>
      <c r="CV1899" s="99">
        <f t="shared" si="179"/>
        <v>0</v>
      </c>
      <c r="CW1899" s="139"/>
      <c r="CX1899" s="138"/>
      <c r="CY1899" s="138"/>
      <c r="CZ1899" s="138"/>
      <c r="DA1899" s="139"/>
      <c r="DB1899" s="138"/>
      <c r="DC1899" s="45"/>
      <c r="DD1899" s="138"/>
      <c r="DE1899" s="45"/>
      <c r="DF1899" s="46">
        <v>1936</v>
      </c>
    </row>
    <row r="1900" spans="1:110" s="42" customFormat="1" ht="22.5" x14ac:dyDescent="0.2">
      <c r="A1900" s="89">
        <v>40759</v>
      </c>
      <c r="B1900" s="16" t="s">
        <v>2225</v>
      </c>
      <c r="C1900" s="16" t="s">
        <v>3381</v>
      </c>
      <c r="D1900" s="16" t="s">
        <v>4298</v>
      </c>
      <c r="E1900" s="90" t="str">
        <f>VLOOKUP(B1900&amp;C1900,Divipola!$C$2:$F$1138,4,FALSE)</f>
        <v>27615</v>
      </c>
      <c r="F1900" s="4"/>
      <c r="G1900" s="208"/>
      <c r="H1900" s="208"/>
      <c r="I1900" s="208"/>
      <c r="J1900" s="208">
        <v>4</v>
      </c>
      <c r="K1900" s="208">
        <v>1</v>
      </c>
      <c r="L1900" s="208">
        <v>1</v>
      </c>
      <c r="M1900" s="208"/>
      <c r="N1900" s="208"/>
      <c r="O1900" s="208"/>
      <c r="P1900" s="208"/>
      <c r="Q1900" s="208"/>
      <c r="R1900" s="208"/>
      <c r="S1900" s="208"/>
      <c r="T1900" s="208"/>
      <c r="U1900" s="208"/>
      <c r="V1900" s="208"/>
      <c r="W1900" s="19"/>
      <c r="X1900" s="17"/>
      <c r="Y1900" s="5">
        <f t="shared" si="180"/>
        <v>0</v>
      </c>
      <c r="Z1900" s="5">
        <f t="shared" si="181"/>
        <v>0</v>
      </c>
      <c r="AA1900" s="5">
        <f t="shared" si="182"/>
        <v>0</v>
      </c>
      <c r="AB1900" s="5">
        <f t="shared" si="183"/>
        <v>0</v>
      </c>
      <c r="AC1900" s="5"/>
      <c r="AD1900" s="5">
        <v>0</v>
      </c>
      <c r="AE1900" s="5">
        <f t="shared" si="184"/>
        <v>0</v>
      </c>
      <c r="AF1900" s="70">
        <v>0</v>
      </c>
      <c r="AG1900" s="17"/>
      <c r="AH1900" s="18"/>
      <c r="AI1900" s="47" t="s">
        <v>4336</v>
      </c>
      <c r="AJ1900" s="73" t="s">
        <v>4337</v>
      </c>
      <c r="AK1900" s="45"/>
      <c r="AL1900" s="17"/>
      <c r="AM1900" s="20" t="s">
        <v>1161</v>
      </c>
      <c r="AN1900" s="19"/>
      <c r="AO1900" s="19"/>
      <c r="AP1900" s="19"/>
      <c r="AQ1900" s="19"/>
      <c r="AR1900" s="19"/>
      <c r="AS1900" s="19"/>
      <c r="AT1900" s="19"/>
      <c r="AU1900" s="19"/>
      <c r="AV1900" s="19"/>
      <c r="AW1900" s="19"/>
      <c r="AX1900" s="107"/>
      <c r="AY1900" s="107"/>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9"/>
      <c r="CE1900" s="19"/>
      <c r="CF1900" s="19"/>
      <c r="CG1900" s="19"/>
      <c r="CH1900" s="19"/>
      <c r="CI1900" s="19"/>
      <c r="CJ1900" s="19"/>
      <c r="CK1900" s="19"/>
      <c r="CL1900" s="19"/>
      <c r="CM1900" s="19"/>
      <c r="CN1900" s="139"/>
      <c r="CO1900" s="138"/>
      <c r="CP1900" s="139"/>
      <c r="CQ1900" s="138"/>
      <c r="CR1900" s="139"/>
      <c r="CS1900" s="138"/>
      <c r="CT1900" s="72"/>
      <c r="CU1900" s="139"/>
      <c r="CV1900" s="99">
        <f t="shared" si="179"/>
        <v>0</v>
      </c>
      <c r="CW1900" s="139"/>
      <c r="CX1900" s="138"/>
      <c r="CY1900" s="138"/>
      <c r="CZ1900" s="138"/>
      <c r="DA1900" s="139"/>
      <c r="DB1900" s="138"/>
      <c r="DC1900" s="45"/>
      <c r="DD1900" s="138"/>
      <c r="DE1900" s="45"/>
      <c r="DF1900" s="46">
        <v>1936</v>
      </c>
    </row>
    <row r="1901" spans="1:110" s="42" customFormat="1" ht="96" x14ac:dyDescent="0.2">
      <c r="A1901" s="89">
        <v>40759</v>
      </c>
      <c r="B1901" s="90" t="s">
        <v>3688</v>
      </c>
      <c r="C1901" s="90" t="s">
        <v>3689</v>
      </c>
      <c r="D1901" s="90" t="s">
        <v>3346</v>
      </c>
      <c r="E1901" s="90" t="str">
        <f>VLOOKUP(B1901&amp;C1901,Divipola!$C$2:$F$1138,4,FALSE)</f>
        <v>94001</v>
      </c>
      <c r="F1901" s="4"/>
      <c r="G1901" s="101"/>
      <c r="H1901" s="101"/>
      <c r="I1901" s="101"/>
      <c r="J1901" s="101"/>
      <c r="K1901" s="101"/>
      <c r="L1901" s="101"/>
      <c r="M1901" s="101"/>
      <c r="N1901" s="101"/>
      <c r="O1901" s="101"/>
      <c r="P1901" s="101"/>
      <c r="Q1901" s="101"/>
      <c r="R1901" s="101"/>
      <c r="S1901" s="101"/>
      <c r="T1901" s="101">
        <v>1</v>
      </c>
      <c r="U1901" s="101">
        <v>1</v>
      </c>
      <c r="V1901" s="101"/>
      <c r="W1901" s="19"/>
      <c r="X1901" s="17"/>
      <c r="Y1901" s="5">
        <f t="shared" si="180"/>
        <v>0</v>
      </c>
      <c r="Z1901" s="5">
        <f t="shared" si="181"/>
        <v>0</v>
      </c>
      <c r="AA1901" s="5">
        <f t="shared" si="182"/>
        <v>0</v>
      </c>
      <c r="AB1901" s="5">
        <f t="shared" si="183"/>
        <v>0</v>
      </c>
      <c r="AC1901" s="5"/>
      <c r="AD1901" s="5">
        <v>0</v>
      </c>
      <c r="AE1901" s="5">
        <f t="shared" si="184"/>
        <v>0</v>
      </c>
      <c r="AF1901" s="70">
        <v>0</v>
      </c>
      <c r="AG1901" s="17"/>
      <c r="AH1901" s="18"/>
      <c r="AI1901" s="47" t="s">
        <v>4336</v>
      </c>
      <c r="AJ1901" s="73" t="s">
        <v>4337</v>
      </c>
      <c r="AK1901" s="45"/>
      <c r="AL1901" s="17"/>
      <c r="AM1901" s="100" t="s">
        <v>2319</v>
      </c>
      <c r="AN1901" s="148"/>
      <c r="AO1901" s="19"/>
      <c r="AP1901" s="19"/>
      <c r="AQ1901" s="19"/>
      <c r="AR1901" s="19"/>
      <c r="AS1901" s="19"/>
      <c r="AT1901" s="19"/>
      <c r="AU1901" s="19"/>
      <c r="AV1901" s="19"/>
      <c r="AW1901" s="19"/>
      <c r="AX1901" s="107"/>
      <c r="AY1901" s="107"/>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39"/>
      <c r="CO1901" s="138"/>
      <c r="CP1901" s="139"/>
      <c r="CQ1901" s="138"/>
      <c r="CR1901" s="139"/>
      <c r="CS1901" s="138"/>
      <c r="CT1901" s="72"/>
      <c r="CU1901" s="139"/>
      <c r="CV1901" s="99">
        <f t="shared" si="179"/>
        <v>0</v>
      </c>
      <c r="CW1901" s="139"/>
      <c r="CX1901" s="138"/>
      <c r="CY1901" s="138"/>
      <c r="CZ1901" s="138"/>
      <c r="DA1901" s="139"/>
      <c r="DB1901" s="138"/>
      <c r="DC1901" s="45"/>
      <c r="DD1901" s="138"/>
      <c r="DE1901" s="45"/>
      <c r="DF1901" s="46">
        <v>1933</v>
      </c>
    </row>
    <row r="1902" spans="1:110" s="42" customFormat="1" ht="22.5" x14ac:dyDescent="0.2">
      <c r="A1902" s="89">
        <v>40759</v>
      </c>
      <c r="B1902" s="16" t="s">
        <v>4221</v>
      </c>
      <c r="C1902" s="16" t="s">
        <v>4238</v>
      </c>
      <c r="D1902" s="90" t="s">
        <v>4264</v>
      </c>
      <c r="E1902" s="90" t="str">
        <f>VLOOKUP(B1902&amp;C1902,Divipola!$C$2:$F$1138,4,FALSE)</f>
        <v>54245</v>
      </c>
      <c r="F1902" s="4"/>
      <c r="G1902" s="208"/>
      <c r="H1902" s="208"/>
      <c r="I1902" s="208"/>
      <c r="J1902" s="208"/>
      <c r="K1902" s="208"/>
      <c r="L1902" s="208"/>
      <c r="M1902" s="208"/>
      <c r="N1902" s="208"/>
      <c r="O1902" s="208"/>
      <c r="P1902" s="208"/>
      <c r="Q1902" s="208"/>
      <c r="R1902" s="208"/>
      <c r="S1902" s="208"/>
      <c r="T1902" s="208"/>
      <c r="U1902" s="208"/>
      <c r="V1902" s="208"/>
      <c r="W1902" s="19"/>
      <c r="X1902" s="17"/>
      <c r="Y1902" s="5">
        <f t="shared" si="180"/>
        <v>0</v>
      </c>
      <c r="Z1902" s="5">
        <f t="shared" si="181"/>
        <v>0</v>
      </c>
      <c r="AA1902" s="5">
        <f t="shared" si="182"/>
        <v>88278571.719999999</v>
      </c>
      <c r="AB1902" s="5">
        <f t="shared" si="183"/>
        <v>0</v>
      </c>
      <c r="AC1902" s="143">
        <f>17047*1980+790*22005.2+1471*17980</f>
        <v>77585748</v>
      </c>
      <c r="AD1902" s="5">
        <v>0</v>
      </c>
      <c r="AE1902" s="5">
        <f t="shared" si="184"/>
        <v>165864319.72</v>
      </c>
      <c r="AF1902" s="70">
        <v>0</v>
      </c>
      <c r="AG1902" s="17"/>
      <c r="AH1902" s="18"/>
      <c r="AI1902" s="95" t="s">
        <v>4346</v>
      </c>
      <c r="AJ1902" s="96" t="s">
        <v>4347</v>
      </c>
      <c r="AK1902" s="45"/>
      <c r="AL1902" s="17"/>
      <c r="AM1902" s="144" t="s">
        <v>1167</v>
      </c>
      <c r="AN1902" s="19"/>
      <c r="AO1902" s="19"/>
      <c r="AP1902" s="19"/>
      <c r="AQ1902" s="19"/>
      <c r="AR1902" s="19"/>
      <c r="AS1902" s="19"/>
      <c r="AT1902" s="19"/>
      <c r="AU1902" s="19"/>
      <c r="AV1902" s="19"/>
      <c r="AW1902" s="19"/>
      <c r="AX1902" s="107"/>
      <c r="AY1902" s="107"/>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39"/>
      <c r="CO1902" s="138"/>
      <c r="CP1902" s="139"/>
      <c r="CQ1902" s="138"/>
      <c r="CR1902" s="139"/>
      <c r="CS1902" s="138"/>
      <c r="CT1902" s="72"/>
      <c r="CU1902" s="139"/>
      <c r="CV1902" s="99">
        <f t="shared" si="179"/>
        <v>0</v>
      </c>
      <c r="CW1902" s="139"/>
      <c r="CX1902" s="138"/>
      <c r="CY1902" s="138"/>
      <c r="CZ1902" s="138"/>
      <c r="DA1902" s="139">
        <v>1591</v>
      </c>
      <c r="DB1902" s="138">
        <f>1591*27998.92</f>
        <v>44546281.719999999</v>
      </c>
      <c r="DC1902" s="139">
        <v>1750</v>
      </c>
      <c r="DD1902" s="138">
        <f>1750*24989.88</f>
        <v>43732290</v>
      </c>
      <c r="DE1902" s="45"/>
      <c r="DF1902" s="46">
        <v>1936</v>
      </c>
    </row>
    <row r="1903" spans="1:110" s="42" customFormat="1" ht="120" x14ac:dyDescent="0.2">
      <c r="A1903" s="89">
        <v>40759</v>
      </c>
      <c r="B1903" s="90" t="s">
        <v>4221</v>
      </c>
      <c r="C1903" s="90" t="s">
        <v>3539</v>
      </c>
      <c r="D1903" s="90" t="s">
        <v>4340</v>
      </c>
      <c r="E1903" s="90" t="str">
        <f>VLOOKUP(B1903&amp;C1903,Divipola!$C$2:$F$1138,4,FALSE)</f>
        <v>54800</v>
      </c>
      <c r="F1903" s="4"/>
      <c r="G1903" s="101">
        <v>3</v>
      </c>
      <c r="H1903" s="101">
        <v>6</v>
      </c>
      <c r="I1903" s="101"/>
      <c r="J1903" s="101"/>
      <c r="K1903" s="101"/>
      <c r="L1903" s="101"/>
      <c r="M1903" s="101"/>
      <c r="N1903" s="101"/>
      <c r="O1903" s="101"/>
      <c r="P1903" s="101"/>
      <c r="Q1903" s="101"/>
      <c r="R1903" s="101"/>
      <c r="S1903" s="101"/>
      <c r="T1903" s="101"/>
      <c r="U1903" s="101"/>
      <c r="V1903" s="101"/>
      <c r="W1903" s="19"/>
      <c r="X1903" s="17"/>
      <c r="Y1903" s="5">
        <f t="shared" si="180"/>
        <v>0</v>
      </c>
      <c r="Z1903" s="5">
        <f t="shared" si="181"/>
        <v>0</v>
      </c>
      <c r="AA1903" s="5">
        <f t="shared" si="182"/>
        <v>0</v>
      </c>
      <c r="AB1903" s="5">
        <f t="shared" si="183"/>
        <v>0</v>
      </c>
      <c r="AC1903" s="5"/>
      <c r="AD1903" s="5">
        <v>0</v>
      </c>
      <c r="AE1903" s="5">
        <f t="shared" si="184"/>
        <v>0</v>
      </c>
      <c r="AF1903" s="70">
        <v>0</v>
      </c>
      <c r="AG1903" s="17"/>
      <c r="AH1903" s="18"/>
      <c r="AI1903" s="47" t="s">
        <v>4336</v>
      </c>
      <c r="AJ1903" s="73" t="s">
        <v>4337</v>
      </c>
      <c r="AK1903" s="45"/>
      <c r="AL1903" s="17"/>
      <c r="AM1903" s="100" t="s">
        <v>2309</v>
      </c>
      <c r="AN1903" s="19"/>
      <c r="AO1903" s="19"/>
      <c r="AP1903" s="19"/>
      <c r="AQ1903" s="19"/>
      <c r="AR1903" s="19"/>
      <c r="AS1903" s="19"/>
      <c r="AT1903" s="19"/>
      <c r="AU1903" s="19"/>
      <c r="AV1903" s="19"/>
      <c r="AW1903" s="19"/>
      <c r="AX1903" s="107"/>
      <c r="AY1903" s="107"/>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c r="BW1903" s="19"/>
      <c r="BX1903" s="19"/>
      <c r="BY1903" s="19"/>
      <c r="BZ1903" s="19"/>
      <c r="CA1903" s="19"/>
      <c r="CB1903" s="19"/>
      <c r="CC1903" s="19"/>
      <c r="CD1903" s="19"/>
      <c r="CE1903" s="19"/>
      <c r="CF1903" s="19"/>
      <c r="CG1903" s="19"/>
      <c r="CH1903" s="19"/>
      <c r="CI1903" s="19"/>
      <c r="CJ1903" s="19"/>
      <c r="CK1903" s="19"/>
      <c r="CL1903" s="19"/>
      <c r="CM1903" s="19"/>
      <c r="CN1903" s="139"/>
      <c r="CO1903" s="138"/>
      <c r="CP1903" s="139"/>
      <c r="CQ1903" s="138"/>
      <c r="CR1903" s="139"/>
      <c r="CS1903" s="138"/>
      <c r="CT1903" s="72"/>
      <c r="CU1903" s="139"/>
      <c r="CV1903" s="99">
        <f t="shared" si="179"/>
        <v>0</v>
      </c>
      <c r="CW1903" s="139"/>
      <c r="CX1903" s="138"/>
      <c r="CY1903" s="138"/>
      <c r="CZ1903" s="138"/>
      <c r="DA1903" s="139"/>
      <c r="DB1903" s="138"/>
      <c r="DC1903" s="45"/>
      <c r="DD1903" s="138"/>
      <c r="DE1903" s="45"/>
      <c r="DF1903" s="46">
        <v>1935</v>
      </c>
    </row>
    <row r="1904" spans="1:110" s="42" customFormat="1" ht="144" x14ac:dyDescent="0.2">
      <c r="A1904" s="89">
        <v>40760</v>
      </c>
      <c r="B1904" s="90" t="s">
        <v>4296</v>
      </c>
      <c r="C1904" s="90" t="s">
        <v>4305</v>
      </c>
      <c r="D1904" s="90" t="s">
        <v>3346</v>
      </c>
      <c r="E1904" s="90" t="str">
        <f>VLOOKUP(B1904&amp;C1904,Divipola!$C$2:$F$1138,4,FALSE)</f>
        <v>19473</v>
      </c>
      <c r="F1904" s="4"/>
      <c r="G1904" s="101"/>
      <c r="H1904" s="101"/>
      <c r="I1904" s="101"/>
      <c r="J1904" s="101">
        <v>140</v>
      </c>
      <c r="K1904" s="101">
        <v>35</v>
      </c>
      <c r="L1904" s="101"/>
      <c r="M1904" s="101">
        <v>25</v>
      </c>
      <c r="N1904" s="101"/>
      <c r="O1904" s="101"/>
      <c r="P1904" s="101"/>
      <c r="Q1904" s="101"/>
      <c r="R1904" s="101"/>
      <c r="S1904" s="101"/>
      <c r="T1904" s="101"/>
      <c r="U1904" s="101"/>
      <c r="V1904" s="101"/>
      <c r="W1904" s="19"/>
      <c r="X1904" s="17"/>
      <c r="Y1904" s="5">
        <f t="shared" si="180"/>
        <v>0</v>
      </c>
      <c r="Z1904" s="5">
        <f t="shared" si="181"/>
        <v>0</v>
      </c>
      <c r="AA1904" s="5">
        <f t="shared" si="182"/>
        <v>0</v>
      </c>
      <c r="AB1904" s="5">
        <f t="shared" si="183"/>
        <v>0</v>
      </c>
      <c r="AC1904" s="5"/>
      <c r="AD1904" s="5">
        <v>20000000</v>
      </c>
      <c r="AE1904" s="5">
        <f t="shared" si="184"/>
        <v>20000000</v>
      </c>
      <c r="AF1904" s="70">
        <v>0</v>
      </c>
      <c r="AG1904" s="17"/>
      <c r="AH1904" s="18"/>
      <c r="AI1904" s="47" t="s">
        <v>4346</v>
      </c>
      <c r="AJ1904" s="73" t="s">
        <v>4347</v>
      </c>
      <c r="AK1904" s="45"/>
      <c r="AL1904" s="17"/>
      <c r="AM1904" s="100" t="s">
        <v>2087</v>
      </c>
      <c r="AN1904" s="19"/>
      <c r="AO1904" s="19"/>
      <c r="AP1904" s="19"/>
      <c r="AQ1904" s="19"/>
      <c r="AR1904" s="19"/>
      <c r="AS1904" s="19"/>
      <c r="AT1904" s="19"/>
      <c r="AU1904" s="19"/>
      <c r="AV1904" s="19"/>
      <c r="AW1904" s="19"/>
      <c r="AX1904" s="107"/>
      <c r="AY1904" s="107"/>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c r="BW1904" s="19"/>
      <c r="BX1904" s="19"/>
      <c r="BY1904" s="19"/>
      <c r="BZ1904" s="19"/>
      <c r="CA1904" s="19"/>
      <c r="CB1904" s="19"/>
      <c r="CC1904" s="19"/>
      <c r="CD1904" s="19"/>
      <c r="CE1904" s="19"/>
      <c r="CF1904" s="19"/>
      <c r="CG1904" s="19"/>
      <c r="CH1904" s="19"/>
      <c r="CI1904" s="19"/>
      <c r="CJ1904" s="19"/>
      <c r="CK1904" s="19"/>
      <c r="CL1904" s="19"/>
      <c r="CM1904" s="19"/>
      <c r="CN1904" s="139"/>
      <c r="CO1904" s="138"/>
      <c r="CP1904" s="139"/>
      <c r="CQ1904" s="138"/>
      <c r="CR1904" s="139"/>
      <c r="CS1904" s="138"/>
      <c r="CT1904" s="72"/>
      <c r="CU1904" s="139"/>
      <c r="CV1904" s="99">
        <f t="shared" si="179"/>
        <v>0</v>
      </c>
      <c r="CW1904" s="139"/>
      <c r="CX1904" s="138"/>
      <c r="CY1904" s="138"/>
      <c r="CZ1904" s="138"/>
      <c r="DA1904" s="139"/>
      <c r="DB1904" s="138"/>
      <c r="DC1904" s="45"/>
      <c r="DD1904" s="138"/>
      <c r="DE1904" s="45"/>
      <c r="DF1904" s="46">
        <v>1935</v>
      </c>
    </row>
    <row r="1905" spans="1:110" s="42" customFormat="1" ht="36" x14ac:dyDescent="0.2">
      <c r="A1905" s="89">
        <v>40761</v>
      </c>
      <c r="B1905" s="90" t="s">
        <v>4296</v>
      </c>
      <c r="C1905" s="90" t="s">
        <v>4297</v>
      </c>
      <c r="D1905" s="90" t="s">
        <v>4298</v>
      </c>
      <c r="E1905" s="90" t="str">
        <f>VLOOKUP(B1905&amp;C1905,Divipola!$C$2:$F$1138,4,FALSE)</f>
        <v>19001</v>
      </c>
      <c r="F1905" s="4"/>
      <c r="G1905" s="101"/>
      <c r="H1905" s="101"/>
      <c r="I1905" s="101"/>
      <c r="J1905" s="101">
        <v>14</v>
      </c>
      <c r="K1905" s="101">
        <v>2</v>
      </c>
      <c r="L1905" s="101">
        <v>1</v>
      </c>
      <c r="M1905" s="101">
        <v>1</v>
      </c>
      <c r="N1905" s="101"/>
      <c r="O1905" s="101"/>
      <c r="P1905" s="101"/>
      <c r="Q1905" s="101"/>
      <c r="R1905" s="101"/>
      <c r="S1905" s="101"/>
      <c r="T1905" s="101"/>
      <c r="U1905" s="101"/>
      <c r="V1905" s="101"/>
      <c r="W1905" s="19"/>
      <c r="X1905" s="17"/>
      <c r="Y1905" s="5">
        <f t="shared" si="180"/>
        <v>0</v>
      </c>
      <c r="Z1905" s="5">
        <f t="shared" si="181"/>
        <v>0</v>
      </c>
      <c r="AA1905" s="5">
        <f t="shared" si="182"/>
        <v>0</v>
      </c>
      <c r="AB1905" s="5">
        <f t="shared" si="183"/>
        <v>0</v>
      </c>
      <c r="AC1905" s="5"/>
      <c r="AD1905" s="5">
        <v>0</v>
      </c>
      <c r="AE1905" s="5">
        <f t="shared" si="184"/>
        <v>0</v>
      </c>
      <c r="AF1905" s="70">
        <v>0</v>
      </c>
      <c r="AG1905" s="17"/>
      <c r="AH1905" s="18"/>
      <c r="AI1905" s="47" t="s">
        <v>4336</v>
      </c>
      <c r="AJ1905" s="73" t="s">
        <v>4337</v>
      </c>
      <c r="AK1905" s="45"/>
      <c r="AL1905" s="17"/>
      <c r="AM1905" s="100" t="s">
        <v>2318</v>
      </c>
      <c r="AN1905" s="148"/>
      <c r="AO1905" s="19"/>
      <c r="AP1905" s="19"/>
      <c r="AQ1905" s="19"/>
      <c r="AR1905" s="19"/>
      <c r="AS1905" s="19"/>
      <c r="AT1905" s="19"/>
      <c r="AU1905" s="19"/>
      <c r="AV1905" s="19"/>
      <c r="AW1905" s="19"/>
      <c r="AX1905" s="107"/>
      <c r="AY1905" s="107"/>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c r="BW1905" s="19"/>
      <c r="BX1905" s="19"/>
      <c r="BY1905" s="19"/>
      <c r="BZ1905" s="19"/>
      <c r="CA1905" s="19"/>
      <c r="CB1905" s="19"/>
      <c r="CC1905" s="19"/>
      <c r="CD1905" s="19"/>
      <c r="CE1905" s="19"/>
      <c r="CF1905" s="19"/>
      <c r="CG1905" s="19"/>
      <c r="CH1905" s="19"/>
      <c r="CI1905" s="19"/>
      <c r="CJ1905" s="19"/>
      <c r="CK1905" s="19"/>
      <c r="CL1905" s="19"/>
      <c r="CM1905" s="19"/>
      <c r="CN1905" s="139"/>
      <c r="CO1905" s="138"/>
      <c r="CP1905" s="139"/>
      <c r="CQ1905" s="138"/>
      <c r="CR1905" s="139"/>
      <c r="CS1905" s="138"/>
      <c r="CT1905" s="72"/>
      <c r="CU1905" s="139"/>
      <c r="CV1905" s="99">
        <f t="shared" si="179"/>
        <v>0</v>
      </c>
      <c r="CW1905" s="139"/>
      <c r="CX1905" s="138"/>
      <c r="CY1905" s="138"/>
      <c r="CZ1905" s="138"/>
      <c r="DA1905" s="139"/>
      <c r="DB1905" s="138"/>
      <c r="DC1905" s="45"/>
      <c r="DD1905" s="138"/>
      <c r="DE1905" s="45"/>
      <c r="DF1905" s="46">
        <v>1936</v>
      </c>
    </row>
    <row r="1906" spans="1:110" s="42" customFormat="1" ht="72" x14ac:dyDescent="0.2">
      <c r="A1906" s="89">
        <v>40761</v>
      </c>
      <c r="B1906" s="90" t="s">
        <v>2225</v>
      </c>
      <c r="C1906" s="90" t="s">
        <v>1886</v>
      </c>
      <c r="D1906" s="90" t="s">
        <v>3346</v>
      </c>
      <c r="E1906" s="90" t="str">
        <f>VLOOKUP(B1906&amp;C1906,Divipola!$C$2:$F$1138,4,FALSE)</f>
        <v>27450</v>
      </c>
      <c r="F1906" s="4"/>
      <c r="G1906" s="101"/>
      <c r="H1906" s="101"/>
      <c r="I1906" s="101"/>
      <c r="J1906" s="101"/>
      <c r="K1906" s="101"/>
      <c r="L1906" s="101"/>
      <c r="M1906" s="101"/>
      <c r="N1906" s="101"/>
      <c r="O1906" s="101"/>
      <c r="P1906" s="101"/>
      <c r="Q1906" s="101"/>
      <c r="R1906" s="101"/>
      <c r="S1906" s="101"/>
      <c r="T1906" s="101"/>
      <c r="U1906" s="101"/>
      <c r="V1906" s="101"/>
      <c r="W1906" s="19"/>
      <c r="X1906" s="17"/>
      <c r="Y1906" s="5">
        <f t="shared" si="180"/>
        <v>0</v>
      </c>
      <c r="Z1906" s="5">
        <f t="shared" si="181"/>
        <v>0</v>
      </c>
      <c r="AA1906" s="5">
        <f t="shared" si="182"/>
        <v>0</v>
      </c>
      <c r="AB1906" s="5">
        <f t="shared" si="183"/>
        <v>0</v>
      </c>
      <c r="AC1906" s="5"/>
      <c r="AD1906" s="5">
        <v>0</v>
      </c>
      <c r="AE1906" s="5">
        <f t="shared" si="184"/>
        <v>0</v>
      </c>
      <c r="AF1906" s="70">
        <v>0</v>
      </c>
      <c r="AG1906" s="17"/>
      <c r="AH1906" s="18"/>
      <c r="AI1906" s="47" t="s">
        <v>4336</v>
      </c>
      <c r="AJ1906" s="73" t="s">
        <v>4337</v>
      </c>
      <c r="AK1906" s="45"/>
      <c r="AL1906" s="17"/>
      <c r="AM1906" s="100" t="s">
        <v>2328</v>
      </c>
      <c r="AN1906" s="19"/>
      <c r="AO1906" s="19"/>
      <c r="AP1906" s="19"/>
      <c r="AQ1906" s="19"/>
      <c r="AR1906" s="19"/>
      <c r="AS1906" s="19"/>
      <c r="AT1906" s="19"/>
      <c r="AU1906" s="19"/>
      <c r="AV1906" s="19"/>
      <c r="AW1906" s="19"/>
      <c r="AX1906" s="107"/>
      <c r="AY1906" s="107"/>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c r="BW1906" s="19"/>
      <c r="BX1906" s="19"/>
      <c r="BY1906" s="19"/>
      <c r="BZ1906" s="19"/>
      <c r="CA1906" s="19"/>
      <c r="CB1906" s="19"/>
      <c r="CC1906" s="19"/>
      <c r="CD1906" s="19"/>
      <c r="CE1906" s="19"/>
      <c r="CF1906" s="19"/>
      <c r="CG1906" s="19"/>
      <c r="CH1906" s="19"/>
      <c r="CI1906" s="19"/>
      <c r="CJ1906" s="19"/>
      <c r="CK1906" s="19"/>
      <c r="CL1906" s="19"/>
      <c r="CM1906" s="19"/>
      <c r="CN1906" s="139"/>
      <c r="CO1906" s="138"/>
      <c r="CP1906" s="139"/>
      <c r="CQ1906" s="138"/>
      <c r="CR1906" s="139"/>
      <c r="CS1906" s="138"/>
      <c r="CT1906" s="72"/>
      <c r="CU1906" s="139"/>
      <c r="CV1906" s="99">
        <f t="shared" si="179"/>
        <v>0</v>
      </c>
      <c r="CW1906" s="139"/>
      <c r="CX1906" s="138"/>
      <c r="CY1906" s="138"/>
      <c r="CZ1906" s="138"/>
      <c r="DA1906" s="139"/>
      <c r="DB1906" s="138"/>
      <c r="DC1906" s="45"/>
      <c r="DD1906" s="138"/>
      <c r="DE1906" s="45"/>
      <c r="DF1906" s="46"/>
    </row>
    <row r="1907" spans="1:110" s="42" customFormat="1" ht="72" x14ac:dyDescent="0.2">
      <c r="A1907" s="89">
        <v>40761</v>
      </c>
      <c r="B1907" s="90" t="s">
        <v>2225</v>
      </c>
      <c r="C1907" s="90" t="s">
        <v>1886</v>
      </c>
      <c r="D1907" s="90" t="s">
        <v>3346</v>
      </c>
      <c r="E1907" s="90" t="str">
        <f>VLOOKUP(B1907&amp;C1907,Divipola!$C$2:$F$1138,4,FALSE)</f>
        <v>27450</v>
      </c>
      <c r="F1907" s="4"/>
      <c r="G1907" s="101"/>
      <c r="H1907" s="101"/>
      <c r="I1907" s="101"/>
      <c r="J1907" s="101">
        <v>315</v>
      </c>
      <c r="K1907" s="101">
        <v>63</v>
      </c>
      <c r="L1907" s="101"/>
      <c r="M1907" s="101">
        <v>63</v>
      </c>
      <c r="N1907" s="101"/>
      <c r="O1907" s="101"/>
      <c r="P1907" s="101"/>
      <c r="Q1907" s="101"/>
      <c r="R1907" s="101"/>
      <c r="S1907" s="101"/>
      <c r="T1907" s="101">
        <v>1</v>
      </c>
      <c r="U1907" s="101"/>
      <c r="V1907" s="101"/>
      <c r="W1907" s="19"/>
      <c r="X1907" s="17"/>
      <c r="Y1907" s="5">
        <f t="shared" si="180"/>
        <v>0</v>
      </c>
      <c r="Z1907" s="5">
        <f t="shared" si="181"/>
        <v>0</v>
      </c>
      <c r="AA1907" s="5">
        <f t="shared" si="182"/>
        <v>0</v>
      </c>
      <c r="AB1907" s="5">
        <f t="shared" si="183"/>
        <v>0</v>
      </c>
      <c r="AC1907" s="5"/>
      <c r="AD1907" s="5">
        <v>0</v>
      </c>
      <c r="AE1907" s="5">
        <f t="shared" si="184"/>
        <v>0</v>
      </c>
      <c r="AF1907" s="70">
        <v>0</v>
      </c>
      <c r="AG1907" s="17"/>
      <c r="AH1907" s="18"/>
      <c r="AI1907" s="47" t="s">
        <v>4336</v>
      </c>
      <c r="AJ1907" s="73" t="s">
        <v>4337</v>
      </c>
      <c r="AK1907" s="45"/>
      <c r="AL1907" s="17"/>
      <c r="AM1907" s="100" t="s">
        <v>2334</v>
      </c>
      <c r="AN1907" s="19"/>
      <c r="AO1907" s="19"/>
      <c r="AP1907" s="19"/>
      <c r="AQ1907" s="19"/>
      <c r="AR1907" s="19"/>
      <c r="AS1907" s="19"/>
      <c r="AT1907" s="19"/>
      <c r="AU1907" s="19"/>
      <c r="AV1907" s="19"/>
      <c r="AW1907" s="19"/>
      <c r="AX1907" s="107"/>
      <c r="AY1907" s="107"/>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39"/>
      <c r="CO1907" s="138"/>
      <c r="CP1907" s="139"/>
      <c r="CQ1907" s="138"/>
      <c r="CR1907" s="139"/>
      <c r="CS1907" s="138"/>
      <c r="CT1907" s="72"/>
      <c r="CU1907" s="139"/>
      <c r="CV1907" s="99">
        <f t="shared" si="179"/>
        <v>0</v>
      </c>
      <c r="CW1907" s="139"/>
      <c r="CX1907" s="138"/>
      <c r="CY1907" s="138"/>
      <c r="CZ1907" s="138"/>
      <c r="DA1907" s="139"/>
      <c r="DB1907" s="138"/>
      <c r="DC1907" s="45"/>
      <c r="DD1907" s="138"/>
      <c r="DE1907" s="45"/>
      <c r="DF1907" s="46"/>
    </row>
    <row r="1908" spans="1:110" s="42" customFormat="1" x14ac:dyDescent="0.2">
      <c r="A1908" s="89">
        <v>40761</v>
      </c>
      <c r="B1908" s="90" t="s">
        <v>4348</v>
      </c>
      <c r="C1908" s="90" t="s">
        <v>2228</v>
      </c>
      <c r="D1908" s="90" t="s">
        <v>2865</v>
      </c>
      <c r="E1908" s="90" t="str">
        <f>VLOOKUP(B1908&amp;C1908,Divipola!$C$2:$F$1138,4,FALSE)</f>
        <v>66001</v>
      </c>
      <c r="F1908" s="4"/>
      <c r="G1908" s="101"/>
      <c r="H1908" s="101"/>
      <c r="I1908" s="101"/>
      <c r="J1908" s="101">
        <v>5</v>
      </c>
      <c r="K1908" s="101">
        <v>1</v>
      </c>
      <c r="L1908" s="101"/>
      <c r="M1908" s="101">
        <v>1</v>
      </c>
      <c r="N1908" s="101"/>
      <c r="O1908" s="101"/>
      <c r="P1908" s="101"/>
      <c r="Q1908" s="101"/>
      <c r="R1908" s="101"/>
      <c r="S1908" s="101"/>
      <c r="T1908" s="101"/>
      <c r="U1908" s="101"/>
      <c r="V1908" s="101"/>
      <c r="W1908" s="19"/>
      <c r="X1908" s="17"/>
      <c r="Y1908" s="5">
        <f t="shared" si="180"/>
        <v>0</v>
      </c>
      <c r="Z1908" s="5">
        <f t="shared" si="181"/>
        <v>0</v>
      </c>
      <c r="AA1908" s="5">
        <f t="shared" si="182"/>
        <v>0</v>
      </c>
      <c r="AB1908" s="5">
        <f t="shared" si="183"/>
        <v>0</v>
      </c>
      <c r="AC1908" s="5"/>
      <c r="AD1908" s="5">
        <v>0</v>
      </c>
      <c r="AE1908" s="5">
        <f t="shared" si="184"/>
        <v>0</v>
      </c>
      <c r="AF1908" s="70">
        <v>0</v>
      </c>
      <c r="AG1908" s="17"/>
      <c r="AH1908" s="18"/>
      <c r="AI1908" s="47" t="s">
        <v>4336</v>
      </c>
      <c r="AJ1908" s="73" t="s">
        <v>4337</v>
      </c>
      <c r="AK1908" s="45"/>
      <c r="AL1908" s="17"/>
      <c r="AM1908" s="100"/>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39"/>
      <c r="CO1908" s="138"/>
      <c r="CP1908" s="139"/>
      <c r="CQ1908" s="138"/>
      <c r="CR1908" s="139"/>
      <c r="CS1908" s="138"/>
      <c r="CT1908" s="72"/>
      <c r="CU1908" s="139"/>
      <c r="CV1908" s="99">
        <f t="shared" si="179"/>
        <v>0</v>
      </c>
      <c r="CW1908" s="139"/>
      <c r="CX1908" s="138"/>
      <c r="CY1908" s="138"/>
      <c r="CZ1908" s="138"/>
      <c r="DA1908" s="139"/>
      <c r="DB1908" s="138"/>
      <c r="DC1908" s="45"/>
      <c r="DD1908" s="138"/>
      <c r="DE1908" s="45"/>
      <c r="DF1908" s="46"/>
    </row>
    <row r="1909" spans="1:110" s="42" customFormat="1" ht="56.25" x14ac:dyDescent="0.2">
      <c r="A1909" s="89">
        <v>40762</v>
      </c>
      <c r="B1909" s="90" t="s">
        <v>2218</v>
      </c>
      <c r="C1909" s="16" t="s">
        <v>4345</v>
      </c>
      <c r="D1909" s="16" t="s">
        <v>3346</v>
      </c>
      <c r="E1909" s="90">
        <f>VLOOKUP(B1909&amp;C1909,Divipola!$C$2:$F$1138,4,FALSE)</f>
        <v>5</v>
      </c>
      <c r="F1909" s="4"/>
      <c r="G1909" s="208"/>
      <c r="H1909" s="208"/>
      <c r="I1909" s="208"/>
      <c r="J1909" s="208"/>
      <c r="K1909" s="208"/>
      <c r="L1909" s="208"/>
      <c r="M1909" s="208"/>
      <c r="N1909" s="208"/>
      <c r="O1909" s="208"/>
      <c r="P1909" s="208"/>
      <c r="Q1909" s="208"/>
      <c r="R1909" s="208"/>
      <c r="S1909" s="208"/>
      <c r="T1909" s="208"/>
      <c r="U1909" s="208"/>
      <c r="V1909" s="208"/>
      <c r="W1909" s="19"/>
      <c r="X1909" s="17"/>
      <c r="Y1909" s="5">
        <f t="shared" si="180"/>
        <v>0</v>
      </c>
      <c r="Z1909" s="5">
        <f t="shared" si="181"/>
        <v>0</v>
      </c>
      <c r="AA1909" s="5">
        <f t="shared" si="182"/>
        <v>61451000</v>
      </c>
      <c r="AB1909" s="5">
        <f t="shared" si="183"/>
        <v>0</v>
      </c>
      <c r="AC1909" s="5"/>
      <c r="AD1909" s="5">
        <v>0</v>
      </c>
      <c r="AE1909" s="5">
        <f t="shared" si="184"/>
        <v>61451000</v>
      </c>
      <c r="AF1909" s="70">
        <v>0</v>
      </c>
      <c r="AG1909" s="17"/>
      <c r="AH1909" s="18"/>
      <c r="AI1909" s="95" t="s">
        <v>4346</v>
      </c>
      <c r="AJ1909" s="96" t="s">
        <v>4347</v>
      </c>
      <c r="AK1909" s="45"/>
      <c r="AL1909" s="17"/>
      <c r="AM1909" s="144" t="s">
        <v>2338</v>
      </c>
      <c r="AN1909" s="19"/>
      <c r="AO1909" s="19"/>
      <c r="AP1909" s="19"/>
      <c r="AQ1909" s="19"/>
      <c r="AR1909" s="19"/>
      <c r="AS1909" s="19"/>
      <c r="AT1909" s="19"/>
      <c r="AU1909" s="19"/>
      <c r="AV1909" s="19"/>
      <c r="AW1909" s="19"/>
      <c r="AX1909" s="107"/>
      <c r="AY1909" s="107"/>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39"/>
      <c r="CO1909" s="138"/>
      <c r="CP1909" s="139"/>
      <c r="CQ1909" s="138"/>
      <c r="CR1909" s="139"/>
      <c r="CS1909" s="138"/>
      <c r="CT1909" s="72"/>
      <c r="CU1909" s="139"/>
      <c r="CV1909" s="99">
        <f t="shared" si="179"/>
        <v>0</v>
      </c>
      <c r="CW1909" s="139"/>
      <c r="CX1909" s="138"/>
      <c r="CY1909" s="138"/>
      <c r="CZ1909" s="138"/>
      <c r="DA1909" s="139"/>
      <c r="DB1909" s="138"/>
      <c r="DC1909" s="45">
        <v>2500</v>
      </c>
      <c r="DD1909" s="138">
        <f>1500*22678+1000*26100+2000*348+5000*127.6</f>
        <v>61451000</v>
      </c>
      <c r="DE1909" s="45"/>
      <c r="DF1909" s="46"/>
    </row>
    <row r="1910" spans="1:110" s="42" customFormat="1" ht="84" x14ac:dyDescent="0.2">
      <c r="A1910" s="89">
        <v>40762</v>
      </c>
      <c r="B1910" s="90" t="s">
        <v>2218</v>
      </c>
      <c r="C1910" s="90" t="s">
        <v>3905</v>
      </c>
      <c r="D1910" s="90" t="s">
        <v>3346</v>
      </c>
      <c r="E1910" s="90" t="str">
        <f>VLOOKUP(B1910&amp;C1910,Divipola!$C$2:$F$1138,4,FALSE)</f>
        <v>05250</v>
      </c>
      <c r="F1910" s="4"/>
      <c r="G1910" s="101"/>
      <c r="H1910" s="101"/>
      <c r="I1910" s="101"/>
      <c r="J1910" s="101">
        <v>340</v>
      </c>
      <c r="K1910" s="101">
        <v>68</v>
      </c>
      <c r="L1910" s="101"/>
      <c r="M1910" s="101">
        <v>68</v>
      </c>
      <c r="N1910" s="101"/>
      <c r="O1910" s="101"/>
      <c r="P1910" s="101"/>
      <c r="Q1910" s="101"/>
      <c r="R1910" s="101"/>
      <c r="S1910" s="101"/>
      <c r="T1910" s="101">
        <v>1</v>
      </c>
      <c r="U1910" s="101"/>
      <c r="V1910" s="101"/>
      <c r="W1910" s="19"/>
      <c r="X1910" s="17"/>
      <c r="Y1910" s="5">
        <f t="shared" si="180"/>
        <v>0</v>
      </c>
      <c r="Z1910" s="5">
        <f t="shared" si="181"/>
        <v>0</v>
      </c>
      <c r="AA1910" s="5">
        <f t="shared" si="182"/>
        <v>0</v>
      </c>
      <c r="AB1910" s="5">
        <f t="shared" si="183"/>
        <v>0</v>
      </c>
      <c r="AC1910" s="5"/>
      <c r="AD1910" s="5">
        <v>0</v>
      </c>
      <c r="AE1910" s="5">
        <f t="shared" si="184"/>
        <v>0</v>
      </c>
      <c r="AF1910" s="70">
        <v>0</v>
      </c>
      <c r="AG1910" s="17"/>
      <c r="AH1910" s="18"/>
      <c r="AI1910" s="47" t="s">
        <v>4336</v>
      </c>
      <c r="AJ1910" s="73" t="s">
        <v>4337</v>
      </c>
      <c r="AK1910" s="45"/>
      <c r="AL1910" s="17"/>
      <c r="AM1910" s="100" t="s">
        <v>2326</v>
      </c>
      <c r="AN1910" s="19"/>
      <c r="AO1910" s="19"/>
      <c r="AP1910" s="19"/>
      <c r="AQ1910" s="19"/>
      <c r="AR1910" s="19"/>
      <c r="AS1910" s="19"/>
      <c r="AT1910" s="19"/>
      <c r="AU1910" s="19"/>
      <c r="AV1910" s="19"/>
      <c r="AW1910" s="19"/>
      <c r="AX1910" s="107"/>
      <c r="AY1910" s="107"/>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39"/>
      <c r="CO1910" s="138"/>
      <c r="CP1910" s="139"/>
      <c r="CQ1910" s="138"/>
      <c r="CR1910" s="139"/>
      <c r="CS1910" s="138"/>
      <c r="CT1910" s="72"/>
      <c r="CU1910" s="139"/>
      <c r="CV1910" s="99">
        <f t="shared" si="179"/>
        <v>0</v>
      </c>
      <c r="CW1910" s="139"/>
      <c r="CX1910" s="138"/>
      <c r="CY1910" s="138"/>
      <c r="CZ1910" s="138"/>
      <c r="DA1910" s="139"/>
      <c r="DB1910" s="138"/>
      <c r="DC1910" s="45"/>
      <c r="DD1910" s="138"/>
      <c r="DE1910" s="45"/>
      <c r="DF1910" s="46"/>
    </row>
    <row r="1911" spans="1:110" s="42" customFormat="1" x14ac:dyDescent="0.2">
      <c r="A1911" s="89">
        <v>40762</v>
      </c>
      <c r="B1911" s="90" t="s">
        <v>4348</v>
      </c>
      <c r="C1911" s="90" t="s">
        <v>2228</v>
      </c>
      <c r="D1911" s="90" t="s">
        <v>2865</v>
      </c>
      <c r="E1911" s="90" t="str">
        <f>VLOOKUP(B1911&amp;C1911,Divipola!$C$2:$F$1138,4,FALSE)</f>
        <v>66001</v>
      </c>
      <c r="F1911" s="4"/>
      <c r="G1911" s="101"/>
      <c r="H1911" s="101"/>
      <c r="I1911" s="101"/>
      <c r="J1911" s="101">
        <v>6</v>
      </c>
      <c r="K1911" s="101">
        <v>1</v>
      </c>
      <c r="L1911" s="101"/>
      <c r="M1911" s="101">
        <v>1</v>
      </c>
      <c r="N1911" s="101"/>
      <c r="O1911" s="101"/>
      <c r="P1911" s="101"/>
      <c r="Q1911" s="101"/>
      <c r="R1911" s="101"/>
      <c r="S1911" s="101"/>
      <c r="T1911" s="101"/>
      <c r="U1911" s="101"/>
      <c r="V1911" s="101"/>
      <c r="W1911" s="19"/>
      <c r="X1911" s="17"/>
      <c r="Y1911" s="5">
        <f t="shared" si="180"/>
        <v>0</v>
      </c>
      <c r="Z1911" s="5">
        <f t="shared" si="181"/>
        <v>0</v>
      </c>
      <c r="AA1911" s="5">
        <f t="shared" si="182"/>
        <v>0</v>
      </c>
      <c r="AB1911" s="5">
        <f t="shared" si="183"/>
        <v>0</v>
      </c>
      <c r="AC1911" s="5"/>
      <c r="AD1911" s="5">
        <v>0</v>
      </c>
      <c r="AE1911" s="5">
        <f t="shared" si="184"/>
        <v>0</v>
      </c>
      <c r="AF1911" s="70">
        <v>0</v>
      </c>
      <c r="AG1911" s="17"/>
      <c r="AH1911" s="18"/>
      <c r="AI1911" s="47" t="s">
        <v>4336</v>
      </c>
      <c r="AJ1911" s="73" t="s">
        <v>4337</v>
      </c>
      <c r="AK1911" s="45"/>
      <c r="AL1911" s="17"/>
      <c r="AM1911" s="100"/>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39"/>
      <c r="CO1911" s="138"/>
      <c r="CP1911" s="139"/>
      <c r="CQ1911" s="138"/>
      <c r="CR1911" s="139"/>
      <c r="CS1911" s="138"/>
      <c r="CT1911" s="72"/>
      <c r="CU1911" s="139"/>
      <c r="CV1911" s="99">
        <f t="shared" si="179"/>
        <v>0</v>
      </c>
      <c r="CW1911" s="139"/>
      <c r="CX1911" s="138"/>
      <c r="CY1911" s="138"/>
      <c r="CZ1911" s="138"/>
      <c r="DA1911" s="139"/>
      <c r="DB1911" s="138"/>
      <c r="DC1911" s="45"/>
      <c r="DD1911" s="138"/>
      <c r="DE1911" s="45"/>
      <c r="DF1911" s="46"/>
    </row>
    <row r="1912" spans="1:110" s="42" customFormat="1" ht="72" x14ac:dyDescent="0.2">
      <c r="A1912" s="89">
        <v>40763</v>
      </c>
      <c r="B1912" s="90" t="s">
        <v>2218</v>
      </c>
      <c r="C1912" s="90" t="s">
        <v>3905</v>
      </c>
      <c r="D1912" s="90" t="s">
        <v>2865</v>
      </c>
      <c r="E1912" s="90" t="str">
        <f>VLOOKUP(B1912&amp;C1912,Divipola!$C$2:$F$1138,4,FALSE)</f>
        <v>05250</v>
      </c>
      <c r="F1912" s="4"/>
      <c r="G1912" s="101">
        <v>3</v>
      </c>
      <c r="H1912" s="101">
        <v>2</v>
      </c>
      <c r="I1912" s="101"/>
      <c r="J1912" s="101"/>
      <c r="K1912" s="101"/>
      <c r="L1912" s="101"/>
      <c r="M1912" s="101"/>
      <c r="N1912" s="101"/>
      <c r="O1912" s="101"/>
      <c r="P1912" s="101"/>
      <c r="Q1912" s="101"/>
      <c r="R1912" s="101"/>
      <c r="S1912" s="101"/>
      <c r="T1912" s="101"/>
      <c r="U1912" s="101"/>
      <c r="V1912" s="101"/>
      <c r="W1912" s="19"/>
      <c r="X1912" s="17"/>
      <c r="Y1912" s="5">
        <f t="shared" si="180"/>
        <v>0</v>
      </c>
      <c r="Z1912" s="5">
        <f t="shared" si="181"/>
        <v>0</v>
      </c>
      <c r="AA1912" s="5">
        <f t="shared" si="182"/>
        <v>0</v>
      </c>
      <c r="AB1912" s="5">
        <f t="shared" si="183"/>
        <v>0</v>
      </c>
      <c r="AC1912" s="5"/>
      <c r="AD1912" s="5">
        <v>0</v>
      </c>
      <c r="AE1912" s="5">
        <f t="shared" si="184"/>
        <v>0</v>
      </c>
      <c r="AF1912" s="70">
        <v>0</v>
      </c>
      <c r="AG1912" s="17"/>
      <c r="AH1912" s="18"/>
      <c r="AI1912" s="47" t="s">
        <v>4336</v>
      </c>
      <c r="AJ1912" s="73" t="s">
        <v>4337</v>
      </c>
      <c r="AK1912" s="45"/>
      <c r="AL1912" s="17"/>
      <c r="AM1912" s="100" t="s">
        <v>2321</v>
      </c>
      <c r="AN1912" s="19"/>
      <c r="AO1912" s="19"/>
      <c r="AP1912" s="19"/>
      <c r="AQ1912" s="19"/>
      <c r="AR1912" s="19"/>
      <c r="AS1912" s="19"/>
      <c r="AT1912" s="19"/>
      <c r="AU1912" s="19"/>
      <c r="AV1912" s="19"/>
      <c r="AW1912" s="19"/>
      <c r="AX1912" s="107"/>
      <c r="AY1912" s="107"/>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39"/>
      <c r="CO1912" s="138"/>
      <c r="CP1912" s="139"/>
      <c r="CQ1912" s="138"/>
      <c r="CR1912" s="139"/>
      <c r="CS1912" s="138"/>
      <c r="CT1912" s="72"/>
      <c r="CU1912" s="139"/>
      <c r="CV1912" s="99">
        <f t="shared" si="179"/>
        <v>0</v>
      </c>
      <c r="CW1912" s="139"/>
      <c r="CX1912" s="138"/>
      <c r="CY1912" s="138"/>
      <c r="CZ1912" s="138"/>
      <c r="DA1912" s="139"/>
      <c r="DB1912" s="138"/>
      <c r="DC1912" s="45"/>
      <c r="DD1912" s="138"/>
      <c r="DE1912" s="45"/>
      <c r="DF1912" s="46"/>
    </row>
    <row r="1913" spans="1:110" s="42" customFormat="1" ht="60" x14ac:dyDescent="0.2">
      <c r="A1913" s="89">
        <v>40763</v>
      </c>
      <c r="B1913" s="90" t="s">
        <v>4261</v>
      </c>
      <c r="C1913" s="90" t="s">
        <v>1361</v>
      </c>
      <c r="D1913" s="90" t="s">
        <v>4264</v>
      </c>
      <c r="E1913" s="90" t="str">
        <f>VLOOKUP(B1913&amp;C1913,Divipola!$C$2:$F$1138,4,FALSE)</f>
        <v>15835</v>
      </c>
      <c r="F1913" s="4"/>
      <c r="G1913" s="101"/>
      <c r="H1913" s="101"/>
      <c r="I1913" s="101"/>
      <c r="J1913" s="101">
        <v>240</v>
      </c>
      <c r="K1913" s="101">
        <v>48</v>
      </c>
      <c r="L1913" s="101">
        <v>48</v>
      </c>
      <c r="M1913" s="101"/>
      <c r="N1913" s="101"/>
      <c r="O1913" s="101"/>
      <c r="P1913" s="101"/>
      <c r="Q1913" s="101"/>
      <c r="R1913" s="101"/>
      <c r="S1913" s="101"/>
      <c r="T1913" s="101"/>
      <c r="U1913" s="101"/>
      <c r="V1913" s="101"/>
      <c r="W1913" s="19"/>
      <c r="X1913" s="17"/>
      <c r="Y1913" s="5">
        <f t="shared" si="180"/>
        <v>0</v>
      </c>
      <c r="Z1913" s="5">
        <f t="shared" si="181"/>
        <v>0</v>
      </c>
      <c r="AA1913" s="5">
        <f t="shared" si="182"/>
        <v>0</v>
      </c>
      <c r="AB1913" s="5">
        <f t="shared" si="183"/>
        <v>0</v>
      </c>
      <c r="AC1913" s="5"/>
      <c r="AD1913" s="5">
        <v>0</v>
      </c>
      <c r="AE1913" s="5">
        <f t="shared" si="184"/>
        <v>0</v>
      </c>
      <c r="AF1913" s="70">
        <v>0</v>
      </c>
      <c r="AG1913" s="17"/>
      <c r="AH1913" s="18"/>
      <c r="AI1913" s="47" t="s">
        <v>4336</v>
      </c>
      <c r="AJ1913" s="73" t="s">
        <v>4337</v>
      </c>
      <c r="AK1913" s="45"/>
      <c r="AL1913" s="17"/>
      <c r="AM1913" s="100" t="s">
        <v>2325</v>
      </c>
      <c r="AN1913" s="19"/>
      <c r="AO1913" s="19"/>
      <c r="AP1913" s="19"/>
      <c r="AQ1913" s="19"/>
      <c r="AR1913" s="19"/>
      <c r="AS1913" s="19"/>
      <c r="AT1913" s="19"/>
      <c r="AU1913" s="19"/>
      <c r="AV1913" s="19"/>
      <c r="AW1913" s="19"/>
      <c r="AX1913" s="107"/>
      <c r="AY1913" s="107"/>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39"/>
      <c r="CO1913" s="138"/>
      <c r="CP1913" s="139"/>
      <c r="CQ1913" s="138"/>
      <c r="CR1913" s="139"/>
      <c r="CS1913" s="138"/>
      <c r="CT1913" s="72"/>
      <c r="CU1913" s="139"/>
      <c r="CV1913" s="99">
        <f t="shared" si="179"/>
        <v>0</v>
      </c>
      <c r="CW1913" s="139"/>
      <c r="CX1913" s="138"/>
      <c r="CY1913" s="138"/>
      <c r="CZ1913" s="138"/>
      <c r="DA1913" s="139"/>
      <c r="DB1913" s="138"/>
      <c r="DC1913" s="45"/>
      <c r="DD1913" s="138"/>
      <c r="DE1913" s="45"/>
      <c r="DF1913" s="46"/>
    </row>
    <row r="1914" spans="1:110" s="42" customFormat="1" ht="24" x14ac:dyDescent="0.2">
      <c r="A1914" s="89">
        <v>40763</v>
      </c>
      <c r="B1914" s="16" t="s">
        <v>2225</v>
      </c>
      <c r="C1914" s="16" t="s">
        <v>3381</v>
      </c>
      <c r="D1914" s="16" t="s">
        <v>3346</v>
      </c>
      <c r="E1914" s="90" t="str">
        <f>VLOOKUP(B1914&amp;C1914,Divipola!$C$2:$F$1138,4,FALSE)</f>
        <v>27615</v>
      </c>
      <c r="F1914" s="4"/>
      <c r="G1914" s="208"/>
      <c r="H1914" s="208"/>
      <c r="I1914" s="208"/>
      <c r="J1914" s="208">
        <f>18*5</f>
        <v>90</v>
      </c>
      <c r="K1914" s="208">
        <v>18</v>
      </c>
      <c r="L1914" s="208"/>
      <c r="M1914" s="208">
        <v>18</v>
      </c>
      <c r="N1914" s="208"/>
      <c r="O1914" s="208"/>
      <c r="P1914" s="208"/>
      <c r="Q1914" s="208"/>
      <c r="R1914" s="208"/>
      <c r="S1914" s="208"/>
      <c r="T1914" s="208"/>
      <c r="U1914" s="208">
        <v>1</v>
      </c>
      <c r="V1914" s="208"/>
      <c r="W1914" s="19"/>
      <c r="X1914" s="17"/>
      <c r="Y1914" s="5">
        <f t="shared" si="180"/>
        <v>0</v>
      </c>
      <c r="Z1914" s="5">
        <f t="shared" si="181"/>
        <v>0</v>
      </c>
      <c r="AA1914" s="5">
        <f t="shared" si="182"/>
        <v>0</v>
      </c>
      <c r="AB1914" s="5">
        <f t="shared" si="183"/>
        <v>0</v>
      </c>
      <c r="AC1914" s="5"/>
      <c r="AD1914" s="5">
        <v>0</v>
      </c>
      <c r="AE1914" s="5">
        <f t="shared" si="184"/>
        <v>0</v>
      </c>
      <c r="AF1914" s="70">
        <v>0</v>
      </c>
      <c r="AG1914" s="17"/>
      <c r="AH1914" s="18"/>
      <c r="AI1914" s="47" t="s">
        <v>4336</v>
      </c>
      <c r="AJ1914" s="73" t="s">
        <v>4337</v>
      </c>
      <c r="AK1914" s="45"/>
      <c r="AL1914" s="17"/>
      <c r="AM1914" s="20" t="s">
        <v>1160</v>
      </c>
      <c r="AN1914" s="19"/>
      <c r="AO1914" s="19"/>
      <c r="AP1914" s="19"/>
      <c r="AQ1914" s="19"/>
      <c r="AR1914" s="19"/>
      <c r="AS1914" s="19"/>
      <c r="AT1914" s="19"/>
      <c r="AU1914" s="19"/>
      <c r="AV1914" s="19"/>
      <c r="AW1914" s="19"/>
      <c r="AX1914" s="107"/>
      <c r="AY1914" s="107"/>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39"/>
      <c r="CO1914" s="138"/>
      <c r="CP1914" s="139"/>
      <c r="CQ1914" s="138"/>
      <c r="CR1914" s="139"/>
      <c r="CS1914" s="138"/>
      <c r="CT1914" s="72"/>
      <c r="CU1914" s="139"/>
      <c r="CV1914" s="99">
        <f t="shared" si="179"/>
        <v>0</v>
      </c>
      <c r="CW1914" s="139"/>
      <c r="CX1914" s="138"/>
      <c r="CY1914" s="138"/>
      <c r="CZ1914" s="138"/>
      <c r="DA1914" s="139"/>
      <c r="DB1914" s="138"/>
      <c r="DC1914" s="45"/>
      <c r="DD1914" s="138"/>
      <c r="DE1914" s="45"/>
      <c r="DF1914" s="46"/>
    </row>
    <row r="1915" spans="1:110" s="42" customFormat="1" ht="24" x14ac:dyDescent="0.2">
      <c r="A1915" s="89">
        <v>40763</v>
      </c>
      <c r="B1915" s="90" t="s">
        <v>4348</v>
      </c>
      <c r="C1915" s="90" t="s">
        <v>2228</v>
      </c>
      <c r="D1915" s="90" t="s">
        <v>2865</v>
      </c>
      <c r="E1915" s="90" t="str">
        <f>VLOOKUP(B1915&amp;C1915,Divipola!$C$2:$F$1138,4,FALSE)</f>
        <v>66001</v>
      </c>
      <c r="F1915" s="4"/>
      <c r="G1915" s="101"/>
      <c r="H1915" s="101"/>
      <c r="I1915" s="101"/>
      <c r="J1915" s="101">
        <v>4</v>
      </c>
      <c r="K1915" s="101">
        <v>1</v>
      </c>
      <c r="L1915" s="101"/>
      <c r="M1915" s="101">
        <v>1</v>
      </c>
      <c r="N1915" s="101"/>
      <c r="O1915" s="101"/>
      <c r="P1915" s="101"/>
      <c r="Q1915" s="101"/>
      <c r="R1915" s="101"/>
      <c r="S1915" s="101"/>
      <c r="T1915" s="101"/>
      <c r="U1915" s="101"/>
      <c r="V1915" s="101"/>
      <c r="W1915" s="19"/>
      <c r="X1915" s="17"/>
      <c r="Y1915" s="5">
        <f t="shared" si="180"/>
        <v>0</v>
      </c>
      <c r="Z1915" s="5">
        <f t="shared" si="181"/>
        <v>0</v>
      </c>
      <c r="AA1915" s="5">
        <f t="shared" si="182"/>
        <v>0</v>
      </c>
      <c r="AB1915" s="5">
        <f t="shared" si="183"/>
        <v>0</v>
      </c>
      <c r="AC1915" s="5"/>
      <c r="AD1915" s="5">
        <v>0</v>
      </c>
      <c r="AE1915" s="5">
        <f t="shared" si="184"/>
        <v>0</v>
      </c>
      <c r="AF1915" s="70">
        <v>0</v>
      </c>
      <c r="AG1915" s="17"/>
      <c r="AH1915" s="18"/>
      <c r="AI1915" s="47" t="s">
        <v>4336</v>
      </c>
      <c r="AJ1915" s="73" t="s">
        <v>4337</v>
      </c>
      <c r="AK1915" s="45"/>
      <c r="AL1915" s="17"/>
      <c r="AM1915" s="100" t="s">
        <v>28</v>
      </c>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39"/>
      <c r="CO1915" s="138"/>
      <c r="CP1915" s="139"/>
      <c r="CQ1915" s="138"/>
      <c r="CR1915" s="139"/>
      <c r="CS1915" s="138"/>
      <c r="CT1915" s="72"/>
      <c r="CU1915" s="139"/>
      <c r="CV1915" s="99">
        <f t="shared" si="179"/>
        <v>0</v>
      </c>
      <c r="CW1915" s="139"/>
      <c r="CX1915" s="138"/>
      <c r="CY1915" s="138"/>
      <c r="CZ1915" s="138"/>
      <c r="DA1915" s="139"/>
      <c r="DB1915" s="138"/>
      <c r="DC1915" s="45"/>
      <c r="DD1915" s="138"/>
      <c r="DE1915" s="45"/>
      <c r="DF1915" s="46"/>
    </row>
    <row r="1916" spans="1:110" s="42" customFormat="1" ht="168" x14ac:dyDescent="0.2">
      <c r="A1916" s="89">
        <v>40764</v>
      </c>
      <c r="B1916" s="16" t="s">
        <v>4326</v>
      </c>
      <c r="C1916" s="16" t="s">
        <v>4345</v>
      </c>
      <c r="D1916" s="90" t="s">
        <v>4264</v>
      </c>
      <c r="E1916" s="90">
        <f>VLOOKUP(B1916&amp;C1916,Divipola!$C$2:$F$1138,4,FALSE)</f>
        <v>8</v>
      </c>
      <c r="F1916" s="4"/>
      <c r="G1916" s="208"/>
      <c r="H1916" s="208"/>
      <c r="I1916" s="208"/>
      <c r="J1916" s="208"/>
      <c r="K1916" s="208"/>
      <c r="L1916" s="208"/>
      <c r="M1916" s="208"/>
      <c r="N1916" s="208"/>
      <c r="O1916" s="208"/>
      <c r="P1916" s="208"/>
      <c r="Q1916" s="208"/>
      <c r="R1916" s="208"/>
      <c r="S1916" s="208"/>
      <c r="T1916" s="208"/>
      <c r="U1916" s="208"/>
      <c r="V1916" s="208"/>
      <c r="W1916" s="19"/>
      <c r="X1916" s="17"/>
      <c r="Y1916" s="5">
        <f t="shared" si="180"/>
        <v>0</v>
      </c>
      <c r="Z1916" s="5">
        <f t="shared" si="181"/>
        <v>0</v>
      </c>
      <c r="AA1916" s="5">
        <f t="shared" si="182"/>
        <v>0</v>
      </c>
      <c r="AB1916" s="5">
        <f t="shared" si="183"/>
        <v>0</v>
      </c>
      <c r="AC1916" s="5"/>
      <c r="AD1916" s="5">
        <v>1404137984</v>
      </c>
      <c r="AE1916" s="5">
        <f t="shared" si="184"/>
        <v>1404137984</v>
      </c>
      <c r="AF1916" s="70">
        <v>0</v>
      </c>
      <c r="AG1916" s="17"/>
      <c r="AH1916" s="18"/>
      <c r="AI1916" s="95" t="s">
        <v>4346</v>
      </c>
      <c r="AJ1916" s="96" t="s">
        <v>4347</v>
      </c>
      <c r="AK1916" s="45"/>
      <c r="AL1916" s="17"/>
      <c r="AM1916" s="20" t="s">
        <v>2316</v>
      </c>
      <c r="AN1916" s="19"/>
      <c r="AO1916" s="19"/>
      <c r="AP1916" s="19"/>
      <c r="AQ1916" s="19"/>
      <c r="AR1916" s="19"/>
      <c r="AS1916" s="19"/>
      <c r="AT1916" s="19"/>
      <c r="AU1916" s="19"/>
      <c r="AV1916" s="19"/>
      <c r="AW1916" s="19"/>
      <c r="AX1916" s="107"/>
      <c r="AY1916" s="107"/>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39"/>
      <c r="CO1916" s="138"/>
      <c r="CP1916" s="139"/>
      <c r="CQ1916" s="138"/>
      <c r="CR1916" s="139"/>
      <c r="CS1916" s="138"/>
      <c r="CT1916" s="72"/>
      <c r="CU1916" s="139"/>
      <c r="CV1916" s="99">
        <f t="shared" si="179"/>
        <v>0</v>
      </c>
      <c r="CW1916" s="139"/>
      <c r="CX1916" s="138"/>
      <c r="CY1916" s="138"/>
      <c r="CZ1916" s="138"/>
      <c r="DA1916" s="139"/>
      <c r="DB1916" s="138"/>
      <c r="DC1916" s="45"/>
      <c r="DD1916" s="138"/>
      <c r="DE1916" s="45"/>
      <c r="DF1916" s="46"/>
    </row>
    <row r="1917" spans="1:110" s="42" customFormat="1" ht="22.5" x14ac:dyDescent="0.2">
      <c r="A1917" s="89">
        <v>40764</v>
      </c>
      <c r="B1917" s="4" t="s">
        <v>4326</v>
      </c>
      <c r="C1917" s="4" t="s">
        <v>4345</v>
      </c>
      <c r="D1917" s="90" t="s">
        <v>4264</v>
      </c>
      <c r="E1917" s="90">
        <f>VLOOKUP(B1917&amp;C1917,Divipola!$C$2:$F$1138,4,FALSE)</f>
        <v>8</v>
      </c>
      <c r="F1917" s="4"/>
      <c r="G1917" s="208"/>
      <c r="H1917" s="208"/>
      <c r="I1917" s="208"/>
      <c r="J1917" s="208"/>
      <c r="K1917" s="208"/>
      <c r="L1917" s="208"/>
      <c r="M1917" s="208"/>
      <c r="N1917" s="208"/>
      <c r="O1917" s="208"/>
      <c r="P1917" s="208"/>
      <c r="Q1917" s="208"/>
      <c r="R1917" s="208"/>
      <c r="S1917" s="208"/>
      <c r="T1917" s="208"/>
      <c r="U1917" s="208"/>
      <c r="V1917" s="208"/>
      <c r="W1917" s="19"/>
      <c r="X1917" s="17"/>
      <c r="Y1917" s="5">
        <f t="shared" si="180"/>
        <v>134317107.59999999</v>
      </c>
      <c r="Z1917" s="5">
        <f t="shared" si="181"/>
        <v>117300000</v>
      </c>
      <c r="AA1917" s="5">
        <f t="shared" si="182"/>
        <v>0</v>
      </c>
      <c r="AB1917" s="5">
        <f t="shared" si="183"/>
        <v>0</v>
      </c>
      <c r="AC1917" s="5"/>
      <c r="AD1917" s="5">
        <v>0</v>
      </c>
      <c r="AE1917" s="5">
        <f t="shared" si="184"/>
        <v>251617107.59999999</v>
      </c>
      <c r="AF1917" s="70">
        <v>0</v>
      </c>
      <c r="AG1917" s="17"/>
      <c r="AH1917" s="18"/>
      <c r="AI1917" s="95" t="s">
        <v>4346</v>
      </c>
      <c r="AJ1917" s="96" t="s">
        <v>4347</v>
      </c>
      <c r="AK1917" s="45"/>
      <c r="AL1917" s="17"/>
      <c r="AM1917" s="144" t="s">
        <v>2337</v>
      </c>
      <c r="AN1917" s="19"/>
      <c r="AO1917" s="19"/>
      <c r="AP1917" s="19"/>
      <c r="AQ1917" s="19"/>
      <c r="AR1917" s="19"/>
      <c r="AS1917" s="19"/>
      <c r="AT1917" s="19"/>
      <c r="AU1917" s="19"/>
      <c r="AV1917" s="19"/>
      <c r="AW1917" s="19"/>
      <c r="AX1917" s="107"/>
      <c r="AY1917" s="107"/>
      <c r="AZ1917" s="19">
        <v>870</v>
      </c>
      <c r="BA1917" s="19">
        <f>870*55999</f>
        <v>48719130</v>
      </c>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39"/>
      <c r="CO1917" s="138"/>
      <c r="CP1917" s="139">
        <f>870+510</f>
        <v>1380</v>
      </c>
      <c r="CQ1917" s="138">
        <f>870*36999.36+510*36999.36</f>
        <v>51059116.799999997</v>
      </c>
      <c r="CR1917" s="139">
        <v>870</v>
      </c>
      <c r="CS1917" s="138">
        <f>870*39699.84</f>
        <v>34538860.799999997</v>
      </c>
      <c r="CT1917" s="72"/>
      <c r="CU1917" s="139"/>
      <c r="CV1917" s="99">
        <f t="shared" si="179"/>
        <v>134317107.59999999</v>
      </c>
      <c r="CW1917" s="139"/>
      <c r="CX1917" s="138"/>
      <c r="CY1917" s="138">
        <f>870+510</f>
        <v>1380</v>
      </c>
      <c r="CZ1917" s="138">
        <f>870*85000+510*85000</f>
        <v>117300000</v>
      </c>
      <c r="DA1917" s="139"/>
      <c r="DB1917" s="138"/>
      <c r="DC1917" s="45"/>
      <c r="DD1917" s="138"/>
      <c r="DE1917" s="45"/>
      <c r="DF1917" s="46"/>
    </row>
    <row r="1918" spans="1:110" s="42" customFormat="1" ht="24" x14ac:dyDescent="0.2">
      <c r="A1918" s="89">
        <v>40764</v>
      </c>
      <c r="B1918" s="90" t="s">
        <v>4350</v>
      </c>
      <c r="C1918" s="90" t="s">
        <v>4351</v>
      </c>
      <c r="D1918" s="90" t="s">
        <v>4298</v>
      </c>
      <c r="E1918" s="90" t="str">
        <f>VLOOKUP(B1918&amp;C1918,Divipola!$C$2:$F$1138,4,FALSE)</f>
        <v>63001</v>
      </c>
      <c r="F1918" s="4"/>
      <c r="G1918" s="101"/>
      <c r="H1918" s="101"/>
      <c r="I1918" s="101"/>
      <c r="J1918" s="101">
        <v>3</v>
      </c>
      <c r="K1918" s="101">
        <v>1</v>
      </c>
      <c r="L1918" s="101">
        <v>1</v>
      </c>
      <c r="M1918" s="101"/>
      <c r="N1918" s="101"/>
      <c r="O1918" s="101"/>
      <c r="P1918" s="101"/>
      <c r="Q1918" s="101"/>
      <c r="R1918" s="101"/>
      <c r="S1918" s="101"/>
      <c r="T1918" s="101"/>
      <c r="U1918" s="101"/>
      <c r="V1918" s="101"/>
      <c r="W1918" s="19"/>
      <c r="X1918" s="17"/>
      <c r="Y1918" s="5">
        <f t="shared" si="180"/>
        <v>0</v>
      </c>
      <c r="Z1918" s="5">
        <f t="shared" si="181"/>
        <v>0</v>
      </c>
      <c r="AA1918" s="5">
        <f t="shared" si="182"/>
        <v>0</v>
      </c>
      <c r="AB1918" s="5">
        <f t="shared" si="183"/>
        <v>0</v>
      </c>
      <c r="AC1918" s="5"/>
      <c r="AD1918" s="5">
        <v>0</v>
      </c>
      <c r="AE1918" s="5">
        <f t="shared" si="184"/>
        <v>0</v>
      </c>
      <c r="AF1918" s="70">
        <v>0</v>
      </c>
      <c r="AG1918" s="17"/>
      <c r="AH1918" s="18"/>
      <c r="AI1918" s="47" t="s">
        <v>4336</v>
      </c>
      <c r="AJ1918" s="73" t="s">
        <v>4337</v>
      </c>
      <c r="AK1918" s="45"/>
      <c r="AL1918" s="17"/>
      <c r="AM1918" s="100" t="s">
        <v>2329</v>
      </c>
      <c r="AN1918" s="19"/>
      <c r="AO1918" s="19"/>
      <c r="AP1918" s="19"/>
      <c r="AQ1918" s="19"/>
      <c r="AR1918" s="19"/>
      <c r="AS1918" s="19"/>
      <c r="AT1918" s="19"/>
      <c r="AU1918" s="19"/>
      <c r="AV1918" s="19"/>
      <c r="AW1918" s="19"/>
      <c r="AX1918" s="107"/>
      <c r="AY1918" s="107"/>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39"/>
      <c r="CO1918" s="138"/>
      <c r="CP1918" s="139"/>
      <c r="CQ1918" s="138"/>
      <c r="CR1918" s="139"/>
      <c r="CS1918" s="138"/>
      <c r="CT1918" s="72"/>
      <c r="CU1918" s="139"/>
      <c r="CV1918" s="99">
        <f t="shared" si="179"/>
        <v>0</v>
      </c>
      <c r="CW1918" s="139"/>
      <c r="CX1918" s="138"/>
      <c r="CY1918" s="138"/>
      <c r="CZ1918" s="138"/>
      <c r="DA1918" s="139"/>
      <c r="DB1918" s="138"/>
      <c r="DC1918" s="45"/>
      <c r="DD1918" s="138"/>
      <c r="DE1918" s="45"/>
      <c r="DF1918" s="46"/>
    </row>
    <row r="1919" spans="1:110" s="42" customFormat="1" ht="60" x14ac:dyDescent="0.2">
      <c r="A1919" s="89">
        <v>40764</v>
      </c>
      <c r="B1919" s="90" t="s">
        <v>2226</v>
      </c>
      <c r="C1919" s="90" t="s">
        <v>4232</v>
      </c>
      <c r="D1919" s="90" t="s">
        <v>4264</v>
      </c>
      <c r="E1919" s="90" t="str">
        <f>VLOOKUP(B1919&amp;C1919,Divipola!$C$2:$F$1138,4,FALSE)</f>
        <v>68001</v>
      </c>
      <c r="F1919" s="4"/>
      <c r="G1919" s="101" t="s">
        <v>4265</v>
      </c>
      <c r="H1919" s="101"/>
      <c r="I1919" s="101"/>
      <c r="J1919" s="101">
        <v>15</v>
      </c>
      <c r="K1919" s="101">
        <v>3</v>
      </c>
      <c r="L1919" s="101">
        <v>3</v>
      </c>
      <c r="M1919" s="101"/>
      <c r="N1919" s="101"/>
      <c r="O1919" s="101"/>
      <c r="P1919" s="101"/>
      <c r="Q1919" s="101"/>
      <c r="R1919" s="101"/>
      <c r="S1919" s="101"/>
      <c r="T1919" s="101"/>
      <c r="U1919" s="101"/>
      <c r="V1919" s="101"/>
      <c r="W1919" s="19"/>
      <c r="X1919" s="17"/>
      <c r="Y1919" s="5">
        <f t="shared" si="180"/>
        <v>0</v>
      </c>
      <c r="Z1919" s="5">
        <f t="shared" si="181"/>
        <v>0</v>
      </c>
      <c r="AA1919" s="5">
        <f t="shared" si="182"/>
        <v>0</v>
      </c>
      <c r="AB1919" s="5">
        <f t="shared" si="183"/>
        <v>0</v>
      </c>
      <c r="AC1919" s="5"/>
      <c r="AD1919" s="5">
        <v>0</v>
      </c>
      <c r="AE1919" s="5">
        <f t="shared" si="184"/>
        <v>0</v>
      </c>
      <c r="AF1919" s="70">
        <v>0</v>
      </c>
      <c r="AG1919" s="17"/>
      <c r="AH1919" s="18"/>
      <c r="AI1919" s="47" t="s">
        <v>4336</v>
      </c>
      <c r="AJ1919" s="73" t="s">
        <v>4337</v>
      </c>
      <c r="AK1919" s="45"/>
      <c r="AL1919" s="17"/>
      <c r="AM1919" s="100" t="s">
        <v>2330</v>
      </c>
      <c r="AN1919" s="19"/>
      <c r="AO1919" s="19"/>
      <c r="AP1919" s="19"/>
      <c r="AQ1919" s="19"/>
      <c r="AR1919" s="19"/>
      <c r="AS1919" s="19"/>
      <c r="AT1919" s="19"/>
      <c r="AU1919" s="19"/>
      <c r="AV1919" s="19"/>
      <c r="AW1919" s="19"/>
      <c r="AX1919" s="107"/>
      <c r="AY1919" s="107"/>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39"/>
      <c r="CO1919" s="138"/>
      <c r="CP1919" s="139"/>
      <c r="CQ1919" s="138"/>
      <c r="CR1919" s="139"/>
      <c r="CS1919" s="138"/>
      <c r="CT1919" s="72"/>
      <c r="CU1919" s="139"/>
      <c r="CV1919" s="99">
        <f t="shared" si="179"/>
        <v>0</v>
      </c>
      <c r="CW1919" s="139"/>
      <c r="CX1919" s="138"/>
      <c r="CY1919" s="138"/>
      <c r="CZ1919" s="138"/>
      <c r="DA1919" s="139"/>
      <c r="DB1919" s="138"/>
      <c r="DC1919" s="45"/>
      <c r="DD1919" s="138"/>
      <c r="DE1919" s="45"/>
      <c r="DF1919" s="46"/>
    </row>
    <row r="1920" spans="1:110" s="42" customFormat="1" ht="36" x14ac:dyDescent="0.2">
      <c r="A1920" s="89">
        <v>40765</v>
      </c>
      <c r="B1920" s="4" t="s">
        <v>4326</v>
      </c>
      <c r="C1920" s="4" t="s">
        <v>4345</v>
      </c>
      <c r="D1920" s="4" t="s">
        <v>3346</v>
      </c>
      <c r="E1920" s="90">
        <f>VLOOKUP(B1920&amp;C1920,Divipola!$C$2:$F$1138,4,FALSE)</f>
        <v>8</v>
      </c>
      <c r="F1920" s="4"/>
      <c r="G1920" s="208"/>
      <c r="H1920" s="208"/>
      <c r="I1920" s="208"/>
      <c r="J1920" s="208"/>
      <c r="K1920" s="208"/>
      <c r="L1920" s="208"/>
      <c r="M1920" s="208"/>
      <c r="N1920" s="208"/>
      <c r="O1920" s="208"/>
      <c r="P1920" s="208"/>
      <c r="Q1920" s="208"/>
      <c r="R1920" s="208"/>
      <c r="S1920" s="208"/>
      <c r="T1920" s="208"/>
      <c r="U1920" s="208"/>
      <c r="V1920" s="208"/>
      <c r="W1920" s="19"/>
      <c r="X1920" s="17"/>
      <c r="Y1920" s="5">
        <f t="shared" si="180"/>
        <v>0</v>
      </c>
      <c r="Z1920" s="5">
        <f t="shared" si="181"/>
        <v>0</v>
      </c>
      <c r="AA1920" s="5">
        <f t="shared" si="182"/>
        <v>0</v>
      </c>
      <c r="AB1920" s="5">
        <f t="shared" si="183"/>
        <v>0</v>
      </c>
      <c r="AC1920" s="143">
        <f>140000*203+140000*522</f>
        <v>101500000</v>
      </c>
      <c r="AD1920" s="5">
        <v>0</v>
      </c>
      <c r="AE1920" s="5">
        <f t="shared" si="184"/>
        <v>101500000</v>
      </c>
      <c r="AF1920" s="70">
        <v>0</v>
      </c>
      <c r="AG1920" s="17"/>
      <c r="AH1920" s="18"/>
      <c r="AI1920" s="95" t="s">
        <v>4346</v>
      </c>
      <c r="AJ1920" s="96" t="s">
        <v>4347</v>
      </c>
      <c r="AK1920" s="45"/>
      <c r="AL1920" s="17"/>
      <c r="AM1920" s="152" t="s">
        <v>2405</v>
      </c>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39"/>
      <c r="CO1920" s="138"/>
      <c r="CP1920" s="139"/>
      <c r="CQ1920" s="138"/>
      <c r="CR1920" s="139"/>
      <c r="CS1920" s="138"/>
      <c r="CT1920" s="72"/>
      <c r="CU1920" s="139"/>
      <c r="CV1920" s="99">
        <f t="shared" si="179"/>
        <v>0</v>
      </c>
      <c r="CW1920" s="139"/>
      <c r="CX1920" s="138"/>
      <c r="CY1920" s="138"/>
      <c r="CZ1920" s="138"/>
      <c r="DA1920" s="139"/>
      <c r="DB1920" s="138"/>
      <c r="DC1920" s="45"/>
      <c r="DD1920" s="138"/>
      <c r="DE1920" s="45"/>
      <c r="DF1920" s="46"/>
    </row>
    <row r="1921" spans="1:110" s="42" customFormat="1" ht="36" x14ac:dyDescent="0.2">
      <c r="A1921" s="89">
        <v>40765</v>
      </c>
      <c r="B1921" s="90" t="s">
        <v>4326</v>
      </c>
      <c r="C1921" s="90" t="s">
        <v>4239</v>
      </c>
      <c r="D1921" s="90" t="s">
        <v>3346</v>
      </c>
      <c r="E1921" s="90" t="str">
        <f>VLOOKUP(B1921&amp;C1921,Divipola!$C$2:$F$1138,4,FALSE)</f>
        <v>08758</v>
      </c>
      <c r="F1921" s="4"/>
      <c r="G1921" s="208"/>
      <c r="H1921" s="208"/>
      <c r="I1921" s="208"/>
      <c r="J1921" s="208"/>
      <c r="K1921" s="208"/>
      <c r="L1921" s="208"/>
      <c r="M1921" s="208"/>
      <c r="N1921" s="208"/>
      <c r="O1921" s="208"/>
      <c r="P1921" s="208"/>
      <c r="Q1921" s="208"/>
      <c r="R1921" s="208"/>
      <c r="S1921" s="208"/>
      <c r="T1921" s="208"/>
      <c r="U1921" s="208"/>
      <c r="V1921" s="208"/>
      <c r="W1921" s="19"/>
      <c r="X1921" s="17"/>
      <c r="Y1921" s="5">
        <f t="shared" si="180"/>
        <v>0</v>
      </c>
      <c r="Z1921" s="5">
        <f t="shared" si="181"/>
        <v>0</v>
      </c>
      <c r="AA1921" s="5">
        <f t="shared" si="182"/>
        <v>0</v>
      </c>
      <c r="AB1921" s="5">
        <f t="shared" si="183"/>
        <v>0</v>
      </c>
      <c r="AC1921" s="143">
        <f>60000*348+20000*445.44</f>
        <v>29788800</v>
      </c>
      <c r="AD1921" s="5">
        <v>0</v>
      </c>
      <c r="AE1921" s="5">
        <f t="shared" si="184"/>
        <v>29788800</v>
      </c>
      <c r="AF1921" s="70">
        <v>0</v>
      </c>
      <c r="AG1921" s="17"/>
      <c r="AH1921" s="18"/>
      <c r="AI1921" s="95" t="s">
        <v>4346</v>
      </c>
      <c r="AJ1921" s="96" t="s">
        <v>4347</v>
      </c>
      <c r="AK1921" s="45"/>
      <c r="AL1921" s="17"/>
      <c r="AM1921" s="112" t="s">
        <v>47</v>
      </c>
      <c r="AN1921" s="19"/>
      <c r="AO1921" s="19"/>
      <c r="AP1921" s="19"/>
      <c r="AQ1921" s="19"/>
      <c r="AR1921" s="19"/>
      <c r="AS1921" s="19"/>
      <c r="AT1921" s="19"/>
      <c r="AU1921" s="19"/>
      <c r="AV1921" s="19"/>
      <c r="AW1921" s="19"/>
      <c r="AX1921" s="107"/>
      <c r="AY1921" s="107"/>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39"/>
      <c r="CO1921" s="138"/>
      <c r="CP1921" s="139"/>
      <c r="CQ1921" s="138"/>
      <c r="CR1921" s="139"/>
      <c r="CS1921" s="138"/>
      <c r="CT1921" s="72"/>
      <c r="CU1921" s="139"/>
      <c r="CV1921" s="99">
        <f t="shared" si="179"/>
        <v>0</v>
      </c>
      <c r="CW1921" s="139"/>
      <c r="CX1921" s="138"/>
      <c r="CY1921" s="138"/>
      <c r="CZ1921" s="138"/>
      <c r="DA1921" s="139"/>
      <c r="DB1921" s="138"/>
      <c r="DC1921" s="45"/>
      <c r="DD1921" s="138"/>
      <c r="DE1921" s="45"/>
      <c r="DF1921" s="46"/>
    </row>
    <row r="1922" spans="1:110" s="42" customFormat="1" ht="67.5" x14ac:dyDescent="0.2">
      <c r="A1922" s="89">
        <v>40765</v>
      </c>
      <c r="B1922" s="90" t="s">
        <v>4221</v>
      </c>
      <c r="C1922" s="90" t="s">
        <v>3354</v>
      </c>
      <c r="D1922" s="90" t="s">
        <v>4264</v>
      </c>
      <c r="E1922" s="90" t="str">
        <f>VLOOKUP(B1922&amp;C1922,Divipola!$C$2:$F$1138,4,FALSE)</f>
        <v>54239</v>
      </c>
      <c r="F1922" s="4"/>
      <c r="G1922" s="208"/>
      <c r="H1922" s="208"/>
      <c r="I1922" s="208"/>
      <c r="J1922" s="208"/>
      <c r="K1922" s="208"/>
      <c r="L1922" s="208"/>
      <c r="M1922" s="208"/>
      <c r="N1922" s="208"/>
      <c r="O1922" s="208"/>
      <c r="P1922" s="208"/>
      <c r="Q1922" s="208"/>
      <c r="R1922" s="208"/>
      <c r="S1922" s="208"/>
      <c r="T1922" s="208"/>
      <c r="U1922" s="208"/>
      <c r="V1922" s="208"/>
      <c r="W1922" s="19"/>
      <c r="X1922" s="17"/>
      <c r="Y1922" s="5">
        <f t="shared" si="180"/>
        <v>0</v>
      </c>
      <c r="Z1922" s="5">
        <f t="shared" si="181"/>
        <v>0</v>
      </c>
      <c r="AA1922" s="5">
        <f t="shared" si="182"/>
        <v>20648049.879999999</v>
      </c>
      <c r="AB1922" s="5">
        <f t="shared" si="183"/>
        <v>0</v>
      </c>
      <c r="AC1922" s="143">
        <f>950*90319.92+190*9001.6+5000*1500+1000*232+56*55450.32+48*105000+1926*98000</f>
        <v>292139445.92000002</v>
      </c>
      <c r="AD1922" s="5">
        <v>0</v>
      </c>
      <c r="AE1922" s="5">
        <f t="shared" si="184"/>
        <v>312787495.80000001</v>
      </c>
      <c r="AF1922" s="70">
        <v>0</v>
      </c>
      <c r="AG1922" s="17"/>
      <c r="AH1922" s="18"/>
      <c r="AI1922" s="95" t="s">
        <v>4346</v>
      </c>
      <c r="AJ1922" s="96" t="s">
        <v>4347</v>
      </c>
      <c r="AK1922" s="45"/>
      <c r="AL1922" s="17"/>
      <c r="AM1922" s="144" t="s">
        <v>1166</v>
      </c>
      <c r="AN1922" s="19"/>
      <c r="AO1922" s="19"/>
      <c r="AP1922" s="19"/>
      <c r="AQ1922" s="19"/>
      <c r="AR1922" s="19"/>
      <c r="AS1922" s="19"/>
      <c r="AT1922" s="19"/>
      <c r="AU1922" s="19"/>
      <c r="AV1922" s="19"/>
      <c r="AW1922" s="19"/>
      <c r="AX1922" s="107"/>
      <c r="AY1922" s="107"/>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39"/>
      <c r="CO1922" s="138"/>
      <c r="CP1922" s="139"/>
      <c r="CQ1922" s="138"/>
      <c r="CR1922" s="139"/>
      <c r="CS1922" s="138"/>
      <c r="CT1922" s="72"/>
      <c r="CU1922" s="139"/>
      <c r="CV1922" s="99">
        <f t="shared" si="179"/>
        <v>0</v>
      </c>
      <c r="CW1922" s="139"/>
      <c r="CX1922" s="138"/>
      <c r="CY1922" s="138"/>
      <c r="CZ1922" s="138"/>
      <c r="DA1922" s="139">
        <v>625</v>
      </c>
      <c r="DB1922" s="138">
        <f>625*27998.92</f>
        <v>17499325</v>
      </c>
      <c r="DC1922" s="45">
        <v>126</v>
      </c>
      <c r="DD1922" s="138">
        <f>126*24989.88</f>
        <v>3148724.8800000004</v>
      </c>
      <c r="DE1922" s="45"/>
      <c r="DF1922" s="46"/>
    </row>
    <row r="1923" spans="1:110" s="42" customFormat="1" ht="72" x14ac:dyDescent="0.2">
      <c r="A1923" s="89">
        <v>40766</v>
      </c>
      <c r="B1923" s="90" t="s">
        <v>4352</v>
      </c>
      <c r="C1923" s="90" t="s">
        <v>4358</v>
      </c>
      <c r="D1923" s="90" t="s">
        <v>2362</v>
      </c>
      <c r="E1923" s="90" t="str">
        <f>VLOOKUP(B1923&amp;C1923,Divipola!$C$2:$F$1138,4,FALSE)</f>
        <v>13001</v>
      </c>
      <c r="F1923" s="4"/>
      <c r="G1923" s="101"/>
      <c r="H1923" s="101">
        <v>1</v>
      </c>
      <c r="I1923" s="101"/>
      <c r="J1923" s="101">
        <v>4</v>
      </c>
      <c r="K1923" s="101">
        <v>1</v>
      </c>
      <c r="L1923" s="101"/>
      <c r="M1923" s="101">
        <v>1</v>
      </c>
      <c r="N1923" s="101"/>
      <c r="O1923" s="101"/>
      <c r="P1923" s="101"/>
      <c r="Q1923" s="101"/>
      <c r="R1923" s="101"/>
      <c r="S1923" s="101"/>
      <c r="T1923" s="101"/>
      <c r="U1923" s="101"/>
      <c r="V1923" s="101"/>
      <c r="W1923" s="19"/>
      <c r="X1923" s="17"/>
      <c r="Y1923" s="5">
        <f t="shared" si="180"/>
        <v>0</v>
      </c>
      <c r="Z1923" s="5">
        <f t="shared" si="181"/>
        <v>0</v>
      </c>
      <c r="AA1923" s="5">
        <f t="shared" si="182"/>
        <v>0</v>
      </c>
      <c r="AB1923" s="5">
        <f t="shared" si="183"/>
        <v>0</v>
      </c>
      <c r="AC1923" s="5"/>
      <c r="AD1923" s="5">
        <v>0</v>
      </c>
      <c r="AE1923" s="5">
        <f t="shared" si="184"/>
        <v>0</v>
      </c>
      <c r="AF1923" s="70">
        <v>0</v>
      </c>
      <c r="AG1923" s="17"/>
      <c r="AH1923" s="18"/>
      <c r="AI1923" s="47" t="s">
        <v>4336</v>
      </c>
      <c r="AJ1923" s="73" t="s">
        <v>4337</v>
      </c>
      <c r="AK1923" s="45"/>
      <c r="AL1923" s="17"/>
      <c r="AM1923" s="100" t="s">
        <v>2331</v>
      </c>
      <c r="AN1923" s="19"/>
      <c r="AO1923" s="19"/>
      <c r="AP1923" s="19"/>
      <c r="AQ1923" s="19"/>
      <c r="AR1923" s="19"/>
      <c r="AS1923" s="19"/>
      <c r="AT1923" s="19"/>
      <c r="AU1923" s="19"/>
      <c r="AV1923" s="19"/>
      <c r="AW1923" s="19"/>
      <c r="AX1923" s="107"/>
      <c r="AY1923" s="107"/>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39"/>
      <c r="CO1923" s="138"/>
      <c r="CP1923" s="139"/>
      <c r="CQ1923" s="138"/>
      <c r="CR1923" s="139"/>
      <c r="CS1923" s="138"/>
      <c r="CT1923" s="72"/>
      <c r="CU1923" s="139"/>
      <c r="CV1923" s="99">
        <f t="shared" ref="CV1923:CV1986" si="185">AO1923+AQ1923+AS1923+AU1923+AW1923+AY1923+BA1923+BC1923+BE1923+BG1923+BI1923+BK1923+BM1923+BO1923+BQ1923+BS1923+BU1923+BW1923+BY1923+CA1923+CC1923+CE1923+CG1923+CI1923+CK1923+CM1923+CO1923+CQ1923+CS1923+CU1923</f>
        <v>0</v>
      </c>
      <c r="CW1923" s="139"/>
      <c r="CX1923" s="138"/>
      <c r="CY1923" s="138"/>
      <c r="CZ1923" s="138"/>
      <c r="DA1923" s="139"/>
      <c r="DB1923" s="138"/>
      <c r="DC1923" s="45"/>
      <c r="DD1923" s="138"/>
      <c r="DE1923" s="45"/>
      <c r="DF1923" s="46"/>
    </row>
    <row r="1924" spans="1:110" s="42" customFormat="1" ht="60" x14ac:dyDescent="0.2">
      <c r="A1924" s="89">
        <v>40766</v>
      </c>
      <c r="B1924" s="90" t="s">
        <v>4386</v>
      </c>
      <c r="C1924" s="90" t="s">
        <v>3502</v>
      </c>
      <c r="D1924" s="90" t="s">
        <v>4264</v>
      </c>
      <c r="E1924" s="90" t="str">
        <f>VLOOKUP(B1924&amp;C1924,Divipola!$C$2:$F$1138,4,FALSE)</f>
        <v>20001</v>
      </c>
      <c r="F1924" s="4"/>
      <c r="G1924" s="101"/>
      <c r="H1924" s="101"/>
      <c r="I1924" s="101"/>
      <c r="J1924" s="101">
        <v>50</v>
      </c>
      <c r="K1924" s="101">
        <v>10</v>
      </c>
      <c r="L1924" s="101"/>
      <c r="M1924" s="101">
        <v>10</v>
      </c>
      <c r="N1924" s="101"/>
      <c r="O1924" s="101"/>
      <c r="P1924" s="101"/>
      <c r="Q1924" s="101"/>
      <c r="R1924" s="101"/>
      <c r="S1924" s="101"/>
      <c r="T1924" s="101"/>
      <c r="U1924" s="101"/>
      <c r="V1924" s="101"/>
      <c r="W1924" s="19"/>
      <c r="X1924" s="17"/>
      <c r="Y1924" s="5">
        <f t="shared" si="180"/>
        <v>0</v>
      </c>
      <c r="Z1924" s="5">
        <f t="shared" si="181"/>
        <v>0</v>
      </c>
      <c r="AA1924" s="5">
        <f t="shared" si="182"/>
        <v>0</v>
      </c>
      <c r="AB1924" s="5">
        <f t="shared" si="183"/>
        <v>0</v>
      </c>
      <c r="AC1924" s="5"/>
      <c r="AD1924" s="5">
        <v>0</v>
      </c>
      <c r="AE1924" s="5">
        <f t="shared" si="184"/>
        <v>0</v>
      </c>
      <c r="AF1924" s="70">
        <v>0</v>
      </c>
      <c r="AG1924" s="17"/>
      <c r="AH1924" s="18"/>
      <c r="AI1924" s="47" t="s">
        <v>4336</v>
      </c>
      <c r="AJ1924" s="73" t="s">
        <v>4337</v>
      </c>
      <c r="AK1924" s="45"/>
      <c r="AL1924" s="17"/>
      <c r="AM1924" s="100" t="s">
        <v>2333</v>
      </c>
      <c r="AN1924" s="19"/>
      <c r="AO1924" s="19"/>
      <c r="AP1924" s="19"/>
      <c r="AQ1924" s="19"/>
      <c r="AR1924" s="19"/>
      <c r="AS1924" s="19"/>
      <c r="AT1924" s="19"/>
      <c r="AU1924" s="19"/>
      <c r="AV1924" s="19"/>
      <c r="AW1924" s="19"/>
      <c r="AX1924" s="107"/>
      <c r="AY1924" s="107"/>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39"/>
      <c r="CO1924" s="138"/>
      <c r="CP1924" s="139"/>
      <c r="CQ1924" s="138"/>
      <c r="CR1924" s="139"/>
      <c r="CS1924" s="138"/>
      <c r="CT1924" s="72"/>
      <c r="CU1924" s="139"/>
      <c r="CV1924" s="99">
        <f t="shared" si="185"/>
        <v>0</v>
      </c>
      <c r="CW1924" s="139"/>
      <c r="CX1924" s="138"/>
      <c r="CY1924" s="138"/>
      <c r="CZ1924" s="138"/>
      <c r="DA1924" s="139"/>
      <c r="DB1924" s="138"/>
      <c r="DC1924" s="45"/>
      <c r="DD1924" s="138"/>
      <c r="DE1924" s="45"/>
      <c r="DF1924" s="46"/>
    </row>
    <row r="1925" spans="1:110" s="42" customFormat="1" ht="48" x14ac:dyDescent="0.2">
      <c r="A1925" s="89">
        <v>40766</v>
      </c>
      <c r="B1925" s="90" t="s">
        <v>4386</v>
      </c>
      <c r="C1925" s="90" t="s">
        <v>3502</v>
      </c>
      <c r="D1925" s="90" t="s">
        <v>4264</v>
      </c>
      <c r="E1925" s="90" t="str">
        <f>VLOOKUP(B1925&amp;C1925,Divipola!$C$2:$F$1138,4,FALSE)</f>
        <v>20001</v>
      </c>
      <c r="F1925" s="4"/>
      <c r="G1925" s="101"/>
      <c r="H1925" s="101"/>
      <c r="I1925" s="101"/>
      <c r="J1925" s="101">
        <v>330</v>
      </c>
      <c r="K1925" s="101">
        <v>66</v>
      </c>
      <c r="L1925" s="101"/>
      <c r="M1925" s="101">
        <v>66</v>
      </c>
      <c r="N1925" s="101"/>
      <c r="O1925" s="101"/>
      <c r="P1925" s="101"/>
      <c r="Q1925" s="101"/>
      <c r="R1925" s="101"/>
      <c r="S1925" s="101"/>
      <c r="T1925" s="101"/>
      <c r="U1925" s="101"/>
      <c r="V1925" s="101"/>
      <c r="W1925" s="19"/>
      <c r="X1925" s="17"/>
      <c r="Y1925" s="5">
        <f t="shared" si="180"/>
        <v>0</v>
      </c>
      <c r="Z1925" s="5">
        <f t="shared" si="181"/>
        <v>0</v>
      </c>
      <c r="AA1925" s="5">
        <f t="shared" si="182"/>
        <v>0</v>
      </c>
      <c r="AB1925" s="5">
        <f t="shared" si="183"/>
        <v>0</v>
      </c>
      <c r="AC1925" s="5"/>
      <c r="AD1925" s="5">
        <v>0</v>
      </c>
      <c r="AE1925" s="5">
        <f t="shared" si="184"/>
        <v>0</v>
      </c>
      <c r="AF1925" s="70">
        <v>0</v>
      </c>
      <c r="AG1925" s="17"/>
      <c r="AH1925" s="18"/>
      <c r="AI1925" s="47" t="s">
        <v>4336</v>
      </c>
      <c r="AJ1925" s="73" t="s">
        <v>4337</v>
      </c>
      <c r="AK1925" s="45"/>
      <c r="AL1925" s="17"/>
      <c r="AM1925" s="100" t="s">
        <v>1168</v>
      </c>
      <c r="AN1925" s="19"/>
      <c r="AO1925" s="19"/>
      <c r="AP1925" s="19"/>
      <c r="AQ1925" s="19"/>
      <c r="AR1925" s="19"/>
      <c r="AS1925" s="19"/>
      <c r="AT1925" s="19"/>
      <c r="AU1925" s="19"/>
      <c r="AV1925" s="19"/>
      <c r="AW1925" s="19"/>
      <c r="AX1925" s="107"/>
      <c r="AY1925" s="107"/>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39"/>
      <c r="CO1925" s="138"/>
      <c r="CP1925" s="139"/>
      <c r="CQ1925" s="138"/>
      <c r="CR1925" s="139"/>
      <c r="CS1925" s="138"/>
      <c r="CT1925" s="72"/>
      <c r="CU1925" s="139"/>
      <c r="CV1925" s="99">
        <f t="shared" si="185"/>
        <v>0</v>
      </c>
      <c r="CW1925" s="139"/>
      <c r="CX1925" s="138"/>
      <c r="CY1925" s="138"/>
      <c r="CZ1925" s="138"/>
      <c r="DA1925" s="139"/>
      <c r="DB1925" s="138"/>
      <c r="DC1925" s="45"/>
      <c r="DD1925" s="138"/>
      <c r="DE1925" s="45"/>
      <c r="DF1925" s="46">
        <v>1941</v>
      </c>
    </row>
    <row r="1926" spans="1:110" s="42" customFormat="1" ht="22.5" x14ac:dyDescent="0.2">
      <c r="A1926" s="89">
        <v>40766</v>
      </c>
      <c r="B1926" s="16" t="s">
        <v>2204</v>
      </c>
      <c r="C1926" s="16" t="s">
        <v>3070</v>
      </c>
      <c r="D1926" s="90" t="s">
        <v>4264</v>
      </c>
      <c r="E1926" s="90" t="str">
        <f>VLOOKUP(B1926&amp;C1926,Divipola!$C$2:$F$1138,4,FALSE)</f>
        <v>70820</v>
      </c>
      <c r="F1926" s="4"/>
      <c r="G1926" s="208"/>
      <c r="H1926" s="208"/>
      <c r="I1926" s="208"/>
      <c r="J1926" s="208">
        <f>1425*3</f>
        <v>4275</v>
      </c>
      <c r="K1926" s="208">
        <v>1425</v>
      </c>
      <c r="L1926" s="208"/>
      <c r="M1926" s="208"/>
      <c r="N1926" s="208"/>
      <c r="O1926" s="208"/>
      <c r="P1926" s="208"/>
      <c r="Q1926" s="208"/>
      <c r="R1926" s="208"/>
      <c r="S1926" s="208"/>
      <c r="T1926" s="208"/>
      <c r="U1926" s="208"/>
      <c r="V1926" s="208"/>
      <c r="W1926" s="19"/>
      <c r="X1926" s="17"/>
      <c r="Y1926" s="5">
        <f t="shared" si="180"/>
        <v>27750000</v>
      </c>
      <c r="Z1926" s="5">
        <f t="shared" si="181"/>
        <v>63750000</v>
      </c>
      <c r="AA1926" s="5">
        <f t="shared" si="182"/>
        <v>0</v>
      </c>
      <c r="AB1926" s="5">
        <f t="shared" si="183"/>
        <v>0</v>
      </c>
      <c r="AC1926" s="5"/>
      <c r="AD1926" s="5">
        <v>0</v>
      </c>
      <c r="AE1926" s="5">
        <f t="shared" si="184"/>
        <v>91500000</v>
      </c>
      <c r="AF1926" s="70">
        <v>0</v>
      </c>
      <c r="AG1926" s="17"/>
      <c r="AH1926" s="18"/>
      <c r="AI1926" s="47" t="s">
        <v>4346</v>
      </c>
      <c r="AJ1926" s="73" t="s">
        <v>4347</v>
      </c>
      <c r="AK1926" s="45"/>
      <c r="AL1926" s="17"/>
      <c r="AM1926" s="20" t="s">
        <v>3530</v>
      </c>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39"/>
      <c r="CE1926" s="138"/>
      <c r="CF1926" s="139"/>
      <c r="CG1926" s="138"/>
      <c r="CH1926" s="139"/>
      <c r="CI1926" s="138"/>
      <c r="CJ1926" s="72"/>
      <c r="CK1926" s="139"/>
      <c r="CL1926" s="71"/>
      <c r="CM1926" s="139"/>
      <c r="CN1926" s="138"/>
      <c r="CO1926" s="138"/>
      <c r="CP1926" s="138">
        <v>750</v>
      </c>
      <c r="CQ1926" s="139">
        <f>750*37000</f>
        <v>27750000</v>
      </c>
      <c r="CR1926" s="138"/>
      <c r="CS1926" s="45"/>
      <c r="CT1926" s="138"/>
      <c r="CU1926" s="45"/>
      <c r="CV1926" s="99">
        <f t="shared" si="185"/>
        <v>27750000</v>
      </c>
      <c r="CW1926" s="139"/>
      <c r="CX1926" s="138"/>
      <c r="CY1926" s="138">
        <v>750</v>
      </c>
      <c r="CZ1926" s="138">
        <f>750*85000</f>
        <v>63750000</v>
      </c>
      <c r="DA1926" s="139"/>
      <c r="DB1926" s="138"/>
      <c r="DC1926" s="45"/>
      <c r="DD1926" s="138"/>
      <c r="DE1926" s="45"/>
      <c r="DF1926" s="46"/>
    </row>
    <row r="1927" spans="1:110" s="42" customFormat="1" ht="48" x14ac:dyDescent="0.2">
      <c r="A1927" s="89">
        <v>40767</v>
      </c>
      <c r="B1927" s="90" t="s">
        <v>4221</v>
      </c>
      <c r="C1927" s="90" t="s">
        <v>802</v>
      </c>
      <c r="D1927" s="90" t="s">
        <v>2865</v>
      </c>
      <c r="E1927" s="90" t="str">
        <f>VLOOKUP(B1927&amp;C1927,Divipola!$C$2:$F$1138,4,FALSE)</f>
        <v>54720</v>
      </c>
      <c r="F1927" s="4"/>
      <c r="G1927" s="101"/>
      <c r="H1927" s="101">
        <v>1</v>
      </c>
      <c r="I1927" s="101"/>
      <c r="J1927" s="101"/>
      <c r="K1927" s="101"/>
      <c r="L1927" s="101"/>
      <c r="M1927" s="101"/>
      <c r="N1927" s="101"/>
      <c r="O1927" s="101"/>
      <c r="P1927" s="101"/>
      <c r="Q1927" s="101"/>
      <c r="R1927" s="101"/>
      <c r="S1927" s="101"/>
      <c r="T1927" s="101"/>
      <c r="U1927" s="101"/>
      <c r="V1927" s="101"/>
      <c r="W1927" s="19"/>
      <c r="X1927" s="17"/>
      <c r="Y1927" s="5">
        <f t="shared" si="180"/>
        <v>0</v>
      </c>
      <c r="Z1927" s="5">
        <f t="shared" si="181"/>
        <v>0</v>
      </c>
      <c r="AA1927" s="5">
        <f t="shared" si="182"/>
        <v>0</v>
      </c>
      <c r="AB1927" s="5">
        <f t="shared" si="183"/>
        <v>0</v>
      </c>
      <c r="AC1927" s="5"/>
      <c r="AD1927" s="5">
        <v>0</v>
      </c>
      <c r="AE1927" s="5">
        <f t="shared" si="184"/>
        <v>0</v>
      </c>
      <c r="AF1927" s="70">
        <v>0</v>
      </c>
      <c r="AG1927" s="17"/>
      <c r="AH1927" s="18"/>
      <c r="AI1927" s="47" t="s">
        <v>4336</v>
      </c>
      <c r="AJ1927" s="73" t="s">
        <v>4337</v>
      </c>
      <c r="AK1927" s="45"/>
      <c r="AL1927" s="17"/>
      <c r="AM1927" s="100" t="s">
        <v>2332</v>
      </c>
      <c r="AN1927" s="19"/>
      <c r="AO1927" s="19"/>
      <c r="AP1927" s="19"/>
      <c r="AQ1927" s="19"/>
      <c r="AR1927" s="19"/>
      <c r="AS1927" s="19"/>
      <c r="AT1927" s="19"/>
      <c r="AU1927" s="19"/>
      <c r="AV1927" s="19"/>
      <c r="AW1927" s="19"/>
      <c r="AX1927" s="107"/>
      <c r="AY1927" s="107"/>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39"/>
      <c r="CO1927" s="138"/>
      <c r="CP1927" s="139"/>
      <c r="CQ1927" s="138"/>
      <c r="CR1927" s="139"/>
      <c r="CS1927" s="138"/>
      <c r="CT1927" s="72"/>
      <c r="CU1927" s="139"/>
      <c r="CV1927" s="99">
        <f t="shared" si="185"/>
        <v>0</v>
      </c>
      <c r="CW1927" s="139"/>
      <c r="CX1927" s="138"/>
      <c r="CY1927" s="138"/>
      <c r="CZ1927" s="138"/>
      <c r="DA1927" s="139"/>
      <c r="DB1927" s="138"/>
      <c r="DC1927" s="45"/>
      <c r="DD1927" s="138"/>
      <c r="DE1927" s="45"/>
      <c r="DF1927" s="46"/>
    </row>
    <row r="1928" spans="1:110" s="42" customFormat="1" ht="84" x14ac:dyDescent="0.2">
      <c r="A1928" s="89">
        <v>40767</v>
      </c>
      <c r="B1928" s="90" t="s">
        <v>2204</v>
      </c>
      <c r="C1928" s="90" t="s">
        <v>3018</v>
      </c>
      <c r="D1928" s="90" t="s">
        <v>3346</v>
      </c>
      <c r="E1928" s="90" t="str">
        <f>VLOOKUP(B1928&amp;C1928,Divipola!$C$2:$F$1138,4,FALSE)</f>
        <v>70001</v>
      </c>
      <c r="F1928" s="4"/>
      <c r="G1928" s="101"/>
      <c r="H1928" s="101">
        <v>3</v>
      </c>
      <c r="I1928" s="101"/>
      <c r="J1928" s="101">
        <v>1495</v>
      </c>
      <c r="K1928" s="101">
        <v>333</v>
      </c>
      <c r="L1928" s="101">
        <v>10</v>
      </c>
      <c r="M1928" s="101">
        <v>323</v>
      </c>
      <c r="N1928" s="101"/>
      <c r="O1928" s="101"/>
      <c r="P1928" s="101"/>
      <c r="Q1928" s="101"/>
      <c r="R1928" s="101"/>
      <c r="S1928" s="101"/>
      <c r="T1928" s="101">
        <v>1</v>
      </c>
      <c r="U1928" s="101"/>
      <c r="V1928" s="101"/>
      <c r="W1928" s="19"/>
      <c r="X1928" s="17"/>
      <c r="Y1928" s="5">
        <f t="shared" si="180"/>
        <v>0</v>
      </c>
      <c r="Z1928" s="5">
        <f t="shared" si="181"/>
        <v>0</v>
      </c>
      <c r="AA1928" s="5">
        <f t="shared" si="182"/>
        <v>45472000</v>
      </c>
      <c r="AB1928" s="5">
        <f t="shared" si="183"/>
        <v>0</v>
      </c>
      <c r="AC1928" s="5"/>
      <c r="AD1928" s="5">
        <v>0</v>
      </c>
      <c r="AE1928" s="5">
        <f t="shared" si="184"/>
        <v>45472000</v>
      </c>
      <c r="AF1928" s="70">
        <v>0</v>
      </c>
      <c r="AG1928" s="17"/>
      <c r="AH1928" s="18"/>
      <c r="AI1928" s="47" t="s">
        <v>4346</v>
      </c>
      <c r="AJ1928" s="73" t="s">
        <v>4347</v>
      </c>
      <c r="AK1928" s="45"/>
      <c r="AL1928" s="17"/>
      <c r="AM1928" s="100" t="s">
        <v>2335</v>
      </c>
      <c r="AN1928" s="19"/>
      <c r="AO1928" s="19"/>
      <c r="AP1928" s="19"/>
      <c r="AQ1928" s="19"/>
      <c r="AR1928" s="19"/>
      <c r="AS1928" s="19"/>
      <c r="AT1928" s="19"/>
      <c r="AU1928" s="19"/>
      <c r="AV1928" s="19"/>
      <c r="AW1928" s="19"/>
      <c r="AX1928" s="107"/>
      <c r="AY1928" s="107"/>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9"/>
      <c r="CE1928" s="19"/>
      <c r="CF1928" s="19"/>
      <c r="CG1928" s="19"/>
      <c r="CH1928" s="19"/>
      <c r="CI1928" s="19"/>
      <c r="CJ1928" s="19"/>
      <c r="CK1928" s="19"/>
      <c r="CL1928" s="19"/>
      <c r="CM1928" s="19"/>
      <c r="CN1928" s="139"/>
      <c r="CO1928" s="138"/>
      <c r="CP1928" s="139"/>
      <c r="CQ1928" s="138"/>
      <c r="CR1928" s="139"/>
      <c r="CS1928" s="138"/>
      <c r="CT1928" s="72"/>
      <c r="CU1928" s="139"/>
      <c r="CV1928" s="99">
        <f t="shared" si="185"/>
        <v>0</v>
      </c>
      <c r="CW1928" s="139"/>
      <c r="CX1928" s="138"/>
      <c r="CY1928" s="138"/>
      <c r="CZ1928" s="138"/>
      <c r="DA1928" s="139"/>
      <c r="DB1928" s="138"/>
      <c r="DC1928" s="45">
        <v>2000</v>
      </c>
      <c r="DD1928" s="138">
        <f>2000*21924+8000*203</f>
        <v>45472000</v>
      </c>
      <c r="DE1928" s="45"/>
      <c r="DF1928" s="46"/>
    </row>
    <row r="1929" spans="1:110" s="42" customFormat="1" ht="60" x14ac:dyDescent="0.2">
      <c r="A1929" s="89">
        <v>40768</v>
      </c>
      <c r="B1929" s="90" t="s">
        <v>4386</v>
      </c>
      <c r="C1929" s="90" t="s">
        <v>3502</v>
      </c>
      <c r="D1929" s="90" t="s">
        <v>4264</v>
      </c>
      <c r="E1929" s="90" t="str">
        <f>VLOOKUP(B1929&amp;C1929,Divipola!$C$2:$F$1138,4,FALSE)</f>
        <v>20001</v>
      </c>
      <c r="F1929" s="4"/>
      <c r="G1929" s="101"/>
      <c r="H1929" s="101"/>
      <c r="I1929" s="101"/>
      <c r="J1929" s="101">
        <v>175</v>
      </c>
      <c r="K1929" s="101">
        <v>35</v>
      </c>
      <c r="L1929" s="101"/>
      <c r="M1929" s="101">
        <v>35</v>
      </c>
      <c r="N1929" s="101"/>
      <c r="O1929" s="101"/>
      <c r="P1929" s="101"/>
      <c r="Q1929" s="101"/>
      <c r="R1929" s="101"/>
      <c r="S1929" s="101"/>
      <c r="T1929" s="101"/>
      <c r="U1929" s="101"/>
      <c r="V1929" s="101"/>
      <c r="W1929" s="19"/>
      <c r="X1929" s="17"/>
      <c r="Y1929" s="5">
        <f t="shared" si="180"/>
        <v>0</v>
      </c>
      <c r="Z1929" s="5">
        <f t="shared" si="181"/>
        <v>0</v>
      </c>
      <c r="AA1929" s="5">
        <f t="shared" si="182"/>
        <v>0</v>
      </c>
      <c r="AB1929" s="5">
        <f t="shared" si="183"/>
        <v>0</v>
      </c>
      <c r="AC1929" s="5"/>
      <c r="AD1929" s="5">
        <v>0</v>
      </c>
      <c r="AE1929" s="5">
        <f t="shared" si="184"/>
        <v>0</v>
      </c>
      <c r="AF1929" s="70">
        <v>0</v>
      </c>
      <c r="AG1929" s="17"/>
      <c r="AH1929" s="18"/>
      <c r="AI1929" s="47" t="s">
        <v>4336</v>
      </c>
      <c r="AJ1929" s="73" t="s">
        <v>4337</v>
      </c>
      <c r="AK1929" s="45"/>
      <c r="AL1929" s="17"/>
      <c r="AM1929" s="100" t="s">
        <v>1169</v>
      </c>
      <c r="AN1929" s="19"/>
      <c r="AO1929" s="19"/>
      <c r="AP1929" s="19"/>
      <c r="AQ1929" s="19"/>
      <c r="AR1929" s="19"/>
      <c r="AS1929" s="19"/>
      <c r="AT1929" s="19"/>
      <c r="AU1929" s="19"/>
      <c r="AV1929" s="19"/>
      <c r="AW1929" s="19"/>
      <c r="AX1929" s="107"/>
      <c r="AY1929" s="107"/>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39"/>
      <c r="CO1929" s="138"/>
      <c r="CP1929" s="139"/>
      <c r="CQ1929" s="138"/>
      <c r="CR1929" s="139"/>
      <c r="CS1929" s="138"/>
      <c r="CT1929" s="72"/>
      <c r="CU1929" s="139"/>
      <c r="CV1929" s="99">
        <f t="shared" si="185"/>
        <v>0</v>
      </c>
      <c r="CW1929" s="139"/>
      <c r="CX1929" s="138"/>
      <c r="CY1929" s="138"/>
      <c r="CZ1929" s="138"/>
      <c r="DA1929" s="139"/>
      <c r="DB1929" s="138"/>
      <c r="DC1929" s="45"/>
      <c r="DD1929" s="138"/>
      <c r="DE1929" s="45"/>
      <c r="DF1929" s="46"/>
    </row>
    <row r="1930" spans="1:110" s="42" customFormat="1" ht="324" x14ac:dyDescent="0.2">
      <c r="A1930" s="89">
        <v>40769</v>
      </c>
      <c r="B1930" s="149" t="s">
        <v>4352</v>
      </c>
      <c r="C1930" s="149" t="s">
        <v>4358</v>
      </c>
      <c r="D1930" s="90" t="s">
        <v>2362</v>
      </c>
      <c r="E1930" s="90" t="str">
        <f>VLOOKUP(B1930&amp;C1930,Divipola!$C$2:$F$1138,4,FALSE)</f>
        <v>13001</v>
      </c>
      <c r="F1930" s="4"/>
      <c r="G1930" s="101"/>
      <c r="H1930" s="101"/>
      <c r="I1930" s="101"/>
      <c r="J1930" s="101">
        <v>6090</v>
      </c>
      <c r="K1930" s="101">
        <v>1218</v>
      </c>
      <c r="L1930" s="101">
        <v>949</v>
      </c>
      <c r="M1930" s="101"/>
      <c r="N1930" s="101">
        <v>1</v>
      </c>
      <c r="O1930" s="101"/>
      <c r="P1930" s="101"/>
      <c r="Q1930" s="101">
        <v>1</v>
      </c>
      <c r="R1930" s="101">
        <v>1</v>
      </c>
      <c r="S1930" s="101"/>
      <c r="T1930" s="101"/>
      <c r="U1930" s="101"/>
      <c r="V1930" s="101"/>
      <c r="W1930" s="19"/>
      <c r="X1930" s="17"/>
      <c r="Y1930" s="5">
        <f t="shared" si="180"/>
        <v>0</v>
      </c>
      <c r="Z1930" s="5">
        <f t="shared" si="181"/>
        <v>207400000</v>
      </c>
      <c r="AA1930" s="5">
        <f t="shared" si="182"/>
        <v>0</v>
      </c>
      <c r="AB1930" s="5">
        <f t="shared" si="183"/>
        <v>0</v>
      </c>
      <c r="AC1930" s="5"/>
      <c r="AD1930" s="5">
        <f>778800000+685200000</f>
        <v>1464000000</v>
      </c>
      <c r="AE1930" s="5">
        <f t="shared" si="184"/>
        <v>1671400000</v>
      </c>
      <c r="AF1930" s="70">
        <v>0</v>
      </c>
      <c r="AG1930" s="17"/>
      <c r="AH1930" s="18"/>
      <c r="AI1930" s="95" t="s">
        <v>4346</v>
      </c>
      <c r="AJ1930" s="96" t="s">
        <v>4347</v>
      </c>
      <c r="AK1930" s="45"/>
      <c r="AL1930" s="17"/>
      <c r="AM1930" s="100" t="s">
        <v>4718</v>
      </c>
      <c r="AN1930" s="19"/>
      <c r="AO1930" s="19"/>
      <c r="AP1930" s="19"/>
      <c r="AQ1930" s="19"/>
      <c r="AR1930" s="19"/>
      <c r="AS1930" s="19"/>
      <c r="AT1930" s="19"/>
      <c r="AU1930" s="19"/>
      <c r="AV1930" s="19"/>
      <c r="AW1930" s="19"/>
      <c r="AX1930" s="107"/>
      <c r="AY1930" s="107"/>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39"/>
      <c r="CO1930" s="138"/>
      <c r="CP1930" s="139"/>
      <c r="CQ1930" s="138"/>
      <c r="CR1930" s="139"/>
      <c r="CS1930" s="138"/>
      <c r="CT1930" s="72"/>
      <c r="CU1930" s="139"/>
      <c r="CV1930" s="99">
        <f t="shared" si="185"/>
        <v>0</v>
      </c>
      <c r="CW1930" s="139"/>
      <c r="CX1930" s="138"/>
      <c r="CY1930" s="138">
        <f>1100+1340</f>
        <v>2440</v>
      </c>
      <c r="CZ1930" s="138">
        <f>1100*85000+1340*85000</f>
        <v>207400000</v>
      </c>
      <c r="DA1930" s="139"/>
      <c r="DB1930" s="138"/>
      <c r="DC1930" s="45"/>
      <c r="DD1930" s="138"/>
      <c r="DE1930" s="45"/>
      <c r="DF1930" s="46"/>
    </row>
    <row r="1931" spans="1:110" s="42" customFormat="1" ht="48" x14ac:dyDescent="0.2">
      <c r="A1931" s="89">
        <v>40769</v>
      </c>
      <c r="B1931" s="90" t="s">
        <v>4348</v>
      </c>
      <c r="C1931" s="90" t="s">
        <v>601</v>
      </c>
      <c r="D1931" s="90" t="s">
        <v>3346</v>
      </c>
      <c r="E1931" s="90" t="str">
        <f>VLOOKUP(B1931&amp;C1931,Divipola!$C$2:$F$1138,4,FALSE)</f>
        <v>66170</v>
      </c>
      <c r="F1931" s="4"/>
      <c r="G1931" s="101"/>
      <c r="H1931" s="101"/>
      <c r="I1931" s="101"/>
      <c r="J1931" s="101">
        <v>50</v>
      </c>
      <c r="K1931" s="101">
        <v>10</v>
      </c>
      <c r="L1931" s="101"/>
      <c r="M1931" s="101">
        <v>10</v>
      </c>
      <c r="N1931" s="101"/>
      <c r="O1931" s="101"/>
      <c r="P1931" s="101"/>
      <c r="Q1931" s="101"/>
      <c r="R1931" s="101"/>
      <c r="S1931" s="101"/>
      <c r="T1931" s="101"/>
      <c r="U1931" s="101"/>
      <c r="V1931" s="101"/>
      <c r="W1931" s="19"/>
      <c r="X1931" s="17"/>
      <c r="Y1931" s="5">
        <f t="shared" si="180"/>
        <v>0</v>
      </c>
      <c r="Z1931" s="5">
        <f t="shared" si="181"/>
        <v>0</v>
      </c>
      <c r="AA1931" s="5">
        <f t="shared" si="182"/>
        <v>0</v>
      </c>
      <c r="AB1931" s="5">
        <f t="shared" si="183"/>
        <v>0</v>
      </c>
      <c r="AC1931" s="5"/>
      <c r="AD1931" s="5">
        <v>0</v>
      </c>
      <c r="AE1931" s="5">
        <f t="shared" si="184"/>
        <v>0</v>
      </c>
      <c r="AF1931" s="70">
        <v>0</v>
      </c>
      <c r="AG1931" s="17"/>
      <c r="AH1931" s="18"/>
      <c r="AI1931" s="47" t="s">
        <v>4336</v>
      </c>
      <c r="AJ1931" s="73" t="s">
        <v>4337</v>
      </c>
      <c r="AK1931" s="45"/>
      <c r="AL1931" s="17"/>
      <c r="AM1931" s="100" t="s">
        <v>1170</v>
      </c>
      <c r="AN1931" s="19"/>
      <c r="AO1931" s="19"/>
      <c r="AP1931" s="19"/>
      <c r="AQ1931" s="19"/>
      <c r="AR1931" s="19"/>
      <c r="AS1931" s="19"/>
      <c r="AT1931" s="19"/>
      <c r="AU1931" s="19"/>
      <c r="AV1931" s="19"/>
      <c r="AW1931" s="19"/>
      <c r="AX1931" s="107"/>
      <c r="AY1931" s="107"/>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39"/>
      <c r="CO1931" s="138"/>
      <c r="CP1931" s="139"/>
      <c r="CQ1931" s="138"/>
      <c r="CR1931" s="139"/>
      <c r="CS1931" s="138"/>
      <c r="CT1931" s="72"/>
      <c r="CU1931" s="139"/>
      <c r="CV1931" s="99">
        <f t="shared" si="185"/>
        <v>0</v>
      </c>
      <c r="CW1931" s="139"/>
      <c r="CX1931" s="138"/>
      <c r="CY1931" s="138"/>
      <c r="CZ1931" s="138"/>
      <c r="DA1931" s="139"/>
      <c r="DB1931" s="138"/>
      <c r="DC1931" s="45"/>
      <c r="DD1931" s="138"/>
      <c r="DE1931" s="45"/>
      <c r="DF1931" s="46"/>
    </row>
    <row r="1932" spans="1:110" s="42" customFormat="1" ht="60" x14ac:dyDescent="0.2">
      <c r="A1932" s="89">
        <v>40770</v>
      </c>
      <c r="B1932" s="90" t="s">
        <v>4386</v>
      </c>
      <c r="C1932" s="90" t="s">
        <v>3502</v>
      </c>
      <c r="D1932" s="90" t="s">
        <v>4264</v>
      </c>
      <c r="E1932" s="90" t="str">
        <f>VLOOKUP(B1932&amp;C1932,Divipola!$C$2:$F$1138,4,FALSE)</f>
        <v>20001</v>
      </c>
      <c r="F1932" s="4"/>
      <c r="G1932" s="101"/>
      <c r="H1932" s="101"/>
      <c r="I1932" s="101"/>
      <c r="J1932" s="101">
        <v>250</v>
      </c>
      <c r="K1932" s="101">
        <v>50</v>
      </c>
      <c r="L1932" s="101"/>
      <c r="M1932" s="101">
        <v>50</v>
      </c>
      <c r="N1932" s="101"/>
      <c r="O1932" s="101"/>
      <c r="P1932" s="101"/>
      <c r="Q1932" s="101"/>
      <c r="R1932" s="101"/>
      <c r="S1932" s="101"/>
      <c r="T1932" s="101"/>
      <c r="U1932" s="101"/>
      <c r="V1932" s="101"/>
      <c r="W1932" s="19"/>
      <c r="X1932" s="17"/>
      <c r="Y1932" s="5">
        <f t="shared" si="180"/>
        <v>0</v>
      </c>
      <c r="Z1932" s="5">
        <f t="shared" si="181"/>
        <v>0</v>
      </c>
      <c r="AA1932" s="5">
        <f t="shared" si="182"/>
        <v>0</v>
      </c>
      <c r="AB1932" s="5">
        <f t="shared" si="183"/>
        <v>0</v>
      </c>
      <c r="AC1932" s="5"/>
      <c r="AD1932" s="5">
        <v>0</v>
      </c>
      <c r="AE1932" s="5">
        <f t="shared" si="184"/>
        <v>0</v>
      </c>
      <c r="AF1932" s="70">
        <v>0</v>
      </c>
      <c r="AG1932" s="17"/>
      <c r="AH1932" s="18"/>
      <c r="AI1932" s="47" t="s">
        <v>4336</v>
      </c>
      <c r="AJ1932" s="73" t="s">
        <v>4337</v>
      </c>
      <c r="AK1932" s="45"/>
      <c r="AL1932" s="17"/>
      <c r="AM1932" s="100" t="s">
        <v>157</v>
      </c>
      <c r="AN1932" s="19"/>
      <c r="AO1932" s="19"/>
      <c r="AP1932" s="19"/>
      <c r="AQ1932" s="19"/>
      <c r="AR1932" s="19"/>
      <c r="AS1932" s="19"/>
      <c r="AT1932" s="19"/>
      <c r="AU1932" s="19"/>
      <c r="AV1932" s="19"/>
      <c r="AW1932" s="19"/>
      <c r="AX1932" s="107"/>
      <c r="AY1932" s="107"/>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39"/>
      <c r="CO1932" s="138"/>
      <c r="CP1932" s="139"/>
      <c r="CQ1932" s="138"/>
      <c r="CR1932" s="139"/>
      <c r="CS1932" s="138"/>
      <c r="CT1932" s="72"/>
      <c r="CU1932" s="139"/>
      <c r="CV1932" s="99">
        <f t="shared" si="185"/>
        <v>0</v>
      </c>
      <c r="CW1932" s="139"/>
      <c r="CX1932" s="138"/>
      <c r="CY1932" s="138"/>
      <c r="CZ1932" s="138"/>
      <c r="DA1932" s="139"/>
      <c r="DB1932" s="138"/>
      <c r="DC1932" s="45"/>
      <c r="DD1932" s="138"/>
      <c r="DE1932" s="45"/>
      <c r="DF1932" s="46"/>
    </row>
    <row r="1933" spans="1:110" s="42" customFormat="1" ht="48" x14ac:dyDescent="0.2">
      <c r="A1933" s="89">
        <v>40770</v>
      </c>
      <c r="B1933" s="90" t="s">
        <v>4308</v>
      </c>
      <c r="C1933" s="90" t="s">
        <v>767</v>
      </c>
      <c r="D1933" s="90" t="s">
        <v>3346</v>
      </c>
      <c r="E1933" s="90" t="str">
        <f>VLOOKUP(B1933&amp;C1933,Divipola!$C$2:$F$1138,4,FALSE)</f>
        <v>47545</v>
      </c>
      <c r="F1933" s="4"/>
      <c r="G1933" s="101"/>
      <c r="H1933" s="101"/>
      <c r="I1933" s="101"/>
      <c r="J1933" s="101">
        <v>10</v>
      </c>
      <c r="K1933" s="101">
        <v>2</v>
      </c>
      <c r="L1933" s="101"/>
      <c r="M1933" s="101">
        <v>2</v>
      </c>
      <c r="N1933" s="101"/>
      <c r="O1933" s="101"/>
      <c r="P1933" s="101"/>
      <c r="Q1933" s="101"/>
      <c r="R1933" s="101"/>
      <c r="S1933" s="101"/>
      <c r="T1933" s="101"/>
      <c r="U1933" s="101"/>
      <c r="V1933" s="101"/>
      <c r="W1933" s="19"/>
      <c r="X1933" s="17"/>
      <c r="Y1933" s="5">
        <f t="shared" si="180"/>
        <v>0</v>
      </c>
      <c r="Z1933" s="5">
        <f t="shared" si="181"/>
        <v>0</v>
      </c>
      <c r="AA1933" s="5">
        <f t="shared" si="182"/>
        <v>0</v>
      </c>
      <c r="AB1933" s="5">
        <f t="shared" si="183"/>
        <v>0</v>
      </c>
      <c r="AC1933" s="5"/>
      <c r="AD1933" s="5">
        <v>0</v>
      </c>
      <c r="AE1933" s="5">
        <f t="shared" si="184"/>
        <v>0</v>
      </c>
      <c r="AF1933" s="70">
        <v>0</v>
      </c>
      <c r="AG1933" s="17"/>
      <c r="AH1933" s="18"/>
      <c r="AI1933" s="47" t="s">
        <v>4336</v>
      </c>
      <c r="AJ1933" s="73" t="s">
        <v>4337</v>
      </c>
      <c r="AK1933" s="45"/>
      <c r="AL1933" s="17"/>
      <c r="AM1933" s="100" t="s">
        <v>159</v>
      </c>
      <c r="AN1933" s="19"/>
      <c r="AO1933" s="19"/>
      <c r="AP1933" s="19"/>
      <c r="AQ1933" s="19"/>
      <c r="AR1933" s="19"/>
      <c r="AS1933" s="19"/>
      <c r="AT1933" s="19"/>
      <c r="AU1933" s="19"/>
      <c r="AV1933" s="19"/>
      <c r="AW1933" s="19"/>
      <c r="AX1933" s="107"/>
      <c r="AY1933" s="107"/>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39"/>
      <c r="CO1933" s="138"/>
      <c r="CP1933" s="139"/>
      <c r="CQ1933" s="138"/>
      <c r="CR1933" s="139"/>
      <c r="CS1933" s="138"/>
      <c r="CT1933" s="72"/>
      <c r="CU1933" s="139"/>
      <c r="CV1933" s="99">
        <f t="shared" si="185"/>
        <v>0</v>
      </c>
      <c r="CW1933" s="139"/>
      <c r="CX1933" s="138"/>
      <c r="CY1933" s="138"/>
      <c r="CZ1933" s="138"/>
      <c r="DA1933" s="139"/>
      <c r="DB1933" s="138"/>
      <c r="DC1933" s="45"/>
      <c r="DD1933" s="138"/>
      <c r="DE1933" s="45"/>
      <c r="DF1933" s="46"/>
    </row>
    <row r="1934" spans="1:110" s="42" customFormat="1" ht="48" x14ac:dyDescent="0.2">
      <c r="A1934" s="89">
        <v>40770</v>
      </c>
      <c r="B1934" s="90" t="s">
        <v>4308</v>
      </c>
      <c r="C1934" s="90" t="s">
        <v>787</v>
      </c>
      <c r="D1934" s="90" t="s">
        <v>3346</v>
      </c>
      <c r="E1934" s="90" t="str">
        <f>VLOOKUP(B1934&amp;C1934,Divipola!$C$2:$F$1138,4,FALSE)</f>
        <v>47707</v>
      </c>
      <c r="F1934" s="4"/>
      <c r="G1934" s="101"/>
      <c r="H1934" s="101"/>
      <c r="I1934" s="101"/>
      <c r="J1934" s="101">
        <v>100</v>
      </c>
      <c r="K1934" s="101">
        <v>20</v>
      </c>
      <c r="L1934" s="101"/>
      <c r="M1934" s="101">
        <v>20</v>
      </c>
      <c r="N1934" s="101"/>
      <c r="O1934" s="101"/>
      <c r="P1934" s="101"/>
      <c r="Q1934" s="101"/>
      <c r="R1934" s="101"/>
      <c r="S1934" s="101"/>
      <c r="T1934" s="101"/>
      <c r="U1934" s="101"/>
      <c r="V1934" s="101"/>
      <c r="W1934" s="19"/>
      <c r="X1934" s="17"/>
      <c r="Y1934" s="5">
        <f t="shared" si="180"/>
        <v>0</v>
      </c>
      <c r="Z1934" s="5">
        <f t="shared" si="181"/>
        <v>0</v>
      </c>
      <c r="AA1934" s="5">
        <f t="shared" si="182"/>
        <v>0</v>
      </c>
      <c r="AB1934" s="5">
        <f t="shared" si="183"/>
        <v>0</v>
      </c>
      <c r="AC1934" s="5"/>
      <c r="AD1934" s="5">
        <v>0</v>
      </c>
      <c r="AE1934" s="5">
        <f t="shared" si="184"/>
        <v>0</v>
      </c>
      <c r="AF1934" s="70">
        <v>0</v>
      </c>
      <c r="AG1934" s="17"/>
      <c r="AH1934" s="18"/>
      <c r="AI1934" s="47" t="s">
        <v>4336</v>
      </c>
      <c r="AJ1934" s="73" t="s">
        <v>4337</v>
      </c>
      <c r="AK1934" s="45"/>
      <c r="AL1934" s="17"/>
      <c r="AM1934" s="100" t="s">
        <v>158</v>
      </c>
      <c r="AN1934" s="19"/>
      <c r="AO1934" s="19"/>
      <c r="AP1934" s="19"/>
      <c r="AQ1934" s="19"/>
      <c r="AR1934" s="19"/>
      <c r="AS1934" s="19"/>
      <c r="AT1934" s="19"/>
      <c r="AU1934" s="19"/>
      <c r="AV1934" s="19"/>
      <c r="AW1934" s="19"/>
      <c r="AX1934" s="107"/>
      <c r="AY1934" s="107"/>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39"/>
      <c r="CO1934" s="138"/>
      <c r="CP1934" s="139"/>
      <c r="CQ1934" s="138"/>
      <c r="CR1934" s="139"/>
      <c r="CS1934" s="138"/>
      <c r="CT1934" s="72"/>
      <c r="CU1934" s="139"/>
      <c r="CV1934" s="99">
        <f t="shared" si="185"/>
        <v>0</v>
      </c>
      <c r="CW1934" s="139"/>
      <c r="CX1934" s="138"/>
      <c r="CY1934" s="138"/>
      <c r="CZ1934" s="138"/>
      <c r="DA1934" s="139"/>
      <c r="DB1934" s="138"/>
      <c r="DC1934" s="45"/>
      <c r="DD1934" s="138"/>
      <c r="DE1934" s="45"/>
      <c r="DF1934" s="46">
        <v>1945</v>
      </c>
    </row>
    <row r="1935" spans="1:110" s="42" customFormat="1" ht="60" x14ac:dyDescent="0.2">
      <c r="A1935" s="89">
        <v>40771</v>
      </c>
      <c r="B1935" s="90" t="s">
        <v>4326</v>
      </c>
      <c r="C1935" s="90" t="s">
        <v>4338</v>
      </c>
      <c r="D1935" s="90" t="s">
        <v>4264</v>
      </c>
      <c r="E1935" s="90" t="str">
        <f>VLOOKUP(B1935&amp;C1935,Divipola!$C$2:$F$1138,4,FALSE)</f>
        <v>08001</v>
      </c>
      <c r="F1935" s="4"/>
      <c r="G1935" s="101">
        <v>1</v>
      </c>
      <c r="H1935" s="101"/>
      <c r="I1935" s="101"/>
      <c r="J1935" s="101"/>
      <c r="K1935" s="101"/>
      <c r="L1935" s="101"/>
      <c r="M1935" s="101"/>
      <c r="N1935" s="101"/>
      <c r="O1935" s="101"/>
      <c r="P1935" s="101"/>
      <c r="Q1935" s="101"/>
      <c r="R1935" s="101"/>
      <c r="S1935" s="101"/>
      <c r="T1935" s="101"/>
      <c r="U1935" s="101"/>
      <c r="V1935" s="101"/>
      <c r="W1935" s="19"/>
      <c r="X1935" s="17"/>
      <c r="Y1935" s="5">
        <f t="shared" si="180"/>
        <v>0</v>
      </c>
      <c r="Z1935" s="5">
        <f t="shared" si="181"/>
        <v>0</v>
      </c>
      <c r="AA1935" s="5">
        <f t="shared" si="182"/>
        <v>0</v>
      </c>
      <c r="AB1935" s="5">
        <f t="shared" si="183"/>
        <v>0</v>
      </c>
      <c r="AC1935" s="5"/>
      <c r="AD1935" s="5">
        <v>0</v>
      </c>
      <c r="AE1935" s="5">
        <f t="shared" si="184"/>
        <v>0</v>
      </c>
      <c r="AF1935" s="70">
        <v>0</v>
      </c>
      <c r="AG1935" s="17"/>
      <c r="AH1935" s="18"/>
      <c r="AI1935" s="47" t="s">
        <v>4336</v>
      </c>
      <c r="AJ1935" s="73" t="s">
        <v>4337</v>
      </c>
      <c r="AK1935" s="45"/>
      <c r="AL1935" s="17"/>
      <c r="AM1935" s="100" t="s">
        <v>164</v>
      </c>
      <c r="AN1935" s="19"/>
      <c r="AO1935" s="19"/>
      <c r="AP1935" s="19"/>
      <c r="AQ1935" s="19"/>
      <c r="AR1935" s="19"/>
      <c r="AS1935" s="19"/>
      <c r="AT1935" s="19"/>
      <c r="AU1935" s="19"/>
      <c r="AV1935" s="19"/>
      <c r="AW1935" s="19"/>
      <c r="AX1935" s="107"/>
      <c r="AY1935" s="107"/>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39"/>
      <c r="CO1935" s="138"/>
      <c r="CP1935" s="139"/>
      <c r="CQ1935" s="138"/>
      <c r="CR1935" s="139"/>
      <c r="CS1935" s="138"/>
      <c r="CT1935" s="72"/>
      <c r="CU1935" s="139"/>
      <c r="CV1935" s="99">
        <f t="shared" si="185"/>
        <v>0</v>
      </c>
      <c r="CW1935" s="139"/>
      <c r="CX1935" s="138"/>
      <c r="CY1935" s="138"/>
      <c r="CZ1935" s="138"/>
      <c r="DA1935" s="139"/>
      <c r="DB1935" s="138"/>
      <c r="DC1935" s="45"/>
      <c r="DD1935" s="138"/>
      <c r="DE1935" s="45"/>
      <c r="DF1935" s="46">
        <v>1946</v>
      </c>
    </row>
    <row r="1936" spans="1:110" s="42" customFormat="1" ht="60" x14ac:dyDescent="0.2">
      <c r="A1936" s="89">
        <v>40771</v>
      </c>
      <c r="B1936" s="90" t="s">
        <v>4326</v>
      </c>
      <c r="C1936" s="90" t="s">
        <v>4239</v>
      </c>
      <c r="D1936" s="90" t="s">
        <v>4340</v>
      </c>
      <c r="E1936" s="90" t="str">
        <f>VLOOKUP(B1936&amp;C1936,Divipola!$C$2:$F$1138,4,FALSE)</f>
        <v>08758</v>
      </c>
      <c r="F1936" s="4"/>
      <c r="G1936" s="208">
        <v>1</v>
      </c>
      <c r="H1936" s="208"/>
      <c r="I1936" s="208"/>
      <c r="J1936" s="208"/>
      <c r="K1936" s="208"/>
      <c r="L1936" s="208"/>
      <c r="M1936" s="208"/>
      <c r="N1936" s="208"/>
      <c r="O1936" s="208"/>
      <c r="P1936" s="208"/>
      <c r="Q1936" s="208"/>
      <c r="R1936" s="208"/>
      <c r="S1936" s="208"/>
      <c r="T1936" s="208"/>
      <c r="U1936" s="208"/>
      <c r="V1936" s="208"/>
      <c r="W1936" s="19"/>
      <c r="X1936" s="17"/>
      <c r="Y1936" s="5">
        <f t="shared" si="180"/>
        <v>0</v>
      </c>
      <c r="Z1936" s="5">
        <f t="shared" si="181"/>
        <v>0</v>
      </c>
      <c r="AA1936" s="5">
        <f t="shared" si="182"/>
        <v>0</v>
      </c>
      <c r="AB1936" s="5">
        <f t="shared" si="183"/>
        <v>0</v>
      </c>
      <c r="AC1936" s="5"/>
      <c r="AD1936" s="5">
        <v>0</v>
      </c>
      <c r="AE1936" s="5">
        <f t="shared" si="184"/>
        <v>0</v>
      </c>
      <c r="AF1936" s="70">
        <v>0</v>
      </c>
      <c r="AG1936" s="17"/>
      <c r="AH1936" s="18"/>
      <c r="AI1936" s="47" t="s">
        <v>4336</v>
      </c>
      <c r="AJ1936" s="73" t="s">
        <v>4337</v>
      </c>
      <c r="AK1936" s="45"/>
      <c r="AL1936" s="17"/>
      <c r="AM1936" s="100" t="s">
        <v>160</v>
      </c>
      <c r="AN1936" s="19"/>
      <c r="AO1936" s="19"/>
      <c r="AP1936" s="19"/>
      <c r="AQ1936" s="19"/>
      <c r="AR1936" s="19"/>
      <c r="AS1936" s="19"/>
      <c r="AT1936" s="19"/>
      <c r="AU1936" s="19"/>
      <c r="AV1936" s="19"/>
      <c r="AW1936" s="19"/>
      <c r="AX1936" s="107"/>
      <c r="AY1936" s="107"/>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39"/>
      <c r="CO1936" s="138"/>
      <c r="CP1936" s="139"/>
      <c r="CQ1936" s="138"/>
      <c r="CR1936" s="139"/>
      <c r="CS1936" s="138"/>
      <c r="CT1936" s="72"/>
      <c r="CU1936" s="139"/>
      <c r="CV1936" s="99">
        <f t="shared" si="185"/>
        <v>0</v>
      </c>
      <c r="CW1936" s="139"/>
      <c r="CX1936" s="138"/>
      <c r="CY1936" s="138"/>
      <c r="CZ1936" s="138"/>
      <c r="DA1936" s="139"/>
      <c r="DB1936" s="138"/>
      <c r="DC1936" s="45"/>
      <c r="DD1936" s="138"/>
      <c r="DE1936" s="45"/>
      <c r="DF1936" s="46"/>
    </row>
    <row r="1937" spans="1:110" s="42" customFormat="1" ht="36" x14ac:dyDescent="0.2">
      <c r="A1937" s="89">
        <v>40771</v>
      </c>
      <c r="B1937" s="90" t="s">
        <v>4326</v>
      </c>
      <c r="C1937" s="90" t="s">
        <v>4239</v>
      </c>
      <c r="D1937" s="90" t="s">
        <v>4264</v>
      </c>
      <c r="E1937" s="90" t="str">
        <f>VLOOKUP(B1937&amp;C1937,Divipola!$C$2:$F$1138,4,FALSE)</f>
        <v>08758</v>
      </c>
      <c r="F1937" s="4"/>
      <c r="G1937" s="101"/>
      <c r="H1937" s="101"/>
      <c r="I1937" s="101"/>
      <c r="J1937" s="101">
        <v>5</v>
      </c>
      <c r="K1937" s="101">
        <v>1</v>
      </c>
      <c r="L1937" s="101">
        <v>1</v>
      </c>
      <c r="M1937" s="101"/>
      <c r="N1937" s="101"/>
      <c r="O1937" s="101"/>
      <c r="P1937" s="101"/>
      <c r="Q1937" s="101"/>
      <c r="R1937" s="101"/>
      <c r="S1937" s="101"/>
      <c r="T1937" s="101"/>
      <c r="U1937" s="101"/>
      <c r="V1937" s="101"/>
      <c r="W1937" s="19"/>
      <c r="X1937" s="17"/>
      <c r="Y1937" s="5">
        <f t="shared" si="180"/>
        <v>0</v>
      </c>
      <c r="Z1937" s="5">
        <f t="shared" si="181"/>
        <v>0</v>
      </c>
      <c r="AA1937" s="5">
        <f t="shared" si="182"/>
        <v>0</v>
      </c>
      <c r="AB1937" s="5">
        <f t="shared" si="183"/>
        <v>0</v>
      </c>
      <c r="AC1937" s="5"/>
      <c r="AD1937" s="5">
        <v>0</v>
      </c>
      <c r="AE1937" s="5">
        <f t="shared" si="184"/>
        <v>0</v>
      </c>
      <c r="AF1937" s="70">
        <v>0</v>
      </c>
      <c r="AG1937" s="17"/>
      <c r="AH1937" s="18"/>
      <c r="AI1937" s="47" t="s">
        <v>4336</v>
      </c>
      <c r="AJ1937" s="73" t="s">
        <v>4337</v>
      </c>
      <c r="AK1937" s="45"/>
      <c r="AL1937" s="17"/>
      <c r="AM1937" s="100" t="s">
        <v>165</v>
      </c>
      <c r="AN1937" s="19"/>
      <c r="AO1937" s="19"/>
      <c r="AP1937" s="19"/>
      <c r="AQ1937" s="19"/>
      <c r="AR1937" s="19"/>
      <c r="AS1937" s="19"/>
      <c r="AT1937" s="19"/>
      <c r="AU1937" s="19"/>
      <c r="AV1937" s="19"/>
      <c r="AW1937" s="19"/>
      <c r="AX1937" s="107"/>
      <c r="AY1937" s="107"/>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39"/>
      <c r="CO1937" s="138"/>
      <c r="CP1937" s="139"/>
      <c r="CQ1937" s="138"/>
      <c r="CR1937" s="139"/>
      <c r="CS1937" s="138"/>
      <c r="CT1937" s="72"/>
      <c r="CU1937" s="139"/>
      <c r="CV1937" s="99">
        <f t="shared" si="185"/>
        <v>0</v>
      </c>
      <c r="CW1937" s="139"/>
      <c r="CX1937" s="138"/>
      <c r="CY1937" s="138"/>
      <c r="CZ1937" s="138"/>
      <c r="DA1937" s="139"/>
      <c r="DB1937" s="138"/>
      <c r="DC1937" s="45"/>
      <c r="DD1937" s="138"/>
      <c r="DE1937" s="45"/>
      <c r="DF1937" s="46"/>
    </row>
    <row r="1938" spans="1:110" s="42" customFormat="1" ht="108" x14ac:dyDescent="0.2">
      <c r="A1938" s="89">
        <v>40771</v>
      </c>
      <c r="B1938" s="16" t="s">
        <v>4352</v>
      </c>
      <c r="C1938" s="16" t="s">
        <v>3317</v>
      </c>
      <c r="D1938" s="90" t="s">
        <v>4264</v>
      </c>
      <c r="E1938" s="90" t="str">
        <f>VLOOKUP(B1938&amp;C1938,Divipola!$C$2:$F$1138,4,FALSE)</f>
        <v>13030</v>
      </c>
      <c r="F1938" s="4"/>
      <c r="G1938" s="208"/>
      <c r="H1938" s="208"/>
      <c r="I1938" s="208"/>
      <c r="J1938" s="208"/>
      <c r="K1938" s="208"/>
      <c r="L1938" s="208"/>
      <c r="M1938" s="208"/>
      <c r="N1938" s="208"/>
      <c r="O1938" s="208"/>
      <c r="P1938" s="208"/>
      <c r="Q1938" s="208"/>
      <c r="R1938" s="208"/>
      <c r="S1938" s="208"/>
      <c r="T1938" s="208"/>
      <c r="U1938" s="208"/>
      <c r="V1938" s="208"/>
      <c r="W1938" s="19"/>
      <c r="X1938" s="17"/>
      <c r="Y1938" s="5">
        <f t="shared" si="180"/>
        <v>0</v>
      </c>
      <c r="Z1938" s="5">
        <f t="shared" si="181"/>
        <v>0</v>
      </c>
      <c r="AA1938" s="5">
        <f t="shared" si="182"/>
        <v>0</v>
      </c>
      <c r="AB1938" s="5">
        <f t="shared" si="183"/>
        <v>0</v>
      </c>
      <c r="AC1938" s="5"/>
      <c r="AD1938" s="5">
        <v>100000000</v>
      </c>
      <c r="AE1938" s="5">
        <f t="shared" si="184"/>
        <v>100000000</v>
      </c>
      <c r="AF1938" s="70">
        <v>0</v>
      </c>
      <c r="AG1938" s="17"/>
      <c r="AH1938" s="18"/>
      <c r="AI1938" s="47" t="s">
        <v>4346</v>
      </c>
      <c r="AJ1938" s="73" t="s">
        <v>4347</v>
      </c>
      <c r="AK1938" s="45"/>
      <c r="AL1938" s="17"/>
      <c r="AM1938" s="20" t="s">
        <v>4461</v>
      </c>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39"/>
      <c r="CE1938" s="138"/>
      <c r="CF1938" s="139"/>
      <c r="CG1938" s="138"/>
      <c r="CH1938" s="139"/>
      <c r="CI1938" s="138"/>
      <c r="CJ1938" s="72"/>
      <c r="CK1938" s="139"/>
      <c r="CL1938" s="71"/>
      <c r="CM1938" s="139"/>
      <c r="CN1938" s="138"/>
      <c r="CO1938" s="138"/>
      <c r="CP1938" s="138"/>
      <c r="CQ1938" s="139"/>
      <c r="CR1938" s="138"/>
      <c r="CS1938" s="45"/>
      <c r="CT1938" s="138"/>
      <c r="CU1938" s="45"/>
      <c r="CV1938" s="99">
        <f t="shared" si="185"/>
        <v>0</v>
      </c>
      <c r="CW1938" s="139"/>
      <c r="CX1938" s="138"/>
      <c r="CY1938" s="138"/>
      <c r="CZ1938" s="138"/>
      <c r="DA1938" s="139"/>
      <c r="DB1938" s="138"/>
      <c r="DC1938" s="45"/>
      <c r="DD1938" s="138"/>
      <c r="DE1938" s="45"/>
      <c r="DF1938" s="46"/>
    </row>
    <row r="1939" spans="1:110" s="42" customFormat="1" ht="36" x14ac:dyDescent="0.2">
      <c r="A1939" s="89">
        <v>40772</v>
      </c>
      <c r="B1939" s="90" t="s">
        <v>4219</v>
      </c>
      <c r="C1939" s="90" t="s">
        <v>209</v>
      </c>
      <c r="D1939" s="90" t="s">
        <v>3346</v>
      </c>
      <c r="E1939" s="90" t="str">
        <f>VLOOKUP(B1939&amp;C1939,Divipola!$C$2:$F$1138,4,FALSE)</f>
        <v>41206</v>
      </c>
      <c r="F1939" s="4"/>
      <c r="G1939" s="101"/>
      <c r="H1939" s="101"/>
      <c r="I1939" s="101"/>
      <c r="J1939" s="101">
        <v>10</v>
      </c>
      <c r="K1939" s="101">
        <v>2</v>
      </c>
      <c r="L1939" s="101"/>
      <c r="M1939" s="101">
        <v>2</v>
      </c>
      <c r="N1939" s="101"/>
      <c r="O1939" s="101"/>
      <c r="P1939" s="101"/>
      <c r="Q1939" s="101"/>
      <c r="R1939" s="101"/>
      <c r="S1939" s="101"/>
      <c r="T1939" s="101"/>
      <c r="U1939" s="101"/>
      <c r="V1939" s="101"/>
      <c r="W1939" s="19"/>
      <c r="X1939" s="17"/>
      <c r="Y1939" s="5">
        <f t="shared" si="180"/>
        <v>0</v>
      </c>
      <c r="Z1939" s="5">
        <f t="shared" si="181"/>
        <v>0</v>
      </c>
      <c r="AA1939" s="5">
        <f t="shared" si="182"/>
        <v>0</v>
      </c>
      <c r="AB1939" s="5">
        <f t="shared" si="183"/>
        <v>0</v>
      </c>
      <c r="AC1939" s="5"/>
      <c r="AD1939" s="5">
        <v>0</v>
      </c>
      <c r="AE1939" s="5">
        <f t="shared" si="184"/>
        <v>0</v>
      </c>
      <c r="AF1939" s="70">
        <v>0</v>
      </c>
      <c r="AG1939" s="17"/>
      <c r="AH1939" s="18"/>
      <c r="AI1939" s="47" t="s">
        <v>4336</v>
      </c>
      <c r="AJ1939" s="73" t="s">
        <v>4337</v>
      </c>
      <c r="AK1939" s="45"/>
      <c r="AL1939" s="17"/>
      <c r="AM1939" s="100" t="s">
        <v>161</v>
      </c>
      <c r="AN1939" s="19"/>
      <c r="AO1939" s="19"/>
      <c r="AP1939" s="19"/>
      <c r="AQ1939" s="19"/>
      <c r="AR1939" s="19"/>
      <c r="AS1939" s="19"/>
      <c r="AT1939" s="19"/>
      <c r="AU1939" s="19"/>
      <c r="AV1939" s="19"/>
      <c r="AW1939" s="19"/>
      <c r="AX1939" s="107"/>
      <c r="AY1939" s="107"/>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39"/>
      <c r="CO1939" s="138"/>
      <c r="CP1939" s="139"/>
      <c r="CQ1939" s="138"/>
      <c r="CR1939" s="139"/>
      <c r="CS1939" s="138"/>
      <c r="CT1939" s="72"/>
      <c r="CU1939" s="139"/>
      <c r="CV1939" s="99">
        <f t="shared" si="185"/>
        <v>0</v>
      </c>
      <c r="CW1939" s="139"/>
      <c r="CX1939" s="138"/>
      <c r="CY1939" s="138"/>
      <c r="CZ1939" s="138"/>
      <c r="DA1939" s="139"/>
      <c r="DB1939" s="138"/>
      <c r="DC1939" s="45"/>
      <c r="DD1939" s="138"/>
      <c r="DE1939" s="45"/>
      <c r="DF1939" s="46"/>
    </row>
    <row r="1940" spans="1:110" s="42" customFormat="1" ht="60" x14ac:dyDescent="0.2">
      <c r="A1940" s="89">
        <v>40772</v>
      </c>
      <c r="B1940" s="151" t="s">
        <v>4219</v>
      </c>
      <c r="C1940" s="90" t="s">
        <v>3353</v>
      </c>
      <c r="D1940" s="90" t="s">
        <v>2362</v>
      </c>
      <c r="E1940" s="90" t="str">
        <f>VLOOKUP(B1940&amp;C1940,Divipola!$C$2:$F$1138,4,FALSE)</f>
        <v>41357</v>
      </c>
      <c r="F1940" s="4"/>
      <c r="G1940" s="101"/>
      <c r="H1940" s="101"/>
      <c r="I1940" s="101"/>
      <c r="J1940" s="101">
        <v>5</v>
      </c>
      <c r="K1940" s="101">
        <v>1</v>
      </c>
      <c r="L1940" s="101"/>
      <c r="M1940" s="101">
        <v>1</v>
      </c>
      <c r="N1940" s="101">
        <v>1</v>
      </c>
      <c r="O1940" s="101"/>
      <c r="P1940" s="101"/>
      <c r="Q1940" s="101"/>
      <c r="R1940" s="101"/>
      <c r="S1940" s="101"/>
      <c r="T1940" s="101"/>
      <c r="U1940" s="19"/>
      <c r="V1940" s="101"/>
      <c r="W1940" s="19"/>
      <c r="X1940" s="17"/>
      <c r="Y1940" s="5">
        <f t="shared" si="180"/>
        <v>0</v>
      </c>
      <c r="Z1940" s="5">
        <f t="shared" si="181"/>
        <v>0</v>
      </c>
      <c r="AA1940" s="5">
        <f t="shared" si="182"/>
        <v>0</v>
      </c>
      <c r="AB1940" s="5">
        <f t="shared" si="183"/>
        <v>0</v>
      </c>
      <c r="AC1940" s="5"/>
      <c r="AD1940" s="5">
        <v>0</v>
      </c>
      <c r="AE1940" s="5">
        <f t="shared" si="184"/>
        <v>0</v>
      </c>
      <c r="AF1940" s="70">
        <v>0</v>
      </c>
      <c r="AG1940" s="17"/>
      <c r="AH1940" s="18"/>
      <c r="AI1940" s="47" t="s">
        <v>4336</v>
      </c>
      <c r="AJ1940" s="73" t="s">
        <v>4337</v>
      </c>
      <c r="AK1940" s="45"/>
      <c r="AL1940" s="17"/>
      <c r="AM1940" s="121" t="s">
        <v>5493</v>
      </c>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39"/>
      <c r="CE1940" s="138"/>
      <c r="CF1940" s="139"/>
      <c r="CG1940" s="138"/>
      <c r="CH1940" s="139"/>
      <c r="CI1940" s="138"/>
      <c r="CJ1940" s="72"/>
      <c r="CK1940" s="139"/>
      <c r="CL1940" s="71"/>
      <c r="CM1940" s="139"/>
      <c r="CN1940" s="138"/>
      <c r="CO1940" s="138"/>
      <c r="CP1940" s="138"/>
      <c r="CQ1940" s="139"/>
      <c r="CR1940" s="138"/>
      <c r="CS1940" s="45"/>
      <c r="CT1940" s="138"/>
      <c r="CU1940" s="45"/>
      <c r="CV1940" s="99">
        <f t="shared" si="185"/>
        <v>0</v>
      </c>
      <c r="CW1940" s="139"/>
      <c r="CX1940" s="138"/>
      <c r="CY1940" s="138"/>
      <c r="CZ1940" s="138"/>
      <c r="DA1940" s="139"/>
      <c r="DB1940" s="138"/>
      <c r="DC1940" s="45"/>
      <c r="DD1940" s="138"/>
      <c r="DE1940" s="45"/>
      <c r="DF1940" s="46"/>
    </row>
    <row r="1941" spans="1:110" s="42" customFormat="1" ht="84" x14ac:dyDescent="0.2">
      <c r="A1941" s="89">
        <v>40773</v>
      </c>
      <c r="B1941" s="90" t="s">
        <v>2218</v>
      </c>
      <c r="C1941" s="90" t="s">
        <v>4085</v>
      </c>
      <c r="D1941" s="90" t="s">
        <v>4264</v>
      </c>
      <c r="E1941" s="90" t="str">
        <f>VLOOKUP(B1941&amp;C1941,Divipola!$C$2:$F$1138,4,FALSE)</f>
        <v>05847</v>
      </c>
      <c r="F1941" s="4"/>
      <c r="G1941" s="101"/>
      <c r="H1941" s="101"/>
      <c r="I1941" s="101"/>
      <c r="J1941" s="101">
        <v>362</v>
      </c>
      <c r="K1941" s="101">
        <v>93</v>
      </c>
      <c r="L1941" s="101"/>
      <c r="M1941" s="101">
        <v>93</v>
      </c>
      <c r="N1941" s="101"/>
      <c r="O1941" s="101"/>
      <c r="P1941" s="101"/>
      <c r="Q1941" s="101"/>
      <c r="R1941" s="101"/>
      <c r="S1941" s="101"/>
      <c r="T1941" s="101">
        <v>1</v>
      </c>
      <c r="U1941" s="101"/>
      <c r="V1941" s="101"/>
      <c r="W1941" s="19"/>
      <c r="X1941" s="17"/>
      <c r="Y1941" s="5">
        <f t="shared" si="180"/>
        <v>0</v>
      </c>
      <c r="Z1941" s="5">
        <f t="shared" si="181"/>
        <v>0</v>
      </c>
      <c r="AA1941" s="5">
        <f t="shared" si="182"/>
        <v>0</v>
      </c>
      <c r="AB1941" s="5">
        <f t="shared" si="183"/>
        <v>0</v>
      </c>
      <c r="AC1941" s="5"/>
      <c r="AD1941" s="5">
        <v>0</v>
      </c>
      <c r="AE1941" s="5">
        <f t="shared" si="184"/>
        <v>0</v>
      </c>
      <c r="AF1941" s="70">
        <v>0</v>
      </c>
      <c r="AG1941" s="17"/>
      <c r="AH1941" s="18"/>
      <c r="AI1941" s="47" t="s">
        <v>4336</v>
      </c>
      <c r="AJ1941" s="73" t="s">
        <v>4337</v>
      </c>
      <c r="AK1941" s="45"/>
      <c r="AL1941" s="17"/>
      <c r="AM1941" s="100" t="s">
        <v>171</v>
      </c>
      <c r="AN1941" s="19"/>
      <c r="AO1941" s="19"/>
      <c r="AP1941" s="19"/>
      <c r="AQ1941" s="19"/>
      <c r="AR1941" s="19"/>
      <c r="AS1941" s="19"/>
      <c r="AT1941" s="19"/>
      <c r="AU1941" s="19"/>
      <c r="AV1941" s="19"/>
      <c r="AW1941" s="19"/>
      <c r="AX1941" s="107"/>
      <c r="AY1941" s="107"/>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39"/>
      <c r="CO1941" s="138"/>
      <c r="CP1941" s="139"/>
      <c r="CQ1941" s="138"/>
      <c r="CR1941" s="139"/>
      <c r="CS1941" s="138"/>
      <c r="CT1941" s="72"/>
      <c r="CU1941" s="139"/>
      <c r="CV1941" s="99">
        <f t="shared" si="185"/>
        <v>0</v>
      </c>
      <c r="CW1941" s="139"/>
      <c r="CX1941" s="138"/>
      <c r="CY1941" s="138"/>
      <c r="CZ1941" s="138"/>
      <c r="DA1941" s="139"/>
      <c r="DB1941" s="138"/>
      <c r="DC1941" s="45"/>
      <c r="DD1941" s="138"/>
      <c r="DE1941" s="45"/>
      <c r="DF1941" s="46"/>
    </row>
    <row r="1942" spans="1:110" s="42" customFormat="1" ht="96" x14ac:dyDescent="0.2">
      <c r="A1942" s="89">
        <v>40773</v>
      </c>
      <c r="B1942" s="90" t="s">
        <v>2218</v>
      </c>
      <c r="C1942" s="90" t="s">
        <v>3335</v>
      </c>
      <c r="D1942" s="90" t="s">
        <v>4264</v>
      </c>
      <c r="E1942" s="90" t="str">
        <f>VLOOKUP(B1942&amp;C1942,Divipola!$C$2:$F$1138,4,FALSE)</f>
        <v>05873</v>
      </c>
      <c r="F1942" s="4"/>
      <c r="G1942" s="101"/>
      <c r="H1942" s="101"/>
      <c r="I1942" s="101"/>
      <c r="J1942" s="101">
        <v>828</v>
      </c>
      <c r="K1942" s="101">
        <v>263</v>
      </c>
      <c r="L1942" s="101"/>
      <c r="M1942" s="101">
        <v>263</v>
      </c>
      <c r="N1942" s="101"/>
      <c r="O1942" s="101"/>
      <c r="P1942" s="101"/>
      <c r="Q1942" s="101"/>
      <c r="R1942" s="101"/>
      <c r="S1942" s="101"/>
      <c r="T1942" s="101"/>
      <c r="U1942" s="101"/>
      <c r="V1942" s="101"/>
      <c r="W1942" s="19"/>
      <c r="X1942" s="17"/>
      <c r="Y1942" s="5">
        <f t="shared" si="180"/>
        <v>0</v>
      </c>
      <c r="Z1942" s="5">
        <f t="shared" si="181"/>
        <v>0</v>
      </c>
      <c r="AA1942" s="5">
        <f t="shared" si="182"/>
        <v>0</v>
      </c>
      <c r="AB1942" s="5">
        <f t="shared" si="183"/>
        <v>0</v>
      </c>
      <c r="AC1942" s="5"/>
      <c r="AD1942" s="5">
        <v>0</v>
      </c>
      <c r="AE1942" s="5">
        <f t="shared" si="184"/>
        <v>0</v>
      </c>
      <c r="AF1942" s="70">
        <v>0</v>
      </c>
      <c r="AG1942" s="17"/>
      <c r="AH1942" s="18"/>
      <c r="AI1942" s="47" t="s">
        <v>4336</v>
      </c>
      <c r="AJ1942" s="73" t="s">
        <v>4337</v>
      </c>
      <c r="AK1942" s="45"/>
      <c r="AL1942" s="17"/>
      <c r="AM1942" s="100" t="s">
        <v>170</v>
      </c>
      <c r="AN1942" s="19"/>
      <c r="AO1942" s="19"/>
      <c r="AP1942" s="19"/>
      <c r="AQ1942" s="19"/>
      <c r="AR1942" s="19"/>
      <c r="AS1942" s="19"/>
      <c r="AT1942" s="19"/>
      <c r="AU1942" s="19"/>
      <c r="AV1942" s="19"/>
      <c r="AW1942" s="19"/>
      <c r="AX1942" s="107"/>
      <c r="AY1942" s="107"/>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39"/>
      <c r="CO1942" s="138"/>
      <c r="CP1942" s="139"/>
      <c r="CQ1942" s="138"/>
      <c r="CR1942" s="139"/>
      <c r="CS1942" s="138"/>
      <c r="CT1942" s="72"/>
      <c r="CU1942" s="139"/>
      <c r="CV1942" s="99">
        <f t="shared" si="185"/>
        <v>0</v>
      </c>
      <c r="CW1942" s="139"/>
      <c r="CX1942" s="138"/>
      <c r="CY1942" s="138"/>
      <c r="CZ1942" s="138"/>
      <c r="DA1942" s="139"/>
      <c r="DB1942" s="138"/>
      <c r="DC1942" s="45"/>
      <c r="DD1942" s="138"/>
      <c r="DE1942" s="45"/>
      <c r="DF1942" s="46"/>
    </row>
    <row r="1943" spans="1:110" s="42" customFormat="1" ht="48" x14ac:dyDescent="0.2">
      <c r="A1943" s="89">
        <v>40773</v>
      </c>
      <c r="B1943" s="151" t="s">
        <v>4350</v>
      </c>
      <c r="C1943" s="90" t="s">
        <v>4252</v>
      </c>
      <c r="D1943" s="90" t="s">
        <v>3346</v>
      </c>
      <c r="E1943" s="90" t="str">
        <f>VLOOKUP(B1943&amp;C1943,Divipola!$C$2:$F$1138,4,FALSE)</f>
        <v>63690</v>
      </c>
      <c r="F1943" s="4"/>
      <c r="G1943" s="101"/>
      <c r="H1943" s="101"/>
      <c r="I1943" s="101"/>
      <c r="J1943" s="101">
        <v>9</v>
      </c>
      <c r="K1943" s="101">
        <v>1</v>
      </c>
      <c r="L1943" s="101"/>
      <c r="M1943" s="101">
        <v>1</v>
      </c>
      <c r="N1943" s="101"/>
      <c r="O1943" s="101"/>
      <c r="P1943" s="101"/>
      <c r="Q1943" s="101"/>
      <c r="R1943" s="101"/>
      <c r="S1943" s="101"/>
      <c r="T1943" s="101"/>
      <c r="U1943" s="101"/>
      <c r="V1943" s="101"/>
      <c r="W1943" s="19"/>
      <c r="X1943" s="17"/>
      <c r="Y1943" s="5">
        <f t="shared" si="180"/>
        <v>0</v>
      </c>
      <c r="Z1943" s="5">
        <f t="shared" si="181"/>
        <v>0</v>
      </c>
      <c r="AA1943" s="5">
        <f t="shared" si="182"/>
        <v>0</v>
      </c>
      <c r="AB1943" s="5">
        <f t="shared" si="183"/>
        <v>0</v>
      </c>
      <c r="AC1943" s="5"/>
      <c r="AD1943" s="5">
        <v>0</v>
      </c>
      <c r="AE1943" s="5">
        <f t="shared" si="184"/>
        <v>0</v>
      </c>
      <c r="AF1943" s="70">
        <v>0</v>
      </c>
      <c r="AG1943" s="17"/>
      <c r="AH1943" s="18"/>
      <c r="AI1943" s="47" t="s">
        <v>4346</v>
      </c>
      <c r="AJ1943" s="73" t="s">
        <v>4347</v>
      </c>
      <c r="AK1943" s="45"/>
      <c r="AL1943" s="89" t="s">
        <v>2798</v>
      </c>
      <c r="AM1943" s="121" t="s">
        <v>151</v>
      </c>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39"/>
      <c r="CO1943" s="138"/>
      <c r="CP1943" s="139"/>
      <c r="CQ1943" s="138"/>
      <c r="CR1943" s="139"/>
      <c r="CS1943" s="138"/>
      <c r="CT1943" s="72"/>
      <c r="CU1943" s="139"/>
      <c r="CV1943" s="99">
        <f t="shared" si="185"/>
        <v>0</v>
      </c>
      <c r="CW1943" s="139"/>
      <c r="CX1943" s="138"/>
      <c r="CY1943" s="138"/>
      <c r="CZ1943" s="138"/>
      <c r="DA1943" s="139"/>
      <c r="DB1943" s="138"/>
      <c r="DC1943" s="45"/>
      <c r="DD1943" s="138"/>
      <c r="DE1943" s="45"/>
      <c r="DF1943" s="46"/>
    </row>
    <row r="1944" spans="1:110" s="42" customFormat="1" ht="36" x14ac:dyDescent="0.2">
      <c r="A1944" s="89">
        <v>40774</v>
      </c>
      <c r="B1944" s="90" t="s">
        <v>4352</v>
      </c>
      <c r="C1944" s="90" t="s">
        <v>4358</v>
      </c>
      <c r="D1944" s="90" t="s">
        <v>4298</v>
      </c>
      <c r="E1944" s="90" t="str">
        <f>VLOOKUP(B1944&amp;C1944,Divipola!$C$2:$F$1138,4,FALSE)</f>
        <v>13001</v>
      </c>
      <c r="F1944" s="4"/>
      <c r="G1944" s="101"/>
      <c r="H1944" s="101"/>
      <c r="I1944" s="101"/>
      <c r="J1944" s="101">
        <v>5</v>
      </c>
      <c r="K1944" s="101">
        <v>1</v>
      </c>
      <c r="L1944" s="101"/>
      <c r="M1944" s="101">
        <v>1</v>
      </c>
      <c r="N1944" s="101"/>
      <c r="O1944" s="101"/>
      <c r="P1944" s="101"/>
      <c r="Q1944" s="101"/>
      <c r="R1944" s="101"/>
      <c r="S1944" s="101"/>
      <c r="T1944" s="101"/>
      <c r="U1944" s="101"/>
      <c r="V1944" s="101"/>
      <c r="W1944" s="19"/>
      <c r="X1944" s="17"/>
      <c r="Y1944" s="5">
        <f t="shared" si="180"/>
        <v>0</v>
      </c>
      <c r="Z1944" s="5">
        <f t="shared" si="181"/>
        <v>0</v>
      </c>
      <c r="AA1944" s="5">
        <f t="shared" si="182"/>
        <v>0</v>
      </c>
      <c r="AB1944" s="5">
        <f t="shared" si="183"/>
        <v>0</v>
      </c>
      <c r="AC1944" s="5"/>
      <c r="AD1944" s="5">
        <v>0</v>
      </c>
      <c r="AE1944" s="5">
        <f t="shared" si="184"/>
        <v>0</v>
      </c>
      <c r="AF1944" s="70">
        <v>0</v>
      </c>
      <c r="AG1944" s="17"/>
      <c r="AH1944" s="18"/>
      <c r="AI1944" s="47" t="s">
        <v>4336</v>
      </c>
      <c r="AJ1944" s="73" t="s">
        <v>4337</v>
      </c>
      <c r="AK1944" s="45"/>
      <c r="AL1944" s="17"/>
      <c r="AM1944" s="100" t="s">
        <v>163</v>
      </c>
      <c r="AN1944" s="19"/>
      <c r="AO1944" s="19"/>
      <c r="AP1944" s="19"/>
      <c r="AQ1944" s="19"/>
      <c r="AR1944" s="19"/>
      <c r="AS1944" s="19"/>
      <c r="AT1944" s="19"/>
      <c r="AU1944" s="19"/>
      <c r="AV1944" s="19"/>
      <c r="AW1944" s="19"/>
      <c r="AX1944" s="107"/>
      <c r="AY1944" s="107"/>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39"/>
      <c r="CO1944" s="138"/>
      <c r="CP1944" s="139"/>
      <c r="CQ1944" s="138"/>
      <c r="CR1944" s="139"/>
      <c r="CS1944" s="138"/>
      <c r="CT1944" s="72"/>
      <c r="CU1944" s="139"/>
      <c r="CV1944" s="99">
        <f t="shared" si="185"/>
        <v>0</v>
      </c>
      <c r="CW1944" s="139"/>
      <c r="CX1944" s="138"/>
      <c r="CY1944" s="138"/>
      <c r="CZ1944" s="138"/>
      <c r="DA1944" s="139"/>
      <c r="DB1944" s="138"/>
      <c r="DC1944" s="45"/>
      <c r="DD1944" s="138"/>
      <c r="DE1944" s="45"/>
      <c r="DF1944" s="46"/>
    </row>
    <row r="1945" spans="1:110" s="42" customFormat="1" ht="60" x14ac:dyDescent="0.2">
      <c r="A1945" s="89">
        <v>40774</v>
      </c>
      <c r="B1945" s="90" t="s">
        <v>4282</v>
      </c>
      <c r="C1945" s="90" t="s">
        <v>1611</v>
      </c>
      <c r="D1945" s="90" t="s">
        <v>4264</v>
      </c>
      <c r="E1945" s="90" t="str">
        <f>VLOOKUP(B1945&amp;C1945,Divipola!$C$2:$F$1138,4,FALSE)</f>
        <v>23466</v>
      </c>
      <c r="F1945" s="4"/>
      <c r="G1945" s="101"/>
      <c r="H1945" s="101"/>
      <c r="I1945" s="101"/>
      <c r="J1945" s="101">
        <v>1507</v>
      </c>
      <c r="K1945" s="101">
        <v>335</v>
      </c>
      <c r="L1945" s="101"/>
      <c r="M1945" s="101">
        <v>335</v>
      </c>
      <c r="N1945" s="101"/>
      <c r="O1945" s="101"/>
      <c r="P1945" s="101"/>
      <c r="Q1945" s="101"/>
      <c r="R1945" s="101"/>
      <c r="S1945" s="101"/>
      <c r="T1945" s="101"/>
      <c r="U1945" s="101"/>
      <c r="V1945" s="101"/>
      <c r="W1945" s="19"/>
      <c r="X1945" s="17"/>
      <c r="Y1945" s="5">
        <f t="shared" si="180"/>
        <v>0</v>
      </c>
      <c r="Z1945" s="5">
        <f t="shared" si="181"/>
        <v>0</v>
      </c>
      <c r="AA1945" s="5">
        <f t="shared" si="182"/>
        <v>0</v>
      </c>
      <c r="AB1945" s="5">
        <f t="shared" si="183"/>
        <v>0</v>
      </c>
      <c r="AC1945" s="5"/>
      <c r="AD1945" s="5">
        <v>0</v>
      </c>
      <c r="AE1945" s="5">
        <f t="shared" si="184"/>
        <v>0</v>
      </c>
      <c r="AF1945" s="70">
        <v>0</v>
      </c>
      <c r="AG1945" s="17"/>
      <c r="AH1945" s="18"/>
      <c r="AI1945" s="47" t="s">
        <v>4336</v>
      </c>
      <c r="AJ1945" s="73" t="s">
        <v>4337</v>
      </c>
      <c r="AK1945" s="45"/>
      <c r="AL1945" s="17"/>
      <c r="AM1945" s="100" t="s">
        <v>167</v>
      </c>
      <c r="AN1945" s="19"/>
      <c r="AO1945" s="19"/>
      <c r="AP1945" s="19"/>
      <c r="AQ1945" s="19"/>
      <c r="AR1945" s="19"/>
      <c r="AS1945" s="19"/>
      <c r="AT1945" s="19"/>
      <c r="AU1945" s="19"/>
      <c r="AV1945" s="19"/>
      <c r="AW1945" s="19"/>
      <c r="AX1945" s="107"/>
      <c r="AY1945" s="107"/>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39"/>
      <c r="CO1945" s="138"/>
      <c r="CP1945" s="139"/>
      <c r="CQ1945" s="138"/>
      <c r="CR1945" s="139"/>
      <c r="CS1945" s="138"/>
      <c r="CT1945" s="72"/>
      <c r="CU1945" s="139"/>
      <c r="CV1945" s="99">
        <f t="shared" si="185"/>
        <v>0</v>
      </c>
      <c r="CW1945" s="139"/>
      <c r="CX1945" s="138"/>
      <c r="CY1945" s="138"/>
      <c r="CZ1945" s="138"/>
      <c r="DA1945" s="139"/>
      <c r="DB1945" s="138"/>
      <c r="DC1945" s="45"/>
      <c r="DD1945" s="138"/>
      <c r="DE1945" s="45"/>
      <c r="DF1945" s="46"/>
    </row>
    <row r="1946" spans="1:110" s="42" customFormat="1" ht="60" x14ac:dyDescent="0.2">
      <c r="A1946" s="89">
        <v>40777</v>
      </c>
      <c r="B1946" s="90" t="s">
        <v>4386</v>
      </c>
      <c r="C1946" s="90" t="s">
        <v>3502</v>
      </c>
      <c r="D1946" s="90" t="s">
        <v>4264</v>
      </c>
      <c r="E1946" s="90" t="str">
        <f>VLOOKUP(B1946&amp;C1946,Divipola!$C$2:$F$1138,4,FALSE)</f>
        <v>20001</v>
      </c>
      <c r="F1946" s="4"/>
      <c r="G1946" s="101"/>
      <c r="H1946" s="101"/>
      <c r="I1946" s="101"/>
      <c r="J1946" s="101"/>
      <c r="K1946" s="101"/>
      <c r="L1946" s="101"/>
      <c r="M1946" s="101"/>
      <c r="N1946" s="101"/>
      <c r="O1946" s="101">
        <v>1</v>
      </c>
      <c r="P1946" s="101"/>
      <c r="Q1946" s="101"/>
      <c r="R1946" s="101"/>
      <c r="S1946" s="101"/>
      <c r="T1946" s="101"/>
      <c r="U1946" s="101"/>
      <c r="V1946" s="101"/>
      <c r="W1946" s="19"/>
      <c r="X1946" s="17"/>
      <c r="Y1946" s="5">
        <f t="shared" si="180"/>
        <v>0</v>
      </c>
      <c r="Z1946" s="5">
        <f t="shared" si="181"/>
        <v>0</v>
      </c>
      <c r="AA1946" s="5">
        <f t="shared" si="182"/>
        <v>0</v>
      </c>
      <c r="AB1946" s="5">
        <f t="shared" si="183"/>
        <v>0</v>
      </c>
      <c r="AC1946" s="5"/>
      <c r="AD1946" s="5">
        <v>0</v>
      </c>
      <c r="AE1946" s="5">
        <f t="shared" si="184"/>
        <v>0</v>
      </c>
      <c r="AF1946" s="70">
        <v>0</v>
      </c>
      <c r="AG1946" s="17"/>
      <c r="AH1946" s="18"/>
      <c r="AI1946" s="47" t="s">
        <v>4336</v>
      </c>
      <c r="AJ1946" s="73" t="s">
        <v>4337</v>
      </c>
      <c r="AK1946" s="45"/>
      <c r="AL1946" s="17"/>
      <c r="AM1946" s="347" t="s">
        <v>169</v>
      </c>
      <c r="AN1946" s="19"/>
      <c r="AO1946" s="19"/>
      <c r="AP1946" s="19"/>
      <c r="AQ1946" s="19"/>
      <c r="AR1946" s="19"/>
      <c r="AS1946" s="19"/>
      <c r="AT1946" s="19"/>
      <c r="AU1946" s="19"/>
      <c r="AV1946" s="19"/>
      <c r="AW1946" s="19"/>
      <c r="AX1946" s="107"/>
      <c r="AY1946" s="107"/>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19"/>
      <c r="BX1946" s="19"/>
      <c r="BY1946" s="19"/>
      <c r="BZ1946" s="19"/>
      <c r="CA1946" s="19"/>
      <c r="CB1946" s="19"/>
      <c r="CC1946" s="19"/>
      <c r="CD1946" s="19"/>
      <c r="CE1946" s="19"/>
      <c r="CF1946" s="19"/>
      <c r="CG1946" s="19"/>
      <c r="CH1946" s="19"/>
      <c r="CI1946" s="19"/>
      <c r="CJ1946" s="19"/>
      <c r="CK1946" s="19"/>
      <c r="CL1946" s="19"/>
      <c r="CM1946" s="19"/>
      <c r="CN1946" s="139"/>
      <c r="CO1946" s="138"/>
      <c r="CP1946" s="139"/>
      <c r="CQ1946" s="138"/>
      <c r="CR1946" s="139"/>
      <c r="CS1946" s="138"/>
      <c r="CT1946" s="72"/>
      <c r="CU1946" s="139"/>
      <c r="CV1946" s="99">
        <f t="shared" si="185"/>
        <v>0</v>
      </c>
      <c r="CW1946" s="139"/>
      <c r="CX1946" s="138"/>
      <c r="CY1946" s="138"/>
      <c r="CZ1946" s="138"/>
      <c r="DA1946" s="139"/>
      <c r="DB1946" s="138"/>
      <c r="DC1946" s="45"/>
      <c r="DD1946" s="138"/>
      <c r="DE1946" s="45"/>
      <c r="DF1946" s="46">
        <v>1949</v>
      </c>
    </row>
    <row r="1947" spans="1:110" s="42" customFormat="1" ht="36" x14ac:dyDescent="0.2">
      <c r="A1947" s="89">
        <v>40777</v>
      </c>
      <c r="B1947" s="90" t="s">
        <v>4308</v>
      </c>
      <c r="C1947" s="90" t="s">
        <v>4306</v>
      </c>
      <c r="D1947" s="90" t="s">
        <v>4264</v>
      </c>
      <c r="E1947" s="90" t="str">
        <f>VLOOKUP(B1947&amp;C1947,Divipola!$C$2:$F$1138,4,FALSE)</f>
        <v>47001</v>
      </c>
      <c r="F1947" s="4"/>
      <c r="G1947" s="101"/>
      <c r="H1947" s="101"/>
      <c r="I1947" s="101">
        <v>1</v>
      </c>
      <c r="J1947" s="101">
        <v>5</v>
      </c>
      <c r="K1947" s="101">
        <v>1</v>
      </c>
      <c r="L1947" s="101">
        <v>1</v>
      </c>
      <c r="M1947" s="101"/>
      <c r="N1947" s="101"/>
      <c r="O1947" s="101"/>
      <c r="P1947" s="101"/>
      <c r="Q1947" s="101"/>
      <c r="R1947" s="101"/>
      <c r="S1947" s="101"/>
      <c r="T1947" s="101"/>
      <c r="U1947" s="101"/>
      <c r="V1947" s="101"/>
      <c r="W1947" s="19"/>
      <c r="X1947" s="17"/>
      <c r="Y1947" s="5">
        <f t="shared" si="180"/>
        <v>0</v>
      </c>
      <c r="Z1947" s="5">
        <f t="shared" si="181"/>
        <v>0</v>
      </c>
      <c r="AA1947" s="5">
        <f t="shared" si="182"/>
        <v>0</v>
      </c>
      <c r="AB1947" s="5">
        <f t="shared" si="183"/>
        <v>0</v>
      </c>
      <c r="AC1947" s="5"/>
      <c r="AD1947" s="5">
        <v>0</v>
      </c>
      <c r="AE1947" s="5">
        <f t="shared" si="184"/>
        <v>0</v>
      </c>
      <c r="AF1947" s="70">
        <v>0</v>
      </c>
      <c r="AG1947" s="17"/>
      <c r="AH1947" s="18"/>
      <c r="AI1947" s="47" t="s">
        <v>4336</v>
      </c>
      <c r="AJ1947" s="73" t="s">
        <v>4337</v>
      </c>
      <c r="AK1947" s="45"/>
      <c r="AL1947" s="17"/>
      <c r="AM1947" s="100" t="s">
        <v>168</v>
      </c>
      <c r="AN1947" s="19"/>
      <c r="AO1947" s="19"/>
      <c r="AP1947" s="19"/>
      <c r="AQ1947" s="19"/>
      <c r="AR1947" s="19"/>
      <c r="AS1947" s="19"/>
      <c r="AT1947" s="19"/>
      <c r="AU1947" s="19"/>
      <c r="AV1947" s="19"/>
      <c r="AW1947" s="19"/>
      <c r="AX1947" s="107"/>
      <c r="AY1947" s="107"/>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19"/>
      <c r="BX1947" s="19"/>
      <c r="BY1947" s="19"/>
      <c r="BZ1947" s="19"/>
      <c r="CA1947" s="19"/>
      <c r="CB1947" s="19"/>
      <c r="CC1947" s="19"/>
      <c r="CD1947" s="19"/>
      <c r="CE1947" s="19"/>
      <c r="CF1947" s="19"/>
      <c r="CG1947" s="19"/>
      <c r="CH1947" s="19"/>
      <c r="CI1947" s="19"/>
      <c r="CJ1947" s="19"/>
      <c r="CK1947" s="19"/>
      <c r="CL1947" s="19"/>
      <c r="CM1947" s="19"/>
      <c r="CN1947" s="139"/>
      <c r="CO1947" s="138"/>
      <c r="CP1947" s="139"/>
      <c r="CQ1947" s="138"/>
      <c r="CR1947" s="139"/>
      <c r="CS1947" s="138"/>
      <c r="CT1947" s="72"/>
      <c r="CU1947" s="139"/>
      <c r="CV1947" s="99">
        <f t="shared" si="185"/>
        <v>0</v>
      </c>
      <c r="CW1947" s="139"/>
      <c r="CX1947" s="138"/>
      <c r="CY1947" s="138"/>
      <c r="CZ1947" s="138"/>
      <c r="DA1947" s="139"/>
      <c r="DB1947" s="138"/>
      <c r="DC1947" s="45"/>
      <c r="DD1947" s="138"/>
      <c r="DE1947" s="45"/>
      <c r="DF1947" s="46"/>
    </row>
    <row r="1948" spans="1:110" s="42" customFormat="1" ht="84" x14ac:dyDescent="0.2">
      <c r="A1948" s="89">
        <v>40777</v>
      </c>
      <c r="B1948" s="90" t="s">
        <v>4387</v>
      </c>
      <c r="C1948" s="90" t="s">
        <v>69</v>
      </c>
      <c r="D1948" s="90" t="s">
        <v>4264</v>
      </c>
      <c r="E1948" s="90" t="str">
        <f>VLOOKUP(B1948&amp;C1948,Divipola!$C$2:$F$1138,4,FALSE)</f>
        <v>52207</v>
      </c>
      <c r="F1948" s="4"/>
      <c r="G1948" s="101"/>
      <c r="H1948" s="101"/>
      <c r="I1948" s="101"/>
      <c r="J1948" s="101"/>
      <c r="K1948" s="101"/>
      <c r="L1948" s="101"/>
      <c r="M1948" s="101"/>
      <c r="N1948" s="101"/>
      <c r="O1948" s="101"/>
      <c r="P1948" s="101"/>
      <c r="Q1948" s="101"/>
      <c r="R1948" s="101"/>
      <c r="S1948" s="101">
        <v>1</v>
      </c>
      <c r="T1948" s="101"/>
      <c r="U1948" s="101"/>
      <c r="V1948" s="101"/>
      <c r="W1948" s="19"/>
      <c r="X1948" s="17"/>
      <c r="Y1948" s="5">
        <f t="shared" si="180"/>
        <v>0</v>
      </c>
      <c r="Z1948" s="5">
        <f t="shared" si="181"/>
        <v>0</v>
      </c>
      <c r="AA1948" s="5">
        <f t="shared" si="182"/>
        <v>0</v>
      </c>
      <c r="AB1948" s="5">
        <f t="shared" si="183"/>
        <v>0</v>
      </c>
      <c r="AC1948" s="5"/>
      <c r="AD1948" s="5">
        <v>0</v>
      </c>
      <c r="AE1948" s="5">
        <f t="shared" si="184"/>
        <v>0</v>
      </c>
      <c r="AF1948" s="70">
        <v>0</v>
      </c>
      <c r="AG1948" s="17"/>
      <c r="AH1948" s="18"/>
      <c r="AI1948" s="47" t="s">
        <v>4336</v>
      </c>
      <c r="AJ1948" s="73" t="s">
        <v>4337</v>
      </c>
      <c r="AK1948" s="45"/>
      <c r="AL1948" s="17"/>
      <c r="AM1948" s="121" t="s">
        <v>172</v>
      </c>
      <c r="AN1948" s="19"/>
      <c r="AO1948" s="19"/>
      <c r="AP1948" s="19"/>
      <c r="AQ1948" s="19"/>
      <c r="AR1948" s="19"/>
      <c r="AS1948" s="19"/>
      <c r="AT1948" s="19"/>
      <c r="AU1948" s="19"/>
      <c r="AV1948" s="19"/>
      <c r="AW1948" s="19"/>
      <c r="AX1948" s="107"/>
      <c r="AY1948" s="107"/>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19"/>
      <c r="BX1948" s="19"/>
      <c r="BY1948" s="19"/>
      <c r="BZ1948" s="19"/>
      <c r="CA1948" s="19"/>
      <c r="CB1948" s="19"/>
      <c r="CC1948" s="19"/>
      <c r="CD1948" s="19"/>
      <c r="CE1948" s="19"/>
      <c r="CF1948" s="19"/>
      <c r="CG1948" s="19"/>
      <c r="CH1948" s="19"/>
      <c r="CI1948" s="19"/>
      <c r="CJ1948" s="19"/>
      <c r="CK1948" s="19"/>
      <c r="CL1948" s="19"/>
      <c r="CM1948" s="19"/>
      <c r="CN1948" s="139"/>
      <c r="CO1948" s="138"/>
      <c r="CP1948" s="139"/>
      <c r="CQ1948" s="138"/>
      <c r="CR1948" s="139"/>
      <c r="CS1948" s="138"/>
      <c r="CT1948" s="72"/>
      <c r="CU1948" s="139"/>
      <c r="CV1948" s="99">
        <f t="shared" si="185"/>
        <v>0</v>
      </c>
      <c r="CW1948" s="139"/>
      <c r="CX1948" s="138"/>
      <c r="CY1948" s="138"/>
      <c r="CZ1948" s="138"/>
      <c r="DA1948" s="139"/>
      <c r="DB1948" s="138"/>
      <c r="DC1948" s="45"/>
      <c r="DD1948" s="138"/>
      <c r="DE1948" s="45"/>
      <c r="DF1948" s="46"/>
    </row>
    <row r="1949" spans="1:110" s="42" customFormat="1" ht="24" x14ac:dyDescent="0.2">
      <c r="A1949" s="89">
        <v>40777</v>
      </c>
      <c r="B1949" s="90" t="s">
        <v>4350</v>
      </c>
      <c r="C1949" s="90" t="s">
        <v>3507</v>
      </c>
      <c r="D1949" s="90" t="s">
        <v>3346</v>
      </c>
      <c r="E1949" s="90" t="str">
        <f>VLOOKUP(B1949&amp;C1949,Divipola!$C$2:$F$1138,4,FALSE)</f>
        <v>63470</v>
      </c>
      <c r="F1949" s="4"/>
      <c r="G1949" s="101"/>
      <c r="H1949" s="101"/>
      <c r="I1949" s="101"/>
      <c r="J1949" s="101">
        <v>28</v>
      </c>
      <c r="K1949" s="101">
        <v>6</v>
      </c>
      <c r="L1949" s="101"/>
      <c r="M1949" s="101">
        <v>6</v>
      </c>
      <c r="N1949" s="101"/>
      <c r="O1949" s="101"/>
      <c r="P1949" s="101"/>
      <c r="Q1949" s="101"/>
      <c r="R1949" s="101"/>
      <c r="S1949" s="101"/>
      <c r="T1949" s="101"/>
      <c r="U1949" s="101"/>
      <c r="V1949" s="101"/>
      <c r="W1949" s="19"/>
      <c r="X1949" s="17"/>
      <c r="Y1949" s="5">
        <f t="shared" si="180"/>
        <v>0</v>
      </c>
      <c r="Z1949" s="5">
        <f t="shared" si="181"/>
        <v>0</v>
      </c>
      <c r="AA1949" s="5">
        <f t="shared" si="182"/>
        <v>0</v>
      </c>
      <c r="AB1949" s="5">
        <f t="shared" si="183"/>
        <v>0</v>
      </c>
      <c r="AC1949" s="5"/>
      <c r="AD1949" s="5">
        <v>0</v>
      </c>
      <c r="AE1949" s="5">
        <f t="shared" si="184"/>
        <v>0</v>
      </c>
      <c r="AF1949" s="70">
        <v>0</v>
      </c>
      <c r="AG1949" s="17"/>
      <c r="AH1949" s="18"/>
      <c r="AI1949" s="47" t="s">
        <v>4346</v>
      </c>
      <c r="AJ1949" s="73" t="s">
        <v>4347</v>
      </c>
      <c r="AK1949" s="45"/>
      <c r="AL1949" s="89" t="s">
        <v>2798</v>
      </c>
      <c r="AM1949" s="100" t="s">
        <v>173</v>
      </c>
      <c r="AN1949" s="19"/>
      <c r="AO1949" s="19"/>
      <c r="AP1949" s="19"/>
      <c r="AQ1949" s="19"/>
      <c r="AR1949" s="19"/>
      <c r="AS1949" s="19"/>
      <c r="AT1949" s="19"/>
      <c r="AU1949" s="19"/>
      <c r="AV1949" s="19"/>
      <c r="AW1949" s="19"/>
      <c r="AX1949" s="107"/>
      <c r="AY1949" s="107"/>
      <c r="AZ1949" s="19"/>
      <c r="BA1949" s="19"/>
      <c r="BB1949" s="19"/>
      <c r="BC1949" s="19"/>
      <c r="BD1949" s="19"/>
      <c r="BE1949" s="19"/>
      <c r="BF1949" s="19"/>
      <c r="BG1949" s="19"/>
      <c r="BH1949" s="19"/>
      <c r="BI1949" s="19"/>
      <c r="BJ1949" s="19"/>
      <c r="BK1949" s="19"/>
      <c r="BL1949" s="19"/>
      <c r="BM1949" s="19"/>
      <c r="BN1949" s="19"/>
      <c r="BO1949" s="19"/>
      <c r="BP1949" s="19"/>
      <c r="BQ1949" s="19"/>
      <c r="BR1949" s="19"/>
      <c r="BS1949" s="19"/>
      <c r="BT1949" s="19"/>
      <c r="BU1949" s="19"/>
      <c r="BV1949" s="19"/>
      <c r="BW1949" s="19"/>
      <c r="BX1949" s="19"/>
      <c r="BY1949" s="19"/>
      <c r="BZ1949" s="19"/>
      <c r="CA1949" s="19"/>
      <c r="CB1949" s="19"/>
      <c r="CC1949" s="19"/>
      <c r="CD1949" s="19"/>
      <c r="CE1949" s="19"/>
      <c r="CF1949" s="19"/>
      <c r="CG1949" s="19"/>
      <c r="CH1949" s="19"/>
      <c r="CI1949" s="19"/>
      <c r="CJ1949" s="19"/>
      <c r="CK1949" s="19"/>
      <c r="CL1949" s="19"/>
      <c r="CM1949" s="19"/>
      <c r="CN1949" s="139"/>
      <c r="CO1949" s="138"/>
      <c r="CP1949" s="139"/>
      <c r="CQ1949" s="138"/>
      <c r="CR1949" s="139"/>
      <c r="CS1949" s="138"/>
      <c r="CT1949" s="72"/>
      <c r="CU1949" s="139"/>
      <c r="CV1949" s="99">
        <f t="shared" si="185"/>
        <v>0</v>
      </c>
      <c r="CW1949" s="139"/>
      <c r="CX1949" s="138"/>
      <c r="CY1949" s="138"/>
      <c r="CZ1949" s="138"/>
      <c r="DA1949" s="139"/>
      <c r="DB1949" s="138"/>
      <c r="DC1949" s="45"/>
      <c r="DD1949" s="138"/>
      <c r="DE1949" s="45"/>
      <c r="DF1949" s="46"/>
    </row>
    <row r="1950" spans="1:110" s="42" customFormat="1" ht="60" x14ac:dyDescent="0.2">
      <c r="A1950" s="89">
        <v>40777</v>
      </c>
      <c r="B1950" s="90" t="s">
        <v>2226</v>
      </c>
      <c r="C1950" s="90" t="s">
        <v>4232</v>
      </c>
      <c r="D1950" s="90" t="s">
        <v>2362</v>
      </c>
      <c r="E1950" s="90" t="str">
        <f>VLOOKUP(B1950&amp;C1950,Divipola!$C$2:$F$1138,4,FALSE)</f>
        <v>68001</v>
      </c>
      <c r="F1950" s="4"/>
      <c r="G1950" s="101"/>
      <c r="H1950" s="101"/>
      <c r="I1950" s="101"/>
      <c r="J1950" s="101"/>
      <c r="K1950" s="101"/>
      <c r="L1950" s="101"/>
      <c r="M1950" s="101"/>
      <c r="N1950" s="101">
        <v>1</v>
      </c>
      <c r="O1950" s="101"/>
      <c r="P1950" s="101"/>
      <c r="Q1950" s="101"/>
      <c r="R1950" s="101"/>
      <c r="S1950" s="101"/>
      <c r="T1950" s="101"/>
      <c r="U1950" s="101"/>
      <c r="V1950" s="101"/>
      <c r="W1950" s="19"/>
      <c r="X1950" s="17"/>
      <c r="Y1950" s="5">
        <f t="shared" ref="Y1950:Y1959" si="186">CV1950</f>
        <v>0</v>
      </c>
      <c r="Z1950" s="5">
        <f t="shared" ref="Z1950:Z1959" si="187">CZ1950</f>
        <v>0</v>
      </c>
      <c r="AA1950" s="5">
        <f t="shared" ref="AA1950:AA1959" si="188">DB1950+DD1950</f>
        <v>0</v>
      </c>
      <c r="AB1950" s="5">
        <f t="shared" ref="AB1950:AB1959" si="189">CX1950</f>
        <v>0</v>
      </c>
      <c r="AC1950" s="5"/>
      <c r="AD1950" s="5">
        <v>0</v>
      </c>
      <c r="AE1950" s="5">
        <f t="shared" ref="AE1950:AE1959" si="190">Y1950+Z1950+AA1950+AB1950+AC1950+AD1950</f>
        <v>0</v>
      </c>
      <c r="AF1950" s="70">
        <v>0</v>
      </c>
      <c r="AG1950" s="17"/>
      <c r="AH1950" s="18"/>
      <c r="AI1950" s="47" t="s">
        <v>4336</v>
      </c>
      <c r="AJ1950" s="73" t="s">
        <v>4337</v>
      </c>
      <c r="AK1950" s="45"/>
      <c r="AL1950" s="17"/>
      <c r="AM1950" s="100" t="s">
        <v>166</v>
      </c>
      <c r="AN1950" s="19"/>
      <c r="AO1950" s="19"/>
      <c r="AP1950" s="19"/>
      <c r="AQ1950" s="19"/>
      <c r="AR1950" s="19"/>
      <c r="AS1950" s="19"/>
      <c r="AT1950" s="19"/>
      <c r="AU1950" s="19"/>
      <c r="AV1950" s="19"/>
      <c r="AW1950" s="19"/>
      <c r="AX1950" s="107"/>
      <c r="AY1950" s="107"/>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39"/>
      <c r="CO1950" s="138"/>
      <c r="CP1950" s="139"/>
      <c r="CQ1950" s="138"/>
      <c r="CR1950" s="139"/>
      <c r="CS1950" s="138"/>
      <c r="CT1950" s="72"/>
      <c r="CU1950" s="139"/>
      <c r="CV1950" s="99">
        <f t="shared" si="185"/>
        <v>0</v>
      </c>
      <c r="CW1950" s="139"/>
      <c r="CX1950" s="138"/>
      <c r="CY1950" s="138"/>
      <c r="CZ1950" s="138"/>
      <c r="DA1950" s="139"/>
      <c r="DB1950" s="138"/>
      <c r="DC1950" s="45"/>
      <c r="DD1950" s="138"/>
      <c r="DE1950" s="45"/>
      <c r="DF1950" s="46"/>
    </row>
    <row r="1951" spans="1:110" s="42" customFormat="1" ht="45" x14ac:dyDescent="0.2">
      <c r="A1951" s="89">
        <v>40777</v>
      </c>
      <c r="B1951" s="90" t="s">
        <v>4244</v>
      </c>
      <c r="C1951" s="90" t="s">
        <v>3378</v>
      </c>
      <c r="D1951" s="16" t="s">
        <v>3514</v>
      </c>
      <c r="E1951" s="90" t="str">
        <f>VLOOKUP(B1951&amp;C1951,Divipola!$C$2:$F$1138,4,FALSE)</f>
        <v>76041</v>
      </c>
      <c r="F1951" s="4"/>
      <c r="G1951" s="208"/>
      <c r="H1951" s="208"/>
      <c r="I1951" s="208"/>
      <c r="J1951" s="208"/>
      <c r="K1951" s="208">
        <v>60</v>
      </c>
      <c r="L1951" s="208"/>
      <c r="M1951" s="208"/>
      <c r="N1951" s="208"/>
      <c r="O1951" s="208"/>
      <c r="P1951" s="208"/>
      <c r="Q1951" s="208"/>
      <c r="R1951" s="208"/>
      <c r="S1951" s="208"/>
      <c r="T1951" s="208"/>
      <c r="U1951" s="208"/>
      <c r="V1951" s="208"/>
      <c r="W1951" s="19" t="s">
        <v>143</v>
      </c>
      <c r="X1951" s="17"/>
      <c r="Y1951" s="5">
        <f t="shared" si="186"/>
        <v>4440000</v>
      </c>
      <c r="Z1951" s="5">
        <f t="shared" si="187"/>
        <v>10200000</v>
      </c>
      <c r="AA1951" s="5">
        <f t="shared" si="188"/>
        <v>0</v>
      </c>
      <c r="AB1951" s="5">
        <f t="shared" si="189"/>
        <v>0</v>
      </c>
      <c r="AC1951" s="5"/>
      <c r="AD1951" s="5">
        <v>0</v>
      </c>
      <c r="AE1951" s="5">
        <f t="shared" si="190"/>
        <v>14640000</v>
      </c>
      <c r="AF1951" s="70">
        <v>0</v>
      </c>
      <c r="AG1951" s="17"/>
      <c r="AH1951" s="18"/>
      <c r="AI1951" s="95" t="s">
        <v>4346</v>
      </c>
      <c r="AJ1951" s="96" t="s">
        <v>4347</v>
      </c>
      <c r="AK1951" s="45"/>
      <c r="AL1951" s="17"/>
      <c r="AM1951" s="20"/>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39"/>
      <c r="CO1951" s="138"/>
      <c r="CP1951" s="139">
        <v>120</v>
      </c>
      <c r="CQ1951" s="138">
        <f>120*37000</f>
        <v>4440000</v>
      </c>
      <c r="CR1951" s="139"/>
      <c r="CS1951" s="138"/>
      <c r="CT1951" s="72"/>
      <c r="CU1951" s="139"/>
      <c r="CV1951" s="99">
        <f t="shared" si="185"/>
        <v>4440000</v>
      </c>
      <c r="CW1951" s="139"/>
      <c r="CX1951" s="138"/>
      <c r="CY1951" s="138">
        <v>120</v>
      </c>
      <c r="CZ1951" s="138">
        <f>120*85000</f>
        <v>10200000</v>
      </c>
      <c r="DA1951" s="139"/>
      <c r="DB1951" s="138"/>
      <c r="DC1951" s="45"/>
      <c r="DD1951" s="138"/>
      <c r="DE1951" s="45"/>
      <c r="DF1951" s="46"/>
    </row>
    <row r="1952" spans="1:110" s="42" customFormat="1" ht="48" x14ac:dyDescent="0.2">
      <c r="A1952" s="89">
        <v>40778</v>
      </c>
      <c r="B1952" s="90" t="s">
        <v>2218</v>
      </c>
      <c r="C1952" s="90" t="s">
        <v>3969</v>
      </c>
      <c r="D1952" s="90" t="s">
        <v>2362</v>
      </c>
      <c r="E1952" s="90" t="str">
        <f>VLOOKUP(B1952&amp;C1952,Divipola!$C$2:$F$1138,4,FALSE)</f>
        <v>05467</v>
      </c>
      <c r="F1952" s="4"/>
      <c r="G1952" s="101">
        <v>1</v>
      </c>
      <c r="H1952" s="101"/>
      <c r="I1952" s="101"/>
      <c r="J1952" s="101">
        <v>5</v>
      </c>
      <c r="K1952" s="101">
        <v>1</v>
      </c>
      <c r="L1952" s="101">
        <v>1</v>
      </c>
      <c r="M1952" s="101"/>
      <c r="N1952" s="101"/>
      <c r="O1952" s="101"/>
      <c r="P1952" s="101"/>
      <c r="Q1952" s="101"/>
      <c r="R1952" s="101"/>
      <c r="S1952" s="101"/>
      <c r="T1952" s="101"/>
      <c r="U1952" s="101"/>
      <c r="V1952" s="101"/>
      <c r="W1952" s="19"/>
      <c r="X1952" s="17"/>
      <c r="Y1952" s="5">
        <f t="shared" si="186"/>
        <v>0</v>
      </c>
      <c r="Z1952" s="5">
        <f t="shared" si="187"/>
        <v>0</v>
      </c>
      <c r="AA1952" s="5">
        <f t="shared" si="188"/>
        <v>0</v>
      </c>
      <c r="AB1952" s="5">
        <f t="shared" si="189"/>
        <v>0</v>
      </c>
      <c r="AC1952" s="5"/>
      <c r="AD1952" s="5">
        <v>0</v>
      </c>
      <c r="AE1952" s="5">
        <f t="shared" si="190"/>
        <v>0</v>
      </c>
      <c r="AF1952" s="70">
        <v>0</v>
      </c>
      <c r="AG1952" s="17"/>
      <c r="AH1952" s="18"/>
      <c r="AI1952" s="47" t="s">
        <v>4336</v>
      </c>
      <c r="AJ1952" s="73" t="s">
        <v>4337</v>
      </c>
      <c r="AK1952" s="45"/>
      <c r="AL1952" s="17"/>
      <c r="AM1952" s="100" t="s">
        <v>146</v>
      </c>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39"/>
      <c r="CO1952" s="138"/>
      <c r="CP1952" s="139"/>
      <c r="CQ1952" s="138"/>
      <c r="CR1952" s="139"/>
      <c r="CS1952" s="138"/>
      <c r="CT1952" s="72"/>
      <c r="CU1952" s="139"/>
      <c r="CV1952" s="99">
        <f t="shared" si="185"/>
        <v>0</v>
      </c>
      <c r="CW1952" s="139"/>
      <c r="CX1952" s="138"/>
      <c r="CY1952" s="138"/>
      <c r="CZ1952" s="138"/>
      <c r="DA1952" s="139"/>
      <c r="DB1952" s="138"/>
      <c r="DC1952" s="45"/>
      <c r="DD1952" s="138"/>
      <c r="DE1952" s="45"/>
      <c r="DF1952" s="46"/>
    </row>
    <row r="1953" spans="1:110" s="42" customFormat="1" ht="96" x14ac:dyDescent="0.2">
      <c r="A1953" s="89">
        <v>40778</v>
      </c>
      <c r="B1953" s="90" t="s">
        <v>2225</v>
      </c>
      <c r="C1953" s="90" t="s">
        <v>1862</v>
      </c>
      <c r="D1953" s="90" t="s">
        <v>3346</v>
      </c>
      <c r="E1953" s="90" t="str">
        <f>VLOOKUP(B1953&amp;C1953,Divipola!$C$2:$F$1138,4,FALSE)</f>
        <v>27077</v>
      </c>
      <c r="F1953" s="4"/>
      <c r="G1953" s="101"/>
      <c r="H1953" s="101"/>
      <c r="I1953" s="101"/>
      <c r="J1953" s="101">
        <v>831</v>
      </c>
      <c r="K1953" s="101">
        <v>145</v>
      </c>
      <c r="L1953" s="101">
        <v>11</v>
      </c>
      <c r="M1953" s="101">
        <v>134</v>
      </c>
      <c r="N1953" s="101"/>
      <c r="O1953" s="101"/>
      <c r="P1953" s="101"/>
      <c r="Q1953" s="101"/>
      <c r="R1953" s="101"/>
      <c r="S1953" s="101"/>
      <c r="T1953" s="101"/>
      <c r="U1953" s="101"/>
      <c r="V1953" s="101"/>
      <c r="W1953" s="19"/>
      <c r="X1953" s="17"/>
      <c r="Y1953" s="5">
        <f t="shared" si="186"/>
        <v>0</v>
      </c>
      <c r="Z1953" s="5">
        <f t="shared" si="187"/>
        <v>0</v>
      </c>
      <c r="AA1953" s="5">
        <f t="shared" si="188"/>
        <v>0</v>
      </c>
      <c r="AB1953" s="5">
        <f t="shared" si="189"/>
        <v>0</v>
      </c>
      <c r="AC1953" s="5"/>
      <c r="AD1953" s="5">
        <v>0</v>
      </c>
      <c r="AE1953" s="5">
        <f t="shared" si="190"/>
        <v>0</v>
      </c>
      <c r="AF1953" s="70">
        <v>0</v>
      </c>
      <c r="AG1953" s="17"/>
      <c r="AH1953" s="18"/>
      <c r="AI1953" s="47" t="s">
        <v>4336</v>
      </c>
      <c r="AJ1953" s="73" t="s">
        <v>4337</v>
      </c>
      <c r="AK1953" s="45"/>
      <c r="AL1953" s="17"/>
      <c r="AM1953" s="100" t="s">
        <v>150</v>
      </c>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19"/>
      <c r="BV1953" s="19"/>
      <c r="BW1953" s="19"/>
      <c r="BX1953" s="19"/>
      <c r="BY1953" s="19"/>
      <c r="BZ1953" s="19"/>
      <c r="CA1953" s="19"/>
      <c r="CB1953" s="19"/>
      <c r="CC1953" s="19"/>
      <c r="CD1953" s="19"/>
      <c r="CE1953" s="19"/>
      <c r="CF1953" s="19"/>
      <c r="CG1953" s="19"/>
      <c r="CH1953" s="19"/>
      <c r="CI1953" s="19"/>
      <c r="CJ1953" s="19"/>
      <c r="CK1953" s="19"/>
      <c r="CL1953" s="19"/>
      <c r="CM1953" s="19"/>
      <c r="CN1953" s="139"/>
      <c r="CO1953" s="138"/>
      <c r="CP1953" s="139"/>
      <c r="CQ1953" s="138"/>
      <c r="CR1953" s="139"/>
      <c r="CS1953" s="138"/>
      <c r="CT1953" s="72"/>
      <c r="CU1953" s="139"/>
      <c r="CV1953" s="99">
        <f t="shared" si="185"/>
        <v>0</v>
      </c>
      <c r="CW1953" s="139"/>
      <c r="CX1953" s="138"/>
      <c r="CY1953" s="138"/>
      <c r="CZ1953" s="138"/>
      <c r="DA1953" s="139"/>
      <c r="DB1953" s="138"/>
      <c r="DC1953" s="45"/>
      <c r="DD1953" s="138"/>
      <c r="DE1953" s="45"/>
      <c r="DF1953" s="46"/>
    </row>
    <row r="1954" spans="1:110" s="42" customFormat="1" x14ac:dyDescent="0.2">
      <c r="A1954" s="89">
        <v>40778</v>
      </c>
      <c r="B1954" s="90" t="s">
        <v>4308</v>
      </c>
      <c r="C1954" s="90" t="s">
        <v>767</v>
      </c>
      <c r="D1954" s="90" t="s">
        <v>3346</v>
      </c>
      <c r="E1954" s="90" t="str">
        <f>VLOOKUP(B1954&amp;C1954,Divipola!$C$2:$F$1138,4,FALSE)</f>
        <v>47545</v>
      </c>
      <c r="F1954" s="4"/>
      <c r="G1954" s="101"/>
      <c r="H1954" s="101"/>
      <c r="I1954" s="101"/>
      <c r="J1954" s="101">
        <v>5</v>
      </c>
      <c r="K1954" s="101">
        <v>1</v>
      </c>
      <c r="L1954" s="101">
        <v>1</v>
      </c>
      <c r="M1954" s="101"/>
      <c r="N1954" s="101"/>
      <c r="O1954" s="101"/>
      <c r="P1954" s="101"/>
      <c r="Q1954" s="101"/>
      <c r="R1954" s="101"/>
      <c r="S1954" s="101"/>
      <c r="T1954" s="101"/>
      <c r="U1954" s="101"/>
      <c r="V1954" s="101"/>
      <c r="W1954" s="19"/>
      <c r="X1954" s="17"/>
      <c r="Y1954" s="5">
        <f t="shared" si="186"/>
        <v>0</v>
      </c>
      <c r="Z1954" s="5">
        <f t="shared" si="187"/>
        <v>0</v>
      </c>
      <c r="AA1954" s="5">
        <f t="shared" si="188"/>
        <v>0</v>
      </c>
      <c r="AB1954" s="5">
        <f t="shared" si="189"/>
        <v>0</v>
      </c>
      <c r="AC1954" s="5"/>
      <c r="AD1954" s="5">
        <v>0</v>
      </c>
      <c r="AE1954" s="5">
        <f t="shared" si="190"/>
        <v>0</v>
      </c>
      <c r="AF1954" s="70">
        <v>0</v>
      </c>
      <c r="AG1954" s="17"/>
      <c r="AH1954" s="18"/>
      <c r="AI1954" s="47" t="s">
        <v>4336</v>
      </c>
      <c r="AJ1954" s="73" t="s">
        <v>4337</v>
      </c>
      <c r="AK1954" s="45"/>
      <c r="AL1954" s="17"/>
      <c r="AM1954" s="100" t="s">
        <v>148</v>
      </c>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c r="BQ1954" s="19"/>
      <c r="BR1954" s="19"/>
      <c r="BS1954" s="19"/>
      <c r="BT1954" s="19"/>
      <c r="BU1954" s="19"/>
      <c r="BV1954" s="19"/>
      <c r="BW1954" s="19"/>
      <c r="BX1954" s="19"/>
      <c r="BY1954" s="19"/>
      <c r="BZ1954" s="19"/>
      <c r="CA1954" s="19"/>
      <c r="CB1954" s="19"/>
      <c r="CC1954" s="19"/>
      <c r="CD1954" s="19"/>
      <c r="CE1954" s="19"/>
      <c r="CF1954" s="19"/>
      <c r="CG1954" s="19"/>
      <c r="CH1954" s="19"/>
      <c r="CI1954" s="19"/>
      <c r="CJ1954" s="19"/>
      <c r="CK1954" s="19"/>
      <c r="CL1954" s="19"/>
      <c r="CM1954" s="19"/>
      <c r="CN1954" s="139"/>
      <c r="CO1954" s="138"/>
      <c r="CP1954" s="139"/>
      <c r="CQ1954" s="138"/>
      <c r="CR1954" s="139"/>
      <c r="CS1954" s="138"/>
      <c r="CT1954" s="72"/>
      <c r="CU1954" s="139"/>
      <c r="CV1954" s="99">
        <f t="shared" si="185"/>
        <v>0</v>
      </c>
      <c r="CW1954" s="139"/>
      <c r="CX1954" s="138"/>
      <c r="CY1954" s="138"/>
      <c r="CZ1954" s="138"/>
      <c r="DA1954" s="139"/>
      <c r="DB1954" s="138"/>
      <c r="DC1954" s="45"/>
      <c r="DD1954" s="138"/>
      <c r="DE1954" s="45"/>
      <c r="DF1954" s="46"/>
    </row>
    <row r="1955" spans="1:110" s="42" customFormat="1" ht="84" x14ac:dyDescent="0.2">
      <c r="A1955" s="89">
        <v>40778</v>
      </c>
      <c r="B1955" s="90" t="s">
        <v>4221</v>
      </c>
      <c r="C1955" s="90" t="s">
        <v>580</v>
      </c>
      <c r="D1955" s="90" t="s">
        <v>4264</v>
      </c>
      <c r="E1955" s="90" t="str">
        <f>VLOOKUP(B1955&amp;C1955,Divipola!$C$2:$F$1138,4,FALSE)</f>
        <v>54743</v>
      </c>
      <c r="F1955" s="4"/>
      <c r="G1955" s="101"/>
      <c r="H1955" s="101"/>
      <c r="I1955" s="101"/>
      <c r="J1955" s="101">
        <v>250</v>
      </c>
      <c r="K1955" s="101">
        <v>50</v>
      </c>
      <c r="L1955" s="101">
        <v>5</v>
      </c>
      <c r="M1955" s="101">
        <v>45</v>
      </c>
      <c r="N1955" s="101"/>
      <c r="O1955" s="101"/>
      <c r="P1955" s="101"/>
      <c r="Q1955" s="101"/>
      <c r="R1955" s="101"/>
      <c r="S1955" s="101"/>
      <c r="T1955" s="101"/>
      <c r="U1955" s="101"/>
      <c r="V1955" s="101"/>
      <c r="W1955" s="19"/>
      <c r="X1955" s="17"/>
      <c r="Y1955" s="5">
        <f t="shared" si="186"/>
        <v>67204000</v>
      </c>
      <c r="Z1955" s="5">
        <f t="shared" si="187"/>
        <v>10200000</v>
      </c>
      <c r="AA1955" s="5">
        <f t="shared" si="188"/>
        <v>0</v>
      </c>
      <c r="AB1955" s="5">
        <f t="shared" si="189"/>
        <v>0</v>
      </c>
      <c r="AC1955" s="5"/>
      <c r="AD1955" s="5">
        <v>0</v>
      </c>
      <c r="AE1955" s="5">
        <f t="shared" si="190"/>
        <v>77404000</v>
      </c>
      <c r="AF1955" s="70">
        <v>0</v>
      </c>
      <c r="AG1955" s="17"/>
      <c r="AH1955" s="18"/>
      <c r="AI1955" s="95" t="s">
        <v>4346</v>
      </c>
      <c r="AJ1955" s="96" t="s">
        <v>4347</v>
      </c>
      <c r="AK1955" s="45"/>
      <c r="AL1955" s="17"/>
      <c r="AM1955" s="100" t="s">
        <v>147</v>
      </c>
      <c r="AN1955" s="19"/>
      <c r="AO1955" s="19"/>
      <c r="AP1955" s="19"/>
      <c r="AQ1955" s="19"/>
      <c r="AR1955" s="19"/>
      <c r="AS1955" s="19"/>
      <c r="AT1955" s="19"/>
      <c r="AU1955" s="19"/>
      <c r="AV1955" s="19"/>
      <c r="AW1955" s="19"/>
      <c r="AX1955" s="19">
        <v>10</v>
      </c>
      <c r="AY1955" s="19">
        <f>10*5800000</f>
        <v>58000000</v>
      </c>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39"/>
      <c r="CO1955" s="138"/>
      <c r="CP1955" s="139">
        <v>120</v>
      </c>
      <c r="CQ1955" s="138">
        <f>120*37000</f>
        <v>4440000</v>
      </c>
      <c r="CR1955" s="139">
        <v>120</v>
      </c>
      <c r="CS1955" s="138">
        <f>120*39700</f>
        <v>4764000</v>
      </c>
      <c r="CT1955" s="72"/>
      <c r="CU1955" s="139"/>
      <c r="CV1955" s="99">
        <f t="shared" si="185"/>
        <v>67204000</v>
      </c>
      <c r="CW1955" s="139"/>
      <c r="CX1955" s="138"/>
      <c r="CY1955" s="138">
        <v>120</v>
      </c>
      <c r="CZ1955" s="138">
        <f>120*85000</f>
        <v>10200000</v>
      </c>
      <c r="DA1955" s="139"/>
      <c r="DB1955" s="138"/>
      <c r="DC1955" s="45"/>
      <c r="DD1955" s="138"/>
      <c r="DE1955" s="45"/>
      <c r="DF1955" s="46"/>
    </row>
    <row r="1956" spans="1:110" s="42" customFormat="1" ht="108" x14ac:dyDescent="0.2">
      <c r="A1956" s="89">
        <v>40778</v>
      </c>
      <c r="B1956" s="90" t="s">
        <v>4350</v>
      </c>
      <c r="C1956" s="90" t="s">
        <v>3349</v>
      </c>
      <c r="D1956" s="90" t="s">
        <v>3346</v>
      </c>
      <c r="E1956" s="90" t="str">
        <f>VLOOKUP(B1956&amp;C1956,Divipola!$C$2:$F$1138,4,FALSE)</f>
        <v>63190</v>
      </c>
      <c r="F1956" s="4"/>
      <c r="G1956" s="101"/>
      <c r="H1956" s="101"/>
      <c r="I1956" s="101"/>
      <c r="J1956" s="101"/>
      <c r="K1956" s="101"/>
      <c r="L1956" s="101"/>
      <c r="M1956" s="101"/>
      <c r="N1956" s="101"/>
      <c r="O1956" s="101"/>
      <c r="P1956" s="101"/>
      <c r="Q1956" s="101"/>
      <c r="R1956" s="101"/>
      <c r="S1956" s="101"/>
      <c r="T1956" s="101"/>
      <c r="U1956" s="101"/>
      <c r="V1956" s="101"/>
      <c r="W1956" s="19"/>
      <c r="X1956" s="17"/>
      <c r="Y1956" s="5">
        <f t="shared" si="186"/>
        <v>0</v>
      </c>
      <c r="Z1956" s="5">
        <f t="shared" si="187"/>
        <v>0</v>
      </c>
      <c r="AA1956" s="5">
        <f t="shared" si="188"/>
        <v>0</v>
      </c>
      <c r="AB1956" s="5">
        <f t="shared" si="189"/>
        <v>0</v>
      </c>
      <c r="AC1956" s="5"/>
      <c r="AD1956" s="5">
        <v>0</v>
      </c>
      <c r="AE1956" s="5">
        <f t="shared" si="190"/>
        <v>0</v>
      </c>
      <c r="AF1956" s="70">
        <v>0</v>
      </c>
      <c r="AG1956" s="17"/>
      <c r="AH1956" s="18"/>
      <c r="AI1956" s="47" t="s">
        <v>4346</v>
      </c>
      <c r="AJ1956" s="73" t="s">
        <v>4347</v>
      </c>
      <c r="AK1956" s="45"/>
      <c r="AL1956" s="89" t="s">
        <v>2798</v>
      </c>
      <c r="AM1956" s="100" t="s">
        <v>139</v>
      </c>
      <c r="AN1956" s="19"/>
      <c r="AO1956" s="19"/>
      <c r="AP1956" s="19"/>
      <c r="AQ1956" s="19"/>
      <c r="AR1956" s="19"/>
      <c r="AS1956" s="19"/>
      <c r="AT1956" s="19"/>
      <c r="AU1956" s="19"/>
      <c r="AV1956" s="19"/>
      <c r="AW1956" s="19"/>
      <c r="AX1956" s="107"/>
      <c r="AY1956" s="107"/>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39"/>
      <c r="CO1956" s="138"/>
      <c r="CP1956" s="139"/>
      <c r="CQ1956" s="138"/>
      <c r="CR1956" s="139"/>
      <c r="CS1956" s="138"/>
      <c r="CT1956" s="72"/>
      <c r="CU1956" s="139"/>
      <c r="CV1956" s="99">
        <f t="shared" si="185"/>
        <v>0</v>
      </c>
      <c r="CW1956" s="139"/>
      <c r="CX1956" s="138"/>
      <c r="CY1956" s="138"/>
      <c r="CZ1956" s="138"/>
      <c r="DA1956" s="139"/>
      <c r="DB1956" s="138"/>
      <c r="DC1956" s="45"/>
      <c r="DD1956" s="138"/>
      <c r="DE1956" s="45"/>
      <c r="DF1956" s="46"/>
    </row>
    <row r="1957" spans="1:110" s="42" customFormat="1" ht="84" x14ac:dyDescent="0.2">
      <c r="A1957" s="89">
        <v>40778</v>
      </c>
      <c r="B1957" s="90" t="s">
        <v>4350</v>
      </c>
      <c r="C1957" s="90" t="s">
        <v>3349</v>
      </c>
      <c r="D1957" s="90" t="s">
        <v>3346</v>
      </c>
      <c r="E1957" s="90" t="str">
        <f>VLOOKUP(B1957&amp;C1957,Divipola!$C$2:$F$1138,4,FALSE)</f>
        <v>63190</v>
      </c>
      <c r="F1957" s="4"/>
      <c r="G1957" s="101"/>
      <c r="H1957" s="101"/>
      <c r="I1957" s="101"/>
      <c r="J1957" s="101">
        <v>94</v>
      </c>
      <c r="K1957" s="101">
        <v>20</v>
      </c>
      <c r="L1957" s="101"/>
      <c r="M1957" s="101">
        <v>20</v>
      </c>
      <c r="N1957" s="101"/>
      <c r="O1957" s="101"/>
      <c r="P1957" s="101"/>
      <c r="Q1957" s="101"/>
      <c r="R1957" s="101"/>
      <c r="S1957" s="101"/>
      <c r="T1957" s="101">
        <v>1</v>
      </c>
      <c r="U1957" s="101"/>
      <c r="V1957" s="101"/>
      <c r="W1957" s="19"/>
      <c r="X1957" s="17"/>
      <c r="Y1957" s="5">
        <f t="shared" si="186"/>
        <v>0</v>
      </c>
      <c r="Z1957" s="5">
        <f t="shared" si="187"/>
        <v>0</v>
      </c>
      <c r="AA1957" s="5">
        <f t="shared" si="188"/>
        <v>0</v>
      </c>
      <c r="AB1957" s="5">
        <f t="shared" si="189"/>
        <v>0</v>
      </c>
      <c r="AC1957" s="5"/>
      <c r="AD1957" s="5">
        <v>0</v>
      </c>
      <c r="AE1957" s="5">
        <f t="shared" si="190"/>
        <v>0</v>
      </c>
      <c r="AF1957" s="70">
        <v>0</v>
      </c>
      <c r="AG1957" s="17"/>
      <c r="AH1957" s="18"/>
      <c r="AI1957" s="47" t="s">
        <v>4346</v>
      </c>
      <c r="AJ1957" s="73" t="s">
        <v>4347</v>
      </c>
      <c r="AK1957" s="45"/>
      <c r="AL1957" s="89" t="s">
        <v>2798</v>
      </c>
      <c r="AM1957" s="121" t="s">
        <v>152</v>
      </c>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39"/>
      <c r="CO1957" s="138"/>
      <c r="CP1957" s="139"/>
      <c r="CQ1957" s="138"/>
      <c r="CR1957" s="139"/>
      <c r="CS1957" s="138"/>
      <c r="CT1957" s="72"/>
      <c r="CU1957" s="139"/>
      <c r="CV1957" s="99">
        <f t="shared" si="185"/>
        <v>0</v>
      </c>
      <c r="CW1957" s="139"/>
      <c r="CX1957" s="138"/>
      <c r="CY1957" s="138"/>
      <c r="CZ1957" s="138"/>
      <c r="DA1957" s="139"/>
      <c r="DB1957" s="138"/>
      <c r="DC1957" s="45"/>
      <c r="DD1957" s="138"/>
      <c r="DE1957" s="45"/>
      <c r="DF1957" s="46"/>
    </row>
    <row r="1958" spans="1:110" s="42" customFormat="1" ht="108" x14ac:dyDescent="0.2">
      <c r="A1958" s="89">
        <v>40778</v>
      </c>
      <c r="B1958" s="90" t="s">
        <v>3316</v>
      </c>
      <c r="C1958" s="90" t="s">
        <v>3443</v>
      </c>
      <c r="D1958" s="90" t="s">
        <v>2362</v>
      </c>
      <c r="E1958" s="90" t="str">
        <f>VLOOKUP(B1958&amp;C1958,Divipola!$C$2:$F$1138,4,FALSE)</f>
        <v>73124</v>
      </c>
      <c r="F1958" s="4"/>
      <c r="G1958" s="101">
        <v>1</v>
      </c>
      <c r="H1958" s="101">
        <v>2</v>
      </c>
      <c r="I1958" s="101"/>
      <c r="J1958" s="101"/>
      <c r="K1958" s="101"/>
      <c r="L1958" s="101"/>
      <c r="M1958" s="101"/>
      <c r="N1958" s="101"/>
      <c r="O1958" s="101"/>
      <c r="P1958" s="101"/>
      <c r="Q1958" s="101"/>
      <c r="R1958" s="101"/>
      <c r="S1958" s="101"/>
      <c r="T1958" s="101"/>
      <c r="U1958" s="101"/>
      <c r="V1958" s="101"/>
      <c r="W1958" s="19"/>
      <c r="X1958" s="17"/>
      <c r="Y1958" s="5">
        <f t="shared" si="186"/>
        <v>0</v>
      </c>
      <c r="Z1958" s="5">
        <f t="shared" si="187"/>
        <v>0</v>
      </c>
      <c r="AA1958" s="5">
        <f t="shared" si="188"/>
        <v>0</v>
      </c>
      <c r="AB1958" s="5">
        <f t="shared" si="189"/>
        <v>0</v>
      </c>
      <c r="AC1958" s="5"/>
      <c r="AD1958" s="5">
        <v>0</v>
      </c>
      <c r="AE1958" s="5">
        <f t="shared" si="190"/>
        <v>0</v>
      </c>
      <c r="AF1958" s="70">
        <v>0</v>
      </c>
      <c r="AG1958" s="17"/>
      <c r="AH1958" s="18"/>
      <c r="AI1958" s="47" t="s">
        <v>4336</v>
      </c>
      <c r="AJ1958" s="73" t="s">
        <v>4337</v>
      </c>
      <c r="AK1958" s="45"/>
      <c r="AL1958" s="17"/>
      <c r="AM1958" s="100" t="s">
        <v>138</v>
      </c>
      <c r="AN1958" s="19"/>
      <c r="AO1958" s="19"/>
      <c r="AP1958" s="19"/>
      <c r="AQ1958" s="19"/>
      <c r="AR1958" s="19"/>
      <c r="AS1958" s="19"/>
      <c r="AT1958" s="19"/>
      <c r="AU1958" s="19"/>
      <c r="AV1958" s="19"/>
      <c r="AW1958" s="19"/>
      <c r="AX1958" s="107"/>
      <c r="AY1958" s="107"/>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39"/>
      <c r="CO1958" s="138"/>
      <c r="CP1958" s="139"/>
      <c r="CQ1958" s="138"/>
      <c r="CR1958" s="139"/>
      <c r="CS1958" s="138"/>
      <c r="CT1958" s="72"/>
      <c r="CU1958" s="139"/>
      <c r="CV1958" s="99">
        <f t="shared" si="185"/>
        <v>0</v>
      </c>
      <c r="CW1958" s="139"/>
      <c r="CX1958" s="138"/>
      <c r="CY1958" s="138"/>
      <c r="CZ1958" s="138"/>
      <c r="DA1958" s="139"/>
      <c r="DB1958" s="138"/>
      <c r="DC1958" s="45"/>
      <c r="DD1958" s="138"/>
      <c r="DE1958" s="45"/>
      <c r="DF1958" s="46"/>
    </row>
    <row r="1959" spans="1:110" s="42" customFormat="1" ht="48" x14ac:dyDescent="0.2">
      <c r="A1959" s="89">
        <v>40778</v>
      </c>
      <c r="B1959" s="90" t="s">
        <v>4244</v>
      </c>
      <c r="C1959" s="90" t="s">
        <v>4226</v>
      </c>
      <c r="D1959" s="90" t="s">
        <v>3346</v>
      </c>
      <c r="E1959" s="90" t="str">
        <f>VLOOKUP(B1959&amp;C1959,Divipola!$C$2:$F$1138,4,FALSE)</f>
        <v>76364</v>
      </c>
      <c r="F1959" s="4"/>
      <c r="G1959" s="101"/>
      <c r="H1959" s="101"/>
      <c r="I1959" s="101"/>
      <c r="J1959" s="101">
        <v>25</v>
      </c>
      <c r="K1959" s="101">
        <v>5</v>
      </c>
      <c r="L1959" s="101"/>
      <c r="M1959" s="101">
        <v>5</v>
      </c>
      <c r="N1959" s="101"/>
      <c r="O1959" s="101"/>
      <c r="P1959" s="101"/>
      <c r="Q1959" s="101"/>
      <c r="R1959" s="101"/>
      <c r="S1959" s="101"/>
      <c r="T1959" s="101"/>
      <c r="U1959" s="101"/>
      <c r="V1959" s="101"/>
      <c r="W1959" s="19"/>
      <c r="X1959" s="17"/>
      <c r="Y1959" s="5">
        <f t="shared" si="186"/>
        <v>0</v>
      </c>
      <c r="Z1959" s="5">
        <f t="shared" si="187"/>
        <v>0</v>
      </c>
      <c r="AA1959" s="5">
        <f t="shared" si="188"/>
        <v>0</v>
      </c>
      <c r="AB1959" s="5">
        <f t="shared" si="189"/>
        <v>0</v>
      </c>
      <c r="AC1959" s="5"/>
      <c r="AD1959" s="5">
        <v>0</v>
      </c>
      <c r="AE1959" s="5">
        <f t="shared" si="190"/>
        <v>0</v>
      </c>
      <c r="AF1959" s="70">
        <v>0</v>
      </c>
      <c r="AG1959" s="17"/>
      <c r="AH1959" s="18"/>
      <c r="AI1959" s="47" t="s">
        <v>4336</v>
      </c>
      <c r="AJ1959" s="73" t="s">
        <v>4337</v>
      </c>
      <c r="AK1959" s="45"/>
      <c r="AL1959" s="17"/>
      <c r="AM1959" s="100" t="s">
        <v>149</v>
      </c>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c r="BQ1959" s="19"/>
      <c r="BR1959" s="19"/>
      <c r="BS1959" s="19"/>
      <c r="BT1959" s="19"/>
      <c r="BU1959" s="19"/>
      <c r="BV1959" s="19"/>
      <c r="BW1959" s="19"/>
      <c r="BX1959" s="19"/>
      <c r="BY1959" s="19"/>
      <c r="BZ1959" s="19"/>
      <c r="CA1959" s="19"/>
      <c r="CB1959" s="19"/>
      <c r="CC1959" s="19"/>
      <c r="CD1959" s="19"/>
      <c r="CE1959" s="19"/>
      <c r="CF1959" s="19"/>
      <c r="CG1959" s="19"/>
      <c r="CH1959" s="19"/>
      <c r="CI1959" s="19"/>
      <c r="CJ1959" s="19"/>
      <c r="CK1959" s="19"/>
      <c r="CL1959" s="19"/>
      <c r="CM1959" s="19"/>
      <c r="CN1959" s="139"/>
      <c r="CO1959" s="138"/>
      <c r="CP1959" s="139"/>
      <c r="CQ1959" s="138"/>
      <c r="CR1959" s="139"/>
      <c r="CS1959" s="138"/>
      <c r="CT1959" s="72"/>
      <c r="CU1959" s="139"/>
      <c r="CV1959" s="99">
        <f t="shared" si="185"/>
        <v>0</v>
      </c>
      <c r="CW1959" s="139"/>
      <c r="CX1959" s="138"/>
      <c r="CY1959" s="138"/>
      <c r="CZ1959" s="138"/>
      <c r="DA1959" s="139"/>
      <c r="DB1959" s="138"/>
      <c r="DC1959" s="45"/>
      <c r="DD1959" s="138"/>
      <c r="DE1959" s="45"/>
      <c r="DF1959" s="46">
        <v>1951</v>
      </c>
    </row>
    <row r="1960" spans="1:110" s="42" customFormat="1" ht="48" x14ac:dyDescent="0.2">
      <c r="A1960" s="89">
        <v>40779</v>
      </c>
      <c r="B1960" s="151" t="s">
        <v>2225</v>
      </c>
      <c r="C1960" s="90" t="s">
        <v>1862</v>
      </c>
      <c r="D1960" s="90" t="s">
        <v>3346</v>
      </c>
      <c r="E1960" s="90" t="str">
        <f>VLOOKUP(B1960&amp;C1960,Divipola!$C$2:$F$1138,4,FALSE)</f>
        <v>27077</v>
      </c>
      <c r="F1960" s="4"/>
      <c r="G1960" s="101"/>
      <c r="H1960" s="101"/>
      <c r="I1960" s="101"/>
      <c r="J1960" s="101">
        <v>1385</v>
      </c>
      <c r="K1960" s="101">
        <v>277</v>
      </c>
      <c r="L1960" s="101">
        <v>11</v>
      </c>
      <c r="M1960" s="101">
        <v>266</v>
      </c>
      <c r="N1960" s="101"/>
      <c r="O1960" s="101"/>
      <c r="P1960" s="101"/>
      <c r="Q1960" s="101"/>
      <c r="R1960" s="101"/>
      <c r="S1960" s="101"/>
      <c r="T1960" s="101"/>
      <c r="U1960" s="101"/>
      <c r="V1960" s="101"/>
      <c r="W1960" s="19"/>
      <c r="X1960" s="17"/>
      <c r="Y1960" s="5">
        <v>0</v>
      </c>
      <c r="Z1960" s="5">
        <v>0</v>
      </c>
      <c r="AA1960" s="5">
        <v>0</v>
      </c>
      <c r="AB1960" s="5">
        <v>0</v>
      </c>
      <c r="AC1960" s="5"/>
      <c r="AD1960" s="5">
        <v>0</v>
      </c>
      <c r="AE1960" s="5">
        <v>0</v>
      </c>
      <c r="AF1960" s="70">
        <v>0</v>
      </c>
      <c r="AG1960" s="17"/>
      <c r="AH1960" s="18"/>
      <c r="AI1960" s="47" t="s">
        <v>4336</v>
      </c>
      <c r="AJ1960" s="73" t="s">
        <v>4337</v>
      </c>
      <c r="AK1960" s="45"/>
      <c r="AL1960" s="17"/>
      <c r="AM1960" s="121" t="s">
        <v>42</v>
      </c>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19"/>
      <c r="BL1960" s="19"/>
      <c r="BM1960" s="19"/>
      <c r="BN1960" s="19"/>
      <c r="BO1960" s="19"/>
      <c r="BP1960" s="19"/>
      <c r="BQ1960" s="19"/>
      <c r="BR1960" s="19"/>
      <c r="BS1960" s="19"/>
      <c r="BT1960" s="19"/>
      <c r="BU1960" s="19"/>
      <c r="BV1960" s="19"/>
      <c r="BW1960" s="19"/>
      <c r="BX1960" s="19"/>
      <c r="BY1960" s="19"/>
      <c r="BZ1960" s="19"/>
      <c r="CA1960" s="19"/>
      <c r="CB1960" s="19"/>
      <c r="CC1960" s="19"/>
      <c r="CD1960" s="139"/>
      <c r="CE1960" s="138"/>
      <c r="CF1960" s="139"/>
      <c r="CG1960" s="138"/>
      <c r="CH1960" s="139"/>
      <c r="CI1960" s="138"/>
      <c r="CJ1960" s="72"/>
      <c r="CK1960" s="139"/>
      <c r="CL1960" s="71"/>
      <c r="CM1960" s="139"/>
      <c r="CN1960" s="138"/>
      <c r="CO1960" s="138"/>
      <c r="CP1960" s="138"/>
      <c r="CQ1960" s="139"/>
      <c r="CR1960" s="138"/>
      <c r="CS1960" s="45"/>
      <c r="CT1960" s="138"/>
      <c r="CU1960" s="45"/>
      <c r="CV1960" s="99">
        <f t="shared" si="185"/>
        <v>0</v>
      </c>
      <c r="CW1960" s="139"/>
      <c r="CX1960" s="138"/>
      <c r="CY1960" s="138"/>
      <c r="CZ1960" s="138"/>
      <c r="DA1960" s="139"/>
      <c r="DB1960" s="138"/>
      <c r="DC1960" s="45"/>
      <c r="DD1960" s="138"/>
      <c r="DE1960" s="45"/>
      <c r="DF1960" s="46"/>
    </row>
    <row r="1961" spans="1:110" s="42" customFormat="1" ht="84" x14ac:dyDescent="0.2">
      <c r="A1961" s="89">
        <v>40780</v>
      </c>
      <c r="B1961" s="16" t="s">
        <v>3301</v>
      </c>
      <c r="C1961" s="16" t="s">
        <v>4229</v>
      </c>
      <c r="D1961" s="90" t="s">
        <v>4264</v>
      </c>
      <c r="E1961" s="90" t="str">
        <f>VLOOKUP(B1961&amp;C1961,Divipola!$C$2:$F$1138,4,FALSE)</f>
        <v>81794</v>
      </c>
      <c r="F1961" s="4"/>
      <c r="G1961" s="208"/>
      <c r="H1961" s="208"/>
      <c r="I1961" s="208"/>
      <c r="J1961" s="208"/>
      <c r="K1961" s="208"/>
      <c r="L1961" s="208"/>
      <c r="M1961" s="208"/>
      <c r="N1961" s="208">
        <v>1</v>
      </c>
      <c r="O1961" s="208"/>
      <c r="P1961" s="208"/>
      <c r="Q1961" s="208"/>
      <c r="R1961" s="208"/>
      <c r="S1961" s="208"/>
      <c r="T1961" s="208"/>
      <c r="U1961" s="208"/>
      <c r="V1961" s="208"/>
      <c r="W1961" s="19"/>
      <c r="X1961" s="17"/>
      <c r="Y1961" s="5">
        <f t="shared" ref="Y1961:Y1984" si="191">CV1961</f>
        <v>0</v>
      </c>
      <c r="Z1961" s="5">
        <f t="shared" ref="Z1961:Z1984" si="192">CZ1961</f>
        <v>0</v>
      </c>
      <c r="AA1961" s="5">
        <f t="shared" ref="AA1961:AA1984" si="193">DB1961+DD1961</f>
        <v>0</v>
      </c>
      <c r="AB1961" s="5">
        <f t="shared" ref="AB1961:AB1984" si="194">CX1961</f>
        <v>0</v>
      </c>
      <c r="AC1961" s="5"/>
      <c r="AD1961" s="5">
        <v>100000000</v>
      </c>
      <c r="AE1961" s="5">
        <f t="shared" ref="AE1961:AE1984" si="195">Y1961+Z1961+AA1961+AB1961+AC1961+AD1961</f>
        <v>100000000</v>
      </c>
      <c r="AF1961" s="70">
        <v>0</v>
      </c>
      <c r="AG1961" s="17"/>
      <c r="AH1961" s="18"/>
      <c r="AI1961" s="95" t="s">
        <v>4346</v>
      </c>
      <c r="AJ1961" s="96" t="s">
        <v>4347</v>
      </c>
      <c r="AK1961" s="45"/>
      <c r="AL1961" s="17"/>
      <c r="AM1961" s="20" t="s">
        <v>141</v>
      </c>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c r="BV1961" s="19"/>
      <c r="BW1961" s="19"/>
      <c r="BX1961" s="19"/>
      <c r="BY1961" s="19"/>
      <c r="BZ1961" s="19"/>
      <c r="CA1961" s="19"/>
      <c r="CB1961" s="19"/>
      <c r="CC1961" s="19"/>
      <c r="CD1961" s="19"/>
      <c r="CE1961" s="19"/>
      <c r="CF1961" s="19"/>
      <c r="CG1961" s="19"/>
      <c r="CH1961" s="19"/>
      <c r="CI1961" s="19"/>
      <c r="CJ1961" s="19"/>
      <c r="CK1961" s="19"/>
      <c r="CL1961" s="19"/>
      <c r="CM1961" s="19"/>
      <c r="CN1961" s="139"/>
      <c r="CO1961" s="138"/>
      <c r="CP1961" s="139"/>
      <c r="CQ1961" s="138"/>
      <c r="CR1961" s="139"/>
      <c r="CS1961" s="138"/>
      <c r="CT1961" s="72"/>
      <c r="CU1961" s="139"/>
      <c r="CV1961" s="99">
        <f t="shared" si="185"/>
        <v>0</v>
      </c>
      <c r="CW1961" s="139"/>
      <c r="CX1961" s="138"/>
      <c r="CY1961" s="138"/>
      <c r="CZ1961" s="138"/>
      <c r="DA1961" s="139"/>
      <c r="DB1961" s="138"/>
      <c r="DC1961" s="45"/>
      <c r="DD1961" s="138"/>
      <c r="DE1961" s="45"/>
      <c r="DF1961" s="46"/>
    </row>
    <row r="1962" spans="1:110" s="42" customFormat="1" x14ac:dyDescent="0.2">
      <c r="A1962" s="89">
        <v>40780</v>
      </c>
      <c r="B1962" s="90" t="s">
        <v>4386</v>
      </c>
      <c r="C1962" s="90" t="s">
        <v>1548</v>
      </c>
      <c r="D1962" s="90" t="s">
        <v>4264</v>
      </c>
      <c r="E1962" s="90" t="str">
        <f>VLOOKUP(B1962&amp;C1962,Divipola!$C$2:$F$1138,4,FALSE)</f>
        <v>20228</v>
      </c>
      <c r="F1962" s="4"/>
      <c r="G1962" s="208"/>
      <c r="H1962" s="208"/>
      <c r="I1962" s="208"/>
      <c r="J1962" s="208"/>
      <c r="K1962" s="208"/>
      <c r="L1962" s="208"/>
      <c r="M1962" s="208"/>
      <c r="N1962" s="208"/>
      <c r="O1962" s="208"/>
      <c r="P1962" s="208"/>
      <c r="Q1962" s="208"/>
      <c r="R1962" s="208"/>
      <c r="S1962" s="208"/>
      <c r="T1962" s="208"/>
      <c r="U1962" s="208"/>
      <c r="V1962" s="208"/>
      <c r="W1962" s="19"/>
      <c r="X1962" s="17"/>
      <c r="Y1962" s="5">
        <f t="shared" si="191"/>
        <v>70078000</v>
      </c>
      <c r="Z1962" s="5">
        <f t="shared" si="192"/>
        <v>160990000</v>
      </c>
      <c r="AA1962" s="5">
        <f t="shared" si="193"/>
        <v>0</v>
      </c>
      <c r="AB1962" s="5">
        <f t="shared" si="194"/>
        <v>0</v>
      </c>
      <c r="AC1962" s="5"/>
      <c r="AD1962" s="5">
        <v>0</v>
      </c>
      <c r="AE1962" s="5">
        <f t="shared" si="195"/>
        <v>231068000</v>
      </c>
      <c r="AF1962" s="70">
        <v>0</v>
      </c>
      <c r="AG1962" s="17"/>
      <c r="AH1962" s="18"/>
      <c r="AI1962" s="95" t="s">
        <v>4346</v>
      </c>
      <c r="AJ1962" s="96" t="s">
        <v>4347</v>
      </c>
      <c r="AK1962" s="45"/>
      <c r="AL1962" s="17"/>
      <c r="AM1962" s="20"/>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c r="BV1962" s="19"/>
      <c r="BW1962" s="19"/>
      <c r="BX1962" s="19"/>
      <c r="BY1962" s="19"/>
      <c r="BZ1962" s="19"/>
      <c r="CA1962" s="19"/>
      <c r="CB1962" s="19"/>
      <c r="CC1962" s="19"/>
      <c r="CD1962" s="19"/>
      <c r="CE1962" s="19"/>
      <c r="CF1962" s="19"/>
      <c r="CG1962" s="19"/>
      <c r="CH1962" s="19"/>
      <c r="CI1962" s="19"/>
      <c r="CJ1962" s="19"/>
      <c r="CK1962" s="19"/>
      <c r="CL1962" s="19"/>
      <c r="CM1962" s="19"/>
      <c r="CN1962" s="139"/>
      <c r="CO1962" s="138"/>
      <c r="CP1962" s="139">
        <v>1894</v>
      </c>
      <c r="CQ1962" s="138">
        <f>1894*37000</f>
        <v>70078000</v>
      </c>
      <c r="CR1962" s="139"/>
      <c r="CS1962" s="138"/>
      <c r="CT1962" s="72"/>
      <c r="CU1962" s="139"/>
      <c r="CV1962" s="99">
        <f t="shared" si="185"/>
        <v>70078000</v>
      </c>
      <c r="CW1962" s="139"/>
      <c r="CX1962" s="138"/>
      <c r="CY1962" s="138">
        <v>1894</v>
      </c>
      <c r="CZ1962" s="138">
        <f>1894*85000</f>
        <v>160990000</v>
      </c>
      <c r="DA1962" s="139"/>
      <c r="DB1962" s="138"/>
      <c r="DC1962" s="45"/>
      <c r="DD1962" s="138"/>
      <c r="DE1962" s="45"/>
      <c r="DF1962" s="46"/>
    </row>
    <row r="1963" spans="1:110" s="42" customFormat="1" ht="120" x14ac:dyDescent="0.2">
      <c r="A1963" s="89">
        <v>40780</v>
      </c>
      <c r="B1963" s="90" t="s">
        <v>4221</v>
      </c>
      <c r="C1963" s="90" t="s">
        <v>4300</v>
      </c>
      <c r="D1963" s="90" t="s">
        <v>4264</v>
      </c>
      <c r="E1963" s="90" t="str">
        <f>VLOOKUP(B1963&amp;C1963,Divipola!$C$2:$F$1138,4,FALSE)</f>
        <v>54874</v>
      </c>
      <c r="F1963" s="4"/>
      <c r="G1963" s="101"/>
      <c r="H1963" s="101"/>
      <c r="I1963" s="101"/>
      <c r="J1963" s="101">
        <v>50</v>
      </c>
      <c r="K1963" s="101">
        <v>10</v>
      </c>
      <c r="L1963" s="101"/>
      <c r="M1963" s="101">
        <v>10</v>
      </c>
      <c r="N1963" s="101"/>
      <c r="O1963" s="101"/>
      <c r="P1963" s="101"/>
      <c r="Q1963" s="101"/>
      <c r="R1963" s="101"/>
      <c r="S1963" s="101"/>
      <c r="T1963" s="101"/>
      <c r="U1963" s="101"/>
      <c r="V1963" s="101"/>
      <c r="W1963" s="19"/>
      <c r="X1963" s="17"/>
      <c r="Y1963" s="5">
        <f t="shared" si="191"/>
        <v>0</v>
      </c>
      <c r="Z1963" s="5">
        <f t="shared" si="192"/>
        <v>0</v>
      </c>
      <c r="AA1963" s="5">
        <f t="shared" si="193"/>
        <v>0</v>
      </c>
      <c r="AB1963" s="5">
        <f t="shared" si="194"/>
        <v>0</v>
      </c>
      <c r="AC1963" s="5"/>
      <c r="AD1963" s="5">
        <v>200000000</v>
      </c>
      <c r="AE1963" s="5">
        <f t="shared" si="195"/>
        <v>200000000</v>
      </c>
      <c r="AF1963" s="70">
        <v>0</v>
      </c>
      <c r="AG1963" s="17"/>
      <c r="AH1963" s="18"/>
      <c r="AI1963" s="95" t="s">
        <v>4346</v>
      </c>
      <c r="AJ1963" s="96" t="s">
        <v>4347</v>
      </c>
      <c r="AK1963" s="45"/>
      <c r="AL1963" s="17"/>
      <c r="AM1963" s="121" t="s">
        <v>2408</v>
      </c>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19"/>
      <c r="BW1963" s="19"/>
      <c r="BX1963" s="19"/>
      <c r="BY1963" s="19"/>
      <c r="BZ1963" s="19"/>
      <c r="CA1963" s="19"/>
      <c r="CB1963" s="19"/>
      <c r="CC1963" s="19"/>
      <c r="CD1963" s="19"/>
      <c r="CE1963" s="19"/>
      <c r="CF1963" s="19"/>
      <c r="CG1963" s="19"/>
      <c r="CH1963" s="19"/>
      <c r="CI1963" s="19"/>
      <c r="CJ1963" s="19"/>
      <c r="CK1963" s="19"/>
      <c r="CL1963" s="19"/>
      <c r="CM1963" s="19"/>
      <c r="CN1963" s="139"/>
      <c r="CO1963" s="138"/>
      <c r="CP1963" s="139"/>
      <c r="CQ1963" s="138"/>
      <c r="CR1963" s="139"/>
      <c r="CS1963" s="138"/>
      <c r="CT1963" s="72"/>
      <c r="CU1963" s="139"/>
      <c r="CV1963" s="99">
        <f t="shared" si="185"/>
        <v>0</v>
      </c>
      <c r="CW1963" s="139"/>
      <c r="CX1963" s="138"/>
      <c r="CY1963" s="138"/>
      <c r="CZ1963" s="138"/>
      <c r="DA1963" s="139"/>
      <c r="DB1963" s="138"/>
      <c r="DC1963" s="45"/>
      <c r="DD1963" s="138"/>
      <c r="DE1963" s="45"/>
      <c r="DF1963" s="46"/>
    </row>
    <row r="1964" spans="1:110" s="42" customFormat="1" ht="132" x14ac:dyDescent="0.2">
      <c r="A1964" s="89">
        <v>40780</v>
      </c>
      <c r="B1964" s="153" t="s">
        <v>4244</v>
      </c>
      <c r="C1964" s="4" t="s">
        <v>4276</v>
      </c>
      <c r="D1964" s="90" t="s">
        <v>4264</v>
      </c>
      <c r="E1964" s="90" t="str">
        <f>VLOOKUP(B1964&amp;C1964,Divipola!$C$2:$F$1138,4,FALSE)</f>
        <v>76113</v>
      </c>
      <c r="F1964" s="4"/>
      <c r="G1964" s="208"/>
      <c r="H1964" s="208"/>
      <c r="I1964" s="208"/>
      <c r="J1964" s="208"/>
      <c r="K1964" s="208"/>
      <c r="L1964" s="208"/>
      <c r="M1964" s="208"/>
      <c r="N1964" s="208"/>
      <c r="O1964" s="208"/>
      <c r="P1964" s="208"/>
      <c r="Q1964" s="208"/>
      <c r="R1964" s="208"/>
      <c r="S1964" s="208"/>
      <c r="T1964" s="208"/>
      <c r="U1964" s="208"/>
      <c r="V1964" s="208"/>
      <c r="W1964" s="19"/>
      <c r="X1964" s="17"/>
      <c r="Y1964" s="5">
        <f t="shared" si="191"/>
        <v>0</v>
      </c>
      <c r="Z1964" s="5">
        <f t="shared" si="192"/>
        <v>0</v>
      </c>
      <c r="AA1964" s="5">
        <f t="shared" si="193"/>
        <v>0</v>
      </c>
      <c r="AB1964" s="5">
        <f t="shared" si="194"/>
        <v>0</v>
      </c>
      <c r="AC1964" s="143">
        <f>1*23999.24+1*73660+1*29696+1*23548+1*44312+2*29371.2+1*98832+1*66352+2*145023.2+1*555083.2+1*127971.2+4*101964+1*446832+2714*7946</f>
        <v>23812374.440000001</v>
      </c>
      <c r="AD1964" s="5">
        <v>0</v>
      </c>
      <c r="AE1964" s="5">
        <f t="shared" si="195"/>
        <v>23812374.440000001</v>
      </c>
      <c r="AF1964" s="70">
        <v>0</v>
      </c>
      <c r="AG1964" s="17"/>
      <c r="AH1964" s="18"/>
      <c r="AI1964" s="95" t="s">
        <v>4346</v>
      </c>
      <c r="AJ1964" s="96" t="s">
        <v>4347</v>
      </c>
      <c r="AK1964" s="45"/>
      <c r="AL1964" s="17"/>
      <c r="AM1964" s="136" t="s">
        <v>2411</v>
      </c>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19"/>
      <c r="BV1964" s="19"/>
      <c r="BW1964" s="19"/>
      <c r="BX1964" s="19"/>
      <c r="BY1964" s="19"/>
      <c r="BZ1964" s="19"/>
      <c r="CA1964" s="19"/>
      <c r="CB1964" s="19"/>
      <c r="CC1964" s="19"/>
      <c r="CD1964" s="19"/>
      <c r="CE1964" s="19"/>
      <c r="CF1964" s="19"/>
      <c r="CG1964" s="19"/>
      <c r="CH1964" s="19"/>
      <c r="CI1964" s="19"/>
      <c r="CJ1964" s="19"/>
      <c r="CK1964" s="19"/>
      <c r="CL1964" s="19"/>
      <c r="CM1964" s="19"/>
      <c r="CN1964" s="139"/>
      <c r="CO1964" s="138"/>
      <c r="CP1964" s="139"/>
      <c r="CQ1964" s="138"/>
      <c r="CR1964" s="139"/>
      <c r="CS1964" s="138"/>
      <c r="CT1964" s="72"/>
      <c r="CU1964" s="139"/>
      <c r="CV1964" s="99">
        <f t="shared" si="185"/>
        <v>0</v>
      </c>
      <c r="CW1964" s="139"/>
      <c r="CX1964" s="138"/>
      <c r="CY1964" s="138"/>
      <c r="CZ1964" s="138"/>
      <c r="DA1964" s="139"/>
      <c r="DB1964" s="138"/>
      <c r="DC1964" s="45"/>
      <c r="DD1964" s="138"/>
      <c r="DE1964" s="45"/>
      <c r="DF1964" s="46"/>
    </row>
    <row r="1965" spans="1:110" s="42" customFormat="1" ht="48" x14ac:dyDescent="0.2">
      <c r="A1965" s="89">
        <v>40781</v>
      </c>
      <c r="B1965" s="151" t="s">
        <v>4326</v>
      </c>
      <c r="C1965" s="90" t="s">
        <v>4011</v>
      </c>
      <c r="D1965" s="90" t="s">
        <v>3346</v>
      </c>
      <c r="E1965" s="90" t="str">
        <f>VLOOKUP(B1965&amp;C1965,Divipola!$C$2:$F$1138,4,FALSE)</f>
        <v>08638</v>
      </c>
      <c r="F1965" s="4"/>
      <c r="G1965" s="101"/>
      <c r="H1965" s="101"/>
      <c r="I1965" s="101"/>
      <c r="J1965" s="101">
        <f>126*5</f>
        <v>630</v>
      </c>
      <c r="K1965" s="101">
        <v>126</v>
      </c>
      <c r="L1965" s="101"/>
      <c r="M1965" s="101">
        <f>18+108</f>
        <v>126</v>
      </c>
      <c r="N1965" s="101"/>
      <c r="O1965" s="101"/>
      <c r="P1965" s="101"/>
      <c r="Q1965" s="101"/>
      <c r="R1965" s="101"/>
      <c r="S1965" s="101"/>
      <c r="T1965" s="101"/>
      <c r="U1965" s="101"/>
      <c r="V1965" s="101"/>
      <c r="W1965" s="19"/>
      <c r="X1965" s="17"/>
      <c r="Y1965" s="5">
        <f t="shared" si="191"/>
        <v>0</v>
      </c>
      <c r="Z1965" s="5">
        <f t="shared" si="192"/>
        <v>0</v>
      </c>
      <c r="AA1965" s="5">
        <f t="shared" si="193"/>
        <v>28269820.600000001</v>
      </c>
      <c r="AB1965" s="5">
        <f t="shared" si="194"/>
        <v>0</v>
      </c>
      <c r="AC1965" s="5"/>
      <c r="AD1965" s="5">
        <v>0</v>
      </c>
      <c r="AE1965" s="5">
        <f t="shared" si="195"/>
        <v>28269820.600000001</v>
      </c>
      <c r="AF1965" s="70">
        <v>0</v>
      </c>
      <c r="AG1965" s="17"/>
      <c r="AH1965" s="18"/>
      <c r="AI1965" s="47" t="s">
        <v>4346</v>
      </c>
      <c r="AJ1965" s="73" t="s">
        <v>4347</v>
      </c>
      <c r="AK1965" s="45"/>
      <c r="AL1965" s="17"/>
      <c r="AM1965" s="121" t="s">
        <v>43</v>
      </c>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39"/>
      <c r="CO1965" s="138"/>
      <c r="CP1965" s="139"/>
      <c r="CQ1965" s="138"/>
      <c r="CR1965" s="139"/>
      <c r="CS1965" s="138"/>
      <c r="CT1965" s="72"/>
      <c r="CU1965" s="139"/>
      <c r="CV1965" s="99">
        <f t="shared" si="185"/>
        <v>0</v>
      </c>
      <c r="CW1965" s="139"/>
      <c r="CX1965" s="138"/>
      <c r="CY1965" s="138"/>
      <c r="CZ1965" s="138"/>
      <c r="DA1965" s="139"/>
      <c r="DB1965" s="138"/>
      <c r="DC1965" s="45">
        <f>54+710</f>
        <v>764</v>
      </c>
      <c r="DD1965" s="138">
        <f>54*22499.36+3762*348+137*31999.76+21*25999.08+214*31999.76+388*35999.44</f>
        <v>28269820.600000001</v>
      </c>
      <c r="DE1965" s="45"/>
      <c r="DF1965" s="46"/>
    </row>
    <row r="1966" spans="1:110" s="42" customFormat="1" ht="48" x14ac:dyDescent="0.2">
      <c r="A1966" s="89">
        <v>40781</v>
      </c>
      <c r="B1966" s="90" t="s">
        <v>874</v>
      </c>
      <c r="C1966" s="90" t="s">
        <v>1428</v>
      </c>
      <c r="D1966" s="90" t="s">
        <v>3346</v>
      </c>
      <c r="E1966" s="90" t="str">
        <f>VLOOKUP(B1966&amp;C1966,Divipola!$C$2:$F$1138,4,FALSE)</f>
        <v>44035</v>
      </c>
      <c r="F1966" s="4"/>
      <c r="G1966" s="101"/>
      <c r="H1966" s="101"/>
      <c r="I1966" s="101"/>
      <c r="J1966" s="101">
        <v>35</v>
      </c>
      <c r="K1966" s="101">
        <v>7</v>
      </c>
      <c r="L1966" s="101"/>
      <c r="M1966" s="101">
        <v>7</v>
      </c>
      <c r="N1966" s="101"/>
      <c r="O1966" s="101"/>
      <c r="P1966" s="101"/>
      <c r="Q1966" s="101"/>
      <c r="R1966" s="101"/>
      <c r="S1966" s="101"/>
      <c r="T1966" s="101"/>
      <c r="U1966" s="101"/>
      <c r="V1966" s="101"/>
      <c r="W1966" s="19"/>
      <c r="X1966" s="17"/>
      <c r="Y1966" s="5">
        <f t="shared" si="191"/>
        <v>0</v>
      </c>
      <c r="Z1966" s="5">
        <f t="shared" si="192"/>
        <v>0</v>
      </c>
      <c r="AA1966" s="5">
        <f t="shared" si="193"/>
        <v>0</v>
      </c>
      <c r="AB1966" s="5">
        <f t="shared" si="194"/>
        <v>0</v>
      </c>
      <c r="AC1966" s="5"/>
      <c r="AD1966" s="5">
        <v>0</v>
      </c>
      <c r="AE1966" s="5">
        <f t="shared" si="195"/>
        <v>0</v>
      </c>
      <c r="AF1966" s="70">
        <v>0</v>
      </c>
      <c r="AG1966" s="17"/>
      <c r="AH1966" s="18"/>
      <c r="AI1966" s="47" t="s">
        <v>4336</v>
      </c>
      <c r="AJ1966" s="73" t="s">
        <v>4337</v>
      </c>
      <c r="AK1966" s="45"/>
      <c r="AL1966" s="17"/>
      <c r="AM1966" s="121" t="s">
        <v>154</v>
      </c>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39"/>
      <c r="CO1966" s="138"/>
      <c r="CP1966" s="139"/>
      <c r="CQ1966" s="138"/>
      <c r="CR1966" s="139"/>
      <c r="CS1966" s="138"/>
      <c r="CT1966" s="72"/>
      <c r="CU1966" s="139"/>
      <c r="CV1966" s="99">
        <f t="shared" si="185"/>
        <v>0</v>
      </c>
      <c r="CW1966" s="139"/>
      <c r="CX1966" s="138"/>
      <c r="CY1966" s="138"/>
      <c r="CZ1966" s="138"/>
      <c r="DA1966" s="139"/>
      <c r="DB1966" s="138"/>
      <c r="DC1966" s="45"/>
      <c r="DD1966" s="138"/>
      <c r="DE1966" s="45"/>
      <c r="DF1966" s="46"/>
    </row>
    <row r="1967" spans="1:110" s="42" customFormat="1" ht="48" x14ac:dyDescent="0.2">
      <c r="A1967" s="89">
        <v>40781</v>
      </c>
      <c r="B1967" s="90" t="s">
        <v>4221</v>
      </c>
      <c r="C1967" s="90" t="s">
        <v>4299</v>
      </c>
      <c r="D1967" s="90" t="s">
        <v>3346</v>
      </c>
      <c r="E1967" s="90" t="str">
        <f>VLOOKUP(B1967&amp;C1967,Divipola!$C$2:$F$1138,4,FALSE)</f>
        <v>54001</v>
      </c>
      <c r="F1967" s="4"/>
      <c r="G1967" s="101"/>
      <c r="H1967" s="101"/>
      <c r="I1967" s="101"/>
      <c r="J1967" s="101">
        <v>4</v>
      </c>
      <c r="K1967" s="101">
        <v>1</v>
      </c>
      <c r="L1967" s="101">
        <v>1</v>
      </c>
      <c r="M1967" s="101"/>
      <c r="N1967" s="101"/>
      <c r="O1967" s="101"/>
      <c r="P1967" s="101"/>
      <c r="Q1967" s="101"/>
      <c r="R1967" s="101"/>
      <c r="S1967" s="101"/>
      <c r="T1967" s="101"/>
      <c r="U1967" s="101"/>
      <c r="V1967" s="101"/>
      <c r="W1967" s="19"/>
      <c r="X1967" s="17"/>
      <c r="Y1967" s="5">
        <f t="shared" si="191"/>
        <v>0</v>
      </c>
      <c r="Z1967" s="5">
        <f t="shared" si="192"/>
        <v>0</v>
      </c>
      <c r="AA1967" s="5">
        <f t="shared" si="193"/>
        <v>0</v>
      </c>
      <c r="AB1967" s="5">
        <f t="shared" si="194"/>
        <v>0</v>
      </c>
      <c r="AC1967" s="5"/>
      <c r="AD1967" s="5">
        <v>0</v>
      </c>
      <c r="AE1967" s="5">
        <f t="shared" si="195"/>
        <v>0</v>
      </c>
      <c r="AF1967" s="70">
        <v>0</v>
      </c>
      <c r="AG1967" s="17"/>
      <c r="AH1967" s="18"/>
      <c r="AI1967" s="47" t="s">
        <v>4336</v>
      </c>
      <c r="AJ1967" s="73" t="s">
        <v>4337</v>
      </c>
      <c r="AK1967" s="45"/>
      <c r="AL1967" s="17"/>
      <c r="AM1967" s="100" t="s">
        <v>153</v>
      </c>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39"/>
      <c r="CO1967" s="138"/>
      <c r="CP1967" s="139"/>
      <c r="CQ1967" s="138"/>
      <c r="CR1967" s="139"/>
      <c r="CS1967" s="138"/>
      <c r="CT1967" s="72"/>
      <c r="CU1967" s="139"/>
      <c r="CV1967" s="99">
        <f t="shared" si="185"/>
        <v>0</v>
      </c>
      <c r="CW1967" s="139"/>
      <c r="CX1967" s="138"/>
      <c r="CY1967" s="138"/>
      <c r="CZ1967" s="138"/>
      <c r="DA1967" s="139"/>
      <c r="DB1967" s="138"/>
      <c r="DC1967" s="45"/>
      <c r="DD1967" s="138"/>
      <c r="DE1967" s="45"/>
      <c r="DF1967" s="46"/>
    </row>
    <row r="1968" spans="1:110" s="42" customFormat="1" ht="132" x14ac:dyDescent="0.2">
      <c r="A1968" s="89">
        <v>40782</v>
      </c>
      <c r="B1968" s="90" t="s">
        <v>4282</v>
      </c>
      <c r="C1968" s="90" t="s">
        <v>1642</v>
      </c>
      <c r="D1968" s="90" t="s">
        <v>4264</v>
      </c>
      <c r="E1968" s="90" t="str">
        <f>VLOOKUP(B1968&amp;C1968,Divipola!$C$2:$F$1138,4,FALSE)</f>
        <v>23807</v>
      </c>
      <c r="F1968" s="4"/>
      <c r="G1968" s="101"/>
      <c r="H1968" s="101"/>
      <c r="I1968" s="101"/>
      <c r="J1968" s="101"/>
      <c r="K1968" s="101">
        <v>50</v>
      </c>
      <c r="L1968" s="101"/>
      <c r="M1968" s="101">
        <v>15</v>
      </c>
      <c r="N1968" s="101">
        <v>2</v>
      </c>
      <c r="O1968" s="101"/>
      <c r="P1968" s="101"/>
      <c r="Q1968" s="101">
        <v>1</v>
      </c>
      <c r="R1968" s="101">
        <v>1</v>
      </c>
      <c r="S1968" s="101"/>
      <c r="T1968" s="101"/>
      <c r="U1968" s="101"/>
      <c r="V1968" s="101"/>
      <c r="W1968" s="19"/>
      <c r="X1968" s="17"/>
      <c r="Y1968" s="5">
        <f t="shared" si="191"/>
        <v>0</v>
      </c>
      <c r="Z1968" s="5">
        <f t="shared" si="192"/>
        <v>0</v>
      </c>
      <c r="AA1968" s="5">
        <f t="shared" si="193"/>
        <v>23066600</v>
      </c>
      <c r="AB1968" s="5">
        <f t="shared" si="194"/>
        <v>0</v>
      </c>
      <c r="AC1968" s="5"/>
      <c r="AD1968" s="5">
        <v>0</v>
      </c>
      <c r="AE1968" s="5">
        <f t="shared" si="195"/>
        <v>23066600</v>
      </c>
      <c r="AF1968" s="70">
        <v>0</v>
      </c>
      <c r="AG1968" s="17"/>
      <c r="AH1968" s="18"/>
      <c r="AI1968" s="47" t="s">
        <v>4346</v>
      </c>
      <c r="AJ1968" s="73" t="s">
        <v>4347</v>
      </c>
      <c r="AK1968" s="45"/>
      <c r="AL1968" s="17"/>
      <c r="AM1968" s="100" t="s">
        <v>1131</v>
      </c>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39"/>
      <c r="CO1968" s="138"/>
      <c r="CP1968" s="139"/>
      <c r="CQ1968" s="138"/>
      <c r="CR1968" s="139"/>
      <c r="CS1968" s="138"/>
      <c r="CT1968" s="72"/>
      <c r="CU1968" s="139"/>
      <c r="CV1968" s="99">
        <f t="shared" si="185"/>
        <v>0</v>
      </c>
      <c r="CW1968" s="139"/>
      <c r="CX1968" s="138"/>
      <c r="CY1968" s="138"/>
      <c r="CZ1968" s="138"/>
      <c r="DA1968" s="139"/>
      <c r="DB1968" s="138"/>
      <c r="DC1968" s="45">
        <f>500+350</f>
        <v>850</v>
      </c>
      <c r="DD1968" s="138">
        <f>500*21924+2000*203+150*29580+200*34220+800*522</f>
        <v>23066600</v>
      </c>
      <c r="DE1968" s="45"/>
      <c r="DF1968" s="46"/>
    </row>
    <row r="1969" spans="1:110" s="42" customFormat="1" ht="156" x14ac:dyDescent="0.2">
      <c r="A1969" s="89">
        <v>40783</v>
      </c>
      <c r="B1969" s="90" t="s">
        <v>2218</v>
      </c>
      <c r="C1969" s="90" t="s">
        <v>4038</v>
      </c>
      <c r="D1969" s="90" t="s">
        <v>4264</v>
      </c>
      <c r="E1969" s="90" t="str">
        <f>VLOOKUP(B1969&amp;C1969,Divipola!$C$2:$F$1138,4,FALSE)</f>
        <v>05665</v>
      </c>
      <c r="F1969" s="4"/>
      <c r="G1969" s="101"/>
      <c r="H1969" s="101"/>
      <c r="I1969" s="101"/>
      <c r="J1969" s="101">
        <v>235</v>
      </c>
      <c r="K1969" s="101">
        <v>47</v>
      </c>
      <c r="L1969" s="101"/>
      <c r="M1969" s="101">
        <v>35</v>
      </c>
      <c r="N1969" s="101">
        <v>1</v>
      </c>
      <c r="O1969" s="101"/>
      <c r="P1969" s="101"/>
      <c r="Q1969" s="101"/>
      <c r="R1969" s="101"/>
      <c r="S1969" s="101"/>
      <c r="T1969" s="101"/>
      <c r="U1969" s="101"/>
      <c r="V1969" s="101"/>
      <c r="W1969" s="19"/>
      <c r="X1969" s="17"/>
      <c r="Y1969" s="5">
        <f t="shared" si="191"/>
        <v>0</v>
      </c>
      <c r="Z1969" s="5">
        <f t="shared" si="192"/>
        <v>0</v>
      </c>
      <c r="AA1969" s="5">
        <f t="shared" si="193"/>
        <v>0</v>
      </c>
      <c r="AB1969" s="5">
        <f t="shared" si="194"/>
        <v>0</v>
      </c>
      <c r="AC1969" s="5"/>
      <c r="AD1969" s="5">
        <v>0</v>
      </c>
      <c r="AE1969" s="5">
        <f t="shared" si="195"/>
        <v>0</v>
      </c>
      <c r="AF1969" s="70">
        <v>0</v>
      </c>
      <c r="AG1969" s="17"/>
      <c r="AH1969" s="18"/>
      <c r="AI1969" s="47" t="s">
        <v>4336</v>
      </c>
      <c r="AJ1969" s="73" t="s">
        <v>4337</v>
      </c>
      <c r="AK1969" s="45"/>
      <c r="AL1969" s="17"/>
      <c r="AM1969" s="100" t="s">
        <v>155</v>
      </c>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39"/>
      <c r="CO1969" s="138"/>
      <c r="CP1969" s="139"/>
      <c r="CQ1969" s="138"/>
      <c r="CR1969" s="139"/>
      <c r="CS1969" s="138"/>
      <c r="CT1969" s="72"/>
      <c r="CU1969" s="139"/>
      <c r="CV1969" s="99">
        <f t="shared" si="185"/>
        <v>0</v>
      </c>
      <c r="CW1969" s="139"/>
      <c r="CX1969" s="138"/>
      <c r="CY1969" s="138"/>
      <c r="CZ1969" s="138"/>
      <c r="DA1969" s="139"/>
      <c r="DB1969" s="138"/>
      <c r="DC1969" s="45"/>
      <c r="DD1969" s="138"/>
      <c r="DE1969" s="45"/>
      <c r="DF1969" s="46"/>
    </row>
    <row r="1970" spans="1:110" s="42" customFormat="1" ht="132" x14ac:dyDescent="0.2">
      <c r="A1970" s="89">
        <v>40783</v>
      </c>
      <c r="B1970" s="151" t="s">
        <v>2218</v>
      </c>
      <c r="C1970" s="90" t="s">
        <v>3335</v>
      </c>
      <c r="D1970" s="90" t="s">
        <v>4264</v>
      </c>
      <c r="E1970" s="90" t="str">
        <f>VLOOKUP(B1970&amp;C1970,Divipola!$C$2:$F$1138,4,FALSE)</f>
        <v>05873</v>
      </c>
      <c r="F1970" s="4"/>
      <c r="G1970" s="101"/>
      <c r="H1970" s="101"/>
      <c r="I1970" s="101"/>
      <c r="J1970" s="101">
        <v>280</v>
      </c>
      <c r="K1970" s="101">
        <v>56</v>
      </c>
      <c r="L1970" s="101">
        <v>5</v>
      </c>
      <c r="M1970" s="101">
        <v>51</v>
      </c>
      <c r="N1970" s="101"/>
      <c r="O1970" s="101"/>
      <c r="P1970" s="101"/>
      <c r="Q1970" s="101"/>
      <c r="R1970" s="101"/>
      <c r="S1970" s="101"/>
      <c r="T1970" s="101"/>
      <c r="U1970" s="101">
        <v>1</v>
      </c>
      <c r="V1970" s="101"/>
      <c r="W1970" s="19"/>
      <c r="X1970" s="17"/>
      <c r="Y1970" s="5">
        <f t="shared" si="191"/>
        <v>0</v>
      </c>
      <c r="Z1970" s="5">
        <f t="shared" si="192"/>
        <v>0</v>
      </c>
      <c r="AA1970" s="5">
        <f t="shared" si="193"/>
        <v>0</v>
      </c>
      <c r="AB1970" s="5">
        <f t="shared" si="194"/>
        <v>0</v>
      </c>
      <c r="AC1970" s="5"/>
      <c r="AD1970" s="5">
        <v>0</v>
      </c>
      <c r="AE1970" s="5">
        <f t="shared" si="195"/>
        <v>0</v>
      </c>
      <c r="AF1970" s="70">
        <v>0</v>
      </c>
      <c r="AG1970" s="17"/>
      <c r="AH1970" s="18"/>
      <c r="AI1970" s="47" t="s">
        <v>4336</v>
      </c>
      <c r="AJ1970" s="73" t="s">
        <v>4337</v>
      </c>
      <c r="AK1970" s="45"/>
      <c r="AL1970" s="17"/>
      <c r="AM1970" s="121" t="s">
        <v>31</v>
      </c>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39"/>
      <c r="CO1970" s="138"/>
      <c r="CP1970" s="139"/>
      <c r="CQ1970" s="138"/>
      <c r="CR1970" s="139"/>
      <c r="CS1970" s="138"/>
      <c r="CT1970" s="72"/>
      <c r="CU1970" s="139"/>
      <c r="CV1970" s="99">
        <f t="shared" si="185"/>
        <v>0</v>
      </c>
      <c r="CW1970" s="139"/>
      <c r="CX1970" s="138"/>
      <c r="CY1970" s="138"/>
      <c r="CZ1970" s="138"/>
      <c r="DA1970" s="139"/>
      <c r="DB1970" s="138"/>
      <c r="DC1970" s="45"/>
      <c r="DD1970" s="138"/>
      <c r="DE1970" s="45"/>
      <c r="DF1970" s="46"/>
    </row>
    <row r="1971" spans="1:110" s="42" customFormat="1" ht="120" x14ac:dyDescent="0.2">
      <c r="A1971" s="89">
        <v>40783</v>
      </c>
      <c r="B1971" s="90" t="s">
        <v>1116</v>
      </c>
      <c r="C1971" s="90" t="s">
        <v>1116</v>
      </c>
      <c r="D1971" s="90" t="s">
        <v>3346</v>
      </c>
      <c r="E1971" s="90" t="str">
        <f>VLOOKUP(B1971&amp;C1971,Divipola!$C$2:$F$1138,4,FALSE)</f>
        <v>11001</v>
      </c>
      <c r="F1971" s="4"/>
      <c r="G1971" s="166"/>
      <c r="H1971" s="101"/>
      <c r="I1971" s="101"/>
      <c r="J1971" s="101">
        <v>100</v>
      </c>
      <c r="K1971" s="101">
        <v>20</v>
      </c>
      <c r="L1971" s="101"/>
      <c r="M1971" s="101">
        <v>20</v>
      </c>
      <c r="N1971" s="101">
        <v>1</v>
      </c>
      <c r="O1971" s="101"/>
      <c r="P1971" s="101"/>
      <c r="Q1971" s="101"/>
      <c r="R1971" s="101"/>
      <c r="S1971" s="101"/>
      <c r="T1971" s="101"/>
      <c r="U1971" s="101"/>
      <c r="V1971" s="101"/>
      <c r="W1971" s="19"/>
      <c r="X1971" s="17"/>
      <c r="Y1971" s="5">
        <f t="shared" si="191"/>
        <v>0</v>
      </c>
      <c r="Z1971" s="5">
        <f t="shared" si="192"/>
        <v>0</v>
      </c>
      <c r="AA1971" s="5">
        <f t="shared" si="193"/>
        <v>0</v>
      </c>
      <c r="AB1971" s="5">
        <f t="shared" si="194"/>
        <v>0</v>
      </c>
      <c r="AC1971" s="5"/>
      <c r="AD1971" s="5">
        <v>0</v>
      </c>
      <c r="AE1971" s="5">
        <f t="shared" si="195"/>
        <v>0</v>
      </c>
      <c r="AF1971" s="70">
        <v>0</v>
      </c>
      <c r="AG1971" s="17"/>
      <c r="AH1971" s="18"/>
      <c r="AI1971" s="47" t="s">
        <v>4336</v>
      </c>
      <c r="AJ1971" s="73" t="s">
        <v>4337</v>
      </c>
      <c r="AK1971" s="45"/>
      <c r="AL1971" s="17"/>
      <c r="AM1971" s="100" t="s">
        <v>156</v>
      </c>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39"/>
      <c r="CO1971" s="138"/>
      <c r="CP1971" s="139"/>
      <c r="CQ1971" s="138"/>
      <c r="CR1971" s="139"/>
      <c r="CS1971" s="138"/>
      <c r="CT1971" s="72"/>
      <c r="CU1971" s="139"/>
      <c r="CV1971" s="99">
        <f t="shared" si="185"/>
        <v>0</v>
      </c>
      <c r="CW1971" s="139"/>
      <c r="CX1971" s="138"/>
      <c r="CY1971" s="138"/>
      <c r="CZ1971" s="138"/>
      <c r="DA1971" s="139"/>
      <c r="DB1971" s="138"/>
      <c r="DC1971" s="45"/>
      <c r="DD1971" s="138"/>
      <c r="DE1971" s="45"/>
      <c r="DF1971" s="46"/>
    </row>
    <row r="1972" spans="1:110" s="42" customFormat="1" ht="24" x14ac:dyDescent="0.2">
      <c r="A1972" s="89">
        <v>40783</v>
      </c>
      <c r="B1972" s="90" t="s">
        <v>1116</v>
      </c>
      <c r="C1972" s="90" t="s">
        <v>1116</v>
      </c>
      <c r="D1972" s="90" t="s">
        <v>3346</v>
      </c>
      <c r="E1972" s="90" t="str">
        <f>VLOOKUP(B1972&amp;C1972,Divipola!$C$2:$F$1138,4,FALSE)</f>
        <v>11001</v>
      </c>
      <c r="F1972" s="4"/>
      <c r="G1972" s="165"/>
      <c r="H1972" s="168"/>
      <c r="I1972" s="168"/>
      <c r="J1972" s="168">
        <v>237</v>
      </c>
      <c r="K1972" s="168">
        <v>44</v>
      </c>
      <c r="L1972" s="168"/>
      <c r="M1972" s="168">
        <v>44</v>
      </c>
      <c r="N1972" s="168"/>
      <c r="O1972" s="168"/>
      <c r="P1972" s="168"/>
      <c r="Q1972" s="168"/>
      <c r="R1972" s="168"/>
      <c r="S1972" s="168"/>
      <c r="T1972" s="168"/>
      <c r="U1972" s="168"/>
      <c r="V1972" s="170"/>
      <c r="W1972" s="172"/>
      <c r="X1972" s="17"/>
      <c r="Y1972" s="5">
        <f t="shared" si="191"/>
        <v>0</v>
      </c>
      <c r="Z1972" s="5">
        <f t="shared" si="192"/>
        <v>0</v>
      </c>
      <c r="AA1972" s="5">
        <f t="shared" si="193"/>
        <v>0</v>
      </c>
      <c r="AB1972" s="5">
        <f t="shared" si="194"/>
        <v>0</v>
      </c>
      <c r="AC1972" s="5"/>
      <c r="AD1972" s="5">
        <v>0</v>
      </c>
      <c r="AE1972" s="5">
        <f t="shared" si="195"/>
        <v>0</v>
      </c>
      <c r="AF1972" s="70">
        <v>0</v>
      </c>
      <c r="AG1972" s="17"/>
      <c r="AH1972" s="18"/>
      <c r="AI1972" s="47" t="s">
        <v>4336</v>
      </c>
      <c r="AJ1972" s="175" t="s">
        <v>4337</v>
      </c>
      <c r="AK1972" s="177"/>
      <c r="AL1972" s="179"/>
      <c r="AM1972" s="184" t="s">
        <v>32</v>
      </c>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39"/>
      <c r="CO1972" s="138"/>
      <c r="CP1972" s="139"/>
      <c r="CQ1972" s="138"/>
      <c r="CR1972" s="139"/>
      <c r="CS1972" s="138"/>
      <c r="CT1972" s="72"/>
      <c r="CU1972" s="139"/>
      <c r="CV1972" s="99">
        <f t="shared" si="185"/>
        <v>0</v>
      </c>
      <c r="CW1972" s="139"/>
      <c r="CX1972" s="138"/>
      <c r="CY1972" s="138"/>
      <c r="CZ1972" s="138"/>
      <c r="DA1972" s="139"/>
      <c r="DB1972" s="138"/>
      <c r="DC1972" s="45"/>
      <c r="DD1972" s="138"/>
      <c r="DE1972" s="45"/>
      <c r="DF1972" s="46">
        <v>1955</v>
      </c>
    </row>
    <row r="1973" spans="1:110" s="42" customFormat="1" ht="84" x14ac:dyDescent="0.2">
      <c r="A1973" s="89">
        <v>40783</v>
      </c>
      <c r="B1973" s="151" t="s">
        <v>4348</v>
      </c>
      <c r="C1973" s="90" t="s">
        <v>601</v>
      </c>
      <c r="D1973" s="90" t="s">
        <v>4264</v>
      </c>
      <c r="E1973" s="90" t="str">
        <f>VLOOKUP(B1973&amp;C1973,Divipola!$C$2:$F$1138,4,FALSE)</f>
        <v>66170</v>
      </c>
      <c r="F1973" s="4"/>
      <c r="G1973" s="165"/>
      <c r="H1973" s="168"/>
      <c r="I1973" s="168"/>
      <c r="J1973" s="168">
        <v>325</v>
      </c>
      <c r="K1973" s="168">
        <v>65</v>
      </c>
      <c r="L1973" s="168"/>
      <c r="M1973" s="168">
        <v>65</v>
      </c>
      <c r="N1973" s="168"/>
      <c r="O1973" s="168"/>
      <c r="P1973" s="168"/>
      <c r="Q1973" s="168"/>
      <c r="R1973" s="168"/>
      <c r="S1973" s="168"/>
      <c r="T1973" s="168"/>
      <c r="U1973" s="168"/>
      <c r="V1973" s="170"/>
      <c r="W1973" s="172"/>
      <c r="X1973" s="17"/>
      <c r="Y1973" s="5">
        <f t="shared" si="191"/>
        <v>0</v>
      </c>
      <c r="Z1973" s="5">
        <f t="shared" si="192"/>
        <v>0</v>
      </c>
      <c r="AA1973" s="5">
        <f t="shared" si="193"/>
        <v>0</v>
      </c>
      <c r="AB1973" s="5">
        <f t="shared" si="194"/>
        <v>0</v>
      </c>
      <c r="AC1973" s="5"/>
      <c r="AD1973" s="5">
        <v>0</v>
      </c>
      <c r="AE1973" s="5">
        <f t="shared" si="195"/>
        <v>0</v>
      </c>
      <c r="AF1973" s="70">
        <v>0</v>
      </c>
      <c r="AG1973" s="17"/>
      <c r="AH1973" s="18"/>
      <c r="AI1973" s="47" t="s">
        <v>4336</v>
      </c>
      <c r="AJ1973" s="175" t="s">
        <v>4337</v>
      </c>
      <c r="AK1973" s="177"/>
      <c r="AL1973" s="179"/>
      <c r="AM1973" s="184" t="s">
        <v>1129</v>
      </c>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39"/>
      <c r="CO1973" s="138"/>
      <c r="CP1973" s="139"/>
      <c r="CQ1973" s="138"/>
      <c r="CR1973" s="139"/>
      <c r="CS1973" s="138"/>
      <c r="CT1973" s="72"/>
      <c r="CU1973" s="139"/>
      <c r="CV1973" s="99">
        <f t="shared" si="185"/>
        <v>0</v>
      </c>
      <c r="CW1973" s="139"/>
      <c r="CX1973" s="138"/>
      <c r="CY1973" s="138"/>
      <c r="CZ1973" s="138"/>
      <c r="DA1973" s="139"/>
      <c r="DB1973" s="138"/>
      <c r="DC1973" s="45"/>
      <c r="DD1973" s="138"/>
      <c r="DE1973" s="45"/>
      <c r="DF1973" s="46"/>
    </row>
    <row r="1974" spans="1:110" s="42" customFormat="1" x14ac:dyDescent="0.2">
      <c r="A1974" s="89">
        <v>40783</v>
      </c>
      <c r="B1974" s="90" t="s">
        <v>4348</v>
      </c>
      <c r="C1974" s="90" t="s">
        <v>601</v>
      </c>
      <c r="D1974" s="90" t="s">
        <v>4264</v>
      </c>
      <c r="E1974" s="90" t="str">
        <f>VLOOKUP(B1974&amp;C1974,Divipola!$C$2:$F$1138,4,FALSE)</f>
        <v>66170</v>
      </c>
      <c r="F1974" s="4"/>
      <c r="G1974" s="165"/>
      <c r="H1974" s="168"/>
      <c r="I1974" s="168"/>
      <c r="J1974" s="168">
        <v>354</v>
      </c>
      <c r="K1974" s="168">
        <v>69</v>
      </c>
      <c r="L1974" s="168"/>
      <c r="M1974" s="168">
        <v>69</v>
      </c>
      <c r="N1974" s="168"/>
      <c r="O1974" s="168"/>
      <c r="P1974" s="168"/>
      <c r="Q1974" s="168"/>
      <c r="R1974" s="168"/>
      <c r="S1974" s="168"/>
      <c r="T1974" s="168"/>
      <c r="U1974" s="168"/>
      <c r="V1974" s="170"/>
      <c r="W1974" s="172"/>
      <c r="X1974" s="17"/>
      <c r="Y1974" s="5">
        <f t="shared" si="191"/>
        <v>0</v>
      </c>
      <c r="Z1974" s="5">
        <f t="shared" si="192"/>
        <v>0</v>
      </c>
      <c r="AA1974" s="5">
        <f t="shared" si="193"/>
        <v>0</v>
      </c>
      <c r="AB1974" s="5">
        <f t="shared" si="194"/>
        <v>0</v>
      </c>
      <c r="AC1974" s="5"/>
      <c r="AD1974" s="5">
        <v>0</v>
      </c>
      <c r="AE1974" s="5">
        <f t="shared" si="195"/>
        <v>0</v>
      </c>
      <c r="AF1974" s="70">
        <v>0</v>
      </c>
      <c r="AG1974" s="17"/>
      <c r="AH1974" s="18"/>
      <c r="AI1974" s="47" t="s">
        <v>4336</v>
      </c>
      <c r="AJ1974" s="175" t="s">
        <v>4337</v>
      </c>
      <c r="AK1974" s="177"/>
      <c r="AL1974" s="179"/>
      <c r="AM1974" s="184"/>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39"/>
      <c r="CO1974" s="138"/>
      <c r="CP1974" s="139"/>
      <c r="CQ1974" s="138"/>
      <c r="CR1974" s="139"/>
      <c r="CS1974" s="138"/>
      <c r="CT1974" s="72"/>
      <c r="CU1974" s="139"/>
      <c r="CV1974" s="99">
        <f t="shared" si="185"/>
        <v>0</v>
      </c>
      <c r="CW1974" s="139"/>
      <c r="CX1974" s="138"/>
      <c r="CY1974" s="138"/>
      <c r="CZ1974" s="138"/>
      <c r="DA1974" s="139"/>
      <c r="DB1974" s="138"/>
      <c r="DC1974" s="45"/>
      <c r="DD1974" s="138"/>
      <c r="DE1974" s="45"/>
      <c r="DF1974" s="46"/>
    </row>
    <row r="1975" spans="1:110" s="42" customFormat="1" ht="72" x14ac:dyDescent="0.2">
      <c r="A1975" s="89">
        <v>40783</v>
      </c>
      <c r="B1975" s="90" t="s">
        <v>4348</v>
      </c>
      <c r="C1975" s="90" t="s">
        <v>2228</v>
      </c>
      <c r="D1975" s="90" t="s">
        <v>4264</v>
      </c>
      <c r="E1975" s="90" t="str">
        <f>VLOOKUP(B1975&amp;C1975,Divipola!$C$2:$F$1138,4,FALSE)</f>
        <v>66001</v>
      </c>
      <c r="F1975" s="4"/>
      <c r="G1975" s="165"/>
      <c r="H1975" s="168"/>
      <c r="I1975" s="168"/>
      <c r="J1975" s="168">
        <v>12</v>
      </c>
      <c r="K1975" s="168">
        <v>2</v>
      </c>
      <c r="L1975" s="168"/>
      <c r="M1975" s="168">
        <v>2</v>
      </c>
      <c r="N1975" s="168"/>
      <c r="O1975" s="168"/>
      <c r="P1975" s="168"/>
      <c r="Q1975" s="168"/>
      <c r="R1975" s="168"/>
      <c r="S1975" s="168"/>
      <c r="T1975" s="168"/>
      <c r="U1975" s="168"/>
      <c r="V1975" s="170"/>
      <c r="W1975" s="172"/>
      <c r="X1975" s="17"/>
      <c r="Y1975" s="5">
        <f t="shared" si="191"/>
        <v>0</v>
      </c>
      <c r="Z1975" s="5">
        <f t="shared" si="192"/>
        <v>0</v>
      </c>
      <c r="AA1975" s="5">
        <f t="shared" si="193"/>
        <v>0</v>
      </c>
      <c r="AB1975" s="5">
        <f t="shared" si="194"/>
        <v>0</v>
      </c>
      <c r="AC1975" s="5"/>
      <c r="AD1975" s="5">
        <v>0</v>
      </c>
      <c r="AE1975" s="5">
        <f t="shared" si="195"/>
        <v>0</v>
      </c>
      <c r="AF1975" s="70">
        <v>0</v>
      </c>
      <c r="AG1975" s="17"/>
      <c r="AH1975" s="18"/>
      <c r="AI1975" s="47" t="s">
        <v>4336</v>
      </c>
      <c r="AJ1975" s="175" t="s">
        <v>4337</v>
      </c>
      <c r="AK1975" s="177"/>
      <c r="AL1975" s="179"/>
      <c r="AM1975" s="184" t="s">
        <v>1130</v>
      </c>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39"/>
      <c r="CO1975" s="138"/>
      <c r="CP1975" s="139"/>
      <c r="CQ1975" s="138"/>
      <c r="CR1975" s="139"/>
      <c r="CS1975" s="138"/>
      <c r="CT1975" s="72"/>
      <c r="CU1975" s="139"/>
      <c r="CV1975" s="99">
        <f t="shared" si="185"/>
        <v>0</v>
      </c>
      <c r="CW1975" s="139"/>
      <c r="CX1975" s="138"/>
      <c r="CY1975" s="138"/>
      <c r="CZ1975" s="138"/>
      <c r="DA1975" s="139"/>
      <c r="DB1975" s="138"/>
      <c r="DC1975" s="45"/>
      <c r="DD1975" s="138"/>
      <c r="DE1975" s="45"/>
      <c r="DF1975" s="46"/>
    </row>
    <row r="1976" spans="1:110" s="42" customFormat="1" ht="168" x14ac:dyDescent="0.2">
      <c r="A1976" s="89">
        <v>40783</v>
      </c>
      <c r="B1976" s="90" t="s">
        <v>2226</v>
      </c>
      <c r="C1976" s="90" t="s">
        <v>4232</v>
      </c>
      <c r="D1976" s="90" t="s">
        <v>4264</v>
      </c>
      <c r="E1976" s="90" t="str">
        <f>VLOOKUP(B1976&amp;C1976,Divipola!$C$2:$F$1138,4,FALSE)</f>
        <v>68001</v>
      </c>
      <c r="F1976" s="4"/>
      <c r="G1976" s="165"/>
      <c r="H1976" s="168"/>
      <c r="I1976" s="168"/>
      <c r="J1976" s="168">
        <v>500</v>
      </c>
      <c r="K1976" s="168">
        <v>100</v>
      </c>
      <c r="L1976" s="168"/>
      <c r="M1976" s="168">
        <v>100</v>
      </c>
      <c r="N1976" s="168">
        <v>3</v>
      </c>
      <c r="O1976" s="168"/>
      <c r="P1976" s="168"/>
      <c r="Q1976" s="168"/>
      <c r="R1976" s="168">
        <v>3</v>
      </c>
      <c r="S1976" s="168"/>
      <c r="T1976" s="168"/>
      <c r="U1976" s="168"/>
      <c r="V1976" s="170"/>
      <c r="W1976" s="172"/>
      <c r="X1976" s="17"/>
      <c r="Y1976" s="5">
        <f t="shared" si="191"/>
        <v>0</v>
      </c>
      <c r="Z1976" s="5">
        <f t="shared" si="192"/>
        <v>0</v>
      </c>
      <c r="AA1976" s="5">
        <f t="shared" si="193"/>
        <v>0</v>
      </c>
      <c r="AB1976" s="5">
        <f t="shared" si="194"/>
        <v>0</v>
      </c>
      <c r="AC1976" s="5"/>
      <c r="AD1976" s="5">
        <v>0</v>
      </c>
      <c r="AE1976" s="5">
        <f t="shared" si="195"/>
        <v>0</v>
      </c>
      <c r="AF1976" s="70">
        <v>0</v>
      </c>
      <c r="AG1976" s="17"/>
      <c r="AH1976" s="18"/>
      <c r="AI1976" s="47" t="s">
        <v>4336</v>
      </c>
      <c r="AJ1976" s="175" t="s">
        <v>4337</v>
      </c>
      <c r="AK1976" s="177"/>
      <c r="AL1976" s="179"/>
      <c r="AM1976" s="186" t="s">
        <v>1128</v>
      </c>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39"/>
      <c r="CO1976" s="138"/>
      <c r="CP1976" s="139"/>
      <c r="CQ1976" s="138"/>
      <c r="CR1976" s="139"/>
      <c r="CS1976" s="138"/>
      <c r="CT1976" s="72"/>
      <c r="CU1976" s="139"/>
      <c r="CV1976" s="99">
        <f t="shared" si="185"/>
        <v>0</v>
      </c>
      <c r="CW1976" s="139"/>
      <c r="CX1976" s="138"/>
      <c r="CY1976" s="138"/>
      <c r="CZ1976" s="138"/>
      <c r="DA1976" s="139"/>
      <c r="DB1976" s="138"/>
      <c r="DC1976" s="45"/>
      <c r="DD1976" s="138"/>
      <c r="DE1976" s="45"/>
      <c r="DF1976" s="46"/>
    </row>
    <row r="1977" spans="1:110" s="42" customFormat="1" ht="84" x14ac:dyDescent="0.2">
      <c r="A1977" s="89">
        <v>40784</v>
      </c>
      <c r="B1977" s="151" t="s">
        <v>2218</v>
      </c>
      <c r="C1977" s="90" t="s">
        <v>4266</v>
      </c>
      <c r="D1977" s="90" t="s">
        <v>2362</v>
      </c>
      <c r="E1977" s="90" t="str">
        <f>VLOOKUP(B1977&amp;C1977,Divipola!$C$2:$F$1138,4,FALSE)</f>
        <v>05088</v>
      </c>
      <c r="F1977" s="4"/>
      <c r="G1977" s="165">
        <v>1</v>
      </c>
      <c r="H1977" s="168">
        <v>2</v>
      </c>
      <c r="I1977" s="168"/>
      <c r="J1977" s="168"/>
      <c r="K1977" s="168"/>
      <c r="L1977" s="168"/>
      <c r="M1977" s="168"/>
      <c r="N1977" s="168"/>
      <c r="O1977" s="168"/>
      <c r="P1977" s="168"/>
      <c r="Q1977" s="168"/>
      <c r="R1977" s="168"/>
      <c r="S1977" s="168"/>
      <c r="T1977" s="168"/>
      <c r="U1977" s="168"/>
      <c r="V1977" s="170"/>
      <c r="W1977" s="172"/>
      <c r="X1977" s="17"/>
      <c r="Y1977" s="5">
        <f t="shared" si="191"/>
        <v>0</v>
      </c>
      <c r="Z1977" s="5">
        <f t="shared" si="192"/>
        <v>0</v>
      </c>
      <c r="AA1977" s="5">
        <f t="shared" si="193"/>
        <v>0</v>
      </c>
      <c r="AB1977" s="5">
        <f t="shared" si="194"/>
        <v>0</v>
      </c>
      <c r="AC1977" s="5"/>
      <c r="AD1977" s="5">
        <v>0</v>
      </c>
      <c r="AE1977" s="5">
        <f t="shared" si="195"/>
        <v>0</v>
      </c>
      <c r="AF1977" s="70">
        <v>0</v>
      </c>
      <c r="AG1977" s="17"/>
      <c r="AH1977" s="18"/>
      <c r="AI1977" s="47" t="s">
        <v>4336</v>
      </c>
      <c r="AJ1977" s="73" t="s">
        <v>4337</v>
      </c>
      <c r="AK1977" s="177"/>
      <c r="AL1977" s="179"/>
      <c r="AM1977" s="184" t="s">
        <v>27</v>
      </c>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39"/>
      <c r="CO1977" s="138"/>
      <c r="CP1977" s="139"/>
      <c r="CQ1977" s="138"/>
      <c r="CR1977" s="139"/>
      <c r="CS1977" s="138"/>
      <c r="CT1977" s="72"/>
      <c r="CU1977" s="139"/>
      <c r="CV1977" s="99">
        <f t="shared" si="185"/>
        <v>0</v>
      </c>
      <c r="CW1977" s="139"/>
      <c r="CX1977" s="138"/>
      <c r="CY1977" s="138"/>
      <c r="CZ1977" s="138"/>
      <c r="DA1977" s="139"/>
      <c r="DB1977" s="138"/>
      <c r="DC1977" s="45"/>
      <c r="DD1977" s="138"/>
      <c r="DE1977" s="45"/>
      <c r="DF1977" s="46"/>
    </row>
    <row r="1978" spans="1:110" s="42" customFormat="1" ht="84" x14ac:dyDescent="0.2">
      <c r="A1978" s="89">
        <v>40784</v>
      </c>
      <c r="B1978" s="16" t="s">
        <v>4326</v>
      </c>
      <c r="C1978" s="16" t="s">
        <v>4345</v>
      </c>
      <c r="D1978" s="90" t="s">
        <v>4264</v>
      </c>
      <c r="E1978" s="90">
        <f>VLOOKUP(B1978&amp;C1978,Divipola!$C$2:$F$1138,4,FALSE)</f>
        <v>8</v>
      </c>
      <c r="F1978" s="4"/>
      <c r="G1978" s="167"/>
      <c r="H1978" s="169"/>
      <c r="I1978" s="169"/>
      <c r="J1978" s="169"/>
      <c r="K1978" s="169"/>
      <c r="L1978" s="169"/>
      <c r="M1978" s="169"/>
      <c r="N1978" s="169"/>
      <c r="O1978" s="169"/>
      <c r="P1978" s="169"/>
      <c r="Q1978" s="169"/>
      <c r="R1978" s="169"/>
      <c r="S1978" s="169"/>
      <c r="T1978" s="169"/>
      <c r="U1978" s="169"/>
      <c r="V1978" s="171"/>
      <c r="W1978" s="172"/>
      <c r="X1978" s="17"/>
      <c r="Y1978" s="5">
        <f t="shared" si="191"/>
        <v>0</v>
      </c>
      <c r="Z1978" s="5">
        <f t="shared" si="192"/>
        <v>0</v>
      </c>
      <c r="AA1978" s="5">
        <f t="shared" si="193"/>
        <v>0</v>
      </c>
      <c r="AB1978" s="5">
        <f t="shared" si="194"/>
        <v>0</v>
      </c>
      <c r="AC1978" s="5"/>
      <c r="AD1978" s="5">
        <v>25000000</v>
      </c>
      <c r="AE1978" s="5">
        <f t="shared" si="195"/>
        <v>25000000</v>
      </c>
      <c r="AF1978" s="70">
        <v>0</v>
      </c>
      <c r="AG1978" s="17"/>
      <c r="AH1978" s="18"/>
      <c r="AI1978" s="95" t="s">
        <v>4346</v>
      </c>
      <c r="AJ1978" s="96" t="s">
        <v>4347</v>
      </c>
      <c r="AK1978" s="177"/>
      <c r="AL1978" s="179"/>
      <c r="AM1978" s="183" t="s">
        <v>2403</v>
      </c>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39"/>
      <c r="CO1978" s="138"/>
      <c r="CP1978" s="139"/>
      <c r="CQ1978" s="138"/>
      <c r="CR1978" s="139"/>
      <c r="CS1978" s="138"/>
      <c r="CT1978" s="72"/>
      <c r="CU1978" s="139"/>
      <c r="CV1978" s="99">
        <f t="shared" si="185"/>
        <v>0</v>
      </c>
      <c r="CW1978" s="139"/>
      <c r="CX1978" s="138"/>
      <c r="CY1978" s="138"/>
      <c r="CZ1978" s="138"/>
      <c r="DA1978" s="139"/>
      <c r="DB1978" s="138"/>
      <c r="DC1978" s="45"/>
      <c r="DD1978" s="138"/>
      <c r="DE1978" s="45"/>
      <c r="DF1978" s="46"/>
    </row>
    <row r="1979" spans="1:110" s="42" customFormat="1" ht="48" x14ac:dyDescent="0.2">
      <c r="A1979" s="89">
        <v>40784</v>
      </c>
      <c r="B1979" s="151" t="s">
        <v>2225</v>
      </c>
      <c r="C1979" s="90" t="s">
        <v>1859</v>
      </c>
      <c r="D1979" s="90" t="s">
        <v>2362</v>
      </c>
      <c r="E1979" s="90" t="str">
        <f>VLOOKUP(B1979&amp;C1979,Divipola!$C$2:$F$1138,4,FALSE)</f>
        <v>27075</v>
      </c>
      <c r="F1979" s="4"/>
      <c r="G1979" s="165"/>
      <c r="H1979" s="168"/>
      <c r="I1979" s="168"/>
      <c r="J1979" s="168"/>
      <c r="K1979" s="168"/>
      <c r="L1979" s="168"/>
      <c r="M1979" s="168"/>
      <c r="N1979" s="168"/>
      <c r="O1979" s="168"/>
      <c r="P1979" s="168"/>
      <c r="Q1979" s="168"/>
      <c r="R1979" s="168"/>
      <c r="S1979" s="168"/>
      <c r="T1979" s="168"/>
      <c r="U1979" s="168">
        <v>1</v>
      </c>
      <c r="V1979" s="170"/>
      <c r="W1979" s="172"/>
      <c r="X1979" s="17"/>
      <c r="Y1979" s="5">
        <f t="shared" si="191"/>
        <v>0</v>
      </c>
      <c r="Z1979" s="5">
        <f t="shared" si="192"/>
        <v>0</v>
      </c>
      <c r="AA1979" s="5">
        <f t="shared" si="193"/>
        <v>0</v>
      </c>
      <c r="AB1979" s="5">
        <f t="shared" si="194"/>
        <v>0</v>
      </c>
      <c r="AC1979" s="5"/>
      <c r="AD1979" s="5">
        <v>0</v>
      </c>
      <c r="AE1979" s="5">
        <f t="shared" si="195"/>
        <v>0</v>
      </c>
      <c r="AF1979" s="70">
        <v>0</v>
      </c>
      <c r="AG1979" s="17"/>
      <c r="AH1979" s="18"/>
      <c r="AI1979" s="47" t="s">
        <v>4336</v>
      </c>
      <c r="AJ1979" s="73" t="s">
        <v>4337</v>
      </c>
      <c r="AK1979" s="177"/>
      <c r="AL1979" s="179"/>
      <c r="AM1979" s="184" t="s">
        <v>30</v>
      </c>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39"/>
      <c r="CO1979" s="138"/>
      <c r="CP1979" s="139"/>
      <c r="CQ1979" s="138"/>
      <c r="CR1979" s="139"/>
      <c r="CS1979" s="138"/>
      <c r="CT1979" s="72"/>
      <c r="CU1979" s="139"/>
      <c r="CV1979" s="99">
        <f t="shared" si="185"/>
        <v>0</v>
      </c>
      <c r="CW1979" s="139"/>
      <c r="CX1979" s="138"/>
      <c r="CY1979" s="138"/>
      <c r="CZ1979" s="138"/>
      <c r="DA1979" s="139"/>
      <c r="DB1979" s="138"/>
      <c r="DC1979" s="45"/>
      <c r="DD1979" s="138"/>
      <c r="DE1979" s="45"/>
      <c r="DF1979" s="46"/>
    </row>
    <row r="1980" spans="1:110" s="42" customFormat="1" ht="36" x14ac:dyDescent="0.2">
      <c r="A1980" s="89">
        <v>40785</v>
      </c>
      <c r="B1980" s="151" t="s">
        <v>2857</v>
      </c>
      <c r="C1980" s="90" t="s">
        <v>3693</v>
      </c>
      <c r="D1980" s="90" t="s">
        <v>3346</v>
      </c>
      <c r="E1980" s="90" t="str">
        <f>VLOOKUP(B1980&amp;C1980,Divipola!$C$2:$F$1138,4,FALSE)</f>
        <v>95025</v>
      </c>
      <c r="F1980" s="4"/>
      <c r="G1980" s="165"/>
      <c r="H1980" s="168"/>
      <c r="I1980" s="168"/>
      <c r="J1980" s="168">
        <v>244</v>
      </c>
      <c r="K1980" s="168">
        <v>61</v>
      </c>
      <c r="L1980" s="168"/>
      <c r="M1980" s="168">
        <v>61</v>
      </c>
      <c r="N1980" s="168"/>
      <c r="O1980" s="168"/>
      <c r="P1980" s="168"/>
      <c r="Q1980" s="168"/>
      <c r="R1980" s="168"/>
      <c r="S1980" s="168"/>
      <c r="T1980" s="168"/>
      <c r="U1980" s="168"/>
      <c r="V1980" s="170"/>
      <c r="W1980" s="172"/>
      <c r="X1980" s="17"/>
      <c r="Y1980" s="5">
        <f t="shared" si="191"/>
        <v>27981365.719999999</v>
      </c>
      <c r="Z1980" s="5">
        <f t="shared" si="192"/>
        <v>13090000</v>
      </c>
      <c r="AA1980" s="5">
        <f t="shared" si="193"/>
        <v>0</v>
      </c>
      <c r="AB1980" s="5">
        <f t="shared" si="194"/>
        <v>0</v>
      </c>
      <c r="AC1980" s="5"/>
      <c r="AD1980" s="5">
        <v>0</v>
      </c>
      <c r="AE1980" s="5">
        <f t="shared" si="195"/>
        <v>41071365.719999999</v>
      </c>
      <c r="AF1980" s="70">
        <v>0</v>
      </c>
      <c r="AG1980" s="17"/>
      <c r="AH1980" s="18"/>
      <c r="AI1980" s="47" t="s">
        <v>4346</v>
      </c>
      <c r="AJ1980" s="73" t="s">
        <v>4347</v>
      </c>
      <c r="AK1980" s="177"/>
      <c r="AL1980" s="179"/>
      <c r="AM1980" s="184" t="s">
        <v>36</v>
      </c>
      <c r="AN1980" s="19"/>
      <c r="AO1980" s="19"/>
      <c r="AP1980" s="19"/>
      <c r="AQ1980" s="19"/>
      <c r="AR1980" s="19"/>
      <c r="AS1980" s="19"/>
      <c r="AT1980" s="19"/>
      <c r="AU1980" s="19"/>
      <c r="AV1980" s="19"/>
      <c r="AW1980" s="19"/>
      <c r="AX1980" s="19"/>
      <c r="AY1980" s="19"/>
      <c r="AZ1980" s="19">
        <v>231</v>
      </c>
      <c r="BA1980" s="19">
        <f>231*55999</f>
        <v>12935769</v>
      </c>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v>154</v>
      </c>
      <c r="CK1980" s="19">
        <f>154*20999.48</f>
        <v>3233919.92</v>
      </c>
      <c r="CL1980" s="19"/>
      <c r="CM1980" s="19"/>
      <c r="CN1980" s="139"/>
      <c r="CO1980" s="138"/>
      <c r="CP1980" s="139">
        <v>154</v>
      </c>
      <c r="CQ1980" s="138">
        <f>154*36999.36</f>
        <v>5697901.4400000004</v>
      </c>
      <c r="CR1980" s="139">
        <v>154</v>
      </c>
      <c r="CS1980" s="138">
        <f>154*39699.84</f>
        <v>6113775.3599999994</v>
      </c>
      <c r="CT1980" s="72"/>
      <c r="CU1980" s="139"/>
      <c r="CV1980" s="99">
        <f t="shared" si="185"/>
        <v>27981365.719999999</v>
      </c>
      <c r="CW1980" s="139"/>
      <c r="CX1980" s="138"/>
      <c r="CY1980" s="138">
        <v>154</v>
      </c>
      <c r="CZ1980" s="138">
        <f>154*85000</f>
        <v>13090000</v>
      </c>
      <c r="DA1980" s="139"/>
      <c r="DB1980" s="138"/>
      <c r="DC1980" s="45"/>
      <c r="DD1980" s="138"/>
      <c r="DE1980" s="45"/>
      <c r="DF1980" s="46"/>
    </row>
    <row r="1981" spans="1:110" s="42" customFormat="1" ht="132" x14ac:dyDescent="0.2">
      <c r="A1981" s="89">
        <v>40785</v>
      </c>
      <c r="B1981" s="16" t="s">
        <v>4344</v>
      </c>
      <c r="C1981" s="16" t="s">
        <v>3295</v>
      </c>
      <c r="D1981" s="90" t="s">
        <v>2362</v>
      </c>
      <c r="E1981" s="90" t="str">
        <f>VLOOKUP(B1981&amp;C1981,Divipola!$C$2:$F$1138,4,FALSE)</f>
        <v>25754</v>
      </c>
      <c r="F1981" s="4"/>
      <c r="G1981" s="167"/>
      <c r="H1981" s="169"/>
      <c r="I1981" s="169"/>
      <c r="J1981" s="169"/>
      <c r="K1981" s="169"/>
      <c r="L1981" s="169"/>
      <c r="M1981" s="169"/>
      <c r="N1981" s="169"/>
      <c r="O1981" s="169"/>
      <c r="P1981" s="169"/>
      <c r="Q1981" s="169"/>
      <c r="R1981" s="169"/>
      <c r="S1981" s="169"/>
      <c r="T1981" s="169"/>
      <c r="U1981" s="169"/>
      <c r="V1981" s="171"/>
      <c r="W1981" s="172"/>
      <c r="X1981" s="17"/>
      <c r="Y1981" s="5">
        <f t="shared" si="191"/>
        <v>0</v>
      </c>
      <c r="Z1981" s="5">
        <f t="shared" si="192"/>
        <v>0</v>
      </c>
      <c r="AA1981" s="5">
        <f t="shared" si="193"/>
        <v>0</v>
      </c>
      <c r="AB1981" s="5">
        <f t="shared" si="194"/>
        <v>0</v>
      </c>
      <c r="AC1981" s="5">
        <v>612000000</v>
      </c>
      <c r="AD1981" s="5">
        <v>0</v>
      </c>
      <c r="AE1981" s="5">
        <f t="shared" si="195"/>
        <v>612000000</v>
      </c>
      <c r="AF1981" s="70">
        <v>0</v>
      </c>
      <c r="AG1981" s="17"/>
      <c r="AH1981" s="18"/>
      <c r="AI1981" s="95" t="s">
        <v>4346</v>
      </c>
      <c r="AJ1981" s="96" t="s">
        <v>4347</v>
      </c>
      <c r="AK1981" s="177"/>
      <c r="AL1981" s="179"/>
      <c r="AM1981" s="189" t="s">
        <v>24</v>
      </c>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39"/>
      <c r="CO1981" s="138"/>
      <c r="CP1981" s="139"/>
      <c r="CQ1981" s="138"/>
      <c r="CR1981" s="139"/>
      <c r="CS1981" s="138"/>
      <c r="CT1981" s="72"/>
      <c r="CU1981" s="139"/>
      <c r="CV1981" s="99">
        <f t="shared" si="185"/>
        <v>0</v>
      </c>
      <c r="CW1981" s="139"/>
      <c r="CX1981" s="138"/>
      <c r="CY1981" s="138"/>
      <c r="CZ1981" s="138"/>
      <c r="DA1981" s="139"/>
      <c r="DB1981" s="138"/>
      <c r="DC1981" s="45"/>
      <c r="DD1981" s="138"/>
      <c r="DE1981" s="45"/>
      <c r="DF1981" s="46"/>
    </row>
    <row r="1982" spans="1:110" s="42" customFormat="1" ht="24" x14ac:dyDescent="0.2">
      <c r="A1982" s="89">
        <v>40786</v>
      </c>
      <c r="B1982" s="90" t="s">
        <v>4261</v>
      </c>
      <c r="C1982" s="90" t="s">
        <v>4345</v>
      </c>
      <c r="D1982" s="90" t="s">
        <v>4264</v>
      </c>
      <c r="E1982" s="90">
        <f>VLOOKUP(B1982&amp;C1982,Divipola!$C$2:$F$1138,4,FALSE)</f>
        <v>15</v>
      </c>
      <c r="F1982" s="4"/>
      <c r="G1982" s="167"/>
      <c r="H1982" s="169"/>
      <c r="I1982" s="169"/>
      <c r="J1982" s="169"/>
      <c r="K1982" s="169"/>
      <c r="L1982" s="169"/>
      <c r="M1982" s="169"/>
      <c r="N1982" s="169"/>
      <c r="O1982" s="169"/>
      <c r="P1982" s="169"/>
      <c r="Q1982" s="169"/>
      <c r="R1982" s="169"/>
      <c r="S1982" s="169"/>
      <c r="T1982" s="169"/>
      <c r="U1982" s="169"/>
      <c r="V1982" s="171"/>
      <c r="W1982" s="172"/>
      <c r="X1982" s="17"/>
      <c r="Y1982" s="5">
        <f t="shared" si="191"/>
        <v>66350000</v>
      </c>
      <c r="Z1982" s="5">
        <f t="shared" si="192"/>
        <v>42500000</v>
      </c>
      <c r="AA1982" s="5">
        <f t="shared" si="193"/>
        <v>0</v>
      </c>
      <c r="AB1982" s="5">
        <f t="shared" si="194"/>
        <v>0</v>
      </c>
      <c r="AC1982" s="5"/>
      <c r="AD1982" s="5">
        <v>0</v>
      </c>
      <c r="AE1982" s="5">
        <f t="shared" si="195"/>
        <v>108850000</v>
      </c>
      <c r="AF1982" s="70">
        <v>0</v>
      </c>
      <c r="AG1982" s="17"/>
      <c r="AH1982" s="18"/>
      <c r="AI1982" s="47" t="s">
        <v>4346</v>
      </c>
      <c r="AJ1982" s="73" t="s">
        <v>4347</v>
      </c>
      <c r="AK1982" s="177"/>
      <c r="AL1982" s="179"/>
      <c r="AM1982" s="190" t="s">
        <v>2089</v>
      </c>
      <c r="AN1982" s="19"/>
      <c r="AO1982" s="19"/>
      <c r="AP1982" s="19"/>
      <c r="AQ1982" s="19"/>
      <c r="AR1982" s="19"/>
      <c r="AS1982" s="19"/>
      <c r="AT1982" s="19"/>
      <c r="AU1982" s="19"/>
      <c r="AV1982" s="19"/>
      <c r="AW1982" s="19"/>
      <c r="AX1982" s="19"/>
      <c r="AY1982" s="19"/>
      <c r="AZ1982" s="19">
        <v>500</v>
      </c>
      <c r="BA1982" s="19">
        <f>500*56000</f>
        <v>28000000</v>
      </c>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39"/>
      <c r="CE1982" s="138"/>
      <c r="CF1982" s="139"/>
      <c r="CG1982" s="138"/>
      <c r="CH1982" s="139"/>
      <c r="CI1982" s="138"/>
      <c r="CJ1982" s="72"/>
      <c r="CK1982" s="139"/>
      <c r="CL1982" s="71"/>
      <c r="CM1982" s="139"/>
      <c r="CN1982" s="138"/>
      <c r="CO1982" s="138"/>
      <c r="CP1982" s="138">
        <v>500</v>
      </c>
      <c r="CQ1982" s="139">
        <f>500*37000</f>
        <v>18500000</v>
      </c>
      <c r="CR1982" s="138">
        <v>500</v>
      </c>
      <c r="CS1982" s="139">
        <f>500*39700</f>
        <v>19850000</v>
      </c>
      <c r="CT1982" s="138"/>
      <c r="CU1982" s="45"/>
      <c r="CV1982" s="99">
        <f t="shared" si="185"/>
        <v>66350000</v>
      </c>
      <c r="CW1982" s="139"/>
      <c r="CX1982" s="138"/>
      <c r="CY1982" s="138">
        <v>500</v>
      </c>
      <c r="CZ1982" s="138">
        <f>500*85000</f>
        <v>42500000</v>
      </c>
      <c r="DA1982" s="139"/>
      <c r="DB1982" s="138"/>
      <c r="DC1982" s="45"/>
      <c r="DD1982" s="138"/>
      <c r="DE1982" s="45"/>
      <c r="DF1982" s="46"/>
    </row>
    <row r="1983" spans="1:110" s="42" customFormat="1" ht="36" x14ac:dyDescent="0.2">
      <c r="A1983" s="89">
        <v>40786</v>
      </c>
      <c r="B1983" s="151" t="s">
        <v>3533</v>
      </c>
      <c r="C1983" s="90" t="s">
        <v>862</v>
      </c>
      <c r="D1983" s="90" t="s">
        <v>4298</v>
      </c>
      <c r="E1983" s="90" t="str">
        <f>VLOOKUP(B1983&amp;C1983,Divipola!$C$2:$F$1138,4,FALSE)</f>
        <v>17001</v>
      </c>
      <c r="F1983" s="4"/>
      <c r="G1983" s="165"/>
      <c r="H1983" s="168"/>
      <c r="I1983" s="168"/>
      <c r="J1983" s="168">
        <v>75</v>
      </c>
      <c r="K1983" s="168">
        <v>15</v>
      </c>
      <c r="L1983" s="168">
        <v>15</v>
      </c>
      <c r="M1983" s="168"/>
      <c r="N1983" s="168"/>
      <c r="O1983" s="168"/>
      <c r="P1983" s="168"/>
      <c r="Q1983" s="168"/>
      <c r="R1983" s="168"/>
      <c r="S1983" s="168"/>
      <c r="T1983" s="168"/>
      <c r="U1983" s="168"/>
      <c r="V1983" s="170"/>
      <c r="W1983" s="172"/>
      <c r="X1983" s="17"/>
      <c r="Y1983" s="5">
        <f t="shared" si="191"/>
        <v>0</v>
      </c>
      <c r="Z1983" s="5">
        <f t="shared" si="192"/>
        <v>0</v>
      </c>
      <c r="AA1983" s="5">
        <f t="shared" si="193"/>
        <v>0</v>
      </c>
      <c r="AB1983" s="5">
        <f t="shared" si="194"/>
        <v>0</v>
      </c>
      <c r="AC1983" s="5"/>
      <c r="AD1983" s="5">
        <v>0</v>
      </c>
      <c r="AE1983" s="5">
        <f t="shared" si="195"/>
        <v>0</v>
      </c>
      <c r="AF1983" s="70">
        <v>0</v>
      </c>
      <c r="AG1983" s="17"/>
      <c r="AH1983" s="18"/>
      <c r="AI1983" s="47" t="s">
        <v>4336</v>
      </c>
      <c r="AJ1983" s="73" t="s">
        <v>4337</v>
      </c>
      <c r="AK1983" s="177"/>
      <c r="AL1983" s="179"/>
      <c r="AM1983" s="184" t="s">
        <v>29</v>
      </c>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39"/>
      <c r="CO1983" s="138"/>
      <c r="CP1983" s="139"/>
      <c r="CQ1983" s="138"/>
      <c r="CR1983" s="139"/>
      <c r="CS1983" s="138"/>
      <c r="CT1983" s="72"/>
      <c r="CU1983" s="139"/>
      <c r="CV1983" s="99">
        <f t="shared" si="185"/>
        <v>0</v>
      </c>
      <c r="CW1983" s="139"/>
      <c r="CX1983" s="138"/>
      <c r="CY1983" s="138"/>
      <c r="CZ1983" s="138"/>
      <c r="DA1983" s="139"/>
      <c r="DB1983" s="138"/>
      <c r="DC1983" s="45"/>
      <c r="DD1983" s="138"/>
      <c r="DE1983" s="45"/>
      <c r="DF1983" s="46"/>
    </row>
    <row r="1984" spans="1:110" s="42" customFormat="1" ht="24" x14ac:dyDescent="0.2">
      <c r="A1984" s="89">
        <v>40786</v>
      </c>
      <c r="B1984" s="153" t="s">
        <v>4296</v>
      </c>
      <c r="C1984" s="4" t="s">
        <v>4345</v>
      </c>
      <c r="D1984" s="90" t="s">
        <v>4264</v>
      </c>
      <c r="E1984" s="90">
        <f>VLOOKUP(B1984&amp;C1984,Divipola!$C$2:$F$1138,4,FALSE)</f>
        <v>19</v>
      </c>
      <c r="F1984" s="4"/>
      <c r="G1984" s="167"/>
      <c r="H1984" s="169"/>
      <c r="I1984" s="169"/>
      <c r="J1984" s="169"/>
      <c r="K1984" s="169"/>
      <c r="L1984" s="169"/>
      <c r="M1984" s="169"/>
      <c r="N1984" s="169"/>
      <c r="O1984" s="169"/>
      <c r="P1984" s="169"/>
      <c r="Q1984" s="169"/>
      <c r="R1984" s="169"/>
      <c r="S1984" s="169"/>
      <c r="T1984" s="169"/>
      <c r="U1984" s="169"/>
      <c r="V1984" s="171"/>
      <c r="W1984" s="172"/>
      <c r="X1984" s="17"/>
      <c r="Y1984" s="5">
        <f t="shared" si="191"/>
        <v>0</v>
      </c>
      <c r="Z1984" s="5">
        <f t="shared" si="192"/>
        <v>0</v>
      </c>
      <c r="AA1984" s="5">
        <f t="shared" si="193"/>
        <v>0</v>
      </c>
      <c r="AB1984" s="5">
        <f t="shared" si="194"/>
        <v>0</v>
      </c>
      <c r="AC1984" s="5">
        <f>12*2193003.2</f>
        <v>26316038.400000002</v>
      </c>
      <c r="AD1984" s="5">
        <v>0</v>
      </c>
      <c r="AE1984" s="5">
        <f t="shared" si="195"/>
        <v>26316038.400000002</v>
      </c>
      <c r="AF1984" s="70">
        <v>0</v>
      </c>
      <c r="AG1984" s="17"/>
      <c r="AH1984" s="18"/>
      <c r="AI1984" s="47" t="s">
        <v>4346</v>
      </c>
      <c r="AJ1984" s="73" t="s">
        <v>4347</v>
      </c>
      <c r="AK1984" s="177"/>
      <c r="AL1984" s="179"/>
      <c r="AM1984" s="183" t="s">
        <v>2094</v>
      </c>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39"/>
      <c r="CE1984" s="138"/>
      <c r="CF1984" s="139"/>
      <c r="CG1984" s="138"/>
      <c r="CH1984" s="139"/>
      <c r="CI1984" s="138"/>
      <c r="CJ1984" s="72"/>
      <c r="CK1984" s="139"/>
      <c r="CL1984" s="71"/>
      <c r="CM1984" s="139"/>
      <c r="CN1984" s="138"/>
      <c r="CO1984" s="138"/>
      <c r="CP1984" s="138"/>
      <c r="CQ1984" s="139"/>
      <c r="CR1984" s="138"/>
      <c r="CS1984" s="45"/>
      <c r="CT1984" s="138"/>
      <c r="CU1984" s="45"/>
      <c r="CV1984" s="99">
        <f t="shared" si="185"/>
        <v>0</v>
      </c>
      <c r="CW1984" s="139"/>
      <c r="CX1984" s="138"/>
      <c r="CY1984" s="138"/>
      <c r="CZ1984" s="138"/>
      <c r="DA1984" s="139"/>
      <c r="DB1984" s="138"/>
      <c r="DC1984" s="45"/>
      <c r="DD1984" s="138"/>
      <c r="DE1984" s="45"/>
      <c r="DF1984" s="46"/>
    </row>
    <row r="1985" spans="1:110" s="42" customFormat="1" ht="60" x14ac:dyDescent="0.2">
      <c r="A1985" s="89">
        <v>40786</v>
      </c>
      <c r="B1985" s="151" t="s">
        <v>2225</v>
      </c>
      <c r="C1985" s="90" t="s">
        <v>856</v>
      </c>
      <c r="D1985" s="90" t="s">
        <v>3346</v>
      </c>
      <c r="E1985" s="90" t="str">
        <f>VLOOKUP(B1985&amp;C1985,Divipola!$C$2:$F$1138,4,FALSE)</f>
        <v>27006</v>
      </c>
      <c r="F1985" s="4"/>
      <c r="G1985" s="165"/>
      <c r="H1985" s="168"/>
      <c r="I1985" s="168"/>
      <c r="J1985" s="168">
        <v>6195</v>
      </c>
      <c r="K1985" s="168">
        <f>513+726</f>
        <v>1239</v>
      </c>
      <c r="L1985" s="168">
        <v>7</v>
      </c>
      <c r="M1985" s="168">
        <v>378</v>
      </c>
      <c r="N1985" s="168"/>
      <c r="O1985" s="168"/>
      <c r="P1985" s="168"/>
      <c r="Q1985" s="168"/>
      <c r="R1985" s="168"/>
      <c r="S1985" s="168">
        <v>1</v>
      </c>
      <c r="T1985" s="168">
        <v>5</v>
      </c>
      <c r="U1985" s="168">
        <v>5</v>
      </c>
      <c r="V1985" s="170"/>
      <c r="W1985" s="172"/>
      <c r="X1985" s="17"/>
      <c r="Y1985" s="5">
        <v>0</v>
      </c>
      <c r="Z1985" s="5">
        <v>0</v>
      </c>
      <c r="AA1985" s="5">
        <v>0</v>
      </c>
      <c r="AB1985" s="5">
        <v>0</v>
      </c>
      <c r="AC1985" s="5"/>
      <c r="AD1985" s="5">
        <v>0</v>
      </c>
      <c r="AE1985" s="5">
        <v>0</v>
      </c>
      <c r="AF1985" s="70">
        <v>0</v>
      </c>
      <c r="AG1985" s="17"/>
      <c r="AH1985" s="18"/>
      <c r="AI1985" s="47" t="s">
        <v>4336</v>
      </c>
      <c r="AJ1985" s="73" t="s">
        <v>4337</v>
      </c>
      <c r="AK1985" s="177"/>
      <c r="AL1985" s="179"/>
      <c r="AM1985" s="184" t="s">
        <v>41</v>
      </c>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39"/>
      <c r="CE1985" s="138"/>
      <c r="CF1985" s="139"/>
      <c r="CG1985" s="138"/>
      <c r="CH1985" s="139"/>
      <c r="CI1985" s="138"/>
      <c r="CJ1985" s="72"/>
      <c r="CK1985" s="139"/>
      <c r="CL1985" s="71"/>
      <c r="CM1985" s="139"/>
      <c r="CN1985" s="138"/>
      <c r="CO1985" s="138"/>
      <c r="CP1985" s="138"/>
      <c r="CQ1985" s="139"/>
      <c r="CR1985" s="138"/>
      <c r="CS1985" s="45"/>
      <c r="CT1985" s="138"/>
      <c r="CU1985" s="45"/>
      <c r="CV1985" s="99">
        <f t="shared" si="185"/>
        <v>0</v>
      </c>
      <c r="CW1985" s="139"/>
      <c r="CX1985" s="138"/>
      <c r="CY1985" s="138"/>
      <c r="CZ1985" s="138"/>
      <c r="DA1985" s="139"/>
      <c r="DB1985" s="138"/>
      <c r="DC1985" s="45"/>
      <c r="DD1985" s="138"/>
      <c r="DE1985" s="45"/>
      <c r="DF1985" s="46"/>
    </row>
    <row r="1986" spans="1:110" s="42" customFormat="1" ht="24" x14ac:dyDescent="0.2">
      <c r="A1986" s="89">
        <v>40787</v>
      </c>
      <c r="B1986" s="151" t="s">
        <v>2218</v>
      </c>
      <c r="C1986" s="90" t="s">
        <v>4307</v>
      </c>
      <c r="D1986" s="90" t="s">
        <v>4264</v>
      </c>
      <c r="E1986" s="90" t="str">
        <f>VLOOKUP(B1986&amp;C1986,Divipola!$C$2:$F$1138,4,FALSE)</f>
        <v>05789</v>
      </c>
      <c r="F1986" s="4"/>
      <c r="G1986" s="167"/>
      <c r="H1986" s="169"/>
      <c r="I1986" s="169"/>
      <c r="J1986" s="169"/>
      <c r="K1986" s="169"/>
      <c r="L1986" s="169"/>
      <c r="M1986" s="169"/>
      <c r="N1986" s="169"/>
      <c r="O1986" s="169"/>
      <c r="P1986" s="169"/>
      <c r="Q1986" s="169"/>
      <c r="R1986" s="169"/>
      <c r="S1986" s="169"/>
      <c r="T1986" s="169"/>
      <c r="U1986" s="169"/>
      <c r="V1986" s="171"/>
      <c r="W1986" s="172"/>
      <c r="X1986" s="17"/>
      <c r="Y1986" s="5">
        <f t="shared" ref="Y1986:Y2049" si="196">CV1986</f>
        <v>0</v>
      </c>
      <c r="Z1986" s="5">
        <f t="shared" ref="Z1986:Z2049" si="197">CZ1986</f>
        <v>0</v>
      </c>
      <c r="AA1986" s="5">
        <f t="shared" ref="AA1986:AA2049" si="198">DB1986+DD1986</f>
        <v>45858048</v>
      </c>
      <c r="AB1986" s="5">
        <f t="shared" ref="AB1986:AB2049" si="199">CX1986</f>
        <v>0</v>
      </c>
      <c r="AC1986" s="159">
        <f>2000*1350</f>
        <v>2700000</v>
      </c>
      <c r="AD1986" s="5">
        <v>0</v>
      </c>
      <c r="AE1986" s="5">
        <f t="shared" ref="AE1986:AE2049" si="200">Y1986+Z1986+AA1986+AB1986+AC1986+AD1986</f>
        <v>48558048</v>
      </c>
      <c r="AF1986" s="70">
        <v>0</v>
      </c>
      <c r="AG1986" s="17"/>
      <c r="AH1986" s="18"/>
      <c r="AI1986" s="47" t="s">
        <v>4346</v>
      </c>
      <c r="AJ1986" s="73" t="s">
        <v>4347</v>
      </c>
      <c r="AK1986" s="177"/>
      <c r="AL1986" s="179"/>
      <c r="AM1986" s="185" t="s">
        <v>4483</v>
      </c>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39"/>
      <c r="CE1986" s="138"/>
      <c r="CF1986" s="139"/>
      <c r="CG1986" s="138"/>
      <c r="CH1986" s="139"/>
      <c r="CI1986" s="138"/>
      <c r="CJ1986" s="72"/>
      <c r="CK1986" s="139"/>
      <c r="CL1986" s="71"/>
      <c r="CM1986" s="139"/>
      <c r="CN1986" s="138"/>
      <c r="CO1986" s="138"/>
      <c r="CP1986" s="138"/>
      <c r="CQ1986" s="139"/>
      <c r="CR1986" s="138"/>
      <c r="CS1986" s="45"/>
      <c r="CT1986" s="138"/>
      <c r="CU1986" s="45"/>
      <c r="CV1986" s="99">
        <f t="shared" si="185"/>
        <v>0</v>
      </c>
      <c r="CW1986" s="139"/>
      <c r="CX1986" s="138"/>
      <c r="CY1986" s="138"/>
      <c r="CZ1986" s="138"/>
      <c r="DA1986" s="139"/>
      <c r="DB1986" s="138"/>
      <c r="DC1986" s="45">
        <f>800+800</f>
        <v>1600</v>
      </c>
      <c r="DD1986" s="138">
        <f>800*23423.88+800*33898.68</f>
        <v>45858048</v>
      </c>
      <c r="DE1986" s="45"/>
      <c r="DF1986" s="46"/>
    </row>
    <row r="1987" spans="1:110" s="42" customFormat="1" ht="48" x14ac:dyDescent="0.2">
      <c r="A1987" s="89">
        <v>40787</v>
      </c>
      <c r="B1987" s="90" t="s">
        <v>1116</v>
      </c>
      <c r="C1987" s="90" t="s">
        <v>1116</v>
      </c>
      <c r="D1987" s="90" t="s">
        <v>4298</v>
      </c>
      <c r="E1987" s="90" t="str">
        <f>VLOOKUP(B1987&amp;C1987,Divipola!$C$2:$F$1138,4,FALSE)</f>
        <v>11001</v>
      </c>
      <c r="F1987" s="4"/>
      <c r="G1987" s="165"/>
      <c r="H1987" s="168"/>
      <c r="I1987" s="168"/>
      <c r="J1987" s="168">
        <v>15</v>
      </c>
      <c r="K1987" s="168">
        <v>3</v>
      </c>
      <c r="L1987" s="168"/>
      <c r="M1987" s="168">
        <v>3</v>
      </c>
      <c r="N1987" s="168"/>
      <c r="O1987" s="168"/>
      <c r="P1987" s="168"/>
      <c r="Q1987" s="168"/>
      <c r="R1987" s="168"/>
      <c r="S1987" s="168"/>
      <c r="T1987" s="168"/>
      <c r="U1987" s="168"/>
      <c r="V1987" s="170"/>
      <c r="W1987" s="172"/>
      <c r="X1987" s="17"/>
      <c r="Y1987" s="5">
        <f t="shared" si="196"/>
        <v>0</v>
      </c>
      <c r="Z1987" s="5">
        <f t="shared" si="197"/>
        <v>0</v>
      </c>
      <c r="AA1987" s="5">
        <f t="shared" si="198"/>
        <v>0</v>
      </c>
      <c r="AB1987" s="5">
        <f t="shared" si="199"/>
        <v>0</v>
      </c>
      <c r="AC1987" s="5"/>
      <c r="AD1987" s="5">
        <v>0</v>
      </c>
      <c r="AE1987" s="5">
        <f t="shared" si="200"/>
        <v>0</v>
      </c>
      <c r="AF1987" s="70">
        <v>0</v>
      </c>
      <c r="AG1987" s="17"/>
      <c r="AH1987" s="18"/>
      <c r="AI1987" s="47" t="s">
        <v>4336</v>
      </c>
      <c r="AJ1987" s="73" t="s">
        <v>4337</v>
      </c>
      <c r="AK1987" s="177"/>
      <c r="AL1987" s="179"/>
      <c r="AM1987" s="184" t="s">
        <v>40</v>
      </c>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9"/>
      <c r="CE1987" s="19"/>
      <c r="CF1987" s="19"/>
      <c r="CG1987" s="19"/>
      <c r="CH1987" s="19"/>
      <c r="CI1987" s="19"/>
      <c r="CJ1987" s="19"/>
      <c r="CK1987" s="19"/>
      <c r="CL1987" s="19"/>
      <c r="CM1987" s="19"/>
      <c r="CN1987" s="139"/>
      <c r="CO1987" s="138"/>
      <c r="CP1987" s="139"/>
      <c r="CQ1987" s="138"/>
      <c r="CR1987" s="139"/>
      <c r="CS1987" s="138"/>
      <c r="CT1987" s="72"/>
      <c r="CU1987" s="139"/>
      <c r="CV1987" s="99">
        <f t="shared" ref="CV1987:CV2050" si="201">AO1987+AQ1987+AS1987+AU1987+AW1987+AY1987+BA1987+BC1987+BE1987+BG1987+BI1987+BK1987+BM1987+BO1987+BQ1987+BS1987+BU1987+BW1987+BY1987+CA1987+CC1987+CE1987+CG1987+CI1987+CK1987+CM1987+CO1987+CQ1987+CS1987+CU1987</f>
        <v>0</v>
      </c>
      <c r="CW1987" s="139"/>
      <c r="CX1987" s="138"/>
      <c r="CY1987" s="138"/>
      <c r="CZ1987" s="138"/>
      <c r="DA1987" s="139"/>
      <c r="DB1987" s="138"/>
      <c r="DC1987" s="45"/>
      <c r="DD1987" s="138"/>
      <c r="DE1987" s="45"/>
      <c r="DF1987" s="46"/>
    </row>
    <row r="1988" spans="1:110" s="42" customFormat="1" ht="24" x14ac:dyDescent="0.2">
      <c r="A1988" s="89">
        <v>40787</v>
      </c>
      <c r="B1988" s="90" t="s">
        <v>4296</v>
      </c>
      <c r="C1988" s="90" t="s">
        <v>1485</v>
      </c>
      <c r="D1988" s="90" t="s">
        <v>4298</v>
      </c>
      <c r="E1988" s="90" t="str">
        <f>VLOOKUP(B1988&amp;C1988,Divipola!$C$2:$F$1138,4,FALSE)</f>
        <v>19392</v>
      </c>
      <c r="F1988" s="4"/>
      <c r="G1988" s="165"/>
      <c r="H1988" s="168"/>
      <c r="I1988" s="168"/>
      <c r="J1988" s="168">
        <v>5</v>
      </c>
      <c r="K1988" s="168">
        <v>1</v>
      </c>
      <c r="L1988" s="168">
        <v>1</v>
      </c>
      <c r="M1988" s="168"/>
      <c r="N1988" s="168"/>
      <c r="O1988" s="168"/>
      <c r="P1988" s="168"/>
      <c r="Q1988" s="168"/>
      <c r="R1988" s="168"/>
      <c r="S1988" s="168"/>
      <c r="T1988" s="168"/>
      <c r="U1988" s="168"/>
      <c r="V1988" s="170"/>
      <c r="W1988" s="172"/>
      <c r="X1988" s="17"/>
      <c r="Y1988" s="5">
        <f t="shared" si="196"/>
        <v>0</v>
      </c>
      <c r="Z1988" s="5">
        <f t="shared" si="197"/>
        <v>0</v>
      </c>
      <c r="AA1988" s="5">
        <f t="shared" si="198"/>
        <v>0</v>
      </c>
      <c r="AB1988" s="5">
        <f t="shared" si="199"/>
        <v>0</v>
      </c>
      <c r="AC1988" s="5"/>
      <c r="AD1988" s="5">
        <v>0</v>
      </c>
      <c r="AE1988" s="5">
        <f t="shared" si="200"/>
        <v>0</v>
      </c>
      <c r="AF1988" s="70">
        <v>0</v>
      </c>
      <c r="AG1988" s="17"/>
      <c r="AH1988" s="18"/>
      <c r="AI1988" s="47" t="s">
        <v>4336</v>
      </c>
      <c r="AJ1988" s="73" t="s">
        <v>4337</v>
      </c>
      <c r="AK1988" s="177"/>
      <c r="AL1988" s="179"/>
      <c r="AM1988" s="186" t="s">
        <v>37</v>
      </c>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9"/>
      <c r="CE1988" s="19"/>
      <c r="CF1988" s="19"/>
      <c r="CG1988" s="19"/>
      <c r="CH1988" s="19"/>
      <c r="CI1988" s="19"/>
      <c r="CJ1988" s="19"/>
      <c r="CK1988" s="19"/>
      <c r="CL1988" s="19"/>
      <c r="CM1988" s="19"/>
      <c r="CN1988" s="139"/>
      <c r="CO1988" s="138"/>
      <c r="CP1988" s="139"/>
      <c r="CQ1988" s="138"/>
      <c r="CR1988" s="139"/>
      <c r="CS1988" s="138"/>
      <c r="CT1988" s="72"/>
      <c r="CU1988" s="139"/>
      <c r="CV1988" s="99">
        <f t="shared" si="201"/>
        <v>0</v>
      </c>
      <c r="CW1988" s="139"/>
      <c r="CX1988" s="138"/>
      <c r="CY1988" s="138"/>
      <c r="CZ1988" s="138"/>
      <c r="DA1988" s="139"/>
      <c r="DB1988" s="138"/>
      <c r="DC1988" s="45"/>
      <c r="DD1988" s="138"/>
      <c r="DE1988" s="45"/>
      <c r="DF1988" s="46"/>
    </row>
    <row r="1989" spans="1:110" s="42" customFormat="1" ht="324" x14ac:dyDescent="0.2">
      <c r="A1989" s="89">
        <v>40787</v>
      </c>
      <c r="B1989" s="151" t="s">
        <v>4386</v>
      </c>
      <c r="C1989" s="90" t="s">
        <v>1536</v>
      </c>
      <c r="D1989" s="90" t="s">
        <v>4264</v>
      </c>
      <c r="E1989" s="90" t="str">
        <f>VLOOKUP(B1989&amp;C1989,Divipola!$C$2:$F$1138,4,FALSE)</f>
        <v>20032</v>
      </c>
      <c r="F1989" s="4"/>
      <c r="G1989" s="165"/>
      <c r="H1989" s="168"/>
      <c r="I1989" s="168"/>
      <c r="J1989" s="168">
        <v>7880</v>
      </c>
      <c r="K1989" s="168">
        <v>1576</v>
      </c>
      <c r="L1989" s="168">
        <v>55</v>
      </c>
      <c r="M1989" s="168">
        <v>416</v>
      </c>
      <c r="N1989" s="168">
        <v>3</v>
      </c>
      <c r="O1989" s="168">
        <v>2</v>
      </c>
      <c r="P1989" s="168"/>
      <c r="Q1989" s="168"/>
      <c r="R1989" s="168">
        <v>1</v>
      </c>
      <c r="S1989" s="168"/>
      <c r="T1989" s="168"/>
      <c r="U1989" s="168"/>
      <c r="V1989" s="170"/>
      <c r="W1989" s="172"/>
      <c r="X1989" s="17"/>
      <c r="Y1989" s="5">
        <f t="shared" si="196"/>
        <v>0</v>
      </c>
      <c r="Z1989" s="5">
        <f t="shared" si="197"/>
        <v>75735000</v>
      </c>
      <c r="AA1989" s="5">
        <f t="shared" si="198"/>
        <v>0</v>
      </c>
      <c r="AB1989" s="5">
        <f t="shared" si="199"/>
        <v>0</v>
      </c>
      <c r="AC1989" s="5"/>
      <c r="AD1989" s="5">
        <v>0</v>
      </c>
      <c r="AE1989" s="5">
        <f t="shared" si="200"/>
        <v>75735000</v>
      </c>
      <c r="AF1989" s="70">
        <v>0</v>
      </c>
      <c r="AG1989" s="17"/>
      <c r="AH1989" s="18"/>
      <c r="AI1989" s="47" t="s">
        <v>4346</v>
      </c>
      <c r="AJ1989" s="73" t="s">
        <v>4347</v>
      </c>
      <c r="AK1989" s="177"/>
      <c r="AL1989" s="179"/>
      <c r="AM1989" s="184" t="s">
        <v>5532</v>
      </c>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39"/>
      <c r="CE1989" s="138"/>
      <c r="CF1989" s="139"/>
      <c r="CG1989" s="138"/>
      <c r="CH1989" s="139"/>
      <c r="CI1989" s="138"/>
      <c r="CJ1989" s="72"/>
      <c r="CK1989" s="139"/>
      <c r="CL1989" s="71"/>
      <c r="CM1989" s="139"/>
      <c r="CN1989" s="138"/>
      <c r="CO1989" s="138"/>
      <c r="CP1989" s="138"/>
      <c r="CQ1989" s="139"/>
      <c r="CR1989" s="138"/>
      <c r="CS1989" s="45"/>
      <c r="CT1989" s="138"/>
      <c r="CU1989" s="45"/>
      <c r="CV1989" s="99">
        <f t="shared" si="201"/>
        <v>0</v>
      </c>
      <c r="CW1989" s="139"/>
      <c r="CX1989" s="138"/>
      <c r="CY1989" s="138">
        <v>891</v>
      </c>
      <c r="CZ1989" s="138">
        <f>891*85000</f>
        <v>75735000</v>
      </c>
      <c r="DA1989" s="139"/>
      <c r="DB1989" s="138"/>
      <c r="DC1989" s="45"/>
      <c r="DD1989" s="138"/>
      <c r="DE1989" s="45"/>
      <c r="DF1989" s="46"/>
    </row>
    <row r="1990" spans="1:110" s="42" customFormat="1" ht="252" x14ac:dyDescent="0.2">
      <c r="A1990" s="89">
        <v>40787</v>
      </c>
      <c r="B1990" s="90" t="s">
        <v>2225</v>
      </c>
      <c r="C1990" s="90" t="s">
        <v>1859</v>
      </c>
      <c r="D1990" s="90" t="s">
        <v>35</v>
      </c>
      <c r="E1990" s="90" t="str">
        <f>VLOOKUP(B1990&amp;C1990,Divipola!$C$2:$F$1138,4,FALSE)</f>
        <v>27075</v>
      </c>
      <c r="F1990" s="4"/>
      <c r="G1990" s="165"/>
      <c r="H1990" s="168"/>
      <c r="I1990" s="168"/>
      <c r="J1990" s="168">
        <v>155</v>
      </c>
      <c r="K1990" s="168">
        <v>31</v>
      </c>
      <c r="L1990" s="168"/>
      <c r="M1990" s="168">
        <v>31</v>
      </c>
      <c r="N1990" s="168"/>
      <c r="O1990" s="168"/>
      <c r="P1990" s="168"/>
      <c r="Q1990" s="168"/>
      <c r="R1990" s="168"/>
      <c r="S1990" s="168"/>
      <c r="T1990" s="168">
        <v>1</v>
      </c>
      <c r="U1990" s="168">
        <v>2</v>
      </c>
      <c r="V1990" s="170"/>
      <c r="W1990" s="172"/>
      <c r="X1990" s="17"/>
      <c r="Y1990" s="5">
        <f t="shared" si="196"/>
        <v>1679970</v>
      </c>
      <c r="Z1990" s="5">
        <f t="shared" si="197"/>
        <v>2549954.4</v>
      </c>
      <c r="AA1990" s="5">
        <f t="shared" si="198"/>
        <v>0</v>
      </c>
      <c r="AB1990" s="5">
        <f t="shared" si="199"/>
        <v>0</v>
      </c>
      <c r="AC1990" s="5"/>
      <c r="AD1990" s="5">
        <v>0</v>
      </c>
      <c r="AE1990" s="5">
        <f t="shared" si="200"/>
        <v>4229924.4000000004</v>
      </c>
      <c r="AF1990" s="70">
        <v>0</v>
      </c>
      <c r="AG1990" s="17"/>
      <c r="AH1990" s="18"/>
      <c r="AI1990" s="109" t="s">
        <v>4346</v>
      </c>
      <c r="AJ1990" s="110" t="s">
        <v>4347</v>
      </c>
      <c r="AK1990" s="177"/>
      <c r="AL1990" s="179"/>
      <c r="AM1990" s="184" t="s">
        <v>2086</v>
      </c>
      <c r="AN1990" s="19"/>
      <c r="AO1990" s="19"/>
      <c r="AP1990" s="19"/>
      <c r="AQ1990" s="19"/>
      <c r="AR1990" s="19"/>
      <c r="AS1990" s="19"/>
      <c r="AT1990" s="19"/>
      <c r="AU1990" s="19"/>
      <c r="AV1990" s="19"/>
      <c r="AW1990" s="19"/>
      <c r="AX1990" s="19"/>
      <c r="AY1990" s="19"/>
      <c r="AZ1990" s="19">
        <v>30</v>
      </c>
      <c r="BA1990" s="19">
        <f>30*55999</f>
        <v>1679970</v>
      </c>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39"/>
      <c r="CO1990" s="138"/>
      <c r="CP1990" s="139"/>
      <c r="CQ1990" s="138"/>
      <c r="CR1990" s="139"/>
      <c r="CS1990" s="138"/>
      <c r="CT1990" s="72"/>
      <c r="CU1990" s="139"/>
      <c r="CV1990" s="99">
        <f t="shared" si="201"/>
        <v>1679970</v>
      </c>
      <c r="CW1990" s="139"/>
      <c r="CX1990" s="138"/>
      <c r="CY1990" s="138">
        <v>30</v>
      </c>
      <c r="CZ1990" s="138">
        <f>30*84998.48</f>
        <v>2549954.4</v>
      </c>
      <c r="DA1990" s="139"/>
      <c r="DB1990" s="138"/>
      <c r="DC1990" s="45"/>
      <c r="DD1990" s="138"/>
      <c r="DE1990" s="45"/>
      <c r="DF1990" s="46"/>
    </row>
    <row r="1991" spans="1:110" s="42" customFormat="1" ht="24" x14ac:dyDescent="0.2">
      <c r="A1991" s="89">
        <v>40787</v>
      </c>
      <c r="B1991" s="106" t="s">
        <v>2225</v>
      </c>
      <c r="C1991" s="106" t="s">
        <v>1886</v>
      </c>
      <c r="D1991" s="90" t="s">
        <v>4264</v>
      </c>
      <c r="E1991" s="90" t="str">
        <f>VLOOKUP(B1991&amp;C1991,Divipola!$C$2:$F$1138,4,FALSE)</f>
        <v>27450</v>
      </c>
      <c r="F1991" s="90"/>
      <c r="G1991" s="320"/>
      <c r="H1991" s="321"/>
      <c r="I1991" s="321"/>
      <c r="J1991" s="321">
        <f>1059*4</f>
        <v>4236</v>
      </c>
      <c r="K1991" s="321">
        <v>1059</v>
      </c>
      <c r="L1991" s="321"/>
      <c r="M1991" s="321">
        <v>1059</v>
      </c>
      <c r="N1991" s="321"/>
      <c r="O1991" s="321"/>
      <c r="P1991" s="321"/>
      <c r="Q1991" s="321"/>
      <c r="R1991" s="321"/>
      <c r="S1991" s="321"/>
      <c r="T1991" s="321"/>
      <c r="U1991" s="321"/>
      <c r="V1991" s="322"/>
      <c r="W1991" s="198"/>
      <c r="X1991" s="105"/>
      <c r="Y1991" s="92">
        <f t="shared" si="196"/>
        <v>3938919.1999999997</v>
      </c>
      <c r="Z1991" s="92">
        <f t="shared" si="197"/>
        <v>8585000</v>
      </c>
      <c r="AA1991" s="92">
        <f t="shared" si="198"/>
        <v>10749720</v>
      </c>
      <c r="AB1991" s="92">
        <f t="shared" si="199"/>
        <v>0</v>
      </c>
      <c r="AC1991" s="92"/>
      <c r="AD1991" s="92">
        <v>0</v>
      </c>
      <c r="AE1991" s="92">
        <f t="shared" si="200"/>
        <v>23273639.199999999</v>
      </c>
      <c r="AF1991" s="93">
        <v>0</v>
      </c>
      <c r="AG1991" s="105"/>
      <c r="AH1991" s="108"/>
      <c r="AI1991" s="109" t="s">
        <v>4346</v>
      </c>
      <c r="AJ1991" s="211" t="s">
        <v>4347</v>
      </c>
      <c r="AK1991" s="199"/>
      <c r="AL1991" s="200"/>
      <c r="AM1991" s="201" t="s">
        <v>930</v>
      </c>
      <c r="AN1991" s="107"/>
      <c r="AO1991" s="107"/>
      <c r="AP1991" s="107"/>
      <c r="AQ1991" s="107"/>
      <c r="AR1991" s="107"/>
      <c r="AS1991" s="107"/>
      <c r="AT1991" s="107"/>
      <c r="AU1991" s="107"/>
      <c r="AV1991" s="107"/>
      <c r="AW1991" s="107"/>
      <c r="AX1991" s="107"/>
      <c r="AY1991" s="107"/>
      <c r="AZ1991" s="107"/>
      <c r="BA1991" s="107"/>
      <c r="BB1991" s="107"/>
      <c r="BC1991" s="107"/>
      <c r="BD1991" s="107"/>
      <c r="BE1991" s="107"/>
      <c r="BF1991" s="107"/>
      <c r="BG1991" s="107"/>
      <c r="BH1991" s="107"/>
      <c r="BI1991" s="107"/>
      <c r="BJ1991" s="107"/>
      <c r="BK1991" s="107"/>
      <c r="BL1991" s="107"/>
      <c r="BM1991" s="107"/>
      <c r="BN1991" s="107"/>
      <c r="BO1991" s="107"/>
      <c r="BP1991" s="107"/>
      <c r="BQ1991" s="107"/>
      <c r="BR1991" s="107"/>
      <c r="BS1991" s="107"/>
      <c r="BT1991" s="107"/>
      <c r="BU1991" s="107"/>
      <c r="BV1991" s="107"/>
      <c r="BW1991" s="107"/>
      <c r="BX1991" s="107"/>
      <c r="BY1991" s="107"/>
      <c r="BZ1991" s="107"/>
      <c r="CA1991" s="107"/>
      <c r="CB1991" s="107"/>
      <c r="CC1991" s="107"/>
      <c r="CD1991" s="107"/>
      <c r="CE1991" s="107"/>
      <c r="CF1991" s="107"/>
      <c r="CG1991" s="107"/>
      <c r="CH1991" s="107"/>
      <c r="CI1991" s="107"/>
      <c r="CJ1991" s="107"/>
      <c r="CK1991" s="107"/>
      <c r="CL1991" s="107"/>
      <c r="CM1991" s="107"/>
      <c r="CN1991" s="118"/>
      <c r="CO1991" s="119"/>
      <c r="CP1991" s="118">
        <v>101</v>
      </c>
      <c r="CQ1991" s="119">
        <f>101*38999.2</f>
        <v>3938919.1999999997</v>
      </c>
      <c r="CR1991" s="118"/>
      <c r="CS1991" s="119"/>
      <c r="CT1991" s="113"/>
      <c r="CU1991" s="118"/>
      <c r="CV1991" s="99">
        <f t="shared" si="201"/>
        <v>3938919.1999999997</v>
      </c>
      <c r="CW1991" s="118"/>
      <c r="CX1991" s="119"/>
      <c r="CY1991" s="119">
        <v>101</v>
      </c>
      <c r="CZ1991" s="119">
        <f>101*85000</f>
        <v>8585000</v>
      </c>
      <c r="DA1991" s="118"/>
      <c r="DB1991" s="119"/>
      <c r="DC1991" s="111">
        <v>500</v>
      </c>
      <c r="DD1991" s="119">
        <f>500*21499.44</f>
        <v>10749720</v>
      </c>
      <c r="DE1991" s="111"/>
      <c r="DF1991" s="46"/>
    </row>
    <row r="1992" spans="1:110" s="42" customFormat="1" ht="84" x14ac:dyDescent="0.2">
      <c r="A1992" s="89">
        <v>40787</v>
      </c>
      <c r="B1992" s="16" t="s">
        <v>2225</v>
      </c>
      <c r="C1992" s="16" t="s">
        <v>1886</v>
      </c>
      <c r="D1992" s="90" t="s">
        <v>4264</v>
      </c>
      <c r="E1992" s="90" t="str">
        <f>VLOOKUP(B1992&amp;C1992,Divipola!$C$2:$F$1138,4,FALSE)</f>
        <v>27450</v>
      </c>
      <c r="F1992" s="4"/>
      <c r="G1992" s="167"/>
      <c r="H1992" s="169"/>
      <c r="I1992" s="169"/>
      <c r="J1992" s="169"/>
      <c r="K1992" s="169"/>
      <c r="L1992" s="169"/>
      <c r="M1992" s="169"/>
      <c r="N1992" s="169"/>
      <c r="O1992" s="169"/>
      <c r="P1992" s="169"/>
      <c r="Q1992" s="169"/>
      <c r="R1992" s="169"/>
      <c r="S1992" s="169"/>
      <c r="T1992" s="169"/>
      <c r="U1992" s="169"/>
      <c r="V1992" s="171"/>
      <c r="W1992" s="172"/>
      <c r="X1992" s="17"/>
      <c r="Y1992" s="5">
        <f t="shared" si="196"/>
        <v>0</v>
      </c>
      <c r="Z1992" s="5">
        <f t="shared" si="197"/>
        <v>0</v>
      </c>
      <c r="AA1992" s="5">
        <f t="shared" si="198"/>
        <v>0</v>
      </c>
      <c r="AB1992" s="5">
        <f t="shared" si="199"/>
        <v>0</v>
      </c>
      <c r="AC1992" s="5"/>
      <c r="AD1992" s="5">
        <v>30000000</v>
      </c>
      <c r="AE1992" s="5">
        <f t="shared" si="200"/>
        <v>30000000</v>
      </c>
      <c r="AF1992" s="70">
        <v>0</v>
      </c>
      <c r="AG1992" s="17"/>
      <c r="AH1992" s="18"/>
      <c r="AI1992" s="47" t="s">
        <v>4346</v>
      </c>
      <c r="AJ1992" s="73" t="s">
        <v>4347</v>
      </c>
      <c r="AK1992" s="177"/>
      <c r="AL1992" s="179"/>
      <c r="AM1992" s="183" t="s">
        <v>4582</v>
      </c>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39"/>
      <c r="CE1992" s="138"/>
      <c r="CF1992" s="139"/>
      <c r="CG1992" s="138"/>
      <c r="CH1992" s="139"/>
      <c r="CI1992" s="138"/>
      <c r="CJ1992" s="72"/>
      <c r="CK1992" s="139"/>
      <c r="CL1992" s="71"/>
      <c r="CM1992" s="139"/>
      <c r="CN1992" s="138"/>
      <c r="CO1992" s="138"/>
      <c r="CP1992" s="138"/>
      <c r="CQ1992" s="139"/>
      <c r="CR1992" s="138"/>
      <c r="CS1992" s="45"/>
      <c r="CT1992" s="138"/>
      <c r="CU1992" s="45"/>
      <c r="CV1992" s="99">
        <f t="shared" si="201"/>
        <v>0</v>
      </c>
      <c r="CW1992" s="139"/>
      <c r="CX1992" s="138"/>
      <c r="CY1992" s="138"/>
      <c r="CZ1992" s="138"/>
      <c r="DA1992" s="139"/>
      <c r="DB1992" s="138"/>
      <c r="DC1992" s="45"/>
      <c r="DD1992" s="138"/>
      <c r="DE1992" s="45"/>
      <c r="DF1992" s="46"/>
    </row>
    <row r="1993" spans="1:110" s="42" customFormat="1" ht="108" x14ac:dyDescent="0.2">
      <c r="A1993" s="89">
        <v>40787</v>
      </c>
      <c r="B1993" s="90" t="s">
        <v>2225</v>
      </c>
      <c r="C1993" s="90" t="s">
        <v>2205</v>
      </c>
      <c r="D1993" s="90" t="s">
        <v>4264</v>
      </c>
      <c r="E1993" s="90" t="str">
        <f>VLOOKUP(B1993&amp;C1993,Divipola!$C$2:$F$1138,4,FALSE)</f>
        <v>27001</v>
      </c>
      <c r="F1993" s="4"/>
      <c r="G1993" s="165"/>
      <c r="H1993" s="168"/>
      <c r="I1993" s="168"/>
      <c r="J1993" s="168">
        <v>789</v>
      </c>
      <c r="K1993" s="168">
        <v>168</v>
      </c>
      <c r="L1993" s="168"/>
      <c r="M1993" s="168">
        <v>168</v>
      </c>
      <c r="N1993" s="168"/>
      <c r="O1993" s="168"/>
      <c r="P1993" s="168"/>
      <c r="Q1993" s="168"/>
      <c r="R1993" s="168"/>
      <c r="S1993" s="168"/>
      <c r="T1993" s="168"/>
      <c r="U1993" s="168"/>
      <c r="V1993" s="170"/>
      <c r="W1993" s="172"/>
      <c r="X1993" s="17"/>
      <c r="Y1993" s="5">
        <f t="shared" si="196"/>
        <v>77998400</v>
      </c>
      <c r="Z1993" s="5">
        <f t="shared" si="197"/>
        <v>170000000</v>
      </c>
      <c r="AA1993" s="5">
        <f t="shared" si="198"/>
        <v>0</v>
      </c>
      <c r="AB1993" s="5">
        <f t="shared" si="199"/>
        <v>0</v>
      </c>
      <c r="AC1993" s="5"/>
      <c r="AD1993" s="5">
        <v>60000000</v>
      </c>
      <c r="AE1993" s="5">
        <f t="shared" si="200"/>
        <v>307998400</v>
      </c>
      <c r="AF1993" s="70">
        <v>0</v>
      </c>
      <c r="AG1993" s="17"/>
      <c r="AH1993" s="18"/>
      <c r="AI1993" s="109" t="s">
        <v>4346</v>
      </c>
      <c r="AJ1993" s="110" t="s">
        <v>4347</v>
      </c>
      <c r="AK1993" s="177"/>
      <c r="AL1993" s="179"/>
      <c r="AM1993" s="186" t="s">
        <v>4856</v>
      </c>
      <c r="AN1993" s="19"/>
      <c r="AO1993" s="19"/>
      <c r="AP1993" s="19"/>
      <c r="AQ1993" s="19"/>
      <c r="AR1993" s="19"/>
      <c r="AS1993" s="19"/>
      <c r="AT1993" s="19"/>
      <c r="AU1993" s="19"/>
      <c r="AV1993" s="19"/>
      <c r="AW1993" s="19"/>
      <c r="AX1993" s="107"/>
      <c r="AY1993" s="107"/>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c r="BW1993" s="19"/>
      <c r="BX1993" s="19"/>
      <c r="BY1993" s="19"/>
      <c r="BZ1993" s="19"/>
      <c r="CA1993" s="19"/>
      <c r="CB1993" s="19"/>
      <c r="CC1993" s="19"/>
      <c r="CD1993" s="19"/>
      <c r="CE1993" s="19"/>
      <c r="CF1993" s="19"/>
      <c r="CG1993" s="19"/>
      <c r="CH1993" s="19"/>
      <c r="CI1993" s="19"/>
      <c r="CJ1993" s="19"/>
      <c r="CK1993" s="19"/>
      <c r="CL1993" s="19"/>
      <c r="CM1993" s="19"/>
      <c r="CN1993" s="139"/>
      <c r="CO1993" s="138"/>
      <c r="CP1993" s="139">
        <v>2000</v>
      </c>
      <c r="CQ1993" s="138">
        <f>2000*38999.2</f>
        <v>77998400</v>
      </c>
      <c r="CR1993" s="139"/>
      <c r="CS1993" s="138"/>
      <c r="CT1993" s="72"/>
      <c r="CU1993" s="139"/>
      <c r="CV1993" s="99">
        <f t="shared" si="201"/>
        <v>77998400</v>
      </c>
      <c r="CW1993" s="139"/>
      <c r="CX1993" s="138"/>
      <c r="CY1993" s="138">
        <v>2000</v>
      </c>
      <c r="CZ1993" s="138">
        <f>2000*85000</f>
        <v>170000000</v>
      </c>
      <c r="DA1993" s="139"/>
      <c r="DB1993" s="138"/>
      <c r="DC1993" s="45"/>
      <c r="DD1993" s="138"/>
      <c r="DE1993" s="45"/>
      <c r="DF1993" s="46"/>
    </row>
    <row r="1994" spans="1:110" s="42" customFormat="1" ht="24" x14ac:dyDescent="0.2">
      <c r="A1994" s="89">
        <v>40787</v>
      </c>
      <c r="B1994" s="106" t="s">
        <v>2225</v>
      </c>
      <c r="C1994" s="106" t="s">
        <v>1891</v>
      </c>
      <c r="D1994" s="90" t="s">
        <v>4264</v>
      </c>
      <c r="E1994" s="90" t="str">
        <f>VLOOKUP(B1994&amp;C1994,Divipola!$C$2:$F$1138,4,FALSE)</f>
        <v>27580</v>
      </c>
      <c r="F1994" s="90"/>
      <c r="G1994" s="320"/>
      <c r="H1994" s="321"/>
      <c r="I1994" s="321"/>
      <c r="J1994" s="321">
        <f>182*5</f>
        <v>910</v>
      </c>
      <c r="K1994" s="321">
        <v>182</v>
      </c>
      <c r="L1994" s="321"/>
      <c r="M1994" s="321">
        <v>182</v>
      </c>
      <c r="N1994" s="321"/>
      <c r="O1994" s="321"/>
      <c r="P1994" s="321"/>
      <c r="Q1994" s="321"/>
      <c r="R1994" s="321"/>
      <c r="S1994" s="321"/>
      <c r="T1994" s="321"/>
      <c r="U1994" s="321"/>
      <c r="V1994" s="322"/>
      <c r="W1994" s="198"/>
      <c r="X1994" s="105"/>
      <c r="Y1994" s="92">
        <f t="shared" si="196"/>
        <v>19499600</v>
      </c>
      <c r="Z1994" s="92">
        <f t="shared" si="197"/>
        <v>42500000</v>
      </c>
      <c r="AA1994" s="92">
        <f t="shared" si="198"/>
        <v>10749720</v>
      </c>
      <c r="AB1994" s="92">
        <f t="shared" si="199"/>
        <v>0</v>
      </c>
      <c r="AC1994" s="92"/>
      <c r="AD1994" s="92">
        <v>0</v>
      </c>
      <c r="AE1994" s="92">
        <f t="shared" si="200"/>
        <v>72749320</v>
      </c>
      <c r="AF1994" s="93">
        <v>0</v>
      </c>
      <c r="AG1994" s="105"/>
      <c r="AH1994" s="108"/>
      <c r="AI1994" s="109" t="s">
        <v>4346</v>
      </c>
      <c r="AJ1994" s="211" t="s">
        <v>4347</v>
      </c>
      <c r="AK1994" s="199"/>
      <c r="AL1994" s="200"/>
      <c r="AM1994" s="201" t="s">
        <v>930</v>
      </c>
      <c r="AN1994" s="107"/>
      <c r="AO1994" s="107"/>
      <c r="AP1994" s="107"/>
      <c r="AQ1994" s="107"/>
      <c r="AR1994" s="107"/>
      <c r="AS1994" s="107"/>
      <c r="AT1994" s="107"/>
      <c r="AU1994" s="107"/>
      <c r="AV1994" s="107"/>
      <c r="AW1994" s="107"/>
      <c r="AX1994" s="107"/>
      <c r="AY1994" s="107"/>
      <c r="AZ1994" s="107"/>
      <c r="BA1994" s="107"/>
      <c r="BB1994" s="107"/>
      <c r="BC1994" s="107"/>
      <c r="BD1994" s="107"/>
      <c r="BE1994" s="107"/>
      <c r="BF1994" s="107"/>
      <c r="BG1994" s="107"/>
      <c r="BH1994" s="107"/>
      <c r="BI1994" s="107"/>
      <c r="BJ1994" s="107"/>
      <c r="BK1994" s="107"/>
      <c r="BL1994" s="107"/>
      <c r="BM1994" s="107"/>
      <c r="BN1994" s="107"/>
      <c r="BO1994" s="107"/>
      <c r="BP1994" s="107"/>
      <c r="BQ1994" s="107"/>
      <c r="BR1994" s="107"/>
      <c r="BS1994" s="107"/>
      <c r="BT1994" s="107"/>
      <c r="BU1994" s="107"/>
      <c r="BV1994" s="107"/>
      <c r="BW1994" s="107"/>
      <c r="BX1994" s="107"/>
      <c r="BY1994" s="107"/>
      <c r="BZ1994" s="107"/>
      <c r="CA1994" s="107"/>
      <c r="CB1994" s="107"/>
      <c r="CC1994" s="107"/>
      <c r="CD1994" s="107"/>
      <c r="CE1994" s="107"/>
      <c r="CF1994" s="107"/>
      <c r="CG1994" s="107"/>
      <c r="CH1994" s="107"/>
      <c r="CI1994" s="107"/>
      <c r="CJ1994" s="107"/>
      <c r="CK1994" s="107"/>
      <c r="CL1994" s="107"/>
      <c r="CM1994" s="107"/>
      <c r="CN1994" s="118"/>
      <c r="CO1994" s="119"/>
      <c r="CP1994" s="118">
        <v>500</v>
      </c>
      <c r="CQ1994" s="119">
        <f>500*38999.2</f>
        <v>19499600</v>
      </c>
      <c r="CR1994" s="118"/>
      <c r="CS1994" s="119"/>
      <c r="CT1994" s="113"/>
      <c r="CU1994" s="118"/>
      <c r="CV1994" s="99">
        <f t="shared" si="201"/>
        <v>19499600</v>
      </c>
      <c r="CW1994" s="118"/>
      <c r="CX1994" s="119"/>
      <c r="CY1994" s="119">
        <v>500</v>
      </c>
      <c r="CZ1994" s="119">
        <f>500*85000</f>
        <v>42500000</v>
      </c>
      <c r="DA1994" s="118"/>
      <c r="DB1994" s="119"/>
      <c r="DC1994" s="111">
        <v>500</v>
      </c>
      <c r="DD1994" s="119">
        <f>500*21499.44</f>
        <v>10749720</v>
      </c>
      <c r="DE1994" s="111"/>
      <c r="DF1994" s="46"/>
    </row>
    <row r="1995" spans="1:110" s="42" customFormat="1" ht="24" x14ac:dyDescent="0.2">
      <c r="A1995" s="89">
        <v>40787</v>
      </c>
      <c r="B1995" s="106" t="s">
        <v>2225</v>
      </c>
      <c r="C1995" s="106" t="s">
        <v>194</v>
      </c>
      <c r="D1995" s="90" t="s">
        <v>4264</v>
      </c>
      <c r="E1995" s="90" t="str">
        <f>VLOOKUP(B1995&amp;C1995,Divipola!$C$2:$F$1138,4,FALSE)</f>
        <v>27745</v>
      </c>
      <c r="F1995" s="90"/>
      <c r="G1995" s="320"/>
      <c r="H1995" s="321"/>
      <c r="I1995" s="321"/>
      <c r="J1995" s="321">
        <f>559*4</f>
        <v>2236</v>
      </c>
      <c r="K1995" s="321">
        <v>559</v>
      </c>
      <c r="L1995" s="321"/>
      <c r="M1995" s="321">
        <v>559</v>
      </c>
      <c r="N1995" s="321"/>
      <c r="O1995" s="321"/>
      <c r="P1995" s="321"/>
      <c r="Q1995" s="321"/>
      <c r="R1995" s="321"/>
      <c r="S1995" s="321"/>
      <c r="T1995" s="321"/>
      <c r="U1995" s="321"/>
      <c r="V1995" s="322"/>
      <c r="W1995" s="198"/>
      <c r="X1995" s="105"/>
      <c r="Y1995" s="92">
        <f t="shared" si="196"/>
        <v>15599679.999999998</v>
      </c>
      <c r="Z1995" s="92">
        <f t="shared" si="197"/>
        <v>34000000</v>
      </c>
      <c r="AA1995" s="92">
        <f t="shared" si="198"/>
        <v>10749720</v>
      </c>
      <c r="AB1995" s="92">
        <f t="shared" si="199"/>
        <v>0</v>
      </c>
      <c r="AC1995" s="92"/>
      <c r="AD1995" s="92">
        <v>0</v>
      </c>
      <c r="AE1995" s="92">
        <f t="shared" si="200"/>
        <v>60349400</v>
      </c>
      <c r="AF1995" s="93">
        <v>0</v>
      </c>
      <c r="AG1995" s="105"/>
      <c r="AH1995" s="108"/>
      <c r="AI1995" s="109" t="s">
        <v>4346</v>
      </c>
      <c r="AJ1995" s="211" t="s">
        <v>4347</v>
      </c>
      <c r="AK1995" s="199"/>
      <c r="AL1995" s="200"/>
      <c r="AM1995" s="201" t="s">
        <v>930</v>
      </c>
      <c r="AN1995" s="107"/>
      <c r="AO1995" s="107"/>
      <c r="AP1995" s="107"/>
      <c r="AQ1995" s="107"/>
      <c r="AR1995" s="107"/>
      <c r="AS1995" s="107"/>
      <c r="AT1995" s="107"/>
      <c r="AU1995" s="107"/>
      <c r="AV1995" s="107"/>
      <c r="AW1995" s="107"/>
      <c r="AX1995" s="107"/>
      <c r="AY1995" s="107"/>
      <c r="AZ1995" s="107"/>
      <c r="BA1995" s="107"/>
      <c r="BB1995" s="107"/>
      <c r="BC1995" s="107"/>
      <c r="BD1995" s="107"/>
      <c r="BE1995" s="107"/>
      <c r="BF1995" s="107"/>
      <c r="BG1995" s="107"/>
      <c r="BH1995" s="107"/>
      <c r="BI1995" s="107"/>
      <c r="BJ1995" s="107"/>
      <c r="BK1995" s="107"/>
      <c r="BL1995" s="107"/>
      <c r="BM1995" s="107"/>
      <c r="BN1995" s="107"/>
      <c r="BO1995" s="107"/>
      <c r="BP1995" s="107"/>
      <c r="BQ1995" s="107"/>
      <c r="BR1995" s="107"/>
      <c r="BS1995" s="107"/>
      <c r="BT1995" s="107"/>
      <c r="BU1995" s="107"/>
      <c r="BV1995" s="107"/>
      <c r="BW1995" s="107"/>
      <c r="BX1995" s="107"/>
      <c r="BY1995" s="107"/>
      <c r="BZ1995" s="107"/>
      <c r="CA1995" s="107"/>
      <c r="CB1995" s="107"/>
      <c r="CC1995" s="107"/>
      <c r="CD1995" s="107"/>
      <c r="CE1995" s="107"/>
      <c r="CF1995" s="107"/>
      <c r="CG1995" s="107"/>
      <c r="CH1995" s="107"/>
      <c r="CI1995" s="107"/>
      <c r="CJ1995" s="107"/>
      <c r="CK1995" s="107"/>
      <c r="CL1995" s="107"/>
      <c r="CM1995" s="107"/>
      <c r="CN1995" s="118"/>
      <c r="CO1995" s="119"/>
      <c r="CP1995" s="118">
        <v>400</v>
      </c>
      <c r="CQ1995" s="119">
        <f>400*38999.2</f>
        <v>15599679.999999998</v>
      </c>
      <c r="CR1995" s="118"/>
      <c r="CS1995" s="119"/>
      <c r="CT1995" s="113"/>
      <c r="CU1995" s="118"/>
      <c r="CV1995" s="99">
        <f t="shared" si="201"/>
        <v>15599679.999999998</v>
      </c>
      <c r="CW1995" s="118"/>
      <c r="CX1995" s="119"/>
      <c r="CY1995" s="119">
        <v>400</v>
      </c>
      <c r="CZ1995" s="119">
        <f>400*85000</f>
        <v>34000000</v>
      </c>
      <c r="DA1995" s="118"/>
      <c r="DB1995" s="119"/>
      <c r="DC1995" s="111">
        <v>500</v>
      </c>
      <c r="DD1995" s="119">
        <f>500*21499.44</f>
        <v>10749720</v>
      </c>
      <c r="DE1995" s="111"/>
      <c r="DF1995" s="46"/>
    </row>
    <row r="1996" spans="1:110" s="42" customFormat="1" ht="24" x14ac:dyDescent="0.2">
      <c r="A1996" s="89">
        <v>40787</v>
      </c>
      <c r="B1996" s="16" t="s">
        <v>2857</v>
      </c>
      <c r="C1996" s="16" t="s">
        <v>2858</v>
      </c>
      <c r="D1996" s="16" t="s">
        <v>3346</v>
      </c>
      <c r="E1996" s="90" t="str">
        <f>VLOOKUP(B1996&amp;C1996,Divipola!$C$2:$F$1138,4,FALSE)</f>
        <v>95001</v>
      </c>
      <c r="F1996" s="4"/>
      <c r="G1996" s="167"/>
      <c r="H1996" s="169"/>
      <c r="I1996" s="169"/>
      <c r="J1996" s="169">
        <v>160</v>
      </c>
      <c r="K1996" s="169">
        <v>32</v>
      </c>
      <c r="L1996" s="169"/>
      <c r="M1996" s="169">
        <v>32</v>
      </c>
      <c r="N1996" s="169"/>
      <c r="O1996" s="169"/>
      <c r="P1996" s="169"/>
      <c r="Q1996" s="169"/>
      <c r="R1996" s="169"/>
      <c r="S1996" s="169">
        <v>1</v>
      </c>
      <c r="T1996" s="169">
        <v>1</v>
      </c>
      <c r="U1996" s="169"/>
      <c r="V1996" s="171"/>
      <c r="W1996" s="172"/>
      <c r="X1996" s="17"/>
      <c r="Y1996" s="5">
        <f t="shared" si="196"/>
        <v>0</v>
      </c>
      <c r="Z1996" s="5">
        <f t="shared" si="197"/>
        <v>0</v>
      </c>
      <c r="AA1996" s="5">
        <f t="shared" si="198"/>
        <v>102126400</v>
      </c>
      <c r="AB1996" s="5">
        <f t="shared" si="199"/>
        <v>0</v>
      </c>
      <c r="AC1996" s="5"/>
      <c r="AD1996" s="5">
        <v>0</v>
      </c>
      <c r="AE1996" s="5">
        <f t="shared" si="200"/>
        <v>102126400</v>
      </c>
      <c r="AF1996" s="70">
        <v>0</v>
      </c>
      <c r="AG1996" s="17"/>
      <c r="AH1996" s="18"/>
      <c r="AI1996" s="47" t="s">
        <v>4346</v>
      </c>
      <c r="AJ1996" s="175" t="s">
        <v>4347</v>
      </c>
      <c r="AK1996" s="177"/>
      <c r="AL1996" s="179"/>
      <c r="AM1996" s="183" t="s">
        <v>2085</v>
      </c>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c r="BW1996" s="19"/>
      <c r="BX1996" s="19"/>
      <c r="BY1996" s="19"/>
      <c r="BZ1996" s="19"/>
      <c r="CA1996" s="19"/>
      <c r="CB1996" s="19"/>
      <c r="CC1996" s="19"/>
      <c r="CD1996" s="139"/>
      <c r="CE1996" s="138"/>
      <c r="CF1996" s="139"/>
      <c r="CG1996" s="138"/>
      <c r="CH1996" s="139"/>
      <c r="CI1996" s="138"/>
      <c r="CJ1996" s="72"/>
      <c r="CK1996" s="139"/>
      <c r="CL1996" s="71"/>
      <c r="CM1996" s="139"/>
      <c r="CN1996" s="138"/>
      <c r="CO1996" s="138"/>
      <c r="CP1996" s="138"/>
      <c r="CQ1996" s="139"/>
      <c r="CR1996" s="138"/>
      <c r="CS1996" s="45"/>
      <c r="CT1996" s="138"/>
      <c r="CU1996" s="45"/>
      <c r="CV1996" s="99">
        <f t="shared" si="201"/>
        <v>0</v>
      </c>
      <c r="CW1996" s="139"/>
      <c r="CX1996" s="138"/>
      <c r="CY1996" s="138"/>
      <c r="CZ1996" s="138"/>
      <c r="DA1996" s="139"/>
      <c r="DB1996" s="138"/>
      <c r="DC1996" s="45">
        <v>4000</v>
      </c>
      <c r="DD1996" s="138">
        <f>4000*25531.6</f>
        <v>102126400</v>
      </c>
      <c r="DE1996" s="45"/>
      <c r="DF1996" s="46"/>
    </row>
    <row r="1997" spans="1:110" s="42" customFormat="1" ht="48" x14ac:dyDescent="0.2">
      <c r="A1997" s="89">
        <v>40787</v>
      </c>
      <c r="B1997" s="151" t="s">
        <v>874</v>
      </c>
      <c r="C1997" s="90" t="s">
        <v>4327</v>
      </c>
      <c r="D1997" s="90" t="s">
        <v>4264</v>
      </c>
      <c r="E1997" s="90" t="str">
        <f>VLOOKUP(B1997&amp;C1997,Divipola!$C$2:$F$1138,4,FALSE)</f>
        <v>44874</v>
      </c>
      <c r="F1997" s="4"/>
      <c r="G1997" s="165"/>
      <c r="H1997" s="168"/>
      <c r="I1997" s="168"/>
      <c r="J1997" s="168">
        <v>1750</v>
      </c>
      <c r="K1997" s="168">
        <v>350</v>
      </c>
      <c r="L1997" s="168"/>
      <c r="M1997" s="168">
        <v>350</v>
      </c>
      <c r="N1997" s="168"/>
      <c r="O1997" s="168"/>
      <c r="P1997" s="168"/>
      <c r="Q1997" s="168"/>
      <c r="R1997" s="168"/>
      <c r="S1997" s="168"/>
      <c r="T1997" s="168"/>
      <c r="U1997" s="168"/>
      <c r="V1997" s="170"/>
      <c r="W1997" s="172"/>
      <c r="X1997" s="17"/>
      <c r="Y1997" s="5">
        <f t="shared" si="196"/>
        <v>0</v>
      </c>
      <c r="Z1997" s="5">
        <f t="shared" si="197"/>
        <v>0</v>
      </c>
      <c r="AA1997" s="5">
        <f t="shared" si="198"/>
        <v>0</v>
      </c>
      <c r="AB1997" s="5">
        <f t="shared" si="199"/>
        <v>0</v>
      </c>
      <c r="AC1997" s="5"/>
      <c r="AD1997" s="5">
        <v>0</v>
      </c>
      <c r="AE1997" s="5">
        <f t="shared" si="200"/>
        <v>0</v>
      </c>
      <c r="AF1997" s="70">
        <v>0</v>
      </c>
      <c r="AG1997" s="17"/>
      <c r="AH1997" s="18"/>
      <c r="AI1997" s="47" t="s">
        <v>4336</v>
      </c>
      <c r="AJ1997" s="73" t="s">
        <v>4337</v>
      </c>
      <c r="AK1997" s="177"/>
      <c r="AL1997" s="179"/>
      <c r="AM1997" s="184" t="s">
        <v>4867</v>
      </c>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19"/>
      <c r="BX1997" s="19"/>
      <c r="BY1997" s="19"/>
      <c r="BZ1997" s="19"/>
      <c r="CA1997" s="19"/>
      <c r="CB1997" s="19"/>
      <c r="CC1997" s="19"/>
      <c r="CD1997" s="139"/>
      <c r="CE1997" s="138"/>
      <c r="CF1997" s="139"/>
      <c r="CG1997" s="138"/>
      <c r="CH1997" s="139"/>
      <c r="CI1997" s="138"/>
      <c r="CJ1997" s="72"/>
      <c r="CK1997" s="139"/>
      <c r="CL1997" s="71"/>
      <c r="CM1997" s="139"/>
      <c r="CN1997" s="138"/>
      <c r="CO1997" s="138"/>
      <c r="CP1997" s="138"/>
      <c r="CQ1997" s="139"/>
      <c r="CR1997" s="138"/>
      <c r="CS1997" s="45"/>
      <c r="CT1997" s="138"/>
      <c r="CU1997" s="45"/>
      <c r="CV1997" s="99">
        <f t="shared" si="201"/>
        <v>0</v>
      </c>
      <c r="CW1997" s="139"/>
      <c r="CX1997" s="138"/>
      <c r="CY1997" s="138"/>
      <c r="CZ1997" s="138"/>
      <c r="DA1997" s="139"/>
      <c r="DB1997" s="138"/>
      <c r="DC1997" s="45"/>
      <c r="DD1997" s="138"/>
      <c r="DE1997" s="45"/>
      <c r="DF1997" s="46"/>
    </row>
    <row r="1998" spans="1:110" s="42" customFormat="1" ht="24" x14ac:dyDescent="0.2">
      <c r="A1998" s="89">
        <v>40787</v>
      </c>
      <c r="B1998" s="151" t="s">
        <v>4308</v>
      </c>
      <c r="C1998" s="90" t="s">
        <v>4309</v>
      </c>
      <c r="D1998" s="90" t="s">
        <v>3346</v>
      </c>
      <c r="E1998" s="90" t="str">
        <f>VLOOKUP(B1998&amp;C1998,Divipola!$C$2:$F$1138,4,FALSE)</f>
        <v>47245</v>
      </c>
      <c r="F1998" s="4"/>
      <c r="G1998" s="165"/>
      <c r="H1998" s="168"/>
      <c r="I1998" s="168"/>
      <c r="J1998" s="168">
        <v>75</v>
      </c>
      <c r="K1998" s="168">
        <v>15</v>
      </c>
      <c r="L1998" s="168"/>
      <c r="M1998" s="168">
        <v>15</v>
      </c>
      <c r="N1998" s="168"/>
      <c r="O1998" s="168"/>
      <c r="P1998" s="168"/>
      <c r="Q1998" s="168"/>
      <c r="R1998" s="168"/>
      <c r="S1998" s="168"/>
      <c r="T1998" s="168"/>
      <c r="U1998" s="168"/>
      <c r="V1998" s="170"/>
      <c r="W1998" s="172"/>
      <c r="X1998" s="17"/>
      <c r="Y1998" s="5">
        <f t="shared" si="196"/>
        <v>0</v>
      </c>
      <c r="Z1998" s="5">
        <f t="shared" si="197"/>
        <v>0</v>
      </c>
      <c r="AA1998" s="5">
        <f t="shared" si="198"/>
        <v>0</v>
      </c>
      <c r="AB1998" s="5">
        <f t="shared" si="199"/>
        <v>0</v>
      </c>
      <c r="AC1998" s="5"/>
      <c r="AD1998" s="5">
        <v>0</v>
      </c>
      <c r="AE1998" s="5">
        <f t="shared" si="200"/>
        <v>0</v>
      </c>
      <c r="AF1998" s="70">
        <v>0</v>
      </c>
      <c r="AG1998" s="17"/>
      <c r="AH1998" s="18"/>
      <c r="AI1998" s="47" t="s">
        <v>4336</v>
      </c>
      <c r="AJ1998" s="73" t="s">
        <v>4337</v>
      </c>
      <c r="AK1998" s="177"/>
      <c r="AL1998" s="179"/>
      <c r="AM1998" s="184" t="s">
        <v>39</v>
      </c>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39"/>
      <c r="CO1998" s="138"/>
      <c r="CP1998" s="139"/>
      <c r="CQ1998" s="138"/>
      <c r="CR1998" s="139"/>
      <c r="CS1998" s="138"/>
      <c r="CT1998" s="72"/>
      <c r="CU1998" s="139"/>
      <c r="CV1998" s="99">
        <f t="shared" si="201"/>
        <v>0</v>
      </c>
      <c r="CW1998" s="139"/>
      <c r="CX1998" s="138"/>
      <c r="CY1998" s="138"/>
      <c r="CZ1998" s="138"/>
      <c r="DA1998" s="139"/>
      <c r="DB1998" s="138"/>
      <c r="DC1998" s="45"/>
      <c r="DD1998" s="138"/>
      <c r="DE1998" s="45"/>
      <c r="DF1998" s="46"/>
    </row>
    <row r="1999" spans="1:110" s="42" customFormat="1" ht="60" x14ac:dyDescent="0.2">
      <c r="A1999" s="89">
        <v>40787</v>
      </c>
      <c r="B1999" s="151" t="s">
        <v>4221</v>
      </c>
      <c r="C1999" s="90" t="s">
        <v>853</v>
      </c>
      <c r="D1999" s="90" t="s">
        <v>4264</v>
      </c>
      <c r="E1999" s="90" t="str">
        <f>VLOOKUP(B1999&amp;C1999,Divipola!$C$2:$F$1138,4,FALSE)</f>
        <v>54003</v>
      </c>
      <c r="F1999" s="4"/>
      <c r="G1999" s="167"/>
      <c r="H1999" s="169"/>
      <c r="I1999" s="169"/>
      <c r="J1999" s="169"/>
      <c r="K1999" s="169"/>
      <c r="L1999" s="169"/>
      <c r="M1999" s="169"/>
      <c r="N1999" s="169"/>
      <c r="O1999" s="169"/>
      <c r="P1999" s="169"/>
      <c r="Q1999" s="169"/>
      <c r="R1999" s="169"/>
      <c r="S1999" s="169"/>
      <c r="T1999" s="169"/>
      <c r="U1999" s="169"/>
      <c r="V1999" s="171"/>
      <c r="W1999" s="172"/>
      <c r="X1999" s="17"/>
      <c r="Y1999" s="5">
        <f t="shared" si="196"/>
        <v>0</v>
      </c>
      <c r="Z1999" s="5">
        <f t="shared" si="197"/>
        <v>0</v>
      </c>
      <c r="AA1999" s="5">
        <f t="shared" si="198"/>
        <v>30036309.199999999</v>
      </c>
      <c r="AB1999" s="5">
        <f t="shared" si="199"/>
        <v>0</v>
      </c>
      <c r="AC1999" s="159">
        <f>1000*1500+40*18739.8+70*16220.28+544*9164+54*9744+10*7424+25*280999.56+15*92800</f>
        <v>17387632.600000001</v>
      </c>
      <c r="AD1999" s="5">
        <v>0</v>
      </c>
      <c r="AE1999" s="5">
        <f t="shared" si="200"/>
        <v>47423941.799999997</v>
      </c>
      <c r="AF1999" s="70">
        <v>0</v>
      </c>
      <c r="AG1999" s="17"/>
      <c r="AH1999" s="18"/>
      <c r="AI1999" s="47" t="s">
        <v>4346</v>
      </c>
      <c r="AJ1999" s="73" t="s">
        <v>4347</v>
      </c>
      <c r="AK1999" s="177"/>
      <c r="AL1999" s="179"/>
      <c r="AM1999" s="185" t="s">
        <v>4591</v>
      </c>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39"/>
      <c r="CE1999" s="138"/>
      <c r="CF1999" s="139"/>
      <c r="CG1999" s="138"/>
      <c r="CH1999" s="139"/>
      <c r="CI1999" s="138"/>
      <c r="CJ1999" s="72"/>
      <c r="CK1999" s="139"/>
      <c r="CL1999" s="71"/>
      <c r="CM1999" s="139"/>
      <c r="CN1999" s="138"/>
      <c r="CO1999" s="138"/>
      <c r="CP1999" s="138"/>
      <c r="CQ1999" s="139"/>
      <c r="CR1999" s="138"/>
      <c r="CS1999" s="45"/>
      <c r="CT1999" s="138"/>
      <c r="CU1999" s="45"/>
      <c r="CV1999" s="99">
        <f t="shared" si="201"/>
        <v>0</v>
      </c>
      <c r="CW1999" s="139"/>
      <c r="CX1999" s="138"/>
      <c r="CY1999" s="138"/>
      <c r="CZ1999" s="138"/>
      <c r="DA1999" s="139">
        <v>1010</v>
      </c>
      <c r="DB1999" s="138">
        <f>1010*29738.92</f>
        <v>30036309.199999999</v>
      </c>
      <c r="DC1999" s="45"/>
      <c r="DD1999" s="138"/>
      <c r="DE1999" s="45"/>
      <c r="DF1999" s="46"/>
    </row>
    <row r="2000" spans="1:110" s="42" customFormat="1" ht="33.75" x14ac:dyDescent="0.2">
      <c r="A2000" s="89">
        <v>40787</v>
      </c>
      <c r="B2000" s="153" t="s">
        <v>4221</v>
      </c>
      <c r="C2000" s="4" t="s">
        <v>4372</v>
      </c>
      <c r="D2000" s="90" t="s">
        <v>4264</v>
      </c>
      <c r="E2000" s="90" t="str">
        <f>VLOOKUP(B2000&amp;C2000,Divipola!$C$2:$F$1138,4,FALSE)</f>
        <v>54498</v>
      </c>
      <c r="F2000" s="4"/>
      <c r="G2000" s="167"/>
      <c r="H2000" s="169"/>
      <c r="I2000" s="169"/>
      <c r="J2000" s="169"/>
      <c r="K2000" s="169"/>
      <c r="L2000" s="169"/>
      <c r="M2000" s="169"/>
      <c r="N2000" s="169"/>
      <c r="O2000" s="169"/>
      <c r="P2000" s="169"/>
      <c r="Q2000" s="169"/>
      <c r="R2000" s="169"/>
      <c r="S2000" s="169"/>
      <c r="T2000" s="169"/>
      <c r="U2000" s="169"/>
      <c r="V2000" s="171"/>
      <c r="W2000" s="172"/>
      <c r="X2000" s="17"/>
      <c r="Y2000" s="5">
        <f t="shared" si="196"/>
        <v>0</v>
      </c>
      <c r="Z2000" s="5">
        <f t="shared" si="197"/>
        <v>0</v>
      </c>
      <c r="AA2000" s="5">
        <f t="shared" si="198"/>
        <v>18215422</v>
      </c>
      <c r="AB2000" s="5">
        <f t="shared" si="199"/>
        <v>0</v>
      </c>
      <c r="AC2000" s="159">
        <f>110*16220.28+100*7540+17000*950+460*60995.12+1000*232</f>
        <v>46977986</v>
      </c>
      <c r="AD2000" s="5">
        <v>0</v>
      </c>
      <c r="AE2000" s="5">
        <f t="shared" si="200"/>
        <v>65193408</v>
      </c>
      <c r="AF2000" s="70">
        <v>0</v>
      </c>
      <c r="AG2000" s="17"/>
      <c r="AH2000" s="18"/>
      <c r="AI2000" s="47" t="s">
        <v>4346</v>
      </c>
      <c r="AJ2000" s="73" t="s">
        <v>4347</v>
      </c>
      <c r="AK2000" s="177"/>
      <c r="AL2000" s="179"/>
      <c r="AM2000" s="187" t="s">
        <v>4487</v>
      </c>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39"/>
      <c r="CE2000" s="138"/>
      <c r="CF2000" s="139"/>
      <c r="CG2000" s="138"/>
      <c r="CH2000" s="139"/>
      <c r="CI2000" s="138"/>
      <c r="CJ2000" s="72"/>
      <c r="CK2000" s="139"/>
      <c r="CL2000" s="71"/>
      <c r="CM2000" s="139"/>
      <c r="CN2000" s="138"/>
      <c r="CO2000" s="138"/>
      <c r="CP2000" s="138"/>
      <c r="CQ2000" s="139"/>
      <c r="CR2000" s="138"/>
      <c r="CS2000" s="45"/>
      <c r="CT2000" s="138"/>
      <c r="CU2000" s="45"/>
      <c r="CV2000" s="99">
        <f t="shared" si="201"/>
        <v>0</v>
      </c>
      <c r="CW2000" s="139"/>
      <c r="CX2000" s="138"/>
      <c r="CY2000" s="138"/>
      <c r="CZ2000" s="138"/>
      <c r="DA2000" s="139">
        <v>310</v>
      </c>
      <c r="DB2000" s="138">
        <f>310*29738.92</f>
        <v>9219065.1999999993</v>
      </c>
      <c r="DC2000" s="45">
        <v>360</v>
      </c>
      <c r="DD2000" s="138">
        <f>360*24989.88</f>
        <v>8996356.8000000007</v>
      </c>
      <c r="DE2000" s="45"/>
      <c r="DF2000" s="46"/>
    </row>
    <row r="2001" spans="1:110" s="42" customFormat="1" ht="36" x14ac:dyDescent="0.2">
      <c r="A2001" s="89">
        <v>40787</v>
      </c>
      <c r="B2001" s="151" t="s">
        <v>4244</v>
      </c>
      <c r="C2001" s="90" t="s">
        <v>2768</v>
      </c>
      <c r="D2001" s="90" t="s">
        <v>4298</v>
      </c>
      <c r="E2001" s="90" t="str">
        <f>VLOOKUP(B2001&amp;C2001,Divipola!$C$2:$F$1138,4,FALSE)</f>
        <v>76001</v>
      </c>
      <c r="F2001" s="4"/>
      <c r="G2001" s="165"/>
      <c r="H2001" s="168"/>
      <c r="I2001" s="168"/>
      <c r="J2001" s="168">
        <v>12</v>
      </c>
      <c r="K2001" s="168">
        <v>3</v>
      </c>
      <c r="L2001" s="168"/>
      <c r="M2001" s="168">
        <v>3</v>
      </c>
      <c r="N2001" s="168"/>
      <c r="O2001" s="168"/>
      <c r="P2001" s="168"/>
      <c r="Q2001" s="168"/>
      <c r="R2001" s="168"/>
      <c r="S2001" s="168"/>
      <c r="T2001" s="168"/>
      <c r="U2001" s="168"/>
      <c r="V2001" s="170"/>
      <c r="W2001" s="172"/>
      <c r="X2001" s="17"/>
      <c r="Y2001" s="5">
        <f t="shared" si="196"/>
        <v>0</v>
      </c>
      <c r="Z2001" s="5">
        <f t="shared" si="197"/>
        <v>0</v>
      </c>
      <c r="AA2001" s="5">
        <f t="shared" si="198"/>
        <v>0</v>
      </c>
      <c r="AB2001" s="5">
        <f t="shared" si="199"/>
        <v>0</v>
      </c>
      <c r="AC2001" s="5"/>
      <c r="AD2001" s="5">
        <v>0</v>
      </c>
      <c r="AE2001" s="5">
        <f t="shared" si="200"/>
        <v>0</v>
      </c>
      <c r="AF2001" s="70">
        <v>0</v>
      </c>
      <c r="AG2001" s="17"/>
      <c r="AH2001" s="18"/>
      <c r="AI2001" s="47" t="s">
        <v>4336</v>
      </c>
      <c r="AJ2001" s="175" t="s">
        <v>4337</v>
      </c>
      <c r="AK2001" s="177"/>
      <c r="AL2001" s="179"/>
      <c r="AM2001" s="184" t="s">
        <v>33</v>
      </c>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9"/>
      <c r="CE2001" s="19"/>
      <c r="CF2001" s="19"/>
      <c r="CG2001" s="19"/>
      <c r="CH2001" s="19"/>
      <c r="CI2001" s="19"/>
      <c r="CJ2001" s="19"/>
      <c r="CK2001" s="19"/>
      <c r="CL2001" s="19"/>
      <c r="CM2001" s="19"/>
      <c r="CN2001" s="139"/>
      <c r="CO2001" s="138"/>
      <c r="CP2001" s="139"/>
      <c r="CQ2001" s="138"/>
      <c r="CR2001" s="139"/>
      <c r="CS2001" s="138"/>
      <c r="CT2001" s="72"/>
      <c r="CU2001" s="139"/>
      <c r="CV2001" s="99">
        <f t="shared" si="201"/>
        <v>0</v>
      </c>
      <c r="CW2001" s="139"/>
      <c r="CX2001" s="138"/>
      <c r="CY2001" s="138"/>
      <c r="CZ2001" s="138"/>
      <c r="DA2001" s="139"/>
      <c r="DB2001" s="138"/>
      <c r="DC2001" s="45"/>
      <c r="DD2001" s="138"/>
      <c r="DE2001" s="45"/>
      <c r="DF2001" s="46"/>
    </row>
    <row r="2002" spans="1:110" s="42" customFormat="1" ht="72" x14ac:dyDescent="0.2">
      <c r="A2002" s="89">
        <v>40788</v>
      </c>
      <c r="B2002" s="16" t="s">
        <v>2218</v>
      </c>
      <c r="C2002" s="16" t="s">
        <v>3861</v>
      </c>
      <c r="D2002" s="90" t="s">
        <v>4264</v>
      </c>
      <c r="E2002" s="90" t="str">
        <f>VLOOKUP(B2002&amp;C2002,Divipola!$C$2:$F$1138,4,FALSE)</f>
        <v>05142</v>
      </c>
      <c r="F2002" s="4"/>
      <c r="G2002" s="167"/>
      <c r="H2002" s="169"/>
      <c r="I2002" s="169"/>
      <c r="J2002" s="169"/>
      <c r="K2002" s="169"/>
      <c r="L2002" s="169"/>
      <c r="M2002" s="169"/>
      <c r="N2002" s="169">
        <v>3</v>
      </c>
      <c r="O2002" s="169"/>
      <c r="P2002" s="169"/>
      <c r="Q2002" s="169"/>
      <c r="R2002" s="169"/>
      <c r="S2002" s="169"/>
      <c r="T2002" s="169"/>
      <c r="U2002" s="169"/>
      <c r="V2002" s="171"/>
      <c r="W2002" s="172"/>
      <c r="X2002" s="17"/>
      <c r="Y2002" s="5">
        <f t="shared" si="196"/>
        <v>0</v>
      </c>
      <c r="Z2002" s="5">
        <f t="shared" si="197"/>
        <v>0</v>
      </c>
      <c r="AA2002" s="5">
        <f t="shared" si="198"/>
        <v>0</v>
      </c>
      <c r="AB2002" s="5">
        <f t="shared" si="199"/>
        <v>0</v>
      </c>
      <c r="AC2002" s="5"/>
      <c r="AD2002" s="5">
        <v>15000000</v>
      </c>
      <c r="AE2002" s="5">
        <f t="shared" si="200"/>
        <v>15000000</v>
      </c>
      <c r="AF2002" s="70">
        <v>0</v>
      </c>
      <c r="AG2002" s="17"/>
      <c r="AH2002" s="18"/>
      <c r="AI2002" s="47" t="s">
        <v>4346</v>
      </c>
      <c r="AJ2002" s="175" t="s">
        <v>4347</v>
      </c>
      <c r="AK2002" s="177"/>
      <c r="AL2002" s="179"/>
      <c r="AM2002" s="183" t="s">
        <v>4816</v>
      </c>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39"/>
      <c r="CE2002" s="138"/>
      <c r="CF2002" s="139"/>
      <c r="CG2002" s="138"/>
      <c r="CH2002" s="139"/>
      <c r="CI2002" s="138"/>
      <c r="CJ2002" s="72"/>
      <c r="CK2002" s="139"/>
      <c r="CL2002" s="71"/>
      <c r="CM2002" s="139"/>
      <c r="CN2002" s="138"/>
      <c r="CO2002" s="138"/>
      <c r="CP2002" s="138"/>
      <c r="CQ2002" s="139"/>
      <c r="CR2002" s="138"/>
      <c r="CS2002" s="45"/>
      <c r="CT2002" s="138"/>
      <c r="CU2002" s="45"/>
      <c r="CV2002" s="99">
        <f t="shared" si="201"/>
        <v>0</v>
      </c>
      <c r="CW2002" s="139"/>
      <c r="CX2002" s="138"/>
      <c r="CY2002" s="138"/>
      <c r="CZ2002" s="138"/>
      <c r="DA2002" s="139"/>
      <c r="DB2002" s="138"/>
      <c r="DC2002" s="45"/>
      <c r="DD2002" s="138"/>
      <c r="DE2002" s="45"/>
      <c r="DF2002" s="46"/>
    </row>
    <row r="2003" spans="1:110" s="42" customFormat="1" ht="48" x14ac:dyDescent="0.2">
      <c r="A2003" s="89">
        <v>40788</v>
      </c>
      <c r="B2003" s="90" t="s">
        <v>4326</v>
      </c>
      <c r="C2003" s="90" t="s">
        <v>4345</v>
      </c>
      <c r="D2003" s="90" t="s">
        <v>4264</v>
      </c>
      <c r="E2003" s="90">
        <f>VLOOKUP(B2003&amp;C2003,Divipola!$C$2:$F$1138,4,FALSE)</f>
        <v>8</v>
      </c>
      <c r="F2003" s="4"/>
      <c r="G2003" s="167"/>
      <c r="H2003" s="169"/>
      <c r="I2003" s="169"/>
      <c r="J2003" s="169"/>
      <c r="K2003" s="169"/>
      <c r="L2003" s="169"/>
      <c r="M2003" s="169"/>
      <c r="N2003" s="169"/>
      <c r="O2003" s="169"/>
      <c r="P2003" s="169"/>
      <c r="Q2003" s="169"/>
      <c r="R2003" s="169"/>
      <c r="S2003" s="169"/>
      <c r="T2003" s="169"/>
      <c r="U2003" s="169"/>
      <c r="V2003" s="171"/>
      <c r="W2003" s="172"/>
      <c r="X2003" s="17"/>
      <c r="Y2003" s="5">
        <f t="shared" si="196"/>
        <v>40700000</v>
      </c>
      <c r="Z2003" s="5">
        <f t="shared" si="197"/>
        <v>93500000</v>
      </c>
      <c r="AA2003" s="5">
        <f t="shared" si="198"/>
        <v>0</v>
      </c>
      <c r="AB2003" s="5">
        <f t="shared" si="199"/>
        <v>0</v>
      </c>
      <c r="AC2003" s="5"/>
      <c r="AD2003" s="5">
        <v>0</v>
      </c>
      <c r="AE2003" s="5">
        <f t="shared" si="200"/>
        <v>134200000</v>
      </c>
      <c r="AF2003" s="70">
        <v>0</v>
      </c>
      <c r="AG2003" s="17"/>
      <c r="AH2003" s="18"/>
      <c r="AI2003" s="47" t="s">
        <v>4346</v>
      </c>
      <c r="AJ2003" s="175" t="s">
        <v>4347</v>
      </c>
      <c r="AK2003" s="177"/>
      <c r="AL2003" s="179"/>
      <c r="AM2003" s="185" t="s">
        <v>2088</v>
      </c>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39"/>
      <c r="CE2003" s="138"/>
      <c r="CF2003" s="139"/>
      <c r="CG2003" s="138"/>
      <c r="CH2003" s="139"/>
      <c r="CI2003" s="138"/>
      <c r="CJ2003" s="72"/>
      <c r="CK2003" s="139"/>
      <c r="CL2003" s="71"/>
      <c r="CM2003" s="139"/>
      <c r="CN2003" s="138"/>
      <c r="CO2003" s="138"/>
      <c r="CP2003" s="138">
        <v>1100</v>
      </c>
      <c r="CQ2003" s="139">
        <f>1100*37000</f>
        <v>40700000</v>
      </c>
      <c r="CR2003" s="138"/>
      <c r="CS2003" s="45"/>
      <c r="CT2003" s="138"/>
      <c r="CU2003" s="45"/>
      <c r="CV2003" s="99">
        <f t="shared" si="201"/>
        <v>40700000</v>
      </c>
      <c r="CW2003" s="139"/>
      <c r="CX2003" s="138"/>
      <c r="CY2003" s="138">
        <v>1100</v>
      </c>
      <c r="CZ2003" s="138">
        <f>1100*85000</f>
        <v>93500000</v>
      </c>
      <c r="DA2003" s="139"/>
      <c r="DB2003" s="138"/>
      <c r="DC2003" s="45"/>
      <c r="DD2003" s="138"/>
      <c r="DE2003" s="45"/>
      <c r="DF2003" s="46"/>
    </row>
    <row r="2004" spans="1:110" s="42" customFormat="1" ht="48" x14ac:dyDescent="0.2">
      <c r="A2004" s="89">
        <v>40788</v>
      </c>
      <c r="B2004" s="151" t="s">
        <v>4352</v>
      </c>
      <c r="C2004" s="90" t="s">
        <v>2511</v>
      </c>
      <c r="D2004" s="163" t="s">
        <v>3346</v>
      </c>
      <c r="E2004" s="90" t="str">
        <f>VLOOKUP(B2004&amp;C2004,Divipola!$C$2:$F$1138,4,FALSE)</f>
        <v>13433</v>
      </c>
      <c r="F2004" s="4"/>
      <c r="G2004" s="165"/>
      <c r="H2004" s="168">
        <v>1</v>
      </c>
      <c r="I2004" s="168"/>
      <c r="J2004" s="168"/>
      <c r="K2004" s="168"/>
      <c r="L2004" s="168"/>
      <c r="M2004" s="168"/>
      <c r="N2004" s="168"/>
      <c r="O2004" s="168"/>
      <c r="P2004" s="168"/>
      <c r="Q2004" s="168"/>
      <c r="R2004" s="168"/>
      <c r="S2004" s="168"/>
      <c r="T2004" s="168"/>
      <c r="U2004" s="168"/>
      <c r="V2004" s="170"/>
      <c r="W2004" s="172"/>
      <c r="X2004" s="17"/>
      <c r="Y2004" s="5">
        <f t="shared" si="196"/>
        <v>0</v>
      </c>
      <c r="Z2004" s="5">
        <f t="shared" si="197"/>
        <v>0</v>
      </c>
      <c r="AA2004" s="5">
        <f t="shared" si="198"/>
        <v>0</v>
      </c>
      <c r="AB2004" s="5">
        <f t="shared" si="199"/>
        <v>0</v>
      </c>
      <c r="AC2004" s="5"/>
      <c r="AD2004" s="5">
        <v>0</v>
      </c>
      <c r="AE2004" s="5">
        <f t="shared" si="200"/>
        <v>0</v>
      </c>
      <c r="AF2004" s="70">
        <v>0</v>
      </c>
      <c r="AG2004" s="17"/>
      <c r="AH2004" s="18"/>
      <c r="AI2004" s="47" t="s">
        <v>4336</v>
      </c>
      <c r="AJ2004" s="175" t="s">
        <v>4337</v>
      </c>
      <c r="AK2004" s="177"/>
      <c r="AL2004" s="179"/>
      <c r="AM2004" s="184" t="s">
        <v>38</v>
      </c>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39"/>
      <c r="CO2004" s="138"/>
      <c r="CP2004" s="139"/>
      <c r="CQ2004" s="138"/>
      <c r="CR2004" s="139"/>
      <c r="CS2004" s="138"/>
      <c r="CT2004" s="72"/>
      <c r="CU2004" s="139"/>
      <c r="CV2004" s="99">
        <f t="shared" si="201"/>
        <v>0</v>
      </c>
      <c r="CW2004" s="139"/>
      <c r="CX2004" s="138"/>
      <c r="CY2004" s="138"/>
      <c r="CZ2004" s="138"/>
      <c r="DA2004" s="139"/>
      <c r="DB2004" s="138"/>
      <c r="DC2004" s="45"/>
      <c r="DD2004" s="138"/>
      <c r="DE2004" s="45"/>
      <c r="DF2004" s="46"/>
    </row>
    <row r="2005" spans="1:110" s="42" customFormat="1" ht="156" x14ac:dyDescent="0.2">
      <c r="A2005" s="89">
        <v>40789</v>
      </c>
      <c r="B2005" s="90" t="s">
        <v>4326</v>
      </c>
      <c r="C2005" s="90" t="s">
        <v>2447</v>
      </c>
      <c r="D2005" s="90" t="s">
        <v>4340</v>
      </c>
      <c r="E2005" s="90" t="str">
        <f>VLOOKUP(B2005&amp;C2005,Divipola!$C$2:$F$1138,4,FALSE)</f>
        <v>08573</v>
      </c>
      <c r="F2005" s="4"/>
      <c r="G2005" s="165">
        <v>1</v>
      </c>
      <c r="H2005" s="168">
        <v>3</v>
      </c>
      <c r="I2005" s="168"/>
      <c r="J2005" s="168"/>
      <c r="K2005" s="168"/>
      <c r="L2005" s="168"/>
      <c r="M2005" s="168"/>
      <c r="N2005" s="168"/>
      <c r="O2005" s="168"/>
      <c r="P2005" s="168"/>
      <c r="Q2005" s="168"/>
      <c r="R2005" s="168"/>
      <c r="S2005" s="168"/>
      <c r="T2005" s="168"/>
      <c r="U2005" s="168"/>
      <c r="V2005" s="170"/>
      <c r="W2005" s="172"/>
      <c r="X2005" s="17"/>
      <c r="Y2005" s="5">
        <f t="shared" si="196"/>
        <v>0</v>
      </c>
      <c r="Z2005" s="5">
        <f t="shared" si="197"/>
        <v>0</v>
      </c>
      <c r="AA2005" s="5">
        <f t="shared" si="198"/>
        <v>0</v>
      </c>
      <c r="AB2005" s="5">
        <f t="shared" si="199"/>
        <v>0</v>
      </c>
      <c r="AC2005" s="5"/>
      <c r="AD2005" s="5">
        <v>0</v>
      </c>
      <c r="AE2005" s="5">
        <f t="shared" si="200"/>
        <v>0</v>
      </c>
      <c r="AF2005" s="70">
        <v>0</v>
      </c>
      <c r="AG2005" s="17"/>
      <c r="AH2005" s="18"/>
      <c r="AI2005" s="47" t="s">
        <v>4336</v>
      </c>
      <c r="AJ2005" s="175" t="s">
        <v>4337</v>
      </c>
      <c r="AK2005" s="177"/>
      <c r="AL2005" s="179"/>
      <c r="AM2005" s="184" t="s">
        <v>681</v>
      </c>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39"/>
      <c r="CE2005" s="138"/>
      <c r="CF2005" s="139"/>
      <c r="CG2005" s="138"/>
      <c r="CH2005" s="139"/>
      <c r="CI2005" s="138"/>
      <c r="CJ2005" s="72"/>
      <c r="CK2005" s="139"/>
      <c r="CL2005" s="71"/>
      <c r="CM2005" s="139"/>
      <c r="CN2005" s="138"/>
      <c r="CO2005" s="138"/>
      <c r="CP2005" s="138"/>
      <c r="CQ2005" s="139"/>
      <c r="CR2005" s="138"/>
      <c r="CS2005" s="45"/>
      <c r="CT2005" s="138"/>
      <c r="CU2005" s="45"/>
      <c r="CV2005" s="99">
        <f t="shared" si="201"/>
        <v>0</v>
      </c>
      <c r="CW2005" s="139"/>
      <c r="CX2005" s="138"/>
      <c r="CY2005" s="138"/>
      <c r="CZ2005" s="138"/>
      <c r="DA2005" s="139"/>
      <c r="DB2005" s="138"/>
      <c r="DC2005" s="45"/>
      <c r="DD2005" s="138"/>
      <c r="DE2005" s="45"/>
      <c r="DF2005" s="46"/>
    </row>
    <row r="2006" spans="1:110" s="42" customFormat="1" ht="36" x14ac:dyDescent="0.2">
      <c r="A2006" s="89">
        <v>40789</v>
      </c>
      <c r="B2006" s="90" t="s">
        <v>4326</v>
      </c>
      <c r="C2006" s="90" t="s">
        <v>4239</v>
      </c>
      <c r="D2006" s="90" t="s">
        <v>3346</v>
      </c>
      <c r="E2006" s="90" t="str">
        <f>VLOOKUP(B2006&amp;C2006,Divipola!$C$2:$F$1138,4,FALSE)</f>
        <v>08758</v>
      </c>
      <c r="F2006" s="4"/>
      <c r="G2006" s="165"/>
      <c r="H2006" s="168"/>
      <c r="I2006" s="168"/>
      <c r="J2006" s="168">
        <v>90</v>
      </c>
      <c r="K2006" s="168">
        <v>18</v>
      </c>
      <c r="L2006" s="168"/>
      <c r="M2006" s="168">
        <v>18</v>
      </c>
      <c r="N2006" s="168"/>
      <c r="O2006" s="168"/>
      <c r="P2006" s="168"/>
      <c r="Q2006" s="168"/>
      <c r="R2006" s="168"/>
      <c r="S2006" s="168"/>
      <c r="T2006" s="168"/>
      <c r="U2006" s="168"/>
      <c r="V2006" s="170"/>
      <c r="W2006" s="172"/>
      <c r="X2006" s="17"/>
      <c r="Y2006" s="5">
        <f t="shared" si="196"/>
        <v>0</v>
      </c>
      <c r="Z2006" s="5">
        <f t="shared" si="197"/>
        <v>0</v>
      </c>
      <c r="AA2006" s="5">
        <f t="shared" si="198"/>
        <v>0</v>
      </c>
      <c r="AB2006" s="5">
        <f t="shared" si="199"/>
        <v>0</v>
      </c>
      <c r="AC2006" s="5"/>
      <c r="AD2006" s="5">
        <v>0</v>
      </c>
      <c r="AE2006" s="5">
        <f t="shared" si="200"/>
        <v>0</v>
      </c>
      <c r="AF2006" s="70">
        <v>0</v>
      </c>
      <c r="AG2006" s="17"/>
      <c r="AH2006" s="18"/>
      <c r="AI2006" s="47" t="s">
        <v>4336</v>
      </c>
      <c r="AJ2006" s="73" t="s">
        <v>4337</v>
      </c>
      <c r="AK2006" s="177"/>
      <c r="AL2006" s="179"/>
      <c r="AM2006" s="186" t="s">
        <v>684</v>
      </c>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39"/>
      <c r="CE2006" s="138"/>
      <c r="CF2006" s="139"/>
      <c r="CG2006" s="138"/>
      <c r="CH2006" s="139"/>
      <c r="CI2006" s="138"/>
      <c r="CJ2006" s="72"/>
      <c r="CK2006" s="139"/>
      <c r="CL2006" s="71"/>
      <c r="CM2006" s="139"/>
      <c r="CN2006" s="138"/>
      <c r="CO2006" s="138"/>
      <c r="CP2006" s="138"/>
      <c r="CQ2006" s="139"/>
      <c r="CR2006" s="138"/>
      <c r="CS2006" s="45"/>
      <c r="CT2006" s="138"/>
      <c r="CU2006" s="45"/>
      <c r="CV2006" s="99">
        <f t="shared" si="201"/>
        <v>0</v>
      </c>
      <c r="CW2006" s="139"/>
      <c r="CX2006" s="138"/>
      <c r="CY2006" s="138"/>
      <c r="CZ2006" s="138"/>
      <c r="DA2006" s="139"/>
      <c r="DB2006" s="138"/>
      <c r="DC2006" s="45"/>
      <c r="DD2006" s="138"/>
      <c r="DE2006" s="45"/>
      <c r="DF2006" s="46"/>
    </row>
    <row r="2007" spans="1:110" s="42" customFormat="1" ht="48" x14ac:dyDescent="0.2">
      <c r="A2007" s="89">
        <v>40789</v>
      </c>
      <c r="B2007" s="90" t="s">
        <v>4353</v>
      </c>
      <c r="C2007" s="90" t="s">
        <v>3531</v>
      </c>
      <c r="D2007" s="163" t="s">
        <v>4264</v>
      </c>
      <c r="E2007" s="90" t="str">
        <f>VLOOKUP(B2007&amp;C2007,Divipola!$C$2:$F$1138,4,FALSE)</f>
        <v>85010</v>
      </c>
      <c r="F2007" s="4"/>
      <c r="G2007" s="165"/>
      <c r="H2007" s="168"/>
      <c r="I2007" s="168"/>
      <c r="J2007" s="168">
        <v>7</v>
      </c>
      <c r="K2007" s="168">
        <v>1</v>
      </c>
      <c r="L2007" s="168"/>
      <c r="M2007" s="168">
        <v>1</v>
      </c>
      <c r="N2007" s="168"/>
      <c r="O2007" s="168"/>
      <c r="P2007" s="168"/>
      <c r="Q2007" s="168"/>
      <c r="R2007" s="168"/>
      <c r="S2007" s="168"/>
      <c r="T2007" s="168"/>
      <c r="U2007" s="168"/>
      <c r="V2007" s="170"/>
      <c r="W2007" s="172"/>
      <c r="X2007" s="17"/>
      <c r="Y2007" s="5">
        <f t="shared" si="196"/>
        <v>0</v>
      </c>
      <c r="Z2007" s="5">
        <f t="shared" si="197"/>
        <v>0</v>
      </c>
      <c r="AA2007" s="5">
        <f t="shared" si="198"/>
        <v>0</v>
      </c>
      <c r="AB2007" s="5">
        <f t="shared" si="199"/>
        <v>0</v>
      </c>
      <c r="AC2007" s="5"/>
      <c r="AD2007" s="5">
        <v>0</v>
      </c>
      <c r="AE2007" s="5">
        <f t="shared" si="200"/>
        <v>0</v>
      </c>
      <c r="AF2007" s="70">
        <v>0</v>
      </c>
      <c r="AG2007" s="17"/>
      <c r="AH2007" s="18"/>
      <c r="AI2007" s="47" t="s">
        <v>4336</v>
      </c>
      <c r="AJ2007" s="73" t="s">
        <v>4337</v>
      </c>
      <c r="AK2007" s="177"/>
      <c r="AL2007" s="179"/>
      <c r="AM2007" s="184" t="s">
        <v>682</v>
      </c>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39"/>
      <c r="CE2007" s="138"/>
      <c r="CF2007" s="139"/>
      <c r="CG2007" s="138"/>
      <c r="CH2007" s="139"/>
      <c r="CI2007" s="138"/>
      <c r="CJ2007" s="72"/>
      <c r="CK2007" s="139"/>
      <c r="CL2007" s="71"/>
      <c r="CM2007" s="139"/>
      <c r="CN2007" s="138"/>
      <c r="CO2007" s="138"/>
      <c r="CP2007" s="138"/>
      <c r="CQ2007" s="139"/>
      <c r="CR2007" s="138"/>
      <c r="CS2007" s="45"/>
      <c r="CT2007" s="138"/>
      <c r="CU2007" s="45"/>
      <c r="CV2007" s="99">
        <f t="shared" si="201"/>
        <v>0</v>
      </c>
      <c r="CW2007" s="139"/>
      <c r="CX2007" s="138"/>
      <c r="CY2007" s="138"/>
      <c r="CZ2007" s="138"/>
      <c r="DA2007" s="139"/>
      <c r="DB2007" s="138"/>
      <c r="DC2007" s="45"/>
      <c r="DD2007" s="138"/>
      <c r="DE2007" s="45"/>
      <c r="DF2007" s="46"/>
    </row>
    <row r="2008" spans="1:110" s="42" customFormat="1" ht="96" x14ac:dyDescent="0.2">
      <c r="A2008" s="89">
        <v>40789</v>
      </c>
      <c r="B2008" s="90" t="s">
        <v>4282</v>
      </c>
      <c r="C2008" s="90" t="s">
        <v>2203</v>
      </c>
      <c r="D2008" s="90" t="s">
        <v>3346</v>
      </c>
      <c r="E2008" s="90" t="str">
        <f>VLOOKUP(B2008&amp;C2008,Divipola!$C$2:$F$1138,4,FALSE)</f>
        <v>23079</v>
      </c>
      <c r="F2008" s="4"/>
      <c r="G2008" s="165"/>
      <c r="H2008" s="168"/>
      <c r="I2008" s="168"/>
      <c r="J2008" s="168">
        <v>130</v>
      </c>
      <c r="K2008" s="168">
        <v>26</v>
      </c>
      <c r="L2008" s="168">
        <v>6</v>
      </c>
      <c r="M2008" s="168">
        <v>20</v>
      </c>
      <c r="N2008" s="168"/>
      <c r="O2008" s="168"/>
      <c r="P2008" s="168"/>
      <c r="Q2008" s="168"/>
      <c r="R2008" s="168"/>
      <c r="S2008" s="168"/>
      <c r="T2008" s="168"/>
      <c r="U2008" s="168"/>
      <c r="V2008" s="170"/>
      <c r="W2008" s="172"/>
      <c r="X2008" s="17"/>
      <c r="Y2008" s="5">
        <f t="shared" si="196"/>
        <v>0</v>
      </c>
      <c r="Z2008" s="5">
        <f t="shared" si="197"/>
        <v>0</v>
      </c>
      <c r="AA2008" s="5">
        <f t="shared" si="198"/>
        <v>0</v>
      </c>
      <c r="AB2008" s="5">
        <f t="shared" si="199"/>
        <v>0</v>
      </c>
      <c r="AC2008" s="5"/>
      <c r="AD2008" s="5">
        <v>0</v>
      </c>
      <c r="AE2008" s="5">
        <f t="shared" si="200"/>
        <v>0</v>
      </c>
      <c r="AF2008" s="70">
        <v>0</v>
      </c>
      <c r="AG2008" s="17"/>
      <c r="AH2008" s="18"/>
      <c r="AI2008" s="47" t="s">
        <v>4336</v>
      </c>
      <c r="AJ2008" s="73" t="s">
        <v>4337</v>
      </c>
      <c r="AK2008" s="177"/>
      <c r="AL2008" s="179"/>
      <c r="AM2008" s="184" t="s">
        <v>49</v>
      </c>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39"/>
      <c r="CE2008" s="138"/>
      <c r="CF2008" s="139"/>
      <c r="CG2008" s="138"/>
      <c r="CH2008" s="139"/>
      <c r="CI2008" s="138"/>
      <c r="CJ2008" s="72"/>
      <c r="CK2008" s="139"/>
      <c r="CL2008" s="71"/>
      <c r="CM2008" s="139"/>
      <c r="CN2008" s="138"/>
      <c r="CO2008" s="138"/>
      <c r="CP2008" s="138"/>
      <c r="CQ2008" s="139"/>
      <c r="CR2008" s="138"/>
      <c r="CS2008" s="45"/>
      <c r="CT2008" s="138"/>
      <c r="CU2008" s="45"/>
      <c r="CV2008" s="99">
        <f t="shared" si="201"/>
        <v>0</v>
      </c>
      <c r="CW2008" s="139"/>
      <c r="CX2008" s="138"/>
      <c r="CY2008" s="138"/>
      <c r="CZ2008" s="138"/>
      <c r="DA2008" s="139"/>
      <c r="DB2008" s="138"/>
      <c r="DC2008" s="45"/>
      <c r="DD2008" s="138"/>
      <c r="DE2008" s="45"/>
      <c r="DF2008" s="46"/>
    </row>
    <row r="2009" spans="1:110" s="42" customFormat="1" ht="36" x14ac:dyDescent="0.2">
      <c r="A2009" s="89">
        <v>40790</v>
      </c>
      <c r="B2009" s="90" t="s">
        <v>4221</v>
      </c>
      <c r="C2009" s="90" t="s">
        <v>563</v>
      </c>
      <c r="D2009" s="90" t="s">
        <v>2362</v>
      </c>
      <c r="E2009" s="90" t="str">
        <f>VLOOKUP(B2009&amp;C2009,Divipola!$C$2:$F$1138,4,FALSE)</f>
        <v>54377</v>
      </c>
      <c r="F2009" s="4"/>
      <c r="G2009" s="165">
        <v>1</v>
      </c>
      <c r="H2009" s="168"/>
      <c r="I2009" s="168"/>
      <c r="J2009" s="168"/>
      <c r="K2009" s="168"/>
      <c r="L2009" s="168"/>
      <c r="M2009" s="168"/>
      <c r="N2009" s="168"/>
      <c r="O2009" s="168"/>
      <c r="P2009" s="168"/>
      <c r="Q2009" s="168"/>
      <c r="R2009" s="168"/>
      <c r="S2009" s="168"/>
      <c r="T2009" s="168"/>
      <c r="U2009" s="168"/>
      <c r="V2009" s="170"/>
      <c r="W2009" s="172"/>
      <c r="X2009" s="17"/>
      <c r="Y2009" s="5">
        <f t="shared" si="196"/>
        <v>0</v>
      </c>
      <c r="Z2009" s="5">
        <f t="shared" si="197"/>
        <v>0</v>
      </c>
      <c r="AA2009" s="5">
        <f t="shared" si="198"/>
        <v>0</v>
      </c>
      <c r="AB2009" s="5">
        <f t="shared" si="199"/>
        <v>0</v>
      </c>
      <c r="AC2009" s="5"/>
      <c r="AD2009" s="5">
        <v>0</v>
      </c>
      <c r="AE2009" s="5">
        <f t="shared" si="200"/>
        <v>0</v>
      </c>
      <c r="AF2009" s="70">
        <v>0</v>
      </c>
      <c r="AG2009" s="17"/>
      <c r="AH2009" s="18"/>
      <c r="AI2009" s="47" t="s">
        <v>4336</v>
      </c>
      <c r="AJ2009" s="175" t="s">
        <v>4337</v>
      </c>
      <c r="AK2009" s="177"/>
      <c r="AL2009" s="179"/>
      <c r="AM2009" s="184" t="s">
        <v>683</v>
      </c>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39"/>
      <c r="CE2009" s="138"/>
      <c r="CF2009" s="139"/>
      <c r="CG2009" s="138"/>
      <c r="CH2009" s="139"/>
      <c r="CI2009" s="138"/>
      <c r="CJ2009" s="72"/>
      <c r="CK2009" s="139"/>
      <c r="CL2009" s="71"/>
      <c r="CM2009" s="139"/>
      <c r="CN2009" s="138"/>
      <c r="CO2009" s="138"/>
      <c r="CP2009" s="138"/>
      <c r="CQ2009" s="139"/>
      <c r="CR2009" s="138"/>
      <c r="CS2009" s="45"/>
      <c r="CT2009" s="138"/>
      <c r="CU2009" s="45"/>
      <c r="CV2009" s="99">
        <f t="shared" si="201"/>
        <v>0</v>
      </c>
      <c r="CW2009" s="139"/>
      <c r="CX2009" s="138"/>
      <c r="CY2009" s="138"/>
      <c r="CZ2009" s="138"/>
      <c r="DA2009" s="139"/>
      <c r="DB2009" s="138"/>
      <c r="DC2009" s="45"/>
      <c r="DD2009" s="138"/>
      <c r="DE2009" s="45"/>
      <c r="DF2009" s="46"/>
    </row>
    <row r="2010" spans="1:110" s="42" customFormat="1" ht="36" x14ac:dyDescent="0.2">
      <c r="A2010" s="89">
        <v>40790</v>
      </c>
      <c r="B2010" s="151" t="s">
        <v>4263</v>
      </c>
      <c r="C2010" s="90" t="s">
        <v>3661</v>
      </c>
      <c r="D2010" s="90" t="s">
        <v>4264</v>
      </c>
      <c r="E2010" s="90" t="str">
        <f>VLOOKUP(B2010&amp;C2010,Divipola!$C$2:$F$1138,4,FALSE)</f>
        <v>86568</v>
      </c>
      <c r="F2010" s="4"/>
      <c r="G2010" s="165"/>
      <c r="H2010" s="168"/>
      <c r="I2010" s="168"/>
      <c r="J2010" s="168">
        <v>60</v>
      </c>
      <c r="K2010" s="168">
        <v>15</v>
      </c>
      <c r="L2010" s="168"/>
      <c r="M2010" s="168">
        <v>15</v>
      </c>
      <c r="N2010" s="168"/>
      <c r="O2010" s="168"/>
      <c r="P2010" s="168"/>
      <c r="Q2010" s="168"/>
      <c r="R2010" s="168"/>
      <c r="S2010" s="168"/>
      <c r="T2010" s="168"/>
      <c r="U2010" s="168"/>
      <c r="V2010" s="170"/>
      <c r="W2010" s="172"/>
      <c r="X2010" s="17"/>
      <c r="Y2010" s="5">
        <f t="shared" si="196"/>
        <v>0</v>
      </c>
      <c r="Z2010" s="5">
        <f t="shared" si="197"/>
        <v>0</v>
      </c>
      <c r="AA2010" s="5">
        <f t="shared" si="198"/>
        <v>0</v>
      </c>
      <c r="AB2010" s="5">
        <f t="shared" si="199"/>
        <v>0</v>
      </c>
      <c r="AC2010" s="5"/>
      <c r="AD2010" s="5">
        <v>0</v>
      </c>
      <c r="AE2010" s="5">
        <f t="shared" si="200"/>
        <v>0</v>
      </c>
      <c r="AF2010" s="70">
        <v>0</v>
      </c>
      <c r="AG2010" s="17"/>
      <c r="AH2010" s="18"/>
      <c r="AI2010" s="47" t="s">
        <v>4336</v>
      </c>
      <c r="AJ2010" s="73" t="s">
        <v>4337</v>
      </c>
      <c r="AK2010" s="177"/>
      <c r="AL2010" s="179"/>
      <c r="AM2010" s="184" t="s">
        <v>4611</v>
      </c>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39"/>
      <c r="CE2010" s="138"/>
      <c r="CF2010" s="139"/>
      <c r="CG2010" s="138"/>
      <c r="CH2010" s="139"/>
      <c r="CI2010" s="138"/>
      <c r="CJ2010" s="72"/>
      <c r="CK2010" s="139"/>
      <c r="CL2010" s="71"/>
      <c r="CM2010" s="139"/>
      <c r="CN2010" s="138"/>
      <c r="CO2010" s="138"/>
      <c r="CP2010" s="138"/>
      <c r="CQ2010" s="139"/>
      <c r="CR2010" s="138"/>
      <c r="CS2010" s="45"/>
      <c r="CT2010" s="138"/>
      <c r="CU2010" s="45"/>
      <c r="CV2010" s="99">
        <f t="shared" si="201"/>
        <v>0</v>
      </c>
      <c r="CW2010" s="139"/>
      <c r="CX2010" s="138"/>
      <c r="CY2010" s="138"/>
      <c r="CZ2010" s="138"/>
      <c r="DA2010" s="139"/>
      <c r="DB2010" s="138"/>
      <c r="DC2010" s="45"/>
      <c r="DD2010" s="138"/>
      <c r="DE2010" s="45"/>
      <c r="DF2010" s="46"/>
    </row>
    <row r="2011" spans="1:110" s="42" customFormat="1" ht="48" x14ac:dyDescent="0.2">
      <c r="A2011" s="89">
        <v>40791</v>
      </c>
      <c r="B2011" s="16" t="s">
        <v>3316</v>
      </c>
      <c r="C2011" s="16" t="s">
        <v>3082</v>
      </c>
      <c r="D2011" s="90" t="s">
        <v>2362</v>
      </c>
      <c r="E2011" s="90" t="str">
        <f>VLOOKUP(B2011&amp;C2011,Divipola!$C$2:$F$1138,4,FALSE)</f>
        <v>73067</v>
      </c>
      <c r="F2011" s="4"/>
      <c r="G2011" s="167"/>
      <c r="H2011" s="169"/>
      <c r="I2011" s="169"/>
      <c r="J2011" s="169"/>
      <c r="K2011" s="169"/>
      <c r="L2011" s="169"/>
      <c r="M2011" s="169"/>
      <c r="N2011" s="169">
        <v>1</v>
      </c>
      <c r="O2011" s="169"/>
      <c r="P2011" s="169"/>
      <c r="Q2011" s="169"/>
      <c r="R2011" s="169"/>
      <c r="S2011" s="169"/>
      <c r="T2011" s="169"/>
      <c r="U2011" s="169"/>
      <c r="V2011" s="171"/>
      <c r="W2011" s="172"/>
      <c r="X2011" s="17"/>
      <c r="Y2011" s="5">
        <f t="shared" si="196"/>
        <v>0</v>
      </c>
      <c r="Z2011" s="5">
        <f t="shared" si="197"/>
        <v>0</v>
      </c>
      <c r="AA2011" s="5">
        <f t="shared" si="198"/>
        <v>0</v>
      </c>
      <c r="AB2011" s="5">
        <f t="shared" si="199"/>
        <v>0</v>
      </c>
      <c r="AC2011" s="5"/>
      <c r="AD2011" s="5">
        <v>50000000</v>
      </c>
      <c r="AE2011" s="5">
        <f t="shared" si="200"/>
        <v>50000000</v>
      </c>
      <c r="AF2011" s="70">
        <v>0</v>
      </c>
      <c r="AG2011" s="17"/>
      <c r="AH2011" s="18"/>
      <c r="AI2011" s="47" t="s">
        <v>4346</v>
      </c>
      <c r="AJ2011" s="73" t="s">
        <v>4347</v>
      </c>
      <c r="AK2011" s="177"/>
      <c r="AL2011" s="179"/>
      <c r="AM2011" s="183" t="s">
        <v>4821</v>
      </c>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39"/>
      <c r="CE2011" s="138"/>
      <c r="CF2011" s="139"/>
      <c r="CG2011" s="138"/>
      <c r="CH2011" s="139"/>
      <c r="CI2011" s="138"/>
      <c r="CJ2011" s="72"/>
      <c r="CK2011" s="139"/>
      <c r="CL2011" s="71"/>
      <c r="CM2011" s="139"/>
      <c r="CN2011" s="138"/>
      <c r="CO2011" s="138"/>
      <c r="CP2011" s="138"/>
      <c r="CQ2011" s="139"/>
      <c r="CR2011" s="138"/>
      <c r="CS2011" s="45"/>
      <c r="CT2011" s="138"/>
      <c r="CU2011" s="45"/>
      <c r="CV2011" s="99">
        <f t="shared" si="201"/>
        <v>0</v>
      </c>
      <c r="CW2011" s="139"/>
      <c r="CX2011" s="138"/>
      <c r="CY2011" s="138"/>
      <c r="CZ2011" s="138"/>
      <c r="DA2011" s="139"/>
      <c r="DB2011" s="138"/>
      <c r="DC2011" s="45"/>
      <c r="DD2011" s="138"/>
      <c r="DE2011" s="45"/>
      <c r="DF2011" s="46"/>
    </row>
    <row r="2012" spans="1:110" s="42" customFormat="1" ht="84" x14ac:dyDescent="0.2">
      <c r="A2012" s="89">
        <v>40792</v>
      </c>
      <c r="B2012" s="16" t="s">
        <v>4296</v>
      </c>
      <c r="C2012" s="16" t="s">
        <v>855</v>
      </c>
      <c r="D2012" s="90" t="s">
        <v>2362</v>
      </c>
      <c r="E2012" s="90" t="str">
        <f>VLOOKUP(B2012&amp;C2012,Divipola!$C$2:$F$1138,4,FALSE)</f>
        <v>19256</v>
      </c>
      <c r="F2012" s="4"/>
      <c r="G2012" s="165"/>
      <c r="H2012" s="168"/>
      <c r="I2012" s="168"/>
      <c r="J2012" s="168"/>
      <c r="K2012" s="168"/>
      <c r="L2012" s="168"/>
      <c r="M2012" s="168"/>
      <c r="N2012" s="168"/>
      <c r="O2012" s="168"/>
      <c r="P2012" s="168"/>
      <c r="Q2012" s="168"/>
      <c r="R2012" s="168"/>
      <c r="S2012" s="168"/>
      <c r="T2012" s="168">
        <v>1</v>
      </c>
      <c r="U2012" s="168"/>
      <c r="V2012" s="170"/>
      <c r="W2012" s="172"/>
      <c r="X2012" s="17"/>
      <c r="Y2012" s="5">
        <f t="shared" si="196"/>
        <v>0</v>
      </c>
      <c r="Z2012" s="5">
        <f t="shared" si="197"/>
        <v>0</v>
      </c>
      <c r="AA2012" s="5">
        <f t="shared" si="198"/>
        <v>0</v>
      </c>
      <c r="AB2012" s="5">
        <f t="shared" si="199"/>
        <v>0</v>
      </c>
      <c r="AC2012" s="5"/>
      <c r="AD2012" s="5">
        <v>30000000</v>
      </c>
      <c r="AE2012" s="5">
        <f t="shared" si="200"/>
        <v>30000000</v>
      </c>
      <c r="AF2012" s="70">
        <v>0</v>
      </c>
      <c r="AG2012" s="17"/>
      <c r="AH2012" s="18"/>
      <c r="AI2012" s="47" t="s">
        <v>4346</v>
      </c>
      <c r="AJ2012" s="175" t="s">
        <v>4347</v>
      </c>
      <c r="AK2012" s="177"/>
      <c r="AL2012" s="179"/>
      <c r="AM2012" s="183" t="s">
        <v>4604</v>
      </c>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39"/>
      <c r="CE2012" s="138"/>
      <c r="CF2012" s="139"/>
      <c r="CG2012" s="138"/>
      <c r="CH2012" s="139"/>
      <c r="CI2012" s="138"/>
      <c r="CJ2012" s="72"/>
      <c r="CK2012" s="139"/>
      <c r="CL2012" s="71"/>
      <c r="CM2012" s="139"/>
      <c r="CN2012" s="138"/>
      <c r="CO2012" s="138"/>
      <c r="CP2012" s="138"/>
      <c r="CQ2012" s="139"/>
      <c r="CR2012" s="138"/>
      <c r="CS2012" s="45"/>
      <c r="CT2012" s="138"/>
      <c r="CU2012" s="45"/>
      <c r="CV2012" s="99">
        <f t="shared" si="201"/>
        <v>0</v>
      </c>
      <c r="CW2012" s="139"/>
      <c r="CX2012" s="138"/>
      <c r="CY2012" s="138"/>
      <c r="CZ2012" s="138"/>
      <c r="DA2012" s="139"/>
      <c r="DB2012" s="138"/>
      <c r="DC2012" s="45"/>
      <c r="DD2012" s="138"/>
      <c r="DE2012" s="45"/>
      <c r="DF2012" s="46"/>
    </row>
    <row r="2013" spans="1:110" s="42" customFormat="1" ht="264" x14ac:dyDescent="0.2">
      <c r="A2013" s="89">
        <v>40792</v>
      </c>
      <c r="B2013" s="90" t="s">
        <v>860</v>
      </c>
      <c r="C2013" s="90" t="s">
        <v>2859</v>
      </c>
      <c r="D2013" s="90" t="s">
        <v>4264</v>
      </c>
      <c r="E2013" s="90" t="str">
        <f>VLOOKUP(B2013&amp;C2013,Divipola!$C$2:$F$1138,4,FALSE)</f>
        <v>50001</v>
      </c>
      <c r="F2013" s="4"/>
      <c r="G2013" s="165"/>
      <c r="H2013" s="168"/>
      <c r="I2013" s="168"/>
      <c r="J2013" s="168">
        <v>800</v>
      </c>
      <c r="K2013" s="168">
        <v>200</v>
      </c>
      <c r="L2013" s="168"/>
      <c r="M2013" s="168">
        <v>200</v>
      </c>
      <c r="N2013" s="168">
        <v>4</v>
      </c>
      <c r="O2013" s="168"/>
      <c r="P2013" s="168"/>
      <c r="Q2013" s="168"/>
      <c r="R2013" s="168">
        <v>3</v>
      </c>
      <c r="S2013" s="168"/>
      <c r="T2013" s="168">
        <v>1</v>
      </c>
      <c r="U2013" s="168"/>
      <c r="V2013" s="170"/>
      <c r="W2013" s="172"/>
      <c r="X2013" s="17"/>
      <c r="Y2013" s="5">
        <f t="shared" si="196"/>
        <v>0</v>
      </c>
      <c r="Z2013" s="5">
        <f t="shared" si="197"/>
        <v>0</v>
      </c>
      <c r="AA2013" s="5">
        <f t="shared" si="198"/>
        <v>0</v>
      </c>
      <c r="AB2013" s="5">
        <f t="shared" si="199"/>
        <v>0</v>
      </c>
      <c r="AC2013" s="5"/>
      <c r="AD2013" s="5">
        <v>0</v>
      </c>
      <c r="AE2013" s="5">
        <f t="shared" si="200"/>
        <v>0</v>
      </c>
      <c r="AF2013" s="70">
        <v>0</v>
      </c>
      <c r="AG2013" s="17"/>
      <c r="AH2013" s="18"/>
      <c r="AI2013" s="47" t="s">
        <v>4336</v>
      </c>
      <c r="AJ2013" s="175" t="s">
        <v>4337</v>
      </c>
      <c r="AK2013" s="177"/>
      <c r="AL2013" s="179"/>
      <c r="AM2013" s="121" t="s">
        <v>2080</v>
      </c>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39"/>
      <c r="CE2013" s="138"/>
      <c r="CF2013" s="139"/>
      <c r="CG2013" s="138"/>
      <c r="CH2013" s="139"/>
      <c r="CI2013" s="138"/>
      <c r="CJ2013" s="72"/>
      <c r="CK2013" s="139"/>
      <c r="CL2013" s="71"/>
      <c r="CM2013" s="139"/>
      <c r="CN2013" s="138"/>
      <c r="CO2013" s="138"/>
      <c r="CP2013" s="138"/>
      <c r="CQ2013" s="139"/>
      <c r="CR2013" s="138"/>
      <c r="CS2013" s="45"/>
      <c r="CT2013" s="138"/>
      <c r="CU2013" s="45"/>
      <c r="CV2013" s="99">
        <f t="shared" si="201"/>
        <v>0</v>
      </c>
      <c r="CW2013" s="139"/>
      <c r="CX2013" s="138"/>
      <c r="CY2013" s="138"/>
      <c r="CZ2013" s="138"/>
      <c r="DA2013" s="139"/>
      <c r="DB2013" s="138"/>
      <c r="DC2013" s="45"/>
      <c r="DD2013" s="138"/>
      <c r="DE2013" s="45"/>
      <c r="DF2013" s="46"/>
    </row>
    <row r="2014" spans="1:110" s="42" customFormat="1" x14ac:dyDescent="0.2">
      <c r="A2014" s="89">
        <v>40792</v>
      </c>
      <c r="B2014" s="153" t="s">
        <v>4348</v>
      </c>
      <c r="C2014" s="4" t="s">
        <v>4313</v>
      </c>
      <c r="D2014" s="16" t="s">
        <v>3346</v>
      </c>
      <c r="E2014" s="90" t="str">
        <f>VLOOKUP(B2014&amp;C2014,Divipola!$C$2:$F$1138,4,FALSE)</f>
        <v>66318</v>
      </c>
      <c r="F2014" s="4"/>
      <c r="G2014" s="167"/>
      <c r="H2014" s="169"/>
      <c r="I2014" s="169"/>
      <c r="J2014" s="169"/>
      <c r="K2014" s="169"/>
      <c r="L2014" s="169"/>
      <c r="M2014" s="169"/>
      <c r="N2014" s="169"/>
      <c r="O2014" s="169"/>
      <c r="P2014" s="169"/>
      <c r="Q2014" s="169"/>
      <c r="R2014" s="169"/>
      <c r="S2014" s="169"/>
      <c r="T2014" s="169"/>
      <c r="U2014" s="169"/>
      <c r="V2014" s="171"/>
      <c r="W2014" s="172"/>
      <c r="X2014" s="17"/>
      <c r="Y2014" s="5">
        <f t="shared" si="196"/>
        <v>1860000</v>
      </c>
      <c r="Z2014" s="5">
        <f t="shared" si="197"/>
        <v>0</v>
      </c>
      <c r="AA2014" s="5">
        <f t="shared" si="198"/>
        <v>6750000</v>
      </c>
      <c r="AB2014" s="5">
        <f t="shared" si="199"/>
        <v>0</v>
      </c>
      <c r="AC2014" s="5"/>
      <c r="AD2014" s="5">
        <v>0</v>
      </c>
      <c r="AE2014" s="5">
        <f t="shared" si="200"/>
        <v>8610000</v>
      </c>
      <c r="AF2014" s="70">
        <v>0</v>
      </c>
      <c r="AG2014" s="17"/>
      <c r="AH2014" s="18"/>
      <c r="AI2014" s="47" t="s">
        <v>4346</v>
      </c>
      <c r="AJ2014" s="175" t="s">
        <v>4347</v>
      </c>
      <c r="AK2014" s="177"/>
      <c r="AL2014" s="179"/>
      <c r="AM2014" s="183"/>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v>2</v>
      </c>
      <c r="CA2014" s="19">
        <f>2*500000</f>
        <v>1000000</v>
      </c>
      <c r="CB2014" s="19"/>
      <c r="CC2014" s="19"/>
      <c r="CD2014" s="139"/>
      <c r="CE2014" s="138"/>
      <c r="CF2014" s="139"/>
      <c r="CG2014" s="138"/>
      <c r="CH2014" s="139"/>
      <c r="CI2014" s="138"/>
      <c r="CJ2014" s="139">
        <v>40</v>
      </c>
      <c r="CK2014" s="139">
        <f>40*21500</f>
        <v>860000</v>
      </c>
      <c r="CL2014" s="71"/>
      <c r="CM2014" s="139"/>
      <c r="CN2014" s="138"/>
      <c r="CO2014" s="138"/>
      <c r="CP2014" s="138"/>
      <c r="CQ2014" s="139"/>
      <c r="CR2014" s="138"/>
      <c r="CS2014" s="45"/>
      <c r="CT2014" s="138"/>
      <c r="CU2014" s="45"/>
      <c r="CV2014" s="99">
        <f t="shared" si="201"/>
        <v>1860000</v>
      </c>
      <c r="CW2014" s="139"/>
      <c r="CX2014" s="138"/>
      <c r="CY2014" s="138"/>
      <c r="CZ2014" s="138"/>
      <c r="DA2014" s="139"/>
      <c r="DB2014" s="138"/>
      <c r="DC2014" s="143">
        <v>300</v>
      </c>
      <c r="DD2014" s="138">
        <f>300*22500</f>
        <v>6750000</v>
      </c>
      <c r="DE2014" s="45"/>
      <c r="DF2014" s="46"/>
    </row>
    <row r="2015" spans="1:110" s="42" customFormat="1" x14ac:dyDescent="0.2">
      <c r="A2015" s="89">
        <v>40792</v>
      </c>
      <c r="B2015" s="153" t="s">
        <v>4348</v>
      </c>
      <c r="C2015" s="4" t="s">
        <v>3342</v>
      </c>
      <c r="D2015" s="16" t="s">
        <v>3346</v>
      </c>
      <c r="E2015" s="90" t="str">
        <f>VLOOKUP(B2015&amp;C2015,Divipola!$C$2:$F$1138,4,FALSE)</f>
        <v>66383</v>
      </c>
      <c r="F2015" s="4"/>
      <c r="G2015" s="167"/>
      <c r="H2015" s="169"/>
      <c r="I2015" s="169"/>
      <c r="J2015" s="169"/>
      <c r="K2015" s="169"/>
      <c r="L2015" s="169"/>
      <c r="M2015" s="169"/>
      <c r="N2015" s="169"/>
      <c r="O2015" s="169"/>
      <c r="P2015" s="169"/>
      <c r="Q2015" s="169"/>
      <c r="R2015" s="169"/>
      <c r="S2015" s="169"/>
      <c r="T2015" s="169"/>
      <c r="U2015" s="169"/>
      <c r="V2015" s="171"/>
      <c r="W2015" s="172"/>
      <c r="X2015" s="17"/>
      <c r="Y2015" s="5">
        <f t="shared" si="196"/>
        <v>1000000</v>
      </c>
      <c r="Z2015" s="5">
        <f t="shared" si="197"/>
        <v>0</v>
      </c>
      <c r="AA2015" s="5">
        <f t="shared" si="198"/>
        <v>6426000</v>
      </c>
      <c r="AB2015" s="5">
        <f t="shared" si="199"/>
        <v>0</v>
      </c>
      <c r="AC2015" s="5"/>
      <c r="AD2015" s="5">
        <v>0</v>
      </c>
      <c r="AE2015" s="5">
        <f t="shared" si="200"/>
        <v>7426000</v>
      </c>
      <c r="AF2015" s="70">
        <v>0</v>
      </c>
      <c r="AG2015" s="17"/>
      <c r="AH2015" s="18"/>
      <c r="AI2015" s="47" t="s">
        <v>4346</v>
      </c>
      <c r="AJ2015" s="175" t="s">
        <v>4347</v>
      </c>
      <c r="AK2015" s="177"/>
      <c r="AL2015" s="179"/>
      <c r="AM2015" s="183"/>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v>2</v>
      </c>
      <c r="CA2015" s="19">
        <f>2*500000</f>
        <v>1000000</v>
      </c>
      <c r="CB2015" s="19"/>
      <c r="CC2015" s="19"/>
      <c r="CD2015" s="139"/>
      <c r="CE2015" s="138"/>
      <c r="CF2015" s="139"/>
      <c r="CG2015" s="138"/>
      <c r="CH2015" s="139"/>
      <c r="CI2015" s="138"/>
      <c r="CJ2015" s="72"/>
      <c r="CK2015" s="139"/>
      <c r="CL2015" s="71"/>
      <c r="CM2015" s="139"/>
      <c r="CN2015" s="138"/>
      <c r="CO2015" s="138"/>
      <c r="CP2015" s="138"/>
      <c r="CQ2015" s="139"/>
      <c r="CR2015" s="138"/>
      <c r="CS2015" s="45"/>
      <c r="CT2015" s="138"/>
      <c r="CU2015" s="45"/>
      <c r="CV2015" s="99">
        <f t="shared" si="201"/>
        <v>1000000</v>
      </c>
      <c r="CW2015" s="139"/>
      <c r="CX2015" s="138"/>
      <c r="CY2015" s="138"/>
      <c r="CZ2015" s="138"/>
      <c r="DA2015" s="139"/>
      <c r="DB2015" s="138"/>
      <c r="DC2015" s="143">
        <f>266+15</f>
        <v>281</v>
      </c>
      <c r="DD2015" s="138">
        <f>266*22500+15*29400</f>
        <v>6426000</v>
      </c>
      <c r="DE2015" s="45"/>
      <c r="DF2015" s="46"/>
    </row>
    <row r="2016" spans="1:110" s="42" customFormat="1" ht="36" x14ac:dyDescent="0.2">
      <c r="A2016" s="89">
        <v>40792</v>
      </c>
      <c r="B2016" s="153" t="s">
        <v>4348</v>
      </c>
      <c r="C2016" s="4" t="s">
        <v>3303</v>
      </c>
      <c r="D2016" s="16" t="s">
        <v>3346</v>
      </c>
      <c r="E2016" s="90" t="str">
        <f>VLOOKUP(B2016&amp;C2016,Divipola!$C$2:$F$1138,4,FALSE)</f>
        <v>66456</v>
      </c>
      <c r="F2016" s="4"/>
      <c r="G2016" s="167"/>
      <c r="H2016" s="169"/>
      <c r="I2016" s="169"/>
      <c r="J2016" s="169">
        <v>10</v>
      </c>
      <c r="K2016" s="169">
        <v>2</v>
      </c>
      <c r="L2016" s="169"/>
      <c r="M2016" s="169">
        <v>2</v>
      </c>
      <c r="N2016" s="169"/>
      <c r="O2016" s="169"/>
      <c r="P2016" s="169"/>
      <c r="Q2016" s="169"/>
      <c r="R2016" s="169"/>
      <c r="S2016" s="169"/>
      <c r="T2016" s="169"/>
      <c r="U2016" s="169"/>
      <c r="V2016" s="171"/>
      <c r="W2016" s="172"/>
      <c r="X2016" s="17"/>
      <c r="Y2016" s="5">
        <f t="shared" si="196"/>
        <v>2000000</v>
      </c>
      <c r="Z2016" s="5">
        <f t="shared" si="197"/>
        <v>0</v>
      </c>
      <c r="AA2016" s="5">
        <f t="shared" si="198"/>
        <v>12528000</v>
      </c>
      <c r="AB2016" s="5">
        <f t="shared" si="199"/>
        <v>0</v>
      </c>
      <c r="AC2016" s="5"/>
      <c r="AD2016" s="5">
        <v>0</v>
      </c>
      <c r="AE2016" s="5">
        <f t="shared" si="200"/>
        <v>14528000</v>
      </c>
      <c r="AF2016" s="70">
        <v>0</v>
      </c>
      <c r="AG2016" s="17"/>
      <c r="AH2016" s="18"/>
      <c r="AI2016" s="47" t="s">
        <v>4346</v>
      </c>
      <c r="AJ2016" s="175" t="s">
        <v>4347</v>
      </c>
      <c r="AK2016" s="177"/>
      <c r="AL2016" s="179"/>
      <c r="AM2016" s="195" t="s">
        <v>4892</v>
      </c>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v>4</v>
      </c>
      <c r="CA2016" s="19">
        <f>4*500000</f>
        <v>2000000</v>
      </c>
      <c r="CB2016" s="19"/>
      <c r="CC2016" s="19"/>
      <c r="CD2016" s="139"/>
      <c r="CE2016" s="138"/>
      <c r="CF2016" s="139"/>
      <c r="CG2016" s="138"/>
      <c r="CH2016" s="139"/>
      <c r="CI2016" s="138"/>
      <c r="CJ2016" s="72"/>
      <c r="CK2016" s="139"/>
      <c r="CL2016" s="71"/>
      <c r="CM2016" s="139"/>
      <c r="CN2016" s="138"/>
      <c r="CO2016" s="138"/>
      <c r="CP2016" s="138"/>
      <c r="CQ2016" s="139"/>
      <c r="CR2016" s="138"/>
      <c r="CS2016" s="45"/>
      <c r="CT2016" s="138"/>
      <c r="CU2016" s="45"/>
      <c r="CV2016" s="99">
        <f t="shared" si="201"/>
        <v>2000000</v>
      </c>
      <c r="CW2016" s="139"/>
      <c r="CX2016" s="138"/>
      <c r="CY2016" s="138"/>
      <c r="CZ2016" s="138"/>
      <c r="DA2016" s="139"/>
      <c r="DB2016" s="138"/>
      <c r="DC2016" s="143">
        <f>400+120</f>
        <v>520</v>
      </c>
      <c r="DD2016" s="138">
        <f>400*22500+120*29400</f>
        <v>12528000</v>
      </c>
      <c r="DE2016" s="45"/>
      <c r="DF2016" s="46"/>
    </row>
    <row r="2017" spans="1:110" s="42" customFormat="1" ht="38.25" x14ac:dyDescent="0.2">
      <c r="A2017" s="89">
        <v>40792</v>
      </c>
      <c r="B2017" s="153" t="s">
        <v>4348</v>
      </c>
      <c r="C2017" s="4" t="s">
        <v>1957</v>
      </c>
      <c r="D2017" s="162" t="s">
        <v>3346</v>
      </c>
      <c r="E2017" s="90" t="str">
        <f>VLOOKUP(B2017&amp;C2017,Divipola!$C$2:$F$1138,4,FALSE)</f>
        <v>66572</v>
      </c>
      <c r="F2017" s="4"/>
      <c r="G2017" s="167"/>
      <c r="H2017" s="169"/>
      <c r="I2017" s="169"/>
      <c r="J2017" s="169"/>
      <c r="K2017" s="169"/>
      <c r="L2017" s="169"/>
      <c r="M2017" s="169"/>
      <c r="N2017" s="169"/>
      <c r="O2017" s="169"/>
      <c r="P2017" s="169"/>
      <c r="Q2017" s="169"/>
      <c r="R2017" s="169"/>
      <c r="S2017" s="169"/>
      <c r="T2017" s="169"/>
      <c r="U2017" s="169"/>
      <c r="V2017" s="171"/>
      <c r="W2017" s="172"/>
      <c r="X2017" s="17"/>
      <c r="Y2017" s="5">
        <f t="shared" si="196"/>
        <v>0</v>
      </c>
      <c r="Z2017" s="5">
        <f t="shared" si="197"/>
        <v>0</v>
      </c>
      <c r="AA2017" s="5">
        <f t="shared" si="198"/>
        <v>11250000</v>
      </c>
      <c r="AB2017" s="5">
        <f t="shared" si="199"/>
        <v>0</v>
      </c>
      <c r="AC2017" s="143">
        <f>3800*2400+1290*4400+38*150000</f>
        <v>20496000</v>
      </c>
      <c r="AD2017" s="5">
        <v>0</v>
      </c>
      <c r="AE2017" s="5">
        <f t="shared" si="200"/>
        <v>31746000</v>
      </c>
      <c r="AF2017" s="70">
        <v>0</v>
      </c>
      <c r="AG2017" s="17"/>
      <c r="AH2017" s="18"/>
      <c r="AI2017" s="47" t="s">
        <v>4346</v>
      </c>
      <c r="AJ2017" s="175" t="s">
        <v>4347</v>
      </c>
      <c r="AK2017" s="177"/>
      <c r="AL2017" s="179"/>
      <c r="AM2017" s="181" t="s">
        <v>193</v>
      </c>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c r="CA2017" s="19"/>
      <c r="CB2017" s="19"/>
      <c r="CC2017" s="19"/>
      <c r="CD2017" s="139"/>
      <c r="CE2017" s="138"/>
      <c r="CF2017" s="139"/>
      <c r="CG2017" s="138"/>
      <c r="CH2017" s="139"/>
      <c r="CI2017" s="138"/>
      <c r="CJ2017" s="72"/>
      <c r="CK2017" s="139"/>
      <c r="CL2017" s="71"/>
      <c r="CM2017" s="139"/>
      <c r="CN2017" s="138"/>
      <c r="CO2017" s="138"/>
      <c r="CP2017" s="138"/>
      <c r="CQ2017" s="139"/>
      <c r="CR2017" s="138"/>
      <c r="CS2017" s="45"/>
      <c r="CT2017" s="138"/>
      <c r="CU2017" s="45"/>
      <c r="CV2017" s="99">
        <f t="shared" si="201"/>
        <v>0</v>
      </c>
      <c r="CW2017" s="139"/>
      <c r="CX2017" s="138"/>
      <c r="CY2017" s="138"/>
      <c r="CZ2017" s="138"/>
      <c r="DA2017" s="139"/>
      <c r="DB2017" s="138"/>
      <c r="DC2017" s="143">
        <v>500</v>
      </c>
      <c r="DD2017" s="138">
        <f>500*22500</f>
        <v>11250000</v>
      </c>
      <c r="DE2017" s="45"/>
      <c r="DF2017" s="46"/>
    </row>
    <row r="2018" spans="1:110" s="42" customFormat="1" x14ac:dyDescent="0.2">
      <c r="A2018" s="89">
        <v>40793</v>
      </c>
      <c r="B2018" s="16" t="s">
        <v>4296</v>
      </c>
      <c r="C2018" s="16" t="s">
        <v>3352</v>
      </c>
      <c r="D2018" s="16" t="s">
        <v>3346</v>
      </c>
      <c r="E2018" s="90" t="str">
        <f>VLOOKUP(B2018&amp;C2018,Divipola!$C$2:$F$1138,4,FALSE)</f>
        <v>19532</v>
      </c>
      <c r="F2018" s="4"/>
      <c r="G2018" s="167"/>
      <c r="H2018" s="169">
        <v>1</v>
      </c>
      <c r="I2018" s="169"/>
      <c r="J2018" s="169">
        <v>1174</v>
      </c>
      <c r="K2018" s="169">
        <v>235</v>
      </c>
      <c r="L2018" s="169">
        <v>10</v>
      </c>
      <c r="M2018" s="169">
        <v>225</v>
      </c>
      <c r="N2018" s="169"/>
      <c r="O2018" s="169"/>
      <c r="P2018" s="169"/>
      <c r="Q2018" s="169"/>
      <c r="R2018" s="169"/>
      <c r="S2018" s="169">
        <v>1</v>
      </c>
      <c r="T2018" s="169"/>
      <c r="U2018" s="169"/>
      <c r="V2018" s="171"/>
      <c r="W2018" s="172"/>
      <c r="X2018" s="17"/>
      <c r="Y2018" s="5">
        <f t="shared" si="196"/>
        <v>58714467.199999996</v>
      </c>
      <c r="Z2018" s="5">
        <f t="shared" si="197"/>
        <v>39950000</v>
      </c>
      <c r="AA2018" s="5">
        <f t="shared" si="198"/>
        <v>55798900</v>
      </c>
      <c r="AB2018" s="5">
        <f t="shared" si="199"/>
        <v>0</v>
      </c>
      <c r="AC2018" s="5"/>
      <c r="AD2018" s="5">
        <v>0</v>
      </c>
      <c r="AE2018" s="5">
        <f t="shared" si="200"/>
        <v>154463367.19999999</v>
      </c>
      <c r="AF2018" s="70">
        <v>0</v>
      </c>
      <c r="AG2018" s="17"/>
      <c r="AH2018" s="18"/>
      <c r="AI2018" s="47" t="s">
        <v>4346</v>
      </c>
      <c r="AJ2018" s="175" t="s">
        <v>4347</v>
      </c>
      <c r="AK2018" s="177"/>
      <c r="AL2018" s="179"/>
      <c r="AM2018" s="183" t="s">
        <v>263</v>
      </c>
      <c r="AN2018" s="19"/>
      <c r="AO2018" s="19"/>
      <c r="AP2018" s="19"/>
      <c r="AQ2018" s="19"/>
      <c r="AR2018" s="19"/>
      <c r="AS2018" s="19"/>
      <c r="AT2018" s="19"/>
      <c r="AU2018" s="19"/>
      <c r="AV2018" s="19"/>
      <c r="AW2018" s="19"/>
      <c r="AX2018" s="19"/>
      <c r="AY2018" s="19"/>
      <c r="AZ2018" s="19">
        <v>500</v>
      </c>
      <c r="BA2018" s="19">
        <f>500*56000.16</f>
        <v>28000080</v>
      </c>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c r="CA2018" s="19"/>
      <c r="CB2018" s="19"/>
      <c r="CC2018" s="19"/>
      <c r="CD2018" s="139"/>
      <c r="CE2018" s="138"/>
      <c r="CF2018" s="139"/>
      <c r="CG2018" s="138"/>
      <c r="CH2018" s="139"/>
      <c r="CI2018" s="138"/>
      <c r="CJ2018" s="157">
        <v>705</v>
      </c>
      <c r="CK2018" s="157">
        <f>705*17999.72</f>
        <v>12689802.600000001</v>
      </c>
      <c r="CL2018" s="155"/>
      <c r="CM2018" s="157"/>
      <c r="CN2018" s="157"/>
      <c r="CO2018" s="157"/>
      <c r="CP2018" s="157">
        <v>235</v>
      </c>
      <c r="CQ2018" s="157">
        <f>235*37000.52</f>
        <v>8695122.1999999993</v>
      </c>
      <c r="CR2018" s="157">
        <v>235</v>
      </c>
      <c r="CS2018" s="188">
        <f>235*39699.84</f>
        <v>9329462.3999999985</v>
      </c>
      <c r="CT2018" s="157"/>
      <c r="CU2018" s="188"/>
      <c r="CV2018" s="156">
        <f t="shared" si="201"/>
        <v>58714467.199999996</v>
      </c>
      <c r="CW2018" s="157"/>
      <c r="CX2018" s="157"/>
      <c r="CY2018" s="157">
        <v>470</v>
      </c>
      <c r="CZ2018" s="157">
        <f>470*85000</f>
        <v>39950000</v>
      </c>
      <c r="DA2018" s="157"/>
      <c r="DB2018" s="157"/>
      <c r="DC2018" s="188">
        <v>2500</v>
      </c>
      <c r="DD2018" s="157">
        <f>2500*21999.4+10000*80.04</f>
        <v>55798900</v>
      </c>
      <c r="DE2018" s="188"/>
      <c r="DF2018" s="46"/>
    </row>
    <row r="2019" spans="1:110" s="42" customFormat="1" ht="72" x14ac:dyDescent="0.2">
      <c r="A2019" s="89">
        <v>40793</v>
      </c>
      <c r="B2019" s="90" t="s">
        <v>2225</v>
      </c>
      <c r="C2019" s="90" t="s">
        <v>856</v>
      </c>
      <c r="D2019" s="90" t="s">
        <v>3346</v>
      </c>
      <c r="E2019" s="90" t="str">
        <f>VLOOKUP(B2019&amp;C2019,Divipola!$C$2:$F$1138,4,FALSE)</f>
        <v>27006</v>
      </c>
      <c r="F2019" s="4"/>
      <c r="G2019" s="165"/>
      <c r="H2019" s="168"/>
      <c r="I2019" s="168"/>
      <c r="J2019" s="168"/>
      <c r="K2019" s="168"/>
      <c r="L2019" s="168"/>
      <c r="M2019" s="168"/>
      <c r="N2019" s="168"/>
      <c r="O2019" s="168"/>
      <c r="P2019" s="168"/>
      <c r="Q2019" s="168"/>
      <c r="R2019" s="168"/>
      <c r="S2019" s="168"/>
      <c r="T2019" s="168"/>
      <c r="U2019" s="168"/>
      <c r="V2019" s="170"/>
      <c r="W2019" s="172"/>
      <c r="X2019" s="17"/>
      <c r="Y2019" s="5">
        <f t="shared" si="196"/>
        <v>0</v>
      </c>
      <c r="Z2019" s="5">
        <f t="shared" si="197"/>
        <v>0</v>
      </c>
      <c r="AA2019" s="5">
        <f t="shared" si="198"/>
        <v>64259429.600000001</v>
      </c>
      <c r="AB2019" s="5">
        <f t="shared" si="199"/>
        <v>0</v>
      </c>
      <c r="AC2019" s="5">
        <f>1039*5011.2</f>
        <v>5206636.8</v>
      </c>
      <c r="AD2019" s="5">
        <v>0</v>
      </c>
      <c r="AE2019" s="5">
        <f t="shared" si="200"/>
        <v>69466066.400000006</v>
      </c>
      <c r="AF2019" s="70">
        <v>0</v>
      </c>
      <c r="AG2019" s="17"/>
      <c r="AH2019" s="18"/>
      <c r="AI2019" s="47" t="s">
        <v>4346</v>
      </c>
      <c r="AJ2019" s="175" t="s">
        <v>4347</v>
      </c>
      <c r="AK2019" s="177"/>
      <c r="AL2019" s="179"/>
      <c r="AM2019" s="186" t="s">
        <v>4467</v>
      </c>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39"/>
      <c r="CE2019" s="138"/>
      <c r="CF2019" s="139"/>
      <c r="CG2019" s="138"/>
      <c r="CH2019" s="139"/>
      <c r="CI2019" s="138"/>
      <c r="CJ2019" s="72"/>
      <c r="CK2019" s="139"/>
      <c r="CL2019" s="71"/>
      <c r="CM2019" s="139"/>
      <c r="CN2019" s="138"/>
      <c r="CO2019" s="138"/>
      <c r="CP2019" s="138"/>
      <c r="CQ2019" s="139"/>
      <c r="CR2019" s="138"/>
      <c r="CS2019" s="45"/>
      <c r="CT2019" s="138"/>
      <c r="CU2019" s="45"/>
      <c r="CV2019" s="99">
        <f t="shared" si="201"/>
        <v>0</v>
      </c>
      <c r="CW2019" s="139"/>
      <c r="CX2019" s="138"/>
      <c r="CY2019" s="138"/>
      <c r="CZ2019" s="138"/>
      <c r="DA2019" s="139"/>
      <c r="DB2019" s="138"/>
      <c r="DC2019" s="138">
        <f>2278+400</f>
        <v>2678</v>
      </c>
      <c r="DD2019" s="138">
        <f>2278*22678+400*29348+4556*127.6+800*348</f>
        <v>64259429.600000001</v>
      </c>
      <c r="DE2019" s="45"/>
      <c r="DF2019" s="46"/>
    </row>
    <row r="2020" spans="1:110" s="42" customFormat="1" ht="36" x14ac:dyDescent="0.2">
      <c r="A2020" s="89">
        <v>40793</v>
      </c>
      <c r="B2020" s="16" t="s">
        <v>4282</v>
      </c>
      <c r="C2020" s="16" t="s">
        <v>3537</v>
      </c>
      <c r="D2020" s="162" t="s">
        <v>3346</v>
      </c>
      <c r="E2020" s="90" t="str">
        <f>VLOOKUP(B2020&amp;C2020,Divipola!$C$2:$F$1138,4,FALSE)</f>
        <v>23162</v>
      </c>
      <c r="F2020" s="4"/>
      <c r="G2020" s="167"/>
      <c r="H2020" s="169"/>
      <c r="I2020" s="169"/>
      <c r="J2020" s="169">
        <v>190</v>
      </c>
      <c r="K2020" s="169">
        <v>38</v>
      </c>
      <c r="L2020" s="169">
        <v>4</v>
      </c>
      <c r="M2020" s="169">
        <v>34</v>
      </c>
      <c r="N2020" s="169"/>
      <c r="O2020" s="169"/>
      <c r="P2020" s="169"/>
      <c r="Q2020" s="169"/>
      <c r="R2020" s="169"/>
      <c r="S2020" s="169"/>
      <c r="T2020" s="169">
        <v>4</v>
      </c>
      <c r="U2020" s="169">
        <v>3</v>
      </c>
      <c r="V2020" s="171"/>
      <c r="W2020" s="172"/>
      <c r="X2020" s="17"/>
      <c r="Y2020" s="5">
        <f t="shared" si="196"/>
        <v>0</v>
      </c>
      <c r="Z2020" s="5">
        <f t="shared" si="197"/>
        <v>0</v>
      </c>
      <c r="AA2020" s="5">
        <f t="shared" si="198"/>
        <v>35426400</v>
      </c>
      <c r="AB2020" s="5">
        <f t="shared" si="199"/>
        <v>0</v>
      </c>
      <c r="AC2020" s="5"/>
      <c r="AD2020" s="5">
        <v>0</v>
      </c>
      <c r="AE2020" s="5">
        <f t="shared" si="200"/>
        <v>35426400</v>
      </c>
      <c r="AF2020" s="70">
        <v>0</v>
      </c>
      <c r="AG2020" s="17"/>
      <c r="AH2020" s="18"/>
      <c r="AI2020" s="47" t="s">
        <v>4346</v>
      </c>
      <c r="AJ2020" s="175" t="s">
        <v>4347</v>
      </c>
      <c r="AK2020" s="177"/>
      <c r="AL2020" s="179"/>
      <c r="AM2020" s="183" t="s">
        <v>2084</v>
      </c>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39"/>
      <c r="CE2020" s="138"/>
      <c r="CF2020" s="139"/>
      <c r="CG2020" s="138"/>
      <c r="CH2020" s="139"/>
      <c r="CI2020" s="138"/>
      <c r="CJ2020" s="72"/>
      <c r="CK2020" s="139"/>
      <c r="CL2020" s="71"/>
      <c r="CM2020" s="139"/>
      <c r="CN2020" s="138"/>
      <c r="CO2020" s="138"/>
      <c r="CP2020" s="138"/>
      <c r="CQ2020" s="139"/>
      <c r="CR2020" s="138"/>
      <c r="CS2020" s="45"/>
      <c r="CT2020" s="138"/>
      <c r="CU2020" s="45"/>
      <c r="CV2020" s="99">
        <f t="shared" si="201"/>
        <v>0</v>
      </c>
      <c r="CW2020" s="139"/>
      <c r="CX2020" s="138"/>
      <c r="CY2020" s="138"/>
      <c r="CZ2020" s="138"/>
      <c r="DA2020" s="139"/>
      <c r="DB2020" s="138"/>
      <c r="DC2020" s="45">
        <f>600+600</f>
        <v>1200</v>
      </c>
      <c r="DD2020" s="138">
        <f>600*21924+2400*203+600*34220+2400*522</f>
        <v>35426400</v>
      </c>
      <c r="DE2020" s="45"/>
      <c r="DF2020" s="46"/>
    </row>
    <row r="2021" spans="1:110" s="42" customFormat="1" x14ac:dyDescent="0.2">
      <c r="A2021" s="89">
        <v>40793</v>
      </c>
      <c r="B2021" s="16" t="s">
        <v>4282</v>
      </c>
      <c r="C2021" s="16" t="s">
        <v>1599</v>
      </c>
      <c r="D2021" s="16" t="s">
        <v>3346</v>
      </c>
      <c r="E2021" s="90" t="str">
        <f>VLOOKUP(B2021&amp;C2021,Divipola!$C$2:$F$1138,4,FALSE)</f>
        <v>23189</v>
      </c>
      <c r="F2021" s="4"/>
      <c r="G2021" s="167"/>
      <c r="H2021" s="169"/>
      <c r="I2021" s="169"/>
      <c r="J2021" s="169">
        <v>1000</v>
      </c>
      <c r="K2021" s="169">
        <v>200</v>
      </c>
      <c r="L2021" s="169"/>
      <c r="M2021" s="169">
        <v>200</v>
      </c>
      <c r="N2021" s="169"/>
      <c r="O2021" s="169"/>
      <c r="P2021" s="169"/>
      <c r="Q2021" s="169"/>
      <c r="R2021" s="169"/>
      <c r="S2021" s="169"/>
      <c r="T2021" s="169"/>
      <c r="U2021" s="169"/>
      <c r="V2021" s="171"/>
      <c r="W2021" s="172"/>
      <c r="X2021" s="17"/>
      <c r="Y2021" s="5">
        <f t="shared" si="196"/>
        <v>0</v>
      </c>
      <c r="Z2021" s="5">
        <f t="shared" si="197"/>
        <v>0</v>
      </c>
      <c r="AA2021" s="5">
        <f t="shared" si="198"/>
        <v>8999280</v>
      </c>
      <c r="AB2021" s="5">
        <f t="shared" si="199"/>
        <v>0</v>
      </c>
      <c r="AC2021" s="5"/>
      <c r="AD2021" s="5">
        <v>0</v>
      </c>
      <c r="AE2021" s="5">
        <f t="shared" si="200"/>
        <v>8999280</v>
      </c>
      <c r="AF2021" s="70">
        <v>0</v>
      </c>
      <c r="AG2021" s="17"/>
      <c r="AH2021" s="18"/>
      <c r="AI2021" s="47" t="s">
        <v>4346</v>
      </c>
      <c r="AJ2021" s="175" t="s">
        <v>4347</v>
      </c>
      <c r="AK2021" s="177"/>
      <c r="AL2021" s="179"/>
      <c r="AM2021" s="183" t="s">
        <v>2083</v>
      </c>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39"/>
      <c r="CE2021" s="138"/>
      <c r="CF2021" s="139"/>
      <c r="CG2021" s="138"/>
      <c r="CH2021" s="139"/>
      <c r="CI2021" s="138"/>
      <c r="CJ2021" s="72"/>
      <c r="CK2021" s="139"/>
      <c r="CL2021" s="71"/>
      <c r="CM2021" s="139"/>
      <c r="CN2021" s="138"/>
      <c r="CO2021" s="138"/>
      <c r="CP2021" s="138"/>
      <c r="CQ2021" s="139"/>
      <c r="CR2021" s="138"/>
      <c r="CS2021" s="45"/>
      <c r="CT2021" s="138"/>
      <c r="CU2021" s="45"/>
      <c r="CV2021" s="99">
        <f t="shared" si="201"/>
        <v>0</v>
      </c>
      <c r="CW2021" s="139"/>
      <c r="CX2021" s="138"/>
      <c r="CY2021" s="138"/>
      <c r="CZ2021" s="138"/>
      <c r="DA2021" s="139"/>
      <c r="DB2021" s="138"/>
      <c r="DC2021" s="45">
        <v>360</v>
      </c>
      <c r="DD2021" s="138">
        <f>300*21924+1200*203+60*34220+240*522</f>
        <v>8999280</v>
      </c>
      <c r="DE2021" s="45"/>
      <c r="DF2021" s="46"/>
    </row>
    <row r="2022" spans="1:110" s="42" customFormat="1" x14ac:dyDescent="0.2">
      <c r="A2022" s="89">
        <v>40793</v>
      </c>
      <c r="B2022" s="90" t="s">
        <v>4282</v>
      </c>
      <c r="C2022" s="90" t="s">
        <v>4345</v>
      </c>
      <c r="D2022" s="90" t="s">
        <v>4264</v>
      </c>
      <c r="E2022" s="90">
        <f>VLOOKUP(B2022&amp;C2022,Divipola!$C$2:$F$1138,4,FALSE)</f>
        <v>23</v>
      </c>
      <c r="F2022" s="4"/>
      <c r="G2022" s="167"/>
      <c r="H2022" s="169"/>
      <c r="I2022" s="169"/>
      <c r="J2022" s="169"/>
      <c r="K2022" s="169"/>
      <c r="L2022" s="169"/>
      <c r="M2022" s="169"/>
      <c r="N2022" s="169"/>
      <c r="O2022" s="169"/>
      <c r="P2022" s="169"/>
      <c r="Q2022" s="169"/>
      <c r="R2022" s="169"/>
      <c r="S2022" s="169"/>
      <c r="T2022" s="169"/>
      <c r="U2022" s="169"/>
      <c r="V2022" s="171"/>
      <c r="W2022" s="172"/>
      <c r="X2022" s="17"/>
      <c r="Y2022" s="5">
        <f t="shared" si="196"/>
        <v>0</v>
      </c>
      <c r="Z2022" s="5">
        <f t="shared" si="197"/>
        <v>0</v>
      </c>
      <c r="AA2022" s="5">
        <f t="shared" si="198"/>
        <v>0</v>
      </c>
      <c r="AB2022" s="5">
        <f t="shared" si="199"/>
        <v>90944000</v>
      </c>
      <c r="AC2022" s="5"/>
      <c r="AD2022" s="5">
        <v>0</v>
      </c>
      <c r="AE2022" s="5">
        <f t="shared" si="200"/>
        <v>90944000</v>
      </c>
      <c r="AF2022" s="70">
        <v>0</v>
      </c>
      <c r="AG2022" s="17"/>
      <c r="AH2022" s="18"/>
      <c r="AI2022" s="47" t="s">
        <v>4346</v>
      </c>
      <c r="AJ2022" s="73" t="s">
        <v>4347</v>
      </c>
      <c r="AK2022" s="177"/>
      <c r="AL2022" s="179"/>
      <c r="AM2022" s="183"/>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39"/>
      <c r="CE2022" s="138"/>
      <c r="CF2022" s="139"/>
      <c r="CG2022" s="138"/>
      <c r="CH2022" s="139"/>
      <c r="CI2022" s="138"/>
      <c r="CJ2022" s="72"/>
      <c r="CK2022" s="139"/>
      <c r="CL2022" s="71"/>
      <c r="CM2022" s="139"/>
      <c r="CN2022" s="138"/>
      <c r="CO2022" s="138"/>
      <c r="CP2022" s="138"/>
      <c r="CQ2022" s="139"/>
      <c r="CR2022" s="138"/>
      <c r="CS2022" s="45"/>
      <c r="CT2022" s="138"/>
      <c r="CU2022" s="45"/>
      <c r="CV2022" s="99">
        <f t="shared" si="201"/>
        <v>0</v>
      </c>
      <c r="CW2022" s="139">
        <v>100000</v>
      </c>
      <c r="CX2022" s="138">
        <f>100000*909.44</f>
        <v>90944000</v>
      </c>
      <c r="CY2022" s="138"/>
      <c r="CZ2022" s="138"/>
      <c r="DA2022" s="139"/>
      <c r="DB2022" s="138"/>
      <c r="DC2022" s="45"/>
      <c r="DD2022" s="138"/>
      <c r="DE2022" s="45"/>
      <c r="DF2022" s="46"/>
    </row>
    <row r="2023" spans="1:110" s="42" customFormat="1" ht="24" x14ac:dyDescent="0.2">
      <c r="A2023" s="89">
        <v>40793</v>
      </c>
      <c r="B2023" s="16" t="s">
        <v>4282</v>
      </c>
      <c r="C2023" s="16" t="s">
        <v>4368</v>
      </c>
      <c r="D2023" s="16" t="s">
        <v>3346</v>
      </c>
      <c r="E2023" s="90" t="str">
        <f>VLOOKUP(B2023&amp;C2023,Divipola!$C$2:$F$1138,4,FALSE)</f>
        <v>23001</v>
      </c>
      <c r="F2023" s="4"/>
      <c r="G2023" s="167"/>
      <c r="H2023" s="169"/>
      <c r="I2023" s="169"/>
      <c r="J2023" s="169">
        <f>137*5</f>
        <v>685</v>
      </c>
      <c r="K2023" s="169">
        <v>137</v>
      </c>
      <c r="L2023" s="169">
        <v>2</v>
      </c>
      <c r="M2023" s="169">
        <v>135</v>
      </c>
      <c r="N2023" s="169"/>
      <c r="O2023" s="169"/>
      <c r="P2023" s="169"/>
      <c r="Q2023" s="169"/>
      <c r="R2023" s="169"/>
      <c r="S2023" s="169"/>
      <c r="T2023" s="169"/>
      <c r="U2023" s="169"/>
      <c r="V2023" s="171"/>
      <c r="W2023" s="172"/>
      <c r="X2023" s="17"/>
      <c r="Y2023" s="5">
        <f t="shared" si="196"/>
        <v>0</v>
      </c>
      <c r="Z2023" s="5">
        <f t="shared" si="197"/>
        <v>0</v>
      </c>
      <c r="AA2023" s="5">
        <f t="shared" si="198"/>
        <v>15915200</v>
      </c>
      <c r="AB2023" s="5">
        <f t="shared" si="199"/>
        <v>0</v>
      </c>
      <c r="AC2023" s="5"/>
      <c r="AD2023" s="5">
        <v>0</v>
      </c>
      <c r="AE2023" s="5">
        <f t="shared" si="200"/>
        <v>15915200</v>
      </c>
      <c r="AF2023" s="70">
        <v>0</v>
      </c>
      <c r="AG2023" s="17"/>
      <c r="AH2023" s="18"/>
      <c r="AI2023" s="47" t="s">
        <v>4346</v>
      </c>
      <c r="AJ2023" s="175" t="s">
        <v>4347</v>
      </c>
      <c r="AK2023" s="177"/>
      <c r="AL2023" s="179"/>
      <c r="AM2023" s="183" t="s">
        <v>2082</v>
      </c>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39"/>
      <c r="CE2023" s="138"/>
      <c r="CF2023" s="139"/>
      <c r="CG2023" s="138"/>
      <c r="CH2023" s="139"/>
      <c r="CI2023" s="138"/>
      <c r="CJ2023" s="72"/>
      <c r="CK2023" s="139"/>
      <c r="CL2023" s="71"/>
      <c r="CM2023" s="139"/>
      <c r="CN2023" s="138"/>
      <c r="CO2023" s="138"/>
      <c r="CP2023" s="138"/>
      <c r="CQ2023" s="139"/>
      <c r="CR2023" s="138"/>
      <c r="CS2023" s="45"/>
      <c r="CT2023" s="138"/>
      <c r="CU2023" s="45"/>
      <c r="CV2023" s="99">
        <f t="shared" si="201"/>
        <v>0</v>
      </c>
      <c r="CW2023" s="139"/>
      <c r="CX2023" s="138"/>
      <c r="CY2023" s="138"/>
      <c r="CZ2023" s="138"/>
      <c r="DA2023" s="139"/>
      <c r="DB2023" s="138"/>
      <c r="DC2023" s="45">
        <v>700</v>
      </c>
      <c r="DD2023" s="138">
        <f>700*21924+2800*203</f>
        <v>15915200</v>
      </c>
      <c r="DE2023" s="45"/>
      <c r="DF2023" s="46"/>
    </row>
    <row r="2024" spans="1:110" s="42" customFormat="1" ht="36" x14ac:dyDescent="0.2">
      <c r="A2024" s="89">
        <v>40793</v>
      </c>
      <c r="B2024" s="16" t="s">
        <v>4282</v>
      </c>
      <c r="C2024" s="16" t="s">
        <v>1640</v>
      </c>
      <c r="D2024" s="16" t="s">
        <v>3346</v>
      </c>
      <c r="E2024" s="90" t="str">
        <f>VLOOKUP(B2024&amp;C2024,Divipola!$C$2:$F$1138,4,FALSE)</f>
        <v>23686</v>
      </c>
      <c r="F2024" s="4"/>
      <c r="G2024" s="167"/>
      <c r="H2024" s="169"/>
      <c r="I2024" s="169"/>
      <c r="J2024" s="169">
        <v>75</v>
      </c>
      <c r="K2024" s="169">
        <v>15</v>
      </c>
      <c r="L2024" s="169">
        <v>3</v>
      </c>
      <c r="M2024" s="169">
        <v>12</v>
      </c>
      <c r="N2024" s="169"/>
      <c r="O2024" s="169"/>
      <c r="P2024" s="169"/>
      <c r="Q2024" s="169"/>
      <c r="R2024" s="169"/>
      <c r="S2024" s="169"/>
      <c r="T2024" s="169"/>
      <c r="U2024" s="169"/>
      <c r="V2024" s="171"/>
      <c r="W2024" s="172"/>
      <c r="X2024" s="17"/>
      <c r="Y2024" s="5">
        <f t="shared" si="196"/>
        <v>0</v>
      </c>
      <c r="Z2024" s="5">
        <f t="shared" si="197"/>
        <v>0</v>
      </c>
      <c r="AA2024" s="5">
        <f t="shared" si="198"/>
        <v>0</v>
      </c>
      <c r="AB2024" s="5">
        <f t="shared" si="199"/>
        <v>0</v>
      </c>
      <c r="AC2024" s="5"/>
      <c r="AD2024" s="5">
        <v>0</v>
      </c>
      <c r="AE2024" s="5">
        <f t="shared" si="200"/>
        <v>0</v>
      </c>
      <c r="AF2024" s="70">
        <v>0</v>
      </c>
      <c r="AG2024" s="17"/>
      <c r="AH2024" s="18"/>
      <c r="AI2024" s="47" t="s">
        <v>4336</v>
      </c>
      <c r="AJ2024" s="175" t="s">
        <v>4337</v>
      </c>
      <c r="AK2024" s="177"/>
      <c r="AL2024" s="179"/>
      <c r="AM2024" s="183" t="s">
        <v>2097</v>
      </c>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39"/>
      <c r="CE2024" s="138"/>
      <c r="CF2024" s="139"/>
      <c r="CG2024" s="138"/>
      <c r="CH2024" s="139"/>
      <c r="CI2024" s="138"/>
      <c r="CJ2024" s="72"/>
      <c r="CK2024" s="139"/>
      <c r="CL2024" s="71"/>
      <c r="CM2024" s="139"/>
      <c r="CN2024" s="138"/>
      <c r="CO2024" s="138"/>
      <c r="CP2024" s="138"/>
      <c r="CQ2024" s="139"/>
      <c r="CR2024" s="138"/>
      <c r="CS2024" s="45"/>
      <c r="CT2024" s="138"/>
      <c r="CU2024" s="45"/>
      <c r="CV2024" s="99">
        <f t="shared" si="201"/>
        <v>0</v>
      </c>
      <c r="CW2024" s="139"/>
      <c r="CX2024" s="138"/>
      <c r="CY2024" s="138"/>
      <c r="CZ2024" s="138"/>
      <c r="DA2024" s="139"/>
      <c r="DB2024" s="138"/>
      <c r="DC2024" s="45"/>
      <c r="DD2024" s="138"/>
      <c r="DE2024" s="45"/>
      <c r="DF2024" s="46"/>
    </row>
    <row r="2025" spans="1:110" s="42" customFormat="1" x14ac:dyDescent="0.2">
      <c r="A2025" s="89">
        <v>40793</v>
      </c>
      <c r="B2025" s="90" t="s">
        <v>2204</v>
      </c>
      <c r="C2025" s="90" t="s">
        <v>4345</v>
      </c>
      <c r="D2025" s="90" t="s">
        <v>4264</v>
      </c>
      <c r="E2025" s="90">
        <f>VLOOKUP(B2025&amp;C2025,Divipola!$C$2:$F$1138,4,FALSE)</f>
        <v>70</v>
      </c>
      <c r="F2025" s="4"/>
      <c r="G2025" s="167"/>
      <c r="H2025" s="169"/>
      <c r="I2025" s="169"/>
      <c r="J2025" s="169"/>
      <c r="K2025" s="169"/>
      <c r="L2025" s="169"/>
      <c r="M2025" s="169"/>
      <c r="N2025" s="169"/>
      <c r="O2025" s="169"/>
      <c r="P2025" s="169"/>
      <c r="Q2025" s="169"/>
      <c r="R2025" s="169"/>
      <c r="S2025" s="169"/>
      <c r="T2025" s="169"/>
      <c r="U2025" s="169"/>
      <c r="V2025" s="171"/>
      <c r="W2025" s="172"/>
      <c r="X2025" s="17"/>
      <c r="Y2025" s="5">
        <f t="shared" si="196"/>
        <v>0</v>
      </c>
      <c r="Z2025" s="5">
        <f t="shared" si="197"/>
        <v>0</v>
      </c>
      <c r="AA2025" s="5">
        <f t="shared" si="198"/>
        <v>0</v>
      </c>
      <c r="AB2025" s="5">
        <f t="shared" si="199"/>
        <v>90944000</v>
      </c>
      <c r="AC2025" s="5"/>
      <c r="AD2025" s="5">
        <v>0</v>
      </c>
      <c r="AE2025" s="5">
        <f t="shared" si="200"/>
        <v>90944000</v>
      </c>
      <c r="AF2025" s="70">
        <v>0</v>
      </c>
      <c r="AG2025" s="17"/>
      <c r="AH2025" s="18"/>
      <c r="AI2025" s="47" t="s">
        <v>4346</v>
      </c>
      <c r="AJ2025" s="175" t="s">
        <v>4347</v>
      </c>
      <c r="AK2025" s="177"/>
      <c r="AL2025" s="179"/>
      <c r="AM2025" s="183"/>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39"/>
      <c r="CE2025" s="138"/>
      <c r="CF2025" s="139"/>
      <c r="CG2025" s="138"/>
      <c r="CH2025" s="139"/>
      <c r="CI2025" s="138"/>
      <c r="CJ2025" s="72"/>
      <c r="CK2025" s="139"/>
      <c r="CL2025" s="71"/>
      <c r="CM2025" s="139"/>
      <c r="CN2025" s="138"/>
      <c r="CO2025" s="138"/>
      <c r="CP2025" s="138"/>
      <c r="CQ2025" s="139"/>
      <c r="CR2025" s="138"/>
      <c r="CS2025" s="45"/>
      <c r="CT2025" s="138"/>
      <c r="CU2025" s="45"/>
      <c r="CV2025" s="99">
        <f t="shared" si="201"/>
        <v>0</v>
      </c>
      <c r="CW2025" s="139">
        <v>100000</v>
      </c>
      <c r="CX2025" s="138">
        <f>100000*909.44</f>
        <v>90944000</v>
      </c>
      <c r="CY2025" s="138"/>
      <c r="CZ2025" s="138"/>
      <c r="DA2025" s="139"/>
      <c r="DB2025" s="138"/>
      <c r="DC2025" s="45"/>
      <c r="DD2025" s="138"/>
      <c r="DE2025" s="45"/>
      <c r="DF2025" s="46"/>
    </row>
    <row r="2026" spans="1:110" s="42" customFormat="1" ht="24" x14ac:dyDescent="0.2">
      <c r="A2026" s="89">
        <v>40794</v>
      </c>
      <c r="B2026" s="16" t="s">
        <v>4352</v>
      </c>
      <c r="C2026" s="16" t="s">
        <v>4358</v>
      </c>
      <c r="D2026" s="16" t="s">
        <v>3346</v>
      </c>
      <c r="E2026" s="90" t="str">
        <f>VLOOKUP(B2026&amp;C2026,Divipola!$C$2:$F$1138,4,FALSE)</f>
        <v>13001</v>
      </c>
      <c r="F2026" s="4"/>
      <c r="G2026" s="167"/>
      <c r="H2026" s="169"/>
      <c r="I2026" s="169"/>
      <c r="J2026" s="169">
        <v>200</v>
      </c>
      <c r="K2026" s="169">
        <v>40</v>
      </c>
      <c r="L2026" s="169"/>
      <c r="M2026" s="169">
        <v>40</v>
      </c>
      <c r="N2026" s="169"/>
      <c r="O2026" s="169"/>
      <c r="P2026" s="169"/>
      <c r="Q2026" s="169"/>
      <c r="R2026" s="169"/>
      <c r="S2026" s="169">
        <v>1</v>
      </c>
      <c r="T2026" s="169"/>
      <c r="U2026" s="169"/>
      <c r="V2026" s="171"/>
      <c r="W2026" s="172"/>
      <c r="X2026" s="17"/>
      <c r="Y2026" s="5">
        <f t="shared" si="196"/>
        <v>0</v>
      </c>
      <c r="Z2026" s="5">
        <f t="shared" si="197"/>
        <v>0</v>
      </c>
      <c r="AA2026" s="5">
        <f t="shared" si="198"/>
        <v>0</v>
      </c>
      <c r="AB2026" s="5">
        <f t="shared" si="199"/>
        <v>0</v>
      </c>
      <c r="AC2026" s="5"/>
      <c r="AD2026" s="5">
        <v>0</v>
      </c>
      <c r="AE2026" s="5">
        <f t="shared" si="200"/>
        <v>0</v>
      </c>
      <c r="AF2026" s="70">
        <v>0</v>
      </c>
      <c r="AG2026" s="17"/>
      <c r="AH2026" s="18"/>
      <c r="AI2026" s="47" t="s">
        <v>4336</v>
      </c>
      <c r="AJ2026" s="73" t="s">
        <v>4337</v>
      </c>
      <c r="AK2026" s="177"/>
      <c r="AL2026" s="179"/>
      <c r="AM2026" s="183" t="s">
        <v>2095</v>
      </c>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39"/>
      <c r="CE2026" s="138"/>
      <c r="CF2026" s="139"/>
      <c r="CG2026" s="138"/>
      <c r="CH2026" s="139"/>
      <c r="CI2026" s="138"/>
      <c r="CJ2026" s="72"/>
      <c r="CK2026" s="139"/>
      <c r="CL2026" s="71"/>
      <c r="CM2026" s="139"/>
      <c r="CN2026" s="138"/>
      <c r="CO2026" s="138"/>
      <c r="CP2026" s="138"/>
      <c r="CQ2026" s="139"/>
      <c r="CR2026" s="138"/>
      <c r="CS2026" s="45"/>
      <c r="CT2026" s="138"/>
      <c r="CU2026" s="45"/>
      <c r="CV2026" s="99">
        <f t="shared" si="201"/>
        <v>0</v>
      </c>
      <c r="CW2026" s="139"/>
      <c r="CX2026" s="138"/>
      <c r="CY2026" s="138"/>
      <c r="CZ2026" s="138"/>
      <c r="DA2026" s="139"/>
      <c r="DB2026" s="138"/>
      <c r="DC2026" s="45"/>
      <c r="DD2026" s="138"/>
      <c r="DE2026" s="45"/>
      <c r="DF2026" s="46"/>
    </row>
    <row r="2027" spans="1:110" s="42" customFormat="1" ht="22.5" x14ac:dyDescent="0.2">
      <c r="A2027" s="89">
        <v>40794</v>
      </c>
      <c r="B2027" s="16" t="s">
        <v>4352</v>
      </c>
      <c r="C2027" s="16" t="s">
        <v>2236</v>
      </c>
      <c r="D2027" s="90" t="s">
        <v>2362</v>
      </c>
      <c r="E2027" s="90" t="str">
        <f>VLOOKUP(B2027&amp;C2027,Divipola!$C$2:$F$1138,4,FALSE)</f>
        <v>13657</v>
      </c>
      <c r="F2027" s="4"/>
      <c r="G2027" s="167"/>
      <c r="H2027" s="169"/>
      <c r="I2027" s="169"/>
      <c r="J2027" s="169">
        <v>15</v>
      </c>
      <c r="K2027" s="169">
        <v>3</v>
      </c>
      <c r="L2027" s="169">
        <v>1</v>
      </c>
      <c r="M2027" s="169"/>
      <c r="N2027" s="169"/>
      <c r="O2027" s="169"/>
      <c r="P2027" s="169"/>
      <c r="Q2027" s="169"/>
      <c r="R2027" s="169"/>
      <c r="S2027" s="169"/>
      <c r="T2027" s="169"/>
      <c r="U2027" s="169"/>
      <c r="V2027" s="171"/>
      <c r="W2027" s="172"/>
      <c r="X2027" s="17"/>
      <c r="Y2027" s="5">
        <f t="shared" si="196"/>
        <v>0</v>
      </c>
      <c r="Z2027" s="5">
        <f t="shared" si="197"/>
        <v>0</v>
      </c>
      <c r="AA2027" s="5">
        <f t="shared" si="198"/>
        <v>0</v>
      </c>
      <c r="AB2027" s="5">
        <f t="shared" si="199"/>
        <v>0</v>
      </c>
      <c r="AC2027" s="5"/>
      <c r="AD2027" s="5">
        <v>0</v>
      </c>
      <c r="AE2027" s="5">
        <f t="shared" si="200"/>
        <v>0</v>
      </c>
      <c r="AF2027" s="70">
        <v>0</v>
      </c>
      <c r="AG2027" s="17"/>
      <c r="AH2027" s="18"/>
      <c r="AI2027" s="47" t="s">
        <v>4336</v>
      </c>
      <c r="AJ2027" s="175" t="s">
        <v>4337</v>
      </c>
      <c r="AK2027" s="177"/>
      <c r="AL2027" s="179"/>
      <c r="AM2027" s="183" t="s">
        <v>2096</v>
      </c>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39"/>
      <c r="CE2027" s="138"/>
      <c r="CF2027" s="139"/>
      <c r="CG2027" s="138"/>
      <c r="CH2027" s="139"/>
      <c r="CI2027" s="138"/>
      <c r="CJ2027" s="72"/>
      <c r="CK2027" s="139"/>
      <c r="CL2027" s="71"/>
      <c r="CM2027" s="139"/>
      <c r="CN2027" s="138"/>
      <c r="CO2027" s="138"/>
      <c r="CP2027" s="138"/>
      <c r="CQ2027" s="139"/>
      <c r="CR2027" s="138"/>
      <c r="CS2027" s="45"/>
      <c r="CT2027" s="138"/>
      <c r="CU2027" s="45"/>
      <c r="CV2027" s="99">
        <f t="shared" si="201"/>
        <v>0</v>
      </c>
      <c r="CW2027" s="139"/>
      <c r="CX2027" s="138"/>
      <c r="CY2027" s="138"/>
      <c r="CZ2027" s="138"/>
      <c r="DA2027" s="139"/>
      <c r="DB2027" s="138"/>
      <c r="DC2027" s="45"/>
      <c r="DD2027" s="138"/>
      <c r="DE2027" s="45"/>
      <c r="DF2027" s="46"/>
    </row>
    <row r="2028" spans="1:110" s="42" customFormat="1" ht="36" x14ac:dyDescent="0.2">
      <c r="A2028" s="89">
        <v>40794</v>
      </c>
      <c r="B2028" s="151" t="s">
        <v>3533</v>
      </c>
      <c r="C2028" s="90" t="s">
        <v>1380</v>
      </c>
      <c r="D2028" s="90" t="s">
        <v>2362</v>
      </c>
      <c r="E2028" s="90" t="str">
        <f>VLOOKUP(B2028&amp;C2028,Divipola!$C$2:$F$1138,4,FALSE)</f>
        <v>17013</v>
      </c>
      <c r="F2028" s="4"/>
      <c r="G2028" s="165"/>
      <c r="H2028" s="168">
        <v>5</v>
      </c>
      <c r="I2028" s="168"/>
      <c r="J2028" s="168">
        <v>11</v>
      </c>
      <c r="K2028" s="168">
        <v>2</v>
      </c>
      <c r="L2028" s="168">
        <v>1</v>
      </c>
      <c r="M2028" s="168"/>
      <c r="N2028" s="168"/>
      <c r="O2028" s="168"/>
      <c r="P2028" s="168"/>
      <c r="Q2028" s="168"/>
      <c r="R2028" s="168"/>
      <c r="S2028" s="168"/>
      <c r="T2028" s="168"/>
      <c r="U2028" s="168"/>
      <c r="V2028" s="170"/>
      <c r="W2028" s="172"/>
      <c r="X2028" s="17"/>
      <c r="Y2028" s="5">
        <f t="shared" si="196"/>
        <v>0</v>
      </c>
      <c r="Z2028" s="5">
        <f t="shared" si="197"/>
        <v>0</v>
      </c>
      <c r="AA2028" s="5">
        <f t="shared" si="198"/>
        <v>0</v>
      </c>
      <c r="AB2028" s="5">
        <f t="shared" si="199"/>
        <v>0</v>
      </c>
      <c r="AC2028" s="5"/>
      <c r="AD2028" s="5">
        <v>0</v>
      </c>
      <c r="AE2028" s="5">
        <f t="shared" si="200"/>
        <v>0</v>
      </c>
      <c r="AF2028" s="70">
        <v>0</v>
      </c>
      <c r="AG2028" s="17"/>
      <c r="AH2028" s="18"/>
      <c r="AI2028" s="47" t="s">
        <v>4336</v>
      </c>
      <c r="AJ2028" s="175" t="s">
        <v>4337</v>
      </c>
      <c r="AK2028" s="177"/>
      <c r="AL2028" s="179"/>
      <c r="AM2028" s="184" t="s">
        <v>2883</v>
      </c>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39"/>
      <c r="CE2028" s="138"/>
      <c r="CF2028" s="139"/>
      <c r="CG2028" s="138"/>
      <c r="CH2028" s="139"/>
      <c r="CI2028" s="138"/>
      <c r="CJ2028" s="72"/>
      <c r="CK2028" s="139"/>
      <c r="CL2028" s="71"/>
      <c r="CM2028" s="139"/>
      <c r="CN2028" s="138"/>
      <c r="CO2028" s="138"/>
      <c r="CP2028" s="138"/>
      <c r="CQ2028" s="139"/>
      <c r="CR2028" s="138"/>
      <c r="CS2028" s="45"/>
      <c r="CT2028" s="138"/>
      <c r="CU2028" s="45"/>
      <c r="CV2028" s="99">
        <f t="shared" si="201"/>
        <v>0</v>
      </c>
      <c r="CW2028" s="139"/>
      <c r="CX2028" s="138"/>
      <c r="CY2028" s="138"/>
      <c r="CZ2028" s="138"/>
      <c r="DA2028" s="139"/>
      <c r="DB2028" s="138"/>
      <c r="DC2028" s="45"/>
      <c r="DD2028" s="138"/>
      <c r="DE2028" s="45"/>
      <c r="DF2028" s="46"/>
    </row>
    <row r="2029" spans="1:110" s="42" customFormat="1" ht="48" x14ac:dyDescent="0.2">
      <c r="A2029" s="89">
        <v>40794</v>
      </c>
      <c r="B2029" s="90" t="s">
        <v>3533</v>
      </c>
      <c r="C2029" s="90" t="s">
        <v>862</v>
      </c>
      <c r="D2029" s="90" t="s">
        <v>2362</v>
      </c>
      <c r="E2029" s="90" t="str">
        <f>VLOOKUP(B2029&amp;C2029,Divipola!$C$2:$F$1138,4,FALSE)</f>
        <v>17001</v>
      </c>
      <c r="F2029" s="4"/>
      <c r="G2029" s="165"/>
      <c r="H2029" s="168"/>
      <c r="I2029" s="168"/>
      <c r="J2029" s="168">
        <v>15</v>
      </c>
      <c r="K2029" s="168">
        <v>4</v>
      </c>
      <c r="L2029" s="168">
        <v>1</v>
      </c>
      <c r="M2029" s="168">
        <v>2</v>
      </c>
      <c r="N2029" s="168"/>
      <c r="O2029" s="168"/>
      <c r="P2029" s="168"/>
      <c r="Q2029" s="168"/>
      <c r="R2029" s="168"/>
      <c r="S2029" s="168"/>
      <c r="T2029" s="168"/>
      <c r="U2029" s="168"/>
      <c r="V2029" s="170"/>
      <c r="W2029" s="172"/>
      <c r="X2029" s="17"/>
      <c r="Y2029" s="5">
        <f t="shared" si="196"/>
        <v>0</v>
      </c>
      <c r="Z2029" s="5">
        <f t="shared" si="197"/>
        <v>0</v>
      </c>
      <c r="AA2029" s="5">
        <f t="shared" si="198"/>
        <v>0</v>
      </c>
      <c r="AB2029" s="5">
        <f t="shared" si="199"/>
        <v>0</v>
      </c>
      <c r="AC2029" s="5"/>
      <c r="AD2029" s="5">
        <v>0</v>
      </c>
      <c r="AE2029" s="5">
        <f t="shared" si="200"/>
        <v>0</v>
      </c>
      <c r="AF2029" s="70">
        <v>0</v>
      </c>
      <c r="AG2029" s="17"/>
      <c r="AH2029" s="18"/>
      <c r="AI2029" s="47" t="s">
        <v>4336</v>
      </c>
      <c r="AJ2029" s="73" t="s">
        <v>4337</v>
      </c>
      <c r="AK2029" s="177"/>
      <c r="AL2029" s="179"/>
      <c r="AM2029" s="184" t="s">
        <v>2886</v>
      </c>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39"/>
      <c r="CE2029" s="138"/>
      <c r="CF2029" s="139"/>
      <c r="CG2029" s="138"/>
      <c r="CH2029" s="139"/>
      <c r="CI2029" s="138"/>
      <c r="CJ2029" s="72"/>
      <c r="CK2029" s="139"/>
      <c r="CL2029" s="71"/>
      <c r="CM2029" s="139"/>
      <c r="CN2029" s="138"/>
      <c r="CO2029" s="138"/>
      <c r="CP2029" s="138"/>
      <c r="CQ2029" s="139"/>
      <c r="CR2029" s="138"/>
      <c r="CS2029" s="45"/>
      <c r="CT2029" s="138"/>
      <c r="CU2029" s="45"/>
      <c r="CV2029" s="99">
        <f t="shared" si="201"/>
        <v>0</v>
      </c>
      <c r="CW2029" s="139"/>
      <c r="CX2029" s="138"/>
      <c r="CY2029" s="138"/>
      <c r="CZ2029" s="138"/>
      <c r="DA2029" s="139"/>
      <c r="DB2029" s="138"/>
      <c r="DC2029" s="45"/>
      <c r="DD2029" s="138"/>
      <c r="DE2029" s="45"/>
      <c r="DF2029" s="46"/>
    </row>
    <row r="2030" spans="1:110" s="42" customFormat="1" ht="36" x14ac:dyDescent="0.2">
      <c r="A2030" s="89">
        <v>40794</v>
      </c>
      <c r="B2030" s="151" t="s">
        <v>3533</v>
      </c>
      <c r="C2030" s="90" t="s">
        <v>3394</v>
      </c>
      <c r="D2030" s="90" t="s">
        <v>3346</v>
      </c>
      <c r="E2030" s="90" t="str">
        <f>VLOOKUP(B2030&amp;C2030,Divipola!$C$2:$F$1138,4,FALSE)</f>
        <v>17662</v>
      </c>
      <c r="F2030" s="4"/>
      <c r="G2030" s="165"/>
      <c r="H2030" s="168"/>
      <c r="I2030" s="168"/>
      <c r="J2030" s="168">
        <v>25</v>
      </c>
      <c r="K2030" s="168">
        <v>8</v>
      </c>
      <c r="L2030" s="168"/>
      <c r="M2030" s="168">
        <v>6</v>
      </c>
      <c r="N2030" s="168"/>
      <c r="O2030" s="168"/>
      <c r="P2030" s="168"/>
      <c r="Q2030" s="168"/>
      <c r="R2030" s="168"/>
      <c r="S2030" s="168"/>
      <c r="T2030" s="168"/>
      <c r="U2030" s="168"/>
      <c r="V2030" s="170"/>
      <c r="W2030" s="172"/>
      <c r="X2030" s="17"/>
      <c r="Y2030" s="5">
        <f t="shared" si="196"/>
        <v>0</v>
      </c>
      <c r="Z2030" s="5">
        <f t="shared" si="197"/>
        <v>0</v>
      </c>
      <c r="AA2030" s="5">
        <f t="shared" si="198"/>
        <v>0</v>
      </c>
      <c r="AB2030" s="5">
        <f t="shared" si="199"/>
        <v>0</v>
      </c>
      <c r="AC2030" s="5"/>
      <c r="AD2030" s="5">
        <v>0</v>
      </c>
      <c r="AE2030" s="5">
        <f t="shared" si="200"/>
        <v>0</v>
      </c>
      <c r="AF2030" s="70">
        <v>0</v>
      </c>
      <c r="AG2030" s="17"/>
      <c r="AH2030" s="18"/>
      <c r="AI2030" s="47" t="s">
        <v>4336</v>
      </c>
      <c r="AJ2030" s="175" t="s">
        <v>4337</v>
      </c>
      <c r="AK2030" s="177"/>
      <c r="AL2030" s="179"/>
      <c r="AM2030" s="184" t="s">
        <v>2884</v>
      </c>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39"/>
      <c r="CE2030" s="138"/>
      <c r="CF2030" s="139"/>
      <c r="CG2030" s="138"/>
      <c r="CH2030" s="139"/>
      <c r="CI2030" s="138"/>
      <c r="CJ2030" s="72"/>
      <c r="CK2030" s="139"/>
      <c r="CL2030" s="71"/>
      <c r="CM2030" s="139"/>
      <c r="CN2030" s="138"/>
      <c r="CO2030" s="138"/>
      <c r="CP2030" s="138"/>
      <c r="CQ2030" s="139"/>
      <c r="CR2030" s="138"/>
      <c r="CS2030" s="45"/>
      <c r="CT2030" s="138"/>
      <c r="CU2030" s="45"/>
      <c r="CV2030" s="99">
        <f t="shared" si="201"/>
        <v>0</v>
      </c>
      <c r="CW2030" s="139"/>
      <c r="CX2030" s="138"/>
      <c r="CY2030" s="138"/>
      <c r="CZ2030" s="138"/>
      <c r="DA2030" s="139"/>
      <c r="DB2030" s="138"/>
      <c r="DC2030" s="45"/>
      <c r="DD2030" s="138"/>
      <c r="DE2030" s="45"/>
      <c r="DF2030" s="46"/>
    </row>
    <row r="2031" spans="1:110" s="42" customFormat="1" x14ac:dyDescent="0.2">
      <c r="A2031" s="89">
        <v>40794</v>
      </c>
      <c r="B2031" s="153" t="s">
        <v>3358</v>
      </c>
      <c r="C2031" s="4" t="s">
        <v>1428</v>
      </c>
      <c r="D2031" s="90" t="s">
        <v>4264</v>
      </c>
      <c r="E2031" s="90" t="str">
        <f>VLOOKUP(B2031&amp;C2031,Divipola!$C$2:$F$1138,4,FALSE)</f>
        <v>18029</v>
      </c>
      <c r="F2031" s="4"/>
      <c r="G2031" s="167"/>
      <c r="H2031" s="169"/>
      <c r="I2031" s="169"/>
      <c r="J2031" s="169"/>
      <c r="K2031" s="169"/>
      <c r="L2031" s="169"/>
      <c r="M2031" s="169"/>
      <c r="N2031" s="169"/>
      <c r="O2031" s="169"/>
      <c r="P2031" s="169"/>
      <c r="Q2031" s="169"/>
      <c r="R2031" s="169"/>
      <c r="S2031" s="169"/>
      <c r="T2031" s="169"/>
      <c r="U2031" s="169"/>
      <c r="V2031" s="171"/>
      <c r="W2031" s="172"/>
      <c r="X2031" s="17"/>
      <c r="Y2031" s="5">
        <f t="shared" si="196"/>
        <v>8261276.4000000004</v>
      </c>
      <c r="Z2031" s="5">
        <f t="shared" si="197"/>
        <v>3569936.1599999997</v>
      </c>
      <c r="AA2031" s="5">
        <f t="shared" si="198"/>
        <v>18369446.800000001</v>
      </c>
      <c r="AB2031" s="5">
        <f t="shared" si="199"/>
        <v>0</v>
      </c>
      <c r="AC2031" s="5"/>
      <c r="AD2031" s="5">
        <v>0</v>
      </c>
      <c r="AE2031" s="5">
        <f t="shared" si="200"/>
        <v>30200659.359999999</v>
      </c>
      <c r="AF2031" s="70">
        <v>0</v>
      </c>
      <c r="AG2031" s="17"/>
      <c r="AH2031" s="18"/>
      <c r="AI2031" s="47" t="s">
        <v>4346</v>
      </c>
      <c r="AJ2031" s="175" t="s">
        <v>4347</v>
      </c>
      <c r="AK2031" s="177"/>
      <c r="AL2031" s="179"/>
      <c r="AM2031" s="183"/>
      <c r="AN2031" s="19"/>
      <c r="AO2031" s="19"/>
      <c r="AP2031" s="19"/>
      <c r="AQ2031" s="19"/>
      <c r="AR2031" s="19"/>
      <c r="AS2031" s="19"/>
      <c r="AT2031" s="19"/>
      <c r="AU2031" s="19"/>
      <c r="AV2031" s="19"/>
      <c r="AW2031" s="19"/>
      <c r="AX2031" s="19"/>
      <c r="AY2031" s="19"/>
      <c r="AZ2031" s="19">
        <v>90</v>
      </c>
      <c r="BA2031" s="19">
        <f>90*55999</f>
        <v>5039910</v>
      </c>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39"/>
      <c r="CE2031" s="138"/>
      <c r="CF2031" s="139"/>
      <c r="CG2031" s="138"/>
      <c r="CH2031" s="139"/>
      <c r="CI2031" s="138"/>
      <c r="CJ2031" s="72"/>
      <c r="CK2031" s="139"/>
      <c r="CL2031" s="71"/>
      <c r="CM2031" s="139"/>
      <c r="CN2031" s="138"/>
      <c r="CO2031" s="138"/>
      <c r="CP2031" s="138">
        <v>42</v>
      </c>
      <c r="CQ2031" s="139">
        <f>42*36999.36</f>
        <v>1553973.12</v>
      </c>
      <c r="CR2031" s="138">
        <v>42</v>
      </c>
      <c r="CS2031" s="138">
        <f>42*39699.84</f>
        <v>1667393.2799999998</v>
      </c>
      <c r="CT2031" s="138"/>
      <c r="CU2031" s="45"/>
      <c r="CV2031" s="99">
        <f t="shared" si="201"/>
        <v>8261276.4000000004</v>
      </c>
      <c r="CW2031" s="139"/>
      <c r="CX2031" s="138"/>
      <c r="CY2031" s="138">
        <v>42</v>
      </c>
      <c r="CZ2031" s="138">
        <f>42*84998.48</f>
        <v>3569936.1599999997</v>
      </c>
      <c r="DA2031" s="139">
        <v>50</v>
      </c>
      <c r="DB2031" s="138">
        <f>50*26999</f>
        <v>1349950</v>
      </c>
      <c r="DC2031" s="45">
        <v>740</v>
      </c>
      <c r="DD2031" s="138">
        <f>740*22999.32</f>
        <v>17019496.800000001</v>
      </c>
      <c r="DE2031" s="45"/>
      <c r="DF2031" s="46"/>
    </row>
    <row r="2032" spans="1:110" s="42" customFormat="1" ht="25.5" x14ac:dyDescent="0.2">
      <c r="A2032" s="89">
        <v>40794</v>
      </c>
      <c r="B2032" s="153" t="s">
        <v>3358</v>
      </c>
      <c r="C2032" s="4" t="s">
        <v>2220</v>
      </c>
      <c r="D2032" s="90" t="s">
        <v>4264</v>
      </c>
      <c r="E2032" s="90" t="str">
        <f>VLOOKUP(B2032&amp;C2032,Divipola!$C$2:$F$1138,4,FALSE)</f>
        <v>18460</v>
      </c>
      <c r="F2032" s="4"/>
      <c r="G2032" s="167"/>
      <c r="H2032" s="169"/>
      <c r="I2032" s="169"/>
      <c r="J2032" s="169">
        <f>65*5</f>
        <v>325</v>
      </c>
      <c r="K2032" s="169">
        <v>65</v>
      </c>
      <c r="L2032" s="169"/>
      <c r="M2032" s="169">
        <v>65</v>
      </c>
      <c r="N2032" s="169"/>
      <c r="O2032" s="169"/>
      <c r="P2032" s="169"/>
      <c r="Q2032" s="169"/>
      <c r="R2032" s="169"/>
      <c r="S2032" s="169"/>
      <c r="T2032" s="169"/>
      <c r="U2032" s="169"/>
      <c r="V2032" s="171"/>
      <c r="W2032" s="172"/>
      <c r="X2032" s="17"/>
      <c r="Y2032" s="5">
        <f t="shared" si="196"/>
        <v>20850153.199999996</v>
      </c>
      <c r="Z2032" s="5">
        <f t="shared" si="197"/>
        <v>11049802.4</v>
      </c>
      <c r="AA2032" s="5">
        <f t="shared" si="198"/>
        <v>49603630</v>
      </c>
      <c r="AB2032" s="5">
        <f t="shared" si="199"/>
        <v>0</v>
      </c>
      <c r="AC2032" s="143">
        <f>20*113680+20*133400</f>
        <v>4941600</v>
      </c>
      <c r="AD2032" s="5">
        <v>0</v>
      </c>
      <c r="AE2032" s="5">
        <f t="shared" si="200"/>
        <v>86445185.599999994</v>
      </c>
      <c r="AF2032" s="70">
        <v>0</v>
      </c>
      <c r="AG2032" s="17"/>
      <c r="AH2032" s="18"/>
      <c r="AI2032" s="47" t="s">
        <v>4346</v>
      </c>
      <c r="AJ2032" s="175" t="s">
        <v>4347</v>
      </c>
      <c r="AK2032" s="177"/>
      <c r="AL2032" s="179"/>
      <c r="AM2032" s="181" t="s">
        <v>4853</v>
      </c>
      <c r="AN2032" s="19"/>
      <c r="AO2032" s="19"/>
      <c r="AP2032" s="19"/>
      <c r="AQ2032" s="19"/>
      <c r="AR2032" s="19"/>
      <c r="AS2032" s="19"/>
      <c r="AT2032" s="19"/>
      <c r="AU2032" s="19"/>
      <c r="AV2032" s="19"/>
      <c r="AW2032" s="19"/>
      <c r="AX2032" s="19"/>
      <c r="AY2032" s="19"/>
      <c r="AZ2032" s="19">
        <v>260</v>
      </c>
      <c r="BA2032" s="19">
        <f>260*55999</f>
        <v>14559740</v>
      </c>
      <c r="BB2032" s="19"/>
      <c r="BC2032" s="19"/>
      <c r="BD2032" s="19"/>
      <c r="BE2032" s="19"/>
      <c r="BF2032" s="19"/>
      <c r="BG2032" s="19"/>
      <c r="BH2032" s="19"/>
      <c r="BI2032" s="19"/>
      <c r="BJ2032" s="19"/>
      <c r="BK2032" s="19"/>
      <c r="BL2032" s="19">
        <v>30</v>
      </c>
      <c r="BM2032" s="19">
        <f>30*25499.12</f>
        <v>764973.6</v>
      </c>
      <c r="BN2032" s="19"/>
      <c r="BO2032" s="19"/>
      <c r="BP2032" s="19"/>
      <c r="BQ2032" s="19"/>
      <c r="BR2032" s="19"/>
      <c r="BS2032" s="19"/>
      <c r="BT2032" s="19"/>
      <c r="BU2032" s="19"/>
      <c r="BV2032" s="19"/>
      <c r="BW2032" s="19"/>
      <c r="BX2032" s="19"/>
      <c r="BY2032" s="19"/>
      <c r="BZ2032" s="19"/>
      <c r="CA2032" s="19"/>
      <c r="CB2032" s="19"/>
      <c r="CC2032" s="19"/>
      <c r="CD2032" s="139"/>
      <c r="CE2032" s="138"/>
      <c r="CF2032" s="139"/>
      <c r="CG2032" s="138"/>
      <c r="CH2032" s="139"/>
      <c r="CI2032" s="138"/>
      <c r="CJ2032" s="72"/>
      <c r="CK2032" s="139"/>
      <c r="CL2032" s="71"/>
      <c r="CM2032" s="139"/>
      <c r="CN2032" s="138">
        <v>30</v>
      </c>
      <c r="CO2032" s="138">
        <f>30*17999.72</f>
        <v>539991.60000000009</v>
      </c>
      <c r="CP2032" s="138">
        <v>65</v>
      </c>
      <c r="CQ2032" s="138">
        <f>65*36999.36</f>
        <v>2404958.4</v>
      </c>
      <c r="CR2032" s="138">
        <v>65</v>
      </c>
      <c r="CS2032" s="138">
        <f>65*39699.84</f>
        <v>2580489.5999999996</v>
      </c>
      <c r="CT2032" s="138"/>
      <c r="CU2032" s="45"/>
      <c r="CV2032" s="99">
        <f t="shared" si="201"/>
        <v>20850153.199999996</v>
      </c>
      <c r="CW2032" s="139"/>
      <c r="CX2032" s="138"/>
      <c r="CY2032" s="138">
        <v>130</v>
      </c>
      <c r="CZ2032" s="138">
        <f>130*84998.48</f>
        <v>11049802.4</v>
      </c>
      <c r="DA2032" s="139">
        <v>50</v>
      </c>
      <c r="DB2032" s="138">
        <f>50*26999</f>
        <v>1349950</v>
      </c>
      <c r="DC2032" s="45">
        <v>2000</v>
      </c>
      <c r="DD2032" s="138">
        <f>2000*22999.32+16200*139.2</f>
        <v>48253680</v>
      </c>
      <c r="DE2032" s="45"/>
      <c r="DF2032" s="46"/>
    </row>
    <row r="2033" spans="1:110" s="42" customFormat="1" ht="96" x14ac:dyDescent="0.2">
      <c r="A2033" s="89">
        <v>40794</v>
      </c>
      <c r="B2033" s="90" t="s">
        <v>4353</v>
      </c>
      <c r="C2033" s="90" t="s">
        <v>2223</v>
      </c>
      <c r="D2033" s="90" t="s">
        <v>2860</v>
      </c>
      <c r="E2033" s="90" t="str">
        <f>VLOOKUP(B2033&amp;C2033,Divipola!$C$2:$F$1138,4,FALSE)</f>
        <v>85001</v>
      </c>
      <c r="F2033" s="4"/>
      <c r="G2033" s="165"/>
      <c r="H2033" s="168"/>
      <c r="I2033" s="168"/>
      <c r="J2033" s="168">
        <v>5</v>
      </c>
      <c r="K2033" s="168">
        <v>1</v>
      </c>
      <c r="L2033" s="168"/>
      <c r="M2033" s="168"/>
      <c r="N2033" s="168"/>
      <c r="O2033" s="168"/>
      <c r="P2033" s="168"/>
      <c r="Q2033" s="168"/>
      <c r="R2033" s="168"/>
      <c r="S2033" s="168"/>
      <c r="T2033" s="168"/>
      <c r="U2033" s="168"/>
      <c r="V2033" s="170"/>
      <c r="W2033" s="172"/>
      <c r="X2033" s="17"/>
      <c r="Y2033" s="5">
        <f t="shared" si="196"/>
        <v>0</v>
      </c>
      <c r="Z2033" s="5">
        <f t="shared" si="197"/>
        <v>0</v>
      </c>
      <c r="AA2033" s="5">
        <f t="shared" si="198"/>
        <v>0</v>
      </c>
      <c r="AB2033" s="5">
        <f t="shared" si="199"/>
        <v>0</v>
      </c>
      <c r="AC2033" s="5"/>
      <c r="AD2033" s="5">
        <v>0</v>
      </c>
      <c r="AE2033" s="5">
        <f t="shared" si="200"/>
        <v>0</v>
      </c>
      <c r="AF2033" s="70">
        <v>0</v>
      </c>
      <c r="AG2033" s="17"/>
      <c r="AH2033" s="18"/>
      <c r="AI2033" s="47" t="s">
        <v>4336</v>
      </c>
      <c r="AJ2033" s="73" t="s">
        <v>4337</v>
      </c>
      <c r="AK2033" s="177"/>
      <c r="AL2033" s="179"/>
      <c r="AM2033" s="184" t="s">
        <v>2887</v>
      </c>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39"/>
      <c r="CE2033" s="138"/>
      <c r="CF2033" s="139"/>
      <c r="CG2033" s="138"/>
      <c r="CH2033" s="139"/>
      <c r="CI2033" s="138"/>
      <c r="CJ2033" s="72"/>
      <c r="CK2033" s="139"/>
      <c r="CL2033" s="71"/>
      <c r="CM2033" s="139"/>
      <c r="CN2033" s="138"/>
      <c r="CO2033" s="138"/>
      <c r="CP2033" s="138"/>
      <c r="CQ2033" s="139"/>
      <c r="CR2033" s="138"/>
      <c r="CS2033" s="45"/>
      <c r="CT2033" s="138"/>
      <c r="CU2033" s="45"/>
      <c r="CV2033" s="99">
        <f t="shared" si="201"/>
        <v>0</v>
      </c>
      <c r="CW2033" s="139"/>
      <c r="CX2033" s="138"/>
      <c r="CY2033" s="138"/>
      <c r="CZ2033" s="138"/>
      <c r="DA2033" s="139"/>
      <c r="DB2033" s="138"/>
      <c r="DC2033" s="45"/>
      <c r="DD2033" s="138"/>
      <c r="DE2033" s="45"/>
      <c r="DF2033" s="46"/>
    </row>
    <row r="2034" spans="1:110" s="42" customFormat="1" ht="22.5" x14ac:dyDescent="0.2">
      <c r="A2034" s="89">
        <v>40794</v>
      </c>
      <c r="B2034" s="16" t="s">
        <v>4221</v>
      </c>
      <c r="C2034" s="16" t="s">
        <v>4299</v>
      </c>
      <c r="D2034" s="90" t="s">
        <v>4340</v>
      </c>
      <c r="E2034" s="90" t="str">
        <f>VLOOKUP(B2034&amp;C2034,Divipola!$C$2:$F$1138,4,FALSE)</f>
        <v>54001</v>
      </c>
      <c r="F2034" s="4"/>
      <c r="G2034" s="167">
        <v>1</v>
      </c>
      <c r="H2034" s="169">
        <v>1</v>
      </c>
      <c r="I2034" s="169"/>
      <c r="J2034" s="169"/>
      <c r="K2034" s="169"/>
      <c r="L2034" s="169"/>
      <c r="M2034" s="169"/>
      <c r="N2034" s="169"/>
      <c r="O2034" s="169"/>
      <c r="P2034" s="169"/>
      <c r="Q2034" s="169"/>
      <c r="R2034" s="169"/>
      <c r="S2034" s="169"/>
      <c r="T2034" s="169"/>
      <c r="U2034" s="169"/>
      <c r="V2034" s="171"/>
      <c r="W2034" s="172"/>
      <c r="X2034" s="17"/>
      <c r="Y2034" s="5">
        <f t="shared" si="196"/>
        <v>0</v>
      </c>
      <c r="Z2034" s="5">
        <f t="shared" si="197"/>
        <v>0</v>
      </c>
      <c r="AA2034" s="5">
        <f t="shared" si="198"/>
        <v>0</v>
      </c>
      <c r="AB2034" s="5">
        <f t="shared" si="199"/>
        <v>0</v>
      </c>
      <c r="AC2034" s="5"/>
      <c r="AD2034" s="5">
        <v>0</v>
      </c>
      <c r="AE2034" s="5">
        <f t="shared" si="200"/>
        <v>0</v>
      </c>
      <c r="AF2034" s="70">
        <v>0</v>
      </c>
      <c r="AG2034" s="17"/>
      <c r="AH2034" s="18"/>
      <c r="AI2034" s="47" t="s">
        <v>4336</v>
      </c>
      <c r="AJ2034" s="73" t="s">
        <v>4337</v>
      </c>
      <c r="AK2034" s="177"/>
      <c r="AL2034" s="179"/>
      <c r="AM2034" s="183" t="s">
        <v>1115</v>
      </c>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c r="BV2034" s="19"/>
      <c r="BW2034" s="19"/>
      <c r="BX2034" s="19"/>
      <c r="BY2034" s="19"/>
      <c r="BZ2034" s="19"/>
      <c r="CA2034" s="19"/>
      <c r="CB2034" s="19"/>
      <c r="CC2034" s="19"/>
      <c r="CD2034" s="139"/>
      <c r="CE2034" s="138"/>
      <c r="CF2034" s="139"/>
      <c r="CG2034" s="138"/>
      <c r="CH2034" s="139"/>
      <c r="CI2034" s="138"/>
      <c r="CJ2034" s="72"/>
      <c r="CK2034" s="139"/>
      <c r="CL2034" s="71"/>
      <c r="CM2034" s="139"/>
      <c r="CN2034" s="138"/>
      <c r="CO2034" s="138"/>
      <c r="CP2034" s="138"/>
      <c r="CQ2034" s="139"/>
      <c r="CR2034" s="138"/>
      <c r="CS2034" s="45"/>
      <c r="CT2034" s="138"/>
      <c r="CU2034" s="45"/>
      <c r="CV2034" s="99">
        <f t="shared" si="201"/>
        <v>0</v>
      </c>
      <c r="CW2034" s="139"/>
      <c r="CX2034" s="138"/>
      <c r="CY2034" s="138"/>
      <c r="CZ2034" s="138"/>
      <c r="DA2034" s="139"/>
      <c r="DB2034" s="138"/>
      <c r="DC2034" s="45"/>
      <c r="DD2034" s="138"/>
      <c r="DE2034" s="45"/>
      <c r="DF2034" s="46"/>
    </row>
    <row r="2035" spans="1:110" s="42" customFormat="1" ht="36" x14ac:dyDescent="0.2">
      <c r="A2035" s="89">
        <v>40794</v>
      </c>
      <c r="B2035" s="151" t="s">
        <v>4263</v>
      </c>
      <c r="C2035" s="90" t="s">
        <v>4315</v>
      </c>
      <c r="D2035" s="90" t="s">
        <v>3346</v>
      </c>
      <c r="E2035" s="90" t="str">
        <f>VLOOKUP(B2035&amp;C2035,Divipola!$C$2:$F$1138,4,FALSE)</f>
        <v>86001</v>
      </c>
      <c r="F2035" s="4"/>
      <c r="G2035" s="165"/>
      <c r="H2035" s="168"/>
      <c r="I2035" s="168"/>
      <c r="J2035" s="168">
        <v>5</v>
      </c>
      <c r="K2035" s="168">
        <v>1</v>
      </c>
      <c r="L2035" s="168">
        <v>1</v>
      </c>
      <c r="M2035" s="168"/>
      <c r="N2035" s="168"/>
      <c r="O2035" s="168"/>
      <c r="P2035" s="168"/>
      <c r="Q2035" s="168"/>
      <c r="R2035" s="168"/>
      <c r="S2035" s="168"/>
      <c r="T2035" s="168"/>
      <c r="U2035" s="168"/>
      <c r="V2035" s="170"/>
      <c r="W2035" s="172"/>
      <c r="X2035" s="17"/>
      <c r="Y2035" s="5">
        <f t="shared" si="196"/>
        <v>0</v>
      </c>
      <c r="Z2035" s="5">
        <f t="shared" si="197"/>
        <v>0</v>
      </c>
      <c r="AA2035" s="5">
        <f t="shared" si="198"/>
        <v>0</v>
      </c>
      <c r="AB2035" s="5">
        <f t="shared" si="199"/>
        <v>0</v>
      </c>
      <c r="AC2035" s="5"/>
      <c r="AD2035" s="5">
        <v>0</v>
      </c>
      <c r="AE2035" s="5">
        <f t="shared" si="200"/>
        <v>0</v>
      </c>
      <c r="AF2035" s="70">
        <v>0</v>
      </c>
      <c r="AG2035" s="17"/>
      <c r="AH2035" s="18"/>
      <c r="AI2035" s="47" t="s">
        <v>4336</v>
      </c>
      <c r="AJ2035" s="73" t="s">
        <v>4337</v>
      </c>
      <c r="AK2035" s="177"/>
      <c r="AL2035" s="179"/>
      <c r="AM2035" s="184" t="s">
        <v>2882</v>
      </c>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39"/>
      <c r="CE2035" s="138"/>
      <c r="CF2035" s="139"/>
      <c r="CG2035" s="138"/>
      <c r="CH2035" s="139"/>
      <c r="CI2035" s="138"/>
      <c r="CJ2035" s="72"/>
      <c r="CK2035" s="139"/>
      <c r="CL2035" s="71"/>
      <c r="CM2035" s="139"/>
      <c r="CN2035" s="138"/>
      <c r="CO2035" s="138"/>
      <c r="CP2035" s="138"/>
      <c r="CQ2035" s="139"/>
      <c r="CR2035" s="138"/>
      <c r="CS2035" s="45"/>
      <c r="CT2035" s="138"/>
      <c r="CU2035" s="45"/>
      <c r="CV2035" s="99">
        <f t="shared" si="201"/>
        <v>0</v>
      </c>
      <c r="CW2035" s="139"/>
      <c r="CX2035" s="138"/>
      <c r="CY2035" s="138"/>
      <c r="CZ2035" s="138"/>
      <c r="DA2035" s="139"/>
      <c r="DB2035" s="138"/>
      <c r="DC2035" s="45"/>
      <c r="DD2035" s="138"/>
      <c r="DE2035" s="45"/>
      <c r="DF2035" s="46"/>
    </row>
    <row r="2036" spans="1:110" s="42" customFormat="1" ht="48" x14ac:dyDescent="0.2">
      <c r="A2036" s="89">
        <v>40794</v>
      </c>
      <c r="B2036" s="151" t="s">
        <v>2204</v>
      </c>
      <c r="C2036" s="90" t="s">
        <v>3022</v>
      </c>
      <c r="D2036" s="90" t="s">
        <v>4264</v>
      </c>
      <c r="E2036" s="90" t="str">
        <f>VLOOKUP(B2036&amp;C2036,Divipola!$C$2:$F$1138,4,FALSE)</f>
        <v>70204</v>
      </c>
      <c r="F2036" s="4"/>
      <c r="G2036" s="165"/>
      <c r="H2036" s="168"/>
      <c r="I2036" s="168"/>
      <c r="J2036" s="168">
        <v>350</v>
      </c>
      <c r="K2036" s="168">
        <v>70</v>
      </c>
      <c r="L2036" s="168"/>
      <c r="M2036" s="168">
        <v>70</v>
      </c>
      <c r="N2036" s="168"/>
      <c r="O2036" s="168"/>
      <c r="P2036" s="168"/>
      <c r="Q2036" s="168"/>
      <c r="R2036" s="168"/>
      <c r="S2036" s="168"/>
      <c r="T2036" s="168"/>
      <c r="U2036" s="168"/>
      <c r="V2036" s="170"/>
      <c r="W2036" s="172"/>
      <c r="X2036" s="17"/>
      <c r="Y2036" s="5">
        <f t="shared" si="196"/>
        <v>13482000</v>
      </c>
      <c r="Z2036" s="5">
        <f t="shared" si="197"/>
        <v>5100000</v>
      </c>
      <c r="AA2036" s="5">
        <f t="shared" si="198"/>
        <v>0</v>
      </c>
      <c r="AB2036" s="5">
        <f t="shared" si="199"/>
        <v>0</v>
      </c>
      <c r="AC2036" s="5"/>
      <c r="AD2036" s="5">
        <v>0</v>
      </c>
      <c r="AE2036" s="5">
        <f t="shared" si="200"/>
        <v>18582000</v>
      </c>
      <c r="AF2036" s="70">
        <v>0</v>
      </c>
      <c r="AG2036" s="17"/>
      <c r="AH2036" s="18"/>
      <c r="AI2036" s="47" t="s">
        <v>4346</v>
      </c>
      <c r="AJ2036" s="73" t="s">
        <v>4347</v>
      </c>
      <c r="AK2036" s="177"/>
      <c r="AL2036" s="179"/>
      <c r="AM2036" s="184" t="s">
        <v>2879</v>
      </c>
      <c r="AN2036" s="19"/>
      <c r="AO2036" s="19"/>
      <c r="AP2036" s="19"/>
      <c r="AQ2036" s="19"/>
      <c r="AR2036" s="19"/>
      <c r="AS2036" s="19"/>
      <c r="AT2036" s="19"/>
      <c r="AU2036" s="19"/>
      <c r="AV2036" s="19"/>
      <c r="AW2036" s="19"/>
      <c r="AX2036" s="19"/>
      <c r="AY2036" s="19"/>
      <c r="AZ2036" s="19">
        <v>120</v>
      </c>
      <c r="BA2036" s="19">
        <f>120*56000</f>
        <v>6720000</v>
      </c>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39"/>
      <c r="CE2036" s="138"/>
      <c r="CF2036" s="139"/>
      <c r="CG2036" s="138"/>
      <c r="CH2036" s="139">
        <v>120</v>
      </c>
      <c r="CI2036" s="138">
        <f>120*18000</f>
        <v>2160000</v>
      </c>
      <c r="CJ2036" s="72"/>
      <c r="CK2036" s="139"/>
      <c r="CL2036" s="71"/>
      <c r="CM2036" s="139"/>
      <c r="CN2036" s="138"/>
      <c r="CO2036" s="138"/>
      <c r="CP2036" s="138">
        <v>60</v>
      </c>
      <c r="CQ2036" s="157">
        <f>60*37000</f>
        <v>2220000</v>
      </c>
      <c r="CR2036" s="138">
        <v>60</v>
      </c>
      <c r="CS2036" s="157">
        <f>60*39700</f>
        <v>2382000</v>
      </c>
      <c r="CT2036" s="138"/>
      <c r="CU2036" s="45"/>
      <c r="CV2036" s="99">
        <f t="shared" si="201"/>
        <v>13482000</v>
      </c>
      <c r="CW2036" s="139"/>
      <c r="CX2036" s="138"/>
      <c r="CY2036" s="138">
        <v>60</v>
      </c>
      <c r="CZ2036" s="138">
        <f>60*85000</f>
        <v>5100000</v>
      </c>
      <c r="DA2036" s="139"/>
      <c r="DB2036" s="138"/>
      <c r="DC2036" s="45"/>
      <c r="DD2036" s="138"/>
      <c r="DE2036" s="45"/>
      <c r="DF2036" s="46"/>
    </row>
    <row r="2037" spans="1:110" s="42" customFormat="1" ht="84" x14ac:dyDescent="0.2">
      <c r="A2037" s="89">
        <v>40794</v>
      </c>
      <c r="B2037" s="151" t="s">
        <v>2204</v>
      </c>
      <c r="C2037" s="90" t="s">
        <v>3048</v>
      </c>
      <c r="D2037" s="90" t="s">
        <v>2362</v>
      </c>
      <c r="E2037" s="90" t="str">
        <f>VLOOKUP(B2037&amp;C2037,Divipola!$C$2:$F$1138,4,FALSE)</f>
        <v>70508</v>
      </c>
      <c r="F2037" s="4"/>
      <c r="G2037" s="165"/>
      <c r="H2037" s="168"/>
      <c r="I2037" s="168"/>
      <c r="J2037" s="168">
        <v>5</v>
      </c>
      <c r="K2037" s="168">
        <v>1</v>
      </c>
      <c r="L2037" s="168">
        <v>1</v>
      </c>
      <c r="M2037" s="168"/>
      <c r="N2037" s="168"/>
      <c r="O2037" s="168"/>
      <c r="P2037" s="168"/>
      <c r="Q2037" s="168"/>
      <c r="R2037" s="168"/>
      <c r="S2037" s="168"/>
      <c r="T2037" s="168"/>
      <c r="U2037" s="168"/>
      <c r="V2037" s="170"/>
      <c r="W2037" s="172"/>
      <c r="X2037" s="17"/>
      <c r="Y2037" s="5">
        <f t="shared" si="196"/>
        <v>0</v>
      </c>
      <c r="Z2037" s="5">
        <f t="shared" si="197"/>
        <v>0</v>
      </c>
      <c r="AA2037" s="5">
        <f t="shared" si="198"/>
        <v>0</v>
      </c>
      <c r="AB2037" s="5">
        <f t="shared" si="199"/>
        <v>0</v>
      </c>
      <c r="AC2037" s="5"/>
      <c r="AD2037" s="5">
        <v>0</v>
      </c>
      <c r="AE2037" s="5">
        <f t="shared" si="200"/>
        <v>0</v>
      </c>
      <c r="AF2037" s="70">
        <v>0</v>
      </c>
      <c r="AG2037" s="17"/>
      <c r="AH2037" s="18"/>
      <c r="AI2037" s="47" t="s">
        <v>4336</v>
      </c>
      <c r="AJ2037" s="175" t="s">
        <v>4337</v>
      </c>
      <c r="AK2037" s="177"/>
      <c r="AL2037" s="179"/>
      <c r="AM2037" s="184" t="s">
        <v>2880</v>
      </c>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39"/>
      <c r="CE2037" s="138"/>
      <c r="CF2037" s="139"/>
      <c r="CG2037" s="138"/>
      <c r="CH2037" s="139"/>
      <c r="CI2037" s="138"/>
      <c r="CJ2037" s="72"/>
      <c r="CK2037" s="139"/>
      <c r="CL2037" s="71"/>
      <c r="CM2037" s="139"/>
      <c r="CN2037" s="138"/>
      <c r="CO2037" s="138"/>
      <c r="CP2037" s="138"/>
      <c r="CQ2037" s="139"/>
      <c r="CR2037" s="138"/>
      <c r="CS2037" s="45"/>
      <c r="CT2037" s="138"/>
      <c r="CU2037" s="45"/>
      <c r="CV2037" s="99">
        <f t="shared" si="201"/>
        <v>0</v>
      </c>
      <c r="CW2037" s="139"/>
      <c r="CX2037" s="138"/>
      <c r="CY2037" s="138"/>
      <c r="CZ2037" s="138"/>
      <c r="DA2037" s="139"/>
      <c r="DB2037" s="138"/>
      <c r="DC2037" s="45"/>
      <c r="DD2037" s="138"/>
      <c r="DE2037" s="45"/>
      <c r="DF2037" s="46"/>
    </row>
    <row r="2038" spans="1:110" s="42" customFormat="1" ht="60" x14ac:dyDescent="0.2">
      <c r="A2038" s="89">
        <v>40794</v>
      </c>
      <c r="B2038" s="151" t="s">
        <v>2204</v>
      </c>
      <c r="C2038" s="90" t="s">
        <v>3492</v>
      </c>
      <c r="D2038" s="90" t="s">
        <v>4264</v>
      </c>
      <c r="E2038" s="90" t="str">
        <f>VLOOKUP(B2038&amp;C2038,Divipola!$C$2:$F$1138,4,FALSE)</f>
        <v>70717</v>
      </c>
      <c r="F2038" s="4"/>
      <c r="G2038" s="165"/>
      <c r="H2038" s="168"/>
      <c r="I2038" s="168"/>
      <c r="J2038" s="168">
        <v>200</v>
      </c>
      <c r="K2038" s="168">
        <v>40</v>
      </c>
      <c r="L2038" s="168"/>
      <c r="M2038" s="168">
        <v>40</v>
      </c>
      <c r="N2038" s="168"/>
      <c r="O2038" s="168"/>
      <c r="P2038" s="168"/>
      <c r="Q2038" s="168"/>
      <c r="R2038" s="168"/>
      <c r="S2038" s="168"/>
      <c r="T2038" s="168"/>
      <c r="U2038" s="168"/>
      <c r="V2038" s="170"/>
      <c r="W2038" s="172"/>
      <c r="X2038" s="17"/>
      <c r="Y2038" s="5">
        <f t="shared" si="196"/>
        <v>8988000</v>
      </c>
      <c r="Z2038" s="5">
        <f t="shared" si="197"/>
        <v>3400000</v>
      </c>
      <c r="AA2038" s="5">
        <f t="shared" si="198"/>
        <v>0</v>
      </c>
      <c r="AB2038" s="5">
        <f t="shared" si="199"/>
        <v>0</v>
      </c>
      <c r="AC2038" s="5"/>
      <c r="AD2038" s="5">
        <v>0</v>
      </c>
      <c r="AE2038" s="5">
        <f t="shared" si="200"/>
        <v>12388000</v>
      </c>
      <c r="AF2038" s="70">
        <v>0</v>
      </c>
      <c r="AG2038" s="17"/>
      <c r="AH2038" s="18"/>
      <c r="AI2038" s="47" t="s">
        <v>4346</v>
      </c>
      <c r="AJ2038" s="175" t="s">
        <v>4347</v>
      </c>
      <c r="AK2038" s="177"/>
      <c r="AL2038" s="179"/>
      <c r="AM2038" s="184" t="s">
        <v>2881</v>
      </c>
      <c r="AN2038" s="19"/>
      <c r="AO2038" s="19"/>
      <c r="AP2038" s="19"/>
      <c r="AQ2038" s="19"/>
      <c r="AR2038" s="19"/>
      <c r="AS2038" s="19"/>
      <c r="AT2038" s="19"/>
      <c r="AU2038" s="19"/>
      <c r="AV2038" s="19"/>
      <c r="AW2038" s="19"/>
      <c r="AX2038" s="19"/>
      <c r="AY2038" s="19"/>
      <c r="AZ2038" s="19">
        <v>80</v>
      </c>
      <c r="BA2038" s="19">
        <f>80*56000</f>
        <v>4480000</v>
      </c>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39"/>
      <c r="CE2038" s="138"/>
      <c r="CF2038" s="139"/>
      <c r="CG2038" s="138"/>
      <c r="CH2038" s="139">
        <v>80</v>
      </c>
      <c r="CI2038" s="138">
        <f>80*18000</f>
        <v>1440000</v>
      </c>
      <c r="CJ2038" s="72"/>
      <c r="CK2038" s="139"/>
      <c r="CL2038" s="71"/>
      <c r="CM2038" s="139"/>
      <c r="CN2038" s="138"/>
      <c r="CO2038" s="138"/>
      <c r="CP2038" s="138">
        <v>40</v>
      </c>
      <c r="CQ2038" s="157">
        <f>40*37000</f>
        <v>1480000</v>
      </c>
      <c r="CR2038" s="138">
        <v>40</v>
      </c>
      <c r="CS2038" s="157">
        <f>40*39700</f>
        <v>1588000</v>
      </c>
      <c r="CT2038" s="138"/>
      <c r="CU2038" s="45"/>
      <c r="CV2038" s="99">
        <f t="shared" si="201"/>
        <v>8988000</v>
      </c>
      <c r="CW2038" s="139"/>
      <c r="CX2038" s="138"/>
      <c r="CY2038" s="138">
        <v>40</v>
      </c>
      <c r="CZ2038" s="138">
        <f>40*85000</f>
        <v>3400000</v>
      </c>
      <c r="DA2038" s="139"/>
      <c r="DB2038" s="138"/>
      <c r="DC2038" s="45"/>
      <c r="DD2038" s="138"/>
      <c r="DE2038" s="45"/>
      <c r="DF2038" s="46"/>
    </row>
    <row r="2039" spans="1:110" s="42" customFormat="1" ht="132" x14ac:dyDescent="0.2">
      <c r="A2039" s="89">
        <v>40794</v>
      </c>
      <c r="B2039" s="151" t="s">
        <v>2204</v>
      </c>
      <c r="C2039" s="90" t="s">
        <v>2204</v>
      </c>
      <c r="D2039" s="90" t="s">
        <v>4264</v>
      </c>
      <c r="E2039" s="90" t="str">
        <f>VLOOKUP(B2039&amp;C2039,Divipola!$C$2:$F$1138,4,FALSE)</f>
        <v>70771</v>
      </c>
      <c r="F2039" s="4"/>
      <c r="G2039" s="165"/>
      <c r="H2039" s="168"/>
      <c r="I2039" s="168"/>
      <c r="J2039" s="168">
        <v>2500</v>
      </c>
      <c r="K2039" s="168">
        <v>500</v>
      </c>
      <c r="L2039" s="168"/>
      <c r="M2039" s="168">
        <v>500</v>
      </c>
      <c r="N2039" s="168"/>
      <c r="O2039" s="168"/>
      <c r="P2039" s="168"/>
      <c r="Q2039" s="168"/>
      <c r="R2039" s="168"/>
      <c r="S2039" s="168"/>
      <c r="T2039" s="168">
        <v>1</v>
      </c>
      <c r="U2039" s="168">
        <v>1</v>
      </c>
      <c r="V2039" s="170"/>
      <c r="W2039" s="172"/>
      <c r="X2039" s="17"/>
      <c r="Y2039" s="5">
        <f t="shared" si="196"/>
        <v>112350000</v>
      </c>
      <c r="Z2039" s="5">
        <f t="shared" si="197"/>
        <v>42500000</v>
      </c>
      <c r="AA2039" s="5">
        <f t="shared" si="198"/>
        <v>135000000</v>
      </c>
      <c r="AB2039" s="5">
        <f t="shared" si="199"/>
        <v>0</v>
      </c>
      <c r="AC2039" s="5"/>
      <c r="AD2039" s="5">
        <v>0</v>
      </c>
      <c r="AE2039" s="5">
        <f t="shared" si="200"/>
        <v>289850000</v>
      </c>
      <c r="AF2039" s="70">
        <v>0</v>
      </c>
      <c r="AG2039" s="17"/>
      <c r="AH2039" s="18"/>
      <c r="AI2039" s="47" t="s">
        <v>4346</v>
      </c>
      <c r="AJ2039" s="73" t="s">
        <v>4347</v>
      </c>
      <c r="AK2039" s="177"/>
      <c r="AL2039" s="179"/>
      <c r="AM2039" s="184" t="s">
        <v>2885</v>
      </c>
      <c r="AN2039" s="19"/>
      <c r="AO2039" s="19"/>
      <c r="AP2039" s="19"/>
      <c r="AQ2039" s="19"/>
      <c r="AR2039" s="19"/>
      <c r="AS2039" s="19"/>
      <c r="AT2039" s="19"/>
      <c r="AU2039" s="19"/>
      <c r="AV2039" s="19"/>
      <c r="AW2039" s="19"/>
      <c r="AX2039" s="19"/>
      <c r="AY2039" s="19"/>
      <c r="AZ2039" s="19">
        <v>1000</v>
      </c>
      <c r="BA2039" s="19">
        <f>1000*56000</f>
        <v>56000000</v>
      </c>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c r="BV2039" s="19"/>
      <c r="BW2039" s="19"/>
      <c r="BX2039" s="19"/>
      <c r="BY2039" s="19"/>
      <c r="BZ2039" s="19"/>
      <c r="CA2039" s="19"/>
      <c r="CB2039" s="19"/>
      <c r="CC2039" s="19"/>
      <c r="CD2039" s="139"/>
      <c r="CE2039" s="138"/>
      <c r="CF2039" s="139"/>
      <c r="CG2039" s="138"/>
      <c r="CH2039" s="139">
        <v>1000</v>
      </c>
      <c r="CI2039" s="138">
        <f>1000*18000</f>
        <v>18000000</v>
      </c>
      <c r="CJ2039" s="72"/>
      <c r="CK2039" s="139"/>
      <c r="CL2039" s="71"/>
      <c r="CM2039" s="139"/>
      <c r="CN2039" s="138"/>
      <c r="CO2039" s="138"/>
      <c r="CP2039" s="157">
        <v>500</v>
      </c>
      <c r="CQ2039" s="157">
        <f>500*37000</f>
        <v>18500000</v>
      </c>
      <c r="CR2039" s="157">
        <v>500</v>
      </c>
      <c r="CS2039" s="157">
        <f>500*39700</f>
        <v>19850000</v>
      </c>
      <c r="CT2039" s="138"/>
      <c r="CU2039" s="45"/>
      <c r="CV2039" s="99">
        <f t="shared" si="201"/>
        <v>112350000</v>
      </c>
      <c r="CW2039" s="139"/>
      <c r="CX2039" s="138"/>
      <c r="CY2039" s="138">
        <v>500</v>
      </c>
      <c r="CZ2039" s="138">
        <f>500*85000</f>
        <v>42500000</v>
      </c>
      <c r="DA2039" s="139"/>
      <c r="DB2039" s="138"/>
      <c r="DC2039" s="45">
        <v>6000</v>
      </c>
      <c r="DD2039" s="138">
        <f>6000*22500</f>
        <v>135000000</v>
      </c>
      <c r="DE2039" s="45"/>
      <c r="DF2039" s="46"/>
    </row>
    <row r="2040" spans="1:110" s="42" customFormat="1" ht="24" x14ac:dyDescent="0.2">
      <c r="A2040" s="89">
        <v>40795</v>
      </c>
      <c r="B2040" s="16" t="s">
        <v>4261</v>
      </c>
      <c r="C2040" s="16" t="s">
        <v>2870</v>
      </c>
      <c r="D2040" s="90" t="s">
        <v>4264</v>
      </c>
      <c r="E2040" s="90" t="str">
        <f>VLOOKUP(B2040&amp;C2040,Divipola!$C$2:$F$1138,4,FALSE)</f>
        <v>15580</v>
      </c>
      <c r="F2040" s="4"/>
      <c r="G2040" s="167"/>
      <c r="H2040" s="169"/>
      <c r="I2040" s="169"/>
      <c r="J2040" s="169">
        <f>681*4</f>
        <v>2724</v>
      </c>
      <c r="K2040" s="169">
        <v>681</v>
      </c>
      <c r="L2040" s="169"/>
      <c r="M2040" s="169">
        <v>681</v>
      </c>
      <c r="N2040" s="169">
        <v>2</v>
      </c>
      <c r="O2040" s="169"/>
      <c r="P2040" s="169"/>
      <c r="Q2040" s="169"/>
      <c r="R2040" s="169">
        <v>1</v>
      </c>
      <c r="S2040" s="169"/>
      <c r="T2040" s="169"/>
      <c r="U2040" s="169"/>
      <c r="V2040" s="171"/>
      <c r="W2040" s="172"/>
      <c r="X2040" s="17"/>
      <c r="Y2040" s="5">
        <f t="shared" si="196"/>
        <v>38350000</v>
      </c>
      <c r="Z2040" s="5">
        <f t="shared" si="197"/>
        <v>42500000</v>
      </c>
      <c r="AA2040" s="5">
        <f t="shared" si="198"/>
        <v>11250000</v>
      </c>
      <c r="AB2040" s="5">
        <f t="shared" si="199"/>
        <v>0</v>
      </c>
      <c r="AC2040" s="5"/>
      <c r="AD2040" s="5">
        <v>0</v>
      </c>
      <c r="AE2040" s="5">
        <f t="shared" si="200"/>
        <v>92100000</v>
      </c>
      <c r="AF2040" s="70">
        <v>0</v>
      </c>
      <c r="AG2040" s="17"/>
      <c r="AH2040" s="18"/>
      <c r="AI2040" s="47" t="s">
        <v>4346</v>
      </c>
      <c r="AJ2040" s="73" t="s">
        <v>4347</v>
      </c>
      <c r="AK2040" s="177"/>
      <c r="AL2040" s="179"/>
      <c r="AM2040" s="183" t="s">
        <v>174</v>
      </c>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39"/>
      <c r="CE2040" s="138"/>
      <c r="CF2040" s="139"/>
      <c r="CG2040" s="138"/>
      <c r="CH2040" s="139"/>
      <c r="CI2040" s="138"/>
      <c r="CJ2040" s="72"/>
      <c r="CK2040" s="139"/>
      <c r="CL2040" s="71"/>
      <c r="CM2040" s="139"/>
      <c r="CN2040" s="138"/>
      <c r="CO2040" s="138"/>
      <c r="CP2040" s="138">
        <v>500</v>
      </c>
      <c r="CQ2040" s="139">
        <f>500*37000</f>
        <v>18500000</v>
      </c>
      <c r="CR2040" s="138">
        <v>500</v>
      </c>
      <c r="CS2040" s="45">
        <f>500*39700</f>
        <v>19850000</v>
      </c>
      <c r="CT2040" s="138"/>
      <c r="CU2040" s="45"/>
      <c r="CV2040" s="99">
        <f t="shared" si="201"/>
        <v>38350000</v>
      </c>
      <c r="CW2040" s="139"/>
      <c r="CX2040" s="138"/>
      <c r="CY2040" s="138">
        <v>500</v>
      </c>
      <c r="CZ2040" s="138">
        <f>500*85000</f>
        <v>42500000</v>
      </c>
      <c r="DA2040" s="139"/>
      <c r="DB2040" s="138"/>
      <c r="DC2040" s="45">
        <v>500</v>
      </c>
      <c r="DD2040" s="138">
        <f>500*22500</f>
        <v>11250000</v>
      </c>
      <c r="DE2040" s="45"/>
      <c r="DF2040" s="46"/>
    </row>
    <row r="2041" spans="1:110" s="42" customFormat="1" ht="48" x14ac:dyDescent="0.2">
      <c r="A2041" s="89">
        <v>40795</v>
      </c>
      <c r="B2041" s="151" t="s">
        <v>860</v>
      </c>
      <c r="C2041" s="90" t="s">
        <v>410</v>
      </c>
      <c r="D2041" s="90" t="s">
        <v>3346</v>
      </c>
      <c r="E2041" s="90" t="str">
        <f>VLOOKUP(B2041&amp;C2041,Divipola!$C$2:$F$1138,4,FALSE)</f>
        <v>50370</v>
      </c>
      <c r="F2041" s="4"/>
      <c r="G2041" s="165"/>
      <c r="H2041" s="168"/>
      <c r="I2041" s="168"/>
      <c r="J2041" s="168">
        <v>55</v>
      </c>
      <c r="K2041" s="168">
        <v>11</v>
      </c>
      <c r="L2041" s="168"/>
      <c r="M2041" s="168">
        <v>11</v>
      </c>
      <c r="N2041" s="168"/>
      <c r="O2041" s="168"/>
      <c r="P2041" s="168"/>
      <c r="Q2041" s="168"/>
      <c r="R2041" s="168"/>
      <c r="S2041" s="168">
        <v>1</v>
      </c>
      <c r="T2041" s="168">
        <v>1</v>
      </c>
      <c r="U2041" s="168">
        <v>1</v>
      </c>
      <c r="V2041" s="170"/>
      <c r="W2041" s="172"/>
      <c r="X2041" s="17"/>
      <c r="Y2041" s="5">
        <f t="shared" si="196"/>
        <v>0</v>
      </c>
      <c r="Z2041" s="5">
        <f t="shared" si="197"/>
        <v>0</v>
      </c>
      <c r="AA2041" s="5">
        <f t="shared" si="198"/>
        <v>0</v>
      </c>
      <c r="AB2041" s="5">
        <f t="shared" si="199"/>
        <v>0</v>
      </c>
      <c r="AC2041" s="5"/>
      <c r="AD2041" s="5">
        <v>0</v>
      </c>
      <c r="AE2041" s="5">
        <f t="shared" si="200"/>
        <v>0</v>
      </c>
      <c r="AF2041" s="70">
        <v>0</v>
      </c>
      <c r="AG2041" s="17"/>
      <c r="AH2041" s="18"/>
      <c r="AI2041" s="47" t="s">
        <v>4336</v>
      </c>
      <c r="AJ2041" s="73" t="s">
        <v>4337</v>
      </c>
      <c r="AK2041" s="177"/>
      <c r="AL2041" s="179"/>
      <c r="AM2041" s="184" t="s">
        <v>4463</v>
      </c>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39"/>
      <c r="CE2041" s="138"/>
      <c r="CF2041" s="139"/>
      <c r="CG2041" s="138"/>
      <c r="CH2041" s="139"/>
      <c r="CI2041" s="138"/>
      <c r="CJ2041" s="72"/>
      <c r="CK2041" s="139"/>
      <c r="CL2041" s="71"/>
      <c r="CM2041" s="139"/>
      <c r="CN2041" s="138"/>
      <c r="CO2041" s="138"/>
      <c r="CP2041" s="138"/>
      <c r="CQ2041" s="139"/>
      <c r="CR2041" s="138"/>
      <c r="CS2041" s="45"/>
      <c r="CT2041" s="138"/>
      <c r="CU2041" s="45"/>
      <c r="CV2041" s="99">
        <f t="shared" si="201"/>
        <v>0</v>
      </c>
      <c r="CW2041" s="139"/>
      <c r="CX2041" s="138"/>
      <c r="CY2041" s="138"/>
      <c r="CZ2041" s="138"/>
      <c r="DA2041" s="139"/>
      <c r="DB2041" s="138"/>
      <c r="DC2041" s="45"/>
      <c r="DD2041" s="138"/>
      <c r="DE2041" s="45"/>
      <c r="DF2041" s="46"/>
    </row>
    <row r="2042" spans="1:110" s="42" customFormat="1" ht="72" x14ac:dyDescent="0.2">
      <c r="A2042" s="89">
        <v>40796</v>
      </c>
      <c r="B2042" s="90" t="s">
        <v>4326</v>
      </c>
      <c r="C2042" s="90" t="s">
        <v>2421</v>
      </c>
      <c r="D2042" s="90" t="s">
        <v>4264</v>
      </c>
      <c r="E2042" s="90" t="str">
        <f>VLOOKUP(B2042&amp;C2042,Divipola!$C$2:$F$1138,4,FALSE)</f>
        <v>08296</v>
      </c>
      <c r="F2042" s="4"/>
      <c r="G2042" s="165"/>
      <c r="H2042" s="168"/>
      <c r="I2042" s="168"/>
      <c r="J2042" s="168">
        <v>25</v>
      </c>
      <c r="K2042" s="168">
        <v>5</v>
      </c>
      <c r="L2042" s="168"/>
      <c r="M2042" s="168">
        <v>5</v>
      </c>
      <c r="N2042" s="168"/>
      <c r="O2042" s="168"/>
      <c r="P2042" s="168"/>
      <c r="Q2042" s="168">
        <v>1</v>
      </c>
      <c r="R2042" s="168"/>
      <c r="S2042" s="168"/>
      <c r="T2042" s="168"/>
      <c r="U2042" s="168"/>
      <c r="V2042" s="170"/>
      <c r="W2042" s="172"/>
      <c r="X2042" s="17"/>
      <c r="Y2042" s="5">
        <f t="shared" si="196"/>
        <v>0</v>
      </c>
      <c r="Z2042" s="5">
        <f t="shared" si="197"/>
        <v>0</v>
      </c>
      <c r="AA2042" s="5">
        <f t="shared" si="198"/>
        <v>0</v>
      </c>
      <c r="AB2042" s="5">
        <f t="shared" si="199"/>
        <v>0</v>
      </c>
      <c r="AC2042" s="5"/>
      <c r="AD2042" s="5">
        <v>0</v>
      </c>
      <c r="AE2042" s="5">
        <f t="shared" si="200"/>
        <v>0</v>
      </c>
      <c r="AF2042" s="70">
        <v>0</v>
      </c>
      <c r="AG2042" s="17"/>
      <c r="AH2042" s="18"/>
      <c r="AI2042" s="47" t="s">
        <v>4336</v>
      </c>
      <c r="AJ2042" s="73" t="s">
        <v>4337</v>
      </c>
      <c r="AK2042" s="177"/>
      <c r="AL2042" s="179"/>
      <c r="AM2042" s="184" t="s">
        <v>180</v>
      </c>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39"/>
      <c r="CE2042" s="138"/>
      <c r="CF2042" s="139"/>
      <c r="CG2042" s="138"/>
      <c r="CH2042" s="139"/>
      <c r="CI2042" s="138"/>
      <c r="CJ2042" s="72"/>
      <c r="CK2042" s="139"/>
      <c r="CL2042" s="71"/>
      <c r="CM2042" s="139"/>
      <c r="CN2042" s="138"/>
      <c r="CO2042" s="138"/>
      <c r="CP2042" s="138"/>
      <c r="CQ2042" s="139"/>
      <c r="CR2042" s="138"/>
      <c r="CS2042" s="45"/>
      <c r="CT2042" s="138"/>
      <c r="CU2042" s="45"/>
      <c r="CV2042" s="99">
        <f t="shared" si="201"/>
        <v>0</v>
      </c>
      <c r="CW2042" s="139"/>
      <c r="CX2042" s="138"/>
      <c r="CY2042" s="138"/>
      <c r="CZ2042" s="138"/>
      <c r="DA2042" s="139"/>
      <c r="DB2042" s="138"/>
      <c r="DC2042" s="45"/>
      <c r="DD2042" s="138"/>
      <c r="DE2042" s="45"/>
      <c r="DF2042" s="46"/>
    </row>
    <row r="2043" spans="1:110" s="42" customFormat="1" ht="60" x14ac:dyDescent="0.2">
      <c r="A2043" s="89">
        <v>40796</v>
      </c>
      <c r="B2043" s="151" t="s">
        <v>4326</v>
      </c>
      <c r="C2043" s="90" t="s">
        <v>2447</v>
      </c>
      <c r="D2043" s="90" t="s">
        <v>4264</v>
      </c>
      <c r="E2043" s="90" t="str">
        <f>VLOOKUP(B2043&amp;C2043,Divipola!$C$2:$F$1138,4,FALSE)</f>
        <v>08573</v>
      </c>
      <c r="F2043" s="4"/>
      <c r="G2043" s="165"/>
      <c r="H2043" s="168"/>
      <c r="I2043" s="168"/>
      <c r="J2043" s="168">
        <v>185</v>
      </c>
      <c r="K2043" s="168">
        <v>37</v>
      </c>
      <c r="L2043" s="168"/>
      <c r="M2043" s="168">
        <v>37</v>
      </c>
      <c r="N2043" s="168"/>
      <c r="O2043" s="168"/>
      <c r="P2043" s="168"/>
      <c r="Q2043" s="168"/>
      <c r="R2043" s="168"/>
      <c r="S2043" s="168"/>
      <c r="T2043" s="168"/>
      <c r="U2043" s="168"/>
      <c r="V2043" s="170"/>
      <c r="W2043" s="172"/>
      <c r="X2043" s="17"/>
      <c r="Y2043" s="5">
        <f t="shared" si="196"/>
        <v>0</v>
      </c>
      <c r="Z2043" s="5">
        <f t="shared" si="197"/>
        <v>0</v>
      </c>
      <c r="AA2043" s="5">
        <f t="shared" si="198"/>
        <v>0</v>
      </c>
      <c r="AB2043" s="5">
        <f t="shared" si="199"/>
        <v>0</v>
      </c>
      <c r="AC2043" s="5"/>
      <c r="AD2043" s="5">
        <v>0</v>
      </c>
      <c r="AE2043" s="5">
        <f t="shared" si="200"/>
        <v>0</v>
      </c>
      <c r="AF2043" s="70">
        <v>0</v>
      </c>
      <c r="AG2043" s="17"/>
      <c r="AH2043" s="18"/>
      <c r="AI2043" s="47" t="s">
        <v>4336</v>
      </c>
      <c r="AJ2043" s="73" t="s">
        <v>4337</v>
      </c>
      <c r="AK2043" s="177"/>
      <c r="AL2043" s="179"/>
      <c r="AM2043" s="184" t="s">
        <v>177</v>
      </c>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39"/>
      <c r="CE2043" s="138"/>
      <c r="CF2043" s="139"/>
      <c r="CG2043" s="138"/>
      <c r="CH2043" s="139"/>
      <c r="CI2043" s="138"/>
      <c r="CJ2043" s="72"/>
      <c r="CK2043" s="139"/>
      <c r="CL2043" s="71"/>
      <c r="CM2043" s="139"/>
      <c r="CN2043" s="138"/>
      <c r="CO2043" s="138"/>
      <c r="CP2043" s="138"/>
      <c r="CQ2043" s="139"/>
      <c r="CR2043" s="138"/>
      <c r="CS2043" s="45"/>
      <c r="CT2043" s="138"/>
      <c r="CU2043" s="45"/>
      <c r="CV2043" s="99">
        <f t="shared" si="201"/>
        <v>0</v>
      </c>
      <c r="CW2043" s="139"/>
      <c r="CX2043" s="138"/>
      <c r="CY2043" s="138"/>
      <c r="CZ2043" s="138"/>
      <c r="DA2043" s="139"/>
      <c r="DB2043" s="138"/>
      <c r="DC2043" s="45"/>
      <c r="DD2043" s="138"/>
      <c r="DE2043" s="45"/>
      <c r="DF2043" s="46"/>
    </row>
    <row r="2044" spans="1:110" s="42" customFormat="1" ht="84" x14ac:dyDescent="0.2">
      <c r="A2044" s="89">
        <v>40796</v>
      </c>
      <c r="B2044" s="90" t="s">
        <v>4296</v>
      </c>
      <c r="C2044" s="90" t="s">
        <v>1506</v>
      </c>
      <c r="D2044" s="90" t="s">
        <v>3346</v>
      </c>
      <c r="E2044" s="90" t="str">
        <f>VLOOKUP(B2044&amp;C2044,Divipola!$C$2:$F$1138,4,FALSE)</f>
        <v>19622</v>
      </c>
      <c r="F2044" s="4"/>
      <c r="G2044" s="165"/>
      <c r="H2044" s="168"/>
      <c r="I2044" s="168"/>
      <c r="J2044" s="168">
        <v>1240</v>
      </c>
      <c r="K2044" s="168">
        <v>248</v>
      </c>
      <c r="L2044" s="168">
        <v>1</v>
      </c>
      <c r="M2044" s="168">
        <v>247</v>
      </c>
      <c r="N2044" s="168"/>
      <c r="O2044" s="168"/>
      <c r="P2044" s="168"/>
      <c r="Q2044" s="168"/>
      <c r="R2044" s="168"/>
      <c r="S2044" s="168"/>
      <c r="T2044" s="168">
        <v>2</v>
      </c>
      <c r="U2044" s="168"/>
      <c r="V2044" s="170"/>
      <c r="W2044" s="174" t="s">
        <v>176</v>
      </c>
      <c r="X2044" s="17"/>
      <c r="Y2044" s="5">
        <f t="shared" si="196"/>
        <v>103851561.27999999</v>
      </c>
      <c r="Z2044" s="5">
        <f t="shared" si="197"/>
        <v>42160000</v>
      </c>
      <c r="AA2044" s="5">
        <f t="shared" si="198"/>
        <v>20347782.720000003</v>
      </c>
      <c r="AB2044" s="5">
        <f t="shared" si="199"/>
        <v>0</v>
      </c>
      <c r="AC2044" s="5"/>
      <c r="AD2044" s="5">
        <v>0</v>
      </c>
      <c r="AE2044" s="5">
        <f t="shared" si="200"/>
        <v>166359343.99999997</v>
      </c>
      <c r="AF2044" s="70">
        <v>0</v>
      </c>
      <c r="AG2044" s="17"/>
      <c r="AH2044" s="18"/>
      <c r="AI2044" s="47" t="s">
        <v>4346</v>
      </c>
      <c r="AJ2044" s="175" t="s">
        <v>4347</v>
      </c>
      <c r="AK2044" s="177"/>
      <c r="AL2044" s="179"/>
      <c r="AM2044" s="186" t="s">
        <v>2888</v>
      </c>
      <c r="AN2044" s="19"/>
      <c r="AO2044" s="19"/>
      <c r="AP2044" s="19"/>
      <c r="AQ2044" s="19"/>
      <c r="AR2044" s="19"/>
      <c r="AS2044" s="19"/>
      <c r="AT2044" s="19"/>
      <c r="AU2044" s="19"/>
      <c r="AV2044" s="19"/>
      <c r="AW2044" s="19"/>
      <c r="AX2044" s="19"/>
      <c r="AY2044" s="19"/>
      <c r="AZ2044" s="19">
        <v>1200</v>
      </c>
      <c r="BA2044" s="19">
        <f>1200*56000.16</f>
        <v>67200192</v>
      </c>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c r="BV2044" s="19"/>
      <c r="BW2044" s="19"/>
      <c r="BX2044" s="19"/>
      <c r="BY2044" s="19"/>
      <c r="BZ2044" s="19"/>
      <c r="CA2044" s="19"/>
      <c r="CB2044" s="19"/>
      <c r="CC2044" s="19"/>
      <c r="CD2044" s="139"/>
      <c r="CE2044" s="138"/>
      <c r="CF2044" s="139"/>
      <c r="CG2044" s="138"/>
      <c r="CH2044" s="139"/>
      <c r="CI2044" s="138"/>
      <c r="CJ2044" s="157">
        <v>1200</v>
      </c>
      <c r="CK2044" s="157">
        <f>1200*17999.72</f>
        <v>21599664</v>
      </c>
      <c r="CL2044" s="71"/>
      <c r="CM2044" s="139"/>
      <c r="CN2044" s="138"/>
      <c r="CO2044" s="138"/>
      <c r="CP2044" s="138">
        <v>248</v>
      </c>
      <c r="CQ2044" s="157">
        <f>248*37000.52</f>
        <v>9176128.959999999</v>
      </c>
      <c r="CR2044" s="138">
        <v>148</v>
      </c>
      <c r="CS2044" s="157">
        <f>148*39699.84</f>
        <v>5875576.3199999994</v>
      </c>
      <c r="CT2044" s="138"/>
      <c r="CU2044" s="45"/>
      <c r="CV2044" s="99">
        <f t="shared" si="201"/>
        <v>103851561.27999999</v>
      </c>
      <c r="CW2044" s="139"/>
      <c r="CX2044" s="138"/>
      <c r="CY2044" s="138">
        <v>496</v>
      </c>
      <c r="CZ2044" s="138">
        <f>496*85000</f>
        <v>42160000</v>
      </c>
      <c r="DA2044" s="139"/>
      <c r="DB2044" s="138"/>
      <c r="DC2044" s="45">
        <f>812+65</f>
        <v>877</v>
      </c>
      <c r="DD2044" s="138">
        <f>812*21999.4+65*34220+3248*80.04</f>
        <v>20347782.720000003</v>
      </c>
      <c r="DE2044" s="45"/>
      <c r="DF2044" s="46"/>
    </row>
    <row r="2045" spans="1:110" s="42" customFormat="1" x14ac:dyDescent="0.2">
      <c r="A2045" s="89">
        <v>40796</v>
      </c>
      <c r="B2045" s="153" t="s">
        <v>4344</v>
      </c>
      <c r="C2045" s="4" t="s">
        <v>4345</v>
      </c>
      <c r="D2045" s="90" t="s">
        <v>4264</v>
      </c>
      <c r="E2045" s="90">
        <f>VLOOKUP(B2045&amp;C2045,Divipola!$C$2:$F$1138,4,FALSE)</f>
        <v>25</v>
      </c>
      <c r="F2045" s="4"/>
      <c r="G2045" s="167"/>
      <c r="H2045" s="169"/>
      <c r="I2045" s="169"/>
      <c r="J2045" s="169"/>
      <c r="K2045" s="169"/>
      <c r="L2045" s="169"/>
      <c r="M2045" s="169"/>
      <c r="N2045" s="169"/>
      <c r="O2045" s="169"/>
      <c r="P2045" s="169"/>
      <c r="Q2045" s="169"/>
      <c r="R2045" s="169"/>
      <c r="S2045" s="169"/>
      <c r="T2045" s="169"/>
      <c r="U2045" s="169"/>
      <c r="V2045" s="171"/>
      <c r="W2045" s="172"/>
      <c r="X2045" s="17"/>
      <c r="Y2045" s="5">
        <f t="shared" si="196"/>
        <v>0</v>
      </c>
      <c r="Z2045" s="5">
        <f t="shared" si="197"/>
        <v>0</v>
      </c>
      <c r="AA2045" s="5">
        <f t="shared" si="198"/>
        <v>0</v>
      </c>
      <c r="AB2045" s="5">
        <f t="shared" si="199"/>
        <v>285012000</v>
      </c>
      <c r="AC2045" s="5"/>
      <c r="AD2045" s="5">
        <v>0</v>
      </c>
      <c r="AE2045" s="5">
        <f t="shared" si="200"/>
        <v>285012000</v>
      </c>
      <c r="AF2045" s="70">
        <v>0</v>
      </c>
      <c r="AG2045" s="17"/>
      <c r="AH2045" s="18"/>
      <c r="AI2045" s="47" t="s">
        <v>4346</v>
      </c>
      <c r="AJ2045" s="73" t="s">
        <v>4347</v>
      </c>
      <c r="AK2045" s="177"/>
      <c r="AL2045" s="179"/>
      <c r="AM2045" s="183"/>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c r="BV2045" s="19"/>
      <c r="BW2045" s="19"/>
      <c r="BX2045" s="19"/>
      <c r="BY2045" s="19"/>
      <c r="BZ2045" s="19"/>
      <c r="CA2045" s="19"/>
      <c r="CB2045" s="19"/>
      <c r="CC2045" s="19"/>
      <c r="CD2045" s="139"/>
      <c r="CE2045" s="138"/>
      <c r="CF2045" s="139"/>
      <c r="CG2045" s="138"/>
      <c r="CH2045" s="139"/>
      <c r="CI2045" s="138"/>
      <c r="CJ2045" s="72"/>
      <c r="CK2045" s="139"/>
      <c r="CL2045" s="71"/>
      <c r="CM2045" s="139"/>
      <c r="CN2045" s="138"/>
      <c r="CO2045" s="138"/>
      <c r="CP2045" s="138"/>
      <c r="CQ2045" s="139"/>
      <c r="CR2045" s="138"/>
      <c r="CS2045" s="45"/>
      <c r="CT2045" s="138"/>
      <c r="CU2045" s="45"/>
      <c r="CV2045" s="99">
        <f t="shared" si="201"/>
        <v>0</v>
      </c>
      <c r="CW2045" s="139">
        <v>300000</v>
      </c>
      <c r="CX2045" s="138">
        <f>300000*950.04</f>
        <v>285012000</v>
      </c>
      <c r="CY2045" s="138"/>
      <c r="CZ2045" s="138"/>
      <c r="DA2045" s="139"/>
      <c r="DB2045" s="138"/>
      <c r="DC2045" s="45"/>
      <c r="DD2045" s="138"/>
      <c r="DE2045" s="45"/>
      <c r="DF2045" s="46"/>
    </row>
    <row r="2046" spans="1:110" s="42" customFormat="1" ht="72" x14ac:dyDescent="0.2">
      <c r="A2046" s="89">
        <v>40796</v>
      </c>
      <c r="B2046" s="90" t="s">
        <v>4350</v>
      </c>
      <c r="C2046" s="90" t="s">
        <v>4351</v>
      </c>
      <c r="D2046" s="90" t="s">
        <v>3346</v>
      </c>
      <c r="E2046" s="90" t="str">
        <f>VLOOKUP(B2046&amp;C2046,Divipola!$C$2:$F$1138,4,FALSE)</f>
        <v>63001</v>
      </c>
      <c r="F2046" s="4"/>
      <c r="G2046" s="165"/>
      <c r="H2046" s="168"/>
      <c r="I2046" s="168"/>
      <c r="J2046" s="168">
        <v>20</v>
      </c>
      <c r="K2046" s="168">
        <v>4</v>
      </c>
      <c r="L2046" s="168"/>
      <c r="M2046" s="168">
        <v>4</v>
      </c>
      <c r="N2046" s="168"/>
      <c r="O2046" s="168"/>
      <c r="P2046" s="168"/>
      <c r="Q2046" s="168"/>
      <c r="R2046" s="168"/>
      <c r="S2046" s="168"/>
      <c r="T2046" s="168"/>
      <c r="U2046" s="168"/>
      <c r="V2046" s="170"/>
      <c r="W2046" s="172"/>
      <c r="X2046" s="17"/>
      <c r="Y2046" s="5">
        <f t="shared" si="196"/>
        <v>0</v>
      </c>
      <c r="Z2046" s="5">
        <f t="shared" si="197"/>
        <v>0</v>
      </c>
      <c r="AA2046" s="5">
        <f t="shared" si="198"/>
        <v>0</v>
      </c>
      <c r="AB2046" s="5">
        <f t="shared" si="199"/>
        <v>0</v>
      </c>
      <c r="AC2046" s="5"/>
      <c r="AD2046" s="5">
        <v>0</v>
      </c>
      <c r="AE2046" s="5">
        <f t="shared" si="200"/>
        <v>0</v>
      </c>
      <c r="AF2046" s="70">
        <v>0</v>
      </c>
      <c r="AG2046" s="17"/>
      <c r="AH2046" s="18"/>
      <c r="AI2046" s="47" t="s">
        <v>4346</v>
      </c>
      <c r="AJ2046" s="73" t="s">
        <v>4347</v>
      </c>
      <c r="AK2046" s="177"/>
      <c r="AL2046" s="346" t="s">
        <v>2798</v>
      </c>
      <c r="AM2046" s="184" t="s">
        <v>2893</v>
      </c>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39"/>
      <c r="CE2046" s="138"/>
      <c r="CF2046" s="139"/>
      <c r="CG2046" s="138"/>
      <c r="CH2046" s="139"/>
      <c r="CI2046" s="138"/>
      <c r="CJ2046" s="72"/>
      <c r="CK2046" s="139"/>
      <c r="CL2046" s="71"/>
      <c r="CM2046" s="139"/>
      <c r="CN2046" s="138"/>
      <c r="CO2046" s="138"/>
      <c r="CP2046" s="138"/>
      <c r="CQ2046" s="139"/>
      <c r="CR2046" s="138"/>
      <c r="CS2046" s="45"/>
      <c r="CT2046" s="138"/>
      <c r="CU2046" s="45"/>
      <c r="CV2046" s="99">
        <f t="shared" si="201"/>
        <v>0</v>
      </c>
      <c r="CW2046" s="139"/>
      <c r="CX2046" s="138"/>
      <c r="CY2046" s="138"/>
      <c r="CZ2046" s="138"/>
      <c r="DA2046" s="139"/>
      <c r="DB2046" s="138"/>
      <c r="DC2046" s="45"/>
      <c r="DD2046" s="138"/>
      <c r="DE2046" s="45"/>
      <c r="DF2046" s="46"/>
    </row>
    <row r="2047" spans="1:110" s="42" customFormat="1" ht="48" x14ac:dyDescent="0.2">
      <c r="A2047" s="89">
        <v>40796</v>
      </c>
      <c r="B2047" s="90" t="s">
        <v>4350</v>
      </c>
      <c r="C2047" s="90" t="s">
        <v>2203</v>
      </c>
      <c r="D2047" s="90" t="s">
        <v>4264</v>
      </c>
      <c r="E2047" s="90" t="str">
        <f>VLOOKUP(B2047&amp;C2047,Divipola!$C$2:$F$1138,4,FALSE)</f>
        <v>63111</v>
      </c>
      <c r="F2047" s="4"/>
      <c r="G2047" s="165"/>
      <c r="H2047" s="168"/>
      <c r="I2047" s="168"/>
      <c r="J2047" s="168">
        <v>272</v>
      </c>
      <c r="K2047" s="168">
        <v>68</v>
      </c>
      <c r="L2047" s="168"/>
      <c r="M2047" s="168">
        <v>68</v>
      </c>
      <c r="N2047" s="168"/>
      <c r="O2047" s="168"/>
      <c r="P2047" s="168"/>
      <c r="Q2047" s="168"/>
      <c r="R2047" s="168"/>
      <c r="S2047" s="168"/>
      <c r="T2047" s="168"/>
      <c r="U2047" s="168"/>
      <c r="V2047" s="170"/>
      <c r="W2047" s="172"/>
      <c r="X2047" s="17"/>
      <c r="Y2047" s="5">
        <f t="shared" si="196"/>
        <v>0</v>
      </c>
      <c r="Z2047" s="5">
        <f t="shared" si="197"/>
        <v>0</v>
      </c>
      <c r="AA2047" s="5">
        <f t="shared" si="198"/>
        <v>0</v>
      </c>
      <c r="AB2047" s="5">
        <f t="shared" si="199"/>
        <v>0</v>
      </c>
      <c r="AC2047" s="5"/>
      <c r="AD2047" s="5">
        <v>0</v>
      </c>
      <c r="AE2047" s="5">
        <f t="shared" si="200"/>
        <v>0</v>
      </c>
      <c r="AF2047" s="70">
        <v>0</v>
      </c>
      <c r="AG2047" s="17"/>
      <c r="AH2047" s="18"/>
      <c r="AI2047" s="47" t="s">
        <v>4346</v>
      </c>
      <c r="AJ2047" s="73" t="s">
        <v>4347</v>
      </c>
      <c r="AK2047" s="177"/>
      <c r="AL2047" s="346" t="s">
        <v>2798</v>
      </c>
      <c r="AM2047" s="184" t="s">
        <v>2890</v>
      </c>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c r="BW2047" s="19"/>
      <c r="BX2047" s="19"/>
      <c r="BY2047" s="19"/>
      <c r="BZ2047" s="19"/>
      <c r="CA2047" s="19"/>
      <c r="CB2047" s="19"/>
      <c r="CC2047" s="19"/>
      <c r="CD2047" s="139"/>
      <c r="CE2047" s="138"/>
      <c r="CF2047" s="139"/>
      <c r="CG2047" s="138"/>
      <c r="CH2047" s="139"/>
      <c r="CI2047" s="138"/>
      <c r="CJ2047" s="72"/>
      <c r="CK2047" s="139"/>
      <c r="CL2047" s="71"/>
      <c r="CM2047" s="139"/>
      <c r="CN2047" s="138"/>
      <c r="CO2047" s="138"/>
      <c r="CP2047" s="138"/>
      <c r="CQ2047" s="139"/>
      <c r="CR2047" s="138"/>
      <c r="CS2047" s="45"/>
      <c r="CT2047" s="138"/>
      <c r="CU2047" s="45"/>
      <c r="CV2047" s="99">
        <f t="shared" si="201"/>
        <v>0</v>
      </c>
      <c r="CW2047" s="139"/>
      <c r="CX2047" s="138"/>
      <c r="CY2047" s="138"/>
      <c r="CZ2047" s="138"/>
      <c r="DA2047" s="139"/>
      <c r="DB2047" s="138"/>
      <c r="DC2047" s="45"/>
      <c r="DD2047" s="138"/>
      <c r="DE2047" s="45"/>
      <c r="DF2047" s="46"/>
    </row>
    <row r="2048" spans="1:110" s="42" customFormat="1" ht="60" x14ac:dyDescent="0.2">
      <c r="A2048" s="89">
        <v>40796</v>
      </c>
      <c r="B2048" s="90" t="s">
        <v>4350</v>
      </c>
      <c r="C2048" s="90" t="s">
        <v>4282</v>
      </c>
      <c r="D2048" s="90" t="s">
        <v>3346</v>
      </c>
      <c r="E2048" s="90" t="str">
        <f>VLOOKUP(B2048&amp;C2048,Divipola!$C$2:$F$1138,4,FALSE)</f>
        <v>63212</v>
      </c>
      <c r="F2048" s="4"/>
      <c r="G2048" s="165"/>
      <c r="H2048" s="168"/>
      <c r="I2048" s="168"/>
      <c r="J2048" s="168">
        <v>58</v>
      </c>
      <c r="K2048" s="168">
        <v>12</v>
      </c>
      <c r="L2048" s="168"/>
      <c r="M2048" s="168">
        <v>12</v>
      </c>
      <c r="N2048" s="168"/>
      <c r="O2048" s="168"/>
      <c r="P2048" s="168"/>
      <c r="Q2048" s="168"/>
      <c r="R2048" s="168"/>
      <c r="S2048" s="168"/>
      <c r="T2048" s="168"/>
      <c r="U2048" s="168"/>
      <c r="V2048" s="170"/>
      <c r="W2048" s="172"/>
      <c r="X2048" s="17"/>
      <c r="Y2048" s="5">
        <f t="shared" si="196"/>
        <v>0</v>
      </c>
      <c r="Z2048" s="5">
        <f t="shared" si="197"/>
        <v>0</v>
      </c>
      <c r="AA2048" s="5">
        <f t="shared" si="198"/>
        <v>0</v>
      </c>
      <c r="AB2048" s="5">
        <f t="shared" si="199"/>
        <v>0</v>
      </c>
      <c r="AC2048" s="5"/>
      <c r="AD2048" s="5">
        <v>0</v>
      </c>
      <c r="AE2048" s="5">
        <f t="shared" si="200"/>
        <v>0</v>
      </c>
      <c r="AF2048" s="70">
        <v>0</v>
      </c>
      <c r="AG2048" s="17"/>
      <c r="AH2048" s="18"/>
      <c r="AI2048" s="47" t="s">
        <v>4346</v>
      </c>
      <c r="AJ2048" s="175" t="s">
        <v>4347</v>
      </c>
      <c r="AK2048" s="177"/>
      <c r="AL2048" s="89" t="s">
        <v>2798</v>
      </c>
      <c r="AM2048" s="184" t="s">
        <v>2889</v>
      </c>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c r="BV2048" s="19"/>
      <c r="BW2048" s="19"/>
      <c r="BX2048" s="19"/>
      <c r="BY2048" s="19"/>
      <c r="BZ2048" s="19"/>
      <c r="CA2048" s="19"/>
      <c r="CB2048" s="19"/>
      <c r="CC2048" s="19"/>
      <c r="CD2048" s="139"/>
      <c r="CE2048" s="138"/>
      <c r="CF2048" s="139"/>
      <c r="CG2048" s="138"/>
      <c r="CH2048" s="139"/>
      <c r="CI2048" s="138"/>
      <c r="CJ2048" s="72"/>
      <c r="CK2048" s="139"/>
      <c r="CL2048" s="71"/>
      <c r="CM2048" s="139"/>
      <c r="CN2048" s="138"/>
      <c r="CO2048" s="138"/>
      <c r="CP2048" s="138"/>
      <c r="CQ2048" s="139"/>
      <c r="CR2048" s="138"/>
      <c r="CS2048" s="45"/>
      <c r="CT2048" s="138"/>
      <c r="CU2048" s="45"/>
      <c r="CV2048" s="99">
        <f t="shared" si="201"/>
        <v>0</v>
      </c>
      <c r="CW2048" s="139"/>
      <c r="CX2048" s="138"/>
      <c r="CY2048" s="138"/>
      <c r="CZ2048" s="138"/>
      <c r="DA2048" s="139"/>
      <c r="DB2048" s="138"/>
      <c r="DC2048" s="45"/>
      <c r="DD2048" s="138"/>
      <c r="DE2048" s="45"/>
      <c r="DF2048" s="46"/>
    </row>
    <row r="2049" spans="1:110" s="42" customFormat="1" ht="60" x14ac:dyDescent="0.2">
      <c r="A2049" s="89">
        <v>40796</v>
      </c>
      <c r="B2049" s="90" t="s">
        <v>4350</v>
      </c>
      <c r="C2049" s="90" t="s">
        <v>4339</v>
      </c>
      <c r="D2049" s="90" t="s">
        <v>3346</v>
      </c>
      <c r="E2049" s="90" t="str">
        <f>VLOOKUP(B2049&amp;C2049,Divipola!$C$2:$F$1138,4,FALSE)</f>
        <v>63401</v>
      </c>
      <c r="F2049" s="4"/>
      <c r="G2049" s="165"/>
      <c r="H2049" s="168"/>
      <c r="I2049" s="168"/>
      <c r="J2049" s="168">
        <v>40</v>
      </c>
      <c r="K2049" s="168">
        <v>10</v>
      </c>
      <c r="L2049" s="168"/>
      <c r="M2049" s="168">
        <v>10</v>
      </c>
      <c r="N2049" s="168"/>
      <c r="O2049" s="168"/>
      <c r="P2049" s="168"/>
      <c r="Q2049" s="168"/>
      <c r="R2049" s="168"/>
      <c r="S2049" s="168"/>
      <c r="T2049" s="168"/>
      <c r="U2049" s="168"/>
      <c r="V2049" s="170"/>
      <c r="W2049" s="172"/>
      <c r="X2049" s="17"/>
      <c r="Y2049" s="5">
        <f t="shared" si="196"/>
        <v>0</v>
      </c>
      <c r="Z2049" s="5">
        <f t="shared" si="197"/>
        <v>0</v>
      </c>
      <c r="AA2049" s="5">
        <f t="shared" si="198"/>
        <v>0</v>
      </c>
      <c r="AB2049" s="5">
        <f t="shared" si="199"/>
        <v>0</v>
      </c>
      <c r="AC2049" s="5"/>
      <c r="AD2049" s="5">
        <v>0</v>
      </c>
      <c r="AE2049" s="5">
        <f t="shared" si="200"/>
        <v>0</v>
      </c>
      <c r="AF2049" s="70">
        <v>0</v>
      </c>
      <c r="AG2049" s="17"/>
      <c r="AH2049" s="18"/>
      <c r="AI2049" s="47" t="s">
        <v>4346</v>
      </c>
      <c r="AJ2049" s="175" t="s">
        <v>4347</v>
      </c>
      <c r="AK2049" s="177"/>
      <c r="AL2049" s="89" t="s">
        <v>2798</v>
      </c>
      <c r="AM2049" s="184" t="s">
        <v>2892</v>
      </c>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c r="BV2049" s="19"/>
      <c r="BW2049" s="19"/>
      <c r="BX2049" s="19"/>
      <c r="BY2049" s="19"/>
      <c r="BZ2049" s="19"/>
      <c r="CA2049" s="19"/>
      <c r="CB2049" s="19"/>
      <c r="CC2049" s="19"/>
      <c r="CD2049" s="139"/>
      <c r="CE2049" s="138"/>
      <c r="CF2049" s="139"/>
      <c r="CG2049" s="138"/>
      <c r="CH2049" s="139"/>
      <c r="CI2049" s="138"/>
      <c r="CJ2049" s="72"/>
      <c r="CK2049" s="139"/>
      <c r="CL2049" s="71"/>
      <c r="CM2049" s="139"/>
      <c r="CN2049" s="138"/>
      <c r="CO2049" s="138"/>
      <c r="CP2049" s="138"/>
      <c r="CQ2049" s="139"/>
      <c r="CR2049" s="138"/>
      <c r="CS2049" s="45"/>
      <c r="CT2049" s="138"/>
      <c r="CU2049" s="45"/>
      <c r="CV2049" s="99">
        <f t="shared" si="201"/>
        <v>0</v>
      </c>
      <c r="CW2049" s="139"/>
      <c r="CX2049" s="138"/>
      <c r="CY2049" s="138"/>
      <c r="CZ2049" s="138"/>
      <c r="DA2049" s="139"/>
      <c r="DB2049" s="138"/>
      <c r="DC2049" s="45"/>
      <c r="DD2049" s="138"/>
      <c r="DE2049" s="45"/>
      <c r="DF2049" s="46"/>
    </row>
    <row r="2050" spans="1:110" s="42" customFormat="1" ht="36" x14ac:dyDescent="0.2">
      <c r="A2050" s="89">
        <v>40796</v>
      </c>
      <c r="B2050" s="151" t="s">
        <v>4350</v>
      </c>
      <c r="C2050" s="90" t="s">
        <v>3361</v>
      </c>
      <c r="D2050" s="90" t="s">
        <v>3346</v>
      </c>
      <c r="E2050" s="90" t="str">
        <f>VLOOKUP(B2050&amp;C2050,Divipola!$C$2:$F$1138,4,FALSE)</f>
        <v>63548</v>
      </c>
      <c r="F2050" s="4"/>
      <c r="G2050" s="165"/>
      <c r="H2050" s="168"/>
      <c r="I2050" s="168"/>
      <c r="J2050" s="168">
        <v>60</v>
      </c>
      <c r="K2050" s="168">
        <v>15</v>
      </c>
      <c r="L2050" s="168"/>
      <c r="M2050" s="168">
        <v>15</v>
      </c>
      <c r="N2050" s="168"/>
      <c r="O2050" s="168"/>
      <c r="P2050" s="168"/>
      <c r="Q2050" s="168"/>
      <c r="R2050" s="168"/>
      <c r="S2050" s="168"/>
      <c r="T2050" s="168"/>
      <c r="U2050" s="168"/>
      <c r="V2050" s="170"/>
      <c r="W2050" s="172"/>
      <c r="X2050" s="17"/>
      <c r="Y2050" s="5">
        <f t="shared" ref="Y2050:Y2113" si="202">CV2050</f>
        <v>0</v>
      </c>
      <c r="Z2050" s="5">
        <f t="shared" ref="Z2050:Z2113" si="203">CZ2050</f>
        <v>0</v>
      </c>
      <c r="AA2050" s="5">
        <f t="shared" ref="AA2050:AA2113" si="204">DB2050+DD2050</f>
        <v>0</v>
      </c>
      <c r="AB2050" s="5">
        <f t="shared" ref="AB2050:AB2113" si="205">CX2050</f>
        <v>0</v>
      </c>
      <c r="AC2050" s="5"/>
      <c r="AD2050" s="5">
        <v>0</v>
      </c>
      <c r="AE2050" s="5">
        <f t="shared" ref="AE2050:AE2113" si="206">Y2050+Z2050+AA2050+AB2050+AC2050+AD2050</f>
        <v>0</v>
      </c>
      <c r="AF2050" s="70">
        <v>0</v>
      </c>
      <c r="AG2050" s="17"/>
      <c r="AH2050" s="18"/>
      <c r="AI2050" s="47" t="s">
        <v>4346</v>
      </c>
      <c r="AJ2050" s="175" t="s">
        <v>4347</v>
      </c>
      <c r="AK2050" s="177"/>
      <c r="AL2050" s="89" t="s">
        <v>2798</v>
      </c>
      <c r="AM2050" s="184" t="s">
        <v>179</v>
      </c>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c r="BV2050" s="19"/>
      <c r="BW2050" s="19"/>
      <c r="BX2050" s="19"/>
      <c r="BY2050" s="19"/>
      <c r="BZ2050" s="19"/>
      <c r="CA2050" s="19"/>
      <c r="CB2050" s="19"/>
      <c r="CC2050" s="19"/>
      <c r="CD2050" s="139"/>
      <c r="CE2050" s="138"/>
      <c r="CF2050" s="139"/>
      <c r="CG2050" s="138"/>
      <c r="CH2050" s="139"/>
      <c r="CI2050" s="138"/>
      <c r="CJ2050" s="72"/>
      <c r="CK2050" s="139"/>
      <c r="CL2050" s="71"/>
      <c r="CM2050" s="139"/>
      <c r="CN2050" s="138"/>
      <c r="CO2050" s="138"/>
      <c r="CP2050" s="138"/>
      <c r="CQ2050" s="139"/>
      <c r="CR2050" s="138"/>
      <c r="CS2050" s="45"/>
      <c r="CT2050" s="138"/>
      <c r="CU2050" s="45"/>
      <c r="CV2050" s="99">
        <f t="shared" si="201"/>
        <v>0</v>
      </c>
      <c r="CW2050" s="139"/>
      <c r="CX2050" s="138"/>
      <c r="CY2050" s="138"/>
      <c r="CZ2050" s="138"/>
      <c r="DA2050" s="139"/>
      <c r="DB2050" s="138"/>
      <c r="DC2050" s="45"/>
      <c r="DD2050" s="138"/>
      <c r="DE2050" s="45"/>
      <c r="DF2050" s="46"/>
    </row>
    <row r="2051" spans="1:110" s="42" customFormat="1" ht="72" x14ac:dyDescent="0.2">
      <c r="A2051" s="89">
        <v>40796</v>
      </c>
      <c r="B2051" s="90" t="s">
        <v>3316</v>
      </c>
      <c r="C2051" s="90" t="s">
        <v>4323</v>
      </c>
      <c r="D2051" s="90" t="s">
        <v>3346</v>
      </c>
      <c r="E2051" s="90" t="str">
        <f>VLOOKUP(B2051&amp;C2051,Divipola!$C$2:$F$1138,4,FALSE)</f>
        <v>73001</v>
      </c>
      <c r="F2051" s="4"/>
      <c r="G2051" s="165"/>
      <c r="H2051" s="168"/>
      <c r="I2051" s="168"/>
      <c r="J2051" s="168">
        <v>55</v>
      </c>
      <c r="K2051" s="168">
        <v>11</v>
      </c>
      <c r="L2051" s="168"/>
      <c r="M2051" s="168">
        <v>11</v>
      </c>
      <c r="N2051" s="168"/>
      <c r="O2051" s="168"/>
      <c r="P2051" s="168"/>
      <c r="Q2051" s="168"/>
      <c r="R2051" s="168"/>
      <c r="S2051" s="168"/>
      <c r="T2051" s="168"/>
      <c r="U2051" s="168"/>
      <c r="V2051" s="170"/>
      <c r="W2051" s="172"/>
      <c r="X2051" s="17"/>
      <c r="Y2051" s="5">
        <f t="shared" si="202"/>
        <v>0</v>
      </c>
      <c r="Z2051" s="5">
        <f t="shared" si="203"/>
        <v>0</v>
      </c>
      <c r="AA2051" s="5">
        <f t="shared" si="204"/>
        <v>0</v>
      </c>
      <c r="AB2051" s="5">
        <f t="shared" si="205"/>
        <v>0</v>
      </c>
      <c r="AC2051" s="5"/>
      <c r="AD2051" s="5">
        <v>0</v>
      </c>
      <c r="AE2051" s="5">
        <f t="shared" si="206"/>
        <v>0</v>
      </c>
      <c r="AF2051" s="70">
        <v>0</v>
      </c>
      <c r="AG2051" s="17"/>
      <c r="AH2051" s="18"/>
      <c r="AI2051" s="47" t="s">
        <v>4336</v>
      </c>
      <c r="AJ2051" s="175" t="s">
        <v>4337</v>
      </c>
      <c r="AK2051" s="177"/>
      <c r="AL2051" s="17"/>
      <c r="AM2051" s="184" t="s">
        <v>2891</v>
      </c>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c r="BV2051" s="19"/>
      <c r="BW2051" s="19"/>
      <c r="BX2051" s="19"/>
      <c r="BY2051" s="19"/>
      <c r="BZ2051" s="19"/>
      <c r="CA2051" s="19"/>
      <c r="CB2051" s="19"/>
      <c r="CC2051" s="19"/>
      <c r="CD2051" s="139"/>
      <c r="CE2051" s="138"/>
      <c r="CF2051" s="139"/>
      <c r="CG2051" s="138"/>
      <c r="CH2051" s="139"/>
      <c r="CI2051" s="138"/>
      <c r="CJ2051" s="72"/>
      <c r="CK2051" s="139"/>
      <c r="CL2051" s="71"/>
      <c r="CM2051" s="139"/>
      <c r="CN2051" s="138"/>
      <c r="CO2051" s="138"/>
      <c r="CP2051" s="138"/>
      <c r="CQ2051" s="139"/>
      <c r="CR2051" s="138"/>
      <c r="CS2051" s="45"/>
      <c r="CT2051" s="138"/>
      <c r="CU2051" s="45"/>
      <c r="CV2051" s="99">
        <f t="shared" ref="CV2051:CV2114" si="207">AO2051+AQ2051+AS2051+AU2051+AW2051+AY2051+BA2051+BC2051+BE2051+BG2051+BI2051+BK2051+BM2051+BO2051+BQ2051+BS2051+BU2051+BW2051+BY2051+CA2051+CC2051+CE2051+CG2051+CI2051+CK2051+CM2051+CO2051+CQ2051+CS2051+CU2051</f>
        <v>0</v>
      </c>
      <c r="CW2051" s="139"/>
      <c r="CX2051" s="138"/>
      <c r="CY2051" s="138"/>
      <c r="CZ2051" s="138"/>
      <c r="DA2051" s="139"/>
      <c r="DB2051" s="138"/>
      <c r="DC2051" s="45"/>
      <c r="DD2051" s="138"/>
      <c r="DE2051" s="45"/>
      <c r="DF2051" s="46"/>
    </row>
    <row r="2052" spans="1:110" s="42" customFormat="1" ht="96" x14ac:dyDescent="0.2">
      <c r="A2052" s="89">
        <v>40796</v>
      </c>
      <c r="B2052" s="151" t="s">
        <v>4244</v>
      </c>
      <c r="C2052" s="90" t="s">
        <v>2768</v>
      </c>
      <c r="D2052" s="90" t="s">
        <v>3346</v>
      </c>
      <c r="E2052" s="90" t="str">
        <f>VLOOKUP(B2052&amp;C2052,Divipola!$C$2:$F$1138,4,FALSE)</f>
        <v>76001</v>
      </c>
      <c r="F2052" s="4"/>
      <c r="G2052" s="165"/>
      <c r="H2052" s="168"/>
      <c r="I2052" s="168"/>
      <c r="J2052" s="168"/>
      <c r="K2052" s="168"/>
      <c r="L2052" s="168"/>
      <c r="M2052" s="168"/>
      <c r="N2052" s="168"/>
      <c r="O2052" s="168"/>
      <c r="P2052" s="168"/>
      <c r="Q2052" s="168"/>
      <c r="R2052" s="168"/>
      <c r="S2052" s="168"/>
      <c r="T2052" s="168"/>
      <c r="U2052" s="168"/>
      <c r="V2052" s="170"/>
      <c r="W2052" s="172"/>
      <c r="X2052" s="17"/>
      <c r="Y2052" s="5">
        <f t="shared" si="202"/>
        <v>0</v>
      </c>
      <c r="Z2052" s="5">
        <f t="shared" si="203"/>
        <v>0</v>
      </c>
      <c r="AA2052" s="5">
        <f t="shared" si="204"/>
        <v>0</v>
      </c>
      <c r="AB2052" s="5">
        <f t="shared" si="205"/>
        <v>0</v>
      </c>
      <c r="AC2052" s="5"/>
      <c r="AD2052" s="5">
        <v>0</v>
      </c>
      <c r="AE2052" s="5">
        <f t="shared" si="206"/>
        <v>0</v>
      </c>
      <c r="AF2052" s="70">
        <v>0</v>
      </c>
      <c r="AG2052" s="17"/>
      <c r="AH2052" s="18"/>
      <c r="AI2052" s="47" t="s">
        <v>4336</v>
      </c>
      <c r="AJ2052" s="175" t="s">
        <v>4337</v>
      </c>
      <c r="AK2052" s="177"/>
      <c r="AL2052" s="17"/>
      <c r="AM2052" s="184" t="s">
        <v>2894</v>
      </c>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19"/>
      <c r="BW2052" s="19"/>
      <c r="BX2052" s="19"/>
      <c r="BY2052" s="19"/>
      <c r="BZ2052" s="19"/>
      <c r="CA2052" s="19"/>
      <c r="CB2052" s="19"/>
      <c r="CC2052" s="19"/>
      <c r="CD2052" s="139"/>
      <c r="CE2052" s="138"/>
      <c r="CF2052" s="139"/>
      <c r="CG2052" s="138"/>
      <c r="CH2052" s="139"/>
      <c r="CI2052" s="138"/>
      <c r="CJ2052" s="72"/>
      <c r="CK2052" s="139"/>
      <c r="CL2052" s="71"/>
      <c r="CM2052" s="139"/>
      <c r="CN2052" s="138"/>
      <c r="CO2052" s="138"/>
      <c r="CP2052" s="138"/>
      <c r="CQ2052" s="139"/>
      <c r="CR2052" s="138"/>
      <c r="CS2052" s="45"/>
      <c r="CT2052" s="138"/>
      <c r="CU2052" s="45"/>
      <c r="CV2052" s="99">
        <f t="shared" si="207"/>
        <v>0</v>
      </c>
      <c r="CW2052" s="139"/>
      <c r="CX2052" s="138"/>
      <c r="CY2052" s="138"/>
      <c r="CZ2052" s="138"/>
      <c r="DA2052" s="139"/>
      <c r="DB2052" s="138"/>
      <c r="DC2052" s="45"/>
      <c r="DD2052" s="138"/>
      <c r="DE2052" s="45"/>
      <c r="DF2052" s="46"/>
    </row>
    <row r="2053" spans="1:110" s="42" customFormat="1" ht="48" x14ac:dyDescent="0.2">
      <c r="A2053" s="89">
        <v>40796</v>
      </c>
      <c r="B2053" s="196" t="s">
        <v>4350</v>
      </c>
      <c r="C2053" s="197" t="s">
        <v>4351</v>
      </c>
      <c r="D2053" s="90" t="s">
        <v>4264</v>
      </c>
      <c r="E2053" s="90" t="str">
        <f>VLOOKUP(B2053&amp;C2053,Divipola!$C$2:$F$1138,4,FALSE)</f>
        <v>63001</v>
      </c>
      <c r="F2053" s="4"/>
      <c r="G2053" s="222"/>
      <c r="H2053" s="224"/>
      <c r="I2053" s="224"/>
      <c r="J2053" s="224"/>
      <c r="K2053" s="224"/>
      <c r="L2053" s="224"/>
      <c r="M2053" s="224"/>
      <c r="N2053" s="224">
        <v>1</v>
      </c>
      <c r="O2053" s="224"/>
      <c r="P2053" s="224"/>
      <c r="Q2053" s="224"/>
      <c r="R2053" s="224"/>
      <c r="S2053" s="224"/>
      <c r="T2053" s="224"/>
      <c r="U2053" s="224"/>
      <c r="V2053" s="225"/>
      <c r="W2053" s="172"/>
      <c r="X2053" s="17"/>
      <c r="Y2053" s="5">
        <f t="shared" si="202"/>
        <v>0</v>
      </c>
      <c r="Z2053" s="5">
        <f t="shared" si="203"/>
        <v>0</v>
      </c>
      <c r="AA2053" s="5">
        <f t="shared" si="204"/>
        <v>0</v>
      </c>
      <c r="AB2053" s="5">
        <f t="shared" si="205"/>
        <v>0</v>
      </c>
      <c r="AC2053" s="5"/>
      <c r="AD2053" s="5">
        <v>0</v>
      </c>
      <c r="AE2053" s="5">
        <f t="shared" si="206"/>
        <v>0</v>
      </c>
      <c r="AF2053" s="70">
        <v>0</v>
      </c>
      <c r="AG2053" s="17"/>
      <c r="AH2053" s="18"/>
      <c r="AI2053" s="47" t="s">
        <v>4336</v>
      </c>
      <c r="AJ2053" s="73" t="s">
        <v>4337</v>
      </c>
      <c r="AK2053" s="177"/>
      <c r="AL2053" s="179"/>
      <c r="AM2053" s="226" t="s">
        <v>5247</v>
      </c>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19"/>
      <c r="BW2053" s="19"/>
      <c r="BX2053" s="19"/>
      <c r="BY2053" s="19"/>
      <c r="BZ2053" s="19"/>
      <c r="CA2053" s="19"/>
      <c r="CB2053" s="19"/>
      <c r="CC2053" s="19"/>
      <c r="CD2053" s="139"/>
      <c r="CE2053" s="138"/>
      <c r="CF2053" s="139"/>
      <c r="CG2053" s="138"/>
      <c r="CH2053" s="139"/>
      <c r="CI2053" s="138"/>
      <c r="CJ2053" s="72"/>
      <c r="CK2053" s="139"/>
      <c r="CL2053" s="71"/>
      <c r="CM2053" s="139"/>
      <c r="CN2053" s="138"/>
      <c r="CO2053" s="138"/>
      <c r="CP2053" s="138"/>
      <c r="CQ2053" s="139"/>
      <c r="CR2053" s="138"/>
      <c r="CS2053" s="45"/>
      <c r="CT2053" s="138"/>
      <c r="CU2053" s="45"/>
      <c r="CV2053" s="99">
        <f t="shared" si="207"/>
        <v>0</v>
      </c>
      <c r="CW2053" s="139"/>
      <c r="CX2053" s="138"/>
      <c r="CY2053" s="138"/>
      <c r="CZ2053" s="138"/>
      <c r="DA2053" s="139"/>
      <c r="DB2053" s="138"/>
      <c r="DC2053" s="45"/>
      <c r="DD2053" s="138"/>
      <c r="DE2053" s="45"/>
      <c r="DF2053" s="46"/>
    </row>
    <row r="2054" spans="1:110" s="42" customFormat="1" ht="48" x14ac:dyDescent="0.2">
      <c r="A2054" s="89">
        <v>40797</v>
      </c>
      <c r="B2054" s="90" t="s">
        <v>4353</v>
      </c>
      <c r="C2054" s="90" t="s">
        <v>1976</v>
      </c>
      <c r="D2054" s="90" t="s">
        <v>4264</v>
      </c>
      <c r="E2054" s="90" t="str">
        <f>VLOOKUP(B2054&amp;C2054,Divipola!$C$2:$F$1138,4,FALSE)</f>
        <v>85410</v>
      </c>
      <c r="F2054" s="4"/>
      <c r="G2054" s="165"/>
      <c r="H2054" s="168"/>
      <c r="I2054" s="168"/>
      <c r="J2054" s="168">
        <v>160</v>
      </c>
      <c r="K2054" s="168">
        <v>35</v>
      </c>
      <c r="L2054" s="168">
        <v>1</v>
      </c>
      <c r="M2054" s="168">
        <v>34</v>
      </c>
      <c r="N2054" s="168">
        <v>1</v>
      </c>
      <c r="O2054" s="168"/>
      <c r="P2054" s="168"/>
      <c r="Q2054" s="168"/>
      <c r="R2054" s="168"/>
      <c r="S2054" s="168"/>
      <c r="T2054" s="168"/>
      <c r="U2054" s="168"/>
      <c r="V2054" s="170"/>
      <c r="W2054" s="172"/>
      <c r="X2054" s="17"/>
      <c r="Y2054" s="5">
        <f t="shared" si="202"/>
        <v>0</v>
      </c>
      <c r="Z2054" s="5">
        <f t="shared" si="203"/>
        <v>0</v>
      </c>
      <c r="AA2054" s="5">
        <f t="shared" si="204"/>
        <v>0</v>
      </c>
      <c r="AB2054" s="5">
        <f t="shared" si="205"/>
        <v>0</v>
      </c>
      <c r="AC2054" s="5"/>
      <c r="AD2054" s="5">
        <v>0</v>
      </c>
      <c r="AE2054" s="5">
        <f t="shared" si="206"/>
        <v>0</v>
      </c>
      <c r="AF2054" s="70">
        <v>0</v>
      </c>
      <c r="AG2054" s="17"/>
      <c r="AH2054" s="18"/>
      <c r="AI2054" s="47" t="s">
        <v>4336</v>
      </c>
      <c r="AJ2054" s="73" t="s">
        <v>4337</v>
      </c>
      <c r="AK2054" s="177"/>
      <c r="AL2054" s="179"/>
      <c r="AM2054" s="186" t="s">
        <v>185</v>
      </c>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39"/>
      <c r="CE2054" s="138"/>
      <c r="CF2054" s="139"/>
      <c r="CG2054" s="138"/>
      <c r="CH2054" s="139"/>
      <c r="CI2054" s="138"/>
      <c r="CJ2054" s="72"/>
      <c r="CK2054" s="139"/>
      <c r="CL2054" s="71"/>
      <c r="CM2054" s="139"/>
      <c r="CN2054" s="138"/>
      <c r="CO2054" s="138"/>
      <c r="CP2054" s="138"/>
      <c r="CQ2054" s="139"/>
      <c r="CR2054" s="138"/>
      <c r="CS2054" s="45"/>
      <c r="CT2054" s="138"/>
      <c r="CU2054" s="45"/>
      <c r="CV2054" s="99">
        <f t="shared" si="207"/>
        <v>0</v>
      </c>
      <c r="CW2054" s="139"/>
      <c r="CX2054" s="138"/>
      <c r="CY2054" s="138"/>
      <c r="CZ2054" s="138"/>
      <c r="DA2054" s="139"/>
      <c r="DB2054" s="138"/>
      <c r="DC2054" s="45"/>
      <c r="DD2054" s="138"/>
      <c r="DE2054" s="45"/>
      <c r="DF2054" s="46"/>
    </row>
    <row r="2055" spans="1:110" s="42" customFormat="1" x14ac:dyDescent="0.2">
      <c r="A2055" s="89">
        <v>40798</v>
      </c>
      <c r="B2055" s="151" t="s">
        <v>4353</v>
      </c>
      <c r="C2055" s="90" t="s">
        <v>3531</v>
      </c>
      <c r="D2055" s="90" t="s">
        <v>4264</v>
      </c>
      <c r="E2055" s="90" t="str">
        <f>VLOOKUP(B2055&amp;C2055,Divipola!$C$2:$F$1138,4,FALSE)</f>
        <v>85010</v>
      </c>
      <c r="F2055" s="4"/>
      <c r="G2055" s="165"/>
      <c r="H2055" s="168"/>
      <c r="I2055" s="168"/>
      <c r="J2055" s="168">
        <v>150</v>
      </c>
      <c r="K2055" s="168">
        <v>29</v>
      </c>
      <c r="L2055" s="168"/>
      <c r="M2055" s="168">
        <v>29</v>
      </c>
      <c r="N2055" s="168"/>
      <c r="O2055" s="168"/>
      <c r="P2055" s="168"/>
      <c r="Q2055" s="168"/>
      <c r="R2055" s="168"/>
      <c r="S2055" s="168"/>
      <c r="T2055" s="168"/>
      <c r="U2055" s="168"/>
      <c r="V2055" s="170"/>
      <c r="W2055" s="172"/>
      <c r="X2055" s="17"/>
      <c r="Y2055" s="5">
        <f t="shared" si="202"/>
        <v>0</v>
      </c>
      <c r="Z2055" s="5">
        <f t="shared" si="203"/>
        <v>0</v>
      </c>
      <c r="AA2055" s="5">
        <f t="shared" si="204"/>
        <v>0</v>
      </c>
      <c r="AB2055" s="5">
        <f t="shared" si="205"/>
        <v>0</v>
      </c>
      <c r="AC2055" s="5"/>
      <c r="AD2055" s="5">
        <v>0</v>
      </c>
      <c r="AE2055" s="5">
        <f t="shared" si="206"/>
        <v>0</v>
      </c>
      <c r="AF2055" s="70">
        <v>0</v>
      </c>
      <c r="AG2055" s="17"/>
      <c r="AH2055" s="18"/>
      <c r="AI2055" s="47" t="s">
        <v>4336</v>
      </c>
      <c r="AJ2055" s="73" t="s">
        <v>4337</v>
      </c>
      <c r="AK2055" s="177"/>
      <c r="AL2055" s="179"/>
      <c r="AM2055" s="183" t="s">
        <v>3447</v>
      </c>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c r="BV2055" s="19"/>
      <c r="BW2055" s="19"/>
      <c r="BX2055" s="19"/>
      <c r="BY2055" s="19"/>
      <c r="BZ2055" s="19"/>
      <c r="CA2055" s="19"/>
      <c r="CB2055" s="19"/>
      <c r="CC2055" s="19"/>
      <c r="CD2055" s="139"/>
      <c r="CE2055" s="138"/>
      <c r="CF2055" s="139"/>
      <c r="CG2055" s="138"/>
      <c r="CH2055" s="139"/>
      <c r="CI2055" s="138"/>
      <c r="CJ2055" s="72"/>
      <c r="CK2055" s="139"/>
      <c r="CL2055" s="71"/>
      <c r="CM2055" s="139"/>
      <c r="CN2055" s="138"/>
      <c r="CO2055" s="138"/>
      <c r="CP2055" s="138"/>
      <c r="CQ2055" s="139"/>
      <c r="CR2055" s="138"/>
      <c r="CS2055" s="45"/>
      <c r="CT2055" s="138"/>
      <c r="CU2055" s="45"/>
      <c r="CV2055" s="99">
        <f t="shared" si="207"/>
        <v>0</v>
      </c>
      <c r="CW2055" s="139"/>
      <c r="CX2055" s="138"/>
      <c r="CY2055" s="138"/>
      <c r="CZ2055" s="138"/>
      <c r="DA2055" s="139"/>
      <c r="DB2055" s="138"/>
      <c r="DC2055" s="45"/>
      <c r="DD2055" s="138"/>
      <c r="DE2055" s="45"/>
      <c r="DF2055" s="46"/>
    </row>
    <row r="2056" spans="1:110" s="42" customFormat="1" ht="144" x14ac:dyDescent="0.2">
      <c r="A2056" s="89">
        <v>40798</v>
      </c>
      <c r="B2056" s="90" t="s">
        <v>4353</v>
      </c>
      <c r="C2056" s="90" t="s">
        <v>2222</v>
      </c>
      <c r="D2056" s="90" t="s">
        <v>4264</v>
      </c>
      <c r="E2056" s="90" t="str">
        <f>VLOOKUP(B2056&amp;C2056,Divipola!$C$2:$F$1138,4,FALSE)</f>
        <v>85139</v>
      </c>
      <c r="F2056" s="4"/>
      <c r="G2056" s="165"/>
      <c r="H2056" s="168"/>
      <c r="I2056" s="168"/>
      <c r="J2056" s="168">
        <v>2480</v>
      </c>
      <c r="K2056" s="168">
        <v>517</v>
      </c>
      <c r="L2056" s="168"/>
      <c r="M2056" s="168">
        <v>517</v>
      </c>
      <c r="N2056" s="168">
        <v>4</v>
      </c>
      <c r="O2056" s="168"/>
      <c r="P2056" s="168"/>
      <c r="Q2056" s="168"/>
      <c r="R2056" s="168"/>
      <c r="S2056" s="168">
        <v>1</v>
      </c>
      <c r="T2056" s="168">
        <v>2</v>
      </c>
      <c r="U2056" s="168"/>
      <c r="V2056" s="170"/>
      <c r="W2056" s="172"/>
      <c r="X2056" s="17"/>
      <c r="Y2056" s="5">
        <f t="shared" si="202"/>
        <v>0</v>
      </c>
      <c r="Z2056" s="5">
        <f t="shared" si="203"/>
        <v>0</v>
      </c>
      <c r="AA2056" s="5">
        <f t="shared" si="204"/>
        <v>0</v>
      </c>
      <c r="AB2056" s="5">
        <f t="shared" si="205"/>
        <v>0</v>
      </c>
      <c r="AC2056" s="5"/>
      <c r="AD2056" s="5">
        <v>0</v>
      </c>
      <c r="AE2056" s="5">
        <f t="shared" si="206"/>
        <v>0</v>
      </c>
      <c r="AF2056" s="70">
        <v>0</v>
      </c>
      <c r="AG2056" s="17"/>
      <c r="AH2056" s="18"/>
      <c r="AI2056" s="47" t="s">
        <v>4336</v>
      </c>
      <c r="AJ2056" s="175" t="s">
        <v>4337</v>
      </c>
      <c r="AK2056" s="177"/>
      <c r="AL2056" s="179"/>
      <c r="AM2056" s="186" t="s">
        <v>184</v>
      </c>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c r="BW2056" s="19"/>
      <c r="BX2056" s="19"/>
      <c r="BY2056" s="19"/>
      <c r="BZ2056" s="19"/>
      <c r="CA2056" s="19"/>
      <c r="CB2056" s="19"/>
      <c r="CC2056" s="19"/>
      <c r="CD2056" s="139"/>
      <c r="CE2056" s="138"/>
      <c r="CF2056" s="139"/>
      <c r="CG2056" s="138"/>
      <c r="CH2056" s="139"/>
      <c r="CI2056" s="138"/>
      <c r="CJ2056" s="72"/>
      <c r="CK2056" s="139"/>
      <c r="CL2056" s="71"/>
      <c r="CM2056" s="139"/>
      <c r="CN2056" s="138"/>
      <c r="CO2056" s="138"/>
      <c r="CP2056" s="138"/>
      <c r="CQ2056" s="139"/>
      <c r="CR2056" s="138"/>
      <c r="CS2056" s="45"/>
      <c r="CT2056" s="138"/>
      <c r="CU2056" s="45"/>
      <c r="CV2056" s="99">
        <f t="shared" si="207"/>
        <v>0</v>
      </c>
      <c r="CW2056" s="139"/>
      <c r="CX2056" s="138"/>
      <c r="CY2056" s="138"/>
      <c r="CZ2056" s="138"/>
      <c r="DA2056" s="139"/>
      <c r="DB2056" s="138"/>
      <c r="DC2056" s="45"/>
      <c r="DD2056" s="138"/>
      <c r="DE2056" s="45"/>
      <c r="DF2056" s="46"/>
    </row>
    <row r="2057" spans="1:110" s="42" customFormat="1" ht="120" x14ac:dyDescent="0.2">
      <c r="A2057" s="89">
        <v>40798</v>
      </c>
      <c r="B2057" s="16" t="s">
        <v>4296</v>
      </c>
      <c r="C2057" s="16" t="s">
        <v>4237</v>
      </c>
      <c r="D2057" s="90" t="s">
        <v>2362</v>
      </c>
      <c r="E2057" s="90" t="str">
        <f>VLOOKUP(B2057&amp;C2057,Divipola!$C$2:$F$1138,4,FALSE)</f>
        <v>19701</v>
      </c>
      <c r="F2057" s="4"/>
      <c r="G2057" s="167"/>
      <c r="H2057" s="169"/>
      <c r="I2057" s="169"/>
      <c r="J2057" s="169"/>
      <c r="K2057" s="169"/>
      <c r="L2057" s="169"/>
      <c r="M2057" s="169"/>
      <c r="N2057" s="169">
        <v>6</v>
      </c>
      <c r="O2057" s="169"/>
      <c r="P2057" s="169"/>
      <c r="Q2057" s="169"/>
      <c r="R2057" s="169"/>
      <c r="S2057" s="169"/>
      <c r="T2057" s="169"/>
      <c r="U2057" s="169"/>
      <c r="V2057" s="171"/>
      <c r="W2057" s="172"/>
      <c r="X2057" s="17"/>
      <c r="Y2057" s="5">
        <f t="shared" si="202"/>
        <v>0</v>
      </c>
      <c r="Z2057" s="5">
        <f t="shared" si="203"/>
        <v>0</v>
      </c>
      <c r="AA2057" s="5">
        <f t="shared" si="204"/>
        <v>0</v>
      </c>
      <c r="AB2057" s="5">
        <f t="shared" si="205"/>
        <v>0</v>
      </c>
      <c r="AC2057" s="5"/>
      <c r="AD2057" s="5">
        <v>50000000</v>
      </c>
      <c r="AE2057" s="5">
        <f t="shared" si="206"/>
        <v>50000000</v>
      </c>
      <c r="AF2057" s="70">
        <v>0</v>
      </c>
      <c r="AG2057" s="17"/>
      <c r="AH2057" s="18"/>
      <c r="AI2057" s="47" t="s">
        <v>4346</v>
      </c>
      <c r="AJ2057" s="175" t="s">
        <v>4347</v>
      </c>
      <c r="AK2057" s="177"/>
      <c r="AL2057" s="179"/>
      <c r="AM2057" s="183" t="s">
        <v>4600</v>
      </c>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c r="BV2057" s="19"/>
      <c r="BW2057" s="19"/>
      <c r="BX2057" s="19"/>
      <c r="BY2057" s="19"/>
      <c r="BZ2057" s="19"/>
      <c r="CA2057" s="19"/>
      <c r="CB2057" s="19"/>
      <c r="CC2057" s="19"/>
      <c r="CD2057" s="139"/>
      <c r="CE2057" s="138"/>
      <c r="CF2057" s="139"/>
      <c r="CG2057" s="138"/>
      <c r="CH2057" s="139"/>
      <c r="CI2057" s="138"/>
      <c r="CJ2057" s="72"/>
      <c r="CK2057" s="139"/>
      <c r="CL2057" s="71"/>
      <c r="CM2057" s="139"/>
      <c r="CN2057" s="138"/>
      <c r="CO2057" s="138"/>
      <c r="CP2057" s="138"/>
      <c r="CQ2057" s="139"/>
      <c r="CR2057" s="138"/>
      <c r="CS2057" s="45"/>
      <c r="CT2057" s="138"/>
      <c r="CU2057" s="45"/>
      <c r="CV2057" s="99">
        <f t="shared" si="207"/>
        <v>0</v>
      </c>
      <c r="CW2057" s="139"/>
      <c r="CX2057" s="138"/>
      <c r="CY2057" s="138"/>
      <c r="CZ2057" s="138"/>
      <c r="DA2057" s="139"/>
      <c r="DB2057" s="138"/>
      <c r="DC2057" s="45"/>
      <c r="DD2057" s="138"/>
      <c r="DE2057" s="45"/>
      <c r="DF2057" s="46"/>
    </row>
    <row r="2058" spans="1:110" s="42" customFormat="1" ht="48" x14ac:dyDescent="0.2">
      <c r="A2058" s="89">
        <v>40798</v>
      </c>
      <c r="B2058" s="90" t="s">
        <v>874</v>
      </c>
      <c r="C2058" s="90" t="s">
        <v>3541</v>
      </c>
      <c r="D2058" s="90" t="s">
        <v>4264</v>
      </c>
      <c r="E2058" s="90" t="str">
        <f>VLOOKUP(B2058&amp;C2058,Divipola!$C$2:$F$1138,4,FALSE)</f>
        <v>44001</v>
      </c>
      <c r="F2058" s="4"/>
      <c r="G2058" s="165"/>
      <c r="H2058" s="168"/>
      <c r="I2058" s="168"/>
      <c r="J2058" s="168">
        <v>186</v>
      </c>
      <c r="K2058" s="168">
        <v>34</v>
      </c>
      <c r="L2058" s="168"/>
      <c r="M2058" s="168">
        <v>34</v>
      </c>
      <c r="N2058" s="168"/>
      <c r="O2058" s="168"/>
      <c r="P2058" s="168"/>
      <c r="Q2058" s="168"/>
      <c r="R2058" s="168"/>
      <c r="S2058" s="168"/>
      <c r="T2058" s="168"/>
      <c r="U2058" s="168"/>
      <c r="V2058" s="170"/>
      <c r="W2058" s="172"/>
      <c r="X2058" s="17"/>
      <c r="Y2058" s="5">
        <f t="shared" si="202"/>
        <v>0</v>
      </c>
      <c r="Z2058" s="5">
        <f t="shared" si="203"/>
        <v>0</v>
      </c>
      <c r="AA2058" s="5">
        <f t="shared" si="204"/>
        <v>0</v>
      </c>
      <c r="AB2058" s="5">
        <f t="shared" si="205"/>
        <v>0</v>
      </c>
      <c r="AC2058" s="5"/>
      <c r="AD2058" s="5">
        <v>0</v>
      </c>
      <c r="AE2058" s="5">
        <f t="shared" si="206"/>
        <v>0</v>
      </c>
      <c r="AF2058" s="70">
        <v>0</v>
      </c>
      <c r="AG2058" s="17"/>
      <c r="AH2058" s="18"/>
      <c r="AI2058" s="47" t="s">
        <v>4336</v>
      </c>
      <c r="AJ2058" s="175" t="s">
        <v>4337</v>
      </c>
      <c r="AK2058" s="177"/>
      <c r="AL2058" s="179"/>
      <c r="AM2058" s="184" t="s">
        <v>4453</v>
      </c>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c r="BV2058" s="19"/>
      <c r="BW2058" s="19"/>
      <c r="BX2058" s="19"/>
      <c r="BY2058" s="19"/>
      <c r="BZ2058" s="19"/>
      <c r="CA2058" s="19"/>
      <c r="CB2058" s="19"/>
      <c r="CC2058" s="19"/>
      <c r="CD2058" s="139"/>
      <c r="CE2058" s="138"/>
      <c r="CF2058" s="139"/>
      <c r="CG2058" s="138"/>
      <c r="CH2058" s="139"/>
      <c r="CI2058" s="138"/>
      <c r="CJ2058" s="72"/>
      <c r="CK2058" s="139"/>
      <c r="CL2058" s="71"/>
      <c r="CM2058" s="139"/>
      <c r="CN2058" s="138"/>
      <c r="CO2058" s="138"/>
      <c r="CP2058" s="138"/>
      <c r="CQ2058" s="139"/>
      <c r="CR2058" s="138"/>
      <c r="CS2058" s="45"/>
      <c r="CT2058" s="138"/>
      <c r="CU2058" s="45"/>
      <c r="CV2058" s="99">
        <f t="shared" si="207"/>
        <v>0</v>
      </c>
      <c r="CW2058" s="139"/>
      <c r="CX2058" s="138"/>
      <c r="CY2058" s="138"/>
      <c r="CZ2058" s="138"/>
      <c r="DA2058" s="139"/>
      <c r="DB2058" s="138"/>
      <c r="DC2058" s="45"/>
      <c r="DD2058" s="138"/>
      <c r="DE2058" s="45"/>
      <c r="DF2058" s="46"/>
    </row>
    <row r="2059" spans="1:110" s="42" customFormat="1" ht="48" x14ac:dyDescent="0.2">
      <c r="A2059" s="89">
        <v>40798</v>
      </c>
      <c r="B2059" s="16" t="s">
        <v>4244</v>
      </c>
      <c r="C2059" s="16" t="s">
        <v>3194</v>
      </c>
      <c r="D2059" s="90" t="s">
        <v>4264</v>
      </c>
      <c r="E2059" s="90" t="str">
        <f>VLOOKUP(B2059&amp;C2059,Divipola!$C$2:$F$1138,4,FALSE)</f>
        <v>76869</v>
      </c>
      <c r="F2059" s="4"/>
      <c r="G2059" s="167"/>
      <c r="H2059" s="169"/>
      <c r="I2059" s="169"/>
      <c r="J2059" s="169"/>
      <c r="K2059" s="169"/>
      <c r="L2059" s="169"/>
      <c r="M2059" s="169"/>
      <c r="N2059" s="169"/>
      <c r="O2059" s="169"/>
      <c r="P2059" s="169"/>
      <c r="Q2059" s="169"/>
      <c r="R2059" s="169"/>
      <c r="S2059" s="169"/>
      <c r="T2059" s="169"/>
      <c r="U2059" s="169"/>
      <c r="V2059" s="171"/>
      <c r="W2059" s="172"/>
      <c r="X2059" s="17"/>
      <c r="Y2059" s="5">
        <f t="shared" si="202"/>
        <v>0</v>
      </c>
      <c r="Z2059" s="5">
        <f t="shared" si="203"/>
        <v>0</v>
      </c>
      <c r="AA2059" s="5">
        <f t="shared" si="204"/>
        <v>0</v>
      </c>
      <c r="AB2059" s="5">
        <f t="shared" si="205"/>
        <v>0</v>
      </c>
      <c r="AC2059" s="5"/>
      <c r="AD2059" s="5">
        <v>15000000</v>
      </c>
      <c r="AE2059" s="5">
        <f t="shared" si="206"/>
        <v>15000000</v>
      </c>
      <c r="AF2059" s="70">
        <v>0</v>
      </c>
      <c r="AG2059" s="17"/>
      <c r="AH2059" s="18"/>
      <c r="AI2059" s="47" t="s">
        <v>4346</v>
      </c>
      <c r="AJ2059" s="175" t="s">
        <v>4347</v>
      </c>
      <c r="AK2059" s="177"/>
      <c r="AL2059" s="179"/>
      <c r="AM2059" s="183" t="s">
        <v>175</v>
      </c>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19"/>
      <c r="BX2059" s="19"/>
      <c r="BY2059" s="19"/>
      <c r="BZ2059" s="19"/>
      <c r="CA2059" s="19"/>
      <c r="CB2059" s="19"/>
      <c r="CC2059" s="19"/>
      <c r="CD2059" s="139"/>
      <c r="CE2059" s="138"/>
      <c r="CF2059" s="139"/>
      <c r="CG2059" s="138"/>
      <c r="CH2059" s="139"/>
      <c r="CI2059" s="138"/>
      <c r="CJ2059" s="72"/>
      <c r="CK2059" s="139"/>
      <c r="CL2059" s="71"/>
      <c r="CM2059" s="139"/>
      <c r="CN2059" s="138"/>
      <c r="CO2059" s="138"/>
      <c r="CP2059" s="138"/>
      <c r="CQ2059" s="139"/>
      <c r="CR2059" s="138"/>
      <c r="CS2059" s="45"/>
      <c r="CT2059" s="138"/>
      <c r="CU2059" s="45"/>
      <c r="CV2059" s="99">
        <f t="shared" si="207"/>
        <v>0</v>
      </c>
      <c r="CW2059" s="139"/>
      <c r="CX2059" s="138"/>
      <c r="CY2059" s="138"/>
      <c r="CZ2059" s="138"/>
      <c r="DA2059" s="139"/>
      <c r="DB2059" s="138"/>
      <c r="DC2059" s="45"/>
      <c r="DD2059" s="138"/>
      <c r="DE2059" s="45"/>
      <c r="DF2059" s="46"/>
    </row>
    <row r="2060" spans="1:110" s="42" customFormat="1" ht="120" x14ac:dyDescent="0.2">
      <c r="A2060" s="89">
        <v>40799</v>
      </c>
      <c r="B2060" s="153" t="s">
        <v>2218</v>
      </c>
      <c r="C2060" s="4" t="s">
        <v>4256</v>
      </c>
      <c r="D2060" s="90" t="s">
        <v>4264</v>
      </c>
      <c r="E2060" s="90" t="str">
        <f>VLOOKUP(B2060&amp;C2060,Divipola!$C$2:$F$1138,4,FALSE)</f>
        <v>05093</v>
      </c>
      <c r="F2060" s="4"/>
      <c r="G2060" s="167"/>
      <c r="H2060" s="169"/>
      <c r="I2060" s="169"/>
      <c r="J2060" s="169"/>
      <c r="K2060" s="169"/>
      <c r="L2060" s="169"/>
      <c r="M2060" s="169"/>
      <c r="N2060" s="169"/>
      <c r="O2060" s="169"/>
      <c r="P2060" s="169"/>
      <c r="Q2060" s="169"/>
      <c r="R2060" s="169"/>
      <c r="S2060" s="169"/>
      <c r="T2060" s="169"/>
      <c r="U2060" s="169"/>
      <c r="V2060" s="171"/>
      <c r="W2060" s="172"/>
      <c r="X2060" s="17"/>
      <c r="Y2060" s="5">
        <f t="shared" si="202"/>
        <v>0</v>
      </c>
      <c r="Z2060" s="5">
        <f t="shared" si="203"/>
        <v>0</v>
      </c>
      <c r="AA2060" s="5">
        <f t="shared" si="204"/>
        <v>56890743.440000005</v>
      </c>
      <c r="AB2060" s="5">
        <f t="shared" si="205"/>
        <v>0</v>
      </c>
      <c r="AC2060" s="159">
        <f>336*3600+197*29379.32+1815*1500+3315*3000+8410*2300+4*256999.16+250*3800.16+61*22200.08+260*12400.4</f>
        <v>45564171.560000002</v>
      </c>
      <c r="AD2060" s="5">
        <v>0</v>
      </c>
      <c r="AE2060" s="5">
        <f t="shared" si="206"/>
        <v>102454915</v>
      </c>
      <c r="AF2060" s="70">
        <v>0</v>
      </c>
      <c r="AG2060" s="17"/>
      <c r="AH2060" s="18"/>
      <c r="AI2060" s="47" t="s">
        <v>4346</v>
      </c>
      <c r="AJ2060" s="175" t="s">
        <v>4347</v>
      </c>
      <c r="AK2060" s="177"/>
      <c r="AL2060" s="179"/>
      <c r="AM2060" s="185" t="s">
        <v>4482</v>
      </c>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c r="BV2060" s="19"/>
      <c r="BW2060" s="19"/>
      <c r="BX2060" s="19"/>
      <c r="BY2060" s="19"/>
      <c r="BZ2060" s="19"/>
      <c r="CA2060" s="19"/>
      <c r="CB2060" s="19"/>
      <c r="CC2060" s="19"/>
      <c r="CD2060" s="139"/>
      <c r="CE2060" s="138"/>
      <c r="CF2060" s="139"/>
      <c r="CG2060" s="138"/>
      <c r="CH2060" s="139"/>
      <c r="CI2060" s="138"/>
      <c r="CJ2060" s="72"/>
      <c r="CK2060" s="139"/>
      <c r="CL2060" s="71"/>
      <c r="CM2060" s="139"/>
      <c r="CN2060" s="138"/>
      <c r="CO2060" s="138"/>
      <c r="CP2060" s="138"/>
      <c r="CQ2060" s="139"/>
      <c r="CR2060" s="138"/>
      <c r="CS2060" s="45"/>
      <c r="CT2060" s="138"/>
      <c r="CU2060" s="45"/>
      <c r="CV2060" s="99">
        <f t="shared" si="207"/>
        <v>0</v>
      </c>
      <c r="CW2060" s="139"/>
      <c r="CX2060" s="138"/>
      <c r="CY2060" s="138"/>
      <c r="CZ2060" s="138"/>
      <c r="DA2060" s="139">
        <v>584</v>
      </c>
      <c r="DB2060" s="138">
        <f>584*25373.84</f>
        <v>14818322.560000001</v>
      </c>
      <c r="DC2060" s="45">
        <f>150+1122</f>
        <v>1272</v>
      </c>
      <c r="DD2060" s="138">
        <f>150*23423.88+842*33898.68+4488*150+2244*550+242*27119.64+38*40678.88</f>
        <v>42072420.880000003</v>
      </c>
      <c r="DE2060" s="45"/>
      <c r="DF2060" s="46"/>
    </row>
    <row r="2061" spans="1:110" s="42" customFormat="1" ht="96" x14ac:dyDescent="0.2">
      <c r="A2061" s="89">
        <v>40799</v>
      </c>
      <c r="B2061" s="90" t="s">
        <v>1116</v>
      </c>
      <c r="C2061" s="90" t="s">
        <v>1116</v>
      </c>
      <c r="D2061" s="90" t="s">
        <v>4298</v>
      </c>
      <c r="E2061" s="90" t="str">
        <f>VLOOKUP(B2061&amp;C2061,Divipola!$C$2:$F$1138,4,FALSE)</f>
        <v>11001</v>
      </c>
      <c r="F2061" s="4"/>
      <c r="G2061" s="165">
        <v>2</v>
      </c>
      <c r="H2061" s="168"/>
      <c r="I2061" s="168"/>
      <c r="J2061" s="168"/>
      <c r="K2061" s="168"/>
      <c r="L2061" s="168"/>
      <c r="M2061" s="168">
        <v>1</v>
      </c>
      <c r="N2061" s="168"/>
      <c r="O2061" s="168"/>
      <c r="P2061" s="168"/>
      <c r="Q2061" s="168"/>
      <c r="R2061" s="168"/>
      <c r="S2061" s="168"/>
      <c r="T2061" s="168"/>
      <c r="U2061" s="168"/>
      <c r="V2061" s="170"/>
      <c r="W2061" s="172"/>
      <c r="X2061" s="17"/>
      <c r="Y2061" s="5">
        <f t="shared" si="202"/>
        <v>0</v>
      </c>
      <c r="Z2061" s="5">
        <f t="shared" si="203"/>
        <v>0</v>
      </c>
      <c r="AA2061" s="5">
        <f t="shared" si="204"/>
        <v>0</v>
      </c>
      <c r="AB2061" s="5">
        <f t="shared" si="205"/>
        <v>0</v>
      </c>
      <c r="AC2061" s="5"/>
      <c r="AD2061" s="5">
        <v>0</v>
      </c>
      <c r="AE2061" s="5">
        <f t="shared" si="206"/>
        <v>0</v>
      </c>
      <c r="AF2061" s="70">
        <v>0</v>
      </c>
      <c r="AG2061" s="17"/>
      <c r="AH2061" s="18"/>
      <c r="AI2061" s="47" t="s">
        <v>4336</v>
      </c>
      <c r="AJ2061" s="175" t="s">
        <v>4337</v>
      </c>
      <c r="AK2061" s="177"/>
      <c r="AL2061" s="179"/>
      <c r="AM2061" s="184" t="s">
        <v>178</v>
      </c>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19"/>
      <c r="BX2061" s="19"/>
      <c r="BY2061" s="19"/>
      <c r="BZ2061" s="19"/>
      <c r="CA2061" s="19"/>
      <c r="CB2061" s="19"/>
      <c r="CC2061" s="19"/>
      <c r="CD2061" s="139"/>
      <c r="CE2061" s="138"/>
      <c r="CF2061" s="139"/>
      <c r="CG2061" s="138"/>
      <c r="CH2061" s="139"/>
      <c r="CI2061" s="138"/>
      <c r="CJ2061" s="72"/>
      <c r="CK2061" s="139"/>
      <c r="CL2061" s="71"/>
      <c r="CM2061" s="139"/>
      <c r="CN2061" s="138"/>
      <c r="CO2061" s="138"/>
      <c r="CP2061" s="138"/>
      <c r="CQ2061" s="139"/>
      <c r="CR2061" s="138"/>
      <c r="CS2061" s="45"/>
      <c r="CT2061" s="138"/>
      <c r="CU2061" s="45"/>
      <c r="CV2061" s="99">
        <f t="shared" si="207"/>
        <v>0</v>
      </c>
      <c r="CW2061" s="139"/>
      <c r="CX2061" s="138"/>
      <c r="CY2061" s="138"/>
      <c r="CZ2061" s="138"/>
      <c r="DA2061" s="139"/>
      <c r="DB2061" s="138"/>
      <c r="DC2061" s="45"/>
      <c r="DD2061" s="138"/>
      <c r="DE2061" s="45"/>
      <c r="DF2061" s="46"/>
    </row>
    <row r="2062" spans="1:110" s="42" customFormat="1" ht="48" x14ac:dyDescent="0.2">
      <c r="A2062" s="89">
        <v>40799</v>
      </c>
      <c r="B2062" s="151" t="s">
        <v>3533</v>
      </c>
      <c r="C2062" s="90" t="s">
        <v>3394</v>
      </c>
      <c r="D2062" s="90" t="s">
        <v>3346</v>
      </c>
      <c r="E2062" s="90" t="str">
        <f>VLOOKUP(B2062&amp;C2062,Divipola!$C$2:$F$1138,4,FALSE)</f>
        <v>17662</v>
      </c>
      <c r="F2062" s="4"/>
      <c r="G2062" s="165"/>
      <c r="H2062" s="168"/>
      <c r="I2062" s="168"/>
      <c r="J2062" s="168">
        <v>300</v>
      </c>
      <c r="K2062" s="168">
        <v>60</v>
      </c>
      <c r="L2062" s="168"/>
      <c r="M2062" s="168">
        <v>60</v>
      </c>
      <c r="N2062" s="168"/>
      <c r="O2062" s="168"/>
      <c r="P2062" s="168"/>
      <c r="Q2062" s="168"/>
      <c r="R2062" s="168"/>
      <c r="S2062" s="168"/>
      <c r="T2062" s="168"/>
      <c r="U2062" s="168"/>
      <c r="V2062" s="170"/>
      <c r="W2062" s="172"/>
      <c r="X2062" s="17"/>
      <c r="Y2062" s="5">
        <f t="shared" si="202"/>
        <v>0</v>
      </c>
      <c r="Z2062" s="5">
        <f t="shared" si="203"/>
        <v>0</v>
      </c>
      <c r="AA2062" s="5">
        <f t="shared" si="204"/>
        <v>0</v>
      </c>
      <c r="AB2062" s="5">
        <f t="shared" si="205"/>
        <v>0</v>
      </c>
      <c r="AC2062" s="5"/>
      <c r="AD2062" s="5">
        <v>0</v>
      </c>
      <c r="AE2062" s="5">
        <f t="shared" si="206"/>
        <v>0</v>
      </c>
      <c r="AF2062" s="70">
        <v>0</v>
      </c>
      <c r="AG2062" s="17"/>
      <c r="AH2062" s="18"/>
      <c r="AI2062" s="47" t="s">
        <v>4336</v>
      </c>
      <c r="AJ2062" s="175" t="s">
        <v>4337</v>
      </c>
      <c r="AK2062" s="177"/>
      <c r="AL2062" s="179"/>
      <c r="AM2062" s="184" t="s">
        <v>192</v>
      </c>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39"/>
      <c r="CE2062" s="138"/>
      <c r="CF2062" s="139"/>
      <c r="CG2062" s="138"/>
      <c r="CH2062" s="139"/>
      <c r="CI2062" s="138"/>
      <c r="CJ2062" s="72"/>
      <c r="CK2062" s="139"/>
      <c r="CL2062" s="71"/>
      <c r="CM2062" s="139"/>
      <c r="CN2062" s="138"/>
      <c r="CO2062" s="138"/>
      <c r="CP2062" s="138"/>
      <c r="CQ2062" s="139"/>
      <c r="CR2062" s="138"/>
      <c r="CS2062" s="45"/>
      <c r="CT2062" s="138"/>
      <c r="CU2062" s="45"/>
      <c r="CV2062" s="99">
        <f t="shared" si="207"/>
        <v>0</v>
      </c>
      <c r="CW2062" s="139"/>
      <c r="CX2062" s="138"/>
      <c r="CY2062" s="138"/>
      <c r="CZ2062" s="138"/>
      <c r="DA2062" s="139"/>
      <c r="DB2062" s="138"/>
      <c r="DC2062" s="45"/>
      <c r="DD2062" s="138"/>
      <c r="DE2062" s="45"/>
      <c r="DF2062" s="46"/>
    </row>
    <row r="2063" spans="1:110" s="42" customFormat="1" ht="48" x14ac:dyDescent="0.2">
      <c r="A2063" s="89">
        <v>40799</v>
      </c>
      <c r="B2063" s="151" t="s">
        <v>4296</v>
      </c>
      <c r="C2063" s="90" t="s">
        <v>3553</v>
      </c>
      <c r="D2063" s="90" t="s">
        <v>3346</v>
      </c>
      <c r="E2063" s="90" t="str">
        <f>VLOOKUP(B2063&amp;C2063,Divipola!$C$2:$F$1138,4,FALSE)</f>
        <v>19075</v>
      </c>
      <c r="F2063" s="4"/>
      <c r="G2063" s="165"/>
      <c r="H2063" s="168"/>
      <c r="I2063" s="168"/>
      <c r="J2063" s="168">
        <v>38</v>
      </c>
      <c r="K2063" s="168">
        <v>77</v>
      </c>
      <c r="L2063" s="168"/>
      <c r="M2063" s="168">
        <v>77</v>
      </c>
      <c r="N2063" s="168"/>
      <c r="O2063" s="168"/>
      <c r="P2063" s="168"/>
      <c r="Q2063" s="168"/>
      <c r="R2063" s="168"/>
      <c r="S2063" s="168"/>
      <c r="T2063" s="168"/>
      <c r="U2063" s="168"/>
      <c r="V2063" s="170"/>
      <c r="W2063" s="172"/>
      <c r="X2063" s="17"/>
      <c r="Y2063" s="5">
        <f t="shared" si="202"/>
        <v>0</v>
      </c>
      <c r="Z2063" s="5">
        <f t="shared" si="203"/>
        <v>0</v>
      </c>
      <c r="AA2063" s="5">
        <f t="shared" si="204"/>
        <v>17953320</v>
      </c>
      <c r="AB2063" s="5">
        <f t="shared" si="205"/>
        <v>0</v>
      </c>
      <c r="AC2063" s="5"/>
      <c r="AD2063" s="5">
        <v>0</v>
      </c>
      <c r="AE2063" s="5">
        <f t="shared" si="206"/>
        <v>17953320</v>
      </c>
      <c r="AF2063" s="70">
        <v>0</v>
      </c>
      <c r="AG2063" s="17"/>
      <c r="AH2063" s="18"/>
      <c r="AI2063" s="47" t="s">
        <v>4346</v>
      </c>
      <c r="AJ2063" s="175" t="s">
        <v>4347</v>
      </c>
      <c r="AK2063" s="177"/>
      <c r="AL2063" s="179"/>
      <c r="AM2063" s="184" t="s">
        <v>183</v>
      </c>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19"/>
      <c r="BX2063" s="19"/>
      <c r="BY2063" s="19"/>
      <c r="BZ2063" s="19"/>
      <c r="CA2063" s="19"/>
      <c r="CB2063" s="19"/>
      <c r="CC2063" s="19"/>
      <c r="CD2063" s="139"/>
      <c r="CE2063" s="138"/>
      <c r="CF2063" s="139"/>
      <c r="CG2063" s="138"/>
      <c r="CH2063" s="139"/>
      <c r="CI2063" s="138"/>
      <c r="CJ2063" s="72"/>
      <c r="CK2063" s="139"/>
      <c r="CL2063" s="71"/>
      <c r="CM2063" s="139"/>
      <c r="CN2063" s="138"/>
      <c r="CO2063" s="138"/>
      <c r="CP2063" s="138"/>
      <c r="CQ2063" s="139"/>
      <c r="CR2063" s="138"/>
      <c r="CS2063" s="45"/>
      <c r="CT2063" s="138"/>
      <c r="CU2063" s="45"/>
      <c r="CV2063" s="99">
        <f t="shared" si="207"/>
        <v>0</v>
      </c>
      <c r="CW2063" s="139"/>
      <c r="CX2063" s="138"/>
      <c r="CY2063" s="138"/>
      <c r="CZ2063" s="138"/>
      <c r="DA2063" s="139"/>
      <c r="DB2063" s="138"/>
      <c r="DC2063" s="45">
        <v>804</v>
      </c>
      <c r="DD2063" s="138">
        <f>804*22330</f>
        <v>17953320</v>
      </c>
      <c r="DE2063" s="45"/>
      <c r="DF2063" s="46"/>
    </row>
    <row r="2064" spans="1:110" s="42" customFormat="1" ht="252" x14ac:dyDescent="0.2">
      <c r="A2064" s="89">
        <v>40799</v>
      </c>
      <c r="B2064" s="151" t="s">
        <v>2225</v>
      </c>
      <c r="C2064" s="90" t="s">
        <v>3466</v>
      </c>
      <c r="D2064" s="90" t="s">
        <v>2865</v>
      </c>
      <c r="E2064" s="90" t="str">
        <f>VLOOKUP(B2064&amp;C2064,Divipola!$C$2:$F$1138,4,FALSE)</f>
        <v>27050</v>
      </c>
      <c r="F2064" s="4"/>
      <c r="G2064" s="165">
        <v>7</v>
      </c>
      <c r="H2064" s="168">
        <v>1</v>
      </c>
      <c r="I2064" s="168"/>
      <c r="J2064" s="168"/>
      <c r="K2064" s="168"/>
      <c r="L2064" s="168"/>
      <c r="M2064" s="168"/>
      <c r="N2064" s="168"/>
      <c r="O2064" s="168"/>
      <c r="P2064" s="168"/>
      <c r="Q2064" s="168"/>
      <c r="R2064" s="168"/>
      <c r="S2064" s="168"/>
      <c r="T2064" s="168"/>
      <c r="U2064" s="168"/>
      <c r="V2064" s="170"/>
      <c r="W2064" s="172"/>
      <c r="X2064" s="17"/>
      <c r="Y2064" s="5">
        <f t="shared" si="202"/>
        <v>0</v>
      </c>
      <c r="Z2064" s="5">
        <f t="shared" si="203"/>
        <v>0</v>
      </c>
      <c r="AA2064" s="5">
        <f t="shared" si="204"/>
        <v>0</v>
      </c>
      <c r="AB2064" s="5">
        <f t="shared" si="205"/>
        <v>0</v>
      </c>
      <c r="AC2064" s="5"/>
      <c r="AD2064" s="5">
        <v>0</v>
      </c>
      <c r="AE2064" s="5">
        <f t="shared" si="206"/>
        <v>0</v>
      </c>
      <c r="AF2064" s="70">
        <v>0</v>
      </c>
      <c r="AG2064" s="17"/>
      <c r="AH2064" s="18"/>
      <c r="AI2064" s="47" t="s">
        <v>4336</v>
      </c>
      <c r="AJ2064" s="175" t="s">
        <v>4337</v>
      </c>
      <c r="AK2064" s="177"/>
      <c r="AL2064" s="179"/>
      <c r="AM2064" s="184" t="s">
        <v>181</v>
      </c>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c r="BV2064" s="19"/>
      <c r="BW2064" s="19"/>
      <c r="BX2064" s="19"/>
      <c r="BY2064" s="19"/>
      <c r="BZ2064" s="19"/>
      <c r="CA2064" s="19"/>
      <c r="CB2064" s="19"/>
      <c r="CC2064" s="19"/>
      <c r="CD2064" s="139"/>
      <c r="CE2064" s="138"/>
      <c r="CF2064" s="139"/>
      <c r="CG2064" s="138"/>
      <c r="CH2064" s="139"/>
      <c r="CI2064" s="138"/>
      <c r="CJ2064" s="72"/>
      <c r="CK2064" s="139"/>
      <c r="CL2064" s="71"/>
      <c r="CM2064" s="139"/>
      <c r="CN2064" s="138"/>
      <c r="CO2064" s="138"/>
      <c r="CP2064" s="138"/>
      <c r="CQ2064" s="139"/>
      <c r="CR2064" s="138"/>
      <c r="CS2064" s="45"/>
      <c r="CT2064" s="138"/>
      <c r="CU2064" s="45"/>
      <c r="CV2064" s="99">
        <f t="shared" si="207"/>
        <v>0</v>
      </c>
      <c r="CW2064" s="139"/>
      <c r="CX2064" s="138"/>
      <c r="CY2064" s="138"/>
      <c r="CZ2064" s="138"/>
      <c r="DA2064" s="139"/>
      <c r="DB2064" s="138"/>
      <c r="DC2064" s="45"/>
      <c r="DD2064" s="138"/>
      <c r="DE2064" s="45"/>
      <c r="DF2064" s="46"/>
    </row>
    <row r="2065" spans="1:110" s="42" customFormat="1" ht="56.25" x14ac:dyDescent="0.2">
      <c r="A2065" s="89">
        <v>40799</v>
      </c>
      <c r="B2065" s="151" t="s">
        <v>2225</v>
      </c>
      <c r="C2065" s="90" t="s">
        <v>1866</v>
      </c>
      <c r="D2065" s="90" t="s">
        <v>4264</v>
      </c>
      <c r="E2065" s="90" t="str">
        <f>VLOOKUP(B2065&amp;C2065,Divipola!$C$2:$F$1138,4,FALSE)</f>
        <v>27099</v>
      </c>
      <c r="F2065" s="4"/>
      <c r="G2065" s="167"/>
      <c r="H2065" s="169"/>
      <c r="I2065" s="169"/>
      <c r="J2065" s="169"/>
      <c r="K2065" s="169"/>
      <c r="L2065" s="169"/>
      <c r="M2065" s="169"/>
      <c r="N2065" s="169"/>
      <c r="O2065" s="169"/>
      <c r="P2065" s="169"/>
      <c r="Q2065" s="169"/>
      <c r="R2065" s="169"/>
      <c r="S2065" s="169"/>
      <c r="T2065" s="169"/>
      <c r="U2065" s="169"/>
      <c r="V2065" s="171"/>
      <c r="W2065" s="172"/>
      <c r="X2065" s="17"/>
      <c r="Y2065" s="5">
        <f t="shared" si="202"/>
        <v>0</v>
      </c>
      <c r="Z2065" s="5">
        <f t="shared" si="203"/>
        <v>0</v>
      </c>
      <c r="AA2065" s="5">
        <f t="shared" si="204"/>
        <v>161360640</v>
      </c>
      <c r="AB2065" s="5">
        <f t="shared" si="205"/>
        <v>0</v>
      </c>
      <c r="AC2065" s="159">
        <f>1200*1879.2+900*1879.2+550*1879.2+950*5011.2+335*53128</f>
        <v>27538400</v>
      </c>
      <c r="AD2065" s="5">
        <v>0</v>
      </c>
      <c r="AE2065" s="5">
        <f t="shared" si="206"/>
        <v>188899040</v>
      </c>
      <c r="AF2065" s="70">
        <v>0</v>
      </c>
      <c r="AG2065" s="17"/>
      <c r="AH2065" s="18"/>
      <c r="AI2065" s="47" t="s">
        <v>4346</v>
      </c>
      <c r="AJ2065" s="73" t="s">
        <v>4347</v>
      </c>
      <c r="AK2065" s="177"/>
      <c r="AL2065" s="179"/>
      <c r="AM2065" s="187" t="s">
        <v>4485</v>
      </c>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c r="BV2065" s="19"/>
      <c r="BW2065" s="19"/>
      <c r="BX2065" s="19"/>
      <c r="BY2065" s="19"/>
      <c r="BZ2065" s="19"/>
      <c r="CA2065" s="19"/>
      <c r="CB2065" s="19"/>
      <c r="CC2065" s="19"/>
      <c r="CD2065" s="139"/>
      <c r="CE2065" s="138"/>
      <c r="CF2065" s="139"/>
      <c r="CG2065" s="138"/>
      <c r="CH2065" s="139"/>
      <c r="CI2065" s="138"/>
      <c r="CJ2065" s="72"/>
      <c r="CK2065" s="139"/>
      <c r="CL2065" s="71"/>
      <c r="CM2065" s="139"/>
      <c r="CN2065" s="138"/>
      <c r="CO2065" s="138"/>
      <c r="CP2065" s="138"/>
      <c r="CQ2065" s="139"/>
      <c r="CR2065" s="138"/>
      <c r="CS2065" s="45"/>
      <c r="CT2065" s="138"/>
      <c r="CU2065" s="45"/>
      <c r="CV2065" s="99">
        <f t="shared" si="207"/>
        <v>0</v>
      </c>
      <c r="CW2065" s="139"/>
      <c r="CX2065" s="138"/>
      <c r="CY2065" s="138"/>
      <c r="CZ2065" s="138"/>
      <c r="DA2065" s="139"/>
      <c r="DB2065" s="138"/>
      <c r="DC2065" s="45">
        <v>7200</v>
      </c>
      <c r="DD2065" s="138">
        <f>7200*22411.2</f>
        <v>161360640</v>
      </c>
      <c r="DE2065" s="45"/>
      <c r="DF2065" s="46"/>
    </row>
    <row r="2066" spans="1:110" s="42" customFormat="1" ht="60" x14ac:dyDescent="0.2">
      <c r="A2066" s="89">
        <v>40799</v>
      </c>
      <c r="B2066" s="16" t="s">
        <v>2225</v>
      </c>
      <c r="C2066" s="16" t="s">
        <v>1884</v>
      </c>
      <c r="D2066" s="90" t="s">
        <v>4264</v>
      </c>
      <c r="E2066" s="90" t="str">
        <f>VLOOKUP(B2066&amp;C2066,Divipola!$C$2:$F$1138,4,FALSE)</f>
        <v>27430</v>
      </c>
      <c r="F2066" s="4"/>
      <c r="G2066" s="167"/>
      <c r="H2066" s="169"/>
      <c r="I2066" s="169"/>
      <c r="J2066" s="169"/>
      <c r="K2066" s="169"/>
      <c r="L2066" s="169"/>
      <c r="M2066" s="169"/>
      <c r="N2066" s="169"/>
      <c r="O2066" s="169"/>
      <c r="P2066" s="169"/>
      <c r="Q2066" s="169"/>
      <c r="R2066" s="169"/>
      <c r="S2066" s="169"/>
      <c r="T2066" s="169"/>
      <c r="U2066" s="169"/>
      <c r="V2066" s="171"/>
      <c r="W2066" s="172"/>
      <c r="X2066" s="17"/>
      <c r="Y2066" s="5">
        <f t="shared" si="202"/>
        <v>0</v>
      </c>
      <c r="Z2066" s="5">
        <f t="shared" si="203"/>
        <v>0</v>
      </c>
      <c r="AA2066" s="5">
        <f t="shared" si="204"/>
        <v>8964480</v>
      </c>
      <c r="AB2066" s="5">
        <f t="shared" si="205"/>
        <v>0</v>
      </c>
      <c r="AC2066" s="5"/>
      <c r="AD2066" s="5">
        <v>50000000</v>
      </c>
      <c r="AE2066" s="5">
        <f t="shared" si="206"/>
        <v>58964480</v>
      </c>
      <c r="AF2066" s="70">
        <v>0</v>
      </c>
      <c r="AG2066" s="17"/>
      <c r="AH2066" s="18"/>
      <c r="AI2066" s="47" t="s">
        <v>4346</v>
      </c>
      <c r="AJ2066" s="73" t="s">
        <v>4347</v>
      </c>
      <c r="AK2066" s="177"/>
      <c r="AL2066" s="179"/>
      <c r="AM2066" s="183" t="s">
        <v>4466</v>
      </c>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c r="BV2066" s="19"/>
      <c r="BW2066" s="19"/>
      <c r="BX2066" s="19"/>
      <c r="BY2066" s="19"/>
      <c r="BZ2066" s="19"/>
      <c r="CA2066" s="19"/>
      <c r="CB2066" s="19"/>
      <c r="CC2066" s="19"/>
      <c r="CD2066" s="139"/>
      <c r="CE2066" s="138"/>
      <c r="CF2066" s="139"/>
      <c r="CG2066" s="138"/>
      <c r="CH2066" s="139"/>
      <c r="CI2066" s="138"/>
      <c r="CJ2066" s="72"/>
      <c r="CK2066" s="139"/>
      <c r="CL2066" s="71"/>
      <c r="CM2066" s="139"/>
      <c r="CN2066" s="138"/>
      <c r="CO2066" s="138"/>
      <c r="CP2066" s="138"/>
      <c r="CQ2066" s="139"/>
      <c r="CR2066" s="138"/>
      <c r="CS2066" s="45"/>
      <c r="CT2066" s="138"/>
      <c r="CU2066" s="45"/>
      <c r="CV2066" s="99">
        <f t="shared" si="207"/>
        <v>0</v>
      </c>
      <c r="CW2066" s="139"/>
      <c r="CX2066" s="138"/>
      <c r="CY2066" s="138"/>
      <c r="CZ2066" s="138"/>
      <c r="DA2066" s="139"/>
      <c r="DB2066" s="138"/>
      <c r="DC2066" s="45">
        <v>400</v>
      </c>
      <c r="DD2066" s="138">
        <f>400*22411.2</f>
        <v>8964480</v>
      </c>
      <c r="DE2066" s="45"/>
      <c r="DF2066" s="46"/>
    </row>
    <row r="2067" spans="1:110" s="42" customFormat="1" ht="108" x14ac:dyDescent="0.2">
      <c r="A2067" s="89">
        <v>40799</v>
      </c>
      <c r="B2067" s="16" t="s">
        <v>2225</v>
      </c>
      <c r="C2067" s="16" t="s">
        <v>1893</v>
      </c>
      <c r="D2067" s="90" t="s">
        <v>4264</v>
      </c>
      <c r="E2067" s="90" t="str">
        <f>VLOOKUP(B2067&amp;C2067,Divipola!$C$2:$F$1138,4,FALSE)</f>
        <v>27600</v>
      </c>
      <c r="F2067" s="4"/>
      <c r="G2067" s="167"/>
      <c r="H2067" s="169"/>
      <c r="I2067" s="169"/>
      <c r="J2067" s="169"/>
      <c r="K2067" s="169"/>
      <c r="L2067" s="169"/>
      <c r="M2067" s="169"/>
      <c r="N2067" s="169"/>
      <c r="O2067" s="169"/>
      <c r="P2067" s="169"/>
      <c r="Q2067" s="169"/>
      <c r="R2067" s="169"/>
      <c r="S2067" s="169"/>
      <c r="T2067" s="169"/>
      <c r="U2067" s="169"/>
      <c r="V2067" s="171"/>
      <c r="W2067" s="172"/>
      <c r="X2067" s="17"/>
      <c r="Y2067" s="5">
        <f t="shared" si="202"/>
        <v>0</v>
      </c>
      <c r="Z2067" s="5">
        <f t="shared" si="203"/>
        <v>0</v>
      </c>
      <c r="AA2067" s="5">
        <f t="shared" si="204"/>
        <v>0</v>
      </c>
      <c r="AB2067" s="5">
        <f t="shared" si="205"/>
        <v>0</v>
      </c>
      <c r="AC2067" s="5"/>
      <c r="AD2067" s="5">
        <v>50000000</v>
      </c>
      <c r="AE2067" s="5">
        <f t="shared" si="206"/>
        <v>50000000</v>
      </c>
      <c r="AF2067" s="70">
        <v>0</v>
      </c>
      <c r="AG2067" s="17"/>
      <c r="AH2067" s="18"/>
      <c r="AI2067" s="47" t="s">
        <v>4346</v>
      </c>
      <c r="AJ2067" s="175" t="s">
        <v>4347</v>
      </c>
      <c r="AK2067" s="177"/>
      <c r="AL2067" s="179"/>
      <c r="AM2067" s="183" t="s">
        <v>4567</v>
      </c>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c r="BV2067" s="19"/>
      <c r="BW2067" s="19"/>
      <c r="BX2067" s="19"/>
      <c r="BY2067" s="19"/>
      <c r="BZ2067" s="19"/>
      <c r="CA2067" s="19"/>
      <c r="CB2067" s="19"/>
      <c r="CC2067" s="19"/>
      <c r="CD2067" s="139"/>
      <c r="CE2067" s="138"/>
      <c r="CF2067" s="139"/>
      <c r="CG2067" s="138"/>
      <c r="CH2067" s="139"/>
      <c r="CI2067" s="138"/>
      <c r="CJ2067" s="72"/>
      <c r="CK2067" s="139"/>
      <c r="CL2067" s="71"/>
      <c r="CM2067" s="139"/>
      <c r="CN2067" s="138"/>
      <c r="CO2067" s="138"/>
      <c r="CP2067" s="138"/>
      <c r="CQ2067" s="139"/>
      <c r="CR2067" s="138"/>
      <c r="CS2067" s="45"/>
      <c r="CT2067" s="138"/>
      <c r="CU2067" s="45"/>
      <c r="CV2067" s="99">
        <f t="shared" si="207"/>
        <v>0</v>
      </c>
      <c r="CW2067" s="139"/>
      <c r="CX2067" s="138"/>
      <c r="CY2067" s="138"/>
      <c r="CZ2067" s="138"/>
      <c r="DA2067" s="139"/>
      <c r="DB2067" s="138"/>
      <c r="DC2067" s="45"/>
      <c r="DD2067" s="138"/>
      <c r="DE2067" s="45"/>
      <c r="DF2067" s="46"/>
    </row>
    <row r="2068" spans="1:110" s="42" customFormat="1" ht="60" x14ac:dyDescent="0.2">
      <c r="A2068" s="89">
        <v>40799</v>
      </c>
      <c r="B2068" s="151" t="s">
        <v>4263</v>
      </c>
      <c r="C2068" s="90" t="s">
        <v>3557</v>
      </c>
      <c r="D2068" s="90" t="s">
        <v>4264</v>
      </c>
      <c r="E2068" s="90" t="str">
        <f>VLOOKUP(B2068&amp;C2068,Divipola!$C$2:$F$1138,4,FALSE)</f>
        <v>86760</v>
      </c>
      <c r="F2068" s="4"/>
      <c r="G2068" s="165"/>
      <c r="H2068" s="168"/>
      <c r="I2068" s="168">
        <v>1</v>
      </c>
      <c r="J2068" s="168"/>
      <c r="K2068" s="168"/>
      <c r="L2068" s="168"/>
      <c r="M2068" s="168"/>
      <c r="N2068" s="168"/>
      <c r="O2068" s="168"/>
      <c r="P2068" s="168"/>
      <c r="Q2068" s="168"/>
      <c r="R2068" s="168"/>
      <c r="S2068" s="168"/>
      <c r="T2068" s="168"/>
      <c r="U2068" s="168"/>
      <c r="V2068" s="170"/>
      <c r="W2068" s="172"/>
      <c r="X2068" s="17"/>
      <c r="Y2068" s="5">
        <f t="shared" si="202"/>
        <v>0</v>
      </c>
      <c r="Z2068" s="5">
        <f t="shared" si="203"/>
        <v>0</v>
      </c>
      <c r="AA2068" s="5">
        <f t="shared" si="204"/>
        <v>0</v>
      </c>
      <c r="AB2068" s="5">
        <f t="shared" si="205"/>
        <v>0</v>
      </c>
      <c r="AC2068" s="5"/>
      <c r="AD2068" s="5">
        <v>0</v>
      </c>
      <c r="AE2068" s="5">
        <f t="shared" si="206"/>
        <v>0</v>
      </c>
      <c r="AF2068" s="70">
        <v>0</v>
      </c>
      <c r="AG2068" s="17"/>
      <c r="AH2068" s="18"/>
      <c r="AI2068" s="47" t="s">
        <v>4336</v>
      </c>
      <c r="AJ2068" s="175" t="s">
        <v>4337</v>
      </c>
      <c r="AK2068" s="177"/>
      <c r="AL2068" s="179"/>
      <c r="AM2068" s="184" t="s">
        <v>191</v>
      </c>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19"/>
      <c r="BX2068" s="19"/>
      <c r="BY2068" s="19"/>
      <c r="BZ2068" s="19"/>
      <c r="CA2068" s="19"/>
      <c r="CB2068" s="19"/>
      <c r="CC2068" s="19"/>
      <c r="CD2068" s="139"/>
      <c r="CE2068" s="138"/>
      <c r="CF2068" s="139"/>
      <c r="CG2068" s="138"/>
      <c r="CH2068" s="139"/>
      <c r="CI2068" s="138"/>
      <c r="CJ2068" s="72"/>
      <c r="CK2068" s="139"/>
      <c r="CL2068" s="71"/>
      <c r="CM2068" s="139"/>
      <c r="CN2068" s="138"/>
      <c r="CO2068" s="138"/>
      <c r="CP2068" s="138"/>
      <c r="CQ2068" s="139"/>
      <c r="CR2068" s="138"/>
      <c r="CS2068" s="45"/>
      <c r="CT2068" s="138"/>
      <c r="CU2068" s="45"/>
      <c r="CV2068" s="99">
        <f t="shared" si="207"/>
        <v>0</v>
      </c>
      <c r="CW2068" s="139"/>
      <c r="CX2068" s="138"/>
      <c r="CY2068" s="138"/>
      <c r="CZ2068" s="138"/>
      <c r="DA2068" s="139"/>
      <c r="DB2068" s="138"/>
      <c r="DC2068" s="45"/>
      <c r="DD2068" s="138"/>
      <c r="DE2068" s="45"/>
      <c r="DF2068" s="46"/>
    </row>
    <row r="2069" spans="1:110" s="42" customFormat="1" ht="24" x14ac:dyDescent="0.2">
      <c r="A2069" s="89">
        <v>40799</v>
      </c>
      <c r="B2069" s="153" t="s">
        <v>4350</v>
      </c>
      <c r="C2069" s="4" t="s">
        <v>4345</v>
      </c>
      <c r="D2069" s="16" t="s">
        <v>3346</v>
      </c>
      <c r="E2069" s="90">
        <f>VLOOKUP(B2069&amp;C2069,Divipola!$C$2:$F$1138,4,FALSE)</f>
        <v>63</v>
      </c>
      <c r="F2069" s="4"/>
      <c r="G2069" s="167"/>
      <c r="H2069" s="169"/>
      <c r="I2069" s="169"/>
      <c r="J2069" s="169"/>
      <c r="K2069" s="169"/>
      <c r="L2069" s="169"/>
      <c r="M2069" s="169"/>
      <c r="N2069" s="169"/>
      <c r="O2069" s="169"/>
      <c r="P2069" s="169"/>
      <c r="Q2069" s="169"/>
      <c r="R2069" s="169"/>
      <c r="S2069" s="169"/>
      <c r="T2069" s="169"/>
      <c r="U2069" s="169"/>
      <c r="V2069" s="171"/>
      <c r="W2069" s="172"/>
      <c r="X2069" s="17"/>
      <c r="Y2069" s="5">
        <f t="shared" si="202"/>
        <v>17920000</v>
      </c>
      <c r="Z2069" s="5">
        <f t="shared" si="203"/>
        <v>8500000</v>
      </c>
      <c r="AA2069" s="5">
        <f t="shared" si="204"/>
        <v>14634600</v>
      </c>
      <c r="AB2069" s="5">
        <f t="shared" si="205"/>
        <v>0</v>
      </c>
      <c r="AC2069" s="5"/>
      <c r="AD2069" s="5">
        <v>0</v>
      </c>
      <c r="AE2069" s="5">
        <f t="shared" si="206"/>
        <v>41054600</v>
      </c>
      <c r="AF2069" s="70">
        <v>0</v>
      </c>
      <c r="AG2069" s="17"/>
      <c r="AH2069" s="18"/>
      <c r="AI2069" s="47" t="s">
        <v>4346</v>
      </c>
      <c r="AJ2069" s="73" t="s">
        <v>4347</v>
      </c>
      <c r="AK2069" s="177"/>
      <c r="AL2069" s="179" t="s">
        <v>50</v>
      </c>
      <c r="AM2069" s="183" t="s">
        <v>51</v>
      </c>
      <c r="AN2069" s="19"/>
      <c r="AO2069" s="19"/>
      <c r="AP2069" s="19"/>
      <c r="AQ2069" s="19"/>
      <c r="AR2069" s="19"/>
      <c r="AS2069" s="19"/>
      <c r="AT2069" s="19"/>
      <c r="AU2069" s="19"/>
      <c r="AV2069" s="19"/>
      <c r="AW2069" s="19"/>
      <c r="AX2069" s="19"/>
      <c r="AY2069" s="19"/>
      <c r="AZ2069" s="19">
        <v>100</v>
      </c>
      <c r="BA2069" s="19">
        <f>100*56000</f>
        <v>5600000</v>
      </c>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c r="BW2069" s="19"/>
      <c r="BX2069" s="19"/>
      <c r="BY2069" s="19"/>
      <c r="BZ2069" s="19">
        <v>5</v>
      </c>
      <c r="CA2069" s="19">
        <f>5*500000</f>
        <v>2500000</v>
      </c>
      <c r="CB2069" s="19"/>
      <c r="CC2069" s="19"/>
      <c r="CD2069" s="139"/>
      <c r="CE2069" s="138"/>
      <c r="CF2069" s="139"/>
      <c r="CG2069" s="138"/>
      <c r="CH2069" s="139"/>
      <c r="CI2069" s="138"/>
      <c r="CJ2069" s="157">
        <v>100</v>
      </c>
      <c r="CK2069" s="139">
        <f>100*21500</f>
        <v>2150000</v>
      </c>
      <c r="CL2069" s="71"/>
      <c r="CM2069" s="139"/>
      <c r="CN2069" s="138"/>
      <c r="CO2069" s="138"/>
      <c r="CP2069" s="138">
        <v>100</v>
      </c>
      <c r="CQ2069" s="139">
        <f>100*37000</f>
        <v>3700000</v>
      </c>
      <c r="CR2069" s="138">
        <v>100</v>
      </c>
      <c r="CS2069" s="45">
        <f>100*39700</f>
        <v>3970000</v>
      </c>
      <c r="CT2069" s="138"/>
      <c r="CU2069" s="45"/>
      <c r="CV2069" s="99">
        <f t="shared" si="207"/>
        <v>17920000</v>
      </c>
      <c r="CW2069" s="139"/>
      <c r="CX2069" s="138"/>
      <c r="CY2069" s="138">
        <v>100</v>
      </c>
      <c r="CZ2069" s="138">
        <f>100*85000</f>
        <v>8500000</v>
      </c>
      <c r="DA2069" s="139">
        <v>20</v>
      </c>
      <c r="DB2069" s="138">
        <f>20*22800</f>
        <v>456000</v>
      </c>
      <c r="DC2069" s="45">
        <f>442+144</f>
        <v>586</v>
      </c>
      <c r="DD2069" s="138">
        <f>442*22500+144*29400</f>
        <v>14178600</v>
      </c>
      <c r="DE2069" s="45"/>
      <c r="DF2069" s="46"/>
    </row>
    <row r="2070" spans="1:110" s="42" customFormat="1" ht="24" x14ac:dyDescent="0.2">
      <c r="A2070" s="255">
        <v>40799</v>
      </c>
      <c r="B2070" s="247" t="s">
        <v>4219</v>
      </c>
      <c r="C2070" s="248" t="s">
        <v>2232</v>
      </c>
      <c r="D2070" s="249" t="s">
        <v>4264</v>
      </c>
      <c r="E2070" s="90" t="str">
        <f>VLOOKUP(B2070&amp;C2070,Divipola!$C$2:$F$1138,4,FALSE)</f>
        <v>41551</v>
      </c>
      <c r="F2070" s="4"/>
      <c r="G2070" s="323"/>
      <c r="H2070" s="324"/>
      <c r="I2070" s="324"/>
      <c r="J2070" s="325">
        <v>60</v>
      </c>
      <c r="K2070" s="325">
        <v>12</v>
      </c>
      <c r="L2070" s="257"/>
      <c r="M2070" s="257">
        <v>12</v>
      </c>
      <c r="N2070" s="257"/>
      <c r="O2070" s="257"/>
      <c r="P2070" s="257"/>
      <c r="Q2070" s="257"/>
      <c r="R2070" s="257"/>
      <c r="S2070" s="257"/>
      <c r="T2070" s="258"/>
      <c r="U2070" s="258"/>
      <c r="V2070" s="259"/>
      <c r="W2070" s="172"/>
      <c r="X2070" s="17"/>
      <c r="Y2070" s="5">
        <f t="shared" si="202"/>
        <v>0</v>
      </c>
      <c r="Z2070" s="5">
        <f t="shared" si="203"/>
        <v>0</v>
      </c>
      <c r="AA2070" s="5">
        <f t="shared" si="204"/>
        <v>0</v>
      </c>
      <c r="AB2070" s="5">
        <f t="shared" si="205"/>
        <v>0</v>
      </c>
      <c r="AC2070" s="5"/>
      <c r="AD2070" s="5">
        <v>0</v>
      </c>
      <c r="AE2070" s="5">
        <f t="shared" si="206"/>
        <v>0</v>
      </c>
      <c r="AF2070" s="70">
        <v>0</v>
      </c>
      <c r="AG2070" s="17"/>
      <c r="AH2070" s="18"/>
      <c r="AI2070" s="47" t="s">
        <v>4336</v>
      </c>
      <c r="AJ2070" s="175" t="s">
        <v>4337</v>
      </c>
      <c r="AK2070" s="177"/>
      <c r="AL2070" s="179"/>
      <c r="AM2070" s="184" t="s">
        <v>5552</v>
      </c>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39"/>
      <c r="CE2070" s="138"/>
      <c r="CF2070" s="139"/>
      <c r="CG2070" s="138"/>
      <c r="CH2070" s="139"/>
      <c r="CI2070" s="138"/>
      <c r="CJ2070" s="72"/>
      <c r="CK2070" s="139"/>
      <c r="CL2070" s="71"/>
      <c r="CM2070" s="139"/>
      <c r="CN2070" s="138"/>
      <c r="CO2070" s="138"/>
      <c r="CP2070" s="138"/>
      <c r="CQ2070" s="139"/>
      <c r="CR2070" s="138"/>
      <c r="CS2070" s="45"/>
      <c r="CT2070" s="138"/>
      <c r="CU2070" s="45"/>
      <c r="CV2070" s="99">
        <f t="shared" si="207"/>
        <v>0</v>
      </c>
      <c r="CW2070" s="139"/>
      <c r="CX2070" s="138"/>
      <c r="CY2070" s="138"/>
      <c r="CZ2070" s="138"/>
      <c r="DA2070" s="139"/>
      <c r="DB2070" s="138"/>
      <c r="DC2070" s="45"/>
      <c r="DD2070" s="138"/>
      <c r="DE2070" s="45"/>
      <c r="DF2070" s="46"/>
    </row>
    <row r="2071" spans="1:110" s="42" customFormat="1" ht="72" x14ac:dyDescent="0.2">
      <c r="A2071" s="89">
        <v>40800</v>
      </c>
      <c r="B2071" s="16" t="s">
        <v>2225</v>
      </c>
      <c r="C2071" s="16" t="s">
        <v>3365</v>
      </c>
      <c r="D2071" s="90" t="s">
        <v>4264</v>
      </c>
      <c r="E2071" s="90" t="str">
        <f>VLOOKUP(B2071&amp;C2071,Divipola!$C$2:$F$1138,4,FALSE)</f>
        <v>27413</v>
      </c>
      <c r="F2071" s="4"/>
      <c r="G2071" s="167"/>
      <c r="H2071" s="169"/>
      <c r="I2071" s="169"/>
      <c r="J2071" s="169"/>
      <c r="K2071" s="169"/>
      <c r="L2071" s="169"/>
      <c r="M2071" s="169"/>
      <c r="N2071" s="169"/>
      <c r="O2071" s="169"/>
      <c r="P2071" s="169"/>
      <c r="Q2071" s="169"/>
      <c r="R2071" s="169"/>
      <c r="S2071" s="169"/>
      <c r="T2071" s="169"/>
      <c r="U2071" s="169"/>
      <c r="V2071" s="171"/>
      <c r="W2071" s="172"/>
      <c r="X2071" s="17"/>
      <c r="Y2071" s="5">
        <f t="shared" si="202"/>
        <v>0</v>
      </c>
      <c r="Z2071" s="5">
        <f t="shared" si="203"/>
        <v>0</v>
      </c>
      <c r="AA2071" s="5">
        <f t="shared" si="204"/>
        <v>0</v>
      </c>
      <c r="AB2071" s="5">
        <f t="shared" si="205"/>
        <v>0</v>
      </c>
      <c r="AC2071" s="5"/>
      <c r="AD2071" s="5">
        <v>50000000</v>
      </c>
      <c r="AE2071" s="5">
        <f t="shared" si="206"/>
        <v>50000000</v>
      </c>
      <c r="AF2071" s="70">
        <v>0</v>
      </c>
      <c r="AG2071" s="17"/>
      <c r="AH2071" s="18"/>
      <c r="AI2071" s="47" t="s">
        <v>4346</v>
      </c>
      <c r="AJ2071" s="73" t="s">
        <v>4347</v>
      </c>
      <c r="AK2071" s="177"/>
      <c r="AL2071" s="179"/>
      <c r="AM2071" s="183" t="s">
        <v>4568</v>
      </c>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19"/>
      <c r="BX2071" s="19"/>
      <c r="BY2071" s="19"/>
      <c r="BZ2071" s="19"/>
      <c r="CA2071" s="19"/>
      <c r="CB2071" s="19"/>
      <c r="CC2071" s="19"/>
      <c r="CD2071" s="139"/>
      <c r="CE2071" s="138"/>
      <c r="CF2071" s="139"/>
      <c r="CG2071" s="138"/>
      <c r="CH2071" s="139"/>
      <c r="CI2071" s="138"/>
      <c r="CJ2071" s="72"/>
      <c r="CK2071" s="139"/>
      <c r="CL2071" s="71"/>
      <c r="CM2071" s="139"/>
      <c r="CN2071" s="138"/>
      <c r="CO2071" s="138"/>
      <c r="CP2071" s="138"/>
      <c r="CQ2071" s="139"/>
      <c r="CR2071" s="138"/>
      <c r="CS2071" s="45"/>
      <c r="CT2071" s="138"/>
      <c r="CU2071" s="45"/>
      <c r="CV2071" s="99">
        <f t="shared" si="207"/>
        <v>0</v>
      </c>
      <c r="CW2071" s="139"/>
      <c r="CX2071" s="138"/>
      <c r="CY2071" s="138"/>
      <c r="CZ2071" s="138"/>
      <c r="DA2071" s="139"/>
      <c r="DB2071" s="138"/>
      <c r="DC2071" s="45"/>
      <c r="DD2071" s="138"/>
      <c r="DE2071" s="45"/>
      <c r="DF2071" s="46"/>
    </row>
    <row r="2072" spans="1:110" s="42" customFormat="1" ht="60" x14ac:dyDescent="0.2">
      <c r="A2072" s="89">
        <v>40800</v>
      </c>
      <c r="B2072" s="90" t="s">
        <v>2225</v>
      </c>
      <c r="C2072" s="90" t="s">
        <v>1882</v>
      </c>
      <c r="D2072" s="90" t="s">
        <v>4264</v>
      </c>
      <c r="E2072" s="90" t="str">
        <f>VLOOKUP(B2072&amp;C2072,Divipola!$C$2:$F$1138,4,FALSE)</f>
        <v>27425</v>
      </c>
      <c r="F2072" s="4"/>
      <c r="G2072" s="167"/>
      <c r="H2072" s="169"/>
      <c r="I2072" s="169"/>
      <c r="J2072" s="169"/>
      <c r="K2072" s="169"/>
      <c r="L2072" s="169"/>
      <c r="M2072" s="169"/>
      <c r="N2072" s="169"/>
      <c r="O2072" s="169"/>
      <c r="P2072" s="169"/>
      <c r="Q2072" s="169"/>
      <c r="R2072" s="169"/>
      <c r="S2072" s="169"/>
      <c r="T2072" s="169"/>
      <c r="U2072" s="169"/>
      <c r="V2072" s="171"/>
      <c r="W2072" s="172"/>
      <c r="X2072" s="17"/>
      <c r="Y2072" s="5">
        <f t="shared" si="202"/>
        <v>0</v>
      </c>
      <c r="Z2072" s="5">
        <f t="shared" si="203"/>
        <v>0</v>
      </c>
      <c r="AA2072" s="5">
        <f t="shared" si="204"/>
        <v>8599776</v>
      </c>
      <c r="AB2072" s="5">
        <f t="shared" si="205"/>
        <v>0</v>
      </c>
      <c r="AC2072" s="5"/>
      <c r="AD2072" s="5">
        <v>50000000</v>
      </c>
      <c r="AE2072" s="5">
        <f t="shared" si="206"/>
        <v>58599776</v>
      </c>
      <c r="AF2072" s="70">
        <v>0</v>
      </c>
      <c r="AG2072" s="17"/>
      <c r="AH2072" s="18"/>
      <c r="AI2072" s="47" t="s">
        <v>4346</v>
      </c>
      <c r="AJ2072" s="73" t="s">
        <v>4347</v>
      </c>
      <c r="AK2072" s="45"/>
      <c r="AL2072" s="17"/>
      <c r="AM2072" s="183" t="s">
        <v>4621</v>
      </c>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19"/>
      <c r="BX2072" s="19"/>
      <c r="BY2072" s="19"/>
      <c r="BZ2072" s="19"/>
      <c r="CA2072" s="19"/>
      <c r="CB2072" s="19"/>
      <c r="CC2072" s="19"/>
      <c r="CD2072" s="139"/>
      <c r="CE2072" s="138"/>
      <c r="CF2072" s="139"/>
      <c r="CG2072" s="138"/>
      <c r="CH2072" s="139"/>
      <c r="CI2072" s="138"/>
      <c r="CJ2072" s="72"/>
      <c r="CK2072" s="139"/>
      <c r="CL2072" s="71"/>
      <c r="CM2072" s="139"/>
      <c r="CN2072" s="138"/>
      <c r="CO2072" s="138"/>
      <c r="CP2072" s="138"/>
      <c r="CQ2072" s="139"/>
      <c r="CR2072" s="138"/>
      <c r="CS2072" s="45"/>
      <c r="CT2072" s="138"/>
      <c r="CU2072" s="45"/>
      <c r="CV2072" s="99">
        <f t="shared" si="207"/>
        <v>0</v>
      </c>
      <c r="CW2072" s="139"/>
      <c r="CX2072" s="138"/>
      <c r="CY2072" s="138"/>
      <c r="CZ2072" s="138"/>
      <c r="DA2072" s="139"/>
      <c r="DB2072" s="138"/>
      <c r="DC2072" s="45">
        <v>400</v>
      </c>
      <c r="DD2072" s="138">
        <f>400*21499.44</f>
        <v>8599776</v>
      </c>
      <c r="DE2072" s="45"/>
      <c r="DF2072" s="46"/>
    </row>
    <row r="2073" spans="1:110" s="42" customFormat="1" ht="24" x14ac:dyDescent="0.2">
      <c r="A2073" s="89">
        <v>40800</v>
      </c>
      <c r="B2073" s="153" t="s">
        <v>4308</v>
      </c>
      <c r="C2073" s="4" t="s">
        <v>4309</v>
      </c>
      <c r="D2073" s="90" t="s">
        <v>4264</v>
      </c>
      <c r="E2073" s="90" t="str">
        <f>VLOOKUP(B2073&amp;C2073,Divipola!$C$2:$F$1138,4,FALSE)</f>
        <v>47245</v>
      </c>
      <c r="F2073" s="4"/>
      <c r="G2073" s="167"/>
      <c r="H2073" s="169"/>
      <c r="I2073" s="169"/>
      <c r="J2073" s="169"/>
      <c r="K2073" s="169"/>
      <c r="L2073" s="169"/>
      <c r="M2073" s="169"/>
      <c r="N2073" s="169"/>
      <c r="O2073" s="169"/>
      <c r="P2073" s="169"/>
      <c r="Q2073" s="169"/>
      <c r="R2073" s="169"/>
      <c r="S2073" s="169"/>
      <c r="T2073" s="169"/>
      <c r="U2073" s="169"/>
      <c r="V2073" s="171"/>
      <c r="W2073" s="172"/>
      <c r="X2073" s="17"/>
      <c r="Y2073" s="5">
        <f t="shared" si="202"/>
        <v>0</v>
      </c>
      <c r="Z2073" s="5">
        <f t="shared" si="203"/>
        <v>0</v>
      </c>
      <c r="AA2073" s="5">
        <f t="shared" si="204"/>
        <v>0</v>
      </c>
      <c r="AB2073" s="5">
        <f t="shared" si="205"/>
        <v>6293000</v>
      </c>
      <c r="AC2073" s="159">
        <f>50*33060+50*23200+30*33640</f>
        <v>3822200</v>
      </c>
      <c r="AD2073" s="5">
        <v>0</v>
      </c>
      <c r="AE2073" s="5">
        <f t="shared" si="206"/>
        <v>10115200</v>
      </c>
      <c r="AF2073" s="70">
        <v>0</v>
      </c>
      <c r="AG2073" s="17"/>
      <c r="AH2073" s="18"/>
      <c r="AI2073" s="47" t="s">
        <v>4346</v>
      </c>
      <c r="AJ2073" s="73" t="s">
        <v>4347</v>
      </c>
      <c r="AK2073" s="177"/>
      <c r="AL2073" s="179"/>
      <c r="AM2073" s="185" t="s">
        <v>4486</v>
      </c>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c r="BV2073" s="19"/>
      <c r="BW2073" s="19"/>
      <c r="BX2073" s="19"/>
      <c r="BY2073" s="19"/>
      <c r="BZ2073" s="19"/>
      <c r="CA2073" s="19"/>
      <c r="CB2073" s="19"/>
      <c r="CC2073" s="19"/>
      <c r="CD2073" s="139"/>
      <c r="CE2073" s="138"/>
      <c r="CF2073" s="139"/>
      <c r="CG2073" s="138"/>
      <c r="CH2073" s="139"/>
      <c r="CI2073" s="138"/>
      <c r="CJ2073" s="72"/>
      <c r="CK2073" s="139"/>
      <c r="CL2073" s="71"/>
      <c r="CM2073" s="139"/>
      <c r="CN2073" s="138"/>
      <c r="CO2073" s="138"/>
      <c r="CP2073" s="138"/>
      <c r="CQ2073" s="139"/>
      <c r="CR2073" s="138"/>
      <c r="CS2073" s="45"/>
      <c r="CT2073" s="138"/>
      <c r="CU2073" s="45"/>
      <c r="CV2073" s="99">
        <f t="shared" si="207"/>
        <v>0</v>
      </c>
      <c r="CW2073" s="139">
        <v>7000</v>
      </c>
      <c r="CX2073" s="138">
        <f>7000*899</f>
        <v>6293000</v>
      </c>
      <c r="CY2073" s="138"/>
      <c r="CZ2073" s="138"/>
      <c r="DA2073" s="139"/>
      <c r="DB2073" s="138"/>
      <c r="DC2073" s="45"/>
      <c r="DD2073" s="138"/>
      <c r="DE2073" s="45"/>
      <c r="DF2073" s="46"/>
    </row>
    <row r="2074" spans="1:110" s="42" customFormat="1" ht="45" x14ac:dyDescent="0.2">
      <c r="A2074" s="89">
        <v>40800</v>
      </c>
      <c r="B2074" s="16" t="s">
        <v>4221</v>
      </c>
      <c r="C2074" s="16" t="s">
        <v>3442</v>
      </c>
      <c r="D2074" s="90" t="s">
        <v>4264</v>
      </c>
      <c r="E2074" s="90" t="str">
        <f>VLOOKUP(B2074&amp;C2074,Divipola!$C$2:$F$1138,4,FALSE)</f>
        <v>54553</v>
      </c>
      <c r="F2074" s="4"/>
      <c r="G2074" s="167"/>
      <c r="H2074" s="169"/>
      <c r="I2074" s="169"/>
      <c r="J2074" s="169"/>
      <c r="K2074" s="169"/>
      <c r="L2074" s="169"/>
      <c r="M2074" s="169"/>
      <c r="N2074" s="169"/>
      <c r="O2074" s="169"/>
      <c r="P2074" s="169"/>
      <c r="Q2074" s="169"/>
      <c r="R2074" s="169"/>
      <c r="S2074" s="169"/>
      <c r="T2074" s="169"/>
      <c r="U2074" s="169"/>
      <c r="V2074" s="171"/>
      <c r="W2074" s="172"/>
      <c r="X2074" s="17"/>
      <c r="Y2074" s="5">
        <f t="shared" si="202"/>
        <v>0</v>
      </c>
      <c r="Z2074" s="5">
        <f t="shared" si="203"/>
        <v>0</v>
      </c>
      <c r="AA2074" s="5">
        <f t="shared" si="204"/>
        <v>3783525.6</v>
      </c>
      <c r="AB2074" s="5">
        <f t="shared" si="205"/>
        <v>0</v>
      </c>
      <c r="AC2074" s="159">
        <f>5*180000+1*1250000+1*360000+1000*1500+80*14800</f>
        <v>5194000</v>
      </c>
      <c r="AD2074" s="5">
        <v>0</v>
      </c>
      <c r="AE2074" s="5">
        <f t="shared" si="206"/>
        <v>8977525.5999999996</v>
      </c>
      <c r="AF2074" s="70">
        <v>0</v>
      </c>
      <c r="AG2074" s="17"/>
      <c r="AH2074" s="18"/>
      <c r="AI2074" s="47" t="s">
        <v>4346</v>
      </c>
      <c r="AJ2074" s="73" t="s">
        <v>4347</v>
      </c>
      <c r="AK2074" s="177"/>
      <c r="AL2074" s="179"/>
      <c r="AM2074" s="187" t="s">
        <v>4488</v>
      </c>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19"/>
      <c r="BX2074" s="19"/>
      <c r="BY2074" s="19"/>
      <c r="BZ2074" s="19"/>
      <c r="CA2074" s="19"/>
      <c r="CB2074" s="19"/>
      <c r="CC2074" s="19"/>
      <c r="CD2074" s="139"/>
      <c r="CE2074" s="138"/>
      <c r="CF2074" s="139"/>
      <c r="CG2074" s="138"/>
      <c r="CH2074" s="139"/>
      <c r="CI2074" s="138"/>
      <c r="CJ2074" s="72"/>
      <c r="CK2074" s="139"/>
      <c r="CL2074" s="71"/>
      <c r="CM2074" s="139"/>
      <c r="CN2074" s="138"/>
      <c r="CO2074" s="138"/>
      <c r="CP2074" s="138"/>
      <c r="CQ2074" s="139"/>
      <c r="CR2074" s="138"/>
      <c r="CS2074" s="45"/>
      <c r="CT2074" s="138"/>
      <c r="CU2074" s="45"/>
      <c r="CV2074" s="99">
        <f t="shared" si="207"/>
        <v>0</v>
      </c>
      <c r="CW2074" s="139"/>
      <c r="CX2074" s="138"/>
      <c r="CY2074" s="138"/>
      <c r="CZ2074" s="138"/>
      <c r="DA2074" s="139">
        <v>60</v>
      </c>
      <c r="DB2074" s="138">
        <f>60*29738.92</f>
        <v>1784335.2</v>
      </c>
      <c r="DC2074" s="45">
        <v>80</v>
      </c>
      <c r="DD2074" s="138">
        <f>80*24989.88</f>
        <v>1999190.4000000001</v>
      </c>
      <c r="DE2074" s="45"/>
      <c r="DF2074" s="46"/>
    </row>
    <row r="2075" spans="1:110" s="42" customFormat="1" ht="72" x14ac:dyDescent="0.2">
      <c r="A2075" s="89">
        <v>40800</v>
      </c>
      <c r="B2075" s="151" t="s">
        <v>4348</v>
      </c>
      <c r="C2075" s="90" t="s">
        <v>2228</v>
      </c>
      <c r="D2075" s="90" t="s">
        <v>3346</v>
      </c>
      <c r="E2075" s="90" t="str">
        <f>VLOOKUP(B2075&amp;C2075,Divipola!$C$2:$F$1138,4,FALSE)</f>
        <v>66001</v>
      </c>
      <c r="F2075" s="4"/>
      <c r="G2075" s="165"/>
      <c r="H2075" s="168"/>
      <c r="I2075" s="168"/>
      <c r="J2075" s="168">
        <v>655</v>
      </c>
      <c r="K2075" s="168">
        <v>130</v>
      </c>
      <c r="L2075" s="168"/>
      <c r="M2075" s="168">
        <v>130</v>
      </c>
      <c r="N2075" s="168"/>
      <c r="O2075" s="168"/>
      <c r="P2075" s="168"/>
      <c r="Q2075" s="168"/>
      <c r="R2075" s="168"/>
      <c r="S2075" s="168"/>
      <c r="T2075" s="168"/>
      <c r="U2075" s="168"/>
      <c r="V2075" s="170"/>
      <c r="W2075" s="172"/>
      <c r="X2075" s="17"/>
      <c r="Y2075" s="5">
        <f t="shared" si="202"/>
        <v>0</v>
      </c>
      <c r="Z2075" s="5">
        <f t="shared" si="203"/>
        <v>0</v>
      </c>
      <c r="AA2075" s="5">
        <f t="shared" si="204"/>
        <v>0</v>
      </c>
      <c r="AB2075" s="5">
        <f t="shared" si="205"/>
        <v>0</v>
      </c>
      <c r="AC2075" s="5"/>
      <c r="AD2075" s="5">
        <v>0</v>
      </c>
      <c r="AE2075" s="5">
        <f t="shared" si="206"/>
        <v>0</v>
      </c>
      <c r="AF2075" s="70">
        <v>0</v>
      </c>
      <c r="AG2075" s="17"/>
      <c r="AH2075" s="18"/>
      <c r="AI2075" s="47" t="s">
        <v>4336</v>
      </c>
      <c r="AJ2075" s="73" t="s">
        <v>4337</v>
      </c>
      <c r="AK2075" s="177"/>
      <c r="AL2075" s="179"/>
      <c r="AM2075" s="184" t="s">
        <v>190</v>
      </c>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c r="BW2075" s="19"/>
      <c r="BX2075" s="19"/>
      <c r="BY2075" s="19"/>
      <c r="BZ2075" s="19"/>
      <c r="CA2075" s="19"/>
      <c r="CB2075" s="19"/>
      <c r="CC2075" s="19"/>
      <c r="CD2075" s="139"/>
      <c r="CE2075" s="138"/>
      <c r="CF2075" s="139"/>
      <c r="CG2075" s="138"/>
      <c r="CH2075" s="139"/>
      <c r="CI2075" s="138"/>
      <c r="CJ2075" s="72"/>
      <c r="CK2075" s="139"/>
      <c r="CL2075" s="71"/>
      <c r="CM2075" s="139"/>
      <c r="CN2075" s="138"/>
      <c r="CO2075" s="138"/>
      <c r="CP2075" s="138"/>
      <c r="CQ2075" s="139"/>
      <c r="CR2075" s="138"/>
      <c r="CS2075" s="45"/>
      <c r="CT2075" s="138"/>
      <c r="CU2075" s="45"/>
      <c r="CV2075" s="99">
        <f t="shared" si="207"/>
        <v>0</v>
      </c>
      <c r="CW2075" s="139"/>
      <c r="CX2075" s="138"/>
      <c r="CY2075" s="138"/>
      <c r="CZ2075" s="138"/>
      <c r="DA2075" s="139"/>
      <c r="DB2075" s="138"/>
      <c r="DC2075" s="45"/>
      <c r="DD2075" s="138"/>
      <c r="DE2075" s="45"/>
      <c r="DF2075" s="46"/>
    </row>
    <row r="2076" spans="1:110" s="42" customFormat="1" x14ac:dyDescent="0.2">
      <c r="A2076" s="89">
        <v>40800</v>
      </c>
      <c r="B2076" s="90" t="s">
        <v>2226</v>
      </c>
      <c r="C2076" s="90" t="s">
        <v>4345</v>
      </c>
      <c r="D2076" s="90" t="s">
        <v>4264</v>
      </c>
      <c r="E2076" s="90">
        <f>VLOOKUP(B2076&amp;C2076,Divipola!$C$2:$F$1138,4,FALSE)</f>
        <v>68</v>
      </c>
      <c r="F2076" s="4"/>
      <c r="G2076" s="167"/>
      <c r="H2076" s="169"/>
      <c r="I2076" s="169"/>
      <c r="J2076" s="169"/>
      <c r="K2076" s="169"/>
      <c r="L2076" s="169"/>
      <c r="M2076" s="169"/>
      <c r="N2076" s="169"/>
      <c r="O2076" s="169"/>
      <c r="P2076" s="169"/>
      <c r="Q2076" s="169"/>
      <c r="R2076" s="169"/>
      <c r="S2076" s="169"/>
      <c r="T2076" s="169"/>
      <c r="U2076" s="169"/>
      <c r="V2076" s="171"/>
      <c r="W2076" s="172"/>
      <c r="X2076" s="17"/>
      <c r="Y2076" s="5">
        <f t="shared" si="202"/>
        <v>49999944</v>
      </c>
      <c r="Z2076" s="5">
        <f t="shared" si="203"/>
        <v>0</v>
      </c>
      <c r="AA2076" s="5">
        <f t="shared" si="204"/>
        <v>0</v>
      </c>
      <c r="AB2076" s="5">
        <f t="shared" si="205"/>
        <v>27283200</v>
      </c>
      <c r="AC2076" s="5"/>
      <c r="AD2076" s="5">
        <v>0</v>
      </c>
      <c r="AE2076" s="5">
        <f t="shared" si="206"/>
        <v>77283144</v>
      </c>
      <c r="AF2076" s="70">
        <v>0</v>
      </c>
      <c r="AG2076" s="17"/>
      <c r="AH2076" s="18"/>
      <c r="AI2076" s="47" t="s">
        <v>4346</v>
      </c>
      <c r="AJ2076" s="73" t="s">
        <v>4347</v>
      </c>
      <c r="AK2076" s="177"/>
      <c r="AL2076" s="179"/>
      <c r="AM2076" s="183"/>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c r="BW2076" s="19"/>
      <c r="BX2076" s="19"/>
      <c r="BY2076" s="19"/>
      <c r="BZ2076" s="19">
        <v>100</v>
      </c>
      <c r="CA2076" s="19">
        <f>100*499999.44</f>
        <v>49999944</v>
      </c>
      <c r="CB2076" s="19"/>
      <c r="CC2076" s="19"/>
      <c r="CD2076" s="139"/>
      <c r="CE2076" s="138"/>
      <c r="CF2076" s="139"/>
      <c r="CG2076" s="138"/>
      <c r="CH2076" s="139"/>
      <c r="CI2076" s="138"/>
      <c r="CJ2076" s="72"/>
      <c r="CK2076" s="139"/>
      <c r="CL2076" s="71"/>
      <c r="CM2076" s="139"/>
      <c r="CN2076" s="138"/>
      <c r="CO2076" s="138"/>
      <c r="CP2076" s="138"/>
      <c r="CQ2076" s="139"/>
      <c r="CR2076" s="138"/>
      <c r="CS2076" s="45"/>
      <c r="CT2076" s="138"/>
      <c r="CU2076" s="45"/>
      <c r="CV2076" s="99">
        <f t="shared" si="207"/>
        <v>49999944</v>
      </c>
      <c r="CW2076" s="139">
        <v>30000</v>
      </c>
      <c r="CX2076" s="138">
        <f>30000*909.44</f>
        <v>27283200</v>
      </c>
      <c r="CY2076" s="138"/>
      <c r="CZ2076" s="138"/>
      <c r="DA2076" s="139"/>
      <c r="DB2076" s="138"/>
      <c r="DC2076" s="45"/>
      <c r="DD2076" s="138"/>
      <c r="DE2076" s="45"/>
      <c r="DF2076" s="46"/>
    </row>
    <row r="2077" spans="1:110" s="42" customFormat="1" ht="36" x14ac:dyDescent="0.2">
      <c r="A2077" s="89">
        <v>40800</v>
      </c>
      <c r="B2077" s="151" t="s">
        <v>2226</v>
      </c>
      <c r="C2077" s="90" t="s">
        <v>3534</v>
      </c>
      <c r="D2077" s="90" t="s">
        <v>3346</v>
      </c>
      <c r="E2077" s="90" t="str">
        <f>VLOOKUP(B2077&amp;C2077,Divipola!$C$2:$F$1138,4,FALSE)</f>
        <v>68276</v>
      </c>
      <c r="F2077" s="4"/>
      <c r="G2077" s="165"/>
      <c r="H2077" s="168"/>
      <c r="I2077" s="168"/>
      <c r="J2077" s="168">
        <v>25</v>
      </c>
      <c r="K2077" s="168">
        <v>5</v>
      </c>
      <c r="L2077" s="168"/>
      <c r="M2077" s="168">
        <v>5</v>
      </c>
      <c r="N2077" s="168"/>
      <c r="O2077" s="168"/>
      <c r="P2077" s="168"/>
      <c r="Q2077" s="168"/>
      <c r="R2077" s="168"/>
      <c r="S2077" s="168"/>
      <c r="T2077" s="168"/>
      <c r="U2077" s="168"/>
      <c r="V2077" s="170"/>
      <c r="W2077" s="172"/>
      <c r="X2077" s="17"/>
      <c r="Y2077" s="5">
        <f t="shared" si="202"/>
        <v>0</v>
      </c>
      <c r="Z2077" s="5">
        <f t="shared" si="203"/>
        <v>0</v>
      </c>
      <c r="AA2077" s="5">
        <f t="shared" si="204"/>
        <v>0</v>
      </c>
      <c r="AB2077" s="5">
        <f t="shared" si="205"/>
        <v>0</v>
      </c>
      <c r="AC2077" s="5"/>
      <c r="AD2077" s="5">
        <v>0</v>
      </c>
      <c r="AE2077" s="5">
        <f t="shared" si="206"/>
        <v>0</v>
      </c>
      <c r="AF2077" s="70">
        <v>0</v>
      </c>
      <c r="AG2077" s="17"/>
      <c r="AH2077" s="18"/>
      <c r="AI2077" s="47" t="s">
        <v>4336</v>
      </c>
      <c r="AJ2077" s="175" t="s">
        <v>4337</v>
      </c>
      <c r="AK2077" s="177"/>
      <c r="AL2077" s="179"/>
      <c r="AM2077" s="184" t="s">
        <v>182</v>
      </c>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c r="BW2077" s="19"/>
      <c r="BX2077" s="19"/>
      <c r="BY2077" s="19"/>
      <c r="BZ2077" s="19"/>
      <c r="CA2077" s="19"/>
      <c r="CB2077" s="19"/>
      <c r="CC2077" s="19"/>
      <c r="CD2077" s="139"/>
      <c r="CE2077" s="138"/>
      <c r="CF2077" s="139"/>
      <c r="CG2077" s="138"/>
      <c r="CH2077" s="139"/>
      <c r="CI2077" s="138"/>
      <c r="CJ2077" s="72"/>
      <c r="CK2077" s="139"/>
      <c r="CL2077" s="71"/>
      <c r="CM2077" s="139"/>
      <c r="CN2077" s="138"/>
      <c r="CO2077" s="138"/>
      <c r="CP2077" s="138"/>
      <c r="CQ2077" s="139"/>
      <c r="CR2077" s="138"/>
      <c r="CS2077" s="45"/>
      <c r="CT2077" s="138"/>
      <c r="CU2077" s="45"/>
      <c r="CV2077" s="99">
        <f t="shared" si="207"/>
        <v>0</v>
      </c>
      <c r="CW2077" s="139"/>
      <c r="CX2077" s="138"/>
      <c r="CY2077" s="138"/>
      <c r="CZ2077" s="138"/>
      <c r="DA2077" s="139"/>
      <c r="DB2077" s="138"/>
      <c r="DC2077" s="45"/>
      <c r="DD2077" s="138"/>
      <c r="DE2077" s="45"/>
      <c r="DF2077" s="46"/>
    </row>
    <row r="2078" spans="1:110" s="42" customFormat="1" ht="60" x14ac:dyDescent="0.2">
      <c r="A2078" s="89">
        <v>40801</v>
      </c>
      <c r="B2078" s="90" t="s">
        <v>4344</v>
      </c>
      <c r="C2078" s="90" t="s">
        <v>4509</v>
      </c>
      <c r="D2078" s="90" t="s">
        <v>4264</v>
      </c>
      <c r="E2078" s="90" t="str">
        <f>VLOOKUP(B2078&amp;C2078,Divipola!$C$2:$F$1138,4,FALSE)</f>
        <v>25086</v>
      </c>
      <c r="F2078" s="90"/>
      <c r="G2078" s="165"/>
      <c r="H2078" s="168"/>
      <c r="I2078" s="168"/>
      <c r="J2078" s="168">
        <v>409</v>
      </c>
      <c r="K2078" s="168">
        <v>137</v>
      </c>
      <c r="L2078" s="168">
        <v>60</v>
      </c>
      <c r="M2078" s="168">
        <f>137-60</f>
        <v>77</v>
      </c>
      <c r="N2078" s="168"/>
      <c r="O2078" s="168"/>
      <c r="P2078" s="168"/>
      <c r="Q2078" s="168"/>
      <c r="R2078" s="168"/>
      <c r="S2078" s="168"/>
      <c r="T2078" s="168"/>
      <c r="U2078" s="168"/>
      <c r="V2078" s="170"/>
      <c r="W2078" s="343"/>
      <c r="X2078" s="89"/>
      <c r="Y2078" s="92">
        <f t="shared" si="202"/>
        <v>0</v>
      </c>
      <c r="Z2078" s="92">
        <f t="shared" si="203"/>
        <v>0</v>
      </c>
      <c r="AA2078" s="92">
        <f t="shared" si="204"/>
        <v>0</v>
      </c>
      <c r="AB2078" s="92">
        <f t="shared" si="205"/>
        <v>0</v>
      </c>
      <c r="AC2078" s="92"/>
      <c r="AD2078" s="92">
        <v>0</v>
      </c>
      <c r="AE2078" s="92">
        <f t="shared" si="206"/>
        <v>0</v>
      </c>
      <c r="AF2078" s="93">
        <v>0</v>
      </c>
      <c r="AG2078" s="89"/>
      <c r="AH2078" s="94"/>
      <c r="AI2078" s="102" t="s">
        <v>4336</v>
      </c>
      <c r="AJ2078" s="344" t="s">
        <v>4337</v>
      </c>
      <c r="AK2078" s="345"/>
      <c r="AL2078" s="346"/>
      <c r="AM2078" s="186" t="s">
        <v>5630</v>
      </c>
      <c r="AN2078" s="91"/>
      <c r="AO2078" s="91"/>
      <c r="AP2078" s="91"/>
      <c r="AQ2078" s="91"/>
      <c r="AR2078" s="91"/>
      <c r="AS2078" s="91"/>
      <c r="AT2078" s="91"/>
      <c r="AU2078" s="91"/>
      <c r="AV2078" s="91"/>
      <c r="AW2078" s="91"/>
      <c r="AX2078" s="91"/>
      <c r="AY2078" s="91"/>
      <c r="AZ2078" s="91"/>
      <c r="BA2078" s="91"/>
      <c r="BB2078" s="91"/>
      <c r="BC2078" s="91"/>
      <c r="BD2078" s="91"/>
      <c r="BE2078" s="91"/>
      <c r="BF2078" s="91"/>
      <c r="BG2078" s="91"/>
      <c r="BH2078" s="91"/>
      <c r="BI2078" s="91"/>
      <c r="BJ2078" s="91"/>
      <c r="BK2078" s="91"/>
      <c r="BL2078" s="91"/>
      <c r="BM2078" s="91"/>
      <c r="BN2078" s="91"/>
      <c r="BO2078" s="91"/>
      <c r="BP2078" s="91"/>
      <c r="BQ2078" s="91"/>
      <c r="BR2078" s="91"/>
      <c r="BS2078" s="91"/>
      <c r="BT2078" s="91"/>
      <c r="BU2078" s="91"/>
      <c r="BV2078" s="91"/>
      <c r="BW2078" s="91"/>
      <c r="BX2078" s="91"/>
      <c r="BY2078" s="91"/>
      <c r="BZ2078" s="91"/>
      <c r="CA2078" s="91"/>
      <c r="CB2078" s="91"/>
      <c r="CC2078" s="91"/>
      <c r="CD2078" s="91"/>
      <c r="CE2078" s="91"/>
      <c r="CF2078" s="91"/>
      <c r="CG2078" s="91"/>
      <c r="CH2078" s="91"/>
      <c r="CI2078" s="91"/>
      <c r="CJ2078" s="91"/>
      <c r="CK2078" s="91"/>
      <c r="CL2078" s="91"/>
      <c r="CM2078" s="91"/>
      <c r="CN2078" s="91"/>
      <c r="CO2078" s="91"/>
      <c r="CP2078" s="114"/>
      <c r="CQ2078" s="115"/>
      <c r="CR2078" s="114"/>
      <c r="CS2078" s="115"/>
      <c r="CT2078" s="114"/>
      <c r="CU2078" s="115"/>
      <c r="CV2078" s="99">
        <f t="shared" si="207"/>
        <v>0</v>
      </c>
      <c r="CW2078" s="114"/>
      <c r="CX2078" s="115"/>
      <c r="CY2078" s="114"/>
      <c r="CZ2078" s="115"/>
      <c r="DA2078" s="115"/>
      <c r="DB2078" s="115"/>
      <c r="DC2078" s="114"/>
      <c r="DD2078" s="115"/>
      <c r="DE2078" s="97"/>
      <c r="DF2078" s="46"/>
    </row>
    <row r="2079" spans="1:110" s="42" customFormat="1" ht="48" x14ac:dyDescent="0.2">
      <c r="A2079" s="89">
        <v>40801</v>
      </c>
      <c r="B2079" s="16" t="s">
        <v>2204</v>
      </c>
      <c r="C2079" s="16" t="s">
        <v>3018</v>
      </c>
      <c r="D2079" s="90" t="s">
        <v>4264</v>
      </c>
      <c r="E2079" s="90" t="str">
        <f>VLOOKUP(B2079&amp;C2079,Divipola!$C$2:$F$1138,4,FALSE)</f>
        <v>70001</v>
      </c>
      <c r="F2079" s="4"/>
      <c r="G2079" s="167"/>
      <c r="H2079" s="169"/>
      <c r="I2079" s="169"/>
      <c r="J2079" s="169">
        <v>2647</v>
      </c>
      <c r="K2079" s="169">
        <v>397</v>
      </c>
      <c r="L2079" s="169">
        <v>100</v>
      </c>
      <c r="M2079" s="169"/>
      <c r="N2079" s="169"/>
      <c r="O2079" s="169"/>
      <c r="P2079" s="169"/>
      <c r="Q2079" s="169"/>
      <c r="R2079" s="169"/>
      <c r="S2079" s="169"/>
      <c r="T2079" s="169"/>
      <c r="U2079" s="169"/>
      <c r="V2079" s="171"/>
      <c r="W2079" s="172"/>
      <c r="X2079" s="17"/>
      <c r="Y2079" s="5">
        <f t="shared" si="202"/>
        <v>0</v>
      </c>
      <c r="Z2079" s="5">
        <f t="shared" si="203"/>
        <v>0</v>
      </c>
      <c r="AA2079" s="5">
        <f t="shared" si="204"/>
        <v>0</v>
      </c>
      <c r="AB2079" s="5">
        <f t="shared" si="205"/>
        <v>0</v>
      </c>
      <c r="AC2079" s="5"/>
      <c r="AD2079" s="5">
        <v>0</v>
      </c>
      <c r="AE2079" s="5">
        <f t="shared" si="206"/>
        <v>0</v>
      </c>
      <c r="AF2079" s="70">
        <v>0</v>
      </c>
      <c r="AG2079" s="17"/>
      <c r="AH2079" s="18"/>
      <c r="AI2079" s="47" t="s">
        <v>4336</v>
      </c>
      <c r="AJ2079" s="175" t="s">
        <v>4337</v>
      </c>
      <c r="AK2079" s="177"/>
      <c r="AL2079" s="179"/>
      <c r="AM2079" s="183" t="s">
        <v>5631</v>
      </c>
      <c r="AN2079" s="19"/>
      <c r="AO2079" s="19"/>
      <c r="AP2079" s="19"/>
      <c r="AQ2079" s="19"/>
      <c r="AR2079" s="19"/>
      <c r="AS2079" s="19"/>
      <c r="AT2079" s="19"/>
      <c r="AU2079" s="19"/>
      <c r="AV2079" s="19"/>
      <c r="AW2079" s="19"/>
      <c r="AX2079" s="107"/>
      <c r="AY2079" s="107"/>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c r="BW2079" s="19"/>
      <c r="BX2079" s="19"/>
      <c r="BY2079" s="19"/>
      <c r="BZ2079" s="19"/>
      <c r="CA2079" s="19"/>
      <c r="CB2079" s="19"/>
      <c r="CC2079" s="19"/>
      <c r="CD2079" s="19"/>
      <c r="CE2079" s="19"/>
      <c r="CF2079" s="19"/>
      <c r="CG2079" s="19"/>
      <c r="CH2079" s="19"/>
      <c r="CI2079" s="19"/>
      <c r="CJ2079" s="19"/>
      <c r="CK2079" s="19"/>
      <c r="CL2079" s="19"/>
      <c r="CM2079" s="19"/>
      <c r="CN2079" s="139"/>
      <c r="CO2079" s="138"/>
      <c r="CP2079" s="139"/>
      <c r="CQ2079" s="138"/>
      <c r="CR2079" s="139"/>
      <c r="CS2079" s="138"/>
      <c r="CT2079" s="72"/>
      <c r="CU2079" s="139"/>
      <c r="CV2079" s="99">
        <f t="shared" si="207"/>
        <v>0</v>
      </c>
      <c r="CW2079" s="139"/>
      <c r="CX2079" s="138"/>
      <c r="CY2079" s="138"/>
      <c r="CZ2079" s="138"/>
      <c r="DA2079" s="139"/>
      <c r="DB2079" s="138"/>
      <c r="DC2079" s="45"/>
      <c r="DD2079" s="138"/>
      <c r="DE2079" s="45"/>
      <c r="DF2079" s="46"/>
    </row>
    <row r="2080" spans="1:110" s="42" customFormat="1" ht="48" x14ac:dyDescent="0.2">
      <c r="A2080" s="89">
        <v>40801</v>
      </c>
      <c r="B2080" s="16" t="s">
        <v>3533</v>
      </c>
      <c r="C2080" s="16" t="s">
        <v>2248</v>
      </c>
      <c r="D2080" s="90" t="s">
        <v>4264</v>
      </c>
      <c r="E2080" s="90" t="str">
        <f>VLOOKUP(B2080&amp;C2080,Divipola!$C$2:$F$1138,4,FALSE)</f>
        <v>17653</v>
      </c>
      <c r="F2080" s="4"/>
      <c r="G2080" s="167"/>
      <c r="H2080" s="169"/>
      <c r="I2080" s="169"/>
      <c r="J2080" s="169"/>
      <c r="K2080" s="169"/>
      <c r="L2080" s="169"/>
      <c r="M2080" s="169"/>
      <c r="N2080" s="169"/>
      <c r="O2080" s="169"/>
      <c r="P2080" s="169"/>
      <c r="Q2080" s="169"/>
      <c r="R2080" s="169"/>
      <c r="S2080" s="169"/>
      <c r="T2080" s="169"/>
      <c r="U2080" s="169"/>
      <c r="V2080" s="171"/>
      <c r="W2080" s="172"/>
      <c r="X2080" s="17"/>
      <c r="Y2080" s="5">
        <f t="shared" si="202"/>
        <v>56998920</v>
      </c>
      <c r="Z2080" s="5">
        <f t="shared" si="203"/>
        <v>42500000</v>
      </c>
      <c r="AA2080" s="5">
        <f t="shared" si="204"/>
        <v>18543470</v>
      </c>
      <c r="AB2080" s="5">
        <f t="shared" si="205"/>
        <v>0</v>
      </c>
      <c r="AC2080" s="5">
        <f>3500*1600</f>
        <v>5600000</v>
      </c>
      <c r="AD2080" s="5">
        <v>0</v>
      </c>
      <c r="AE2080" s="5">
        <f t="shared" si="206"/>
        <v>123642390</v>
      </c>
      <c r="AF2080" s="70">
        <v>0</v>
      </c>
      <c r="AG2080" s="17"/>
      <c r="AH2080" s="18"/>
      <c r="AI2080" s="109" t="s">
        <v>4346</v>
      </c>
      <c r="AJ2080" s="110" t="s">
        <v>4347</v>
      </c>
      <c r="AK2080" s="177"/>
      <c r="AL2080" s="179"/>
      <c r="AM2080" s="183" t="s">
        <v>4662</v>
      </c>
      <c r="AN2080" s="19"/>
      <c r="AO2080" s="19"/>
      <c r="AP2080" s="19"/>
      <c r="AQ2080" s="19"/>
      <c r="AR2080" s="19"/>
      <c r="AS2080" s="19"/>
      <c r="AT2080" s="19"/>
      <c r="AU2080" s="19"/>
      <c r="AV2080" s="19"/>
      <c r="AW2080" s="19"/>
      <c r="AX2080" s="19"/>
      <c r="AY2080" s="19"/>
      <c r="AZ2080" s="19">
        <v>500</v>
      </c>
      <c r="BA2080" s="19">
        <f>500*55999</f>
        <v>27999500</v>
      </c>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c r="BW2080" s="19"/>
      <c r="BX2080" s="19"/>
      <c r="BY2080" s="19"/>
      <c r="BZ2080" s="19"/>
      <c r="CA2080" s="19"/>
      <c r="CB2080" s="19"/>
      <c r="CC2080" s="19"/>
      <c r="CD2080" s="139"/>
      <c r="CE2080" s="138"/>
      <c r="CF2080" s="139"/>
      <c r="CG2080" s="138"/>
      <c r="CH2080" s="139"/>
      <c r="CI2080" s="138"/>
      <c r="CJ2080" s="72">
        <v>500</v>
      </c>
      <c r="CK2080" s="139">
        <f>500*20999.48</f>
        <v>10499740</v>
      </c>
      <c r="CL2080" s="71"/>
      <c r="CM2080" s="139"/>
      <c r="CN2080" s="138"/>
      <c r="CO2080" s="138"/>
      <c r="CP2080" s="138">
        <v>500</v>
      </c>
      <c r="CQ2080" s="139">
        <f>500*36999.36</f>
        <v>18499680</v>
      </c>
      <c r="CR2080" s="138"/>
      <c r="CS2080" s="45"/>
      <c r="CT2080" s="138"/>
      <c r="CU2080" s="45"/>
      <c r="CV2080" s="99">
        <f t="shared" si="207"/>
        <v>56998920</v>
      </c>
      <c r="CW2080" s="139"/>
      <c r="CX2080" s="138"/>
      <c r="CY2080" s="138">
        <v>500</v>
      </c>
      <c r="CZ2080" s="138">
        <f>500*85000</f>
        <v>42500000</v>
      </c>
      <c r="DA2080" s="139">
        <v>250</v>
      </c>
      <c r="DB2080" s="138">
        <f>250*24999.16</f>
        <v>6249790</v>
      </c>
      <c r="DC2080" s="45">
        <v>500</v>
      </c>
      <c r="DD2080" s="138">
        <f>500*22499.36+3000*348</f>
        <v>12293680</v>
      </c>
      <c r="DE2080" s="45"/>
      <c r="DF2080" s="46"/>
    </row>
    <row r="2081" spans="1:110" s="42" customFormat="1" ht="84" x14ac:dyDescent="0.2">
      <c r="A2081" s="89">
        <v>40801</v>
      </c>
      <c r="B2081" s="151" t="s">
        <v>2225</v>
      </c>
      <c r="C2081" s="90" t="s">
        <v>2205</v>
      </c>
      <c r="D2081" s="90" t="s">
        <v>3346</v>
      </c>
      <c r="E2081" s="90" t="str">
        <f>VLOOKUP(B2081&amp;C2081,Divipola!$C$2:$F$1138,4,FALSE)</f>
        <v>27001</v>
      </c>
      <c r="F2081" s="4"/>
      <c r="G2081" s="166"/>
      <c r="H2081" s="101"/>
      <c r="I2081" s="101"/>
      <c r="J2081" s="101">
        <v>5</v>
      </c>
      <c r="K2081" s="101">
        <v>2</v>
      </c>
      <c r="L2081" s="101"/>
      <c r="M2081" s="101">
        <v>2</v>
      </c>
      <c r="N2081" s="101"/>
      <c r="O2081" s="101"/>
      <c r="P2081" s="101"/>
      <c r="Q2081" s="101"/>
      <c r="R2081" s="101"/>
      <c r="S2081" s="101"/>
      <c r="T2081" s="101"/>
      <c r="U2081" s="101"/>
      <c r="V2081" s="101"/>
      <c r="W2081" s="19"/>
      <c r="X2081" s="17"/>
      <c r="Y2081" s="5">
        <f t="shared" si="202"/>
        <v>0</v>
      </c>
      <c r="Z2081" s="5">
        <f t="shared" si="203"/>
        <v>0</v>
      </c>
      <c r="AA2081" s="5">
        <f t="shared" si="204"/>
        <v>0</v>
      </c>
      <c r="AB2081" s="5">
        <f t="shared" si="205"/>
        <v>0</v>
      </c>
      <c r="AC2081" s="5"/>
      <c r="AD2081" s="5">
        <v>0</v>
      </c>
      <c r="AE2081" s="5">
        <f t="shared" si="206"/>
        <v>0</v>
      </c>
      <c r="AF2081" s="70">
        <v>0</v>
      </c>
      <c r="AG2081" s="17"/>
      <c r="AH2081" s="18"/>
      <c r="AI2081" s="47" t="s">
        <v>4336</v>
      </c>
      <c r="AJ2081" s="73" t="s">
        <v>4337</v>
      </c>
      <c r="AK2081" s="45"/>
      <c r="AL2081" s="17"/>
      <c r="AM2081" s="121" t="s">
        <v>189</v>
      </c>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c r="BW2081" s="19"/>
      <c r="BX2081" s="19"/>
      <c r="BY2081" s="19"/>
      <c r="BZ2081" s="19"/>
      <c r="CA2081" s="19"/>
      <c r="CB2081" s="19"/>
      <c r="CC2081" s="19"/>
      <c r="CD2081" s="139"/>
      <c r="CE2081" s="138"/>
      <c r="CF2081" s="139"/>
      <c r="CG2081" s="138"/>
      <c r="CH2081" s="139"/>
      <c r="CI2081" s="138"/>
      <c r="CJ2081" s="72"/>
      <c r="CK2081" s="139"/>
      <c r="CL2081" s="71"/>
      <c r="CM2081" s="139"/>
      <c r="CN2081" s="138"/>
      <c r="CO2081" s="138"/>
      <c r="CP2081" s="138"/>
      <c r="CQ2081" s="139"/>
      <c r="CR2081" s="138"/>
      <c r="CS2081" s="45"/>
      <c r="CT2081" s="138"/>
      <c r="CU2081" s="45"/>
      <c r="CV2081" s="99">
        <f t="shared" si="207"/>
        <v>0</v>
      </c>
      <c r="CW2081" s="139"/>
      <c r="CX2081" s="138"/>
      <c r="CY2081" s="138"/>
      <c r="CZ2081" s="138"/>
      <c r="DA2081" s="139"/>
      <c r="DB2081" s="138"/>
      <c r="DC2081" s="45"/>
      <c r="DD2081" s="138"/>
      <c r="DE2081" s="45"/>
      <c r="DF2081" s="46"/>
    </row>
    <row r="2082" spans="1:110" s="42" customFormat="1" ht="36" x14ac:dyDescent="0.2">
      <c r="A2082" s="89">
        <v>40801</v>
      </c>
      <c r="B2082" s="90" t="s">
        <v>4350</v>
      </c>
      <c r="C2082" s="90" t="s">
        <v>4339</v>
      </c>
      <c r="D2082" s="90" t="s">
        <v>3346</v>
      </c>
      <c r="E2082" s="90" t="str">
        <f>VLOOKUP(B2082&amp;C2082,Divipola!$C$2:$F$1138,4,FALSE)</f>
        <v>63401</v>
      </c>
      <c r="F2082" s="4"/>
      <c r="G2082" s="101"/>
      <c r="H2082" s="101"/>
      <c r="I2082" s="101"/>
      <c r="J2082" s="101">
        <v>40</v>
      </c>
      <c r="K2082" s="101">
        <v>8</v>
      </c>
      <c r="L2082" s="101"/>
      <c r="M2082" s="101">
        <v>8</v>
      </c>
      <c r="N2082" s="101"/>
      <c r="O2082" s="101"/>
      <c r="P2082" s="101"/>
      <c r="Q2082" s="101"/>
      <c r="R2082" s="101"/>
      <c r="S2082" s="101"/>
      <c r="T2082" s="101"/>
      <c r="U2082" s="101"/>
      <c r="V2082" s="101"/>
      <c r="W2082" s="19"/>
      <c r="X2082" s="17"/>
      <c r="Y2082" s="5">
        <f t="shared" si="202"/>
        <v>0</v>
      </c>
      <c r="Z2082" s="5">
        <f t="shared" si="203"/>
        <v>0</v>
      </c>
      <c r="AA2082" s="5">
        <f t="shared" si="204"/>
        <v>0</v>
      </c>
      <c r="AB2082" s="5">
        <f t="shared" si="205"/>
        <v>0</v>
      </c>
      <c r="AC2082" s="5"/>
      <c r="AD2082" s="5">
        <v>0</v>
      </c>
      <c r="AE2082" s="5">
        <f t="shared" si="206"/>
        <v>0</v>
      </c>
      <c r="AF2082" s="70">
        <v>0</v>
      </c>
      <c r="AG2082" s="17"/>
      <c r="AH2082" s="18"/>
      <c r="AI2082" s="47" t="s">
        <v>4346</v>
      </c>
      <c r="AJ2082" s="73" t="s">
        <v>4347</v>
      </c>
      <c r="AK2082" s="45"/>
      <c r="AL2082" s="89" t="s">
        <v>2798</v>
      </c>
      <c r="AM2082" s="100" t="s">
        <v>188</v>
      </c>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c r="BW2082" s="19"/>
      <c r="BX2082" s="19"/>
      <c r="BY2082" s="19"/>
      <c r="BZ2082" s="19"/>
      <c r="CA2082" s="19"/>
      <c r="CB2082" s="19"/>
      <c r="CC2082" s="19"/>
      <c r="CD2082" s="139"/>
      <c r="CE2082" s="138"/>
      <c r="CF2082" s="139"/>
      <c r="CG2082" s="138"/>
      <c r="CH2082" s="139"/>
      <c r="CI2082" s="138"/>
      <c r="CJ2082" s="72"/>
      <c r="CK2082" s="139"/>
      <c r="CL2082" s="71"/>
      <c r="CM2082" s="139"/>
      <c r="CN2082" s="138"/>
      <c r="CO2082" s="138"/>
      <c r="CP2082" s="138"/>
      <c r="CQ2082" s="139"/>
      <c r="CR2082" s="138"/>
      <c r="CS2082" s="45"/>
      <c r="CT2082" s="138"/>
      <c r="CU2082" s="45"/>
      <c r="CV2082" s="99">
        <f t="shared" si="207"/>
        <v>0</v>
      </c>
      <c r="CW2082" s="139"/>
      <c r="CX2082" s="138"/>
      <c r="CY2082" s="138"/>
      <c r="CZ2082" s="138"/>
      <c r="DA2082" s="139"/>
      <c r="DB2082" s="138"/>
      <c r="DC2082" s="45"/>
      <c r="DD2082" s="138"/>
      <c r="DE2082" s="45"/>
      <c r="DF2082" s="46"/>
    </row>
    <row r="2083" spans="1:110" s="42" customFormat="1" ht="48" x14ac:dyDescent="0.2">
      <c r="A2083" s="89">
        <v>40801</v>
      </c>
      <c r="B2083" s="90" t="s">
        <v>4350</v>
      </c>
      <c r="C2083" s="90" t="s">
        <v>3507</v>
      </c>
      <c r="D2083" s="90" t="s">
        <v>3346</v>
      </c>
      <c r="E2083" s="90" t="str">
        <f>VLOOKUP(B2083&amp;C2083,Divipola!$C$2:$F$1138,4,FALSE)</f>
        <v>63470</v>
      </c>
      <c r="F2083" s="4"/>
      <c r="G2083" s="166"/>
      <c r="H2083" s="101"/>
      <c r="I2083" s="101"/>
      <c r="J2083" s="101">
        <v>60</v>
      </c>
      <c r="K2083" s="101">
        <v>12</v>
      </c>
      <c r="L2083" s="101"/>
      <c r="M2083" s="101">
        <v>12</v>
      </c>
      <c r="N2083" s="101"/>
      <c r="O2083" s="101"/>
      <c r="P2083" s="101"/>
      <c r="Q2083" s="101"/>
      <c r="R2083" s="101"/>
      <c r="S2083" s="101"/>
      <c r="T2083" s="101"/>
      <c r="U2083" s="101"/>
      <c r="V2083" s="101"/>
      <c r="W2083" s="19"/>
      <c r="X2083" s="17"/>
      <c r="Y2083" s="5">
        <f t="shared" si="202"/>
        <v>0</v>
      </c>
      <c r="Z2083" s="5">
        <f t="shared" si="203"/>
        <v>0</v>
      </c>
      <c r="AA2083" s="5">
        <f t="shared" si="204"/>
        <v>0</v>
      </c>
      <c r="AB2083" s="5">
        <f t="shared" si="205"/>
        <v>0</v>
      </c>
      <c r="AC2083" s="5"/>
      <c r="AD2083" s="5">
        <v>0</v>
      </c>
      <c r="AE2083" s="5">
        <f t="shared" si="206"/>
        <v>0</v>
      </c>
      <c r="AF2083" s="70">
        <v>0</v>
      </c>
      <c r="AG2083" s="17"/>
      <c r="AH2083" s="18"/>
      <c r="AI2083" s="47" t="s">
        <v>4346</v>
      </c>
      <c r="AJ2083" s="73" t="s">
        <v>4347</v>
      </c>
      <c r="AK2083" s="45"/>
      <c r="AL2083" s="89" t="s">
        <v>2798</v>
      </c>
      <c r="AM2083" s="100" t="s">
        <v>187</v>
      </c>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c r="BW2083" s="19"/>
      <c r="BX2083" s="19"/>
      <c r="BY2083" s="19"/>
      <c r="BZ2083" s="19"/>
      <c r="CA2083" s="19"/>
      <c r="CB2083" s="19"/>
      <c r="CC2083" s="19"/>
      <c r="CD2083" s="139"/>
      <c r="CE2083" s="138"/>
      <c r="CF2083" s="139"/>
      <c r="CG2083" s="138"/>
      <c r="CH2083" s="139"/>
      <c r="CI2083" s="138"/>
      <c r="CJ2083" s="72"/>
      <c r="CK2083" s="139"/>
      <c r="CL2083" s="71"/>
      <c r="CM2083" s="139"/>
      <c r="CN2083" s="138"/>
      <c r="CO2083" s="138"/>
      <c r="CP2083" s="138"/>
      <c r="CQ2083" s="139"/>
      <c r="CR2083" s="138"/>
      <c r="CS2083" s="45"/>
      <c r="CT2083" s="138"/>
      <c r="CU2083" s="45"/>
      <c r="CV2083" s="99">
        <f t="shared" si="207"/>
        <v>0</v>
      </c>
      <c r="CW2083" s="139"/>
      <c r="CX2083" s="138"/>
      <c r="CY2083" s="138"/>
      <c r="CZ2083" s="138"/>
      <c r="DA2083" s="139"/>
      <c r="DB2083" s="138"/>
      <c r="DC2083" s="45"/>
      <c r="DD2083" s="138"/>
      <c r="DE2083" s="45"/>
      <c r="DF2083" s="46"/>
    </row>
    <row r="2084" spans="1:110" s="42" customFormat="1" ht="36" x14ac:dyDescent="0.2">
      <c r="A2084" s="89">
        <v>40801</v>
      </c>
      <c r="B2084" s="196" t="s">
        <v>4348</v>
      </c>
      <c r="C2084" s="197" t="s">
        <v>1957</v>
      </c>
      <c r="D2084" s="90" t="s">
        <v>2362</v>
      </c>
      <c r="E2084" s="90" t="str">
        <f>VLOOKUP(B2084&amp;C2084,Divipola!$C$2:$F$1138,4,FALSE)</f>
        <v>66572</v>
      </c>
      <c r="F2084" s="4"/>
      <c r="G2084" s="223"/>
      <c r="H2084" s="194"/>
      <c r="I2084" s="194"/>
      <c r="J2084" s="194"/>
      <c r="K2084" s="194"/>
      <c r="L2084" s="194"/>
      <c r="M2084" s="194"/>
      <c r="N2084" s="194"/>
      <c r="O2084" s="194"/>
      <c r="P2084" s="194"/>
      <c r="Q2084" s="194">
        <v>3</v>
      </c>
      <c r="R2084" s="194"/>
      <c r="S2084" s="194"/>
      <c r="T2084" s="194"/>
      <c r="U2084" s="194"/>
      <c r="V2084" s="194"/>
      <c r="W2084" s="19"/>
      <c r="X2084" s="17"/>
      <c r="Y2084" s="5">
        <f t="shared" si="202"/>
        <v>0</v>
      </c>
      <c r="Z2084" s="5">
        <f t="shared" si="203"/>
        <v>0</v>
      </c>
      <c r="AA2084" s="5">
        <f t="shared" si="204"/>
        <v>0</v>
      </c>
      <c r="AB2084" s="5">
        <f t="shared" si="205"/>
        <v>0</v>
      </c>
      <c r="AC2084" s="5"/>
      <c r="AD2084" s="5">
        <v>0</v>
      </c>
      <c r="AE2084" s="5">
        <f t="shared" si="206"/>
        <v>0</v>
      </c>
      <c r="AF2084" s="70">
        <v>0</v>
      </c>
      <c r="AG2084" s="17"/>
      <c r="AH2084" s="18"/>
      <c r="AI2084" s="47" t="s">
        <v>4336</v>
      </c>
      <c r="AJ2084" s="73" t="s">
        <v>4337</v>
      </c>
      <c r="AK2084" s="45"/>
      <c r="AL2084" s="17"/>
      <c r="AM2084" s="195" t="s">
        <v>4895</v>
      </c>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c r="BV2084" s="19"/>
      <c r="BW2084" s="19"/>
      <c r="BX2084" s="19"/>
      <c r="BY2084" s="19"/>
      <c r="BZ2084" s="19"/>
      <c r="CA2084" s="19"/>
      <c r="CB2084" s="19"/>
      <c r="CC2084" s="19"/>
      <c r="CD2084" s="139"/>
      <c r="CE2084" s="138"/>
      <c r="CF2084" s="139"/>
      <c r="CG2084" s="138"/>
      <c r="CH2084" s="139"/>
      <c r="CI2084" s="138"/>
      <c r="CJ2084" s="72"/>
      <c r="CK2084" s="139"/>
      <c r="CL2084" s="71"/>
      <c r="CM2084" s="139"/>
      <c r="CN2084" s="138"/>
      <c r="CO2084" s="138"/>
      <c r="CP2084" s="138"/>
      <c r="CQ2084" s="139"/>
      <c r="CR2084" s="138"/>
      <c r="CS2084" s="45"/>
      <c r="CT2084" s="138"/>
      <c r="CU2084" s="45"/>
      <c r="CV2084" s="99">
        <f t="shared" si="207"/>
        <v>0</v>
      </c>
      <c r="CW2084" s="139"/>
      <c r="CX2084" s="138"/>
      <c r="CY2084" s="138"/>
      <c r="CZ2084" s="138"/>
      <c r="DA2084" s="139"/>
      <c r="DB2084" s="138"/>
      <c r="DC2084" s="45"/>
      <c r="DD2084" s="138"/>
      <c r="DE2084" s="45"/>
      <c r="DF2084" s="46"/>
    </row>
    <row r="2085" spans="1:110" s="42" customFormat="1" ht="60" x14ac:dyDescent="0.2">
      <c r="A2085" s="89">
        <v>40802</v>
      </c>
      <c r="B2085" s="151" t="s">
        <v>2218</v>
      </c>
      <c r="C2085" s="90" t="s">
        <v>4266</v>
      </c>
      <c r="D2085" s="90" t="s">
        <v>4264</v>
      </c>
      <c r="E2085" s="90" t="str">
        <f>VLOOKUP(B2085&amp;C2085,Divipola!$C$2:$F$1138,4,FALSE)</f>
        <v>05088</v>
      </c>
      <c r="F2085" s="4"/>
      <c r="G2085" s="166"/>
      <c r="H2085" s="101"/>
      <c r="I2085" s="101"/>
      <c r="J2085" s="101">
        <v>300</v>
      </c>
      <c r="K2085" s="101">
        <v>60</v>
      </c>
      <c r="L2085" s="101"/>
      <c r="M2085" s="101">
        <v>60</v>
      </c>
      <c r="N2085" s="101"/>
      <c r="O2085" s="101"/>
      <c r="P2085" s="101"/>
      <c r="Q2085" s="101"/>
      <c r="R2085" s="101"/>
      <c r="S2085" s="101"/>
      <c r="T2085" s="101"/>
      <c r="U2085" s="101"/>
      <c r="V2085" s="101"/>
      <c r="W2085" s="19"/>
      <c r="X2085" s="17"/>
      <c r="Y2085" s="5">
        <f t="shared" si="202"/>
        <v>0</v>
      </c>
      <c r="Z2085" s="5">
        <f t="shared" si="203"/>
        <v>0</v>
      </c>
      <c r="AA2085" s="5">
        <f t="shared" si="204"/>
        <v>0</v>
      </c>
      <c r="AB2085" s="5">
        <f t="shared" si="205"/>
        <v>0</v>
      </c>
      <c r="AC2085" s="5"/>
      <c r="AD2085" s="5">
        <v>0</v>
      </c>
      <c r="AE2085" s="5">
        <f t="shared" si="206"/>
        <v>0</v>
      </c>
      <c r="AF2085" s="70">
        <v>0</v>
      </c>
      <c r="AG2085" s="17"/>
      <c r="AH2085" s="18"/>
      <c r="AI2085" s="47" t="s">
        <v>4336</v>
      </c>
      <c r="AJ2085" s="73" t="s">
        <v>4337</v>
      </c>
      <c r="AK2085" s="45"/>
      <c r="AL2085" s="17"/>
      <c r="AM2085" s="121" t="s">
        <v>4455</v>
      </c>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c r="BV2085" s="19"/>
      <c r="BW2085" s="19"/>
      <c r="BX2085" s="19"/>
      <c r="BY2085" s="19"/>
      <c r="BZ2085" s="19"/>
      <c r="CA2085" s="19"/>
      <c r="CB2085" s="19"/>
      <c r="CC2085" s="19"/>
      <c r="CD2085" s="139"/>
      <c r="CE2085" s="138"/>
      <c r="CF2085" s="139"/>
      <c r="CG2085" s="138"/>
      <c r="CH2085" s="139"/>
      <c r="CI2085" s="138"/>
      <c r="CJ2085" s="72"/>
      <c r="CK2085" s="139"/>
      <c r="CL2085" s="71"/>
      <c r="CM2085" s="139"/>
      <c r="CN2085" s="138"/>
      <c r="CO2085" s="138"/>
      <c r="CP2085" s="138"/>
      <c r="CQ2085" s="139"/>
      <c r="CR2085" s="138"/>
      <c r="CS2085" s="45"/>
      <c r="CT2085" s="138"/>
      <c r="CU2085" s="45"/>
      <c r="CV2085" s="99">
        <f t="shared" si="207"/>
        <v>0</v>
      </c>
      <c r="CW2085" s="139"/>
      <c r="CX2085" s="138"/>
      <c r="CY2085" s="138"/>
      <c r="CZ2085" s="138"/>
      <c r="DA2085" s="139"/>
      <c r="DB2085" s="138"/>
      <c r="DC2085" s="45"/>
      <c r="DD2085" s="138"/>
      <c r="DE2085" s="45"/>
      <c r="DF2085" s="46">
        <v>1958</v>
      </c>
    </row>
    <row r="2086" spans="1:110" s="42" customFormat="1" ht="60" x14ac:dyDescent="0.2">
      <c r="A2086" s="89">
        <v>40802</v>
      </c>
      <c r="B2086" s="151" t="s">
        <v>4326</v>
      </c>
      <c r="C2086" s="90" t="s">
        <v>4338</v>
      </c>
      <c r="D2086" s="90" t="s">
        <v>4264</v>
      </c>
      <c r="E2086" s="90" t="str">
        <f>VLOOKUP(B2086&amp;C2086,Divipola!$C$2:$F$1138,4,FALSE)</f>
        <v>08001</v>
      </c>
      <c r="F2086" s="4"/>
      <c r="G2086" s="166"/>
      <c r="H2086" s="101"/>
      <c r="I2086" s="101"/>
      <c r="J2086" s="101">
        <v>105</v>
      </c>
      <c r="K2086" s="101">
        <v>21</v>
      </c>
      <c r="L2086" s="101"/>
      <c r="M2086" s="101">
        <v>21</v>
      </c>
      <c r="N2086" s="101"/>
      <c r="O2086" s="101"/>
      <c r="P2086" s="101"/>
      <c r="Q2086" s="101"/>
      <c r="R2086" s="101"/>
      <c r="S2086" s="101"/>
      <c r="T2086" s="101"/>
      <c r="U2086" s="101"/>
      <c r="V2086" s="101"/>
      <c r="W2086" s="19"/>
      <c r="X2086" s="17"/>
      <c r="Y2086" s="5">
        <f t="shared" si="202"/>
        <v>0</v>
      </c>
      <c r="Z2086" s="5">
        <f t="shared" si="203"/>
        <v>0</v>
      </c>
      <c r="AA2086" s="5">
        <f t="shared" si="204"/>
        <v>0</v>
      </c>
      <c r="AB2086" s="5">
        <f t="shared" si="205"/>
        <v>0</v>
      </c>
      <c r="AC2086" s="5"/>
      <c r="AD2086" s="5">
        <v>0</v>
      </c>
      <c r="AE2086" s="5">
        <f t="shared" si="206"/>
        <v>0</v>
      </c>
      <c r="AF2086" s="70">
        <v>0</v>
      </c>
      <c r="AG2086" s="17"/>
      <c r="AH2086" s="18"/>
      <c r="AI2086" s="47" t="s">
        <v>4346</v>
      </c>
      <c r="AJ2086" s="73" t="s">
        <v>4347</v>
      </c>
      <c r="AK2086" s="45"/>
      <c r="AL2086" s="207" t="s">
        <v>4769</v>
      </c>
      <c r="AM2086" s="121" t="s">
        <v>4457</v>
      </c>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39"/>
      <c r="CE2086" s="138"/>
      <c r="CF2086" s="139"/>
      <c r="CG2086" s="138"/>
      <c r="CH2086" s="139"/>
      <c r="CI2086" s="138"/>
      <c r="CJ2086" s="72"/>
      <c r="CK2086" s="139"/>
      <c r="CL2086" s="71"/>
      <c r="CM2086" s="139"/>
      <c r="CN2086" s="138"/>
      <c r="CO2086" s="138"/>
      <c r="CP2086" s="138"/>
      <c r="CQ2086" s="139"/>
      <c r="CR2086" s="138"/>
      <c r="CS2086" s="45"/>
      <c r="CT2086" s="138"/>
      <c r="CU2086" s="45"/>
      <c r="CV2086" s="99">
        <f t="shared" si="207"/>
        <v>0</v>
      </c>
      <c r="CW2086" s="139"/>
      <c r="CX2086" s="138"/>
      <c r="CY2086" s="138"/>
      <c r="CZ2086" s="138"/>
      <c r="DA2086" s="139"/>
      <c r="DB2086" s="138"/>
      <c r="DC2086" s="45"/>
      <c r="DD2086" s="138"/>
      <c r="DE2086" s="45"/>
      <c r="DF2086" s="46"/>
    </row>
    <row r="2087" spans="1:110" s="42" customFormat="1" x14ac:dyDescent="0.2">
      <c r="A2087" s="89">
        <v>40802</v>
      </c>
      <c r="B2087" s="16" t="s">
        <v>4326</v>
      </c>
      <c r="C2087" s="16" t="s">
        <v>4345</v>
      </c>
      <c r="D2087" s="90" t="s">
        <v>4264</v>
      </c>
      <c r="E2087" s="90">
        <f>VLOOKUP(B2087&amp;C2087,Divipola!$C$2:$F$1138,4,FALSE)</f>
        <v>8</v>
      </c>
      <c r="F2087" s="4"/>
      <c r="G2087" s="326"/>
      <c r="H2087" s="208"/>
      <c r="I2087" s="208"/>
      <c r="J2087" s="208"/>
      <c r="K2087" s="208"/>
      <c r="L2087" s="208"/>
      <c r="M2087" s="208"/>
      <c r="N2087" s="208"/>
      <c r="O2087" s="208"/>
      <c r="P2087" s="208"/>
      <c r="Q2087" s="208"/>
      <c r="R2087" s="208"/>
      <c r="S2087" s="208"/>
      <c r="T2087" s="208"/>
      <c r="U2087" s="208"/>
      <c r="V2087" s="208"/>
      <c r="W2087" s="19"/>
      <c r="X2087" s="17"/>
      <c r="Y2087" s="5">
        <f t="shared" si="202"/>
        <v>0</v>
      </c>
      <c r="Z2087" s="5">
        <f t="shared" si="203"/>
        <v>0</v>
      </c>
      <c r="AA2087" s="5">
        <f t="shared" si="204"/>
        <v>0</v>
      </c>
      <c r="AB2087" s="5">
        <f t="shared" si="205"/>
        <v>273180000</v>
      </c>
      <c r="AC2087" s="5"/>
      <c r="AD2087" s="5">
        <v>0</v>
      </c>
      <c r="AE2087" s="5">
        <f t="shared" si="206"/>
        <v>273180000</v>
      </c>
      <c r="AF2087" s="70">
        <v>0</v>
      </c>
      <c r="AG2087" s="17"/>
      <c r="AH2087" s="18"/>
      <c r="AI2087" s="47" t="s">
        <v>4346</v>
      </c>
      <c r="AJ2087" s="73" t="s">
        <v>4347</v>
      </c>
      <c r="AK2087" s="45"/>
      <c r="AL2087" s="17"/>
      <c r="AM2087" s="20"/>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c r="BV2087" s="19"/>
      <c r="BW2087" s="19"/>
      <c r="BX2087" s="19"/>
      <c r="BY2087" s="19"/>
      <c r="BZ2087" s="19"/>
      <c r="CA2087" s="19"/>
      <c r="CB2087" s="19"/>
      <c r="CC2087" s="19"/>
      <c r="CD2087" s="139"/>
      <c r="CE2087" s="138"/>
      <c r="CF2087" s="139"/>
      <c r="CG2087" s="138"/>
      <c r="CH2087" s="139"/>
      <c r="CI2087" s="138"/>
      <c r="CJ2087" s="72"/>
      <c r="CK2087" s="139"/>
      <c r="CL2087" s="71"/>
      <c r="CM2087" s="139"/>
      <c r="CN2087" s="138"/>
      <c r="CO2087" s="138"/>
      <c r="CP2087" s="138"/>
      <c r="CQ2087" s="139"/>
      <c r="CR2087" s="138"/>
      <c r="CS2087" s="45"/>
      <c r="CT2087" s="138"/>
      <c r="CU2087" s="45"/>
      <c r="CV2087" s="99">
        <f t="shared" si="207"/>
        <v>0</v>
      </c>
      <c r="CW2087" s="139">
        <v>300000</v>
      </c>
      <c r="CX2087" s="138">
        <f>300000*910.6</f>
        <v>273180000</v>
      </c>
      <c r="CY2087" s="138"/>
      <c r="CZ2087" s="138"/>
      <c r="DA2087" s="139"/>
      <c r="DB2087" s="138"/>
      <c r="DC2087" s="45"/>
      <c r="DD2087" s="138"/>
      <c r="DE2087" s="45"/>
      <c r="DF2087" s="46"/>
    </row>
    <row r="2088" spans="1:110" s="42" customFormat="1" ht="84" x14ac:dyDescent="0.2">
      <c r="A2088" s="89">
        <v>40802</v>
      </c>
      <c r="B2088" s="16" t="s">
        <v>4326</v>
      </c>
      <c r="C2088" s="16" t="s">
        <v>4345</v>
      </c>
      <c r="D2088" s="90" t="s">
        <v>4264</v>
      </c>
      <c r="E2088" s="90">
        <f>VLOOKUP(B2088&amp;C2088,Divipola!$C$2:$F$1138,4,FALSE)</f>
        <v>8</v>
      </c>
      <c r="F2088" s="4"/>
      <c r="G2088" s="326"/>
      <c r="H2088" s="208"/>
      <c r="I2088" s="208"/>
      <c r="J2088" s="208"/>
      <c r="K2088" s="208"/>
      <c r="L2088" s="208"/>
      <c r="M2088" s="208"/>
      <c r="N2088" s="208"/>
      <c r="O2088" s="208"/>
      <c r="P2088" s="208"/>
      <c r="Q2088" s="208"/>
      <c r="R2088" s="208"/>
      <c r="S2088" s="208"/>
      <c r="T2088" s="208"/>
      <c r="U2088" s="208"/>
      <c r="V2088" s="208"/>
      <c r="W2088" s="19"/>
      <c r="X2088" s="17"/>
      <c r="Y2088" s="5">
        <f t="shared" si="202"/>
        <v>0</v>
      </c>
      <c r="Z2088" s="5">
        <f t="shared" si="203"/>
        <v>0</v>
      </c>
      <c r="AA2088" s="5">
        <f t="shared" si="204"/>
        <v>0</v>
      </c>
      <c r="AB2088" s="5">
        <f t="shared" si="205"/>
        <v>0</v>
      </c>
      <c r="AC2088" s="159">
        <f>40*26448+40*39440+40*32480+40*8120+40*24360+5*52200+5*74008+4*786480</f>
        <v>9010880</v>
      </c>
      <c r="AD2088" s="5">
        <v>0</v>
      </c>
      <c r="AE2088" s="5">
        <f t="shared" si="206"/>
        <v>9010880</v>
      </c>
      <c r="AF2088" s="70">
        <v>0</v>
      </c>
      <c r="AG2088" s="17"/>
      <c r="AH2088" s="18"/>
      <c r="AI2088" s="47" t="s">
        <v>4346</v>
      </c>
      <c r="AJ2088" s="73" t="s">
        <v>4347</v>
      </c>
      <c r="AK2088" s="45"/>
      <c r="AL2088" s="17"/>
      <c r="AM2088" s="154" t="s">
        <v>4845</v>
      </c>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c r="BV2088" s="19"/>
      <c r="BW2088" s="19"/>
      <c r="BX2088" s="19"/>
      <c r="BY2088" s="19"/>
      <c r="BZ2088" s="19"/>
      <c r="CA2088" s="19"/>
      <c r="CB2088" s="19"/>
      <c r="CC2088" s="19"/>
      <c r="CD2088" s="139"/>
      <c r="CE2088" s="138"/>
      <c r="CF2088" s="139"/>
      <c r="CG2088" s="138"/>
      <c r="CH2088" s="139"/>
      <c r="CI2088" s="138"/>
      <c r="CJ2088" s="72"/>
      <c r="CK2088" s="139"/>
      <c r="CL2088" s="71"/>
      <c r="CM2088" s="139"/>
      <c r="CN2088" s="138"/>
      <c r="CO2088" s="138"/>
      <c r="CP2088" s="138"/>
      <c r="CQ2088" s="139"/>
      <c r="CR2088" s="138"/>
      <c r="CS2088" s="45"/>
      <c r="CT2088" s="138"/>
      <c r="CU2088" s="45"/>
      <c r="CV2088" s="99">
        <f t="shared" si="207"/>
        <v>0</v>
      </c>
      <c r="CW2088" s="139"/>
      <c r="CX2088" s="138"/>
      <c r="CY2088" s="138"/>
      <c r="CZ2088" s="138"/>
      <c r="DA2088" s="139"/>
      <c r="DB2088" s="138"/>
      <c r="DC2088" s="45"/>
      <c r="DD2088" s="138"/>
      <c r="DE2088" s="45"/>
      <c r="DF2088" s="46"/>
    </row>
    <row r="2089" spans="1:110" s="42" customFormat="1" ht="96" x14ac:dyDescent="0.2">
      <c r="A2089" s="89">
        <v>40802</v>
      </c>
      <c r="B2089" s="90" t="s">
        <v>3358</v>
      </c>
      <c r="C2089" s="90" t="s">
        <v>4253</v>
      </c>
      <c r="D2089" s="90" t="s">
        <v>4298</v>
      </c>
      <c r="E2089" s="90" t="str">
        <f>VLOOKUP(B2089&amp;C2089,Divipola!$C$2:$F$1138,4,FALSE)</f>
        <v>18001</v>
      </c>
      <c r="F2089" s="4"/>
      <c r="G2089" s="166"/>
      <c r="H2089" s="101"/>
      <c r="I2089" s="101"/>
      <c r="J2089" s="101">
        <v>25</v>
      </c>
      <c r="K2089" s="101">
        <v>6</v>
      </c>
      <c r="L2089" s="101">
        <v>5</v>
      </c>
      <c r="M2089" s="101"/>
      <c r="N2089" s="101"/>
      <c r="O2089" s="101"/>
      <c r="P2089" s="101"/>
      <c r="Q2089" s="101"/>
      <c r="R2089" s="101"/>
      <c r="S2089" s="101"/>
      <c r="T2089" s="101"/>
      <c r="U2089" s="101"/>
      <c r="V2089" s="101"/>
      <c r="W2089" s="19"/>
      <c r="X2089" s="17"/>
      <c r="Y2089" s="5">
        <f t="shared" si="202"/>
        <v>0</v>
      </c>
      <c r="Z2089" s="5">
        <f t="shared" si="203"/>
        <v>0</v>
      </c>
      <c r="AA2089" s="5">
        <f t="shared" si="204"/>
        <v>0</v>
      </c>
      <c r="AB2089" s="5">
        <f t="shared" si="205"/>
        <v>0</v>
      </c>
      <c r="AC2089" s="5"/>
      <c r="AD2089" s="5">
        <v>0</v>
      </c>
      <c r="AE2089" s="5">
        <f t="shared" si="206"/>
        <v>0</v>
      </c>
      <c r="AF2089" s="70">
        <v>0</v>
      </c>
      <c r="AG2089" s="17"/>
      <c r="AH2089" s="18"/>
      <c r="AI2089" s="47" t="s">
        <v>4336</v>
      </c>
      <c r="AJ2089" s="73" t="s">
        <v>4337</v>
      </c>
      <c r="AK2089" s="45"/>
      <c r="AL2089" s="17"/>
      <c r="AM2089" s="100" t="s">
        <v>4450</v>
      </c>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c r="BW2089" s="19"/>
      <c r="BX2089" s="19"/>
      <c r="BY2089" s="19"/>
      <c r="BZ2089" s="19"/>
      <c r="CA2089" s="19"/>
      <c r="CB2089" s="19"/>
      <c r="CC2089" s="19"/>
      <c r="CD2089" s="139"/>
      <c r="CE2089" s="138"/>
      <c r="CF2089" s="139"/>
      <c r="CG2089" s="138"/>
      <c r="CH2089" s="139"/>
      <c r="CI2089" s="138"/>
      <c r="CJ2089" s="72"/>
      <c r="CK2089" s="139"/>
      <c r="CL2089" s="71"/>
      <c r="CM2089" s="139"/>
      <c r="CN2089" s="138"/>
      <c r="CO2089" s="138"/>
      <c r="CP2089" s="138"/>
      <c r="CQ2089" s="139"/>
      <c r="CR2089" s="138"/>
      <c r="CS2089" s="45"/>
      <c r="CT2089" s="138"/>
      <c r="CU2089" s="45"/>
      <c r="CV2089" s="99">
        <f t="shared" si="207"/>
        <v>0</v>
      </c>
      <c r="CW2089" s="139"/>
      <c r="CX2089" s="138"/>
      <c r="CY2089" s="138"/>
      <c r="CZ2089" s="138"/>
      <c r="DA2089" s="139"/>
      <c r="DB2089" s="138"/>
      <c r="DC2089" s="45"/>
      <c r="DD2089" s="138"/>
      <c r="DE2089" s="45"/>
      <c r="DF2089" s="46"/>
    </row>
    <row r="2090" spans="1:110" s="42" customFormat="1" ht="60" x14ac:dyDescent="0.2">
      <c r="A2090" s="89">
        <v>40802</v>
      </c>
      <c r="B2090" s="151" t="s">
        <v>2225</v>
      </c>
      <c r="C2090" s="90" t="s">
        <v>3318</v>
      </c>
      <c r="D2090" s="90" t="s">
        <v>3346</v>
      </c>
      <c r="E2090" s="90" t="str">
        <f>VLOOKUP(B2090&amp;C2090,Divipola!$C$2:$F$1138,4,FALSE)</f>
        <v>27073</v>
      </c>
      <c r="F2090" s="4"/>
      <c r="G2090" s="166"/>
      <c r="H2090" s="101"/>
      <c r="I2090" s="101"/>
      <c r="J2090" s="101">
        <v>56</v>
      </c>
      <c r="K2090" s="101">
        <v>10</v>
      </c>
      <c r="L2090" s="101"/>
      <c r="M2090" s="101">
        <v>10</v>
      </c>
      <c r="N2090" s="101"/>
      <c r="O2090" s="101"/>
      <c r="P2090" s="101"/>
      <c r="Q2090" s="101"/>
      <c r="R2090" s="101"/>
      <c r="S2090" s="101"/>
      <c r="T2090" s="101"/>
      <c r="U2090" s="101"/>
      <c r="V2090" s="101"/>
      <c r="W2090" s="19"/>
      <c r="X2090" s="17"/>
      <c r="Y2090" s="5">
        <f t="shared" si="202"/>
        <v>0</v>
      </c>
      <c r="Z2090" s="5">
        <f t="shared" si="203"/>
        <v>0</v>
      </c>
      <c r="AA2090" s="5">
        <f t="shared" si="204"/>
        <v>0</v>
      </c>
      <c r="AB2090" s="5">
        <f t="shared" si="205"/>
        <v>0</v>
      </c>
      <c r="AC2090" s="5"/>
      <c r="AD2090" s="5">
        <v>0</v>
      </c>
      <c r="AE2090" s="5">
        <f t="shared" si="206"/>
        <v>0</v>
      </c>
      <c r="AF2090" s="70">
        <v>0</v>
      </c>
      <c r="AG2090" s="17"/>
      <c r="AH2090" s="18"/>
      <c r="AI2090" s="47" t="s">
        <v>4336</v>
      </c>
      <c r="AJ2090" s="73" t="s">
        <v>4337</v>
      </c>
      <c r="AK2090" s="45"/>
      <c r="AL2090" s="17"/>
      <c r="AM2090" s="121" t="s">
        <v>4452</v>
      </c>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c r="BW2090" s="19"/>
      <c r="BX2090" s="19"/>
      <c r="BY2090" s="19"/>
      <c r="BZ2090" s="19"/>
      <c r="CA2090" s="19"/>
      <c r="CB2090" s="19"/>
      <c r="CC2090" s="19"/>
      <c r="CD2090" s="139"/>
      <c r="CE2090" s="138"/>
      <c r="CF2090" s="139"/>
      <c r="CG2090" s="138"/>
      <c r="CH2090" s="139"/>
      <c r="CI2090" s="138"/>
      <c r="CJ2090" s="72"/>
      <c r="CK2090" s="139"/>
      <c r="CL2090" s="71"/>
      <c r="CM2090" s="139"/>
      <c r="CN2090" s="138"/>
      <c r="CO2090" s="138"/>
      <c r="CP2090" s="138"/>
      <c r="CQ2090" s="139"/>
      <c r="CR2090" s="138"/>
      <c r="CS2090" s="45"/>
      <c r="CT2090" s="138"/>
      <c r="CU2090" s="45"/>
      <c r="CV2090" s="99">
        <f t="shared" si="207"/>
        <v>0</v>
      </c>
      <c r="CW2090" s="139"/>
      <c r="CX2090" s="138"/>
      <c r="CY2090" s="138"/>
      <c r="CZ2090" s="138"/>
      <c r="DA2090" s="139"/>
      <c r="DB2090" s="138"/>
      <c r="DC2090" s="45"/>
      <c r="DD2090" s="138"/>
      <c r="DE2090" s="45"/>
      <c r="DF2090" s="46"/>
    </row>
    <row r="2091" spans="1:110" s="42" customFormat="1" ht="96" x14ac:dyDescent="0.2">
      <c r="A2091" s="89">
        <v>40802</v>
      </c>
      <c r="B2091" s="151" t="s">
        <v>874</v>
      </c>
      <c r="C2091" s="90" t="s">
        <v>3541</v>
      </c>
      <c r="D2091" s="90" t="s">
        <v>3346</v>
      </c>
      <c r="E2091" s="90" t="str">
        <f>VLOOKUP(B2091&amp;C2091,Divipola!$C$2:$F$1138,4,FALSE)</f>
        <v>44001</v>
      </c>
      <c r="F2091" s="4"/>
      <c r="G2091" s="166"/>
      <c r="H2091" s="101"/>
      <c r="I2091" s="101"/>
      <c r="J2091" s="101">
        <v>153</v>
      </c>
      <c r="K2091" s="101">
        <v>34</v>
      </c>
      <c r="L2091" s="101">
        <v>2</v>
      </c>
      <c r="M2091" s="101">
        <v>32</v>
      </c>
      <c r="N2091" s="101"/>
      <c r="O2091" s="101"/>
      <c r="P2091" s="101"/>
      <c r="Q2091" s="101"/>
      <c r="R2091" s="101"/>
      <c r="S2091" s="101"/>
      <c r="T2091" s="101"/>
      <c r="U2091" s="101"/>
      <c r="V2091" s="101"/>
      <c r="W2091" s="19"/>
      <c r="X2091" s="17"/>
      <c r="Y2091" s="5">
        <f t="shared" si="202"/>
        <v>0</v>
      </c>
      <c r="Z2091" s="5">
        <f t="shared" si="203"/>
        <v>0</v>
      </c>
      <c r="AA2091" s="5">
        <f t="shared" si="204"/>
        <v>0</v>
      </c>
      <c r="AB2091" s="5">
        <f t="shared" si="205"/>
        <v>0</v>
      </c>
      <c r="AC2091" s="5"/>
      <c r="AD2091" s="5">
        <v>0</v>
      </c>
      <c r="AE2091" s="5">
        <f t="shared" si="206"/>
        <v>0</v>
      </c>
      <c r="AF2091" s="70">
        <v>0</v>
      </c>
      <c r="AG2091" s="17"/>
      <c r="AH2091" s="18"/>
      <c r="AI2091" s="47" t="s">
        <v>4336</v>
      </c>
      <c r="AJ2091" s="73" t="s">
        <v>4337</v>
      </c>
      <c r="AK2091" s="45"/>
      <c r="AL2091" s="17"/>
      <c r="AM2091" s="121" t="s">
        <v>4454</v>
      </c>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c r="BW2091" s="19"/>
      <c r="BX2091" s="19"/>
      <c r="BY2091" s="19"/>
      <c r="BZ2091" s="19"/>
      <c r="CA2091" s="19"/>
      <c r="CB2091" s="19"/>
      <c r="CC2091" s="19"/>
      <c r="CD2091" s="139"/>
      <c r="CE2091" s="138"/>
      <c r="CF2091" s="139"/>
      <c r="CG2091" s="138"/>
      <c r="CH2091" s="139"/>
      <c r="CI2091" s="138"/>
      <c r="CJ2091" s="72"/>
      <c r="CK2091" s="139"/>
      <c r="CL2091" s="71"/>
      <c r="CM2091" s="139"/>
      <c r="CN2091" s="138"/>
      <c r="CO2091" s="138"/>
      <c r="CP2091" s="138"/>
      <c r="CQ2091" s="139"/>
      <c r="CR2091" s="138"/>
      <c r="CS2091" s="45"/>
      <c r="CT2091" s="138"/>
      <c r="CU2091" s="45"/>
      <c r="CV2091" s="99">
        <f t="shared" si="207"/>
        <v>0</v>
      </c>
      <c r="CW2091" s="139"/>
      <c r="CX2091" s="138"/>
      <c r="CY2091" s="138"/>
      <c r="CZ2091" s="138"/>
      <c r="DA2091" s="139"/>
      <c r="DB2091" s="138"/>
      <c r="DC2091" s="45"/>
      <c r="DD2091" s="138"/>
      <c r="DE2091" s="45"/>
      <c r="DF2091" s="46"/>
    </row>
    <row r="2092" spans="1:110" s="42" customFormat="1" ht="132" x14ac:dyDescent="0.2">
      <c r="A2092" s="89">
        <v>40802</v>
      </c>
      <c r="B2092" s="90" t="s">
        <v>874</v>
      </c>
      <c r="C2092" s="90" t="s">
        <v>3541</v>
      </c>
      <c r="D2092" s="90" t="s">
        <v>4264</v>
      </c>
      <c r="E2092" s="90" t="str">
        <f>VLOOKUP(B2092&amp;C2092,Divipola!$C$2:$F$1138,4,FALSE)</f>
        <v>44001</v>
      </c>
      <c r="F2092" s="4"/>
      <c r="G2092" s="166"/>
      <c r="H2092" s="101"/>
      <c r="I2092" s="101"/>
      <c r="J2092" s="101">
        <v>20433</v>
      </c>
      <c r="K2092" s="101">
        <v>4267</v>
      </c>
      <c r="L2092" s="101">
        <v>27</v>
      </c>
      <c r="M2092" s="101">
        <v>334</v>
      </c>
      <c r="N2092" s="101"/>
      <c r="O2092" s="101"/>
      <c r="P2092" s="101"/>
      <c r="Q2092" s="101"/>
      <c r="R2092" s="101"/>
      <c r="S2092" s="101"/>
      <c r="T2092" s="101"/>
      <c r="U2092" s="101"/>
      <c r="V2092" s="101"/>
      <c r="W2092" s="19"/>
      <c r="X2092" s="17"/>
      <c r="Y2092" s="5">
        <f t="shared" si="202"/>
        <v>325447526.72000003</v>
      </c>
      <c r="Z2092" s="5">
        <f t="shared" si="203"/>
        <v>362695000</v>
      </c>
      <c r="AA2092" s="5">
        <f t="shared" si="204"/>
        <v>0</v>
      </c>
      <c r="AB2092" s="5">
        <f t="shared" si="205"/>
        <v>2728320</v>
      </c>
      <c r="AC2092" s="159"/>
      <c r="AD2092" s="5">
        <v>132000000</v>
      </c>
      <c r="AE2092" s="5">
        <f t="shared" si="206"/>
        <v>822870846.72000003</v>
      </c>
      <c r="AF2092" s="70">
        <v>0</v>
      </c>
      <c r="AG2092" s="17"/>
      <c r="AH2092" s="18"/>
      <c r="AI2092" s="47" t="s">
        <v>4346</v>
      </c>
      <c r="AJ2092" s="73" t="s">
        <v>4347</v>
      </c>
      <c r="AK2092" s="45"/>
      <c r="AL2092" s="17"/>
      <c r="AM2092" s="100" t="s">
        <v>4817</v>
      </c>
      <c r="AN2092" s="19"/>
      <c r="AO2092" s="19"/>
      <c r="AP2092" s="19"/>
      <c r="AQ2092" s="19"/>
      <c r="AR2092" s="19"/>
      <c r="AS2092" s="19"/>
      <c r="AT2092" s="19"/>
      <c r="AU2092" s="19"/>
      <c r="AV2092" s="19"/>
      <c r="AW2092" s="19"/>
      <c r="AX2092" s="19"/>
      <c r="AY2092" s="19"/>
      <c r="AZ2092" s="19">
        <v>1325</v>
      </c>
      <c r="BA2092" s="19">
        <f>440*56000+440*55999+445*56000</f>
        <v>74199560</v>
      </c>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c r="BW2092" s="19"/>
      <c r="BX2092" s="19"/>
      <c r="BY2092" s="19"/>
      <c r="BZ2092" s="19">
        <v>20</v>
      </c>
      <c r="CA2092" s="19">
        <f>20*499999.44</f>
        <v>9999988.8000000007</v>
      </c>
      <c r="CB2092" s="19"/>
      <c r="CC2092" s="19"/>
      <c r="CD2092" s="139"/>
      <c r="CE2092" s="138"/>
      <c r="CF2092" s="139"/>
      <c r="CG2092" s="138"/>
      <c r="CH2092" s="139"/>
      <c r="CI2092" s="138"/>
      <c r="CJ2092" s="72"/>
      <c r="CK2092" s="139"/>
      <c r="CL2092" s="71"/>
      <c r="CM2092" s="139"/>
      <c r="CN2092" s="138"/>
      <c r="CO2092" s="138"/>
      <c r="CP2092" s="138">
        <v>4267</v>
      </c>
      <c r="CQ2092" s="209">
        <f>1422*37000+1422*36999.36+1423*37000</f>
        <v>157878089.92000002</v>
      </c>
      <c r="CR2092" s="138">
        <v>2100</v>
      </c>
      <c r="CS2092" s="210">
        <f>700*39700+700*39699.84+700*39700</f>
        <v>83369888</v>
      </c>
      <c r="CT2092" s="138"/>
      <c r="CU2092" s="45"/>
      <c r="CV2092" s="99">
        <f t="shared" si="207"/>
        <v>325447526.72000003</v>
      </c>
      <c r="CW2092" s="139">
        <v>3000</v>
      </c>
      <c r="CX2092" s="138">
        <f>3000*909.44</f>
        <v>2728320</v>
      </c>
      <c r="CY2092" s="138">
        <v>4267</v>
      </c>
      <c r="CZ2092" s="138">
        <f>4267*85000</f>
        <v>362695000</v>
      </c>
      <c r="DA2092" s="139"/>
      <c r="DB2092" s="138"/>
      <c r="DC2092" s="45"/>
      <c r="DD2092" s="138"/>
      <c r="DE2092" s="45"/>
      <c r="DF2092" s="46"/>
    </row>
    <row r="2093" spans="1:110" s="42" customFormat="1" ht="96" x14ac:dyDescent="0.2">
      <c r="A2093" s="89">
        <v>40802</v>
      </c>
      <c r="B2093" s="90" t="s">
        <v>4350</v>
      </c>
      <c r="C2093" s="90" t="s">
        <v>797</v>
      </c>
      <c r="D2093" s="90" t="s">
        <v>3346</v>
      </c>
      <c r="E2093" s="90" t="str">
        <f>VLOOKUP(B2093&amp;C2093,Divipola!$C$2:$F$1138,4,FALSE)</f>
        <v>63272</v>
      </c>
      <c r="F2093" s="4"/>
      <c r="G2093" s="166"/>
      <c r="H2093" s="101"/>
      <c r="I2093" s="101"/>
      <c r="J2093" s="101">
        <v>50</v>
      </c>
      <c r="K2093" s="101">
        <v>10</v>
      </c>
      <c r="L2093" s="101"/>
      <c r="M2093" s="101">
        <v>10</v>
      </c>
      <c r="N2093" s="101">
        <v>2</v>
      </c>
      <c r="O2093" s="101"/>
      <c r="P2093" s="101"/>
      <c r="Q2093" s="101"/>
      <c r="R2093" s="101"/>
      <c r="S2093" s="101">
        <v>1</v>
      </c>
      <c r="T2093" s="101">
        <v>1</v>
      </c>
      <c r="U2093" s="101">
        <v>1</v>
      </c>
      <c r="V2093" s="101"/>
      <c r="W2093" s="19"/>
      <c r="X2093" s="17"/>
      <c r="Y2093" s="5">
        <f t="shared" si="202"/>
        <v>0</v>
      </c>
      <c r="Z2093" s="5">
        <f t="shared" si="203"/>
        <v>0</v>
      </c>
      <c r="AA2093" s="5">
        <f t="shared" si="204"/>
        <v>0</v>
      </c>
      <c r="AB2093" s="5">
        <f t="shared" si="205"/>
        <v>0</v>
      </c>
      <c r="AC2093" s="5"/>
      <c r="AD2093" s="5">
        <v>0</v>
      </c>
      <c r="AE2093" s="5">
        <f t="shared" si="206"/>
        <v>0</v>
      </c>
      <c r="AF2093" s="70">
        <v>0</v>
      </c>
      <c r="AG2093" s="17"/>
      <c r="AH2093" s="18"/>
      <c r="AI2093" s="47" t="s">
        <v>4336</v>
      </c>
      <c r="AJ2093" s="73" t="s">
        <v>4337</v>
      </c>
      <c r="AK2093" s="45"/>
      <c r="AL2093" s="17"/>
      <c r="AM2093" s="100" t="s">
        <v>4451</v>
      </c>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c r="BW2093" s="19"/>
      <c r="BX2093" s="19"/>
      <c r="BY2093" s="19"/>
      <c r="BZ2093" s="19"/>
      <c r="CA2093" s="19"/>
      <c r="CB2093" s="19"/>
      <c r="CC2093" s="19"/>
      <c r="CD2093" s="139"/>
      <c r="CE2093" s="138"/>
      <c r="CF2093" s="139"/>
      <c r="CG2093" s="138"/>
      <c r="CH2093" s="139"/>
      <c r="CI2093" s="138"/>
      <c r="CJ2093" s="72"/>
      <c r="CK2093" s="139"/>
      <c r="CL2093" s="71"/>
      <c r="CM2093" s="139"/>
      <c r="CN2093" s="138"/>
      <c r="CO2093" s="138"/>
      <c r="CP2093" s="138"/>
      <c r="CQ2093" s="139"/>
      <c r="CR2093" s="138"/>
      <c r="CS2093" s="45"/>
      <c r="CT2093" s="138"/>
      <c r="CU2093" s="45"/>
      <c r="CV2093" s="99">
        <f t="shared" si="207"/>
        <v>0</v>
      </c>
      <c r="CW2093" s="139"/>
      <c r="CX2093" s="138"/>
      <c r="CY2093" s="138"/>
      <c r="CZ2093" s="138"/>
      <c r="DA2093" s="139"/>
      <c r="DB2093" s="138"/>
      <c r="DC2093" s="45"/>
      <c r="DD2093" s="138"/>
      <c r="DE2093" s="45"/>
      <c r="DF2093" s="46"/>
    </row>
    <row r="2094" spans="1:110" s="42" customFormat="1" ht="60" x14ac:dyDescent="0.2">
      <c r="A2094" s="89">
        <v>40802</v>
      </c>
      <c r="B2094" s="151" t="s">
        <v>4348</v>
      </c>
      <c r="C2094" s="90" t="s">
        <v>1957</v>
      </c>
      <c r="D2094" s="90" t="s">
        <v>2362</v>
      </c>
      <c r="E2094" s="90" t="str">
        <f>VLOOKUP(B2094&amp;C2094,Divipola!$C$2:$F$1138,4,FALSE)</f>
        <v>66572</v>
      </c>
      <c r="F2094" s="4"/>
      <c r="G2094" s="166"/>
      <c r="H2094" s="101"/>
      <c r="I2094" s="101"/>
      <c r="J2094" s="101"/>
      <c r="K2094" s="101"/>
      <c r="L2094" s="101"/>
      <c r="M2094" s="101"/>
      <c r="N2094" s="101">
        <v>3</v>
      </c>
      <c r="O2094" s="101"/>
      <c r="P2094" s="101"/>
      <c r="Q2094" s="101"/>
      <c r="R2094" s="101"/>
      <c r="S2094" s="101"/>
      <c r="T2094" s="101"/>
      <c r="U2094" s="101"/>
      <c r="V2094" s="101"/>
      <c r="W2094" s="19"/>
      <c r="X2094" s="17"/>
      <c r="Y2094" s="5">
        <f t="shared" si="202"/>
        <v>0</v>
      </c>
      <c r="Z2094" s="5">
        <f t="shared" si="203"/>
        <v>0</v>
      </c>
      <c r="AA2094" s="5">
        <f t="shared" si="204"/>
        <v>0</v>
      </c>
      <c r="AB2094" s="5">
        <f t="shared" si="205"/>
        <v>0</v>
      </c>
      <c r="AC2094" s="5"/>
      <c r="AD2094" s="5">
        <v>0</v>
      </c>
      <c r="AE2094" s="5">
        <f t="shared" si="206"/>
        <v>0</v>
      </c>
      <c r="AF2094" s="70">
        <v>0</v>
      </c>
      <c r="AG2094" s="17"/>
      <c r="AH2094" s="18"/>
      <c r="AI2094" s="47" t="s">
        <v>4336</v>
      </c>
      <c r="AJ2094" s="73" t="s">
        <v>4337</v>
      </c>
      <c r="AK2094" s="45"/>
      <c r="AL2094" s="17"/>
      <c r="AM2094" s="121" t="s">
        <v>4716</v>
      </c>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39"/>
      <c r="CE2094" s="138"/>
      <c r="CF2094" s="139"/>
      <c r="CG2094" s="138"/>
      <c r="CH2094" s="139"/>
      <c r="CI2094" s="138"/>
      <c r="CJ2094" s="72"/>
      <c r="CK2094" s="139"/>
      <c r="CL2094" s="71"/>
      <c r="CM2094" s="139"/>
      <c r="CN2094" s="138"/>
      <c r="CO2094" s="138"/>
      <c r="CP2094" s="138"/>
      <c r="CQ2094" s="139"/>
      <c r="CR2094" s="138"/>
      <c r="CS2094" s="45"/>
      <c r="CT2094" s="138"/>
      <c r="CU2094" s="45"/>
      <c r="CV2094" s="99">
        <f t="shared" si="207"/>
        <v>0</v>
      </c>
      <c r="CW2094" s="139"/>
      <c r="CX2094" s="138"/>
      <c r="CY2094" s="138"/>
      <c r="CZ2094" s="138"/>
      <c r="DA2094" s="139"/>
      <c r="DB2094" s="138"/>
      <c r="DC2094" s="45"/>
      <c r="DD2094" s="138"/>
      <c r="DE2094" s="45"/>
      <c r="DF2094" s="46"/>
    </row>
    <row r="2095" spans="1:110" s="42" customFormat="1" ht="24" x14ac:dyDescent="0.2">
      <c r="A2095" s="89">
        <v>40803</v>
      </c>
      <c r="B2095" s="151" t="s">
        <v>4326</v>
      </c>
      <c r="C2095" s="90" t="s">
        <v>2447</v>
      </c>
      <c r="D2095" s="90" t="s">
        <v>3346</v>
      </c>
      <c r="E2095" s="90" t="str">
        <f>VLOOKUP(B2095&amp;C2095,Divipola!$C$2:$F$1138,4,FALSE)</f>
        <v>08573</v>
      </c>
      <c r="F2095" s="4"/>
      <c r="G2095" s="101"/>
      <c r="H2095" s="101"/>
      <c r="I2095" s="101"/>
      <c r="J2095" s="101">
        <v>225</v>
      </c>
      <c r="K2095" s="101">
        <v>45</v>
      </c>
      <c r="L2095" s="101"/>
      <c r="M2095" s="101">
        <v>45</v>
      </c>
      <c r="N2095" s="101"/>
      <c r="O2095" s="101"/>
      <c r="P2095" s="101"/>
      <c r="Q2095" s="101"/>
      <c r="R2095" s="101"/>
      <c r="S2095" s="101"/>
      <c r="T2095" s="101"/>
      <c r="U2095" s="101"/>
      <c r="V2095" s="101"/>
      <c r="W2095" s="19"/>
      <c r="X2095" s="17"/>
      <c r="Y2095" s="5">
        <f t="shared" si="202"/>
        <v>0</v>
      </c>
      <c r="Z2095" s="5">
        <f t="shared" si="203"/>
        <v>0</v>
      </c>
      <c r="AA2095" s="5">
        <f t="shared" si="204"/>
        <v>0</v>
      </c>
      <c r="AB2095" s="5">
        <f t="shared" si="205"/>
        <v>0</v>
      </c>
      <c r="AC2095" s="5"/>
      <c r="AD2095" s="5">
        <v>0</v>
      </c>
      <c r="AE2095" s="5">
        <f t="shared" si="206"/>
        <v>0</v>
      </c>
      <c r="AF2095" s="70">
        <v>0</v>
      </c>
      <c r="AG2095" s="17"/>
      <c r="AH2095" s="18"/>
      <c r="AI2095" s="47" t="s">
        <v>4336</v>
      </c>
      <c r="AJ2095" s="73" t="s">
        <v>4337</v>
      </c>
      <c r="AK2095" s="45"/>
      <c r="AL2095" s="17"/>
      <c r="AM2095" s="121" t="s">
        <v>4462</v>
      </c>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c r="BV2095" s="19"/>
      <c r="BW2095" s="19"/>
      <c r="BX2095" s="19"/>
      <c r="BY2095" s="19"/>
      <c r="BZ2095" s="19"/>
      <c r="CA2095" s="19"/>
      <c r="CB2095" s="19"/>
      <c r="CC2095" s="19"/>
      <c r="CD2095" s="139"/>
      <c r="CE2095" s="138"/>
      <c r="CF2095" s="139"/>
      <c r="CG2095" s="138"/>
      <c r="CH2095" s="139"/>
      <c r="CI2095" s="138"/>
      <c r="CJ2095" s="72"/>
      <c r="CK2095" s="139"/>
      <c r="CL2095" s="71"/>
      <c r="CM2095" s="139"/>
      <c r="CN2095" s="138"/>
      <c r="CO2095" s="138"/>
      <c r="CP2095" s="138"/>
      <c r="CQ2095" s="139"/>
      <c r="CR2095" s="138"/>
      <c r="CS2095" s="45"/>
      <c r="CT2095" s="138"/>
      <c r="CU2095" s="45"/>
      <c r="CV2095" s="99">
        <f t="shared" si="207"/>
        <v>0</v>
      </c>
      <c r="CW2095" s="139"/>
      <c r="CX2095" s="138"/>
      <c r="CY2095" s="138"/>
      <c r="CZ2095" s="138"/>
      <c r="DA2095" s="139"/>
      <c r="DB2095" s="138"/>
      <c r="DC2095" s="45"/>
      <c r="DD2095" s="138"/>
      <c r="DE2095" s="45"/>
      <c r="DF2095" s="46"/>
    </row>
    <row r="2096" spans="1:110" s="42" customFormat="1" ht="36" x14ac:dyDescent="0.2">
      <c r="A2096" s="89">
        <v>40803</v>
      </c>
      <c r="B2096" s="196" t="s">
        <v>4348</v>
      </c>
      <c r="C2096" s="197" t="s">
        <v>3302</v>
      </c>
      <c r="D2096" s="90" t="s">
        <v>2362</v>
      </c>
      <c r="E2096" s="90" t="str">
        <f>VLOOKUP(B2096&amp;C2096,Divipola!$C$2:$F$1138,4,FALSE)</f>
        <v>66045</v>
      </c>
      <c r="F2096" s="4"/>
      <c r="G2096" s="194"/>
      <c r="H2096" s="194"/>
      <c r="I2096" s="194"/>
      <c r="J2096" s="194">
        <v>5</v>
      </c>
      <c r="K2096" s="194">
        <v>1</v>
      </c>
      <c r="L2096" s="194">
        <v>1</v>
      </c>
      <c r="M2096" s="194"/>
      <c r="N2096" s="194"/>
      <c r="O2096" s="194"/>
      <c r="P2096" s="194"/>
      <c r="Q2096" s="194"/>
      <c r="R2096" s="194"/>
      <c r="S2096" s="194"/>
      <c r="T2096" s="194"/>
      <c r="U2096" s="194"/>
      <c r="V2096" s="194"/>
      <c r="W2096" s="19"/>
      <c r="X2096" s="17"/>
      <c r="Y2096" s="5">
        <f t="shared" si="202"/>
        <v>0</v>
      </c>
      <c r="Z2096" s="5">
        <f t="shared" si="203"/>
        <v>0</v>
      </c>
      <c r="AA2096" s="5">
        <f t="shared" si="204"/>
        <v>0</v>
      </c>
      <c r="AB2096" s="5">
        <f t="shared" si="205"/>
        <v>0</v>
      </c>
      <c r="AC2096" s="5"/>
      <c r="AD2096" s="5">
        <v>0</v>
      </c>
      <c r="AE2096" s="5">
        <f t="shared" si="206"/>
        <v>0</v>
      </c>
      <c r="AF2096" s="70">
        <v>0</v>
      </c>
      <c r="AG2096" s="17"/>
      <c r="AH2096" s="18"/>
      <c r="AI2096" s="47" t="s">
        <v>4336</v>
      </c>
      <c r="AJ2096" s="73" t="s">
        <v>4337</v>
      </c>
      <c r="AK2096" s="45"/>
      <c r="AL2096" s="17"/>
      <c r="AM2096" s="195" t="s">
        <v>4885</v>
      </c>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c r="BV2096" s="19"/>
      <c r="BW2096" s="19"/>
      <c r="BX2096" s="19"/>
      <c r="BY2096" s="19"/>
      <c r="BZ2096" s="19"/>
      <c r="CA2096" s="19"/>
      <c r="CB2096" s="19"/>
      <c r="CC2096" s="19"/>
      <c r="CD2096" s="139"/>
      <c r="CE2096" s="138"/>
      <c r="CF2096" s="139"/>
      <c r="CG2096" s="138"/>
      <c r="CH2096" s="139"/>
      <c r="CI2096" s="138"/>
      <c r="CJ2096" s="72"/>
      <c r="CK2096" s="139"/>
      <c r="CL2096" s="71"/>
      <c r="CM2096" s="139"/>
      <c r="CN2096" s="138"/>
      <c r="CO2096" s="138"/>
      <c r="CP2096" s="138"/>
      <c r="CQ2096" s="139"/>
      <c r="CR2096" s="138"/>
      <c r="CS2096" s="45"/>
      <c r="CT2096" s="138"/>
      <c r="CU2096" s="45"/>
      <c r="CV2096" s="99">
        <f t="shared" si="207"/>
        <v>0</v>
      </c>
      <c r="CW2096" s="139"/>
      <c r="CX2096" s="138"/>
      <c r="CY2096" s="138"/>
      <c r="CZ2096" s="138"/>
      <c r="DA2096" s="139"/>
      <c r="DB2096" s="138"/>
      <c r="DC2096" s="45"/>
      <c r="DD2096" s="138"/>
      <c r="DE2096" s="45"/>
      <c r="DF2096" s="46"/>
    </row>
    <row r="2097" spans="1:110" s="42" customFormat="1" ht="72" x14ac:dyDescent="0.2">
      <c r="A2097" s="89">
        <v>40803</v>
      </c>
      <c r="B2097" s="151" t="s">
        <v>3316</v>
      </c>
      <c r="C2097" s="90" t="s">
        <v>3092</v>
      </c>
      <c r="D2097" s="90" t="s">
        <v>4264</v>
      </c>
      <c r="E2097" s="90" t="str">
        <f>VLOOKUP(B2097&amp;C2097,Divipola!$C$2:$F$1138,4,FALSE)</f>
        <v>73268</v>
      </c>
      <c r="F2097" s="4"/>
      <c r="G2097" s="101"/>
      <c r="H2097" s="101"/>
      <c r="I2097" s="101"/>
      <c r="J2097" s="101">
        <v>88</v>
      </c>
      <c r="K2097" s="101">
        <v>26</v>
      </c>
      <c r="L2097" s="101"/>
      <c r="M2097" s="101">
        <v>26</v>
      </c>
      <c r="N2097" s="101"/>
      <c r="O2097" s="101"/>
      <c r="P2097" s="101"/>
      <c r="Q2097" s="101"/>
      <c r="R2097" s="101"/>
      <c r="S2097" s="101"/>
      <c r="T2097" s="101"/>
      <c r="U2097" s="101"/>
      <c r="V2097" s="101"/>
      <c r="W2097" s="19"/>
      <c r="X2097" s="17"/>
      <c r="Y2097" s="5">
        <f t="shared" si="202"/>
        <v>0</v>
      </c>
      <c r="Z2097" s="5">
        <f t="shared" si="203"/>
        <v>0</v>
      </c>
      <c r="AA2097" s="5">
        <f t="shared" si="204"/>
        <v>0</v>
      </c>
      <c r="AB2097" s="5">
        <f t="shared" si="205"/>
        <v>0</v>
      </c>
      <c r="AC2097" s="5"/>
      <c r="AD2097" s="5">
        <v>0</v>
      </c>
      <c r="AE2097" s="5">
        <f t="shared" si="206"/>
        <v>0</v>
      </c>
      <c r="AF2097" s="70">
        <v>0</v>
      </c>
      <c r="AG2097" s="17"/>
      <c r="AH2097" s="18"/>
      <c r="AI2097" s="47" t="s">
        <v>4336</v>
      </c>
      <c r="AJ2097" s="73" t="s">
        <v>4337</v>
      </c>
      <c r="AK2097" s="45"/>
      <c r="AL2097" s="17"/>
      <c r="AM2097" s="121" t="s">
        <v>4456</v>
      </c>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c r="BV2097" s="19"/>
      <c r="BW2097" s="19"/>
      <c r="BX2097" s="19"/>
      <c r="BY2097" s="19"/>
      <c r="BZ2097" s="19"/>
      <c r="CA2097" s="19"/>
      <c r="CB2097" s="19"/>
      <c r="CC2097" s="19"/>
      <c r="CD2097" s="139"/>
      <c r="CE2097" s="138"/>
      <c r="CF2097" s="139"/>
      <c r="CG2097" s="138"/>
      <c r="CH2097" s="139"/>
      <c r="CI2097" s="138"/>
      <c r="CJ2097" s="72"/>
      <c r="CK2097" s="139"/>
      <c r="CL2097" s="71"/>
      <c r="CM2097" s="139"/>
      <c r="CN2097" s="138"/>
      <c r="CO2097" s="138"/>
      <c r="CP2097" s="138"/>
      <c r="CQ2097" s="139"/>
      <c r="CR2097" s="138"/>
      <c r="CS2097" s="45"/>
      <c r="CT2097" s="138"/>
      <c r="CU2097" s="45"/>
      <c r="CV2097" s="99">
        <f t="shared" si="207"/>
        <v>0</v>
      </c>
      <c r="CW2097" s="139"/>
      <c r="CX2097" s="138"/>
      <c r="CY2097" s="138"/>
      <c r="CZ2097" s="138"/>
      <c r="DA2097" s="139"/>
      <c r="DB2097" s="138"/>
      <c r="DC2097" s="45"/>
      <c r="DD2097" s="138"/>
      <c r="DE2097" s="45"/>
      <c r="DF2097" s="46"/>
    </row>
    <row r="2098" spans="1:110" s="42" customFormat="1" ht="60" x14ac:dyDescent="0.2">
      <c r="A2098" s="89">
        <v>40804</v>
      </c>
      <c r="B2098" s="151" t="s">
        <v>860</v>
      </c>
      <c r="C2098" s="90" t="s">
        <v>861</v>
      </c>
      <c r="D2098" s="90" t="s">
        <v>4264</v>
      </c>
      <c r="E2098" s="90" t="str">
        <f>VLOOKUP(B2098&amp;C2098,Divipola!$C$2:$F$1138,4,FALSE)</f>
        <v>50251</v>
      </c>
      <c r="F2098" s="4"/>
      <c r="G2098" s="101"/>
      <c r="H2098" s="101"/>
      <c r="I2098" s="101"/>
      <c r="J2098" s="101">
        <v>170</v>
      </c>
      <c r="K2098" s="101"/>
      <c r="L2098" s="101"/>
      <c r="M2098" s="101"/>
      <c r="N2098" s="101"/>
      <c r="O2098" s="101"/>
      <c r="P2098" s="101"/>
      <c r="Q2098" s="101"/>
      <c r="R2098" s="101"/>
      <c r="S2098" s="101"/>
      <c r="T2098" s="101">
        <v>1</v>
      </c>
      <c r="U2098" s="101"/>
      <c r="V2098" s="101"/>
      <c r="W2098" s="19"/>
      <c r="X2098" s="17"/>
      <c r="Y2098" s="5">
        <f t="shared" si="202"/>
        <v>0</v>
      </c>
      <c r="Z2098" s="5">
        <f t="shared" si="203"/>
        <v>0</v>
      </c>
      <c r="AA2098" s="5">
        <f t="shared" si="204"/>
        <v>0</v>
      </c>
      <c r="AB2098" s="5">
        <f t="shared" si="205"/>
        <v>0</v>
      </c>
      <c r="AC2098" s="5"/>
      <c r="AD2098" s="5">
        <v>0</v>
      </c>
      <c r="AE2098" s="5">
        <f t="shared" si="206"/>
        <v>0</v>
      </c>
      <c r="AF2098" s="70">
        <v>0</v>
      </c>
      <c r="AG2098" s="17"/>
      <c r="AH2098" s="18"/>
      <c r="AI2098" s="47" t="s">
        <v>4336</v>
      </c>
      <c r="AJ2098" s="73" t="s">
        <v>4337</v>
      </c>
      <c r="AK2098" s="45"/>
      <c r="AL2098" s="17"/>
      <c r="AM2098" s="121" t="s">
        <v>4459</v>
      </c>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c r="BW2098" s="19"/>
      <c r="BX2098" s="19"/>
      <c r="BY2098" s="19"/>
      <c r="BZ2098" s="19"/>
      <c r="CA2098" s="19"/>
      <c r="CB2098" s="19"/>
      <c r="CC2098" s="19"/>
      <c r="CD2098" s="139"/>
      <c r="CE2098" s="138"/>
      <c r="CF2098" s="139"/>
      <c r="CG2098" s="138"/>
      <c r="CH2098" s="139"/>
      <c r="CI2098" s="138"/>
      <c r="CJ2098" s="72"/>
      <c r="CK2098" s="139"/>
      <c r="CL2098" s="71"/>
      <c r="CM2098" s="139"/>
      <c r="CN2098" s="138"/>
      <c r="CO2098" s="138"/>
      <c r="CP2098" s="138"/>
      <c r="CQ2098" s="139"/>
      <c r="CR2098" s="138"/>
      <c r="CS2098" s="45"/>
      <c r="CT2098" s="138"/>
      <c r="CU2098" s="45"/>
      <c r="CV2098" s="99">
        <f t="shared" si="207"/>
        <v>0</v>
      </c>
      <c r="CW2098" s="139"/>
      <c r="CX2098" s="138"/>
      <c r="CY2098" s="138"/>
      <c r="CZ2098" s="138"/>
      <c r="DA2098" s="139"/>
      <c r="DB2098" s="138"/>
      <c r="DC2098" s="45"/>
      <c r="DD2098" s="138"/>
      <c r="DE2098" s="45"/>
      <c r="DF2098" s="46"/>
    </row>
    <row r="2099" spans="1:110" s="42" customFormat="1" ht="48" x14ac:dyDescent="0.2">
      <c r="A2099" s="89">
        <v>40804</v>
      </c>
      <c r="B2099" s="90" t="s">
        <v>860</v>
      </c>
      <c r="C2099" s="90" t="s">
        <v>420</v>
      </c>
      <c r="D2099" s="90" t="s">
        <v>3346</v>
      </c>
      <c r="E2099" s="90" t="str">
        <f>VLOOKUP(B2099&amp;C2099,Divipola!$C$2:$F$1138,4,FALSE)</f>
        <v>50577</v>
      </c>
      <c r="F2099" s="4"/>
      <c r="G2099" s="101"/>
      <c r="H2099" s="101"/>
      <c r="I2099" s="101"/>
      <c r="J2099" s="101">
        <v>8</v>
      </c>
      <c r="K2099" s="101">
        <v>2</v>
      </c>
      <c r="L2099" s="101"/>
      <c r="M2099" s="101">
        <v>2</v>
      </c>
      <c r="N2099" s="101"/>
      <c r="O2099" s="101"/>
      <c r="P2099" s="101"/>
      <c r="Q2099" s="101"/>
      <c r="R2099" s="101"/>
      <c r="S2099" s="101"/>
      <c r="T2099" s="101"/>
      <c r="U2099" s="101"/>
      <c r="V2099" s="101"/>
      <c r="W2099" s="19"/>
      <c r="X2099" s="17"/>
      <c r="Y2099" s="5">
        <f t="shared" si="202"/>
        <v>0</v>
      </c>
      <c r="Z2099" s="5">
        <f t="shared" si="203"/>
        <v>0</v>
      </c>
      <c r="AA2099" s="5">
        <f t="shared" si="204"/>
        <v>0</v>
      </c>
      <c r="AB2099" s="5">
        <f t="shared" si="205"/>
        <v>0</v>
      </c>
      <c r="AC2099" s="5"/>
      <c r="AD2099" s="5">
        <v>0</v>
      </c>
      <c r="AE2099" s="5">
        <f t="shared" si="206"/>
        <v>0</v>
      </c>
      <c r="AF2099" s="70">
        <v>0</v>
      </c>
      <c r="AG2099" s="17"/>
      <c r="AH2099" s="18"/>
      <c r="AI2099" s="47" t="s">
        <v>4336</v>
      </c>
      <c r="AJ2099" s="73" t="s">
        <v>4337</v>
      </c>
      <c r="AK2099" s="45"/>
      <c r="AL2099" s="17"/>
      <c r="AM2099" s="121" t="s">
        <v>4458</v>
      </c>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c r="BW2099" s="19"/>
      <c r="BX2099" s="19"/>
      <c r="BY2099" s="19"/>
      <c r="BZ2099" s="19"/>
      <c r="CA2099" s="19"/>
      <c r="CB2099" s="19"/>
      <c r="CC2099" s="19"/>
      <c r="CD2099" s="139"/>
      <c r="CE2099" s="138"/>
      <c r="CF2099" s="139"/>
      <c r="CG2099" s="138"/>
      <c r="CH2099" s="139"/>
      <c r="CI2099" s="138"/>
      <c r="CJ2099" s="72"/>
      <c r="CK2099" s="139"/>
      <c r="CL2099" s="71"/>
      <c r="CM2099" s="139"/>
      <c r="CN2099" s="138"/>
      <c r="CO2099" s="138"/>
      <c r="CP2099" s="138"/>
      <c r="CQ2099" s="139"/>
      <c r="CR2099" s="138"/>
      <c r="CS2099" s="45"/>
      <c r="CT2099" s="138"/>
      <c r="CU2099" s="45"/>
      <c r="CV2099" s="99">
        <f t="shared" si="207"/>
        <v>0</v>
      </c>
      <c r="CW2099" s="139"/>
      <c r="CX2099" s="138"/>
      <c r="CY2099" s="138"/>
      <c r="CZ2099" s="138"/>
      <c r="DA2099" s="139"/>
      <c r="DB2099" s="138"/>
      <c r="DC2099" s="45"/>
      <c r="DD2099" s="138"/>
      <c r="DE2099" s="45"/>
      <c r="DF2099" s="46"/>
    </row>
    <row r="2100" spans="1:110" s="42" customFormat="1" ht="48" x14ac:dyDescent="0.2">
      <c r="A2100" s="89">
        <v>40804</v>
      </c>
      <c r="B2100" s="151" t="s">
        <v>860</v>
      </c>
      <c r="C2100" s="90" t="s">
        <v>2859</v>
      </c>
      <c r="D2100" s="90" t="s">
        <v>4264</v>
      </c>
      <c r="E2100" s="90" t="str">
        <f>VLOOKUP(B2100&amp;C2100,Divipola!$C$2:$F$1138,4,FALSE)</f>
        <v>50001</v>
      </c>
      <c r="F2100" s="4"/>
      <c r="G2100" s="101"/>
      <c r="H2100" s="101"/>
      <c r="I2100" s="101"/>
      <c r="J2100" s="101">
        <v>10</v>
      </c>
      <c r="K2100" s="101">
        <v>2</v>
      </c>
      <c r="L2100" s="101"/>
      <c r="M2100" s="101">
        <v>2</v>
      </c>
      <c r="N2100" s="101">
        <v>3</v>
      </c>
      <c r="O2100" s="101"/>
      <c r="P2100" s="101"/>
      <c r="Q2100" s="101"/>
      <c r="R2100" s="101"/>
      <c r="S2100" s="101"/>
      <c r="T2100" s="101"/>
      <c r="U2100" s="101"/>
      <c r="V2100" s="101"/>
      <c r="W2100" s="19"/>
      <c r="X2100" s="17"/>
      <c r="Y2100" s="5">
        <f t="shared" si="202"/>
        <v>0</v>
      </c>
      <c r="Z2100" s="5">
        <f t="shared" si="203"/>
        <v>0</v>
      </c>
      <c r="AA2100" s="5">
        <f t="shared" si="204"/>
        <v>0</v>
      </c>
      <c r="AB2100" s="5">
        <f t="shared" si="205"/>
        <v>0</v>
      </c>
      <c r="AC2100" s="5"/>
      <c r="AD2100" s="5">
        <v>0</v>
      </c>
      <c r="AE2100" s="5">
        <f t="shared" si="206"/>
        <v>0</v>
      </c>
      <c r="AF2100" s="70">
        <v>0</v>
      </c>
      <c r="AG2100" s="17"/>
      <c r="AH2100" s="18"/>
      <c r="AI2100" s="47" t="s">
        <v>4336</v>
      </c>
      <c r="AJ2100" s="73" t="s">
        <v>4337</v>
      </c>
      <c r="AK2100" s="45"/>
      <c r="AL2100" s="17"/>
      <c r="AM2100" s="121" t="s">
        <v>4460</v>
      </c>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c r="BW2100" s="19"/>
      <c r="BX2100" s="19"/>
      <c r="BY2100" s="19"/>
      <c r="BZ2100" s="19"/>
      <c r="CA2100" s="19"/>
      <c r="CB2100" s="19"/>
      <c r="CC2100" s="19"/>
      <c r="CD2100" s="139"/>
      <c r="CE2100" s="138"/>
      <c r="CF2100" s="139"/>
      <c r="CG2100" s="138"/>
      <c r="CH2100" s="139"/>
      <c r="CI2100" s="138"/>
      <c r="CJ2100" s="72"/>
      <c r="CK2100" s="139"/>
      <c r="CL2100" s="71"/>
      <c r="CM2100" s="139"/>
      <c r="CN2100" s="138"/>
      <c r="CO2100" s="138"/>
      <c r="CP2100" s="138"/>
      <c r="CQ2100" s="139"/>
      <c r="CR2100" s="138"/>
      <c r="CS2100" s="45"/>
      <c r="CT2100" s="138"/>
      <c r="CU2100" s="45"/>
      <c r="CV2100" s="99">
        <f t="shared" si="207"/>
        <v>0</v>
      </c>
      <c r="CW2100" s="139"/>
      <c r="CX2100" s="138"/>
      <c r="CY2100" s="138"/>
      <c r="CZ2100" s="138"/>
      <c r="DA2100" s="139"/>
      <c r="DB2100" s="138"/>
      <c r="DC2100" s="45"/>
      <c r="DD2100" s="138"/>
      <c r="DE2100" s="45"/>
      <c r="DF2100" s="46"/>
    </row>
    <row r="2101" spans="1:110" s="42" customFormat="1" ht="72" x14ac:dyDescent="0.2">
      <c r="A2101" s="89">
        <v>40805</v>
      </c>
      <c r="B2101" s="90" t="s">
        <v>874</v>
      </c>
      <c r="C2101" s="90" t="s">
        <v>717</v>
      </c>
      <c r="D2101" s="90" t="s">
        <v>4264</v>
      </c>
      <c r="E2101" s="90" t="str">
        <f>VLOOKUP(B2101&amp;C2101,Divipola!$C$2:$F$1138,4,FALSE)</f>
        <v>44279</v>
      </c>
      <c r="F2101" s="4"/>
      <c r="G2101" s="101"/>
      <c r="H2101" s="101"/>
      <c r="I2101" s="101"/>
      <c r="J2101" s="101">
        <v>1540</v>
      </c>
      <c r="K2101" s="101">
        <v>308</v>
      </c>
      <c r="L2101" s="101"/>
      <c r="M2101" s="101">
        <v>308</v>
      </c>
      <c r="N2101" s="101"/>
      <c r="O2101" s="101"/>
      <c r="P2101" s="101"/>
      <c r="Q2101" s="101"/>
      <c r="R2101" s="101"/>
      <c r="S2101" s="101"/>
      <c r="T2101" s="101"/>
      <c r="U2101" s="101"/>
      <c r="V2101" s="101"/>
      <c r="W2101" s="19"/>
      <c r="X2101" s="17"/>
      <c r="Y2101" s="5">
        <f t="shared" si="202"/>
        <v>0</v>
      </c>
      <c r="Z2101" s="5">
        <f t="shared" si="203"/>
        <v>0</v>
      </c>
      <c r="AA2101" s="5">
        <f t="shared" si="204"/>
        <v>0</v>
      </c>
      <c r="AB2101" s="5">
        <f t="shared" si="205"/>
        <v>0</v>
      </c>
      <c r="AC2101" s="5"/>
      <c r="AD2101" s="5">
        <v>0</v>
      </c>
      <c r="AE2101" s="5">
        <f t="shared" si="206"/>
        <v>0</v>
      </c>
      <c r="AF2101" s="70">
        <v>0</v>
      </c>
      <c r="AG2101" s="17"/>
      <c r="AH2101" s="18"/>
      <c r="AI2101" s="47" t="s">
        <v>4336</v>
      </c>
      <c r="AJ2101" s="73" t="s">
        <v>4337</v>
      </c>
      <c r="AK2101" s="45"/>
      <c r="AL2101" s="17"/>
      <c r="AM2101" s="121" t="s">
        <v>4870</v>
      </c>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c r="BW2101" s="19"/>
      <c r="BX2101" s="19"/>
      <c r="BY2101" s="19"/>
      <c r="BZ2101" s="19"/>
      <c r="CA2101" s="19"/>
      <c r="CB2101" s="19"/>
      <c r="CC2101" s="19"/>
      <c r="CD2101" s="139"/>
      <c r="CE2101" s="138"/>
      <c r="CF2101" s="139"/>
      <c r="CG2101" s="138"/>
      <c r="CH2101" s="139"/>
      <c r="CI2101" s="138"/>
      <c r="CJ2101" s="72"/>
      <c r="CK2101" s="139"/>
      <c r="CL2101" s="71"/>
      <c r="CM2101" s="139"/>
      <c r="CN2101" s="138"/>
      <c r="CO2101" s="138"/>
      <c r="CP2101" s="138"/>
      <c r="CQ2101" s="139"/>
      <c r="CR2101" s="138"/>
      <c r="CS2101" s="45"/>
      <c r="CT2101" s="138"/>
      <c r="CU2101" s="45"/>
      <c r="CV2101" s="99">
        <f t="shared" si="207"/>
        <v>0</v>
      </c>
      <c r="CW2101" s="139"/>
      <c r="CX2101" s="138"/>
      <c r="CY2101" s="138"/>
      <c r="CZ2101" s="138"/>
      <c r="DA2101" s="139"/>
      <c r="DB2101" s="138"/>
      <c r="DC2101" s="45"/>
      <c r="DD2101" s="138"/>
      <c r="DE2101" s="45"/>
      <c r="DF2101" s="46"/>
    </row>
    <row r="2102" spans="1:110" s="42" customFormat="1" ht="36" x14ac:dyDescent="0.2">
      <c r="A2102" s="89">
        <v>40805</v>
      </c>
      <c r="B2102" s="196" t="s">
        <v>4348</v>
      </c>
      <c r="C2102" s="197" t="s">
        <v>3304</v>
      </c>
      <c r="D2102" s="90" t="s">
        <v>2362</v>
      </c>
      <c r="E2102" s="90" t="str">
        <f>VLOOKUP(B2102&amp;C2102,Divipola!$C$2:$F$1138,4,FALSE)</f>
        <v>66440</v>
      </c>
      <c r="F2102" s="4"/>
      <c r="G2102" s="194"/>
      <c r="H2102" s="194"/>
      <c r="I2102" s="194"/>
      <c r="J2102" s="194"/>
      <c r="K2102" s="194"/>
      <c r="L2102" s="194"/>
      <c r="M2102" s="194"/>
      <c r="N2102" s="194">
        <v>5</v>
      </c>
      <c r="O2102" s="194"/>
      <c r="P2102" s="194"/>
      <c r="Q2102" s="194"/>
      <c r="R2102" s="194"/>
      <c r="S2102" s="194"/>
      <c r="T2102" s="194"/>
      <c r="U2102" s="194"/>
      <c r="V2102" s="194"/>
      <c r="W2102" s="19"/>
      <c r="X2102" s="17"/>
      <c r="Y2102" s="5">
        <f t="shared" si="202"/>
        <v>0</v>
      </c>
      <c r="Z2102" s="5">
        <f t="shared" si="203"/>
        <v>0</v>
      </c>
      <c r="AA2102" s="5">
        <f t="shared" si="204"/>
        <v>0</v>
      </c>
      <c r="AB2102" s="5">
        <f t="shared" si="205"/>
        <v>0</v>
      </c>
      <c r="AC2102" s="5"/>
      <c r="AD2102" s="5">
        <v>0</v>
      </c>
      <c r="AE2102" s="5">
        <f t="shared" si="206"/>
        <v>0</v>
      </c>
      <c r="AF2102" s="70">
        <v>0</v>
      </c>
      <c r="AG2102" s="17"/>
      <c r="AH2102" s="18"/>
      <c r="AI2102" s="47" t="s">
        <v>4336</v>
      </c>
      <c r="AJ2102" s="73" t="s">
        <v>4337</v>
      </c>
      <c r="AK2102" s="45"/>
      <c r="AL2102" s="17"/>
      <c r="AM2102" s="195" t="s">
        <v>4889</v>
      </c>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39"/>
      <c r="CE2102" s="138"/>
      <c r="CF2102" s="139"/>
      <c r="CG2102" s="138"/>
      <c r="CH2102" s="139"/>
      <c r="CI2102" s="138"/>
      <c r="CJ2102" s="72"/>
      <c r="CK2102" s="139"/>
      <c r="CL2102" s="71"/>
      <c r="CM2102" s="139"/>
      <c r="CN2102" s="138"/>
      <c r="CO2102" s="138"/>
      <c r="CP2102" s="138"/>
      <c r="CQ2102" s="139"/>
      <c r="CR2102" s="138"/>
      <c r="CS2102" s="45"/>
      <c r="CT2102" s="138"/>
      <c r="CU2102" s="45"/>
      <c r="CV2102" s="99">
        <f t="shared" si="207"/>
        <v>0</v>
      </c>
      <c r="CW2102" s="139"/>
      <c r="CX2102" s="138"/>
      <c r="CY2102" s="138"/>
      <c r="CZ2102" s="138"/>
      <c r="DA2102" s="139"/>
      <c r="DB2102" s="138"/>
      <c r="DC2102" s="45"/>
      <c r="DD2102" s="138"/>
      <c r="DE2102" s="45"/>
      <c r="DF2102" s="46">
        <v>1964</v>
      </c>
    </row>
    <row r="2103" spans="1:110" s="42" customFormat="1" ht="96" x14ac:dyDescent="0.2">
      <c r="A2103" s="89">
        <v>40805</v>
      </c>
      <c r="B2103" s="151" t="s">
        <v>2226</v>
      </c>
      <c r="C2103" s="90" t="s">
        <v>663</v>
      </c>
      <c r="D2103" s="90" t="s">
        <v>4264</v>
      </c>
      <c r="E2103" s="90" t="str">
        <f>VLOOKUP(B2103&amp;C2103,Divipola!$C$2:$F$1138,4,FALSE)</f>
        <v>68255</v>
      </c>
      <c r="F2103" s="4"/>
      <c r="G2103" s="101"/>
      <c r="H2103" s="101"/>
      <c r="I2103" s="101">
        <v>1</v>
      </c>
      <c r="J2103" s="101">
        <v>1</v>
      </c>
      <c r="K2103" s="101"/>
      <c r="L2103" s="101"/>
      <c r="M2103" s="101"/>
      <c r="N2103" s="101"/>
      <c r="O2103" s="101"/>
      <c r="P2103" s="101"/>
      <c r="Q2103" s="101"/>
      <c r="R2103" s="101"/>
      <c r="S2103" s="101"/>
      <c r="T2103" s="101"/>
      <c r="U2103" s="101"/>
      <c r="V2103" s="101"/>
      <c r="W2103" s="19"/>
      <c r="X2103" s="17"/>
      <c r="Y2103" s="5">
        <f t="shared" si="202"/>
        <v>0</v>
      </c>
      <c r="Z2103" s="5">
        <f t="shared" si="203"/>
        <v>0</v>
      </c>
      <c r="AA2103" s="5">
        <f t="shared" si="204"/>
        <v>0</v>
      </c>
      <c r="AB2103" s="5">
        <f t="shared" si="205"/>
        <v>0</v>
      </c>
      <c r="AC2103" s="5"/>
      <c r="AD2103" s="5">
        <v>0</v>
      </c>
      <c r="AE2103" s="5">
        <f t="shared" si="206"/>
        <v>0</v>
      </c>
      <c r="AF2103" s="70">
        <v>0</v>
      </c>
      <c r="AG2103" s="17"/>
      <c r="AH2103" s="18"/>
      <c r="AI2103" s="47" t="s">
        <v>4336</v>
      </c>
      <c r="AJ2103" s="73" t="s">
        <v>4337</v>
      </c>
      <c r="AK2103" s="45"/>
      <c r="AL2103" s="17"/>
      <c r="AM2103" s="121" t="s">
        <v>4464</v>
      </c>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c r="BW2103" s="19"/>
      <c r="BX2103" s="19"/>
      <c r="BY2103" s="19"/>
      <c r="BZ2103" s="19"/>
      <c r="CA2103" s="19"/>
      <c r="CB2103" s="19"/>
      <c r="CC2103" s="19"/>
      <c r="CD2103" s="139"/>
      <c r="CE2103" s="138"/>
      <c r="CF2103" s="139"/>
      <c r="CG2103" s="138"/>
      <c r="CH2103" s="139"/>
      <c r="CI2103" s="138"/>
      <c r="CJ2103" s="72"/>
      <c r="CK2103" s="139"/>
      <c r="CL2103" s="71"/>
      <c r="CM2103" s="139"/>
      <c r="CN2103" s="138"/>
      <c r="CO2103" s="138"/>
      <c r="CP2103" s="138"/>
      <c r="CQ2103" s="139"/>
      <c r="CR2103" s="138"/>
      <c r="CS2103" s="45"/>
      <c r="CT2103" s="138"/>
      <c r="CU2103" s="45"/>
      <c r="CV2103" s="99">
        <f t="shared" si="207"/>
        <v>0</v>
      </c>
      <c r="CW2103" s="139"/>
      <c r="CX2103" s="138"/>
      <c r="CY2103" s="138"/>
      <c r="CZ2103" s="138"/>
      <c r="DA2103" s="139"/>
      <c r="DB2103" s="138"/>
      <c r="DC2103" s="45"/>
      <c r="DD2103" s="138"/>
      <c r="DE2103" s="45"/>
      <c r="DF2103" s="46"/>
    </row>
    <row r="2104" spans="1:110" s="42" customFormat="1" ht="228" x14ac:dyDescent="0.2">
      <c r="A2104" s="89">
        <v>40806</v>
      </c>
      <c r="B2104" s="151" t="s">
        <v>4326</v>
      </c>
      <c r="C2104" s="90" t="s">
        <v>4338</v>
      </c>
      <c r="D2104" s="90" t="s">
        <v>4264</v>
      </c>
      <c r="E2104" s="90" t="str">
        <f>VLOOKUP(B2104&amp;C2104,Divipola!$C$2:$F$1138,4,FALSE)</f>
        <v>08001</v>
      </c>
      <c r="F2104" s="4"/>
      <c r="G2104" s="101">
        <v>1</v>
      </c>
      <c r="H2104" s="101">
        <v>3</v>
      </c>
      <c r="I2104" s="101"/>
      <c r="J2104" s="101">
        <v>2115</v>
      </c>
      <c r="K2104" s="101">
        <v>423</v>
      </c>
      <c r="L2104" s="101">
        <v>3</v>
      </c>
      <c r="M2104" s="101">
        <v>420</v>
      </c>
      <c r="N2104" s="101"/>
      <c r="O2104" s="101"/>
      <c r="P2104" s="101"/>
      <c r="Q2104" s="101"/>
      <c r="R2104" s="101"/>
      <c r="S2104" s="101"/>
      <c r="T2104" s="101"/>
      <c r="U2104" s="101"/>
      <c r="V2104" s="101"/>
      <c r="W2104" s="19"/>
      <c r="X2104" s="17"/>
      <c r="Y2104" s="5">
        <f t="shared" si="202"/>
        <v>0</v>
      </c>
      <c r="Z2104" s="5">
        <f t="shared" si="203"/>
        <v>0</v>
      </c>
      <c r="AA2104" s="5">
        <f t="shared" si="204"/>
        <v>0</v>
      </c>
      <c r="AB2104" s="5">
        <f t="shared" si="205"/>
        <v>0</v>
      </c>
      <c r="AC2104" s="5"/>
      <c r="AD2104" s="5">
        <v>0</v>
      </c>
      <c r="AE2104" s="5">
        <f t="shared" si="206"/>
        <v>0</v>
      </c>
      <c r="AF2104" s="70">
        <v>0</v>
      </c>
      <c r="AG2104" s="17"/>
      <c r="AH2104" s="18"/>
      <c r="AI2104" s="47" t="s">
        <v>4346</v>
      </c>
      <c r="AJ2104" s="73" t="s">
        <v>4347</v>
      </c>
      <c r="AK2104" s="45"/>
      <c r="AL2104" s="207" t="s">
        <v>4769</v>
      </c>
      <c r="AM2104" s="121" t="s">
        <v>4465</v>
      </c>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9"/>
      <c r="BW2104" s="19"/>
      <c r="BX2104" s="19"/>
      <c r="BY2104" s="19"/>
      <c r="BZ2104" s="19"/>
      <c r="CA2104" s="19"/>
      <c r="CB2104" s="19"/>
      <c r="CC2104" s="19"/>
      <c r="CD2104" s="139"/>
      <c r="CE2104" s="138"/>
      <c r="CF2104" s="139"/>
      <c r="CG2104" s="138"/>
      <c r="CH2104" s="139"/>
      <c r="CI2104" s="138"/>
      <c r="CJ2104" s="72"/>
      <c r="CK2104" s="139"/>
      <c r="CL2104" s="71"/>
      <c r="CM2104" s="139"/>
      <c r="CN2104" s="138"/>
      <c r="CO2104" s="138"/>
      <c r="CP2104" s="138"/>
      <c r="CQ2104" s="139"/>
      <c r="CR2104" s="138"/>
      <c r="CS2104" s="45"/>
      <c r="CT2104" s="138"/>
      <c r="CU2104" s="45"/>
      <c r="CV2104" s="99">
        <f t="shared" si="207"/>
        <v>0</v>
      </c>
      <c r="CW2104" s="139"/>
      <c r="CX2104" s="138"/>
      <c r="CY2104" s="138"/>
      <c r="CZ2104" s="138"/>
      <c r="DA2104" s="139"/>
      <c r="DB2104" s="138"/>
      <c r="DC2104" s="45"/>
      <c r="DD2104" s="138"/>
      <c r="DE2104" s="45"/>
      <c r="DF2104" s="46"/>
    </row>
    <row r="2105" spans="1:110" s="42" customFormat="1" x14ac:dyDescent="0.2">
      <c r="A2105" s="89">
        <v>40806</v>
      </c>
      <c r="B2105" s="153" t="s">
        <v>4352</v>
      </c>
      <c r="C2105" s="4" t="s">
        <v>4345</v>
      </c>
      <c r="D2105" s="90" t="s">
        <v>4264</v>
      </c>
      <c r="E2105" s="90">
        <f>VLOOKUP(B2105&amp;C2105,Divipola!$C$2:$F$1138,4,FALSE)</f>
        <v>13</v>
      </c>
      <c r="F2105" s="4"/>
      <c r="G2105" s="208"/>
      <c r="H2105" s="208"/>
      <c r="I2105" s="208"/>
      <c r="J2105" s="208"/>
      <c r="K2105" s="208"/>
      <c r="L2105" s="208"/>
      <c r="M2105" s="208"/>
      <c r="N2105" s="208"/>
      <c r="O2105" s="208"/>
      <c r="P2105" s="208"/>
      <c r="Q2105" s="208"/>
      <c r="R2105" s="208"/>
      <c r="S2105" s="208"/>
      <c r="T2105" s="208"/>
      <c r="U2105" s="208"/>
      <c r="V2105" s="208"/>
      <c r="W2105" s="19"/>
      <c r="X2105" s="17"/>
      <c r="Y2105" s="5">
        <f t="shared" si="202"/>
        <v>0</v>
      </c>
      <c r="Z2105" s="5">
        <f t="shared" si="203"/>
        <v>0</v>
      </c>
      <c r="AA2105" s="5">
        <f t="shared" si="204"/>
        <v>0</v>
      </c>
      <c r="AB2105" s="5">
        <f t="shared" si="205"/>
        <v>89900000</v>
      </c>
      <c r="AC2105" s="5"/>
      <c r="AD2105" s="5">
        <v>0</v>
      </c>
      <c r="AE2105" s="5">
        <f t="shared" si="206"/>
        <v>89900000</v>
      </c>
      <c r="AF2105" s="70">
        <v>0</v>
      </c>
      <c r="AG2105" s="17"/>
      <c r="AH2105" s="18"/>
      <c r="AI2105" s="47" t="s">
        <v>4346</v>
      </c>
      <c r="AJ2105" s="73" t="s">
        <v>4347</v>
      </c>
      <c r="AK2105" s="45"/>
      <c r="AL2105" s="17"/>
      <c r="AM2105" s="160" t="s">
        <v>4484</v>
      </c>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9"/>
      <c r="BW2105" s="19"/>
      <c r="BX2105" s="19"/>
      <c r="BY2105" s="19"/>
      <c r="BZ2105" s="19"/>
      <c r="CA2105" s="19"/>
      <c r="CB2105" s="19"/>
      <c r="CC2105" s="19"/>
      <c r="CD2105" s="139"/>
      <c r="CE2105" s="138"/>
      <c r="CF2105" s="139"/>
      <c r="CG2105" s="138"/>
      <c r="CH2105" s="139"/>
      <c r="CI2105" s="138"/>
      <c r="CJ2105" s="72"/>
      <c r="CK2105" s="139"/>
      <c r="CL2105" s="71"/>
      <c r="CM2105" s="139"/>
      <c r="CN2105" s="138"/>
      <c r="CO2105" s="138"/>
      <c r="CP2105" s="138"/>
      <c r="CQ2105" s="139"/>
      <c r="CR2105" s="138"/>
      <c r="CS2105" s="45"/>
      <c r="CT2105" s="138"/>
      <c r="CU2105" s="45"/>
      <c r="CV2105" s="99">
        <f t="shared" si="207"/>
        <v>0</v>
      </c>
      <c r="CW2105" s="139">
        <v>100000</v>
      </c>
      <c r="CX2105" s="138">
        <f>100000*899</f>
        <v>89900000</v>
      </c>
      <c r="CY2105" s="138"/>
      <c r="CZ2105" s="138"/>
      <c r="DA2105" s="139"/>
      <c r="DB2105" s="138"/>
      <c r="DC2105" s="45"/>
      <c r="DD2105" s="138"/>
      <c r="DE2105" s="45"/>
      <c r="DF2105" s="46"/>
    </row>
    <row r="2106" spans="1:110" s="42" customFormat="1" ht="60" x14ac:dyDescent="0.2">
      <c r="A2106" s="89">
        <v>40806</v>
      </c>
      <c r="B2106" s="151" t="s">
        <v>3533</v>
      </c>
      <c r="C2106" s="90" t="s">
        <v>3394</v>
      </c>
      <c r="D2106" s="90" t="s">
        <v>3346</v>
      </c>
      <c r="E2106" s="90" t="str">
        <f>VLOOKUP(B2106&amp;C2106,Divipola!$C$2:$F$1138,4,FALSE)</f>
        <v>17662</v>
      </c>
      <c r="F2106" s="4"/>
      <c r="G2106" s="101"/>
      <c r="H2106" s="101"/>
      <c r="I2106" s="101"/>
      <c r="J2106" s="101">
        <f>91*5</f>
        <v>455</v>
      </c>
      <c r="K2106" s="101">
        <v>91</v>
      </c>
      <c r="L2106" s="101">
        <v>3</v>
      </c>
      <c r="M2106" s="101">
        <v>88</v>
      </c>
      <c r="N2106" s="101"/>
      <c r="O2106" s="101"/>
      <c r="P2106" s="101"/>
      <c r="Q2106" s="101"/>
      <c r="R2106" s="101"/>
      <c r="S2106" s="101"/>
      <c r="T2106" s="101"/>
      <c r="U2106" s="101"/>
      <c r="V2106" s="101"/>
      <c r="W2106" s="19"/>
      <c r="X2106" s="17"/>
      <c r="Y2106" s="5">
        <f t="shared" si="202"/>
        <v>0</v>
      </c>
      <c r="Z2106" s="5">
        <f t="shared" si="203"/>
        <v>0</v>
      </c>
      <c r="AA2106" s="5">
        <f t="shared" si="204"/>
        <v>0</v>
      </c>
      <c r="AB2106" s="5">
        <f t="shared" si="205"/>
        <v>0</v>
      </c>
      <c r="AC2106" s="5"/>
      <c r="AD2106" s="5">
        <v>0</v>
      </c>
      <c r="AE2106" s="5">
        <f t="shared" si="206"/>
        <v>0</v>
      </c>
      <c r="AF2106" s="70">
        <v>0</v>
      </c>
      <c r="AG2106" s="17"/>
      <c r="AH2106" s="18"/>
      <c r="AI2106" s="47" t="s">
        <v>4336</v>
      </c>
      <c r="AJ2106" s="73" t="s">
        <v>4337</v>
      </c>
      <c r="AK2106" s="45"/>
      <c r="AL2106" s="17"/>
      <c r="AM2106" s="121" t="s">
        <v>4475</v>
      </c>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19"/>
      <c r="BW2106" s="19"/>
      <c r="BX2106" s="19"/>
      <c r="BY2106" s="19"/>
      <c r="BZ2106" s="19"/>
      <c r="CA2106" s="19"/>
      <c r="CB2106" s="19"/>
      <c r="CC2106" s="19"/>
      <c r="CD2106" s="139"/>
      <c r="CE2106" s="138"/>
      <c r="CF2106" s="139"/>
      <c r="CG2106" s="138"/>
      <c r="CH2106" s="139"/>
      <c r="CI2106" s="138"/>
      <c r="CJ2106" s="72"/>
      <c r="CK2106" s="139"/>
      <c r="CL2106" s="71"/>
      <c r="CM2106" s="139"/>
      <c r="CN2106" s="138"/>
      <c r="CO2106" s="138"/>
      <c r="CP2106" s="138"/>
      <c r="CQ2106" s="139"/>
      <c r="CR2106" s="138"/>
      <c r="CS2106" s="45"/>
      <c r="CT2106" s="138"/>
      <c r="CU2106" s="45"/>
      <c r="CV2106" s="99">
        <f t="shared" si="207"/>
        <v>0</v>
      </c>
      <c r="CW2106" s="139"/>
      <c r="CX2106" s="138"/>
      <c r="CY2106" s="138"/>
      <c r="CZ2106" s="138"/>
      <c r="DA2106" s="139"/>
      <c r="DB2106" s="138"/>
      <c r="DC2106" s="45"/>
      <c r="DD2106" s="138"/>
      <c r="DE2106" s="45"/>
      <c r="DF2106" s="46"/>
    </row>
    <row r="2107" spans="1:110" s="42" customFormat="1" x14ac:dyDescent="0.2">
      <c r="A2107" s="89">
        <v>40806</v>
      </c>
      <c r="B2107" s="153" t="s">
        <v>4348</v>
      </c>
      <c r="C2107" s="4" t="s">
        <v>2228</v>
      </c>
      <c r="D2107" s="90" t="s">
        <v>4264</v>
      </c>
      <c r="E2107" s="90" t="str">
        <f>VLOOKUP(B2107&amp;C2107,Divipola!$C$2:$F$1138,4,FALSE)</f>
        <v>66001</v>
      </c>
      <c r="F2107" s="4"/>
      <c r="G2107" s="208"/>
      <c r="H2107" s="208"/>
      <c r="I2107" s="208"/>
      <c r="J2107" s="208"/>
      <c r="K2107" s="208"/>
      <c r="L2107" s="208"/>
      <c r="M2107" s="208"/>
      <c r="N2107" s="208"/>
      <c r="O2107" s="208"/>
      <c r="P2107" s="208"/>
      <c r="Q2107" s="208"/>
      <c r="R2107" s="208"/>
      <c r="S2107" s="208"/>
      <c r="T2107" s="208"/>
      <c r="U2107" s="208"/>
      <c r="V2107" s="208"/>
      <c r="W2107" s="19"/>
      <c r="X2107" s="17"/>
      <c r="Y2107" s="5">
        <f t="shared" si="202"/>
        <v>18349819.600000001</v>
      </c>
      <c r="Z2107" s="5">
        <f t="shared" si="203"/>
        <v>9605000</v>
      </c>
      <c r="AA2107" s="5">
        <f t="shared" si="204"/>
        <v>16719404.800000001</v>
      </c>
      <c r="AB2107" s="5">
        <f t="shared" si="205"/>
        <v>0</v>
      </c>
      <c r="AC2107" s="5"/>
      <c r="AD2107" s="5">
        <v>0</v>
      </c>
      <c r="AE2107" s="5">
        <f t="shared" si="206"/>
        <v>44674224.400000006</v>
      </c>
      <c r="AF2107" s="70">
        <v>0</v>
      </c>
      <c r="AG2107" s="17"/>
      <c r="AH2107" s="18"/>
      <c r="AI2107" s="47" t="s">
        <v>4346</v>
      </c>
      <c r="AJ2107" s="73" t="s">
        <v>4347</v>
      </c>
      <c r="AK2107" s="45"/>
      <c r="AL2107" s="17"/>
      <c r="AM2107" s="20"/>
      <c r="AN2107" s="19"/>
      <c r="AO2107" s="19"/>
      <c r="AP2107" s="19"/>
      <c r="AQ2107" s="19"/>
      <c r="AR2107" s="19"/>
      <c r="AS2107" s="19"/>
      <c r="AT2107" s="19"/>
      <c r="AU2107" s="19"/>
      <c r="AV2107" s="19"/>
      <c r="AW2107" s="19"/>
      <c r="AX2107" s="19"/>
      <c r="AY2107" s="19"/>
      <c r="AZ2107" s="19">
        <v>110</v>
      </c>
      <c r="BA2107" s="19">
        <f>110*55999</f>
        <v>6159890</v>
      </c>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9"/>
      <c r="BW2107" s="19"/>
      <c r="BX2107" s="19"/>
      <c r="BY2107" s="19"/>
      <c r="BZ2107" s="19"/>
      <c r="CA2107" s="19"/>
      <c r="CB2107" s="19"/>
      <c r="CC2107" s="19"/>
      <c r="CD2107" s="139"/>
      <c r="CE2107" s="138"/>
      <c r="CF2107" s="139"/>
      <c r="CG2107" s="138"/>
      <c r="CH2107" s="139">
        <v>110</v>
      </c>
      <c r="CI2107" s="138">
        <f>110*17999.72</f>
        <v>1979969.2000000002</v>
      </c>
      <c r="CJ2107" s="139">
        <v>110</v>
      </c>
      <c r="CK2107" s="139">
        <f>110*20999.48</f>
        <v>2309942.7999999998</v>
      </c>
      <c r="CL2107" s="71"/>
      <c r="CM2107" s="139"/>
      <c r="CN2107" s="138"/>
      <c r="CO2107" s="138"/>
      <c r="CP2107" s="138">
        <v>103</v>
      </c>
      <c r="CQ2107" s="139">
        <f>103*36999.36</f>
        <v>3810934.08</v>
      </c>
      <c r="CR2107" s="138">
        <v>103</v>
      </c>
      <c r="CS2107" s="45">
        <f>103*39699.84</f>
        <v>4089083.5199999996</v>
      </c>
      <c r="CT2107" s="138"/>
      <c r="CU2107" s="45"/>
      <c r="CV2107" s="99">
        <f t="shared" si="207"/>
        <v>18349819.600000001</v>
      </c>
      <c r="CW2107" s="139"/>
      <c r="CX2107" s="138"/>
      <c r="CY2107" s="138">
        <v>113</v>
      </c>
      <c r="CZ2107" s="138">
        <f>113*85000</f>
        <v>9605000</v>
      </c>
      <c r="DA2107" s="139"/>
      <c r="DB2107" s="138"/>
      <c r="DC2107" s="45">
        <v>680</v>
      </c>
      <c r="DD2107" s="138">
        <f>680*22499.36+4080*348</f>
        <v>16719404.800000001</v>
      </c>
      <c r="DE2107" s="45"/>
      <c r="DF2107" s="46"/>
    </row>
    <row r="2108" spans="1:110" s="42" customFormat="1" ht="216" x14ac:dyDescent="0.2">
      <c r="A2108" s="89">
        <v>40807</v>
      </c>
      <c r="B2108" s="151" t="s">
        <v>4261</v>
      </c>
      <c r="C2108" s="90" t="s">
        <v>1310</v>
      </c>
      <c r="D2108" s="90" t="s">
        <v>3311</v>
      </c>
      <c r="E2108" s="90" t="str">
        <f>VLOOKUP(B2108&amp;C2108,Divipola!$C$2:$F$1138,4,FALSE)</f>
        <v>15757</v>
      </c>
      <c r="F2108" s="4"/>
      <c r="G2108" s="208">
        <v>7</v>
      </c>
      <c r="H2108" s="208">
        <v>3</v>
      </c>
      <c r="I2108" s="208"/>
      <c r="J2108" s="208"/>
      <c r="K2108" s="208"/>
      <c r="L2108" s="208"/>
      <c r="M2108" s="208"/>
      <c r="N2108" s="208"/>
      <c r="O2108" s="208"/>
      <c r="P2108" s="208"/>
      <c r="Q2108" s="208"/>
      <c r="R2108" s="208"/>
      <c r="S2108" s="208"/>
      <c r="T2108" s="208"/>
      <c r="U2108" s="208"/>
      <c r="V2108" s="208"/>
      <c r="W2108" s="19"/>
      <c r="X2108" s="17"/>
      <c r="Y2108" s="5">
        <f t="shared" si="202"/>
        <v>0</v>
      </c>
      <c r="Z2108" s="5">
        <f t="shared" si="203"/>
        <v>0</v>
      </c>
      <c r="AA2108" s="5">
        <f t="shared" si="204"/>
        <v>0</v>
      </c>
      <c r="AB2108" s="5">
        <f t="shared" si="205"/>
        <v>0</v>
      </c>
      <c r="AC2108" s="5"/>
      <c r="AD2108" s="5">
        <v>0</v>
      </c>
      <c r="AE2108" s="5">
        <f t="shared" si="206"/>
        <v>0</v>
      </c>
      <c r="AF2108" s="70">
        <v>0</v>
      </c>
      <c r="AG2108" s="17"/>
      <c r="AH2108" s="18"/>
      <c r="AI2108" s="47" t="s">
        <v>4336</v>
      </c>
      <c r="AJ2108" s="73" t="s">
        <v>4337</v>
      </c>
      <c r="AK2108" s="45"/>
      <c r="AL2108" s="17"/>
      <c r="AM2108" s="121" t="s">
        <v>4468</v>
      </c>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9"/>
      <c r="BW2108" s="19"/>
      <c r="BX2108" s="19"/>
      <c r="BY2108" s="19"/>
      <c r="BZ2108" s="19"/>
      <c r="CA2108" s="19"/>
      <c r="CB2108" s="19"/>
      <c r="CC2108" s="19"/>
      <c r="CD2108" s="139"/>
      <c r="CE2108" s="138"/>
      <c r="CF2108" s="139"/>
      <c r="CG2108" s="138"/>
      <c r="CH2108" s="139"/>
      <c r="CI2108" s="138"/>
      <c r="CJ2108" s="72"/>
      <c r="CK2108" s="139"/>
      <c r="CL2108" s="71"/>
      <c r="CM2108" s="139"/>
      <c r="CN2108" s="138"/>
      <c r="CO2108" s="138"/>
      <c r="CP2108" s="138"/>
      <c r="CQ2108" s="139"/>
      <c r="CR2108" s="138"/>
      <c r="CS2108" s="45"/>
      <c r="CT2108" s="138"/>
      <c r="CU2108" s="45"/>
      <c r="CV2108" s="99">
        <f t="shared" si="207"/>
        <v>0</v>
      </c>
      <c r="CW2108" s="139"/>
      <c r="CX2108" s="138"/>
      <c r="CY2108" s="138"/>
      <c r="CZ2108" s="138"/>
      <c r="DA2108" s="139"/>
      <c r="DB2108" s="138"/>
      <c r="DC2108" s="45"/>
      <c r="DD2108" s="138"/>
      <c r="DE2108" s="45"/>
      <c r="DF2108" s="46"/>
    </row>
    <row r="2109" spans="1:110" s="42" customFormat="1" ht="48" x14ac:dyDescent="0.2">
      <c r="A2109" s="89">
        <v>40807</v>
      </c>
      <c r="B2109" s="16" t="s">
        <v>3533</v>
      </c>
      <c r="C2109" s="16" t="s">
        <v>968</v>
      </c>
      <c r="D2109" s="16" t="s">
        <v>3311</v>
      </c>
      <c r="E2109" s="90" t="str">
        <f>VLOOKUP(B2109&amp;C2109,Divipola!$C$2:$F$1138,4,FALSE)</f>
        <v>17174</v>
      </c>
      <c r="F2109" s="4"/>
      <c r="G2109" s="208">
        <v>7</v>
      </c>
      <c r="H2109" s="208">
        <v>9</v>
      </c>
      <c r="I2109" s="208"/>
      <c r="J2109" s="208"/>
      <c r="K2109" s="208"/>
      <c r="L2109" s="208"/>
      <c r="M2109" s="208"/>
      <c r="N2109" s="208"/>
      <c r="O2109" s="208"/>
      <c r="P2109" s="208"/>
      <c r="Q2109" s="208"/>
      <c r="R2109" s="208"/>
      <c r="S2109" s="208"/>
      <c r="T2109" s="208"/>
      <c r="U2109" s="208"/>
      <c r="V2109" s="208"/>
      <c r="W2109" s="19"/>
      <c r="X2109" s="17"/>
      <c r="Y2109" s="5">
        <f t="shared" si="202"/>
        <v>0</v>
      </c>
      <c r="Z2109" s="5">
        <f t="shared" si="203"/>
        <v>0</v>
      </c>
      <c r="AA2109" s="5">
        <f t="shared" si="204"/>
        <v>0</v>
      </c>
      <c r="AB2109" s="5">
        <f t="shared" si="205"/>
        <v>0</v>
      </c>
      <c r="AC2109" s="5"/>
      <c r="AD2109" s="5">
        <v>0</v>
      </c>
      <c r="AE2109" s="5">
        <f t="shared" si="206"/>
        <v>0</v>
      </c>
      <c r="AF2109" s="70">
        <v>0</v>
      </c>
      <c r="AG2109" s="17"/>
      <c r="AH2109" s="18"/>
      <c r="AI2109" s="47" t="s">
        <v>4336</v>
      </c>
      <c r="AJ2109" s="73" t="s">
        <v>4337</v>
      </c>
      <c r="AK2109" s="45"/>
      <c r="AL2109" s="17"/>
      <c r="AM2109" s="20" t="s">
        <v>4469</v>
      </c>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39"/>
      <c r="CE2109" s="138"/>
      <c r="CF2109" s="139"/>
      <c r="CG2109" s="138"/>
      <c r="CH2109" s="139"/>
      <c r="CI2109" s="138"/>
      <c r="CJ2109" s="72"/>
      <c r="CK2109" s="139"/>
      <c r="CL2109" s="71"/>
      <c r="CM2109" s="139"/>
      <c r="CN2109" s="138"/>
      <c r="CO2109" s="138"/>
      <c r="CP2109" s="138"/>
      <c r="CQ2109" s="139"/>
      <c r="CR2109" s="138"/>
      <c r="CS2109" s="45"/>
      <c r="CT2109" s="138"/>
      <c r="CU2109" s="45"/>
      <c r="CV2109" s="99">
        <f t="shared" si="207"/>
        <v>0</v>
      </c>
      <c r="CW2109" s="139"/>
      <c r="CX2109" s="138"/>
      <c r="CY2109" s="138"/>
      <c r="CZ2109" s="138"/>
      <c r="DA2109" s="139"/>
      <c r="DB2109" s="138"/>
      <c r="DC2109" s="45"/>
      <c r="DD2109" s="138"/>
      <c r="DE2109" s="45"/>
      <c r="DF2109" s="46"/>
    </row>
    <row r="2110" spans="1:110" s="42" customFormat="1" ht="48" x14ac:dyDescent="0.2">
      <c r="A2110" s="89">
        <v>40807</v>
      </c>
      <c r="B2110" s="153" t="s">
        <v>4296</v>
      </c>
      <c r="C2110" s="4" t="s">
        <v>4352</v>
      </c>
      <c r="D2110" s="4" t="s">
        <v>3346</v>
      </c>
      <c r="E2110" s="90" t="str">
        <f>VLOOKUP(B2110&amp;C2110,Divipola!$C$2:$F$1138,4,FALSE)</f>
        <v>19100</v>
      </c>
      <c r="F2110" s="4"/>
      <c r="G2110" s="208"/>
      <c r="H2110" s="208"/>
      <c r="I2110" s="208"/>
      <c r="J2110" s="208">
        <v>240</v>
      </c>
      <c r="K2110" s="208">
        <v>48</v>
      </c>
      <c r="L2110" s="208"/>
      <c r="M2110" s="208">
        <v>48</v>
      </c>
      <c r="N2110" s="208"/>
      <c r="O2110" s="208"/>
      <c r="P2110" s="208"/>
      <c r="Q2110" s="208"/>
      <c r="R2110" s="208"/>
      <c r="S2110" s="208"/>
      <c r="T2110" s="208"/>
      <c r="U2110" s="208"/>
      <c r="V2110" s="208"/>
      <c r="W2110" s="19"/>
      <c r="X2110" s="17"/>
      <c r="Y2110" s="5">
        <f t="shared" si="202"/>
        <v>0</v>
      </c>
      <c r="Z2110" s="5">
        <f t="shared" si="203"/>
        <v>0</v>
      </c>
      <c r="AA2110" s="5">
        <f t="shared" si="204"/>
        <v>5653468.7999999998</v>
      </c>
      <c r="AB2110" s="5">
        <f t="shared" si="205"/>
        <v>0</v>
      </c>
      <c r="AC2110" s="5"/>
      <c r="AD2110" s="5">
        <v>0</v>
      </c>
      <c r="AE2110" s="5">
        <f t="shared" si="206"/>
        <v>5653468.7999999998</v>
      </c>
      <c r="AF2110" s="70">
        <v>0</v>
      </c>
      <c r="AG2110" s="17"/>
      <c r="AH2110" s="18"/>
      <c r="AI2110" s="47" t="s">
        <v>4346</v>
      </c>
      <c r="AJ2110" s="73" t="s">
        <v>4347</v>
      </c>
      <c r="AK2110" s="45"/>
      <c r="AL2110" s="17"/>
      <c r="AM2110" s="195" t="s">
        <v>5231</v>
      </c>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39"/>
      <c r="CE2110" s="138"/>
      <c r="CF2110" s="139"/>
      <c r="CG2110" s="138"/>
      <c r="CH2110" s="139"/>
      <c r="CI2110" s="138"/>
      <c r="CJ2110" s="72"/>
      <c r="CK2110" s="139"/>
      <c r="CL2110" s="71"/>
      <c r="CM2110" s="139"/>
      <c r="CN2110" s="138"/>
      <c r="CO2110" s="138"/>
      <c r="CP2110" s="138"/>
      <c r="CQ2110" s="139"/>
      <c r="CR2110" s="138"/>
      <c r="CS2110" s="45"/>
      <c r="CT2110" s="138"/>
      <c r="CU2110" s="45"/>
      <c r="CV2110" s="99">
        <f t="shared" si="207"/>
        <v>0</v>
      </c>
      <c r="CW2110" s="139"/>
      <c r="CX2110" s="138"/>
      <c r="CY2110" s="138"/>
      <c r="CZ2110" s="138"/>
      <c r="DA2110" s="139"/>
      <c r="DB2110" s="138"/>
      <c r="DC2110" s="45">
        <v>240</v>
      </c>
      <c r="DD2110" s="138">
        <f>240*22999.32+960*139.2</f>
        <v>5653468.7999999998</v>
      </c>
      <c r="DE2110" s="45"/>
      <c r="DF2110" s="46"/>
    </row>
    <row r="2111" spans="1:110" s="42" customFormat="1" x14ac:dyDescent="0.2">
      <c r="A2111" s="89">
        <v>40807</v>
      </c>
      <c r="B2111" s="153" t="s">
        <v>4296</v>
      </c>
      <c r="C2111" s="4" t="s">
        <v>1485</v>
      </c>
      <c r="D2111" s="90" t="s">
        <v>4264</v>
      </c>
      <c r="E2111" s="90" t="str">
        <f>VLOOKUP(B2111&amp;C2111,Divipola!$C$2:$F$1138,4,FALSE)</f>
        <v>19392</v>
      </c>
      <c r="F2111" s="4"/>
      <c r="G2111" s="208"/>
      <c r="H2111" s="208"/>
      <c r="I2111" s="208"/>
      <c r="J2111" s="208"/>
      <c r="K2111" s="208"/>
      <c r="L2111" s="208"/>
      <c r="M2111" s="208"/>
      <c r="N2111" s="208"/>
      <c r="O2111" s="208"/>
      <c r="P2111" s="208"/>
      <c r="Q2111" s="208"/>
      <c r="R2111" s="208"/>
      <c r="S2111" s="208"/>
      <c r="T2111" s="208"/>
      <c r="U2111" s="208"/>
      <c r="V2111" s="208"/>
      <c r="W2111" s="19"/>
      <c r="X2111" s="17"/>
      <c r="Y2111" s="5">
        <f t="shared" si="202"/>
        <v>0</v>
      </c>
      <c r="Z2111" s="5">
        <f t="shared" si="203"/>
        <v>212500000</v>
      </c>
      <c r="AA2111" s="5">
        <f t="shared" si="204"/>
        <v>117780600</v>
      </c>
      <c r="AB2111" s="5">
        <f t="shared" si="205"/>
        <v>0</v>
      </c>
      <c r="AC2111" s="5"/>
      <c r="AD2111" s="5">
        <v>0</v>
      </c>
      <c r="AE2111" s="5">
        <f t="shared" si="206"/>
        <v>330280600</v>
      </c>
      <c r="AF2111" s="70">
        <v>0</v>
      </c>
      <c r="AG2111" s="17"/>
      <c r="AH2111" s="18"/>
      <c r="AI2111" s="47" t="s">
        <v>4346</v>
      </c>
      <c r="AJ2111" s="73" t="s">
        <v>4347</v>
      </c>
      <c r="AK2111" s="45"/>
      <c r="AL2111" s="17"/>
      <c r="AM2111" s="20"/>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39"/>
      <c r="CE2111" s="138"/>
      <c r="CF2111" s="139"/>
      <c r="CG2111" s="138"/>
      <c r="CH2111" s="139"/>
      <c r="CI2111" s="138"/>
      <c r="CJ2111" s="72"/>
      <c r="CK2111" s="139"/>
      <c r="CL2111" s="71"/>
      <c r="CM2111" s="139"/>
      <c r="CN2111" s="138"/>
      <c r="CO2111" s="138"/>
      <c r="CP2111" s="138"/>
      <c r="CQ2111" s="139"/>
      <c r="CR2111" s="138"/>
      <c r="CS2111" s="45"/>
      <c r="CT2111" s="138"/>
      <c r="CU2111" s="45"/>
      <c r="CV2111" s="99">
        <f t="shared" si="207"/>
        <v>0</v>
      </c>
      <c r="CW2111" s="139"/>
      <c r="CX2111" s="138"/>
      <c r="CY2111" s="138">
        <v>2500</v>
      </c>
      <c r="CZ2111" s="138">
        <f>2500*85000</f>
        <v>212500000</v>
      </c>
      <c r="DA2111" s="139"/>
      <c r="DB2111" s="138"/>
      <c r="DC2111" s="45">
        <v>5000</v>
      </c>
      <c r="DD2111" s="138">
        <f>5000*22999.32+20000*139.2</f>
        <v>117780600</v>
      </c>
      <c r="DE2111" s="45"/>
      <c r="DF2111" s="46"/>
    </row>
    <row r="2112" spans="1:110" s="42" customFormat="1" ht="60" x14ac:dyDescent="0.2">
      <c r="A2112" s="89">
        <v>40807</v>
      </c>
      <c r="B2112" s="151" t="s">
        <v>4387</v>
      </c>
      <c r="C2112" s="90" t="s">
        <v>461</v>
      </c>
      <c r="D2112" s="90" t="s">
        <v>4264</v>
      </c>
      <c r="E2112" s="90" t="str">
        <f>VLOOKUP(B2112&amp;C2112,Divipola!$C$2:$F$1138,4,FALSE)</f>
        <v>52250</v>
      </c>
      <c r="F2112" s="4"/>
      <c r="G2112" s="101"/>
      <c r="H2112" s="101"/>
      <c r="I2112" s="101"/>
      <c r="J2112" s="101">
        <v>865</v>
      </c>
      <c r="K2112" s="101">
        <v>173</v>
      </c>
      <c r="L2112" s="101"/>
      <c r="M2112" s="101">
        <v>173</v>
      </c>
      <c r="N2112" s="101"/>
      <c r="O2112" s="101"/>
      <c r="P2112" s="101"/>
      <c r="Q2112" s="101"/>
      <c r="R2112" s="101"/>
      <c r="S2112" s="101"/>
      <c r="T2112" s="101"/>
      <c r="U2112" s="101"/>
      <c r="V2112" s="101"/>
      <c r="W2112" s="19"/>
      <c r="X2112" s="17"/>
      <c r="Y2112" s="5">
        <f t="shared" si="202"/>
        <v>0</v>
      </c>
      <c r="Z2112" s="5">
        <f t="shared" si="203"/>
        <v>0</v>
      </c>
      <c r="AA2112" s="5">
        <f t="shared" si="204"/>
        <v>0</v>
      </c>
      <c r="AB2112" s="5">
        <f t="shared" si="205"/>
        <v>0</v>
      </c>
      <c r="AC2112" s="5"/>
      <c r="AD2112" s="5">
        <v>0</v>
      </c>
      <c r="AE2112" s="5">
        <f t="shared" si="206"/>
        <v>0</v>
      </c>
      <c r="AF2112" s="70">
        <v>0</v>
      </c>
      <c r="AG2112" s="17"/>
      <c r="AH2112" s="18"/>
      <c r="AI2112" s="47" t="s">
        <v>4336</v>
      </c>
      <c r="AJ2112" s="73" t="s">
        <v>4337</v>
      </c>
      <c r="AK2112" s="45"/>
      <c r="AL2112" s="17"/>
      <c r="AM2112" s="121" t="s">
        <v>4571</v>
      </c>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39"/>
      <c r="CE2112" s="138"/>
      <c r="CF2112" s="139"/>
      <c r="CG2112" s="138"/>
      <c r="CH2112" s="139"/>
      <c r="CI2112" s="138"/>
      <c r="CJ2112" s="72"/>
      <c r="CK2112" s="139"/>
      <c r="CL2112" s="71"/>
      <c r="CM2112" s="139"/>
      <c r="CN2112" s="138"/>
      <c r="CO2112" s="138"/>
      <c r="CP2112" s="138"/>
      <c r="CQ2112" s="139"/>
      <c r="CR2112" s="138"/>
      <c r="CS2112" s="45"/>
      <c r="CT2112" s="138"/>
      <c r="CU2112" s="45"/>
      <c r="CV2112" s="99">
        <f t="shared" si="207"/>
        <v>0</v>
      </c>
      <c r="CW2112" s="139"/>
      <c r="CX2112" s="138"/>
      <c r="CY2112" s="138"/>
      <c r="CZ2112" s="138"/>
      <c r="DA2112" s="139"/>
      <c r="DB2112" s="138"/>
      <c r="DC2112" s="45"/>
      <c r="DD2112" s="138"/>
      <c r="DE2112" s="45"/>
      <c r="DF2112" s="46"/>
    </row>
    <row r="2113" spans="1:110" s="42" customFormat="1" ht="36" x14ac:dyDescent="0.2">
      <c r="A2113" s="89">
        <v>40807</v>
      </c>
      <c r="B2113" s="151" t="s">
        <v>2204</v>
      </c>
      <c r="C2113" s="90" t="s">
        <v>3043</v>
      </c>
      <c r="D2113" s="90" t="s">
        <v>4264</v>
      </c>
      <c r="E2113" s="90" t="str">
        <f>VLOOKUP(B2113&amp;C2113,Divipola!$C$2:$F$1138,4,FALSE)</f>
        <v>70429</v>
      </c>
      <c r="F2113" s="4"/>
      <c r="G2113" s="101"/>
      <c r="H2113" s="101"/>
      <c r="I2113" s="101"/>
      <c r="J2113" s="101">
        <v>80</v>
      </c>
      <c r="K2113" s="101">
        <v>23</v>
      </c>
      <c r="L2113" s="101"/>
      <c r="M2113" s="101">
        <v>18</v>
      </c>
      <c r="N2113" s="101"/>
      <c r="O2113" s="101"/>
      <c r="P2113" s="101"/>
      <c r="Q2113" s="101"/>
      <c r="R2113" s="101"/>
      <c r="S2113" s="101"/>
      <c r="T2113" s="101"/>
      <c r="U2113" s="101"/>
      <c r="V2113" s="101"/>
      <c r="W2113" s="19"/>
      <c r="X2113" s="17"/>
      <c r="Y2113" s="5">
        <f t="shared" si="202"/>
        <v>0</v>
      </c>
      <c r="Z2113" s="5">
        <f t="shared" si="203"/>
        <v>0</v>
      </c>
      <c r="AA2113" s="5">
        <f t="shared" si="204"/>
        <v>0</v>
      </c>
      <c r="AB2113" s="5">
        <f t="shared" si="205"/>
        <v>0</v>
      </c>
      <c r="AC2113" s="5"/>
      <c r="AD2113" s="5">
        <v>0</v>
      </c>
      <c r="AE2113" s="5">
        <f t="shared" si="206"/>
        <v>0</v>
      </c>
      <c r="AF2113" s="70">
        <v>0</v>
      </c>
      <c r="AG2113" s="17"/>
      <c r="AH2113" s="18"/>
      <c r="AI2113" s="47" t="s">
        <v>4336</v>
      </c>
      <c r="AJ2113" s="73" t="s">
        <v>4337</v>
      </c>
      <c r="AK2113" s="45"/>
      <c r="AL2113" s="17"/>
      <c r="AM2113" s="121" t="s">
        <v>4478</v>
      </c>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39"/>
      <c r="CE2113" s="138"/>
      <c r="CF2113" s="139"/>
      <c r="CG2113" s="138"/>
      <c r="CH2113" s="139"/>
      <c r="CI2113" s="138"/>
      <c r="CJ2113" s="72"/>
      <c r="CK2113" s="139"/>
      <c r="CL2113" s="71"/>
      <c r="CM2113" s="139"/>
      <c r="CN2113" s="138"/>
      <c r="CO2113" s="138"/>
      <c r="CP2113" s="138"/>
      <c r="CQ2113" s="139"/>
      <c r="CR2113" s="138"/>
      <c r="CS2113" s="45"/>
      <c r="CT2113" s="138"/>
      <c r="CU2113" s="45"/>
      <c r="CV2113" s="99">
        <f t="shared" si="207"/>
        <v>0</v>
      </c>
      <c r="CW2113" s="139"/>
      <c r="CX2113" s="138"/>
      <c r="CY2113" s="138"/>
      <c r="CZ2113" s="138"/>
      <c r="DA2113" s="139"/>
      <c r="DB2113" s="138"/>
      <c r="DC2113" s="45"/>
      <c r="DD2113" s="138"/>
      <c r="DE2113" s="45"/>
      <c r="DF2113" s="46"/>
    </row>
    <row r="2114" spans="1:110" s="42" customFormat="1" ht="72" x14ac:dyDescent="0.2">
      <c r="A2114" s="89">
        <v>40807</v>
      </c>
      <c r="B2114" s="16" t="s">
        <v>3316</v>
      </c>
      <c r="C2114" s="16" t="s">
        <v>869</v>
      </c>
      <c r="D2114" s="90" t="s">
        <v>4264</v>
      </c>
      <c r="E2114" s="90" t="str">
        <f>VLOOKUP(B2114&amp;C2114,Divipola!$C$2:$F$1138,4,FALSE)</f>
        <v>73030</v>
      </c>
      <c r="F2114" s="4"/>
      <c r="G2114" s="208"/>
      <c r="H2114" s="208"/>
      <c r="I2114" s="208"/>
      <c r="J2114" s="208"/>
      <c r="K2114" s="208"/>
      <c r="L2114" s="208"/>
      <c r="M2114" s="208"/>
      <c r="N2114" s="208"/>
      <c r="O2114" s="208"/>
      <c r="P2114" s="208"/>
      <c r="Q2114" s="208"/>
      <c r="R2114" s="208"/>
      <c r="S2114" s="208"/>
      <c r="T2114" s="208"/>
      <c r="U2114" s="208"/>
      <c r="V2114" s="208"/>
      <c r="W2114" s="19"/>
      <c r="X2114" s="17"/>
      <c r="Y2114" s="5">
        <f t="shared" ref="Y2114:Y2177" si="208">CV2114</f>
        <v>0</v>
      </c>
      <c r="Z2114" s="5">
        <f t="shared" ref="Z2114:Z2177" si="209">CZ2114</f>
        <v>0</v>
      </c>
      <c r="AA2114" s="5">
        <f t="shared" ref="AA2114:AA2177" si="210">DB2114+DD2114</f>
        <v>0</v>
      </c>
      <c r="AB2114" s="5">
        <f t="shared" ref="AB2114:AB2177" si="211">CX2114</f>
        <v>0</v>
      </c>
      <c r="AC2114" s="5"/>
      <c r="AD2114" s="5">
        <v>94500000</v>
      </c>
      <c r="AE2114" s="5">
        <f t="shared" ref="AE2114:AE2177" si="212">Y2114+Z2114+AA2114+AB2114+AC2114+AD2114</f>
        <v>94500000</v>
      </c>
      <c r="AF2114" s="70">
        <v>0</v>
      </c>
      <c r="AG2114" s="17"/>
      <c r="AH2114" s="18"/>
      <c r="AI2114" s="47" t="s">
        <v>4346</v>
      </c>
      <c r="AJ2114" s="73" t="s">
        <v>4347</v>
      </c>
      <c r="AK2114" s="45"/>
      <c r="AL2114" s="17"/>
      <c r="AM2114" s="20" t="s">
        <v>4581</v>
      </c>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39"/>
      <c r="CE2114" s="138"/>
      <c r="CF2114" s="139"/>
      <c r="CG2114" s="138"/>
      <c r="CH2114" s="139"/>
      <c r="CI2114" s="138"/>
      <c r="CJ2114" s="72"/>
      <c r="CK2114" s="139"/>
      <c r="CL2114" s="71"/>
      <c r="CM2114" s="139"/>
      <c r="CN2114" s="138"/>
      <c r="CO2114" s="138"/>
      <c r="CP2114" s="138"/>
      <c r="CQ2114" s="139"/>
      <c r="CR2114" s="138"/>
      <c r="CS2114" s="45"/>
      <c r="CT2114" s="138"/>
      <c r="CU2114" s="45"/>
      <c r="CV2114" s="99">
        <f t="shared" si="207"/>
        <v>0</v>
      </c>
      <c r="CW2114" s="139"/>
      <c r="CX2114" s="138"/>
      <c r="CY2114" s="138"/>
      <c r="CZ2114" s="138"/>
      <c r="DA2114" s="139"/>
      <c r="DB2114" s="138"/>
      <c r="DC2114" s="45"/>
      <c r="DD2114" s="138"/>
      <c r="DE2114" s="45"/>
      <c r="DF2114" s="46"/>
    </row>
    <row r="2115" spans="1:110" s="42" customFormat="1" ht="72" x14ac:dyDescent="0.2">
      <c r="A2115" s="89">
        <v>40808</v>
      </c>
      <c r="B2115" s="151" t="s">
        <v>2218</v>
      </c>
      <c r="C2115" s="90" t="s">
        <v>3363</v>
      </c>
      <c r="D2115" s="90" t="s">
        <v>3346</v>
      </c>
      <c r="E2115" s="90" t="str">
        <f>VLOOKUP(B2115&amp;C2115,Divipola!$C$2:$F$1138,4,FALSE)</f>
        <v>05284</v>
      </c>
      <c r="F2115" s="4"/>
      <c r="G2115" s="101"/>
      <c r="H2115" s="101"/>
      <c r="I2115" s="101"/>
      <c r="J2115" s="101">
        <v>20</v>
      </c>
      <c r="K2115" s="101">
        <v>4</v>
      </c>
      <c r="L2115" s="101"/>
      <c r="M2115" s="101">
        <v>4</v>
      </c>
      <c r="N2115" s="101"/>
      <c r="O2115" s="101"/>
      <c r="P2115" s="101"/>
      <c r="Q2115" s="101"/>
      <c r="R2115" s="101"/>
      <c r="S2115" s="101"/>
      <c r="T2115" s="101"/>
      <c r="U2115" s="101"/>
      <c r="V2115" s="101"/>
      <c r="W2115" s="19"/>
      <c r="X2115" s="17"/>
      <c r="Y2115" s="5">
        <f t="shared" si="208"/>
        <v>0</v>
      </c>
      <c r="Z2115" s="5">
        <f t="shared" si="209"/>
        <v>0</v>
      </c>
      <c r="AA2115" s="5">
        <f t="shared" si="210"/>
        <v>0</v>
      </c>
      <c r="AB2115" s="5">
        <f t="shared" si="211"/>
        <v>0</v>
      </c>
      <c r="AC2115" s="5"/>
      <c r="AD2115" s="5">
        <v>0</v>
      </c>
      <c r="AE2115" s="5">
        <f t="shared" si="212"/>
        <v>0</v>
      </c>
      <c r="AF2115" s="70">
        <v>0</v>
      </c>
      <c r="AG2115" s="17"/>
      <c r="AH2115" s="18"/>
      <c r="AI2115" s="47" t="s">
        <v>4336</v>
      </c>
      <c r="AJ2115" s="73" t="s">
        <v>4337</v>
      </c>
      <c r="AK2115" s="45"/>
      <c r="AL2115" s="17"/>
      <c r="AM2115" s="121" t="s">
        <v>4476</v>
      </c>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39"/>
      <c r="CE2115" s="138"/>
      <c r="CF2115" s="139"/>
      <c r="CG2115" s="138"/>
      <c r="CH2115" s="139"/>
      <c r="CI2115" s="138"/>
      <c r="CJ2115" s="72"/>
      <c r="CK2115" s="139"/>
      <c r="CL2115" s="71"/>
      <c r="CM2115" s="139"/>
      <c r="CN2115" s="138"/>
      <c r="CO2115" s="138"/>
      <c r="CP2115" s="138"/>
      <c r="CQ2115" s="139"/>
      <c r="CR2115" s="138"/>
      <c r="CS2115" s="45"/>
      <c r="CT2115" s="138"/>
      <c r="CU2115" s="45"/>
      <c r="CV2115" s="99">
        <f t="shared" ref="CV2115:CV2178" si="213">AO2115+AQ2115+AS2115+AU2115+AW2115+AY2115+BA2115+BC2115+BE2115+BG2115+BI2115+BK2115+BM2115+BO2115+BQ2115+BS2115+BU2115+BW2115+BY2115+CA2115+CC2115+CE2115+CG2115+CI2115+CK2115+CM2115+CO2115+CQ2115+CS2115+CU2115</f>
        <v>0</v>
      </c>
      <c r="CW2115" s="139"/>
      <c r="CX2115" s="138"/>
      <c r="CY2115" s="138"/>
      <c r="CZ2115" s="138"/>
      <c r="DA2115" s="139"/>
      <c r="DB2115" s="138"/>
      <c r="DC2115" s="45"/>
      <c r="DD2115" s="138"/>
      <c r="DE2115" s="45"/>
      <c r="DF2115" s="46"/>
    </row>
    <row r="2116" spans="1:110" s="42" customFormat="1" ht="108" x14ac:dyDescent="0.2">
      <c r="A2116" s="89">
        <v>40808</v>
      </c>
      <c r="B2116" s="151" t="s">
        <v>4261</v>
      </c>
      <c r="C2116" s="90" t="s">
        <v>2863</v>
      </c>
      <c r="D2116" s="90" t="s">
        <v>4264</v>
      </c>
      <c r="E2116" s="90" t="str">
        <f>VLOOKUP(B2116&amp;C2116,Divipola!$C$2:$F$1138,4,FALSE)</f>
        <v>15238</v>
      </c>
      <c r="F2116" s="4"/>
      <c r="G2116" s="101"/>
      <c r="H2116" s="101"/>
      <c r="I2116" s="101"/>
      <c r="J2116" s="101">
        <v>170</v>
      </c>
      <c r="K2116" s="101">
        <v>34</v>
      </c>
      <c r="L2116" s="101"/>
      <c r="M2116" s="101">
        <v>18</v>
      </c>
      <c r="N2116" s="101"/>
      <c r="O2116" s="101"/>
      <c r="P2116" s="101"/>
      <c r="Q2116" s="101"/>
      <c r="R2116" s="101"/>
      <c r="S2116" s="101"/>
      <c r="T2116" s="101"/>
      <c r="U2116" s="101"/>
      <c r="V2116" s="101">
        <v>58</v>
      </c>
      <c r="W2116" s="19"/>
      <c r="X2116" s="17"/>
      <c r="Y2116" s="5">
        <f t="shared" si="208"/>
        <v>0</v>
      </c>
      <c r="Z2116" s="5">
        <f t="shared" si="209"/>
        <v>0</v>
      </c>
      <c r="AA2116" s="5">
        <f t="shared" si="210"/>
        <v>0</v>
      </c>
      <c r="AB2116" s="5">
        <f t="shared" si="211"/>
        <v>0</v>
      </c>
      <c r="AC2116" s="5"/>
      <c r="AD2116" s="5">
        <v>0</v>
      </c>
      <c r="AE2116" s="5">
        <f t="shared" si="212"/>
        <v>0</v>
      </c>
      <c r="AF2116" s="70">
        <v>0</v>
      </c>
      <c r="AG2116" s="17"/>
      <c r="AH2116" s="18"/>
      <c r="AI2116" s="47" t="s">
        <v>4346</v>
      </c>
      <c r="AJ2116" s="73" t="s">
        <v>4347</v>
      </c>
      <c r="AK2116" s="45"/>
      <c r="AL2116" s="89" t="s">
        <v>2798</v>
      </c>
      <c r="AM2116" s="121" t="s">
        <v>4730</v>
      </c>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39"/>
      <c r="CE2116" s="138"/>
      <c r="CF2116" s="139"/>
      <c r="CG2116" s="138"/>
      <c r="CH2116" s="139"/>
      <c r="CI2116" s="138"/>
      <c r="CJ2116" s="72"/>
      <c r="CK2116" s="139"/>
      <c r="CL2116" s="71"/>
      <c r="CM2116" s="139"/>
      <c r="CN2116" s="138"/>
      <c r="CO2116" s="138"/>
      <c r="CP2116" s="138"/>
      <c r="CQ2116" s="139"/>
      <c r="CR2116" s="138"/>
      <c r="CS2116" s="45"/>
      <c r="CT2116" s="138"/>
      <c r="CU2116" s="45"/>
      <c r="CV2116" s="99">
        <f t="shared" si="213"/>
        <v>0</v>
      </c>
      <c r="CW2116" s="139"/>
      <c r="CX2116" s="138"/>
      <c r="CY2116" s="138"/>
      <c r="CZ2116" s="138"/>
      <c r="DA2116" s="139"/>
      <c r="DB2116" s="138"/>
      <c r="DC2116" s="45"/>
      <c r="DD2116" s="138"/>
      <c r="DE2116" s="45"/>
      <c r="DF2116" s="46"/>
    </row>
    <row r="2117" spans="1:110" s="42" customFormat="1" ht="72" x14ac:dyDescent="0.2">
      <c r="A2117" s="89">
        <v>40808</v>
      </c>
      <c r="B2117" s="151" t="s">
        <v>4261</v>
      </c>
      <c r="C2117" s="90" t="s">
        <v>1375</v>
      </c>
      <c r="D2117" s="90" t="s">
        <v>2362</v>
      </c>
      <c r="E2117" s="90" t="str">
        <f>VLOOKUP(B2117&amp;C2117,Divipola!$C$2:$F$1138,4,FALSE)</f>
        <v>15897</v>
      </c>
      <c r="F2117" s="4"/>
      <c r="G2117" s="101"/>
      <c r="H2117" s="101"/>
      <c r="I2117" s="101"/>
      <c r="J2117" s="101">
        <v>75</v>
      </c>
      <c r="K2117" s="101">
        <v>15</v>
      </c>
      <c r="L2117" s="101"/>
      <c r="M2117" s="101">
        <v>15</v>
      </c>
      <c r="N2117" s="101"/>
      <c r="O2117" s="101"/>
      <c r="P2117" s="101"/>
      <c r="Q2117" s="101"/>
      <c r="R2117" s="101"/>
      <c r="S2117" s="101"/>
      <c r="T2117" s="101"/>
      <c r="U2117" s="101"/>
      <c r="V2117" s="101"/>
      <c r="W2117" s="19"/>
      <c r="X2117" s="17"/>
      <c r="Y2117" s="5">
        <f t="shared" si="208"/>
        <v>0</v>
      </c>
      <c r="Z2117" s="5">
        <f t="shared" si="209"/>
        <v>0</v>
      </c>
      <c r="AA2117" s="5">
        <f t="shared" si="210"/>
        <v>0</v>
      </c>
      <c r="AB2117" s="5">
        <f t="shared" si="211"/>
        <v>0</v>
      </c>
      <c r="AC2117" s="5"/>
      <c r="AD2117" s="5">
        <v>0</v>
      </c>
      <c r="AE2117" s="5">
        <f t="shared" si="212"/>
        <v>0</v>
      </c>
      <c r="AF2117" s="70">
        <v>0</v>
      </c>
      <c r="AG2117" s="17"/>
      <c r="AH2117" s="18"/>
      <c r="AI2117" s="47" t="s">
        <v>4336</v>
      </c>
      <c r="AJ2117" s="73" t="s">
        <v>4337</v>
      </c>
      <c r="AK2117" s="45"/>
      <c r="AL2117" s="17"/>
      <c r="AM2117" s="121" t="s">
        <v>4471</v>
      </c>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39"/>
      <c r="CE2117" s="138"/>
      <c r="CF2117" s="139"/>
      <c r="CG2117" s="138"/>
      <c r="CH2117" s="139"/>
      <c r="CI2117" s="138"/>
      <c r="CJ2117" s="72"/>
      <c r="CK2117" s="139"/>
      <c r="CL2117" s="71"/>
      <c r="CM2117" s="139"/>
      <c r="CN2117" s="138"/>
      <c r="CO2117" s="138"/>
      <c r="CP2117" s="138"/>
      <c r="CQ2117" s="139"/>
      <c r="CR2117" s="138"/>
      <c r="CS2117" s="45"/>
      <c r="CT2117" s="138"/>
      <c r="CU2117" s="45"/>
      <c r="CV2117" s="99">
        <f t="shared" si="213"/>
        <v>0</v>
      </c>
      <c r="CW2117" s="139"/>
      <c r="CX2117" s="138"/>
      <c r="CY2117" s="138"/>
      <c r="CZ2117" s="138"/>
      <c r="DA2117" s="139"/>
      <c r="DB2117" s="138"/>
      <c r="DC2117" s="45"/>
      <c r="DD2117" s="138"/>
      <c r="DE2117" s="45"/>
      <c r="DF2117" s="46"/>
    </row>
    <row r="2118" spans="1:110" s="42" customFormat="1" ht="120" x14ac:dyDescent="0.2">
      <c r="A2118" s="89">
        <v>40808</v>
      </c>
      <c r="B2118" s="151" t="s">
        <v>3533</v>
      </c>
      <c r="C2118" s="90" t="s">
        <v>4235</v>
      </c>
      <c r="D2118" s="90" t="s">
        <v>2362</v>
      </c>
      <c r="E2118" s="90" t="str">
        <f>VLOOKUP(B2118&amp;C2118,Divipola!$C$2:$F$1138,4,FALSE)</f>
        <v>17380</v>
      </c>
      <c r="F2118" s="4"/>
      <c r="G2118" s="101">
        <v>1</v>
      </c>
      <c r="H2118" s="101"/>
      <c r="I2118" s="101"/>
      <c r="J2118" s="101"/>
      <c r="K2118" s="101"/>
      <c r="L2118" s="101">
        <v>1</v>
      </c>
      <c r="M2118" s="101"/>
      <c r="N2118" s="101">
        <v>1</v>
      </c>
      <c r="O2118" s="101"/>
      <c r="P2118" s="101"/>
      <c r="Q2118" s="101"/>
      <c r="R2118" s="101"/>
      <c r="S2118" s="101"/>
      <c r="T2118" s="101"/>
      <c r="U2118" s="101"/>
      <c r="V2118" s="101"/>
      <c r="W2118" s="19"/>
      <c r="X2118" s="17"/>
      <c r="Y2118" s="5">
        <f t="shared" si="208"/>
        <v>0</v>
      </c>
      <c r="Z2118" s="5">
        <f t="shared" si="209"/>
        <v>0</v>
      </c>
      <c r="AA2118" s="5">
        <f t="shared" si="210"/>
        <v>0</v>
      </c>
      <c r="AB2118" s="5">
        <f t="shared" si="211"/>
        <v>0</v>
      </c>
      <c r="AC2118" s="5"/>
      <c r="AD2118" s="5">
        <v>0</v>
      </c>
      <c r="AE2118" s="5">
        <f t="shared" si="212"/>
        <v>0</v>
      </c>
      <c r="AF2118" s="70">
        <v>0</v>
      </c>
      <c r="AG2118" s="17"/>
      <c r="AH2118" s="18"/>
      <c r="AI2118" s="47" t="s">
        <v>4336</v>
      </c>
      <c r="AJ2118" s="73" t="s">
        <v>4337</v>
      </c>
      <c r="AK2118" s="45"/>
      <c r="AL2118" s="17"/>
      <c r="AM2118" s="121" t="s">
        <v>4583</v>
      </c>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39"/>
      <c r="CE2118" s="138"/>
      <c r="CF2118" s="139"/>
      <c r="CG2118" s="138"/>
      <c r="CH2118" s="139"/>
      <c r="CI2118" s="138"/>
      <c r="CJ2118" s="72"/>
      <c r="CK2118" s="139"/>
      <c r="CL2118" s="71"/>
      <c r="CM2118" s="139"/>
      <c r="CN2118" s="138"/>
      <c r="CO2118" s="138"/>
      <c r="CP2118" s="138"/>
      <c r="CQ2118" s="139"/>
      <c r="CR2118" s="138"/>
      <c r="CS2118" s="45"/>
      <c r="CT2118" s="138"/>
      <c r="CU2118" s="45"/>
      <c r="CV2118" s="99">
        <f t="shared" si="213"/>
        <v>0</v>
      </c>
      <c r="CW2118" s="139"/>
      <c r="CX2118" s="138"/>
      <c r="CY2118" s="138"/>
      <c r="CZ2118" s="138"/>
      <c r="DA2118" s="139"/>
      <c r="DB2118" s="138"/>
      <c r="DC2118" s="45"/>
      <c r="DD2118" s="138"/>
      <c r="DE2118" s="45"/>
      <c r="DF2118" s="46"/>
    </row>
    <row r="2119" spans="1:110" s="42" customFormat="1" ht="48" x14ac:dyDescent="0.2">
      <c r="A2119" s="89">
        <v>40808</v>
      </c>
      <c r="B2119" s="151" t="s">
        <v>4282</v>
      </c>
      <c r="C2119" s="90" t="s">
        <v>2203</v>
      </c>
      <c r="D2119" s="90" t="s">
        <v>4264</v>
      </c>
      <c r="E2119" s="90" t="str">
        <f>VLOOKUP(B2119&amp;C2119,Divipola!$C$2:$F$1138,4,FALSE)</f>
        <v>23079</v>
      </c>
      <c r="F2119" s="4"/>
      <c r="G2119" s="101"/>
      <c r="H2119" s="101"/>
      <c r="I2119" s="101"/>
      <c r="J2119" s="101">
        <v>725</v>
      </c>
      <c r="K2119" s="101">
        <v>145</v>
      </c>
      <c r="L2119" s="101"/>
      <c r="M2119" s="101">
        <v>145</v>
      </c>
      <c r="N2119" s="101"/>
      <c r="O2119" s="101"/>
      <c r="P2119" s="101"/>
      <c r="Q2119" s="101"/>
      <c r="R2119" s="101"/>
      <c r="S2119" s="101"/>
      <c r="T2119" s="101"/>
      <c r="U2119" s="101"/>
      <c r="V2119" s="101"/>
      <c r="W2119" s="19"/>
      <c r="X2119" s="17"/>
      <c r="Y2119" s="5">
        <f t="shared" si="208"/>
        <v>0</v>
      </c>
      <c r="Z2119" s="5">
        <f t="shared" si="209"/>
        <v>0</v>
      </c>
      <c r="AA2119" s="5">
        <f t="shared" si="210"/>
        <v>0</v>
      </c>
      <c r="AB2119" s="5">
        <f t="shared" si="211"/>
        <v>0</v>
      </c>
      <c r="AC2119" s="5"/>
      <c r="AD2119" s="5">
        <v>0</v>
      </c>
      <c r="AE2119" s="5">
        <f t="shared" si="212"/>
        <v>0</v>
      </c>
      <c r="AF2119" s="70">
        <v>0</v>
      </c>
      <c r="AG2119" s="17"/>
      <c r="AH2119" s="18"/>
      <c r="AI2119" s="47" t="s">
        <v>4346</v>
      </c>
      <c r="AJ2119" s="73" t="s">
        <v>4347</v>
      </c>
      <c r="AK2119" s="45"/>
      <c r="AL2119" s="89" t="s">
        <v>2798</v>
      </c>
      <c r="AM2119" s="121" t="s">
        <v>4480</v>
      </c>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39"/>
      <c r="CE2119" s="138"/>
      <c r="CF2119" s="139"/>
      <c r="CG2119" s="138"/>
      <c r="CH2119" s="139"/>
      <c r="CI2119" s="138"/>
      <c r="CJ2119" s="72"/>
      <c r="CK2119" s="139"/>
      <c r="CL2119" s="71"/>
      <c r="CM2119" s="139"/>
      <c r="CN2119" s="138"/>
      <c r="CO2119" s="138"/>
      <c r="CP2119" s="138"/>
      <c r="CQ2119" s="139"/>
      <c r="CR2119" s="138"/>
      <c r="CS2119" s="45"/>
      <c r="CT2119" s="138"/>
      <c r="CU2119" s="45"/>
      <c r="CV2119" s="99">
        <f t="shared" si="213"/>
        <v>0</v>
      </c>
      <c r="CW2119" s="139"/>
      <c r="CX2119" s="138"/>
      <c r="CY2119" s="138"/>
      <c r="CZ2119" s="138"/>
      <c r="DA2119" s="139"/>
      <c r="DB2119" s="138"/>
      <c r="DC2119" s="45"/>
      <c r="DD2119" s="138"/>
      <c r="DE2119" s="45"/>
      <c r="DF2119" s="46"/>
    </row>
    <row r="2120" spans="1:110" s="42" customFormat="1" ht="84" x14ac:dyDescent="0.2">
      <c r="A2120" s="89">
        <v>40808</v>
      </c>
      <c r="B2120" s="151" t="s">
        <v>4282</v>
      </c>
      <c r="C2120" s="90" t="s">
        <v>3529</v>
      </c>
      <c r="D2120" s="90" t="s">
        <v>4264</v>
      </c>
      <c r="E2120" s="90" t="str">
        <f>VLOOKUP(B2120&amp;C2120,Divipola!$C$2:$F$1138,4,FALSE)</f>
        <v>23350</v>
      </c>
      <c r="F2120" s="4"/>
      <c r="G2120" s="101"/>
      <c r="H2120" s="101"/>
      <c r="I2120" s="101"/>
      <c r="J2120" s="101"/>
      <c r="K2120" s="101"/>
      <c r="L2120" s="101"/>
      <c r="M2120" s="101"/>
      <c r="N2120" s="101"/>
      <c r="O2120" s="101"/>
      <c r="P2120" s="101"/>
      <c r="Q2120" s="101"/>
      <c r="R2120" s="101"/>
      <c r="S2120" s="101"/>
      <c r="T2120" s="101"/>
      <c r="U2120" s="101"/>
      <c r="V2120" s="101"/>
      <c r="W2120" s="19"/>
      <c r="X2120" s="17"/>
      <c r="Y2120" s="5">
        <f t="shared" si="208"/>
        <v>0</v>
      </c>
      <c r="Z2120" s="5">
        <f t="shared" si="209"/>
        <v>0</v>
      </c>
      <c r="AA2120" s="5">
        <f t="shared" si="210"/>
        <v>0</v>
      </c>
      <c r="AB2120" s="5">
        <f t="shared" si="211"/>
        <v>0</v>
      </c>
      <c r="AC2120" s="5"/>
      <c r="AD2120" s="5">
        <v>0</v>
      </c>
      <c r="AE2120" s="5">
        <f t="shared" si="212"/>
        <v>0</v>
      </c>
      <c r="AF2120" s="70">
        <v>0</v>
      </c>
      <c r="AG2120" s="17"/>
      <c r="AH2120" s="18"/>
      <c r="AI2120" s="47" t="s">
        <v>4346</v>
      </c>
      <c r="AJ2120" s="73" t="s">
        <v>4347</v>
      </c>
      <c r="AK2120" s="45"/>
      <c r="AL2120" s="89" t="s">
        <v>2798</v>
      </c>
      <c r="AM2120" s="121" t="s">
        <v>4479</v>
      </c>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39"/>
      <c r="CE2120" s="138"/>
      <c r="CF2120" s="139"/>
      <c r="CG2120" s="138"/>
      <c r="CH2120" s="139"/>
      <c r="CI2120" s="138"/>
      <c r="CJ2120" s="72"/>
      <c r="CK2120" s="139"/>
      <c r="CL2120" s="71"/>
      <c r="CM2120" s="139"/>
      <c r="CN2120" s="138"/>
      <c r="CO2120" s="138"/>
      <c r="CP2120" s="138"/>
      <c r="CQ2120" s="139"/>
      <c r="CR2120" s="138"/>
      <c r="CS2120" s="45"/>
      <c r="CT2120" s="138"/>
      <c r="CU2120" s="45"/>
      <c r="CV2120" s="99">
        <f t="shared" si="213"/>
        <v>0</v>
      </c>
      <c r="CW2120" s="139"/>
      <c r="CX2120" s="138"/>
      <c r="CY2120" s="138"/>
      <c r="CZ2120" s="138"/>
      <c r="DA2120" s="139"/>
      <c r="DB2120" s="138"/>
      <c r="DC2120" s="45"/>
      <c r="DD2120" s="138"/>
      <c r="DE2120" s="45"/>
      <c r="DF2120" s="46">
        <v>1969</v>
      </c>
    </row>
    <row r="2121" spans="1:110" s="42" customFormat="1" ht="96" x14ac:dyDescent="0.2">
      <c r="A2121" s="89">
        <v>40808</v>
      </c>
      <c r="B2121" s="151" t="s">
        <v>4282</v>
      </c>
      <c r="C2121" s="90" t="s">
        <v>1611</v>
      </c>
      <c r="D2121" s="90" t="s">
        <v>4264</v>
      </c>
      <c r="E2121" s="90" t="str">
        <f>VLOOKUP(B2121&amp;C2121,Divipola!$C$2:$F$1138,4,FALSE)</f>
        <v>23466</v>
      </c>
      <c r="F2121" s="4"/>
      <c r="G2121" s="101"/>
      <c r="H2121" s="101"/>
      <c r="I2121" s="101"/>
      <c r="J2121" s="101">
        <v>6030</v>
      </c>
      <c r="K2121" s="101">
        <v>1206</v>
      </c>
      <c r="L2121" s="101"/>
      <c r="M2121" s="101">
        <v>1206</v>
      </c>
      <c r="N2121" s="101"/>
      <c r="O2121" s="101"/>
      <c r="P2121" s="101"/>
      <c r="Q2121" s="101"/>
      <c r="R2121" s="101"/>
      <c r="S2121" s="101"/>
      <c r="T2121" s="101"/>
      <c r="U2121" s="101"/>
      <c r="V2121" s="101"/>
      <c r="W2121" s="19"/>
      <c r="X2121" s="17"/>
      <c r="Y2121" s="5">
        <f t="shared" si="208"/>
        <v>0</v>
      </c>
      <c r="Z2121" s="5">
        <f t="shared" si="209"/>
        <v>0</v>
      </c>
      <c r="AA2121" s="5">
        <f t="shared" si="210"/>
        <v>0</v>
      </c>
      <c r="AB2121" s="5">
        <f t="shared" si="211"/>
        <v>0</v>
      </c>
      <c r="AC2121" s="5"/>
      <c r="AD2121" s="5">
        <v>0</v>
      </c>
      <c r="AE2121" s="5">
        <f t="shared" si="212"/>
        <v>0</v>
      </c>
      <c r="AF2121" s="70">
        <v>0</v>
      </c>
      <c r="AG2121" s="17"/>
      <c r="AH2121" s="18"/>
      <c r="AI2121" s="47" t="s">
        <v>4346</v>
      </c>
      <c r="AJ2121" s="73" t="s">
        <v>4347</v>
      </c>
      <c r="AK2121" s="45"/>
      <c r="AL2121" s="89" t="s">
        <v>2798</v>
      </c>
      <c r="AM2121" s="121" t="s">
        <v>4481</v>
      </c>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39"/>
      <c r="CE2121" s="138"/>
      <c r="CF2121" s="139"/>
      <c r="CG2121" s="138"/>
      <c r="CH2121" s="139"/>
      <c r="CI2121" s="138"/>
      <c r="CJ2121" s="72"/>
      <c r="CK2121" s="139"/>
      <c r="CL2121" s="71"/>
      <c r="CM2121" s="139"/>
      <c r="CN2121" s="138"/>
      <c r="CO2121" s="138"/>
      <c r="CP2121" s="138"/>
      <c r="CQ2121" s="139"/>
      <c r="CR2121" s="138"/>
      <c r="CS2121" s="45"/>
      <c r="CT2121" s="138"/>
      <c r="CU2121" s="45"/>
      <c r="CV2121" s="99">
        <f t="shared" si="213"/>
        <v>0</v>
      </c>
      <c r="CW2121" s="139"/>
      <c r="CX2121" s="138"/>
      <c r="CY2121" s="138"/>
      <c r="CZ2121" s="138"/>
      <c r="DA2121" s="139"/>
      <c r="DB2121" s="138"/>
      <c r="DC2121" s="45"/>
      <c r="DD2121" s="138"/>
      <c r="DE2121" s="45"/>
      <c r="DF2121" s="46"/>
    </row>
    <row r="2122" spans="1:110" s="42" customFormat="1" ht="48" x14ac:dyDescent="0.2">
      <c r="A2122" s="89">
        <v>40808</v>
      </c>
      <c r="B2122" s="151" t="s">
        <v>4350</v>
      </c>
      <c r="C2122" s="90" t="s">
        <v>4351</v>
      </c>
      <c r="D2122" s="90" t="s">
        <v>4298</v>
      </c>
      <c r="E2122" s="90" t="str">
        <f>VLOOKUP(B2122&amp;C2122,Divipola!$C$2:$F$1138,4,FALSE)</f>
        <v>63001</v>
      </c>
      <c r="F2122" s="4"/>
      <c r="G2122" s="101"/>
      <c r="H2122" s="101"/>
      <c r="I2122" s="101"/>
      <c r="J2122" s="101">
        <v>5</v>
      </c>
      <c r="K2122" s="101">
        <v>1</v>
      </c>
      <c r="L2122" s="101"/>
      <c r="M2122" s="101">
        <v>1</v>
      </c>
      <c r="N2122" s="101"/>
      <c r="O2122" s="101"/>
      <c r="P2122" s="101"/>
      <c r="Q2122" s="101"/>
      <c r="R2122" s="101"/>
      <c r="S2122" s="101"/>
      <c r="T2122" s="101"/>
      <c r="U2122" s="101"/>
      <c r="V2122" s="101"/>
      <c r="W2122" s="19"/>
      <c r="X2122" s="17"/>
      <c r="Y2122" s="5">
        <f t="shared" si="208"/>
        <v>0</v>
      </c>
      <c r="Z2122" s="5">
        <f t="shared" si="209"/>
        <v>0</v>
      </c>
      <c r="AA2122" s="5">
        <f t="shared" si="210"/>
        <v>0</v>
      </c>
      <c r="AB2122" s="5">
        <f t="shared" si="211"/>
        <v>0</v>
      </c>
      <c r="AC2122" s="5"/>
      <c r="AD2122" s="5">
        <v>0</v>
      </c>
      <c r="AE2122" s="5">
        <f t="shared" si="212"/>
        <v>0</v>
      </c>
      <c r="AF2122" s="70">
        <v>0</v>
      </c>
      <c r="AG2122" s="17"/>
      <c r="AH2122" s="18"/>
      <c r="AI2122" s="47" t="s">
        <v>4336</v>
      </c>
      <c r="AJ2122" s="73" t="s">
        <v>4337</v>
      </c>
      <c r="AK2122" s="45"/>
      <c r="AL2122" s="17"/>
      <c r="AM2122" s="121" t="s">
        <v>4472</v>
      </c>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39"/>
      <c r="CE2122" s="138"/>
      <c r="CF2122" s="139"/>
      <c r="CG2122" s="138"/>
      <c r="CH2122" s="139"/>
      <c r="CI2122" s="138"/>
      <c r="CJ2122" s="72"/>
      <c r="CK2122" s="139"/>
      <c r="CL2122" s="71"/>
      <c r="CM2122" s="139"/>
      <c r="CN2122" s="138"/>
      <c r="CO2122" s="138"/>
      <c r="CP2122" s="138"/>
      <c r="CQ2122" s="139"/>
      <c r="CR2122" s="138"/>
      <c r="CS2122" s="45"/>
      <c r="CT2122" s="138"/>
      <c r="CU2122" s="45"/>
      <c r="CV2122" s="99">
        <f t="shared" si="213"/>
        <v>0</v>
      </c>
      <c r="CW2122" s="139"/>
      <c r="CX2122" s="138"/>
      <c r="CY2122" s="138"/>
      <c r="CZ2122" s="138"/>
      <c r="DA2122" s="139"/>
      <c r="DB2122" s="138"/>
      <c r="DC2122" s="45"/>
      <c r="DD2122" s="138"/>
      <c r="DE2122" s="45"/>
      <c r="DF2122" s="46"/>
    </row>
    <row r="2123" spans="1:110" s="42" customFormat="1" ht="60" x14ac:dyDescent="0.2">
      <c r="A2123" s="89">
        <v>40808</v>
      </c>
      <c r="B2123" s="151" t="s">
        <v>4219</v>
      </c>
      <c r="C2123" s="90" t="s">
        <v>3353</v>
      </c>
      <c r="D2123" s="90" t="s">
        <v>4264</v>
      </c>
      <c r="E2123" s="90" t="str">
        <f>VLOOKUP(B2123&amp;C2123,Divipola!$C$2:$F$1138,4,FALSE)</f>
        <v>41357</v>
      </c>
      <c r="F2123" s="4"/>
      <c r="G2123" s="101"/>
      <c r="H2123" s="101"/>
      <c r="I2123" s="101"/>
      <c r="J2123" s="101">
        <v>50</v>
      </c>
      <c r="K2123" s="101">
        <v>10</v>
      </c>
      <c r="L2123" s="101">
        <v>1</v>
      </c>
      <c r="M2123" s="101">
        <v>9</v>
      </c>
      <c r="N2123" s="101">
        <v>1</v>
      </c>
      <c r="O2123" s="101"/>
      <c r="P2123" s="101"/>
      <c r="Q2123" s="101">
        <v>3</v>
      </c>
      <c r="R2123" s="101"/>
      <c r="S2123" s="101"/>
      <c r="T2123" s="101"/>
      <c r="U2123" s="19"/>
      <c r="V2123" s="101"/>
      <c r="W2123" s="19"/>
      <c r="X2123" s="17"/>
      <c r="Y2123" s="5">
        <f t="shared" si="208"/>
        <v>0</v>
      </c>
      <c r="Z2123" s="5">
        <f t="shared" si="209"/>
        <v>0</v>
      </c>
      <c r="AA2123" s="5">
        <f t="shared" si="210"/>
        <v>0</v>
      </c>
      <c r="AB2123" s="5">
        <f t="shared" si="211"/>
        <v>0</v>
      </c>
      <c r="AC2123" s="5"/>
      <c r="AD2123" s="5">
        <v>0</v>
      </c>
      <c r="AE2123" s="5">
        <f t="shared" si="212"/>
        <v>0</v>
      </c>
      <c r="AF2123" s="70">
        <v>0</v>
      </c>
      <c r="AG2123" s="17"/>
      <c r="AH2123" s="18"/>
      <c r="AI2123" s="47" t="s">
        <v>4336</v>
      </c>
      <c r="AJ2123" s="73" t="s">
        <v>4337</v>
      </c>
      <c r="AK2123" s="45"/>
      <c r="AL2123" s="17"/>
      <c r="AM2123" s="121" t="s">
        <v>5493</v>
      </c>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39"/>
      <c r="CE2123" s="138"/>
      <c r="CF2123" s="139"/>
      <c r="CG2123" s="138"/>
      <c r="CH2123" s="139"/>
      <c r="CI2123" s="138"/>
      <c r="CJ2123" s="72"/>
      <c r="CK2123" s="139"/>
      <c r="CL2123" s="71"/>
      <c r="CM2123" s="139"/>
      <c r="CN2123" s="138"/>
      <c r="CO2123" s="138"/>
      <c r="CP2123" s="138"/>
      <c r="CQ2123" s="139"/>
      <c r="CR2123" s="138"/>
      <c r="CS2123" s="45"/>
      <c r="CT2123" s="138"/>
      <c r="CU2123" s="45"/>
      <c r="CV2123" s="99">
        <f t="shared" si="213"/>
        <v>0</v>
      </c>
      <c r="CW2123" s="139"/>
      <c r="CX2123" s="138"/>
      <c r="CY2123" s="138"/>
      <c r="CZ2123" s="138"/>
      <c r="DA2123" s="139"/>
      <c r="DB2123" s="138"/>
      <c r="DC2123" s="45"/>
      <c r="DD2123" s="138"/>
      <c r="DE2123" s="45"/>
      <c r="DF2123" s="46"/>
    </row>
    <row r="2124" spans="1:110" s="42" customFormat="1" ht="48" x14ac:dyDescent="0.2">
      <c r="A2124" s="89">
        <v>40809</v>
      </c>
      <c r="B2124" s="151" t="s">
        <v>4261</v>
      </c>
      <c r="C2124" s="90" t="s">
        <v>1231</v>
      </c>
      <c r="D2124" s="90" t="s">
        <v>2362</v>
      </c>
      <c r="E2124" s="90" t="str">
        <f>VLOOKUP(B2124&amp;C2124,Divipola!$C$2:$F$1138,4,FALSE)</f>
        <v>15507</v>
      </c>
      <c r="F2124" s="4"/>
      <c r="G2124" s="101"/>
      <c r="H2124" s="101"/>
      <c r="I2124" s="101"/>
      <c r="J2124" s="101"/>
      <c r="K2124" s="101"/>
      <c r="L2124" s="101"/>
      <c r="M2124" s="101"/>
      <c r="N2124" s="101"/>
      <c r="O2124" s="101"/>
      <c r="P2124" s="101">
        <v>1</v>
      </c>
      <c r="Q2124" s="101"/>
      <c r="R2124" s="101"/>
      <c r="S2124" s="101"/>
      <c r="T2124" s="101"/>
      <c r="U2124" s="101"/>
      <c r="V2124" s="101"/>
      <c r="W2124" s="19"/>
      <c r="X2124" s="17"/>
      <c r="Y2124" s="5">
        <f t="shared" si="208"/>
        <v>0</v>
      </c>
      <c r="Z2124" s="5">
        <f t="shared" si="209"/>
        <v>0</v>
      </c>
      <c r="AA2124" s="5">
        <f t="shared" si="210"/>
        <v>0</v>
      </c>
      <c r="AB2124" s="5">
        <f t="shared" si="211"/>
        <v>0</v>
      </c>
      <c r="AC2124" s="5"/>
      <c r="AD2124" s="5">
        <v>0</v>
      </c>
      <c r="AE2124" s="5">
        <f t="shared" si="212"/>
        <v>0</v>
      </c>
      <c r="AF2124" s="70">
        <v>0</v>
      </c>
      <c r="AG2124" s="17"/>
      <c r="AH2124" s="18"/>
      <c r="AI2124" s="47" t="s">
        <v>4346</v>
      </c>
      <c r="AJ2124" s="73" t="s">
        <v>4347</v>
      </c>
      <c r="AK2124" s="45"/>
      <c r="AL2124" s="89" t="s">
        <v>2798</v>
      </c>
      <c r="AM2124" s="121" t="s">
        <v>4732</v>
      </c>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39"/>
      <c r="CE2124" s="138"/>
      <c r="CF2124" s="139"/>
      <c r="CG2124" s="138"/>
      <c r="CH2124" s="139"/>
      <c r="CI2124" s="138"/>
      <c r="CJ2124" s="72"/>
      <c r="CK2124" s="139"/>
      <c r="CL2124" s="71"/>
      <c r="CM2124" s="139"/>
      <c r="CN2124" s="138"/>
      <c r="CO2124" s="138"/>
      <c r="CP2124" s="138"/>
      <c r="CQ2124" s="139"/>
      <c r="CR2124" s="138"/>
      <c r="CS2124" s="45"/>
      <c r="CT2124" s="138"/>
      <c r="CU2124" s="45"/>
      <c r="CV2124" s="99">
        <f t="shared" si="213"/>
        <v>0</v>
      </c>
      <c r="CW2124" s="139"/>
      <c r="CX2124" s="138"/>
      <c r="CY2124" s="138"/>
      <c r="CZ2124" s="138"/>
      <c r="DA2124" s="139"/>
      <c r="DB2124" s="138"/>
      <c r="DC2124" s="45"/>
      <c r="DD2124" s="138"/>
      <c r="DE2124" s="45"/>
      <c r="DF2124" s="46">
        <v>1970</v>
      </c>
    </row>
    <row r="2125" spans="1:110" s="42" customFormat="1" ht="36" x14ac:dyDescent="0.2">
      <c r="A2125" s="89">
        <v>40809</v>
      </c>
      <c r="B2125" s="151" t="s">
        <v>4261</v>
      </c>
      <c r="C2125" s="90" t="s">
        <v>2260</v>
      </c>
      <c r="D2125" s="90" t="s">
        <v>4264</v>
      </c>
      <c r="E2125" s="90" t="str">
        <f>VLOOKUP(B2125&amp;C2125,Divipola!$C$2:$F$1138,4,FALSE)</f>
        <v>15790</v>
      </c>
      <c r="F2125" s="4"/>
      <c r="G2125" s="101"/>
      <c r="H2125" s="101"/>
      <c r="I2125" s="101"/>
      <c r="J2125" s="101">
        <v>80</v>
      </c>
      <c r="K2125" s="101">
        <v>16</v>
      </c>
      <c r="L2125" s="101"/>
      <c r="M2125" s="101">
        <v>16</v>
      </c>
      <c r="N2125" s="101"/>
      <c r="O2125" s="101"/>
      <c r="P2125" s="101"/>
      <c r="Q2125" s="101"/>
      <c r="R2125" s="101"/>
      <c r="S2125" s="101"/>
      <c r="T2125" s="101"/>
      <c r="U2125" s="101"/>
      <c r="V2125" s="101"/>
      <c r="W2125" s="19"/>
      <c r="X2125" s="17"/>
      <c r="Y2125" s="5">
        <f t="shared" si="208"/>
        <v>0</v>
      </c>
      <c r="Z2125" s="5">
        <f t="shared" si="209"/>
        <v>0</v>
      </c>
      <c r="AA2125" s="5">
        <f t="shared" si="210"/>
        <v>0</v>
      </c>
      <c r="AB2125" s="5">
        <f t="shared" si="211"/>
        <v>0</v>
      </c>
      <c r="AC2125" s="5"/>
      <c r="AD2125" s="5">
        <v>0</v>
      </c>
      <c r="AE2125" s="5">
        <f t="shared" si="212"/>
        <v>0</v>
      </c>
      <c r="AF2125" s="70">
        <v>0</v>
      </c>
      <c r="AG2125" s="17"/>
      <c r="AH2125" s="18"/>
      <c r="AI2125" s="47" t="s">
        <v>4346</v>
      </c>
      <c r="AJ2125" s="73" t="s">
        <v>4347</v>
      </c>
      <c r="AK2125" s="45"/>
      <c r="AL2125" s="89" t="s">
        <v>2798</v>
      </c>
      <c r="AM2125" s="121" t="s">
        <v>4731</v>
      </c>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39"/>
      <c r="CE2125" s="138"/>
      <c r="CF2125" s="139"/>
      <c r="CG2125" s="138"/>
      <c r="CH2125" s="139"/>
      <c r="CI2125" s="138"/>
      <c r="CJ2125" s="72"/>
      <c r="CK2125" s="139"/>
      <c r="CL2125" s="71"/>
      <c r="CM2125" s="139"/>
      <c r="CN2125" s="138"/>
      <c r="CO2125" s="138"/>
      <c r="CP2125" s="138"/>
      <c r="CQ2125" s="139"/>
      <c r="CR2125" s="138"/>
      <c r="CS2125" s="45"/>
      <c r="CT2125" s="138"/>
      <c r="CU2125" s="45"/>
      <c r="CV2125" s="99">
        <f t="shared" si="213"/>
        <v>0</v>
      </c>
      <c r="CW2125" s="139"/>
      <c r="CX2125" s="138"/>
      <c r="CY2125" s="138"/>
      <c r="CZ2125" s="138"/>
      <c r="DA2125" s="139"/>
      <c r="DB2125" s="138"/>
      <c r="DC2125" s="45"/>
      <c r="DD2125" s="138"/>
      <c r="DE2125" s="45"/>
      <c r="DF2125" s="46"/>
    </row>
    <row r="2126" spans="1:110" s="42" customFormat="1" ht="36" x14ac:dyDescent="0.2">
      <c r="A2126" s="89">
        <v>40809</v>
      </c>
      <c r="B2126" s="153" t="s">
        <v>4282</v>
      </c>
      <c r="C2126" s="4" t="s">
        <v>4345</v>
      </c>
      <c r="D2126" s="90" t="s">
        <v>4264</v>
      </c>
      <c r="E2126" s="90">
        <f>VLOOKUP(B2126&amp;C2126,Divipola!$C$2:$F$1138,4,FALSE)</f>
        <v>23</v>
      </c>
      <c r="F2126" s="4"/>
      <c r="G2126" s="208"/>
      <c r="H2126" s="208"/>
      <c r="I2126" s="208"/>
      <c r="J2126" s="208"/>
      <c r="K2126" s="208"/>
      <c r="L2126" s="208"/>
      <c r="M2126" s="208"/>
      <c r="N2126" s="208"/>
      <c r="O2126" s="208"/>
      <c r="P2126" s="208"/>
      <c r="Q2126" s="208"/>
      <c r="R2126" s="208"/>
      <c r="S2126" s="208"/>
      <c r="T2126" s="208"/>
      <c r="U2126" s="208"/>
      <c r="V2126" s="208"/>
      <c r="W2126" s="19"/>
      <c r="X2126" s="17"/>
      <c r="Y2126" s="5">
        <f t="shared" si="208"/>
        <v>387796786</v>
      </c>
      <c r="Z2126" s="5">
        <f t="shared" si="209"/>
        <v>340000000</v>
      </c>
      <c r="AA2126" s="5">
        <f t="shared" si="210"/>
        <v>0</v>
      </c>
      <c r="AB2126" s="5">
        <f t="shared" si="211"/>
        <v>0</v>
      </c>
      <c r="AC2126" s="5"/>
      <c r="AD2126" s="5">
        <v>0</v>
      </c>
      <c r="AE2126" s="5">
        <f t="shared" si="212"/>
        <v>727796786</v>
      </c>
      <c r="AF2126" s="70">
        <v>0</v>
      </c>
      <c r="AG2126" s="17"/>
      <c r="AH2126" s="18"/>
      <c r="AI2126" s="47" t="s">
        <v>4346</v>
      </c>
      <c r="AJ2126" s="73" t="s">
        <v>4347</v>
      </c>
      <c r="AK2126" s="45"/>
      <c r="AL2126" s="17"/>
      <c r="AM2126" s="20" t="s">
        <v>4473</v>
      </c>
      <c r="AN2126" s="19"/>
      <c r="AO2126" s="19"/>
      <c r="AP2126" s="19"/>
      <c r="AQ2126" s="19"/>
      <c r="AR2126" s="19"/>
      <c r="AS2126" s="19"/>
      <c r="AT2126" s="19"/>
      <c r="AU2126" s="19"/>
      <c r="AV2126" s="19"/>
      <c r="AW2126" s="19"/>
      <c r="AX2126" s="19"/>
      <c r="AY2126" s="19"/>
      <c r="AZ2126" s="19">
        <v>1000</v>
      </c>
      <c r="BA2126" s="19">
        <f>1000*56000</f>
        <v>56000000</v>
      </c>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82" t="s">
        <v>4265</v>
      </c>
      <c r="CA2126" s="82">
        <f>25*500000+25*499999.44</f>
        <v>24999986</v>
      </c>
      <c r="CB2126" s="19"/>
      <c r="CC2126" s="19"/>
      <c r="CD2126" s="139"/>
      <c r="CE2126" s="138"/>
      <c r="CF2126" s="139"/>
      <c r="CG2126" s="138"/>
      <c r="CH2126" s="139"/>
      <c r="CI2126" s="138"/>
      <c r="CJ2126" s="72"/>
      <c r="CK2126" s="139"/>
      <c r="CL2126" s="71"/>
      <c r="CM2126" s="139"/>
      <c r="CN2126" s="138"/>
      <c r="CO2126" s="138"/>
      <c r="CP2126" s="138">
        <v>4000</v>
      </c>
      <c r="CQ2126" s="139">
        <f>4000*36999.36</f>
        <v>147997440</v>
      </c>
      <c r="CR2126" s="138">
        <v>4000</v>
      </c>
      <c r="CS2126" s="45">
        <f>4000*39699.84</f>
        <v>158799360</v>
      </c>
      <c r="CT2126" s="138"/>
      <c r="CU2126" s="45"/>
      <c r="CV2126" s="99">
        <f t="shared" si="213"/>
        <v>387796786</v>
      </c>
      <c r="CW2126" s="139"/>
      <c r="CX2126" s="138"/>
      <c r="CY2126" s="138">
        <v>4000</v>
      </c>
      <c r="CZ2126" s="138">
        <f>4000*85000</f>
        <v>340000000</v>
      </c>
      <c r="DA2126" s="139"/>
      <c r="DB2126" s="138"/>
      <c r="DC2126" s="45"/>
      <c r="DD2126" s="138"/>
      <c r="DE2126" s="45"/>
      <c r="DF2126" s="46"/>
    </row>
    <row r="2127" spans="1:110" s="42" customFormat="1" ht="60" x14ac:dyDescent="0.2">
      <c r="A2127" s="89">
        <v>40809</v>
      </c>
      <c r="B2127" s="16" t="s">
        <v>4221</v>
      </c>
      <c r="C2127" s="16" t="s">
        <v>558</v>
      </c>
      <c r="D2127" s="90" t="s">
        <v>2362</v>
      </c>
      <c r="E2127" s="90" t="str">
        <f>VLOOKUP(B2127&amp;C2127,Divipola!$C$2:$F$1138,4,FALSE)</f>
        <v>54313</v>
      </c>
      <c r="F2127" s="4"/>
      <c r="G2127" s="208"/>
      <c r="H2127" s="208"/>
      <c r="I2127" s="208"/>
      <c r="J2127" s="208"/>
      <c r="K2127" s="208"/>
      <c r="L2127" s="208"/>
      <c r="M2127" s="208"/>
      <c r="N2127" s="208"/>
      <c r="O2127" s="208"/>
      <c r="P2127" s="208"/>
      <c r="Q2127" s="208"/>
      <c r="R2127" s="208"/>
      <c r="S2127" s="208"/>
      <c r="T2127" s="208"/>
      <c r="U2127" s="208"/>
      <c r="V2127" s="208"/>
      <c r="W2127" s="19"/>
      <c r="X2127" s="17"/>
      <c r="Y2127" s="5">
        <f t="shared" si="208"/>
        <v>0</v>
      </c>
      <c r="Z2127" s="5">
        <f t="shared" si="209"/>
        <v>0</v>
      </c>
      <c r="AA2127" s="5">
        <f t="shared" si="210"/>
        <v>0</v>
      </c>
      <c r="AB2127" s="5">
        <f t="shared" si="211"/>
        <v>0</v>
      </c>
      <c r="AC2127" s="5">
        <v>600000</v>
      </c>
      <c r="AD2127" s="5">
        <v>0</v>
      </c>
      <c r="AE2127" s="5">
        <f t="shared" si="212"/>
        <v>600000</v>
      </c>
      <c r="AF2127" s="70">
        <v>0</v>
      </c>
      <c r="AG2127" s="17"/>
      <c r="AH2127" s="18"/>
      <c r="AI2127" s="47" t="s">
        <v>4346</v>
      </c>
      <c r="AJ2127" s="73" t="s">
        <v>4347</v>
      </c>
      <c r="AK2127" s="45"/>
      <c r="AL2127" s="17"/>
      <c r="AM2127" s="20" t="s">
        <v>4474</v>
      </c>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39"/>
      <c r="CE2127" s="138"/>
      <c r="CF2127" s="139"/>
      <c r="CG2127" s="138"/>
      <c r="CH2127" s="139"/>
      <c r="CI2127" s="138"/>
      <c r="CJ2127" s="72"/>
      <c r="CK2127" s="139"/>
      <c r="CL2127" s="71"/>
      <c r="CM2127" s="139"/>
      <c r="CN2127" s="138"/>
      <c r="CO2127" s="138"/>
      <c r="CP2127" s="138"/>
      <c r="CQ2127" s="139"/>
      <c r="CR2127" s="138"/>
      <c r="CS2127" s="45"/>
      <c r="CT2127" s="138"/>
      <c r="CU2127" s="45"/>
      <c r="CV2127" s="99">
        <f t="shared" si="213"/>
        <v>0</v>
      </c>
      <c r="CW2127" s="139"/>
      <c r="CX2127" s="138"/>
      <c r="CY2127" s="138"/>
      <c r="CZ2127" s="138"/>
      <c r="DA2127" s="139"/>
      <c r="DB2127" s="138"/>
      <c r="DC2127" s="45"/>
      <c r="DD2127" s="138"/>
      <c r="DE2127" s="45"/>
      <c r="DF2127" s="46"/>
    </row>
    <row r="2128" spans="1:110" s="42" customFormat="1" ht="36" x14ac:dyDescent="0.2">
      <c r="A2128" s="89">
        <v>40809</v>
      </c>
      <c r="B2128" s="16" t="s">
        <v>3316</v>
      </c>
      <c r="C2128" s="16" t="s">
        <v>3132</v>
      </c>
      <c r="D2128" s="16" t="s">
        <v>2865</v>
      </c>
      <c r="E2128" s="90" t="str">
        <f>VLOOKUP(B2128&amp;C2128,Divipola!$C$2:$F$1138,4,FALSE)</f>
        <v>73675</v>
      </c>
      <c r="F2128" s="4"/>
      <c r="G2128" s="208"/>
      <c r="H2128" s="208"/>
      <c r="I2128" s="208"/>
      <c r="J2128" s="208"/>
      <c r="K2128" s="208"/>
      <c r="L2128" s="208"/>
      <c r="M2128" s="208"/>
      <c r="N2128" s="208"/>
      <c r="O2128" s="208">
        <v>1</v>
      </c>
      <c r="P2128" s="208"/>
      <c r="Q2128" s="208"/>
      <c r="R2128" s="208"/>
      <c r="S2128" s="208"/>
      <c r="T2128" s="208"/>
      <c r="U2128" s="208"/>
      <c r="V2128" s="208"/>
      <c r="W2128" s="19"/>
      <c r="X2128" s="17"/>
      <c r="Y2128" s="5">
        <f t="shared" si="208"/>
        <v>0</v>
      </c>
      <c r="Z2128" s="5">
        <f t="shared" si="209"/>
        <v>0</v>
      </c>
      <c r="AA2128" s="5">
        <f t="shared" si="210"/>
        <v>0</v>
      </c>
      <c r="AB2128" s="5">
        <f t="shared" si="211"/>
        <v>0</v>
      </c>
      <c r="AC2128" s="5"/>
      <c r="AD2128" s="5">
        <v>0</v>
      </c>
      <c r="AE2128" s="5">
        <f t="shared" si="212"/>
        <v>0</v>
      </c>
      <c r="AF2128" s="70">
        <v>0</v>
      </c>
      <c r="AG2128" s="17"/>
      <c r="AH2128" s="18"/>
      <c r="AI2128" s="47" t="s">
        <v>4336</v>
      </c>
      <c r="AJ2128" s="73" t="s">
        <v>4337</v>
      </c>
      <c r="AK2128" s="45"/>
      <c r="AL2128" s="17"/>
      <c r="AM2128" s="20" t="s">
        <v>4477</v>
      </c>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39"/>
      <c r="CE2128" s="138"/>
      <c r="CF2128" s="139"/>
      <c r="CG2128" s="138"/>
      <c r="CH2128" s="139"/>
      <c r="CI2128" s="138"/>
      <c r="CJ2128" s="72"/>
      <c r="CK2128" s="139"/>
      <c r="CL2128" s="71"/>
      <c r="CM2128" s="139"/>
      <c r="CN2128" s="138"/>
      <c r="CO2128" s="138"/>
      <c r="CP2128" s="138"/>
      <c r="CQ2128" s="139"/>
      <c r="CR2128" s="138"/>
      <c r="CS2128" s="45"/>
      <c r="CT2128" s="138"/>
      <c r="CU2128" s="45"/>
      <c r="CV2128" s="99">
        <f t="shared" si="213"/>
        <v>0</v>
      </c>
      <c r="CW2128" s="139"/>
      <c r="CX2128" s="138"/>
      <c r="CY2128" s="138"/>
      <c r="CZ2128" s="138"/>
      <c r="DA2128" s="139"/>
      <c r="DB2128" s="138"/>
      <c r="DC2128" s="45"/>
      <c r="DD2128" s="138"/>
      <c r="DE2128" s="45"/>
      <c r="DF2128" s="46"/>
    </row>
    <row r="2129" spans="1:110" s="42" customFormat="1" ht="72" x14ac:dyDescent="0.2">
      <c r="A2129" s="89">
        <v>40810</v>
      </c>
      <c r="B2129" s="151" t="s">
        <v>2218</v>
      </c>
      <c r="C2129" s="90" t="s">
        <v>3244</v>
      </c>
      <c r="D2129" s="90" t="s">
        <v>4264</v>
      </c>
      <c r="E2129" s="90" t="str">
        <f>VLOOKUP(B2129&amp;C2129,Divipola!$C$2:$F$1138,4,FALSE)</f>
        <v>05360</v>
      </c>
      <c r="F2129" s="4"/>
      <c r="G2129" s="101"/>
      <c r="H2129" s="101"/>
      <c r="I2129" s="101"/>
      <c r="J2129" s="101">
        <v>135</v>
      </c>
      <c r="K2129" s="101">
        <v>27</v>
      </c>
      <c r="L2129" s="101"/>
      <c r="M2129" s="101">
        <v>27</v>
      </c>
      <c r="N2129" s="101"/>
      <c r="O2129" s="101"/>
      <c r="P2129" s="101"/>
      <c r="Q2129" s="101"/>
      <c r="R2129" s="101"/>
      <c r="S2129" s="101"/>
      <c r="T2129" s="101"/>
      <c r="U2129" s="101"/>
      <c r="V2129" s="101"/>
      <c r="W2129" s="19"/>
      <c r="X2129" s="17"/>
      <c r="Y2129" s="5">
        <f t="shared" si="208"/>
        <v>0</v>
      </c>
      <c r="Z2129" s="5">
        <f t="shared" si="209"/>
        <v>0</v>
      </c>
      <c r="AA2129" s="5">
        <f t="shared" si="210"/>
        <v>0</v>
      </c>
      <c r="AB2129" s="5">
        <f t="shared" si="211"/>
        <v>0</v>
      </c>
      <c r="AC2129" s="5"/>
      <c r="AD2129" s="5">
        <v>0</v>
      </c>
      <c r="AE2129" s="5">
        <f t="shared" si="212"/>
        <v>0</v>
      </c>
      <c r="AF2129" s="70">
        <v>0</v>
      </c>
      <c r="AG2129" s="17"/>
      <c r="AH2129" s="18"/>
      <c r="AI2129" s="47" t="s">
        <v>4336</v>
      </c>
      <c r="AJ2129" s="73" t="s">
        <v>4337</v>
      </c>
      <c r="AK2129" s="45"/>
      <c r="AL2129" s="17"/>
      <c r="AM2129" s="121" t="s">
        <v>4565</v>
      </c>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39"/>
      <c r="CE2129" s="138"/>
      <c r="CF2129" s="139"/>
      <c r="CG2129" s="138"/>
      <c r="CH2129" s="139"/>
      <c r="CI2129" s="138"/>
      <c r="CJ2129" s="72"/>
      <c r="CK2129" s="139"/>
      <c r="CL2129" s="71"/>
      <c r="CM2129" s="139"/>
      <c r="CN2129" s="138"/>
      <c r="CO2129" s="138"/>
      <c r="CP2129" s="138"/>
      <c r="CQ2129" s="139"/>
      <c r="CR2129" s="138"/>
      <c r="CS2129" s="45"/>
      <c r="CT2129" s="138"/>
      <c r="CU2129" s="45"/>
      <c r="CV2129" s="99">
        <f t="shared" si="213"/>
        <v>0</v>
      </c>
      <c r="CW2129" s="139"/>
      <c r="CX2129" s="138"/>
      <c r="CY2129" s="138"/>
      <c r="CZ2129" s="138"/>
      <c r="DA2129" s="139"/>
      <c r="DB2129" s="138"/>
      <c r="DC2129" s="45"/>
      <c r="DD2129" s="138"/>
      <c r="DE2129" s="45"/>
      <c r="DF2129" s="46"/>
    </row>
    <row r="2130" spans="1:110" s="42" customFormat="1" ht="144" x14ac:dyDescent="0.2">
      <c r="A2130" s="89">
        <v>40810</v>
      </c>
      <c r="B2130" s="151" t="s">
        <v>2218</v>
      </c>
      <c r="C2130" s="90" t="s">
        <v>3297</v>
      </c>
      <c r="D2130" s="90" t="s">
        <v>3346</v>
      </c>
      <c r="E2130" s="90" t="str">
        <f>VLOOKUP(B2130&amp;C2130,Divipola!$C$2:$F$1138,4,FALSE)</f>
        <v>05001</v>
      </c>
      <c r="F2130" s="4"/>
      <c r="G2130" s="101"/>
      <c r="H2130" s="101"/>
      <c r="I2130" s="101"/>
      <c r="J2130" s="101">
        <v>65</v>
      </c>
      <c r="K2130" s="101">
        <v>13</v>
      </c>
      <c r="L2130" s="101">
        <v>1</v>
      </c>
      <c r="M2130" s="101">
        <v>12</v>
      </c>
      <c r="N2130" s="101"/>
      <c r="O2130" s="101"/>
      <c r="P2130" s="101"/>
      <c r="Q2130" s="101"/>
      <c r="R2130" s="101"/>
      <c r="S2130" s="101"/>
      <c r="T2130" s="101"/>
      <c r="U2130" s="101"/>
      <c r="V2130" s="101"/>
      <c r="W2130" s="19"/>
      <c r="X2130" s="17"/>
      <c r="Y2130" s="5">
        <f t="shared" si="208"/>
        <v>0</v>
      </c>
      <c r="Z2130" s="5">
        <f t="shared" si="209"/>
        <v>0</v>
      </c>
      <c r="AA2130" s="5">
        <f t="shared" si="210"/>
        <v>0</v>
      </c>
      <c r="AB2130" s="5">
        <f t="shared" si="211"/>
        <v>0</v>
      </c>
      <c r="AC2130" s="5"/>
      <c r="AD2130" s="5">
        <v>0</v>
      </c>
      <c r="AE2130" s="5">
        <f t="shared" si="212"/>
        <v>0</v>
      </c>
      <c r="AF2130" s="70">
        <v>0</v>
      </c>
      <c r="AG2130" s="17"/>
      <c r="AH2130" s="18"/>
      <c r="AI2130" s="47" t="s">
        <v>4336</v>
      </c>
      <c r="AJ2130" s="73" t="s">
        <v>4337</v>
      </c>
      <c r="AK2130" s="45"/>
      <c r="AL2130" s="17"/>
      <c r="AM2130" s="121" t="s">
        <v>4563</v>
      </c>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39"/>
      <c r="CE2130" s="138"/>
      <c r="CF2130" s="139"/>
      <c r="CG2130" s="138"/>
      <c r="CH2130" s="139"/>
      <c r="CI2130" s="138"/>
      <c r="CJ2130" s="72"/>
      <c r="CK2130" s="139"/>
      <c r="CL2130" s="71"/>
      <c r="CM2130" s="139"/>
      <c r="CN2130" s="138"/>
      <c r="CO2130" s="138"/>
      <c r="CP2130" s="138"/>
      <c r="CQ2130" s="139"/>
      <c r="CR2130" s="138"/>
      <c r="CS2130" s="45"/>
      <c r="CT2130" s="138"/>
      <c r="CU2130" s="45"/>
      <c r="CV2130" s="99">
        <f t="shared" si="213"/>
        <v>0</v>
      </c>
      <c r="CW2130" s="139"/>
      <c r="CX2130" s="138"/>
      <c r="CY2130" s="138"/>
      <c r="CZ2130" s="138"/>
      <c r="DA2130" s="139"/>
      <c r="DB2130" s="138"/>
      <c r="DC2130" s="45"/>
      <c r="DD2130" s="138"/>
      <c r="DE2130" s="45"/>
      <c r="DF2130" s="46"/>
    </row>
    <row r="2131" spans="1:110" s="42" customFormat="1" ht="60" x14ac:dyDescent="0.2">
      <c r="A2131" s="89">
        <v>40810</v>
      </c>
      <c r="B2131" s="151" t="s">
        <v>4352</v>
      </c>
      <c r="C2131" s="90" t="s">
        <v>4358</v>
      </c>
      <c r="D2131" s="90" t="s">
        <v>4340</v>
      </c>
      <c r="E2131" s="90" t="str">
        <f>VLOOKUP(B2131&amp;C2131,Divipola!$C$2:$F$1138,4,FALSE)</f>
        <v>13001</v>
      </c>
      <c r="F2131" s="4"/>
      <c r="G2131" s="101">
        <v>1</v>
      </c>
      <c r="H2131" s="101"/>
      <c r="I2131" s="101"/>
      <c r="J2131" s="101"/>
      <c r="K2131" s="101"/>
      <c r="L2131" s="101"/>
      <c r="M2131" s="101"/>
      <c r="N2131" s="101"/>
      <c r="O2131" s="101"/>
      <c r="P2131" s="101"/>
      <c r="Q2131" s="101"/>
      <c r="R2131" s="101"/>
      <c r="S2131" s="101"/>
      <c r="T2131" s="101"/>
      <c r="U2131" s="101"/>
      <c r="V2131" s="101"/>
      <c r="W2131" s="19"/>
      <c r="X2131" s="17"/>
      <c r="Y2131" s="5">
        <f t="shared" si="208"/>
        <v>0</v>
      </c>
      <c r="Z2131" s="5">
        <f t="shared" si="209"/>
        <v>0</v>
      </c>
      <c r="AA2131" s="5">
        <f t="shared" si="210"/>
        <v>0</v>
      </c>
      <c r="AB2131" s="5">
        <f t="shared" si="211"/>
        <v>0</v>
      </c>
      <c r="AC2131" s="5"/>
      <c r="AD2131" s="5">
        <v>0</v>
      </c>
      <c r="AE2131" s="5">
        <f t="shared" si="212"/>
        <v>0</v>
      </c>
      <c r="AF2131" s="70">
        <v>0</v>
      </c>
      <c r="AG2131" s="17"/>
      <c r="AH2131" s="18"/>
      <c r="AI2131" s="47" t="s">
        <v>4336</v>
      </c>
      <c r="AJ2131" s="73" t="s">
        <v>4337</v>
      </c>
      <c r="AK2131" s="45"/>
      <c r="AL2131" s="17"/>
      <c r="AM2131" s="121" t="s">
        <v>4572</v>
      </c>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39"/>
      <c r="CE2131" s="138"/>
      <c r="CF2131" s="139"/>
      <c r="CG2131" s="138"/>
      <c r="CH2131" s="139"/>
      <c r="CI2131" s="138"/>
      <c r="CJ2131" s="72"/>
      <c r="CK2131" s="139"/>
      <c r="CL2131" s="71"/>
      <c r="CM2131" s="139"/>
      <c r="CN2131" s="138"/>
      <c r="CO2131" s="138"/>
      <c r="CP2131" s="138"/>
      <c r="CQ2131" s="139"/>
      <c r="CR2131" s="138"/>
      <c r="CS2131" s="45"/>
      <c r="CT2131" s="138"/>
      <c r="CU2131" s="45"/>
      <c r="CV2131" s="99">
        <f t="shared" si="213"/>
        <v>0</v>
      </c>
      <c r="CW2131" s="139"/>
      <c r="CX2131" s="138"/>
      <c r="CY2131" s="138"/>
      <c r="CZ2131" s="138"/>
      <c r="DA2131" s="139"/>
      <c r="DB2131" s="138"/>
      <c r="DC2131" s="45"/>
      <c r="DD2131" s="138"/>
      <c r="DE2131" s="45"/>
      <c r="DF2131" s="46"/>
    </row>
    <row r="2132" spans="1:110" s="42" customFormat="1" ht="132" x14ac:dyDescent="0.2">
      <c r="A2132" s="89">
        <v>40810</v>
      </c>
      <c r="B2132" s="90" t="s">
        <v>4296</v>
      </c>
      <c r="C2132" s="90" t="s">
        <v>3374</v>
      </c>
      <c r="D2132" s="90" t="s">
        <v>3346</v>
      </c>
      <c r="E2132" s="90" t="str">
        <f>VLOOKUP(B2132&amp;C2132,Divipola!$C$2:$F$1138,4,FALSE)</f>
        <v>19845</v>
      </c>
      <c r="F2132" s="4"/>
      <c r="G2132" s="101"/>
      <c r="H2132" s="101"/>
      <c r="I2132" s="101"/>
      <c r="J2132" s="101">
        <v>1300</v>
      </c>
      <c r="K2132" s="101">
        <v>262</v>
      </c>
      <c r="L2132" s="101"/>
      <c r="M2132" s="101">
        <v>262</v>
      </c>
      <c r="N2132" s="101"/>
      <c r="O2132" s="101"/>
      <c r="P2132" s="101"/>
      <c r="Q2132" s="101"/>
      <c r="R2132" s="101"/>
      <c r="S2132" s="101"/>
      <c r="T2132" s="101"/>
      <c r="U2132" s="101"/>
      <c r="V2132" s="101"/>
      <c r="W2132" s="19"/>
      <c r="X2132" s="17"/>
      <c r="Y2132" s="5">
        <f t="shared" si="208"/>
        <v>0</v>
      </c>
      <c r="Z2132" s="5">
        <f t="shared" si="209"/>
        <v>0</v>
      </c>
      <c r="AA2132" s="5">
        <f t="shared" si="210"/>
        <v>0</v>
      </c>
      <c r="AB2132" s="5">
        <f t="shared" si="211"/>
        <v>0</v>
      </c>
      <c r="AC2132" s="5"/>
      <c r="AD2132" s="5">
        <v>0</v>
      </c>
      <c r="AE2132" s="5">
        <f t="shared" si="212"/>
        <v>0</v>
      </c>
      <c r="AF2132" s="70">
        <v>0</v>
      </c>
      <c r="AG2132" s="17"/>
      <c r="AH2132" s="18"/>
      <c r="AI2132" s="47" t="s">
        <v>4336</v>
      </c>
      <c r="AJ2132" s="73" t="s">
        <v>4337</v>
      </c>
      <c r="AK2132" s="45"/>
      <c r="AL2132" s="17"/>
      <c r="AM2132" s="100" t="s">
        <v>4562</v>
      </c>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39"/>
      <c r="CE2132" s="138"/>
      <c r="CF2132" s="139"/>
      <c r="CG2132" s="138"/>
      <c r="CH2132" s="139"/>
      <c r="CI2132" s="138"/>
      <c r="CJ2132" s="72"/>
      <c r="CK2132" s="139"/>
      <c r="CL2132" s="71"/>
      <c r="CM2132" s="139"/>
      <c r="CN2132" s="138"/>
      <c r="CO2132" s="138"/>
      <c r="CP2132" s="138"/>
      <c r="CQ2132" s="139"/>
      <c r="CR2132" s="138"/>
      <c r="CS2132" s="45"/>
      <c r="CT2132" s="138"/>
      <c r="CU2132" s="45"/>
      <c r="CV2132" s="99">
        <f t="shared" si="213"/>
        <v>0</v>
      </c>
      <c r="CW2132" s="139"/>
      <c r="CX2132" s="138"/>
      <c r="CY2132" s="138"/>
      <c r="CZ2132" s="138"/>
      <c r="DA2132" s="139"/>
      <c r="DB2132" s="138"/>
      <c r="DC2132" s="45"/>
      <c r="DD2132" s="138"/>
      <c r="DE2132" s="45"/>
      <c r="DF2132" s="46"/>
    </row>
    <row r="2133" spans="1:110" s="42" customFormat="1" ht="108" x14ac:dyDescent="0.2">
      <c r="A2133" s="89">
        <v>40810</v>
      </c>
      <c r="B2133" s="151" t="s">
        <v>2225</v>
      </c>
      <c r="C2133" s="90" t="s">
        <v>198</v>
      </c>
      <c r="D2133" s="90" t="s">
        <v>4264</v>
      </c>
      <c r="E2133" s="90" t="str">
        <f>VLOOKUP(B2133&amp;C2133,Divipola!$C$2:$F$1138,4,FALSE)</f>
        <v>27800</v>
      </c>
      <c r="F2133" s="4"/>
      <c r="G2133" s="101"/>
      <c r="H2133" s="101"/>
      <c r="I2133" s="101"/>
      <c r="J2133" s="101"/>
      <c r="K2133" s="101"/>
      <c r="L2133" s="101"/>
      <c r="M2133" s="101"/>
      <c r="N2133" s="101"/>
      <c r="O2133" s="101"/>
      <c r="P2133" s="101"/>
      <c r="Q2133" s="101"/>
      <c r="R2133" s="101"/>
      <c r="S2133" s="101"/>
      <c r="T2133" s="101"/>
      <c r="U2133" s="101"/>
      <c r="V2133" s="101"/>
      <c r="W2133" s="19"/>
      <c r="X2133" s="17"/>
      <c r="Y2133" s="5">
        <f t="shared" si="208"/>
        <v>0</v>
      </c>
      <c r="Z2133" s="5">
        <f t="shared" si="209"/>
        <v>0</v>
      </c>
      <c r="AA2133" s="5">
        <f t="shared" si="210"/>
        <v>0</v>
      </c>
      <c r="AB2133" s="5">
        <f t="shared" si="211"/>
        <v>0</v>
      </c>
      <c r="AC2133" s="5"/>
      <c r="AD2133" s="5">
        <v>0</v>
      </c>
      <c r="AE2133" s="5">
        <f t="shared" si="212"/>
        <v>0</v>
      </c>
      <c r="AF2133" s="70">
        <v>0</v>
      </c>
      <c r="AG2133" s="17"/>
      <c r="AH2133" s="18"/>
      <c r="AI2133" s="47" t="s">
        <v>4336</v>
      </c>
      <c r="AJ2133" s="73" t="s">
        <v>4337</v>
      </c>
      <c r="AK2133" s="45"/>
      <c r="AL2133" s="17"/>
      <c r="AM2133" s="121" t="s">
        <v>4564</v>
      </c>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39"/>
      <c r="CE2133" s="138"/>
      <c r="CF2133" s="139"/>
      <c r="CG2133" s="138"/>
      <c r="CH2133" s="139"/>
      <c r="CI2133" s="138"/>
      <c r="CJ2133" s="72"/>
      <c r="CK2133" s="139"/>
      <c r="CL2133" s="71"/>
      <c r="CM2133" s="139"/>
      <c r="CN2133" s="138"/>
      <c r="CO2133" s="138"/>
      <c r="CP2133" s="138"/>
      <c r="CQ2133" s="139"/>
      <c r="CR2133" s="138"/>
      <c r="CS2133" s="45"/>
      <c r="CT2133" s="138"/>
      <c r="CU2133" s="45"/>
      <c r="CV2133" s="99">
        <f t="shared" si="213"/>
        <v>0</v>
      </c>
      <c r="CW2133" s="139"/>
      <c r="CX2133" s="138"/>
      <c r="CY2133" s="138"/>
      <c r="CZ2133" s="138"/>
      <c r="DA2133" s="139"/>
      <c r="DB2133" s="138"/>
      <c r="DC2133" s="45"/>
      <c r="DD2133" s="138"/>
      <c r="DE2133" s="45"/>
      <c r="DF2133" s="46"/>
    </row>
    <row r="2134" spans="1:110" s="42" customFormat="1" ht="96" x14ac:dyDescent="0.2">
      <c r="A2134" s="89">
        <v>40811</v>
      </c>
      <c r="B2134" s="151" t="s">
        <v>3358</v>
      </c>
      <c r="C2134" s="90" t="s">
        <v>4253</v>
      </c>
      <c r="D2134" s="90" t="s">
        <v>4264</v>
      </c>
      <c r="E2134" s="90" t="str">
        <f>VLOOKUP(B2134&amp;C2134,Divipola!$C$2:$F$1138,4,FALSE)</f>
        <v>18001</v>
      </c>
      <c r="F2134" s="4"/>
      <c r="G2134" s="101"/>
      <c r="H2134" s="101"/>
      <c r="I2134" s="101"/>
      <c r="J2134" s="101">
        <v>2</v>
      </c>
      <c r="K2134" s="101"/>
      <c r="L2134" s="101"/>
      <c r="M2134" s="101"/>
      <c r="N2134" s="101"/>
      <c r="O2134" s="101"/>
      <c r="P2134" s="101"/>
      <c r="Q2134" s="101"/>
      <c r="R2134" s="101"/>
      <c r="S2134" s="101"/>
      <c r="T2134" s="101"/>
      <c r="U2134" s="101"/>
      <c r="V2134" s="101"/>
      <c r="W2134" s="19"/>
      <c r="X2134" s="17"/>
      <c r="Y2134" s="5">
        <f t="shared" si="208"/>
        <v>0</v>
      </c>
      <c r="Z2134" s="5">
        <f t="shared" si="209"/>
        <v>0</v>
      </c>
      <c r="AA2134" s="5">
        <f t="shared" si="210"/>
        <v>0</v>
      </c>
      <c r="AB2134" s="5">
        <f t="shared" si="211"/>
        <v>0</v>
      </c>
      <c r="AC2134" s="5"/>
      <c r="AD2134" s="5">
        <v>0</v>
      </c>
      <c r="AE2134" s="5">
        <f t="shared" si="212"/>
        <v>0</v>
      </c>
      <c r="AF2134" s="70">
        <v>0</v>
      </c>
      <c r="AG2134" s="17"/>
      <c r="AH2134" s="18"/>
      <c r="AI2134" s="47" t="s">
        <v>4336</v>
      </c>
      <c r="AJ2134" s="73" t="s">
        <v>4337</v>
      </c>
      <c r="AK2134" s="45"/>
      <c r="AL2134" s="17"/>
      <c r="AM2134" s="121" t="s">
        <v>4569</v>
      </c>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39"/>
      <c r="CE2134" s="138"/>
      <c r="CF2134" s="139"/>
      <c r="CG2134" s="138"/>
      <c r="CH2134" s="139"/>
      <c r="CI2134" s="138"/>
      <c r="CJ2134" s="72"/>
      <c r="CK2134" s="139"/>
      <c r="CL2134" s="71"/>
      <c r="CM2134" s="139"/>
      <c r="CN2134" s="138"/>
      <c r="CO2134" s="138"/>
      <c r="CP2134" s="138"/>
      <c r="CQ2134" s="139"/>
      <c r="CR2134" s="138"/>
      <c r="CS2134" s="45"/>
      <c r="CT2134" s="138"/>
      <c r="CU2134" s="45"/>
      <c r="CV2134" s="99">
        <f t="shared" si="213"/>
        <v>0</v>
      </c>
      <c r="CW2134" s="139"/>
      <c r="CX2134" s="138"/>
      <c r="CY2134" s="138"/>
      <c r="CZ2134" s="138"/>
      <c r="DA2134" s="139"/>
      <c r="DB2134" s="138"/>
      <c r="DC2134" s="45"/>
      <c r="DD2134" s="138"/>
      <c r="DE2134" s="45"/>
      <c r="DF2134" s="46"/>
    </row>
    <row r="2135" spans="1:110" s="42" customFormat="1" ht="72" x14ac:dyDescent="0.2">
      <c r="A2135" s="89">
        <v>40811</v>
      </c>
      <c r="B2135" s="151" t="s">
        <v>4263</v>
      </c>
      <c r="C2135" s="90" t="s">
        <v>3664</v>
      </c>
      <c r="D2135" s="90" t="s">
        <v>4264</v>
      </c>
      <c r="E2135" s="90" t="str">
        <f>VLOOKUP(B2135&amp;C2135,Divipola!$C$2:$F$1138,4,FALSE)</f>
        <v>86569</v>
      </c>
      <c r="F2135" s="4"/>
      <c r="G2135" s="101"/>
      <c r="H2135" s="101"/>
      <c r="I2135" s="101"/>
      <c r="J2135" s="101">
        <v>12</v>
      </c>
      <c r="K2135" s="101">
        <v>3</v>
      </c>
      <c r="L2135" s="101"/>
      <c r="M2135" s="101">
        <v>3</v>
      </c>
      <c r="N2135" s="101"/>
      <c r="O2135" s="101"/>
      <c r="P2135" s="101"/>
      <c r="Q2135" s="101"/>
      <c r="R2135" s="101"/>
      <c r="S2135" s="101"/>
      <c r="T2135" s="101"/>
      <c r="U2135" s="101"/>
      <c r="V2135" s="101"/>
      <c r="W2135" s="19"/>
      <c r="X2135" s="17"/>
      <c r="Y2135" s="5">
        <f t="shared" si="208"/>
        <v>0</v>
      </c>
      <c r="Z2135" s="5">
        <f t="shared" si="209"/>
        <v>0</v>
      </c>
      <c r="AA2135" s="5">
        <f t="shared" si="210"/>
        <v>0</v>
      </c>
      <c r="AB2135" s="5">
        <f t="shared" si="211"/>
        <v>0</v>
      </c>
      <c r="AC2135" s="5"/>
      <c r="AD2135" s="5">
        <v>0</v>
      </c>
      <c r="AE2135" s="5">
        <f t="shared" si="212"/>
        <v>0</v>
      </c>
      <c r="AF2135" s="70">
        <v>0</v>
      </c>
      <c r="AG2135" s="17"/>
      <c r="AH2135" s="18"/>
      <c r="AI2135" s="47" t="s">
        <v>4336</v>
      </c>
      <c r="AJ2135" s="73" t="s">
        <v>4337</v>
      </c>
      <c r="AK2135" s="45"/>
      <c r="AL2135" s="17"/>
      <c r="AM2135" s="121" t="s">
        <v>4570</v>
      </c>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39"/>
      <c r="CE2135" s="138"/>
      <c r="CF2135" s="139"/>
      <c r="CG2135" s="138"/>
      <c r="CH2135" s="139"/>
      <c r="CI2135" s="138"/>
      <c r="CJ2135" s="72"/>
      <c r="CK2135" s="139"/>
      <c r="CL2135" s="71"/>
      <c r="CM2135" s="139"/>
      <c r="CN2135" s="138"/>
      <c r="CO2135" s="138"/>
      <c r="CP2135" s="138"/>
      <c r="CQ2135" s="139"/>
      <c r="CR2135" s="138"/>
      <c r="CS2135" s="45"/>
      <c r="CT2135" s="138"/>
      <c r="CU2135" s="45"/>
      <c r="CV2135" s="99">
        <f t="shared" si="213"/>
        <v>0</v>
      </c>
      <c r="CW2135" s="139"/>
      <c r="CX2135" s="138"/>
      <c r="CY2135" s="138"/>
      <c r="CZ2135" s="138"/>
      <c r="DA2135" s="139"/>
      <c r="DB2135" s="138"/>
      <c r="DC2135" s="45"/>
      <c r="DD2135" s="138"/>
      <c r="DE2135" s="45"/>
      <c r="DF2135" s="46"/>
    </row>
    <row r="2136" spans="1:110" s="42" customFormat="1" ht="60" x14ac:dyDescent="0.2">
      <c r="A2136" s="89">
        <v>40812</v>
      </c>
      <c r="B2136" s="151" t="s">
        <v>4261</v>
      </c>
      <c r="C2136" s="90" t="s">
        <v>2610</v>
      </c>
      <c r="D2136" s="90" t="s">
        <v>4264</v>
      </c>
      <c r="E2136" s="90" t="str">
        <f>VLOOKUP(B2136&amp;C2136,Divipola!$C$2:$F$1138,4,FALSE)</f>
        <v>15162</v>
      </c>
      <c r="F2136" s="4"/>
      <c r="G2136" s="101"/>
      <c r="H2136" s="101"/>
      <c r="I2136" s="101"/>
      <c r="J2136" s="101">
        <v>205</v>
      </c>
      <c r="K2136" s="101">
        <v>41</v>
      </c>
      <c r="L2136" s="101"/>
      <c r="M2136" s="101">
        <v>39</v>
      </c>
      <c r="N2136" s="101"/>
      <c r="O2136" s="101"/>
      <c r="P2136" s="101"/>
      <c r="Q2136" s="101"/>
      <c r="R2136" s="101"/>
      <c r="S2136" s="101"/>
      <c r="T2136" s="101"/>
      <c r="U2136" s="101"/>
      <c r="V2136" s="101"/>
      <c r="W2136" s="19"/>
      <c r="X2136" s="17"/>
      <c r="Y2136" s="5">
        <f t="shared" si="208"/>
        <v>0</v>
      </c>
      <c r="Z2136" s="5">
        <f t="shared" si="209"/>
        <v>0</v>
      </c>
      <c r="AA2136" s="5">
        <f t="shared" si="210"/>
        <v>0</v>
      </c>
      <c r="AB2136" s="5">
        <f t="shared" si="211"/>
        <v>0</v>
      </c>
      <c r="AC2136" s="5"/>
      <c r="AD2136" s="5">
        <v>0</v>
      </c>
      <c r="AE2136" s="5">
        <f t="shared" si="212"/>
        <v>0</v>
      </c>
      <c r="AF2136" s="70">
        <v>0</v>
      </c>
      <c r="AG2136" s="17"/>
      <c r="AH2136" s="18"/>
      <c r="AI2136" s="47" t="s">
        <v>4346</v>
      </c>
      <c r="AJ2136" s="73" t="s">
        <v>4347</v>
      </c>
      <c r="AK2136" s="45"/>
      <c r="AL2136" s="89" t="s">
        <v>2798</v>
      </c>
      <c r="AM2136" s="121" t="s">
        <v>4733</v>
      </c>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39"/>
      <c r="CE2136" s="138"/>
      <c r="CF2136" s="139"/>
      <c r="CG2136" s="138"/>
      <c r="CH2136" s="139"/>
      <c r="CI2136" s="138"/>
      <c r="CJ2136" s="72"/>
      <c r="CK2136" s="139"/>
      <c r="CL2136" s="71"/>
      <c r="CM2136" s="139"/>
      <c r="CN2136" s="138"/>
      <c r="CO2136" s="138"/>
      <c r="CP2136" s="138"/>
      <c r="CQ2136" s="139"/>
      <c r="CR2136" s="138"/>
      <c r="CS2136" s="45"/>
      <c r="CT2136" s="138"/>
      <c r="CU2136" s="45"/>
      <c r="CV2136" s="99">
        <f t="shared" si="213"/>
        <v>0</v>
      </c>
      <c r="CW2136" s="139"/>
      <c r="CX2136" s="138"/>
      <c r="CY2136" s="138"/>
      <c r="CZ2136" s="138"/>
      <c r="DA2136" s="139"/>
      <c r="DB2136" s="138"/>
      <c r="DC2136" s="45"/>
      <c r="DD2136" s="138"/>
      <c r="DE2136" s="45"/>
      <c r="DF2136" s="46"/>
    </row>
    <row r="2137" spans="1:110" s="42" customFormat="1" ht="96" x14ac:dyDescent="0.2">
      <c r="A2137" s="89">
        <v>40812</v>
      </c>
      <c r="B2137" s="151" t="s">
        <v>4348</v>
      </c>
      <c r="C2137" s="90" t="s">
        <v>2228</v>
      </c>
      <c r="D2137" s="90" t="s">
        <v>3346</v>
      </c>
      <c r="E2137" s="90" t="str">
        <f>VLOOKUP(B2137&amp;C2137,Divipola!$C$2:$F$1138,4,FALSE)</f>
        <v>66001</v>
      </c>
      <c r="F2137" s="4"/>
      <c r="G2137" s="101"/>
      <c r="H2137" s="101"/>
      <c r="I2137" s="101"/>
      <c r="J2137" s="101">
        <v>50</v>
      </c>
      <c r="K2137" s="101">
        <v>10</v>
      </c>
      <c r="L2137" s="101"/>
      <c r="M2137" s="101">
        <v>10</v>
      </c>
      <c r="N2137" s="101"/>
      <c r="O2137" s="101"/>
      <c r="P2137" s="101"/>
      <c r="Q2137" s="101"/>
      <c r="R2137" s="101"/>
      <c r="S2137" s="101"/>
      <c r="T2137" s="101"/>
      <c r="U2137" s="101"/>
      <c r="V2137" s="101"/>
      <c r="W2137" s="19"/>
      <c r="X2137" s="17"/>
      <c r="Y2137" s="5">
        <f t="shared" si="208"/>
        <v>0</v>
      </c>
      <c r="Z2137" s="5">
        <f t="shared" si="209"/>
        <v>0</v>
      </c>
      <c r="AA2137" s="5">
        <f t="shared" si="210"/>
        <v>0</v>
      </c>
      <c r="AB2137" s="5">
        <f t="shared" si="211"/>
        <v>0</v>
      </c>
      <c r="AC2137" s="5"/>
      <c r="AD2137" s="5">
        <v>0</v>
      </c>
      <c r="AE2137" s="5">
        <f t="shared" si="212"/>
        <v>0</v>
      </c>
      <c r="AF2137" s="70">
        <v>0</v>
      </c>
      <c r="AG2137" s="17"/>
      <c r="AH2137" s="18"/>
      <c r="AI2137" s="47" t="s">
        <v>4336</v>
      </c>
      <c r="AJ2137" s="73" t="s">
        <v>4337</v>
      </c>
      <c r="AK2137" s="45"/>
      <c r="AL2137" s="17"/>
      <c r="AM2137" s="121" t="s">
        <v>4577</v>
      </c>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39"/>
      <c r="CE2137" s="138"/>
      <c r="CF2137" s="139"/>
      <c r="CG2137" s="138"/>
      <c r="CH2137" s="139"/>
      <c r="CI2137" s="138"/>
      <c r="CJ2137" s="72"/>
      <c r="CK2137" s="139"/>
      <c r="CL2137" s="71"/>
      <c r="CM2137" s="139"/>
      <c r="CN2137" s="138"/>
      <c r="CO2137" s="138"/>
      <c r="CP2137" s="138"/>
      <c r="CQ2137" s="139"/>
      <c r="CR2137" s="138"/>
      <c r="CS2137" s="45"/>
      <c r="CT2137" s="138"/>
      <c r="CU2137" s="45"/>
      <c r="CV2137" s="99">
        <f t="shared" si="213"/>
        <v>0</v>
      </c>
      <c r="CW2137" s="139"/>
      <c r="CX2137" s="138"/>
      <c r="CY2137" s="138"/>
      <c r="CZ2137" s="138"/>
      <c r="DA2137" s="139"/>
      <c r="DB2137" s="138"/>
      <c r="DC2137" s="45"/>
      <c r="DD2137" s="138"/>
      <c r="DE2137" s="45"/>
      <c r="DF2137" s="46"/>
    </row>
    <row r="2138" spans="1:110" s="42" customFormat="1" ht="48" x14ac:dyDescent="0.2">
      <c r="A2138" s="89">
        <v>40812</v>
      </c>
      <c r="B2138" s="151" t="s">
        <v>4348</v>
      </c>
      <c r="C2138" s="90" t="s">
        <v>4313</v>
      </c>
      <c r="D2138" s="90" t="s">
        <v>2362</v>
      </c>
      <c r="E2138" s="90" t="str">
        <f>VLOOKUP(B2138&amp;C2138,Divipola!$C$2:$F$1138,4,FALSE)</f>
        <v>66318</v>
      </c>
      <c r="F2138" s="4"/>
      <c r="G2138" s="101"/>
      <c r="H2138" s="101"/>
      <c r="I2138" s="101"/>
      <c r="J2138" s="101"/>
      <c r="K2138" s="101"/>
      <c r="L2138" s="101"/>
      <c r="M2138" s="101"/>
      <c r="N2138" s="101"/>
      <c r="O2138" s="101"/>
      <c r="P2138" s="101"/>
      <c r="Q2138" s="101">
        <v>1</v>
      </c>
      <c r="R2138" s="101"/>
      <c r="S2138" s="101"/>
      <c r="T2138" s="101"/>
      <c r="U2138" s="101"/>
      <c r="V2138" s="101"/>
      <c r="W2138" s="19"/>
      <c r="X2138" s="17"/>
      <c r="Y2138" s="5">
        <f t="shared" si="208"/>
        <v>0</v>
      </c>
      <c r="Z2138" s="5">
        <f t="shared" si="209"/>
        <v>0</v>
      </c>
      <c r="AA2138" s="5">
        <f t="shared" si="210"/>
        <v>0</v>
      </c>
      <c r="AB2138" s="5">
        <f t="shared" si="211"/>
        <v>0</v>
      </c>
      <c r="AC2138" s="5"/>
      <c r="AD2138" s="5">
        <v>0</v>
      </c>
      <c r="AE2138" s="5">
        <f t="shared" si="212"/>
        <v>0</v>
      </c>
      <c r="AF2138" s="70">
        <v>0</v>
      </c>
      <c r="AG2138" s="17"/>
      <c r="AH2138" s="18"/>
      <c r="AI2138" s="47" t="s">
        <v>4336</v>
      </c>
      <c r="AJ2138" s="73" t="s">
        <v>4337</v>
      </c>
      <c r="AK2138" s="45"/>
      <c r="AL2138" s="17"/>
      <c r="AM2138" s="121" t="s">
        <v>4593</v>
      </c>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39"/>
      <c r="CE2138" s="138"/>
      <c r="CF2138" s="139"/>
      <c r="CG2138" s="138"/>
      <c r="CH2138" s="139"/>
      <c r="CI2138" s="138"/>
      <c r="CJ2138" s="72"/>
      <c r="CK2138" s="139"/>
      <c r="CL2138" s="71"/>
      <c r="CM2138" s="139"/>
      <c r="CN2138" s="138"/>
      <c r="CO2138" s="138"/>
      <c r="CP2138" s="138"/>
      <c r="CQ2138" s="139"/>
      <c r="CR2138" s="138"/>
      <c r="CS2138" s="45"/>
      <c r="CT2138" s="138"/>
      <c r="CU2138" s="45"/>
      <c r="CV2138" s="99">
        <f t="shared" si="213"/>
        <v>0</v>
      </c>
      <c r="CW2138" s="139"/>
      <c r="CX2138" s="138"/>
      <c r="CY2138" s="138"/>
      <c r="CZ2138" s="138"/>
      <c r="DA2138" s="139"/>
      <c r="DB2138" s="138"/>
      <c r="DC2138" s="45"/>
      <c r="DD2138" s="138"/>
      <c r="DE2138" s="45"/>
      <c r="DF2138" s="46"/>
    </row>
    <row r="2139" spans="1:110" s="42" customFormat="1" ht="48" x14ac:dyDescent="0.2">
      <c r="A2139" s="89">
        <v>40813</v>
      </c>
      <c r="B2139" s="16" t="s">
        <v>2218</v>
      </c>
      <c r="C2139" s="16" t="s">
        <v>3807</v>
      </c>
      <c r="D2139" s="90" t="s">
        <v>2362</v>
      </c>
      <c r="E2139" s="90" t="str">
        <f>VLOOKUP(B2139&amp;C2139,Divipola!$C$2:$F$1138,4,FALSE)</f>
        <v>05038</v>
      </c>
      <c r="F2139" s="4"/>
      <c r="G2139" s="208">
        <v>6</v>
      </c>
      <c r="H2139" s="208"/>
      <c r="I2139" s="208"/>
      <c r="J2139" s="208">
        <v>6</v>
      </c>
      <c r="K2139" s="208">
        <v>1</v>
      </c>
      <c r="L2139" s="208">
        <v>1</v>
      </c>
      <c r="M2139" s="208"/>
      <c r="N2139" s="208"/>
      <c r="O2139" s="208"/>
      <c r="P2139" s="208"/>
      <c r="Q2139" s="208"/>
      <c r="R2139" s="208"/>
      <c r="S2139" s="208"/>
      <c r="T2139" s="208"/>
      <c r="U2139" s="208"/>
      <c r="V2139" s="208"/>
      <c r="W2139" s="19"/>
      <c r="X2139" s="17"/>
      <c r="Y2139" s="5">
        <f t="shared" si="208"/>
        <v>0</v>
      </c>
      <c r="Z2139" s="5">
        <f t="shared" si="209"/>
        <v>0</v>
      </c>
      <c r="AA2139" s="5">
        <f t="shared" si="210"/>
        <v>0</v>
      </c>
      <c r="AB2139" s="5">
        <f t="shared" si="211"/>
        <v>0</v>
      </c>
      <c r="AC2139" s="5"/>
      <c r="AD2139" s="5">
        <v>0</v>
      </c>
      <c r="AE2139" s="5">
        <f t="shared" si="212"/>
        <v>0</v>
      </c>
      <c r="AF2139" s="70">
        <v>0</v>
      </c>
      <c r="AG2139" s="17"/>
      <c r="AH2139" s="18"/>
      <c r="AI2139" s="47" t="s">
        <v>4336</v>
      </c>
      <c r="AJ2139" s="73" t="s">
        <v>4337</v>
      </c>
      <c r="AK2139" s="45"/>
      <c r="AL2139" s="17"/>
      <c r="AM2139" s="20" t="s">
        <v>4573</v>
      </c>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39"/>
      <c r="CE2139" s="138"/>
      <c r="CF2139" s="139"/>
      <c r="CG2139" s="138"/>
      <c r="CH2139" s="139"/>
      <c r="CI2139" s="138"/>
      <c r="CJ2139" s="72"/>
      <c r="CK2139" s="139"/>
      <c r="CL2139" s="71"/>
      <c r="CM2139" s="139"/>
      <c r="CN2139" s="138"/>
      <c r="CO2139" s="138"/>
      <c r="CP2139" s="138"/>
      <c r="CQ2139" s="139"/>
      <c r="CR2139" s="138"/>
      <c r="CS2139" s="45"/>
      <c r="CT2139" s="138"/>
      <c r="CU2139" s="45"/>
      <c r="CV2139" s="99">
        <f t="shared" si="213"/>
        <v>0</v>
      </c>
      <c r="CW2139" s="139"/>
      <c r="CX2139" s="138"/>
      <c r="CY2139" s="138"/>
      <c r="CZ2139" s="138"/>
      <c r="DA2139" s="139"/>
      <c r="DB2139" s="138"/>
      <c r="DC2139" s="45"/>
      <c r="DD2139" s="138"/>
      <c r="DE2139" s="45"/>
      <c r="DF2139" s="46"/>
    </row>
    <row r="2140" spans="1:110" s="42" customFormat="1" ht="48" x14ac:dyDescent="0.2">
      <c r="A2140" s="89">
        <v>40813</v>
      </c>
      <c r="B2140" s="151" t="s">
        <v>2218</v>
      </c>
      <c r="C2140" s="90" t="s">
        <v>4266</v>
      </c>
      <c r="D2140" s="90" t="s">
        <v>4264</v>
      </c>
      <c r="E2140" s="90" t="str">
        <f>VLOOKUP(B2140&amp;C2140,Divipola!$C$2:$F$1138,4,FALSE)</f>
        <v>05088</v>
      </c>
      <c r="F2140" s="4"/>
      <c r="G2140" s="101"/>
      <c r="H2140" s="101"/>
      <c r="I2140" s="101"/>
      <c r="J2140" s="101">
        <v>26</v>
      </c>
      <c r="K2140" s="101">
        <v>9</v>
      </c>
      <c r="L2140" s="101">
        <v>5</v>
      </c>
      <c r="M2140" s="101">
        <v>4</v>
      </c>
      <c r="N2140" s="101"/>
      <c r="O2140" s="101"/>
      <c r="P2140" s="101"/>
      <c r="Q2140" s="101"/>
      <c r="R2140" s="101"/>
      <c r="S2140" s="101"/>
      <c r="T2140" s="101"/>
      <c r="U2140" s="101"/>
      <c r="V2140" s="101"/>
      <c r="W2140" s="19"/>
      <c r="X2140" s="17"/>
      <c r="Y2140" s="5">
        <f t="shared" si="208"/>
        <v>0</v>
      </c>
      <c r="Z2140" s="5">
        <f t="shared" si="209"/>
        <v>0</v>
      </c>
      <c r="AA2140" s="5">
        <f t="shared" si="210"/>
        <v>0</v>
      </c>
      <c r="AB2140" s="5">
        <f t="shared" si="211"/>
        <v>0</v>
      </c>
      <c r="AC2140" s="5"/>
      <c r="AD2140" s="5">
        <v>0</v>
      </c>
      <c r="AE2140" s="5">
        <f t="shared" si="212"/>
        <v>0</v>
      </c>
      <c r="AF2140" s="70">
        <v>0</v>
      </c>
      <c r="AG2140" s="17"/>
      <c r="AH2140" s="18"/>
      <c r="AI2140" s="47" t="s">
        <v>4336</v>
      </c>
      <c r="AJ2140" s="73" t="s">
        <v>4337</v>
      </c>
      <c r="AK2140" s="45"/>
      <c r="AL2140" s="17"/>
      <c r="AM2140" s="121" t="s">
        <v>4818</v>
      </c>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39"/>
      <c r="CE2140" s="138"/>
      <c r="CF2140" s="139"/>
      <c r="CG2140" s="138"/>
      <c r="CH2140" s="139"/>
      <c r="CI2140" s="138"/>
      <c r="CJ2140" s="72"/>
      <c r="CK2140" s="139"/>
      <c r="CL2140" s="71"/>
      <c r="CM2140" s="139"/>
      <c r="CN2140" s="138"/>
      <c r="CO2140" s="138"/>
      <c r="CP2140" s="138"/>
      <c r="CQ2140" s="139"/>
      <c r="CR2140" s="138"/>
      <c r="CS2140" s="45"/>
      <c r="CT2140" s="138"/>
      <c r="CU2140" s="45"/>
      <c r="CV2140" s="99">
        <f t="shared" si="213"/>
        <v>0</v>
      </c>
      <c r="CW2140" s="139"/>
      <c r="CX2140" s="138"/>
      <c r="CY2140" s="138"/>
      <c r="CZ2140" s="138"/>
      <c r="DA2140" s="139"/>
      <c r="DB2140" s="138"/>
      <c r="DC2140" s="45"/>
      <c r="DD2140" s="138"/>
      <c r="DE2140" s="45"/>
      <c r="DF2140" s="46"/>
    </row>
    <row r="2141" spans="1:110" s="42" customFormat="1" ht="36" x14ac:dyDescent="0.2">
      <c r="A2141" s="89">
        <v>40813</v>
      </c>
      <c r="B2141" s="151" t="s">
        <v>4261</v>
      </c>
      <c r="C2141" s="90" t="s">
        <v>2657</v>
      </c>
      <c r="D2141" s="90" t="s">
        <v>4264</v>
      </c>
      <c r="E2141" s="90" t="str">
        <f>VLOOKUP(B2141&amp;C2141,Divipola!$C$2:$F$1138,4,FALSE)</f>
        <v>15244</v>
      </c>
      <c r="F2141" s="4"/>
      <c r="G2141" s="101"/>
      <c r="H2141" s="101"/>
      <c r="I2141" s="101"/>
      <c r="J2141" s="101">
        <v>15</v>
      </c>
      <c r="K2141" s="101">
        <v>3</v>
      </c>
      <c r="L2141" s="101"/>
      <c r="M2141" s="101"/>
      <c r="N2141" s="101"/>
      <c r="O2141" s="101"/>
      <c r="P2141" s="101"/>
      <c r="Q2141" s="101"/>
      <c r="R2141" s="101"/>
      <c r="S2141" s="101"/>
      <c r="T2141" s="101"/>
      <c r="U2141" s="101"/>
      <c r="V2141" s="101">
        <v>6</v>
      </c>
      <c r="W2141" s="19"/>
      <c r="X2141" s="17"/>
      <c r="Y2141" s="5">
        <f t="shared" si="208"/>
        <v>0</v>
      </c>
      <c r="Z2141" s="5">
        <f t="shared" si="209"/>
        <v>0</v>
      </c>
      <c r="AA2141" s="5">
        <f t="shared" si="210"/>
        <v>0</v>
      </c>
      <c r="AB2141" s="5">
        <f t="shared" si="211"/>
        <v>0</v>
      </c>
      <c r="AC2141" s="5"/>
      <c r="AD2141" s="5">
        <v>0</v>
      </c>
      <c r="AE2141" s="5">
        <f t="shared" si="212"/>
        <v>0</v>
      </c>
      <c r="AF2141" s="70">
        <v>0</v>
      </c>
      <c r="AG2141" s="17"/>
      <c r="AH2141" s="18"/>
      <c r="AI2141" s="47" t="s">
        <v>4346</v>
      </c>
      <c r="AJ2141" s="73" t="s">
        <v>4347</v>
      </c>
      <c r="AK2141" s="45"/>
      <c r="AL2141" s="89" t="s">
        <v>2798</v>
      </c>
      <c r="AM2141" s="121" t="s">
        <v>4734</v>
      </c>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39"/>
      <c r="CE2141" s="138"/>
      <c r="CF2141" s="139"/>
      <c r="CG2141" s="138"/>
      <c r="CH2141" s="139"/>
      <c r="CI2141" s="138"/>
      <c r="CJ2141" s="72"/>
      <c r="CK2141" s="139"/>
      <c r="CL2141" s="71"/>
      <c r="CM2141" s="139"/>
      <c r="CN2141" s="138"/>
      <c r="CO2141" s="138"/>
      <c r="CP2141" s="138"/>
      <c r="CQ2141" s="139"/>
      <c r="CR2141" s="138"/>
      <c r="CS2141" s="45"/>
      <c r="CT2141" s="138"/>
      <c r="CU2141" s="45"/>
      <c r="CV2141" s="99">
        <f t="shared" si="213"/>
        <v>0</v>
      </c>
      <c r="CW2141" s="139"/>
      <c r="CX2141" s="138"/>
      <c r="CY2141" s="138"/>
      <c r="CZ2141" s="138"/>
      <c r="DA2141" s="139"/>
      <c r="DB2141" s="138"/>
      <c r="DC2141" s="45"/>
      <c r="DD2141" s="138"/>
      <c r="DE2141" s="45"/>
      <c r="DF2141" s="46"/>
    </row>
    <row r="2142" spans="1:110" s="42" customFormat="1" ht="84" x14ac:dyDescent="0.2">
      <c r="A2142" s="89">
        <v>40813</v>
      </c>
      <c r="B2142" s="151" t="s">
        <v>3358</v>
      </c>
      <c r="C2142" s="90" t="s">
        <v>4253</v>
      </c>
      <c r="D2142" s="90" t="s">
        <v>2362</v>
      </c>
      <c r="E2142" s="90" t="str">
        <f>VLOOKUP(B2142&amp;C2142,Divipola!$C$2:$F$1138,4,FALSE)</f>
        <v>18001</v>
      </c>
      <c r="F2142" s="4"/>
      <c r="G2142" s="208"/>
      <c r="H2142" s="208"/>
      <c r="I2142" s="208"/>
      <c r="J2142" s="208"/>
      <c r="K2142" s="208"/>
      <c r="L2142" s="208"/>
      <c r="M2142" s="208"/>
      <c r="N2142" s="208"/>
      <c r="O2142" s="208"/>
      <c r="P2142" s="208"/>
      <c r="Q2142" s="208"/>
      <c r="R2142" s="208"/>
      <c r="S2142" s="208"/>
      <c r="T2142" s="208"/>
      <c r="U2142" s="208"/>
      <c r="V2142" s="208"/>
      <c r="W2142" s="19"/>
      <c r="X2142" s="17"/>
      <c r="Y2142" s="5">
        <f t="shared" si="208"/>
        <v>0</v>
      </c>
      <c r="Z2142" s="5">
        <f t="shared" si="209"/>
        <v>0</v>
      </c>
      <c r="AA2142" s="5">
        <f t="shared" si="210"/>
        <v>0</v>
      </c>
      <c r="AB2142" s="5">
        <f t="shared" si="211"/>
        <v>0</v>
      </c>
      <c r="AC2142" s="5"/>
      <c r="AD2142" s="5">
        <v>0</v>
      </c>
      <c r="AE2142" s="5">
        <f t="shared" si="212"/>
        <v>0</v>
      </c>
      <c r="AF2142" s="70">
        <v>0</v>
      </c>
      <c r="AG2142" s="17"/>
      <c r="AH2142" s="18"/>
      <c r="AI2142" s="47" t="s">
        <v>4336</v>
      </c>
      <c r="AJ2142" s="73" t="s">
        <v>4337</v>
      </c>
      <c r="AK2142" s="45"/>
      <c r="AL2142" s="17"/>
      <c r="AM2142" s="121" t="s">
        <v>4576</v>
      </c>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39"/>
      <c r="CE2142" s="138"/>
      <c r="CF2142" s="139"/>
      <c r="CG2142" s="138"/>
      <c r="CH2142" s="139"/>
      <c r="CI2142" s="138"/>
      <c r="CJ2142" s="72"/>
      <c r="CK2142" s="139"/>
      <c r="CL2142" s="71"/>
      <c r="CM2142" s="139"/>
      <c r="CN2142" s="138"/>
      <c r="CO2142" s="138"/>
      <c r="CP2142" s="138"/>
      <c r="CQ2142" s="139"/>
      <c r="CR2142" s="138"/>
      <c r="CS2142" s="45"/>
      <c r="CT2142" s="138"/>
      <c r="CU2142" s="45"/>
      <c r="CV2142" s="99">
        <f t="shared" si="213"/>
        <v>0</v>
      </c>
      <c r="CW2142" s="139"/>
      <c r="CX2142" s="138"/>
      <c r="CY2142" s="138"/>
      <c r="CZ2142" s="138"/>
      <c r="DA2142" s="139"/>
      <c r="DB2142" s="138"/>
      <c r="DC2142" s="45"/>
      <c r="DD2142" s="138"/>
      <c r="DE2142" s="45"/>
      <c r="DF2142" s="46">
        <v>1976</v>
      </c>
    </row>
    <row r="2143" spans="1:110" s="42" customFormat="1" ht="96" x14ac:dyDescent="0.2">
      <c r="A2143" s="89">
        <v>40813</v>
      </c>
      <c r="B2143" s="151" t="s">
        <v>2226</v>
      </c>
      <c r="C2143" s="90" t="s">
        <v>967</v>
      </c>
      <c r="D2143" s="90" t="s">
        <v>2362</v>
      </c>
      <c r="E2143" s="90" t="str">
        <f>VLOOKUP(B2143&amp;C2143,Divipola!$C$2:$F$1138,4,FALSE)</f>
        <v>68132</v>
      </c>
      <c r="F2143" s="4"/>
      <c r="G2143" s="208"/>
      <c r="H2143" s="208"/>
      <c r="I2143" s="208"/>
      <c r="J2143" s="208"/>
      <c r="K2143" s="208"/>
      <c r="L2143" s="208"/>
      <c r="M2143" s="208"/>
      <c r="N2143" s="208"/>
      <c r="O2143" s="208"/>
      <c r="P2143" s="208"/>
      <c r="Q2143" s="208"/>
      <c r="R2143" s="208"/>
      <c r="S2143" s="208"/>
      <c r="T2143" s="208"/>
      <c r="U2143" s="208"/>
      <c r="V2143" s="208"/>
      <c r="W2143" s="19"/>
      <c r="X2143" s="17"/>
      <c r="Y2143" s="5">
        <f t="shared" si="208"/>
        <v>0</v>
      </c>
      <c r="Z2143" s="5">
        <f t="shared" si="209"/>
        <v>0</v>
      </c>
      <c r="AA2143" s="5">
        <f t="shared" si="210"/>
        <v>0</v>
      </c>
      <c r="AB2143" s="5">
        <f t="shared" si="211"/>
        <v>0</v>
      </c>
      <c r="AC2143" s="5"/>
      <c r="AD2143" s="5">
        <v>0</v>
      </c>
      <c r="AE2143" s="5">
        <f t="shared" si="212"/>
        <v>0</v>
      </c>
      <c r="AF2143" s="70">
        <v>0</v>
      </c>
      <c r="AG2143" s="17"/>
      <c r="AH2143" s="18"/>
      <c r="AI2143" s="47" t="s">
        <v>4336</v>
      </c>
      <c r="AJ2143" s="73" t="s">
        <v>4337</v>
      </c>
      <c r="AK2143" s="45"/>
      <c r="AL2143" s="17"/>
      <c r="AM2143" s="121" t="s">
        <v>4587</v>
      </c>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39"/>
      <c r="CE2143" s="138"/>
      <c r="CF2143" s="139"/>
      <c r="CG2143" s="138"/>
      <c r="CH2143" s="139"/>
      <c r="CI2143" s="138"/>
      <c r="CJ2143" s="72"/>
      <c r="CK2143" s="139"/>
      <c r="CL2143" s="71"/>
      <c r="CM2143" s="139"/>
      <c r="CN2143" s="138"/>
      <c r="CO2143" s="138"/>
      <c r="CP2143" s="138"/>
      <c r="CQ2143" s="139"/>
      <c r="CR2143" s="138"/>
      <c r="CS2143" s="45"/>
      <c r="CT2143" s="138"/>
      <c r="CU2143" s="45"/>
      <c r="CV2143" s="99">
        <f t="shared" si="213"/>
        <v>0</v>
      </c>
      <c r="CW2143" s="139"/>
      <c r="CX2143" s="138"/>
      <c r="CY2143" s="138"/>
      <c r="CZ2143" s="138"/>
      <c r="DA2143" s="139"/>
      <c r="DB2143" s="138"/>
      <c r="DC2143" s="45"/>
      <c r="DD2143" s="138"/>
      <c r="DE2143" s="45"/>
      <c r="DF2143" s="46"/>
    </row>
    <row r="2144" spans="1:110" s="42" customFormat="1" ht="96" x14ac:dyDescent="0.2">
      <c r="A2144" s="89">
        <v>40814</v>
      </c>
      <c r="B2144" s="151" t="s">
        <v>4261</v>
      </c>
      <c r="C2144" s="90" t="s">
        <v>1231</v>
      </c>
      <c r="D2144" s="90" t="s">
        <v>3346</v>
      </c>
      <c r="E2144" s="90" t="str">
        <f>VLOOKUP(B2144&amp;C2144,Divipola!$C$2:$F$1138,4,FALSE)</f>
        <v>15507</v>
      </c>
      <c r="F2144" s="4"/>
      <c r="G2144" s="101"/>
      <c r="H2144" s="101"/>
      <c r="I2144" s="101"/>
      <c r="J2144" s="101">
        <v>1320</v>
      </c>
      <c r="K2144" s="101">
        <v>264</v>
      </c>
      <c r="L2144" s="101"/>
      <c r="M2144" s="101">
        <v>264</v>
      </c>
      <c r="N2144" s="101"/>
      <c r="O2144" s="101"/>
      <c r="P2144" s="101"/>
      <c r="Q2144" s="101"/>
      <c r="R2144" s="101"/>
      <c r="S2144" s="101"/>
      <c r="T2144" s="101">
        <v>3</v>
      </c>
      <c r="U2144" s="101"/>
      <c r="V2144" s="101"/>
      <c r="W2144" s="19"/>
      <c r="X2144" s="17"/>
      <c r="Y2144" s="5">
        <f t="shared" si="208"/>
        <v>15369768</v>
      </c>
      <c r="Z2144" s="5">
        <f t="shared" si="209"/>
        <v>8500000</v>
      </c>
      <c r="AA2144" s="5">
        <f t="shared" si="210"/>
        <v>12072393.76</v>
      </c>
      <c r="AB2144" s="5">
        <f t="shared" si="211"/>
        <v>0</v>
      </c>
      <c r="AC2144" s="159">
        <f>14*149999.6+14*47560</f>
        <v>2765834.4</v>
      </c>
      <c r="AD2144" s="5">
        <v>0</v>
      </c>
      <c r="AE2144" s="5">
        <f t="shared" si="212"/>
        <v>38707996.159999996</v>
      </c>
      <c r="AF2144" s="70">
        <v>0</v>
      </c>
      <c r="AG2144" s="17"/>
      <c r="AH2144" s="18"/>
      <c r="AI2144" s="47" t="s">
        <v>4346</v>
      </c>
      <c r="AJ2144" s="73" t="s">
        <v>4347</v>
      </c>
      <c r="AK2144" s="45"/>
      <c r="AL2144" s="17"/>
      <c r="AM2144" s="121" t="s">
        <v>4930</v>
      </c>
      <c r="AN2144" s="19"/>
      <c r="AO2144" s="19"/>
      <c r="AP2144" s="19"/>
      <c r="AQ2144" s="19"/>
      <c r="AR2144" s="19"/>
      <c r="AS2144" s="19"/>
      <c r="AT2144" s="19"/>
      <c r="AU2144" s="19"/>
      <c r="AV2144" s="19"/>
      <c r="AW2144" s="19"/>
      <c r="AX2144" s="19"/>
      <c r="AY2144" s="19"/>
      <c r="AZ2144" s="19">
        <v>100</v>
      </c>
      <c r="BA2144" s="19">
        <f>100*55999</f>
        <v>5599900</v>
      </c>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39"/>
      <c r="CE2144" s="138"/>
      <c r="CF2144" s="139"/>
      <c r="CG2144" s="138"/>
      <c r="CH2144" s="139"/>
      <c r="CI2144" s="138"/>
      <c r="CJ2144" s="72">
        <v>100</v>
      </c>
      <c r="CK2144" s="139">
        <f>100*20999.48</f>
        <v>2099948</v>
      </c>
      <c r="CL2144" s="71"/>
      <c r="CM2144" s="139"/>
      <c r="CN2144" s="138"/>
      <c r="CO2144" s="138"/>
      <c r="CP2144" s="138">
        <v>100</v>
      </c>
      <c r="CQ2144" s="139">
        <f>100*36999.36</f>
        <v>3699936</v>
      </c>
      <c r="CR2144" s="138">
        <v>100</v>
      </c>
      <c r="CS2144" s="45">
        <f>100*39699.84</f>
        <v>3969983.9999999995</v>
      </c>
      <c r="CT2144" s="138"/>
      <c r="CU2144" s="45"/>
      <c r="CV2144" s="99">
        <f t="shared" si="213"/>
        <v>15369768</v>
      </c>
      <c r="CW2144" s="139"/>
      <c r="CX2144" s="138"/>
      <c r="CY2144" s="138">
        <v>100</v>
      </c>
      <c r="CZ2144" s="138">
        <f>100*85000</f>
        <v>8500000</v>
      </c>
      <c r="DA2144" s="139"/>
      <c r="DB2144" s="138"/>
      <c r="DC2144" s="45">
        <v>491</v>
      </c>
      <c r="DD2144" s="138">
        <f>491*22499.36+2946*348</f>
        <v>12072393.76</v>
      </c>
      <c r="DE2144" s="45"/>
      <c r="DF2144" s="46"/>
    </row>
    <row r="2145" spans="1:110" s="42" customFormat="1" ht="72" x14ac:dyDescent="0.2">
      <c r="A2145" s="89">
        <v>40814</v>
      </c>
      <c r="B2145" s="16" t="s">
        <v>4219</v>
      </c>
      <c r="C2145" s="16" t="s">
        <v>3242</v>
      </c>
      <c r="D2145" s="90" t="s">
        <v>4264</v>
      </c>
      <c r="E2145" s="90" t="str">
        <f>VLOOKUP(B2145&amp;C2145,Divipola!$C$2:$F$1138,4,FALSE)</f>
        <v>41801</v>
      </c>
      <c r="F2145" s="4"/>
      <c r="G2145" s="208"/>
      <c r="H2145" s="208"/>
      <c r="I2145" s="208"/>
      <c r="J2145" s="208"/>
      <c r="K2145" s="208"/>
      <c r="L2145" s="208"/>
      <c r="M2145" s="208"/>
      <c r="N2145" s="208"/>
      <c r="O2145" s="208"/>
      <c r="P2145" s="208"/>
      <c r="Q2145" s="208"/>
      <c r="R2145" s="208"/>
      <c r="S2145" s="208"/>
      <c r="T2145" s="208"/>
      <c r="U2145" s="208"/>
      <c r="V2145" s="208"/>
      <c r="W2145" s="19"/>
      <c r="X2145" s="17"/>
      <c r="Y2145" s="5">
        <f t="shared" si="208"/>
        <v>0</v>
      </c>
      <c r="Z2145" s="5">
        <f t="shared" si="209"/>
        <v>0</v>
      </c>
      <c r="AA2145" s="5">
        <f t="shared" si="210"/>
        <v>0</v>
      </c>
      <c r="AB2145" s="5">
        <f t="shared" si="211"/>
        <v>0</v>
      </c>
      <c r="AC2145" s="5"/>
      <c r="AD2145" s="5">
        <v>152416446</v>
      </c>
      <c r="AE2145" s="5">
        <f t="shared" si="212"/>
        <v>152416446</v>
      </c>
      <c r="AF2145" s="70">
        <v>0</v>
      </c>
      <c r="AG2145" s="17"/>
      <c r="AH2145" s="18"/>
      <c r="AI2145" s="47" t="s">
        <v>4346</v>
      </c>
      <c r="AJ2145" s="73" t="s">
        <v>4347</v>
      </c>
      <c r="AK2145" s="45"/>
      <c r="AL2145" s="17"/>
      <c r="AM2145" s="20" t="s">
        <v>4574</v>
      </c>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39"/>
      <c r="CE2145" s="138"/>
      <c r="CF2145" s="139"/>
      <c r="CG2145" s="138"/>
      <c r="CH2145" s="139"/>
      <c r="CI2145" s="138"/>
      <c r="CJ2145" s="72"/>
      <c r="CK2145" s="139"/>
      <c r="CL2145" s="71"/>
      <c r="CM2145" s="139"/>
      <c r="CN2145" s="138"/>
      <c r="CO2145" s="138"/>
      <c r="CP2145" s="138"/>
      <c r="CQ2145" s="139"/>
      <c r="CR2145" s="138"/>
      <c r="CS2145" s="45"/>
      <c r="CT2145" s="138"/>
      <c r="CU2145" s="45"/>
      <c r="CV2145" s="99">
        <f t="shared" si="213"/>
        <v>0</v>
      </c>
      <c r="CW2145" s="139"/>
      <c r="CX2145" s="138"/>
      <c r="CY2145" s="138"/>
      <c r="CZ2145" s="138"/>
      <c r="DA2145" s="139"/>
      <c r="DB2145" s="138"/>
      <c r="DC2145" s="45"/>
      <c r="DD2145" s="138"/>
      <c r="DE2145" s="45"/>
      <c r="DF2145" s="46"/>
    </row>
    <row r="2146" spans="1:110" s="42" customFormat="1" ht="84" x14ac:dyDescent="0.2">
      <c r="A2146" s="89">
        <v>40814</v>
      </c>
      <c r="B2146" s="16" t="s">
        <v>4221</v>
      </c>
      <c r="C2146" s="16" t="s">
        <v>580</v>
      </c>
      <c r="D2146" s="90" t="s">
        <v>4264</v>
      </c>
      <c r="E2146" s="90" t="str">
        <f>VLOOKUP(B2146&amp;C2146,Divipola!$C$2:$F$1138,4,FALSE)</f>
        <v>54743</v>
      </c>
      <c r="F2146" s="4"/>
      <c r="G2146" s="208"/>
      <c r="H2146" s="208"/>
      <c r="I2146" s="208"/>
      <c r="J2146" s="208"/>
      <c r="K2146" s="208"/>
      <c r="L2146" s="208"/>
      <c r="M2146" s="208"/>
      <c r="N2146" s="208"/>
      <c r="O2146" s="208"/>
      <c r="P2146" s="208"/>
      <c r="Q2146" s="208"/>
      <c r="R2146" s="208"/>
      <c r="S2146" s="208"/>
      <c r="T2146" s="208"/>
      <c r="U2146" s="208"/>
      <c r="V2146" s="208"/>
      <c r="W2146" s="19"/>
      <c r="X2146" s="17"/>
      <c r="Y2146" s="5">
        <f t="shared" si="208"/>
        <v>0</v>
      </c>
      <c r="Z2146" s="5">
        <f t="shared" si="209"/>
        <v>0</v>
      </c>
      <c r="AA2146" s="5">
        <f t="shared" si="210"/>
        <v>20935401.600000001</v>
      </c>
      <c r="AB2146" s="5">
        <f t="shared" si="211"/>
        <v>0</v>
      </c>
      <c r="AC2146" s="159">
        <f>4200*950+490*90319.92+10*186760+20*73080+20*71920+32*250560+60*18739.8+40*14800</f>
        <v>62748668.799999997</v>
      </c>
      <c r="AD2146" s="5">
        <v>0</v>
      </c>
      <c r="AE2146" s="5">
        <f t="shared" si="212"/>
        <v>83684070.400000006</v>
      </c>
      <c r="AF2146" s="70">
        <v>0</v>
      </c>
      <c r="AG2146" s="17"/>
      <c r="AH2146" s="18"/>
      <c r="AI2146" s="47" t="s">
        <v>4346</v>
      </c>
      <c r="AJ2146" s="73" t="s">
        <v>4347</v>
      </c>
      <c r="AK2146" s="45"/>
      <c r="AL2146" s="17"/>
      <c r="AM2146" s="154" t="s">
        <v>4590</v>
      </c>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39"/>
      <c r="CE2146" s="138"/>
      <c r="CF2146" s="139"/>
      <c r="CG2146" s="138"/>
      <c r="CH2146" s="139"/>
      <c r="CI2146" s="138"/>
      <c r="CJ2146" s="72"/>
      <c r="CK2146" s="139"/>
      <c r="CL2146" s="71"/>
      <c r="CM2146" s="139"/>
      <c r="CN2146" s="138"/>
      <c r="CO2146" s="138"/>
      <c r="CP2146" s="138"/>
      <c r="CQ2146" s="139"/>
      <c r="CR2146" s="138"/>
      <c r="CS2146" s="45"/>
      <c r="CT2146" s="138"/>
      <c r="CU2146" s="45"/>
      <c r="CV2146" s="99">
        <f t="shared" si="213"/>
        <v>0</v>
      </c>
      <c r="CW2146" s="139"/>
      <c r="CX2146" s="138"/>
      <c r="CY2146" s="138"/>
      <c r="CZ2146" s="138"/>
      <c r="DA2146" s="139">
        <v>480</v>
      </c>
      <c r="DB2146" s="138">
        <f>480*29738.92</f>
        <v>14274681.6</v>
      </c>
      <c r="DC2146" s="45">
        <v>60</v>
      </c>
      <c r="DD2146" s="138">
        <f>60*111012</f>
        <v>6660720</v>
      </c>
      <c r="DE2146" s="45"/>
      <c r="DF2146" s="46"/>
    </row>
    <row r="2147" spans="1:110" s="42" customFormat="1" ht="84" x14ac:dyDescent="0.2">
      <c r="A2147" s="89">
        <v>40815</v>
      </c>
      <c r="B2147" s="90" t="s">
        <v>2218</v>
      </c>
      <c r="C2147" s="90" t="s">
        <v>4345</v>
      </c>
      <c r="D2147" s="90" t="s">
        <v>4264</v>
      </c>
      <c r="E2147" s="90">
        <f>VLOOKUP(B2147&amp;C2147,Divipola!$C$2:$F$1138,4,FALSE)</f>
        <v>5</v>
      </c>
      <c r="F2147" s="4"/>
      <c r="G2147" s="208"/>
      <c r="H2147" s="208"/>
      <c r="I2147" s="208"/>
      <c r="J2147" s="208"/>
      <c r="K2147" s="208"/>
      <c r="L2147" s="208"/>
      <c r="M2147" s="208"/>
      <c r="N2147" s="208"/>
      <c r="O2147" s="208"/>
      <c r="P2147" s="208"/>
      <c r="Q2147" s="208"/>
      <c r="R2147" s="208"/>
      <c r="S2147" s="208"/>
      <c r="T2147" s="208"/>
      <c r="U2147" s="208"/>
      <c r="V2147" s="208"/>
      <c r="W2147" s="19"/>
      <c r="X2147" s="17"/>
      <c r="Y2147" s="5">
        <f t="shared" si="208"/>
        <v>0</v>
      </c>
      <c r="Z2147" s="5">
        <f t="shared" si="209"/>
        <v>85000000</v>
      </c>
      <c r="AA2147" s="5">
        <f t="shared" si="210"/>
        <v>83646440</v>
      </c>
      <c r="AB2147" s="5">
        <f t="shared" si="211"/>
        <v>0</v>
      </c>
      <c r="AC2147" s="5"/>
      <c r="AD2147" s="5">
        <v>500000000</v>
      </c>
      <c r="AE2147" s="5">
        <f t="shared" si="212"/>
        <v>668646440</v>
      </c>
      <c r="AF2147" s="70">
        <v>0</v>
      </c>
      <c r="AG2147" s="17"/>
      <c r="AH2147" s="18"/>
      <c r="AI2147" s="47" t="s">
        <v>4346</v>
      </c>
      <c r="AJ2147" s="73" t="s">
        <v>4347</v>
      </c>
      <c r="AK2147" s="45"/>
      <c r="AL2147" s="17"/>
      <c r="AM2147" s="20" t="s">
        <v>4648</v>
      </c>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39"/>
      <c r="CE2147" s="138"/>
      <c r="CF2147" s="139"/>
      <c r="CG2147" s="138"/>
      <c r="CH2147" s="139"/>
      <c r="CI2147" s="138"/>
      <c r="CJ2147" s="72"/>
      <c r="CK2147" s="139"/>
      <c r="CL2147" s="71"/>
      <c r="CM2147" s="139"/>
      <c r="CN2147" s="138"/>
      <c r="CO2147" s="138"/>
      <c r="CP2147" s="138"/>
      <c r="CQ2147" s="139"/>
      <c r="CR2147" s="138"/>
      <c r="CS2147" s="45"/>
      <c r="CT2147" s="138"/>
      <c r="CU2147" s="45"/>
      <c r="CV2147" s="99">
        <f t="shared" si="213"/>
        <v>0</v>
      </c>
      <c r="CW2147" s="139"/>
      <c r="CX2147" s="138"/>
      <c r="CY2147" s="138">
        <v>1000</v>
      </c>
      <c r="CZ2147" s="138">
        <f>1000*85000</f>
        <v>85000000</v>
      </c>
      <c r="DA2147" s="139"/>
      <c r="DB2147" s="138"/>
      <c r="DC2147" s="45">
        <f>2000+1000</f>
        <v>3000</v>
      </c>
      <c r="DD2147" s="138">
        <f>2000*23423.88+12000*150+2000*550+1000*33898.68</f>
        <v>83646440</v>
      </c>
      <c r="DE2147" s="45"/>
      <c r="DF2147" s="46"/>
    </row>
    <row r="2148" spans="1:110" s="42" customFormat="1" x14ac:dyDescent="0.2">
      <c r="A2148" s="89">
        <v>40815</v>
      </c>
      <c r="B2148" s="153" t="s">
        <v>3533</v>
      </c>
      <c r="C2148" s="4" t="s">
        <v>4235</v>
      </c>
      <c r="D2148" s="90" t="s">
        <v>4264</v>
      </c>
      <c r="E2148" s="90" t="str">
        <f>VLOOKUP(B2148&amp;C2148,Divipola!$C$2:$F$1138,4,FALSE)</f>
        <v>17380</v>
      </c>
      <c r="F2148" s="4"/>
      <c r="G2148" s="208"/>
      <c r="H2148" s="208"/>
      <c r="I2148" s="208"/>
      <c r="J2148" s="208"/>
      <c r="K2148" s="208"/>
      <c r="L2148" s="208"/>
      <c r="M2148" s="208"/>
      <c r="N2148" s="208"/>
      <c r="O2148" s="208"/>
      <c r="P2148" s="208"/>
      <c r="Q2148" s="208"/>
      <c r="R2148" s="208"/>
      <c r="S2148" s="208"/>
      <c r="T2148" s="208"/>
      <c r="U2148" s="208"/>
      <c r="V2148" s="208"/>
      <c r="W2148" s="19"/>
      <c r="X2148" s="17"/>
      <c r="Y2148" s="5">
        <f t="shared" si="208"/>
        <v>10000000</v>
      </c>
      <c r="Z2148" s="5">
        <f t="shared" si="209"/>
        <v>0</v>
      </c>
      <c r="AA2148" s="5">
        <f t="shared" si="210"/>
        <v>0</v>
      </c>
      <c r="AB2148" s="5">
        <f t="shared" si="211"/>
        <v>45500000</v>
      </c>
      <c r="AC2148" s="5"/>
      <c r="AD2148" s="5">
        <v>8096000</v>
      </c>
      <c r="AE2148" s="5">
        <f t="shared" si="212"/>
        <v>63596000</v>
      </c>
      <c r="AF2148" s="70">
        <v>0</v>
      </c>
      <c r="AG2148" s="17"/>
      <c r="AH2148" s="18"/>
      <c r="AI2148" s="47" t="s">
        <v>4346</v>
      </c>
      <c r="AJ2148" s="73" t="s">
        <v>4347</v>
      </c>
      <c r="AK2148" s="45"/>
      <c r="AL2148" s="17"/>
      <c r="AM2148" s="20" t="s">
        <v>4589</v>
      </c>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v>20</v>
      </c>
      <c r="CA2148" s="19">
        <f>20*500000</f>
        <v>10000000</v>
      </c>
      <c r="CB2148" s="19"/>
      <c r="CC2148" s="19"/>
      <c r="CD2148" s="139"/>
      <c r="CE2148" s="138"/>
      <c r="CF2148" s="139"/>
      <c r="CG2148" s="138"/>
      <c r="CH2148" s="139"/>
      <c r="CI2148" s="138"/>
      <c r="CJ2148" s="72"/>
      <c r="CK2148" s="139"/>
      <c r="CL2148" s="71"/>
      <c r="CM2148" s="139"/>
      <c r="CN2148" s="138"/>
      <c r="CO2148" s="138"/>
      <c r="CP2148" s="138"/>
      <c r="CQ2148" s="139"/>
      <c r="CR2148" s="138"/>
      <c r="CS2148" s="45"/>
      <c r="CT2148" s="138"/>
      <c r="CU2148" s="45"/>
      <c r="CV2148" s="99">
        <f t="shared" si="213"/>
        <v>10000000</v>
      </c>
      <c r="CW2148" s="139">
        <v>50000</v>
      </c>
      <c r="CX2148" s="138">
        <f>50000*910</f>
        <v>45500000</v>
      </c>
      <c r="CY2148" s="138"/>
      <c r="CZ2148" s="138"/>
      <c r="DA2148" s="139"/>
      <c r="DB2148" s="138"/>
      <c r="DC2148" s="45"/>
      <c r="DD2148" s="138"/>
      <c r="DE2148" s="45"/>
      <c r="DF2148" s="46"/>
    </row>
    <row r="2149" spans="1:110" s="42" customFormat="1" ht="60" x14ac:dyDescent="0.2">
      <c r="A2149" s="89">
        <v>40815</v>
      </c>
      <c r="B2149" s="151" t="s">
        <v>4344</v>
      </c>
      <c r="C2149" s="90" t="s">
        <v>1027</v>
      </c>
      <c r="D2149" s="90" t="s">
        <v>2865</v>
      </c>
      <c r="E2149" s="90" t="str">
        <f>VLOOKUP(B2149&amp;C2149,Divipola!$C$2:$F$1138,4,FALSE)</f>
        <v>25224</v>
      </c>
      <c r="F2149" s="4"/>
      <c r="G2149" s="208">
        <v>1</v>
      </c>
      <c r="H2149" s="208"/>
      <c r="I2149" s="208"/>
      <c r="J2149" s="208"/>
      <c r="K2149" s="208"/>
      <c r="L2149" s="208"/>
      <c r="M2149" s="208"/>
      <c r="N2149" s="208"/>
      <c r="O2149" s="208"/>
      <c r="P2149" s="208"/>
      <c r="Q2149" s="208"/>
      <c r="R2149" s="208"/>
      <c r="S2149" s="208"/>
      <c r="T2149" s="208"/>
      <c r="U2149" s="208"/>
      <c r="V2149" s="208"/>
      <c r="W2149" s="19"/>
      <c r="X2149" s="17"/>
      <c r="Y2149" s="5">
        <f t="shared" si="208"/>
        <v>0</v>
      </c>
      <c r="Z2149" s="5">
        <f t="shared" si="209"/>
        <v>0</v>
      </c>
      <c r="AA2149" s="5">
        <f t="shared" si="210"/>
        <v>0</v>
      </c>
      <c r="AB2149" s="5">
        <f t="shared" si="211"/>
        <v>0</v>
      </c>
      <c r="AC2149" s="5"/>
      <c r="AD2149" s="5">
        <v>0</v>
      </c>
      <c r="AE2149" s="5">
        <f t="shared" si="212"/>
        <v>0</v>
      </c>
      <c r="AF2149" s="70">
        <v>0</v>
      </c>
      <c r="AG2149" s="17"/>
      <c r="AH2149" s="18"/>
      <c r="AI2149" s="47" t="s">
        <v>4336</v>
      </c>
      <c r="AJ2149" s="73" t="s">
        <v>4337</v>
      </c>
      <c r="AK2149" s="45"/>
      <c r="AL2149" s="17"/>
      <c r="AM2149" s="121" t="s">
        <v>4588</v>
      </c>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39"/>
      <c r="CE2149" s="138"/>
      <c r="CF2149" s="139"/>
      <c r="CG2149" s="138"/>
      <c r="CH2149" s="139"/>
      <c r="CI2149" s="138"/>
      <c r="CJ2149" s="72"/>
      <c r="CK2149" s="139"/>
      <c r="CL2149" s="71"/>
      <c r="CM2149" s="139"/>
      <c r="CN2149" s="138"/>
      <c r="CO2149" s="138"/>
      <c r="CP2149" s="138"/>
      <c r="CQ2149" s="139"/>
      <c r="CR2149" s="138"/>
      <c r="CS2149" s="45"/>
      <c r="CT2149" s="138"/>
      <c r="CU2149" s="45"/>
      <c r="CV2149" s="99">
        <f t="shared" si="213"/>
        <v>0</v>
      </c>
      <c r="CW2149" s="139"/>
      <c r="CX2149" s="138"/>
      <c r="CY2149" s="138"/>
      <c r="CZ2149" s="138"/>
      <c r="DA2149" s="139"/>
      <c r="DB2149" s="138"/>
      <c r="DC2149" s="45"/>
      <c r="DD2149" s="138"/>
      <c r="DE2149" s="45"/>
      <c r="DF2149" s="46"/>
    </row>
    <row r="2150" spans="1:110" s="42" customFormat="1" ht="48" x14ac:dyDescent="0.2">
      <c r="A2150" s="89">
        <v>40815</v>
      </c>
      <c r="B2150" s="151" t="s">
        <v>4350</v>
      </c>
      <c r="C2150" s="90" t="s">
        <v>3507</v>
      </c>
      <c r="D2150" s="90" t="s">
        <v>3346</v>
      </c>
      <c r="E2150" s="90" t="str">
        <f>VLOOKUP(B2150&amp;C2150,Divipola!$C$2:$F$1138,4,FALSE)</f>
        <v>63470</v>
      </c>
      <c r="F2150" s="4"/>
      <c r="G2150" s="101"/>
      <c r="H2150" s="101"/>
      <c r="I2150" s="101"/>
      <c r="J2150" s="101">
        <v>68</v>
      </c>
      <c r="K2150" s="101">
        <v>14</v>
      </c>
      <c r="L2150" s="101"/>
      <c r="M2150" s="101">
        <v>14</v>
      </c>
      <c r="N2150" s="101"/>
      <c r="O2150" s="101"/>
      <c r="P2150" s="101"/>
      <c r="Q2150" s="101"/>
      <c r="R2150" s="101"/>
      <c r="S2150" s="101"/>
      <c r="T2150" s="101"/>
      <c r="U2150" s="101"/>
      <c r="V2150" s="101"/>
      <c r="W2150" s="19"/>
      <c r="X2150" s="17"/>
      <c r="Y2150" s="5">
        <f t="shared" si="208"/>
        <v>1240000</v>
      </c>
      <c r="Z2150" s="5">
        <f t="shared" si="209"/>
        <v>0</v>
      </c>
      <c r="AA2150" s="5">
        <f t="shared" si="210"/>
        <v>6870000</v>
      </c>
      <c r="AB2150" s="5">
        <f t="shared" si="211"/>
        <v>0</v>
      </c>
      <c r="AC2150" s="5"/>
      <c r="AD2150" s="5">
        <v>0</v>
      </c>
      <c r="AE2150" s="5">
        <f t="shared" si="212"/>
        <v>8110000</v>
      </c>
      <c r="AF2150" s="70">
        <v>0</v>
      </c>
      <c r="AG2150" s="17"/>
      <c r="AH2150" s="18"/>
      <c r="AI2150" s="109" t="s">
        <v>4346</v>
      </c>
      <c r="AJ2150" s="110" t="s">
        <v>4347</v>
      </c>
      <c r="AK2150" s="45"/>
      <c r="AL2150" s="17"/>
      <c r="AM2150" s="121" t="s">
        <v>4594</v>
      </c>
      <c r="AN2150" s="19"/>
      <c r="AO2150" s="19"/>
      <c r="AP2150" s="19"/>
      <c r="AQ2150" s="19"/>
      <c r="AR2150" s="19"/>
      <c r="AS2150" s="19"/>
      <c r="AT2150" s="19"/>
      <c r="AU2150" s="19"/>
      <c r="AV2150" s="19"/>
      <c r="AW2150" s="19"/>
      <c r="AX2150" s="19"/>
      <c r="AY2150" s="19"/>
      <c r="AZ2150" s="19">
        <v>16</v>
      </c>
      <c r="BA2150" s="19">
        <f>16*56000</f>
        <v>896000</v>
      </c>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39"/>
      <c r="CE2150" s="138"/>
      <c r="CF2150" s="139"/>
      <c r="CG2150" s="138"/>
      <c r="CH2150" s="139"/>
      <c r="CI2150" s="138"/>
      <c r="CJ2150" s="72">
        <v>16</v>
      </c>
      <c r="CK2150" s="139">
        <f>16*21500</f>
        <v>344000</v>
      </c>
      <c r="CL2150" s="71"/>
      <c r="CM2150" s="139"/>
      <c r="CN2150" s="138"/>
      <c r="CO2150" s="138"/>
      <c r="CP2150" s="138"/>
      <c r="CQ2150" s="139"/>
      <c r="CR2150" s="138"/>
      <c r="CS2150" s="45"/>
      <c r="CT2150" s="138"/>
      <c r="CU2150" s="45"/>
      <c r="CV2150" s="99">
        <f t="shared" si="213"/>
        <v>1240000</v>
      </c>
      <c r="CW2150" s="139"/>
      <c r="CX2150" s="138"/>
      <c r="CY2150" s="138"/>
      <c r="CZ2150" s="138"/>
      <c r="DA2150" s="139"/>
      <c r="DB2150" s="138"/>
      <c r="DC2150" s="45">
        <f>276+20</f>
        <v>296</v>
      </c>
      <c r="DD2150" s="138">
        <f>276*22500+20*33000</f>
        <v>6870000</v>
      </c>
      <c r="DE2150" s="45"/>
      <c r="DF2150" s="46"/>
    </row>
    <row r="2151" spans="1:110" s="42" customFormat="1" ht="36" x14ac:dyDescent="0.2">
      <c r="A2151" s="89">
        <v>40815</v>
      </c>
      <c r="B2151" s="196" t="s">
        <v>4348</v>
      </c>
      <c r="C2151" s="197" t="s">
        <v>3553</v>
      </c>
      <c r="D2151" s="197" t="s">
        <v>3346</v>
      </c>
      <c r="E2151" s="90" t="str">
        <f>VLOOKUP(B2151&amp;C2151,Divipola!$C$2:$F$1138,4,FALSE)</f>
        <v>66075</v>
      </c>
      <c r="F2151" s="4"/>
      <c r="G2151" s="194"/>
      <c r="H2151" s="194"/>
      <c r="I2151" s="194"/>
      <c r="J2151" s="194">
        <v>4</v>
      </c>
      <c r="K2151" s="194">
        <v>1</v>
      </c>
      <c r="L2151" s="194">
        <v>1</v>
      </c>
      <c r="M2151" s="194"/>
      <c r="N2151" s="194"/>
      <c r="O2151" s="194"/>
      <c r="P2151" s="194"/>
      <c r="Q2151" s="194"/>
      <c r="R2151" s="194"/>
      <c r="S2151" s="194"/>
      <c r="T2151" s="194"/>
      <c r="U2151" s="194"/>
      <c r="V2151" s="194"/>
      <c r="W2151" s="19"/>
      <c r="X2151" s="17"/>
      <c r="Y2151" s="5">
        <f t="shared" si="208"/>
        <v>0</v>
      </c>
      <c r="Z2151" s="5">
        <f t="shared" si="209"/>
        <v>0</v>
      </c>
      <c r="AA2151" s="5">
        <f t="shared" si="210"/>
        <v>0</v>
      </c>
      <c r="AB2151" s="5">
        <f t="shared" si="211"/>
        <v>0</v>
      </c>
      <c r="AC2151" s="5"/>
      <c r="AD2151" s="5">
        <v>0</v>
      </c>
      <c r="AE2151" s="5">
        <f t="shared" si="212"/>
        <v>0</v>
      </c>
      <c r="AF2151" s="70">
        <v>0</v>
      </c>
      <c r="AG2151" s="17"/>
      <c r="AH2151" s="18"/>
      <c r="AI2151" s="47" t="s">
        <v>4336</v>
      </c>
      <c r="AJ2151" s="73" t="s">
        <v>4337</v>
      </c>
      <c r="AK2151" s="45"/>
      <c r="AL2151" s="17"/>
      <c r="AM2151" s="195" t="s">
        <v>4886</v>
      </c>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39"/>
      <c r="CE2151" s="138"/>
      <c r="CF2151" s="139"/>
      <c r="CG2151" s="138"/>
      <c r="CH2151" s="139"/>
      <c r="CI2151" s="138"/>
      <c r="CJ2151" s="72"/>
      <c r="CK2151" s="139"/>
      <c r="CL2151" s="71"/>
      <c r="CM2151" s="139"/>
      <c r="CN2151" s="138"/>
      <c r="CO2151" s="138"/>
      <c r="CP2151" s="138"/>
      <c r="CQ2151" s="139"/>
      <c r="CR2151" s="138"/>
      <c r="CS2151" s="45"/>
      <c r="CT2151" s="138"/>
      <c r="CU2151" s="45"/>
      <c r="CV2151" s="99">
        <f t="shared" si="213"/>
        <v>0</v>
      </c>
      <c r="CW2151" s="139"/>
      <c r="CX2151" s="138"/>
      <c r="CY2151" s="138"/>
      <c r="CZ2151" s="138"/>
      <c r="DA2151" s="139"/>
      <c r="DB2151" s="138"/>
      <c r="DC2151" s="45"/>
      <c r="DD2151" s="138"/>
      <c r="DE2151" s="45"/>
      <c r="DF2151" s="46"/>
    </row>
    <row r="2152" spans="1:110" s="42" customFormat="1" ht="60" x14ac:dyDescent="0.2">
      <c r="A2152" s="89">
        <v>40816</v>
      </c>
      <c r="B2152" s="151" t="s">
        <v>2218</v>
      </c>
      <c r="C2152" s="90" t="s">
        <v>4003</v>
      </c>
      <c r="D2152" s="90" t="s">
        <v>3346</v>
      </c>
      <c r="E2152" s="90" t="str">
        <f>VLOOKUP(B2152&amp;C2152,Divipola!$C$2:$F$1138,4,FALSE)</f>
        <v>05604</v>
      </c>
      <c r="F2152" s="4"/>
      <c r="G2152" s="101"/>
      <c r="H2152" s="101"/>
      <c r="I2152" s="101"/>
      <c r="J2152" s="101">
        <v>50</v>
      </c>
      <c r="K2152" s="101">
        <v>10</v>
      </c>
      <c r="L2152" s="101"/>
      <c r="M2152" s="101">
        <v>10</v>
      </c>
      <c r="N2152" s="101"/>
      <c r="O2152" s="101"/>
      <c r="P2152" s="101"/>
      <c r="Q2152" s="101"/>
      <c r="R2152" s="101"/>
      <c r="S2152" s="101"/>
      <c r="T2152" s="101"/>
      <c r="U2152" s="101"/>
      <c r="V2152" s="101"/>
      <c r="W2152" s="19"/>
      <c r="X2152" s="17"/>
      <c r="Y2152" s="5">
        <f t="shared" si="208"/>
        <v>0</v>
      </c>
      <c r="Z2152" s="5">
        <f t="shared" si="209"/>
        <v>0</v>
      </c>
      <c r="AA2152" s="5">
        <f t="shared" si="210"/>
        <v>0</v>
      </c>
      <c r="AB2152" s="5">
        <f t="shared" si="211"/>
        <v>0</v>
      </c>
      <c r="AC2152" s="5"/>
      <c r="AD2152" s="5">
        <v>0</v>
      </c>
      <c r="AE2152" s="5">
        <f t="shared" si="212"/>
        <v>0</v>
      </c>
      <c r="AF2152" s="70">
        <v>0</v>
      </c>
      <c r="AG2152" s="17"/>
      <c r="AH2152" s="18"/>
      <c r="AI2152" s="47" t="s">
        <v>4336</v>
      </c>
      <c r="AJ2152" s="73" t="s">
        <v>4337</v>
      </c>
      <c r="AK2152" s="45"/>
      <c r="AL2152" s="17"/>
      <c r="AM2152" s="121" t="s">
        <v>4595</v>
      </c>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39"/>
      <c r="CE2152" s="138"/>
      <c r="CF2152" s="139"/>
      <c r="CG2152" s="138"/>
      <c r="CH2152" s="139"/>
      <c r="CI2152" s="138"/>
      <c r="CJ2152" s="72"/>
      <c r="CK2152" s="139"/>
      <c r="CL2152" s="71"/>
      <c r="CM2152" s="139"/>
      <c r="CN2152" s="138"/>
      <c r="CO2152" s="138"/>
      <c r="CP2152" s="138"/>
      <c r="CQ2152" s="139"/>
      <c r="CR2152" s="138"/>
      <c r="CS2152" s="45"/>
      <c r="CT2152" s="138"/>
      <c r="CU2152" s="45"/>
      <c r="CV2152" s="99">
        <f t="shared" si="213"/>
        <v>0</v>
      </c>
      <c r="CW2152" s="139"/>
      <c r="CX2152" s="138"/>
      <c r="CY2152" s="138"/>
      <c r="CZ2152" s="138"/>
      <c r="DA2152" s="139"/>
      <c r="DB2152" s="138"/>
      <c r="DC2152" s="45"/>
      <c r="DD2152" s="138"/>
      <c r="DE2152" s="45"/>
      <c r="DF2152" s="46"/>
    </row>
    <row r="2153" spans="1:110" s="42" customFormat="1" ht="48" x14ac:dyDescent="0.2">
      <c r="A2153" s="89">
        <v>40816</v>
      </c>
      <c r="B2153" s="151" t="s">
        <v>3533</v>
      </c>
      <c r="C2153" s="90" t="s">
        <v>4235</v>
      </c>
      <c r="D2153" s="90" t="s">
        <v>3346</v>
      </c>
      <c r="E2153" s="90" t="str">
        <f>VLOOKUP(B2153&amp;C2153,Divipola!$C$2:$F$1138,4,FALSE)</f>
        <v>17380</v>
      </c>
      <c r="F2153" s="4"/>
      <c r="G2153" s="101"/>
      <c r="H2153" s="101"/>
      <c r="I2153" s="101"/>
      <c r="J2153" s="101">
        <v>295</v>
      </c>
      <c r="K2153" s="101">
        <v>59</v>
      </c>
      <c r="L2153" s="101"/>
      <c r="M2153" s="101">
        <v>59</v>
      </c>
      <c r="N2153" s="101"/>
      <c r="O2153" s="101"/>
      <c r="P2153" s="101"/>
      <c r="Q2153" s="101"/>
      <c r="R2153" s="101"/>
      <c r="S2153" s="101"/>
      <c r="T2153" s="101"/>
      <c r="U2153" s="101"/>
      <c r="V2153" s="101"/>
      <c r="W2153" s="19"/>
      <c r="X2153" s="17"/>
      <c r="Y2153" s="5">
        <f t="shared" si="208"/>
        <v>0</v>
      </c>
      <c r="Z2153" s="5">
        <f t="shared" si="209"/>
        <v>0</v>
      </c>
      <c r="AA2153" s="5">
        <f t="shared" si="210"/>
        <v>26660000</v>
      </c>
      <c r="AB2153" s="5">
        <f t="shared" si="211"/>
        <v>0</v>
      </c>
      <c r="AC2153" s="5"/>
      <c r="AD2153" s="5">
        <v>0</v>
      </c>
      <c r="AE2153" s="5">
        <f t="shared" si="212"/>
        <v>26660000</v>
      </c>
      <c r="AF2153" s="70">
        <v>0</v>
      </c>
      <c r="AG2153" s="17"/>
      <c r="AH2153" s="18"/>
      <c r="AI2153" s="47" t="s">
        <v>4346</v>
      </c>
      <c r="AJ2153" s="73" t="s">
        <v>4347</v>
      </c>
      <c r="AK2153" s="45"/>
      <c r="AL2153" s="17"/>
      <c r="AM2153" s="121" t="s">
        <v>4603</v>
      </c>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39"/>
      <c r="CE2153" s="138"/>
      <c r="CF2153" s="139"/>
      <c r="CG2153" s="138"/>
      <c r="CH2153" s="139"/>
      <c r="CI2153" s="138"/>
      <c r="CJ2153" s="72"/>
      <c r="CK2153" s="139"/>
      <c r="CL2153" s="71"/>
      <c r="CM2153" s="139"/>
      <c r="CN2153" s="138"/>
      <c r="CO2153" s="138"/>
      <c r="CP2153" s="138"/>
      <c r="CQ2153" s="139"/>
      <c r="CR2153" s="138"/>
      <c r="CS2153" s="45"/>
      <c r="CT2153" s="138"/>
      <c r="CU2153" s="45"/>
      <c r="CV2153" s="99">
        <f t="shared" si="213"/>
        <v>0</v>
      </c>
      <c r="CW2153" s="139"/>
      <c r="CX2153" s="138"/>
      <c r="CY2153" s="138"/>
      <c r="CZ2153" s="138"/>
      <c r="DA2153" s="139"/>
      <c r="DB2153" s="138"/>
      <c r="DC2153" s="45">
        <f>800+200</f>
        <v>1000</v>
      </c>
      <c r="DD2153" s="138">
        <f>800*22500+100*40600+100*46000</f>
        <v>26660000</v>
      </c>
      <c r="DE2153" s="45"/>
      <c r="DF2153" s="46"/>
    </row>
    <row r="2154" spans="1:110" s="42" customFormat="1" ht="72" x14ac:dyDescent="0.2">
      <c r="A2154" s="89">
        <v>40816</v>
      </c>
      <c r="B2154" s="151" t="s">
        <v>4344</v>
      </c>
      <c r="C2154" s="90" t="s">
        <v>3526</v>
      </c>
      <c r="D2154" s="90" t="s">
        <v>3346</v>
      </c>
      <c r="E2154" s="90" t="str">
        <f>VLOOKUP(B2154&amp;C2154,Divipola!$C$2:$F$1138,4,FALSE)</f>
        <v>25148</v>
      </c>
      <c r="F2154" s="4"/>
      <c r="G2154" s="101"/>
      <c r="H2154" s="101"/>
      <c r="I2154" s="101"/>
      <c r="J2154" s="101">
        <v>400</v>
      </c>
      <c r="K2154" s="101">
        <v>80</v>
      </c>
      <c r="L2154" s="101"/>
      <c r="M2154" s="101">
        <v>80</v>
      </c>
      <c r="N2154" s="101"/>
      <c r="O2154" s="101"/>
      <c r="P2154" s="101"/>
      <c r="Q2154" s="101"/>
      <c r="R2154" s="101"/>
      <c r="S2154" s="101"/>
      <c r="T2154" s="101"/>
      <c r="U2154" s="101"/>
      <c r="V2154" s="101"/>
      <c r="W2154" s="19"/>
      <c r="X2154" s="17"/>
      <c r="Y2154" s="5">
        <f t="shared" si="208"/>
        <v>0</v>
      </c>
      <c r="Z2154" s="5">
        <f t="shared" si="209"/>
        <v>0</v>
      </c>
      <c r="AA2154" s="5">
        <f t="shared" si="210"/>
        <v>0</v>
      </c>
      <c r="AB2154" s="5">
        <f t="shared" si="211"/>
        <v>0</v>
      </c>
      <c r="AC2154" s="5"/>
      <c r="AD2154" s="5">
        <v>0</v>
      </c>
      <c r="AE2154" s="5">
        <f t="shared" si="212"/>
        <v>0</v>
      </c>
      <c r="AF2154" s="70">
        <v>0</v>
      </c>
      <c r="AG2154" s="17"/>
      <c r="AH2154" s="18"/>
      <c r="AI2154" s="47" t="s">
        <v>4336</v>
      </c>
      <c r="AJ2154" s="73" t="s">
        <v>4337</v>
      </c>
      <c r="AK2154" s="45"/>
      <c r="AL2154" s="17"/>
      <c r="AM2154" s="121" t="s">
        <v>4602</v>
      </c>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39"/>
      <c r="CE2154" s="138"/>
      <c r="CF2154" s="139"/>
      <c r="CG2154" s="138"/>
      <c r="CH2154" s="139"/>
      <c r="CI2154" s="138"/>
      <c r="CJ2154" s="72"/>
      <c r="CK2154" s="139"/>
      <c r="CL2154" s="71"/>
      <c r="CM2154" s="139"/>
      <c r="CN2154" s="138"/>
      <c r="CO2154" s="138"/>
      <c r="CP2154" s="138"/>
      <c r="CQ2154" s="139"/>
      <c r="CR2154" s="138"/>
      <c r="CS2154" s="45"/>
      <c r="CT2154" s="138"/>
      <c r="CU2154" s="45"/>
      <c r="CV2154" s="99">
        <f t="shared" si="213"/>
        <v>0</v>
      </c>
      <c r="CW2154" s="139"/>
      <c r="CX2154" s="138"/>
      <c r="CY2154" s="138"/>
      <c r="CZ2154" s="138"/>
      <c r="DA2154" s="139"/>
      <c r="DB2154" s="138"/>
      <c r="DC2154" s="45"/>
      <c r="DD2154" s="138"/>
      <c r="DE2154" s="45"/>
      <c r="DF2154" s="46"/>
    </row>
    <row r="2155" spans="1:110" s="42" customFormat="1" ht="84" x14ac:dyDescent="0.2">
      <c r="A2155" s="89">
        <v>40816</v>
      </c>
      <c r="B2155" s="151" t="s">
        <v>4344</v>
      </c>
      <c r="C2155" s="90" t="s">
        <v>1776</v>
      </c>
      <c r="D2155" s="90" t="s">
        <v>3346</v>
      </c>
      <c r="E2155" s="90" t="str">
        <f>VLOOKUP(B2155&amp;C2155,Divipola!$C$2:$F$1138,4,FALSE)</f>
        <v>25572</v>
      </c>
      <c r="F2155" s="4"/>
      <c r="G2155" s="101"/>
      <c r="H2155" s="101"/>
      <c r="I2155" s="101"/>
      <c r="J2155" s="101">
        <v>180</v>
      </c>
      <c r="K2155" s="101">
        <v>36</v>
      </c>
      <c r="L2155" s="101">
        <v>1</v>
      </c>
      <c r="M2155" s="101">
        <v>35</v>
      </c>
      <c r="N2155" s="101"/>
      <c r="O2155" s="101"/>
      <c r="P2155" s="101"/>
      <c r="Q2155" s="101"/>
      <c r="R2155" s="101"/>
      <c r="S2155" s="101"/>
      <c r="T2155" s="101"/>
      <c r="U2155" s="101"/>
      <c r="V2155" s="101"/>
      <c r="W2155" s="19"/>
      <c r="X2155" s="17"/>
      <c r="Y2155" s="5">
        <f t="shared" si="208"/>
        <v>0</v>
      </c>
      <c r="Z2155" s="5">
        <f t="shared" si="209"/>
        <v>0</v>
      </c>
      <c r="AA2155" s="5">
        <f t="shared" si="210"/>
        <v>0</v>
      </c>
      <c r="AB2155" s="5">
        <f t="shared" si="211"/>
        <v>0</v>
      </c>
      <c r="AC2155" s="5"/>
      <c r="AD2155" s="5">
        <v>0</v>
      </c>
      <c r="AE2155" s="5">
        <f t="shared" si="212"/>
        <v>0</v>
      </c>
      <c r="AF2155" s="70">
        <v>0</v>
      </c>
      <c r="AG2155" s="17"/>
      <c r="AH2155" s="18"/>
      <c r="AI2155" s="47" t="s">
        <v>4336</v>
      </c>
      <c r="AJ2155" s="73" t="s">
        <v>4337</v>
      </c>
      <c r="AK2155" s="45"/>
      <c r="AL2155" s="17"/>
      <c r="AM2155" s="121" t="s">
        <v>4601</v>
      </c>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39"/>
      <c r="CE2155" s="138"/>
      <c r="CF2155" s="139"/>
      <c r="CG2155" s="138"/>
      <c r="CH2155" s="139"/>
      <c r="CI2155" s="138"/>
      <c r="CJ2155" s="72"/>
      <c r="CK2155" s="139"/>
      <c r="CL2155" s="71"/>
      <c r="CM2155" s="139"/>
      <c r="CN2155" s="138"/>
      <c r="CO2155" s="138"/>
      <c r="CP2155" s="138"/>
      <c r="CQ2155" s="139"/>
      <c r="CR2155" s="138"/>
      <c r="CS2155" s="45"/>
      <c r="CT2155" s="138"/>
      <c r="CU2155" s="45"/>
      <c r="CV2155" s="99">
        <f t="shared" si="213"/>
        <v>0</v>
      </c>
      <c r="CW2155" s="139"/>
      <c r="CX2155" s="138"/>
      <c r="CY2155" s="138"/>
      <c r="CZ2155" s="138"/>
      <c r="DA2155" s="139"/>
      <c r="DB2155" s="138"/>
      <c r="DC2155" s="45"/>
      <c r="DD2155" s="138"/>
      <c r="DE2155" s="45"/>
      <c r="DF2155" s="46"/>
    </row>
    <row r="2156" spans="1:110" s="42" customFormat="1" ht="72" x14ac:dyDescent="0.2">
      <c r="A2156" s="89">
        <v>40816</v>
      </c>
      <c r="B2156" s="151" t="s">
        <v>874</v>
      </c>
      <c r="C2156" s="90" t="s">
        <v>710</v>
      </c>
      <c r="D2156" s="90" t="s">
        <v>3346</v>
      </c>
      <c r="E2156" s="90" t="str">
        <f>VLOOKUP(B2156&amp;C2156,Divipola!$C$2:$F$1138,4,FALSE)</f>
        <v>44090</v>
      </c>
      <c r="F2156" s="4"/>
      <c r="G2156" s="101"/>
      <c r="H2156" s="101"/>
      <c r="I2156" s="101"/>
      <c r="J2156" s="101">
        <v>2270</v>
      </c>
      <c r="K2156" s="101">
        <v>554</v>
      </c>
      <c r="L2156" s="101">
        <v>27</v>
      </c>
      <c r="M2156" s="101">
        <v>527</v>
      </c>
      <c r="N2156" s="101"/>
      <c r="O2156" s="101"/>
      <c r="P2156" s="101"/>
      <c r="Q2156" s="101"/>
      <c r="R2156" s="101"/>
      <c r="S2156" s="101"/>
      <c r="T2156" s="101"/>
      <c r="U2156" s="101"/>
      <c r="V2156" s="101"/>
      <c r="W2156" s="19"/>
      <c r="X2156" s="17"/>
      <c r="Y2156" s="5">
        <f t="shared" si="208"/>
        <v>0</v>
      </c>
      <c r="Z2156" s="5">
        <f t="shared" si="209"/>
        <v>0</v>
      </c>
      <c r="AA2156" s="5">
        <f t="shared" si="210"/>
        <v>0</v>
      </c>
      <c r="AB2156" s="5">
        <f t="shared" si="211"/>
        <v>0</v>
      </c>
      <c r="AC2156" s="5"/>
      <c r="AD2156" s="5">
        <v>0</v>
      </c>
      <c r="AE2156" s="5">
        <f t="shared" si="212"/>
        <v>0</v>
      </c>
      <c r="AF2156" s="70">
        <v>0</v>
      </c>
      <c r="AG2156" s="17"/>
      <c r="AH2156" s="18"/>
      <c r="AI2156" s="47" t="s">
        <v>4336</v>
      </c>
      <c r="AJ2156" s="73" t="s">
        <v>4337</v>
      </c>
      <c r="AK2156" s="45"/>
      <c r="AL2156" s="17"/>
      <c r="AM2156" s="121" t="s">
        <v>4619</v>
      </c>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39"/>
      <c r="CE2156" s="138"/>
      <c r="CF2156" s="139"/>
      <c r="CG2156" s="138"/>
      <c r="CH2156" s="139"/>
      <c r="CI2156" s="138"/>
      <c r="CJ2156" s="72"/>
      <c r="CK2156" s="139"/>
      <c r="CL2156" s="71"/>
      <c r="CM2156" s="139"/>
      <c r="CN2156" s="138"/>
      <c r="CO2156" s="138"/>
      <c r="CP2156" s="138"/>
      <c r="CQ2156" s="139"/>
      <c r="CR2156" s="138"/>
      <c r="CS2156" s="45"/>
      <c r="CT2156" s="138"/>
      <c r="CU2156" s="45"/>
      <c r="CV2156" s="99">
        <f t="shared" si="213"/>
        <v>0</v>
      </c>
      <c r="CW2156" s="139"/>
      <c r="CX2156" s="138"/>
      <c r="CY2156" s="138"/>
      <c r="CZ2156" s="138"/>
      <c r="DA2156" s="139"/>
      <c r="DB2156" s="138"/>
      <c r="DC2156" s="45"/>
      <c r="DD2156" s="138"/>
      <c r="DE2156" s="45"/>
      <c r="DF2156" s="46"/>
    </row>
    <row r="2157" spans="1:110" s="42" customFormat="1" ht="48" x14ac:dyDescent="0.2">
      <c r="A2157" s="89">
        <v>40816</v>
      </c>
      <c r="B2157" s="151" t="s">
        <v>4348</v>
      </c>
      <c r="C2157" s="90" t="s">
        <v>3342</v>
      </c>
      <c r="D2157" s="90" t="s">
        <v>3346</v>
      </c>
      <c r="E2157" s="90" t="str">
        <f>VLOOKUP(B2157&amp;C2157,Divipola!$C$2:$F$1138,4,FALSE)</f>
        <v>66383</v>
      </c>
      <c r="F2157" s="4"/>
      <c r="G2157" s="101"/>
      <c r="H2157" s="101"/>
      <c r="I2157" s="101"/>
      <c r="J2157" s="101">
        <v>15</v>
      </c>
      <c r="K2157" s="101">
        <v>3</v>
      </c>
      <c r="L2157" s="101"/>
      <c r="M2157" s="101">
        <v>3</v>
      </c>
      <c r="N2157" s="101"/>
      <c r="O2157" s="101"/>
      <c r="P2157" s="101"/>
      <c r="Q2157" s="101"/>
      <c r="R2157" s="101"/>
      <c r="S2157" s="101"/>
      <c r="T2157" s="101"/>
      <c r="U2157" s="101"/>
      <c r="V2157" s="101"/>
      <c r="W2157" s="19"/>
      <c r="X2157" s="17"/>
      <c r="Y2157" s="5">
        <f t="shared" si="208"/>
        <v>0</v>
      </c>
      <c r="Z2157" s="5">
        <f t="shared" si="209"/>
        <v>0</v>
      </c>
      <c r="AA2157" s="5">
        <f t="shared" si="210"/>
        <v>0</v>
      </c>
      <c r="AB2157" s="5">
        <f t="shared" si="211"/>
        <v>0</v>
      </c>
      <c r="AC2157" s="5"/>
      <c r="AD2157" s="5">
        <v>0</v>
      </c>
      <c r="AE2157" s="5">
        <f t="shared" si="212"/>
        <v>0</v>
      </c>
      <c r="AF2157" s="70">
        <v>0</v>
      </c>
      <c r="AG2157" s="17"/>
      <c r="AH2157" s="18"/>
      <c r="AI2157" s="47" t="s">
        <v>4336</v>
      </c>
      <c r="AJ2157" s="73" t="s">
        <v>4337</v>
      </c>
      <c r="AK2157" s="45"/>
      <c r="AL2157" s="17"/>
      <c r="AM2157" s="121" t="s">
        <v>4592</v>
      </c>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39"/>
      <c r="CE2157" s="138"/>
      <c r="CF2157" s="139"/>
      <c r="CG2157" s="138"/>
      <c r="CH2157" s="139"/>
      <c r="CI2157" s="138"/>
      <c r="CJ2157" s="72"/>
      <c r="CK2157" s="139"/>
      <c r="CL2157" s="71"/>
      <c r="CM2157" s="139"/>
      <c r="CN2157" s="138"/>
      <c r="CO2157" s="138"/>
      <c r="CP2157" s="138"/>
      <c r="CQ2157" s="139"/>
      <c r="CR2157" s="138"/>
      <c r="CS2157" s="45"/>
      <c r="CT2157" s="138"/>
      <c r="CU2157" s="45"/>
      <c r="CV2157" s="99">
        <f t="shared" si="213"/>
        <v>0</v>
      </c>
      <c r="CW2157" s="139"/>
      <c r="CX2157" s="138"/>
      <c r="CY2157" s="138"/>
      <c r="CZ2157" s="138"/>
      <c r="DA2157" s="139"/>
      <c r="DB2157" s="138"/>
      <c r="DC2157" s="45"/>
      <c r="DD2157" s="138"/>
      <c r="DE2157" s="45"/>
      <c r="DF2157" s="46"/>
    </row>
    <row r="2158" spans="1:110" s="42" customFormat="1" ht="84" x14ac:dyDescent="0.2">
      <c r="A2158" s="89">
        <v>40816</v>
      </c>
      <c r="B2158" s="151" t="s">
        <v>4219</v>
      </c>
      <c r="C2158" s="90" t="s">
        <v>3396</v>
      </c>
      <c r="D2158" s="90" t="s">
        <v>2362</v>
      </c>
      <c r="E2158" s="90" t="str">
        <f>VLOOKUP(B2158&amp;C2158,Divipola!$C$2:$F$1138,4,FALSE)</f>
        <v>41020</v>
      </c>
      <c r="F2158" s="4"/>
      <c r="G2158" s="101"/>
      <c r="H2158" s="101"/>
      <c r="I2158" s="101"/>
      <c r="J2158" s="101">
        <v>310</v>
      </c>
      <c r="K2158" s="101">
        <v>62</v>
      </c>
      <c r="L2158" s="101"/>
      <c r="M2158" s="101">
        <v>62</v>
      </c>
      <c r="N2158" s="101">
        <v>24</v>
      </c>
      <c r="O2158" s="101"/>
      <c r="P2158" s="101">
        <v>2</v>
      </c>
      <c r="Q2158" s="101">
        <v>8</v>
      </c>
      <c r="R2158" s="101">
        <v>1</v>
      </c>
      <c r="S2158" s="101"/>
      <c r="T2158" s="101"/>
      <c r="U2158" s="19"/>
      <c r="V2158" s="101">
        <v>166</v>
      </c>
      <c r="W2158" s="19"/>
      <c r="X2158" s="17"/>
      <c r="Y2158" s="5">
        <f t="shared" si="208"/>
        <v>0</v>
      </c>
      <c r="Z2158" s="5">
        <f t="shared" si="209"/>
        <v>0</v>
      </c>
      <c r="AA2158" s="5">
        <f t="shared" si="210"/>
        <v>0</v>
      </c>
      <c r="AB2158" s="5">
        <f t="shared" si="211"/>
        <v>0</v>
      </c>
      <c r="AC2158" s="5"/>
      <c r="AD2158" s="5">
        <v>0</v>
      </c>
      <c r="AE2158" s="5">
        <f t="shared" si="212"/>
        <v>0</v>
      </c>
      <c r="AF2158" s="70">
        <v>0</v>
      </c>
      <c r="AG2158" s="17"/>
      <c r="AH2158" s="18"/>
      <c r="AI2158" s="47" t="s">
        <v>4336</v>
      </c>
      <c r="AJ2158" s="73" t="s">
        <v>4337</v>
      </c>
      <c r="AK2158" s="45"/>
      <c r="AL2158" s="17"/>
      <c r="AM2158" s="121" t="s">
        <v>5494</v>
      </c>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39"/>
      <c r="CE2158" s="138"/>
      <c r="CF2158" s="139"/>
      <c r="CG2158" s="138"/>
      <c r="CH2158" s="139"/>
      <c r="CI2158" s="138"/>
      <c r="CJ2158" s="72"/>
      <c r="CK2158" s="139"/>
      <c r="CL2158" s="71"/>
      <c r="CM2158" s="139"/>
      <c r="CN2158" s="138"/>
      <c r="CO2158" s="138"/>
      <c r="CP2158" s="138"/>
      <c r="CQ2158" s="139"/>
      <c r="CR2158" s="138"/>
      <c r="CS2158" s="45"/>
      <c r="CT2158" s="138"/>
      <c r="CU2158" s="45"/>
      <c r="CV2158" s="99">
        <f t="shared" si="213"/>
        <v>0</v>
      </c>
      <c r="CW2158" s="139"/>
      <c r="CX2158" s="138"/>
      <c r="CY2158" s="138"/>
      <c r="CZ2158" s="138"/>
      <c r="DA2158" s="139"/>
      <c r="DB2158" s="138"/>
      <c r="DC2158" s="45"/>
      <c r="DD2158" s="138"/>
      <c r="DE2158" s="45"/>
      <c r="DF2158" s="46"/>
    </row>
    <row r="2159" spans="1:110" s="42" customFormat="1" x14ac:dyDescent="0.2">
      <c r="A2159" s="89">
        <v>40817</v>
      </c>
      <c r="B2159" s="16" t="s">
        <v>2218</v>
      </c>
      <c r="C2159" s="16" t="s">
        <v>3835</v>
      </c>
      <c r="D2159" s="90" t="s">
        <v>4264</v>
      </c>
      <c r="E2159" s="90" t="str">
        <f>VLOOKUP(B2159&amp;C2159,Divipola!$C$2:$F$1138,4,FALSE)</f>
        <v>05091</v>
      </c>
      <c r="F2159" s="4"/>
      <c r="G2159" s="208"/>
      <c r="H2159" s="208"/>
      <c r="I2159" s="208"/>
      <c r="J2159" s="208"/>
      <c r="K2159" s="208"/>
      <c r="L2159" s="208"/>
      <c r="M2159" s="208"/>
      <c r="N2159" s="208"/>
      <c r="O2159" s="208"/>
      <c r="P2159" s="208"/>
      <c r="Q2159" s="208"/>
      <c r="R2159" s="208"/>
      <c r="S2159" s="208"/>
      <c r="T2159" s="208"/>
      <c r="U2159" s="208"/>
      <c r="V2159" s="208"/>
      <c r="W2159" s="19"/>
      <c r="X2159" s="17"/>
      <c r="Y2159" s="5">
        <f t="shared" si="208"/>
        <v>0</v>
      </c>
      <c r="Z2159" s="5">
        <f t="shared" si="209"/>
        <v>0</v>
      </c>
      <c r="AA2159" s="5">
        <f t="shared" si="210"/>
        <v>0</v>
      </c>
      <c r="AB2159" s="5">
        <f t="shared" si="211"/>
        <v>0</v>
      </c>
      <c r="AC2159" s="5"/>
      <c r="AD2159" s="5">
        <v>0</v>
      </c>
      <c r="AE2159" s="5">
        <f t="shared" si="212"/>
        <v>0</v>
      </c>
      <c r="AF2159" s="70">
        <v>0</v>
      </c>
      <c r="AG2159" s="17"/>
      <c r="AH2159" s="18"/>
      <c r="AI2159" s="47" t="s">
        <v>4336</v>
      </c>
      <c r="AJ2159" s="73" t="s">
        <v>4337</v>
      </c>
      <c r="AK2159" s="45"/>
      <c r="AL2159" s="17"/>
      <c r="AM2159" s="20"/>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39"/>
      <c r="CE2159" s="138"/>
      <c r="CF2159" s="139"/>
      <c r="CG2159" s="138"/>
      <c r="CH2159" s="139"/>
      <c r="CI2159" s="138"/>
      <c r="CJ2159" s="72"/>
      <c r="CK2159" s="139"/>
      <c r="CL2159" s="71"/>
      <c r="CM2159" s="139"/>
      <c r="CN2159" s="138"/>
      <c r="CO2159" s="138"/>
      <c r="CP2159" s="138"/>
      <c r="CQ2159" s="139"/>
      <c r="CR2159" s="138"/>
      <c r="CS2159" s="45"/>
      <c r="CT2159" s="138"/>
      <c r="CU2159" s="45"/>
      <c r="CV2159" s="99">
        <f t="shared" si="213"/>
        <v>0</v>
      </c>
      <c r="CW2159" s="139"/>
      <c r="CX2159" s="138"/>
      <c r="CY2159" s="138"/>
      <c r="CZ2159" s="138"/>
      <c r="DA2159" s="139"/>
      <c r="DB2159" s="138"/>
      <c r="DC2159" s="45"/>
      <c r="DD2159" s="138"/>
      <c r="DE2159" s="45"/>
      <c r="DF2159" s="46"/>
    </row>
    <row r="2160" spans="1:110" s="42" customFormat="1" ht="36" x14ac:dyDescent="0.2">
      <c r="A2160" s="89">
        <v>40817</v>
      </c>
      <c r="B2160" s="16" t="s">
        <v>2218</v>
      </c>
      <c r="C2160" s="16" t="s">
        <v>3835</v>
      </c>
      <c r="D2160" s="90" t="s">
        <v>4264</v>
      </c>
      <c r="E2160" s="90" t="str">
        <f>VLOOKUP(B2160&amp;C2160,Divipola!$C$2:$F$1138,4,FALSE)</f>
        <v>05091</v>
      </c>
      <c r="F2160" s="4"/>
      <c r="G2160" s="208"/>
      <c r="H2160" s="208"/>
      <c r="I2160" s="208"/>
      <c r="J2160" s="208"/>
      <c r="K2160" s="208"/>
      <c r="L2160" s="208"/>
      <c r="M2160" s="208"/>
      <c r="N2160" s="208"/>
      <c r="O2160" s="208"/>
      <c r="P2160" s="208"/>
      <c r="Q2160" s="208"/>
      <c r="R2160" s="208"/>
      <c r="S2160" s="208"/>
      <c r="T2160" s="208"/>
      <c r="U2160" s="208"/>
      <c r="V2160" s="208"/>
      <c r="W2160" s="19"/>
      <c r="X2160" s="17"/>
      <c r="Y2160" s="5">
        <f t="shared" si="208"/>
        <v>0</v>
      </c>
      <c r="Z2160" s="5">
        <f t="shared" si="209"/>
        <v>0</v>
      </c>
      <c r="AA2160" s="5">
        <f t="shared" si="210"/>
        <v>0</v>
      </c>
      <c r="AB2160" s="5">
        <f t="shared" si="211"/>
        <v>0</v>
      </c>
      <c r="AC2160" s="5"/>
      <c r="AD2160" s="5">
        <v>15000000</v>
      </c>
      <c r="AE2160" s="5">
        <f t="shared" si="212"/>
        <v>15000000</v>
      </c>
      <c r="AF2160" s="70">
        <v>0</v>
      </c>
      <c r="AG2160" s="17"/>
      <c r="AH2160" s="18"/>
      <c r="AI2160" s="47" t="s">
        <v>4346</v>
      </c>
      <c r="AJ2160" s="73" t="s">
        <v>4347</v>
      </c>
      <c r="AK2160" s="45"/>
      <c r="AL2160" s="17"/>
      <c r="AM2160" s="20" t="s">
        <v>4822</v>
      </c>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39"/>
      <c r="CE2160" s="138"/>
      <c r="CF2160" s="139"/>
      <c r="CG2160" s="138"/>
      <c r="CH2160" s="139"/>
      <c r="CI2160" s="138"/>
      <c r="CJ2160" s="72"/>
      <c r="CK2160" s="139"/>
      <c r="CL2160" s="71"/>
      <c r="CM2160" s="139"/>
      <c r="CN2160" s="138"/>
      <c r="CO2160" s="138"/>
      <c r="CP2160" s="138"/>
      <c r="CQ2160" s="139"/>
      <c r="CR2160" s="138"/>
      <c r="CS2160" s="45"/>
      <c r="CT2160" s="138"/>
      <c r="CU2160" s="45"/>
      <c r="CV2160" s="99">
        <f t="shared" si="213"/>
        <v>0</v>
      </c>
      <c r="CW2160" s="139"/>
      <c r="CX2160" s="138"/>
      <c r="CY2160" s="138"/>
      <c r="CZ2160" s="138"/>
      <c r="DA2160" s="139"/>
      <c r="DB2160" s="138"/>
      <c r="DC2160" s="45"/>
      <c r="DD2160" s="138"/>
      <c r="DE2160" s="45"/>
      <c r="DF2160" s="46"/>
    </row>
    <row r="2161" spans="1:110" s="42" customFormat="1" ht="84" x14ac:dyDescent="0.2">
      <c r="A2161" s="89">
        <v>40817</v>
      </c>
      <c r="B2161" s="153" t="s">
        <v>4326</v>
      </c>
      <c r="C2161" s="4" t="s">
        <v>2433</v>
      </c>
      <c r="D2161" s="90" t="s">
        <v>4264</v>
      </c>
      <c r="E2161" s="90" t="str">
        <f>VLOOKUP(B2161&amp;C2161,Divipola!$C$2:$F$1138,4,FALSE)</f>
        <v>08436</v>
      </c>
      <c r="F2161" s="4"/>
      <c r="G2161" s="208"/>
      <c r="H2161" s="208"/>
      <c r="I2161" s="208"/>
      <c r="J2161" s="208">
        <v>6500</v>
      </c>
      <c r="K2161" s="208">
        <v>1300</v>
      </c>
      <c r="L2161" s="208"/>
      <c r="M2161" s="208">
        <v>1300</v>
      </c>
      <c r="N2161" s="208"/>
      <c r="O2161" s="208"/>
      <c r="P2161" s="208"/>
      <c r="Q2161" s="208"/>
      <c r="R2161" s="208"/>
      <c r="S2161" s="208"/>
      <c r="T2161" s="208"/>
      <c r="U2161" s="208"/>
      <c r="V2161" s="208"/>
      <c r="W2161" s="19"/>
      <c r="X2161" s="17"/>
      <c r="Y2161" s="5">
        <f t="shared" si="208"/>
        <v>0</v>
      </c>
      <c r="Z2161" s="5">
        <f t="shared" si="209"/>
        <v>314840000</v>
      </c>
      <c r="AA2161" s="5">
        <f t="shared" si="210"/>
        <v>0</v>
      </c>
      <c r="AB2161" s="5">
        <f t="shared" si="211"/>
        <v>0</v>
      </c>
      <c r="AC2161" s="5"/>
      <c r="AD2161" s="5">
        <v>30000000</v>
      </c>
      <c r="AE2161" s="5">
        <f t="shared" si="212"/>
        <v>344840000</v>
      </c>
      <c r="AF2161" s="70">
        <v>0</v>
      </c>
      <c r="AG2161" s="17"/>
      <c r="AH2161" s="18"/>
      <c r="AI2161" s="47" t="s">
        <v>4346</v>
      </c>
      <c r="AJ2161" s="73" t="s">
        <v>4347</v>
      </c>
      <c r="AK2161" s="45"/>
      <c r="AL2161" s="89" t="s">
        <v>2798</v>
      </c>
      <c r="AM2161" s="20" t="s">
        <v>4754</v>
      </c>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39"/>
      <c r="CE2161" s="138"/>
      <c r="CF2161" s="139"/>
      <c r="CG2161" s="138"/>
      <c r="CH2161" s="139"/>
      <c r="CI2161" s="138"/>
      <c r="CJ2161" s="72"/>
      <c r="CK2161" s="139"/>
      <c r="CL2161" s="71"/>
      <c r="CM2161" s="139"/>
      <c r="CN2161" s="138"/>
      <c r="CO2161" s="138"/>
      <c r="CP2161" s="138"/>
      <c r="CQ2161" s="139"/>
      <c r="CR2161" s="138"/>
      <c r="CS2161" s="45"/>
      <c r="CT2161" s="138"/>
      <c r="CU2161" s="45"/>
      <c r="CV2161" s="99">
        <f t="shared" si="213"/>
        <v>0</v>
      </c>
      <c r="CW2161" s="139"/>
      <c r="CX2161" s="138"/>
      <c r="CY2161" s="138">
        <v>3704</v>
      </c>
      <c r="CZ2161" s="138">
        <f>1852*85000+1852*85000</f>
        <v>314840000</v>
      </c>
      <c r="DA2161" s="139"/>
      <c r="DB2161" s="138"/>
      <c r="DC2161" s="45"/>
      <c r="DD2161" s="138"/>
      <c r="DE2161" s="45"/>
      <c r="DF2161" s="46"/>
    </row>
    <row r="2162" spans="1:110" s="42" customFormat="1" ht="312" x14ac:dyDescent="0.2">
      <c r="A2162" s="89">
        <v>40817</v>
      </c>
      <c r="B2162" s="151" t="s">
        <v>3533</v>
      </c>
      <c r="C2162" s="90" t="s">
        <v>862</v>
      </c>
      <c r="D2162" s="90" t="s">
        <v>4298</v>
      </c>
      <c r="E2162" s="90" t="str">
        <f>VLOOKUP(B2162&amp;C2162,Divipola!$C$2:$F$1138,4,FALSE)</f>
        <v>17001</v>
      </c>
      <c r="F2162" s="4"/>
      <c r="G2162" s="101"/>
      <c r="H2162" s="101">
        <v>1</v>
      </c>
      <c r="I2162" s="101"/>
      <c r="J2162" s="101"/>
      <c r="K2162" s="101"/>
      <c r="L2162" s="101"/>
      <c r="M2162" s="101"/>
      <c r="N2162" s="101"/>
      <c r="O2162" s="101"/>
      <c r="P2162" s="101"/>
      <c r="Q2162" s="101"/>
      <c r="R2162" s="101"/>
      <c r="S2162" s="101"/>
      <c r="T2162" s="101"/>
      <c r="U2162" s="101"/>
      <c r="V2162" s="101"/>
      <c r="W2162" s="19"/>
      <c r="X2162" s="17"/>
      <c r="Y2162" s="5">
        <f t="shared" si="208"/>
        <v>0</v>
      </c>
      <c r="Z2162" s="5">
        <f t="shared" si="209"/>
        <v>0</v>
      </c>
      <c r="AA2162" s="5">
        <f t="shared" si="210"/>
        <v>0</v>
      </c>
      <c r="AB2162" s="5">
        <f t="shared" si="211"/>
        <v>0</v>
      </c>
      <c r="AC2162" s="5"/>
      <c r="AD2162" s="5">
        <v>0</v>
      </c>
      <c r="AE2162" s="5">
        <f t="shared" si="212"/>
        <v>0</v>
      </c>
      <c r="AF2162" s="70">
        <v>0</v>
      </c>
      <c r="AG2162" s="17"/>
      <c r="AH2162" s="18"/>
      <c r="AI2162" s="47" t="s">
        <v>4336</v>
      </c>
      <c r="AJ2162" s="73" t="s">
        <v>4337</v>
      </c>
      <c r="AK2162" s="45"/>
      <c r="AL2162" s="17"/>
      <c r="AM2162" s="121" t="s">
        <v>4596</v>
      </c>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39"/>
      <c r="CE2162" s="138"/>
      <c r="CF2162" s="139"/>
      <c r="CG2162" s="138"/>
      <c r="CH2162" s="139"/>
      <c r="CI2162" s="138"/>
      <c r="CJ2162" s="72"/>
      <c r="CK2162" s="139"/>
      <c r="CL2162" s="71"/>
      <c r="CM2162" s="139"/>
      <c r="CN2162" s="138"/>
      <c r="CO2162" s="138"/>
      <c r="CP2162" s="138"/>
      <c r="CQ2162" s="139"/>
      <c r="CR2162" s="138"/>
      <c r="CS2162" s="45"/>
      <c r="CT2162" s="138"/>
      <c r="CU2162" s="45"/>
      <c r="CV2162" s="99">
        <f t="shared" si="213"/>
        <v>0</v>
      </c>
      <c r="CW2162" s="139"/>
      <c r="CX2162" s="138"/>
      <c r="CY2162" s="138"/>
      <c r="CZ2162" s="138"/>
      <c r="DA2162" s="139"/>
      <c r="DB2162" s="138"/>
      <c r="DC2162" s="45"/>
      <c r="DD2162" s="138"/>
      <c r="DE2162" s="45"/>
      <c r="DF2162" s="46"/>
    </row>
    <row r="2163" spans="1:110" s="42" customFormat="1" ht="108" x14ac:dyDescent="0.2">
      <c r="A2163" s="89">
        <v>40817</v>
      </c>
      <c r="B2163" s="151" t="s">
        <v>4282</v>
      </c>
      <c r="C2163" s="90" t="s">
        <v>2203</v>
      </c>
      <c r="D2163" s="90" t="s">
        <v>4340</v>
      </c>
      <c r="E2163" s="90" t="str">
        <f>VLOOKUP(B2163&amp;C2163,Divipola!$C$2:$F$1138,4,FALSE)</f>
        <v>23079</v>
      </c>
      <c r="F2163" s="4"/>
      <c r="G2163" s="101">
        <v>1</v>
      </c>
      <c r="H2163" s="101">
        <v>1</v>
      </c>
      <c r="I2163" s="208"/>
      <c r="J2163" s="208"/>
      <c r="K2163" s="208"/>
      <c r="L2163" s="208"/>
      <c r="M2163" s="208"/>
      <c r="N2163" s="208"/>
      <c r="O2163" s="208"/>
      <c r="P2163" s="208"/>
      <c r="Q2163" s="208"/>
      <c r="R2163" s="208"/>
      <c r="S2163" s="208"/>
      <c r="T2163" s="208"/>
      <c r="U2163" s="208"/>
      <c r="V2163" s="208"/>
      <c r="W2163" s="19"/>
      <c r="X2163" s="17"/>
      <c r="Y2163" s="5">
        <f t="shared" si="208"/>
        <v>0</v>
      </c>
      <c r="Z2163" s="5">
        <f t="shared" si="209"/>
        <v>0</v>
      </c>
      <c r="AA2163" s="5">
        <f t="shared" si="210"/>
        <v>0</v>
      </c>
      <c r="AB2163" s="5">
        <f t="shared" si="211"/>
        <v>0</v>
      </c>
      <c r="AC2163" s="5"/>
      <c r="AD2163" s="5">
        <v>0</v>
      </c>
      <c r="AE2163" s="5">
        <f t="shared" si="212"/>
        <v>0</v>
      </c>
      <c r="AF2163" s="70">
        <v>0</v>
      </c>
      <c r="AG2163" s="17"/>
      <c r="AH2163" s="18"/>
      <c r="AI2163" s="47" t="s">
        <v>4336</v>
      </c>
      <c r="AJ2163" s="73" t="s">
        <v>4337</v>
      </c>
      <c r="AK2163" s="45"/>
      <c r="AL2163" s="17"/>
      <c r="AM2163" s="121" t="s">
        <v>4599</v>
      </c>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39"/>
      <c r="CE2163" s="138"/>
      <c r="CF2163" s="139"/>
      <c r="CG2163" s="138"/>
      <c r="CH2163" s="139"/>
      <c r="CI2163" s="138"/>
      <c r="CJ2163" s="72"/>
      <c r="CK2163" s="139"/>
      <c r="CL2163" s="71"/>
      <c r="CM2163" s="139"/>
      <c r="CN2163" s="138"/>
      <c r="CO2163" s="138"/>
      <c r="CP2163" s="138"/>
      <c r="CQ2163" s="139"/>
      <c r="CR2163" s="138"/>
      <c r="CS2163" s="45"/>
      <c r="CT2163" s="138"/>
      <c r="CU2163" s="45"/>
      <c r="CV2163" s="99">
        <f t="shared" si="213"/>
        <v>0</v>
      </c>
      <c r="CW2163" s="139"/>
      <c r="CX2163" s="138"/>
      <c r="CY2163" s="138"/>
      <c r="CZ2163" s="138"/>
      <c r="DA2163" s="139"/>
      <c r="DB2163" s="138"/>
      <c r="DC2163" s="45"/>
      <c r="DD2163" s="138"/>
      <c r="DE2163" s="45"/>
      <c r="DF2163" s="46"/>
    </row>
    <row r="2164" spans="1:110" s="42" customFormat="1" ht="22.5" x14ac:dyDescent="0.2">
      <c r="A2164" s="89">
        <v>40817</v>
      </c>
      <c r="B2164" s="153" t="s">
        <v>4221</v>
      </c>
      <c r="C2164" s="4" t="s">
        <v>3354</v>
      </c>
      <c r="D2164" s="4" t="s">
        <v>3346</v>
      </c>
      <c r="E2164" s="90" t="str">
        <f>VLOOKUP(B2164&amp;C2164,Divipola!$C$2:$F$1138,4,FALSE)</f>
        <v>54239</v>
      </c>
      <c r="F2164" s="4"/>
      <c r="G2164" s="208"/>
      <c r="H2164" s="208"/>
      <c r="I2164" s="208"/>
      <c r="J2164" s="208"/>
      <c r="K2164" s="208"/>
      <c r="L2164" s="208"/>
      <c r="M2164" s="208"/>
      <c r="N2164" s="208"/>
      <c r="O2164" s="208"/>
      <c r="P2164" s="208"/>
      <c r="Q2164" s="208"/>
      <c r="R2164" s="208"/>
      <c r="S2164" s="208"/>
      <c r="T2164" s="208"/>
      <c r="U2164" s="208"/>
      <c r="V2164" s="208"/>
      <c r="W2164" s="19"/>
      <c r="X2164" s="17"/>
      <c r="Y2164" s="5">
        <f t="shared" si="208"/>
        <v>0</v>
      </c>
      <c r="Z2164" s="5">
        <f t="shared" si="209"/>
        <v>0</v>
      </c>
      <c r="AA2164" s="5">
        <f t="shared" si="210"/>
        <v>39484010.399999999</v>
      </c>
      <c r="AB2164" s="5">
        <f t="shared" si="211"/>
        <v>0</v>
      </c>
      <c r="AC2164" s="159">
        <f>13720*255.2+424*64264</f>
        <v>30749280</v>
      </c>
      <c r="AD2164" s="5">
        <v>0</v>
      </c>
      <c r="AE2164" s="5">
        <f t="shared" si="212"/>
        <v>70233290.400000006</v>
      </c>
      <c r="AF2164" s="70">
        <v>0</v>
      </c>
      <c r="AG2164" s="17"/>
      <c r="AH2164" s="18"/>
      <c r="AI2164" s="47" t="s">
        <v>4346</v>
      </c>
      <c r="AJ2164" s="73" t="s">
        <v>4347</v>
      </c>
      <c r="AK2164" s="45"/>
      <c r="AL2164" s="17"/>
      <c r="AM2164" s="154" t="s">
        <v>4690</v>
      </c>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39"/>
      <c r="CE2164" s="138"/>
      <c r="CF2164" s="139"/>
      <c r="CG2164" s="138"/>
      <c r="CH2164" s="139"/>
      <c r="CI2164" s="138"/>
      <c r="CJ2164" s="72"/>
      <c r="CK2164" s="139"/>
      <c r="CL2164" s="71"/>
      <c r="CM2164" s="139"/>
      <c r="CN2164" s="138"/>
      <c r="CO2164" s="138"/>
      <c r="CP2164" s="138"/>
      <c r="CQ2164" s="139"/>
      <c r="CR2164" s="138"/>
      <c r="CS2164" s="45"/>
      <c r="CT2164" s="138"/>
      <c r="CU2164" s="45"/>
      <c r="CV2164" s="99">
        <f t="shared" si="213"/>
        <v>0</v>
      </c>
      <c r="CW2164" s="139"/>
      <c r="CX2164" s="138"/>
      <c r="CY2164" s="138"/>
      <c r="CZ2164" s="138"/>
      <c r="DA2164" s="139"/>
      <c r="DB2164" s="138"/>
      <c r="DC2164" s="45">
        <v>1580</v>
      </c>
      <c r="DD2164" s="138">
        <f>1580*24989.88</f>
        <v>39484010.399999999</v>
      </c>
      <c r="DE2164" s="45"/>
      <c r="DF2164" s="46"/>
    </row>
    <row r="2165" spans="1:110" s="42" customFormat="1" ht="132" x14ac:dyDescent="0.2">
      <c r="A2165" s="89">
        <v>40817</v>
      </c>
      <c r="B2165" s="151" t="s">
        <v>4244</v>
      </c>
      <c r="C2165" s="90" t="s">
        <v>4319</v>
      </c>
      <c r="D2165" s="90" t="s">
        <v>4264</v>
      </c>
      <c r="E2165" s="90" t="str">
        <f>VLOOKUP(B2165&amp;C2165,Divipola!$C$2:$F$1138,4,FALSE)</f>
        <v>76828</v>
      </c>
      <c r="F2165" s="4"/>
      <c r="G2165" s="101"/>
      <c r="H2165" s="101"/>
      <c r="I2165" s="101"/>
      <c r="J2165" s="101">
        <v>232</v>
      </c>
      <c r="K2165" s="101">
        <v>50</v>
      </c>
      <c r="L2165" s="101">
        <v>5</v>
      </c>
      <c r="M2165" s="101">
        <v>45</v>
      </c>
      <c r="N2165" s="101">
        <v>5</v>
      </c>
      <c r="O2165" s="101"/>
      <c r="P2165" s="101"/>
      <c r="Q2165" s="101"/>
      <c r="R2165" s="101"/>
      <c r="S2165" s="101"/>
      <c r="T2165" s="101"/>
      <c r="U2165" s="101"/>
      <c r="V2165" s="101"/>
      <c r="W2165" s="19"/>
      <c r="X2165" s="17"/>
      <c r="Y2165" s="5">
        <f t="shared" si="208"/>
        <v>0</v>
      </c>
      <c r="Z2165" s="5">
        <f t="shared" si="209"/>
        <v>0</v>
      </c>
      <c r="AA2165" s="5">
        <f t="shared" si="210"/>
        <v>0</v>
      </c>
      <c r="AB2165" s="5">
        <f t="shared" si="211"/>
        <v>0</v>
      </c>
      <c r="AC2165" s="5"/>
      <c r="AD2165" s="5">
        <v>0</v>
      </c>
      <c r="AE2165" s="5">
        <f t="shared" si="212"/>
        <v>0</v>
      </c>
      <c r="AF2165" s="70">
        <v>0</v>
      </c>
      <c r="AG2165" s="17"/>
      <c r="AH2165" s="18"/>
      <c r="AI2165" s="47" t="s">
        <v>4336</v>
      </c>
      <c r="AJ2165" s="73" t="s">
        <v>4337</v>
      </c>
      <c r="AK2165" s="45"/>
      <c r="AL2165" s="17"/>
      <c r="AM2165" s="121" t="s">
        <v>4598</v>
      </c>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39"/>
      <c r="CE2165" s="138"/>
      <c r="CF2165" s="139"/>
      <c r="CG2165" s="138"/>
      <c r="CH2165" s="139"/>
      <c r="CI2165" s="138"/>
      <c r="CJ2165" s="72"/>
      <c r="CK2165" s="139"/>
      <c r="CL2165" s="71"/>
      <c r="CM2165" s="139"/>
      <c r="CN2165" s="138"/>
      <c r="CO2165" s="138"/>
      <c r="CP2165" s="138"/>
      <c r="CQ2165" s="139"/>
      <c r="CR2165" s="138"/>
      <c r="CS2165" s="45"/>
      <c r="CT2165" s="138"/>
      <c r="CU2165" s="45"/>
      <c r="CV2165" s="99">
        <f t="shared" si="213"/>
        <v>0</v>
      </c>
      <c r="CW2165" s="139"/>
      <c r="CX2165" s="138"/>
      <c r="CY2165" s="138"/>
      <c r="CZ2165" s="138"/>
      <c r="DA2165" s="139"/>
      <c r="DB2165" s="138"/>
      <c r="DC2165" s="45"/>
      <c r="DD2165" s="138"/>
      <c r="DE2165" s="45"/>
      <c r="DF2165" s="46"/>
    </row>
    <row r="2166" spans="1:110" s="42" customFormat="1" ht="60" x14ac:dyDescent="0.2">
      <c r="A2166" s="89">
        <v>40817</v>
      </c>
      <c r="B2166" s="151" t="s">
        <v>3316</v>
      </c>
      <c r="C2166" s="90" t="s">
        <v>3082</v>
      </c>
      <c r="D2166" s="90" t="s">
        <v>4264</v>
      </c>
      <c r="E2166" s="90" t="str">
        <f>VLOOKUP(B2166&amp;C2166,Divipola!$C$2:$F$1138,4,FALSE)</f>
        <v>73067</v>
      </c>
      <c r="F2166" s="4"/>
      <c r="G2166" s="101"/>
      <c r="H2166" s="101"/>
      <c r="I2166" s="101"/>
      <c r="J2166" s="101">
        <f>117*5</f>
        <v>585</v>
      </c>
      <c r="K2166" s="101">
        <v>117</v>
      </c>
      <c r="L2166" s="101">
        <v>117</v>
      </c>
      <c r="M2166" s="101"/>
      <c r="N2166" s="101"/>
      <c r="O2166" s="101"/>
      <c r="P2166" s="101"/>
      <c r="Q2166" s="101"/>
      <c r="R2166" s="101"/>
      <c r="S2166" s="101"/>
      <c r="T2166" s="101"/>
      <c r="U2166" s="101"/>
      <c r="V2166" s="101"/>
      <c r="W2166" s="19"/>
      <c r="X2166" s="17"/>
      <c r="Y2166" s="5">
        <f t="shared" si="208"/>
        <v>0</v>
      </c>
      <c r="Z2166" s="5">
        <f t="shared" si="209"/>
        <v>0</v>
      </c>
      <c r="AA2166" s="5">
        <f t="shared" si="210"/>
        <v>0</v>
      </c>
      <c r="AB2166" s="5">
        <f t="shared" si="211"/>
        <v>0</v>
      </c>
      <c r="AC2166" s="5"/>
      <c r="AD2166" s="5">
        <v>0</v>
      </c>
      <c r="AE2166" s="5">
        <f t="shared" si="212"/>
        <v>0</v>
      </c>
      <c r="AF2166" s="70">
        <v>0</v>
      </c>
      <c r="AG2166" s="17"/>
      <c r="AH2166" s="18"/>
      <c r="AI2166" s="47" t="s">
        <v>4336</v>
      </c>
      <c r="AJ2166" s="73" t="s">
        <v>4337</v>
      </c>
      <c r="AK2166" s="45"/>
      <c r="AL2166" s="17"/>
      <c r="AM2166" s="20" t="s">
        <v>5633</v>
      </c>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39"/>
      <c r="CE2166" s="138"/>
      <c r="CF2166" s="139"/>
      <c r="CG2166" s="138"/>
      <c r="CH2166" s="139"/>
      <c r="CI2166" s="138"/>
      <c r="CJ2166" s="72"/>
      <c r="CK2166" s="139"/>
      <c r="CL2166" s="71"/>
      <c r="CM2166" s="139"/>
      <c r="CN2166" s="138"/>
      <c r="CO2166" s="138"/>
      <c r="CP2166" s="138"/>
      <c r="CQ2166" s="139"/>
      <c r="CR2166" s="138"/>
      <c r="CS2166" s="45"/>
      <c r="CT2166" s="138"/>
      <c r="CU2166" s="45"/>
      <c r="CV2166" s="99">
        <f t="shared" si="213"/>
        <v>0</v>
      </c>
      <c r="CW2166" s="139"/>
      <c r="CX2166" s="138"/>
      <c r="CY2166" s="138"/>
      <c r="CZ2166" s="138"/>
      <c r="DA2166" s="139"/>
      <c r="DB2166" s="138"/>
      <c r="DC2166" s="45"/>
      <c r="DD2166" s="138"/>
      <c r="DE2166" s="45"/>
      <c r="DF2166" s="46"/>
    </row>
    <row r="2167" spans="1:110" s="42" customFormat="1" ht="72" x14ac:dyDescent="0.2">
      <c r="A2167" s="89">
        <v>40818</v>
      </c>
      <c r="B2167" s="151" t="s">
        <v>4308</v>
      </c>
      <c r="C2167" s="90" t="s">
        <v>4306</v>
      </c>
      <c r="D2167" s="90" t="s">
        <v>4264</v>
      </c>
      <c r="E2167" s="90" t="str">
        <f>VLOOKUP(B2167&amp;C2167,Divipola!$C$2:$F$1138,4,FALSE)</f>
        <v>47001</v>
      </c>
      <c r="F2167" s="4"/>
      <c r="G2167" s="101"/>
      <c r="H2167" s="101"/>
      <c r="I2167" s="101"/>
      <c r="J2167" s="101">
        <v>3000</v>
      </c>
      <c r="K2167" s="101">
        <v>600</v>
      </c>
      <c r="L2167" s="101"/>
      <c r="M2167" s="101">
        <v>600</v>
      </c>
      <c r="N2167" s="101"/>
      <c r="O2167" s="101"/>
      <c r="P2167" s="101"/>
      <c r="Q2167" s="101"/>
      <c r="R2167" s="101"/>
      <c r="S2167" s="101"/>
      <c r="T2167" s="101"/>
      <c r="U2167" s="101"/>
      <c r="V2167" s="101"/>
      <c r="W2167" s="19"/>
      <c r="X2167" s="17"/>
      <c r="Y2167" s="5">
        <f t="shared" si="208"/>
        <v>0</v>
      </c>
      <c r="Z2167" s="5">
        <f t="shared" si="209"/>
        <v>0</v>
      </c>
      <c r="AA2167" s="5">
        <f t="shared" si="210"/>
        <v>0</v>
      </c>
      <c r="AB2167" s="5">
        <f t="shared" si="211"/>
        <v>0</v>
      </c>
      <c r="AC2167" s="5"/>
      <c r="AD2167" s="5">
        <v>0</v>
      </c>
      <c r="AE2167" s="5">
        <f t="shared" si="212"/>
        <v>0</v>
      </c>
      <c r="AF2167" s="70">
        <v>0</v>
      </c>
      <c r="AG2167" s="17"/>
      <c r="AH2167" s="18"/>
      <c r="AI2167" s="47" t="s">
        <v>4346</v>
      </c>
      <c r="AJ2167" s="73" t="s">
        <v>4347</v>
      </c>
      <c r="AK2167" s="45"/>
      <c r="AL2167" s="17" t="s">
        <v>5018</v>
      </c>
      <c r="AM2167" s="121" t="s">
        <v>4606</v>
      </c>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39"/>
      <c r="CE2167" s="138"/>
      <c r="CF2167" s="139"/>
      <c r="CG2167" s="138"/>
      <c r="CH2167" s="139"/>
      <c r="CI2167" s="138"/>
      <c r="CJ2167" s="72"/>
      <c r="CK2167" s="139"/>
      <c r="CL2167" s="71"/>
      <c r="CM2167" s="139"/>
      <c r="CN2167" s="138"/>
      <c r="CO2167" s="138"/>
      <c r="CP2167" s="138"/>
      <c r="CQ2167" s="139"/>
      <c r="CR2167" s="138"/>
      <c r="CS2167" s="45"/>
      <c r="CT2167" s="138"/>
      <c r="CU2167" s="45"/>
      <c r="CV2167" s="99">
        <f t="shared" si="213"/>
        <v>0</v>
      </c>
      <c r="CW2167" s="139"/>
      <c r="CX2167" s="138"/>
      <c r="CY2167" s="138"/>
      <c r="CZ2167" s="138"/>
      <c r="DA2167" s="139"/>
      <c r="DB2167" s="138"/>
      <c r="DC2167" s="45"/>
      <c r="DD2167" s="138"/>
      <c r="DE2167" s="45"/>
      <c r="DF2167" s="46"/>
    </row>
    <row r="2168" spans="1:110" s="42" customFormat="1" ht="36" x14ac:dyDescent="0.2">
      <c r="A2168" s="89">
        <v>40819</v>
      </c>
      <c r="B2168" s="151" t="s">
        <v>2218</v>
      </c>
      <c r="C2168" s="90" t="s">
        <v>3297</v>
      </c>
      <c r="D2168" s="90" t="s">
        <v>4264</v>
      </c>
      <c r="E2168" s="90" t="str">
        <f>VLOOKUP(B2168&amp;C2168,Divipola!$C$2:$F$1138,4,FALSE)</f>
        <v>05001</v>
      </c>
      <c r="F2168" s="4"/>
      <c r="G2168" s="101"/>
      <c r="H2168" s="101"/>
      <c r="I2168" s="101"/>
      <c r="J2168" s="101">
        <v>55</v>
      </c>
      <c r="K2168" s="101">
        <v>11</v>
      </c>
      <c r="L2168" s="101">
        <v>1</v>
      </c>
      <c r="M2168" s="101">
        <v>10</v>
      </c>
      <c r="N2168" s="101"/>
      <c r="O2168" s="101"/>
      <c r="P2168" s="101"/>
      <c r="Q2168" s="101"/>
      <c r="R2168" s="101"/>
      <c r="S2168" s="101"/>
      <c r="T2168" s="101"/>
      <c r="U2168" s="101"/>
      <c r="V2168" s="101"/>
      <c r="W2168" s="19"/>
      <c r="X2168" s="17"/>
      <c r="Y2168" s="5">
        <f t="shared" si="208"/>
        <v>0</v>
      </c>
      <c r="Z2168" s="5">
        <f t="shared" si="209"/>
        <v>0</v>
      </c>
      <c r="AA2168" s="5">
        <f t="shared" si="210"/>
        <v>0</v>
      </c>
      <c r="AB2168" s="5">
        <f t="shared" si="211"/>
        <v>0</v>
      </c>
      <c r="AC2168" s="5"/>
      <c r="AD2168" s="5">
        <v>0</v>
      </c>
      <c r="AE2168" s="5">
        <f t="shared" si="212"/>
        <v>0</v>
      </c>
      <c r="AF2168" s="70">
        <v>0</v>
      </c>
      <c r="AG2168" s="17"/>
      <c r="AH2168" s="18"/>
      <c r="AI2168" s="47" t="s">
        <v>4336</v>
      </c>
      <c r="AJ2168" s="73" t="s">
        <v>4337</v>
      </c>
      <c r="AK2168" s="45"/>
      <c r="AL2168" s="17"/>
      <c r="AM2168" s="121" t="s">
        <v>5451</v>
      </c>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39"/>
      <c r="CE2168" s="138"/>
      <c r="CF2168" s="139"/>
      <c r="CG2168" s="138"/>
      <c r="CH2168" s="139"/>
      <c r="CI2168" s="138"/>
      <c r="CJ2168" s="72"/>
      <c r="CK2168" s="139"/>
      <c r="CL2168" s="71"/>
      <c r="CM2168" s="139"/>
      <c r="CN2168" s="138"/>
      <c r="CO2168" s="138"/>
      <c r="CP2168" s="138"/>
      <c r="CQ2168" s="139"/>
      <c r="CR2168" s="138"/>
      <c r="CS2168" s="45"/>
      <c r="CT2168" s="138"/>
      <c r="CU2168" s="45"/>
      <c r="CV2168" s="99">
        <f t="shared" si="213"/>
        <v>0</v>
      </c>
      <c r="CW2168" s="139"/>
      <c r="CX2168" s="138"/>
      <c r="CY2168" s="138"/>
      <c r="CZ2168" s="138"/>
      <c r="DA2168" s="139"/>
      <c r="DB2168" s="138"/>
      <c r="DC2168" s="45"/>
      <c r="DD2168" s="138"/>
      <c r="DE2168" s="45"/>
      <c r="DF2168" s="46">
        <v>79</v>
      </c>
    </row>
    <row r="2169" spans="1:110" s="42" customFormat="1" ht="48" x14ac:dyDescent="0.2">
      <c r="A2169" s="89">
        <v>40819</v>
      </c>
      <c r="B2169" s="151" t="s">
        <v>4326</v>
      </c>
      <c r="C2169" s="90" t="s">
        <v>4011</v>
      </c>
      <c r="D2169" s="90" t="s">
        <v>4264</v>
      </c>
      <c r="E2169" s="90" t="str">
        <f>VLOOKUP(B2169&amp;C2169,Divipola!$C$2:$F$1138,4,FALSE)</f>
        <v>08638</v>
      </c>
      <c r="F2169" s="4"/>
      <c r="G2169" s="101"/>
      <c r="H2169" s="101"/>
      <c r="I2169" s="101"/>
      <c r="J2169" s="101">
        <v>2000</v>
      </c>
      <c r="K2169" s="101">
        <v>400</v>
      </c>
      <c r="L2169" s="101">
        <v>7</v>
      </c>
      <c r="M2169" s="101">
        <f>400-7</f>
        <v>393</v>
      </c>
      <c r="N2169" s="101"/>
      <c r="O2169" s="101"/>
      <c r="P2169" s="101"/>
      <c r="Q2169" s="101"/>
      <c r="R2169" s="101"/>
      <c r="S2169" s="101"/>
      <c r="T2169" s="101"/>
      <c r="U2169" s="101"/>
      <c r="V2169" s="101"/>
      <c r="W2169" s="19"/>
      <c r="X2169" s="17"/>
      <c r="Y2169" s="5">
        <f t="shared" si="208"/>
        <v>0</v>
      </c>
      <c r="Z2169" s="5">
        <f t="shared" si="209"/>
        <v>0</v>
      </c>
      <c r="AA2169" s="5">
        <f t="shared" si="210"/>
        <v>0</v>
      </c>
      <c r="AB2169" s="5">
        <f t="shared" si="211"/>
        <v>0</v>
      </c>
      <c r="AC2169" s="5"/>
      <c r="AD2169" s="5">
        <v>0</v>
      </c>
      <c r="AE2169" s="5">
        <f t="shared" si="212"/>
        <v>0</v>
      </c>
      <c r="AF2169" s="70">
        <v>0</v>
      </c>
      <c r="AG2169" s="17"/>
      <c r="AH2169" s="18"/>
      <c r="AI2169" s="47" t="s">
        <v>4346</v>
      </c>
      <c r="AJ2169" s="73" t="s">
        <v>4347</v>
      </c>
      <c r="AK2169" s="45"/>
      <c r="AL2169" s="89" t="s">
        <v>2798</v>
      </c>
      <c r="AM2169" s="121" t="s">
        <v>4605</v>
      </c>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39"/>
      <c r="CE2169" s="138"/>
      <c r="CF2169" s="139"/>
      <c r="CG2169" s="138"/>
      <c r="CH2169" s="139"/>
      <c r="CI2169" s="138"/>
      <c r="CJ2169" s="72"/>
      <c r="CK2169" s="139"/>
      <c r="CL2169" s="71"/>
      <c r="CM2169" s="139"/>
      <c r="CN2169" s="138"/>
      <c r="CO2169" s="138"/>
      <c r="CP2169" s="138"/>
      <c r="CQ2169" s="139"/>
      <c r="CR2169" s="138"/>
      <c r="CS2169" s="45"/>
      <c r="CT2169" s="138"/>
      <c r="CU2169" s="45"/>
      <c r="CV2169" s="99">
        <f t="shared" si="213"/>
        <v>0</v>
      </c>
      <c r="CW2169" s="139"/>
      <c r="CX2169" s="138"/>
      <c r="CY2169" s="138"/>
      <c r="CZ2169" s="138"/>
      <c r="DA2169" s="139"/>
      <c r="DB2169" s="138"/>
      <c r="DC2169" s="45"/>
      <c r="DD2169" s="138"/>
      <c r="DE2169" s="45"/>
      <c r="DF2169" s="46"/>
    </row>
    <row r="2170" spans="1:110" s="42" customFormat="1" ht="36" x14ac:dyDescent="0.2">
      <c r="A2170" s="89">
        <v>40819</v>
      </c>
      <c r="B2170" s="151" t="s">
        <v>2225</v>
      </c>
      <c r="C2170" s="90" t="s">
        <v>2205</v>
      </c>
      <c r="D2170" s="90" t="s">
        <v>4298</v>
      </c>
      <c r="E2170" s="90" t="str">
        <f>VLOOKUP(B2170&amp;C2170,Divipola!$C$2:$F$1138,4,FALSE)</f>
        <v>27001</v>
      </c>
      <c r="F2170" s="4"/>
      <c r="G2170" s="101"/>
      <c r="H2170" s="101"/>
      <c r="I2170" s="101"/>
      <c r="J2170" s="101">
        <v>10</v>
      </c>
      <c r="K2170" s="101">
        <v>2</v>
      </c>
      <c r="L2170" s="101">
        <v>2</v>
      </c>
      <c r="M2170" s="101"/>
      <c r="N2170" s="101"/>
      <c r="O2170" s="101"/>
      <c r="P2170" s="101"/>
      <c r="Q2170" s="101"/>
      <c r="R2170" s="101"/>
      <c r="S2170" s="101"/>
      <c r="T2170" s="101"/>
      <c r="U2170" s="101"/>
      <c r="V2170" s="101"/>
      <c r="W2170" s="19"/>
      <c r="X2170" s="17"/>
      <c r="Y2170" s="5">
        <f t="shared" si="208"/>
        <v>0</v>
      </c>
      <c r="Z2170" s="5">
        <f t="shared" si="209"/>
        <v>0</v>
      </c>
      <c r="AA2170" s="5">
        <f t="shared" si="210"/>
        <v>0</v>
      </c>
      <c r="AB2170" s="5">
        <f t="shared" si="211"/>
        <v>0</v>
      </c>
      <c r="AC2170" s="5"/>
      <c r="AD2170" s="5">
        <v>0</v>
      </c>
      <c r="AE2170" s="5">
        <f t="shared" si="212"/>
        <v>0</v>
      </c>
      <c r="AF2170" s="70">
        <v>0</v>
      </c>
      <c r="AG2170" s="17"/>
      <c r="AH2170" s="18"/>
      <c r="AI2170" s="47" t="s">
        <v>4336</v>
      </c>
      <c r="AJ2170" s="73" t="s">
        <v>4337</v>
      </c>
      <c r="AK2170" s="45"/>
      <c r="AL2170" s="17"/>
      <c r="AM2170" s="121" t="s">
        <v>4614</v>
      </c>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39"/>
      <c r="CE2170" s="138"/>
      <c r="CF2170" s="139"/>
      <c r="CG2170" s="138"/>
      <c r="CH2170" s="139"/>
      <c r="CI2170" s="138"/>
      <c r="CJ2170" s="72"/>
      <c r="CK2170" s="139"/>
      <c r="CL2170" s="71"/>
      <c r="CM2170" s="139"/>
      <c r="CN2170" s="138"/>
      <c r="CO2170" s="138"/>
      <c r="CP2170" s="138"/>
      <c r="CQ2170" s="139"/>
      <c r="CR2170" s="138"/>
      <c r="CS2170" s="45"/>
      <c r="CT2170" s="138"/>
      <c r="CU2170" s="45"/>
      <c r="CV2170" s="99">
        <f t="shared" si="213"/>
        <v>0</v>
      </c>
      <c r="CW2170" s="139"/>
      <c r="CX2170" s="138"/>
      <c r="CY2170" s="138"/>
      <c r="CZ2170" s="138"/>
      <c r="DA2170" s="139"/>
      <c r="DB2170" s="138"/>
      <c r="DC2170" s="45"/>
      <c r="DD2170" s="138"/>
      <c r="DE2170" s="45"/>
      <c r="DF2170" s="46"/>
    </row>
    <row r="2171" spans="1:110" s="42" customFormat="1" ht="60" x14ac:dyDescent="0.2">
      <c r="A2171" s="89">
        <v>40819</v>
      </c>
      <c r="B2171" s="151" t="s">
        <v>4350</v>
      </c>
      <c r="C2171" s="90" t="s">
        <v>4351</v>
      </c>
      <c r="D2171" s="90" t="s">
        <v>3346</v>
      </c>
      <c r="E2171" s="90" t="str">
        <f>VLOOKUP(B2171&amp;C2171,Divipola!$C$2:$F$1138,4,FALSE)</f>
        <v>63001</v>
      </c>
      <c r="F2171" s="4"/>
      <c r="G2171" s="101"/>
      <c r="H2171" s="101"/>
      <c r="I2171" s="101"/>
      <c r="J2171" s="101">
        <v>11</v>
      </c>
      <c r="K2171" s="101">
        <v>2</v>
      </c>
      <c r="L2171" s="101"/>
      <c r="M2171" s="101">
        <v>2</v>
      </c>
      <c r="N2171" s="101"/>
      <c r="O2171" s="101"/>
      <c r="P2171" s="101"/>
      <c r="Q2171" s="101"/>
      <c r="R2171" s="101"/>
      <c r="S2171" s="101"/>
      <c r="T2171" s="101"/>
      <c r="U2171" s="101"/>
      <c r="V2171" s="101"/>
      <c r="W2171" s="19"/>
      <c r="X2171" s="17"/>
      <c r="Y2171" s="5">
        <f t="shared" si="208"/>
        <v>0</v>
      </c>
      <c r="Z2171" s="5">
        <f t="shared" si="209"/>
        <v>0</v>
      </c>
      <c r="AA2171" s="5">
        <f t="shared" si="210"/>
        <v>0</v>
      </c>
      <c r="AB2171" s="5">
        <f t="shared" si="211"/>
        <v>0</v>
      </c>
      <c r="AC2171" s="5"/>
      <c r="AD2171" s="5">
        <v>0</v>
      </c>
      <c r="AE2171" s="5">
        <f t="shared" si="212"/>
        <v>0</v>
      </c>
      <c r="AF2171" s="70">
        <v>0</v>
      </c>
      <c r="AG2171" s="17"/>
      <c r="AH2171" s="18"/>
      <c r="AI2171" s="47" t="s">
        <v>4336</v>
      </c>
      <c r="AJ2171" s="73" t="s">
        <v>4337</v>
      </c>
      <c r="AK2171" s="45"/>
      <c r="AL2171" s="17"/>
      <c r="AM2171" s="121" t="s">
        <v>4613</v>
      </c>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39"/>
      <c r="CE2171" s="138"/>
      <c r="CF2171" s="139"/>
      <c r="CG2171" s="138"/>
      <c r="CH2171" s="139"/>
      <c r="CI2171" s="138"/>
      <c r="CJ2171" s="72"/>
      <c r="CK2171" s="139"/>
      <c r="CL2171" s="71"/>
      <c r="CM2171" s="139"/>
      <c r="CN2171" s="138"/>
      <c r="CO2171" s="138"/>
      <c r="CP2171" s="138"/>
      <c r="CQ2171" s="139"/>
      <c r="CR2171" s="138"/>
      <c r="CS2171" s="45"/>
      <c r="CT2171" s="138"/>
      <c r="CU2171" s="45"/>
      <c r="CV2171" s="99">
        <f t="shared" si="213"/>
        <v>0</v>
      </c>
      <c r="CW2171" s="139"/>
      <c r="CX2171" s="138"/>
      <c r="CY2171" s="138"/>
      <c r="CZ2171" s="138"/>
      <c r="DA2171" s="139"/>
      <c r="DB2171" s="138"/>
      <c r="DC2171" s="45"/>
      <c r="DD2171" s="138"/>
      <c r="DE2171" s="45"/>
      <c r="DF2171" s="46"/>
    </row>
    <row r="2172" spans="1:110" s="42" customFormat="1" ht="48" x14ac:dyDescent="0.2">
      <c r="A2172" s="89">
        <v>40819</v>
      </c>
      <c r="B2172" s="151" t="s">
        <v>4350</v>
      </c>
      <c r="C2172" s="90" t="s">
        <v>797</v>
      </c>
      <c r="D2172" s="90" t="s">
        <v>3346</v>
      </c>
      <c r="E2172" s="90" t="str">
        <f>VLOOKUP(B2172&amp;C2172,Divipola!$C$2:$F$1138,4,FALSE)</f>
        <v>63272</v>
      </c>
      <c r="F2172" s="4"/>
      <c r="G2172" s="101"/>
      <c r="H2172" s="101"/>
      <c r="I2172" s="101"/>
      <c r="J2172" s="101">
        <v>5</v>
      </c>
      <c r="K2172" s="101">
        <v>1</v>
      </c>
      <c r="L2172" s="101"/>
      <c r="M2172" s="101">
        <v>1</v>
      </c>
      <c r="N2172" s="101"/>
      <c r="O2172" s="101"/>
      <c r="P2172" s="101"/>
      <c r="Q2172" s="101"/>
      <c r="R2172" s="101"/>
      <c r="S2172" s="101"/>
      <c r="T2172" s="101"/>
      <c r="U2172" s="101"/>
      <c r="V2172" s="101"/>
      <c r="W2172" s="19"/>
      <c r="X2172" s="17"/>
      <c r="Y2172" s="5">
        <f t="shared" si="208"/>
        <v>0</v>
      </c>
      <c r="Z2172" s="5">
        <f t="shared" si="209"/>
        <v>0</v>
      </c>
      <c r="AA2172" s="5">
        <f t="shared" si="210"/>
        <v>0</v>
      </c>
      <c r="AB2172" s="5">
        <f t="shared" si="211"/>
        <v>0</v>
      </c>
      <c r="AC2172" s="5"/>
      <c r="AD2172" s="5">
        <v>0</v>
      </c>
      <c r="AE2172" s="5">
        <f t="shared" si="212"/>
        <v>0</v>
      </c>
      <c r="AF2172" s="70">
        <v>0</v>
      </c>
      <c r="AG2172" s="17"/>
      <c r="AH2172" s="18"/>
      <c r="AI2172" s="47" t="s">
        <v>4336</v>
      </c>
      <c r="AJ2172" s="73" t="s">
        <v>4337</v>
      </c>
      <c r="AK2172" s="45"/>
      <c r="AL2172" s="17"/>
      <c r="AM2172" s="121" t="s">
        <v>4612</v>
      </c>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39"/>
      <c r="CE2172" s="138"/>
      <c r="CF2172" s="139"/>
      <c r="CG2172" s="138"/>
      <c r="CH2172" s="139"/>
      <c r="CI2172" s="138"/>
      <c r="CJ2172" s="72"/>
      <c r="CK2172" s="139"/>
      <c r="CL2172" s="71"/>
      <c r="CM2172" s="139"/>
      <c r="CN2172" s="138"/>
      <c r="CO2172" s="138"/>
      <c r="CP2172" s="138"/>
      <c r="CQ2172" s="139"/>
      <c r="CR2172" s="138"/>
      <c r="CS2172" s="45"/>
      <c r="CT2172" s="138"/>
      <c r="CU2172" s="45"/>
      <c r="CV2172" s="99">
        <f t="shared" si="213"/>
        <v>0</v>
      </c>
      <c r="CW2172" s="139"/>
      <c r="CX2172" s="138"/>
      <c r="CY2172" s="138"/>
      <c r="CZ2172" s="138"/>
      <c r="DA2172" s="139"/>
      <c r="DB2172" s="138"/>
      <c r="DC2172" s="45"/>
      <c r="DD2172" s="138"/>
      <c r="DE2172" s="45"/>
      <c r="DF2172" s="46"/>
    </row>
    <row r="2173" spans="1:110" s="42" customFormat="1" ht="36" x14ac:dyDescent="0.2">
      <c r="A2173" s="89">
        <v>40819</v>
      </c>
      <c r="B2173" s="151" t="s">
        <v>4387</v>
      </c>
      <c r="C2173" s="90" t="s">
        <v>4282</v>
      </c>
      <c r="D2173" s="90" t="s">
        <v>4264</v>
      </c>
      <c r="E2173" s="90" t="str">
        <f>VLOOKUP(B2173&amp;C2173,Divipola!$C$2:$F$1138,4,FALSE)</f>
        <v>52215</v>
      </c>
      <c r="F2173" s="4"/>
      <c r="G2173" s="101"/>
      <c r="H2173" s="101"/>
      <c r="I2173" s="101"/>
      <c r="J2173" s="101"/>
      <c r="K2173" s="101">
        <v>163</v>
      </c>
      <c r="L2173" s="101"/>
      <c r="M2173" s="101"/>
      <c r="N2173" s="101"/>
      <c r="O2173" s="101"/>
      <c r="P2173" s="101"/>
      <c r="Q2173" s="101"/>
      <c r="R2173" s="101"/>
      <c r="S2173" s="101"/>
      <c r="T2173" s="101"/>
      <c r="U2173" s="101"/>
      <c r="V2173" s="264">
        <v>273.58</v>
      </c>
      <c r="W2173" s="19"/>
      <c r="X2173" s="17"/>
      <c r="Y2173" s="5">
        <f t="shared" si="208"/>
        <v>0</v>
      </c>
      <c r="Z2173" s="5">
        <f t="shared" si="209"/>
        <v>0</v>
      </c>
      <c r="AA2173" s="5">
        <f t="shared" si="210"/>
        <v>0</v>
      </c>
      <c r="AB2173" s="5">
        <f t="shared" si="211"/>
        <v>0</v>
      </c>
      <c r="AC2173" s="5"/>
      <c r="AD2173" s="5">
        <v>0</v>
      </c>
      <c r="AE2173" s="5">
        <f t="shared" si="212"/>
        <v>0</v>
      </c>
      <c r="AF2173" s="70">
        <v>0</v>
      </c>
      <c r="AG2173" s="17"/>
      <c r="AH2173" s="18"/>
      <c r="AI2173" s="47" t="s">
        <v>4336</v>
      </c>
      <c r="AJ2173" s="73" t="s">
        <v>4337</v>
      </c>
      <c r="AK2173" s="45"/>
      <c r="AL2173" s="17"/>
      <c r="AM2173" s="121" t="s">
        <v>5610</v>
      </c>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39"/>
      <c r="CE2173" s="138"/>
      <c r="CF2173" s="139"/>
      <c r="CG2173" s="138"/>
      <c r="CH2173" s="139"/>
      <c r="CI2173" s="138"/>
      <c r="CJ2173" s="72"/>
      <c r="CK2173" s="139"/>
      <c r="CL2173" s="71"/>
      <c r="CM2173" s="139"/>
      <c r="CN2173" s="138"/>
      <c r="CO2173" s="138"/>
      <c r="CP2173" s="138"/>
      <c r="CQ2173" s="139"/>
      <c r="CR2173" s="138"/>
      <c r="CS2173" s="45"/>
      <c r="CT2173" s="138"/>
      <c r="CU2173" s="45"/>
      <c r="CV2173" s="99">
        <f t="shared" si="213"/>
        <v>0</v>
      </c>
      <c r="CW2173" s="139"/>
      <c r="CX2173" s="138"/>
      <c r="CY2173" s="138"/>
      <c r="CZ2173" s="138"/>
      <c r="DA2173" s="139"/>
      <c r="DB2173" s="138"/>
      <c r="DC2173" s="45"/>
      <c r="DD2173" s="138"/>
      <c r="DE2173" s="45"/>
      <c r="DF2173" s="46"/>
    </row>
    <row r="2174" spans="1:110" s="42" customFormat="1" ht="132" x14ac:dyDescent="0.2">
      <c r="A2174" s="89">
        <v>40820</v>
      </c>
      <c r="B2174" s="151" t="s">
        <v>2218</v>
      </c>
      <c r="C2174" s="90" t="s">
        <v>4266</v>
      </c>
      <c r="D2174" s="90" t="s">
        <v>4264</v>
      </c>
      <c r="E2174" s="90" t="str">
        <f>VLOOKUP(B2174&amp;C2174,Divipola!$C$2:$F$1138,4,FALSE)</f>
        <v>05088</v>
      </c>
      <c r="F2174" s="4"/>
      <c r="G2174" s="101"/>
      <c r="H2174" s="101"/>
      <c r="I2174" s="101"/>
      <c r="J2174" s="101">
        <v>175</v>
      </c>
      <c r="K2174" s="101">
        <v>35</v>
      </c>
      <c r="L2174" s="101"/>
      <c r="M2174" s="101">
        <v>35</v>
      </c>
      <c r="N2174" s="101"/>
      <c r="O2174" s="101"/>
      <c r="P2174" s="101"/>
      <c r="Q2174" s="101"/>
      <c r="R2174" s="101"/>
      <c r="S2174" s="101"/>
      <c r="T2174" s="101"/>
      <c r="U2174" s="101"/>
      <c r="V2174" s="101"/>
      <c r="W2174" s="19"/>
      <c r="X2174" s="17"/>
      <c r="Y2174" s="5">
        <f t="shared" si="208"/>
        <v>0</v>
      </c>
      <c r="Z2174" s="5">
        <f t="shared" si="209"/>
        <v>0</v>
      </c>
      <c r="AA2174" s="5">
        <f t="shared" si="210"/>
        <v>0</v>
      </c>
      <c r="AB2174" s="5">
        <f t="shared" si="211"/>
        <v>0</v>
      </c>
      <c r="AC2174" s="5"/>
      <c r="AD2174" s="5">
        <v>20000000</v>
      </c>
      <c r="AE2174" s="5">
        <f t="shared" si="212"/>
        <v>20000000</v>
      </c>
      <c r="AF2174" s="70">
        <v>0</v>
      </c>
      <c r="AG2174" s="17"/>
      <c r="AH2174" s="18"/>
      <c r="AI2174" s="47" t="s">
        <v>4346</v>
      </c>
      <c r="AJ2174" s="73" t="s">
        <v>4347</v>
      </c>
      <c r="AK2174" s="45"/>
      <c r="AL2174" s="17"/>
      <c r="AM2174" s="121" t="s">
        <v>4863</v>
      </c>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39"/>
      <c r="CE2174" s="138"/>
      <c r="CF2174" s="139"/>
      <c r="CG2174" s="138"/>
      <c r="CH2174" s="139"/>
      <c r="CI2174" s="138"/>
      <c r="CJ2174" s="72"/>
      <c r="CK2174" s="139"/>
      <c r="CL2174" s="71"/>
      <c r="CM2174" s="139"/>
      <c r="CN2174" s="138"/>
      <c r="CO2174" s="138"/>
      <c r="CP2174" s="138"/>
      <c r="CQ2174" s="139"/>
      <c r="CR2174" s="138"/>
      <c r="CS2174" s="45"/>
      <c r="CT2174" s="138"/>
      <c r="CU2174" s="45"/>
      <c r="CV2174" s="99">
        <f t="shared" si="213"/>
        <v>0</v>
      </c>
      <c r="CW2174" s="139"/>
      <c r="CX2174" s="138"/>
      <c r="CY2174" s="138"/>
      <c r="CZ2174" s="138"/>
      <c r="DA2174" s="139"/>
      <c r="DB2174" s="138"/>
      <c r="DC2174" s="45"/>
      <c r="DD2174" s="138"/>
      <c r="DE2174" s="45"/>
      <c r="DF2174" s="46"/>
    </row>
    <row r="2175" spans="1:110" s="42" customFormat="1" ht="60" x14ac:dyDescent="0.2">
      <c r="A2175" s="89">
        <v>40820</v>
      </c>
      <c r="B2175" s="151" t="s">
        <v>2218</v>
      </c>
      <c r="C2175" s="90" t="s">
        <v>3297</v>
      </c>
      <c r="D2175" s="90" t="s">
        <v>2362</v>
      </c>
      <c r="E2175" s="90" t="str">
        <f>VLOOKUP(B2175&amp;C2175,Divipola!$C$2:$F$1138,4,FALSE)</f>
        <v>05001</v>
      </c>
      <c r="F2175" s="4"/>
      <c r="G2175" s="101"/>
      <c r="H2175" s="101"/>
      <c r="I2175" s="101"/>
      <c r="J2175" s="101">
        <v>15</v>
      </c>
      <c r="K2175" s="101">
        <v>3</v>
      </c>
      <c r="L2175" s="101"/>
      <c r="M2175" s="101">
        <v>3</v>
      </c>
      <c r="N2175" s="101"/>
      <c r="O2175" s="101"/>
      <c r="P2175" s="101"/>
      <c r="Q2175" s="101"/>
      <c r="R2175" s="101"/>
      <c r="S2175" s="101"/>
      <c r="T2175" s="101"/>
      <c r="U2175" s="101"/>
      <c r="V2175" s="101"/>
      <c r="W2175" s="19"/>
      <c r="X2175" s="17"/>
      <c r="Y2175" s="5">
        <f t="shared" si="208"/>
        <v>0</v>
      </c>
      <c r="Z2175" s="5">
        <f t="shared" si="209"/>
        <v>0</v>
      </c>
      <c r="AA2175" s="5">
        <f t="shared" si="210"/>
        <v>0</v>
      </c>
      <c r="AB2175" s="5">
        <f t="shared" si="211"/>
        <v>0</v>
      </c>
      <c r="AC2175" s="5"/>
      <c r="AD2175" s="5">
        <v>0</v>
      </c>
      <c r="AE2175" s="5">
        <f t="shared" si="212"/>
        <v>0</v>
      </c>
      <c r="AF2175" s="70">
        <v>0</v>
      </c>
      <c r="AG2175" s="17"/>
      <c r="AH2175" s="18"/>
      <c r="AI2175" s="47" t="s">
        <v>4336</v>
      </c>
      <c r="AJ2175" s="73" t="s">
        <v>4337</v>
      </c>
      <c r="AK2175" s="45"/>
      <c r="AL2175" s="17"/>
      <c r="AM2175" s="121" t="s">
        <v>4607</v>
      </c>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39"/>
      <c r="CE2175" s="138"/>
      <c r="CF2175" s="139"/>
      <c r="CG2175" s="138"/>
      <c r="CH2175" s="139"/>
      <c r="CI2175" s="138"/>
      <c r="CJ2175" s="72"/>
      <c r="CK2175" s="139"/>
      <c r="CL2175" s="71"/>
      <c r="CM2175" s="139"/>
      <c r="CN2175" s="138"/>
      <c r="CO2175" s="138"/>
      <c r="CP2175" s="138"/>
      <c r="CQ2175" s="139"/>
      <c r="CR2175" s="138"/>
      <c r="CS2175" s="45"/>
      <c r="CT2175" s="138"/>
      <c r="CU2175" s="45"/>
      <c r="CV2175" s="99">
        <f t="shared" si="213"/>
        <v>0</v>
      </c>
      <c r="CW2175" s="139"/>
      <c r="CX2175" s="138"/>
      <c r="CY2175" s="138"/>
      <c r="CZ2175" s="138"/>
      <c r="DA2175" s="139"/>
      <c r="DB2175" s="138"/>
      <c r="DC2175" s="45"/>
      <c r="DD2175" s="138"/>
      <c r="DE2175" s="45"/>
      <c r="DF2175" s="46"/>
    </row>
    <row r="2176" spans="1:110" s="42" customFormat="1" ht="72" x14ac:dyDescent="0.2">
      <c r="A2176" s="89">
        <v>40820</v>
      </c>
      <c r="B2176" s="151" t="s">
        <v>2218</v>
      </c>
      <c r="C2176" s="151" t="s">
        <v>2261</v>
      </c>
      <c r="D2176" s="90" t="s">
        <v>4264</v>
      </c>
      <c r="E2176" s="90" t="str">
        <f>VLOOKUP(B2176&amp;C2176,Divipola!$C$2:$F$1138,4,FALSE)</f>
        <v>05615</v>
      </c>
      <c r="F2176" s="4"/>
      <c r="G2176" s="101"/>
      <c r="H2176" s="101"/>
      <c r="I2176" s="101"/>
      <c r="J2176" s="101">
        <v>600</v>
      </c>
      <c r="K2176" s="101">
        <v>120</v>
      </c>
      <c r="L2176" s="101"/>
      <c r="M2176" s="101">
        <v>120</v>
      </c>
      <c r="N2176" s="101"/>
      <c r="O2176" s="101"/>
      <c r="P2176" s="101"/>
      <c r="Q2176" s="101"/>
      <c r="R2176" s="101"/>
      <c r="S2176" s="101"/>
      <c r="T2176" s="101"/>
      <c r="U2176" s="101"/>
      <c r="V2176" s="101"/>
      <c r="W2176" s="19"/>
      <c r="X2176" s="17"/>
      <c r="Y2176" s="5">
        <f t="shared" si="208"/>
        <v>0</v>
      </c>
      <c r="Z2176" s="5">
        <f t="shared" si="209"/>
        <v>0</v>
      </c>
      <c r="AA2176" s="5">
        <f t="shared" si="210"/>
        <v>0</v>
      </c>
      <c r="AB2176" s="5">
        <f t="shared" si="211"/>
        <v>0</v>
      </c>
      <c r="AC2176" s="5"/>
      <c r="AD2176" s="5">
        <v>0</v>
      </c>
      <c r="AE2176" s="5">
        <f t="shared" si="212"/>
        <v>0</v>
      </c>
      <c r="AF2176" s="70">
        <v>0</v>
      </c>
      <c r="AG2176" s="17"/>
      <c r="AH2176" s="18"/>
      <c r="AI2176" s="47" t="s">
        <v>4346</v>
      </c>
      <c r="AJ2176" s="73" t="s">
        <v>4347</v>
      </c>
      <c r="AK2176" s="45"/>
      <c r="AL2176" s="89" t="s">
        <v>2798</v>
      </c>
      <c r="AM2176" s="121" t="s">
        <v>4620</v>
      </c>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39"/>
      <c r="CE2176" s="138"/>
      <c r="CF2176" s="139"/>
      <c r="CG2176" s="138"/>
      <c r="CH2176" s="139"/>
      <c r="CI2176" s="138"/>
      <c r="CJ2176" s="72"/>
      <c r="CK2176" s="139"/>
      <c r="CL2176" s="71"/>
      <c r="CM2176" s="139"/>
      <c r="CN2176" s="138"/>
      <c r="CO2176" s="138"/>
      <c r="CP2176" s="138"/>
      <c r="CQ2176" s="139"/>
      <c r="CR2176" s="138"/>
      <c r="CS2176" s="45"/>
      <c r="CT2176" s="138"/>
      <c r="CU2176" s="45"/>
      <c r="CV2176" s="99">
        <f t="shared" si="213"/>
        <v>0</v>
      </c>
      <c r="CW2176" s="139"/>
      <c r="CX2176" s="138"/>
      <c r="CY2176" s="138"/>
      <c r="CZ2176" s="138"/>
      <c r="DA2176" s="139"/>
      <c r="DB2176" s="138"/>
      <c r="DC2176" s="45"/>
      <c r="DD2176" s="138"/>
      <c r="DE2176" s="45"/>
      <c r="DF2176" s="46"/>
    </row>
    <row r="2177" spans="1:110" s="42" customFormat="1" ht="96" x14ac:dyDescent="0.2">
      <c r="A2177" s="89">
        <v>40820</v>
      </c>
      <c r="B2177" s="151" t="s">
        <v>4326</v>
      </c>
      <c r="C2177" s="90" t="s">
        <v>4338</v>
      </c>
      <c r="D2177" s="90" t="s">
        <v>4264</v>
      </c>
      <c r="E2177" s="90" t="str">
        <f>VLOOKUP(B2177&amp;C2177,Divipola!$C$2:$F$1138,4,FALSE)</f>
        <v>08001</v>
      </c>
      <c r="F2177" s="4"/>
      <c r="G2177" s="101">
        <v>1</v>
      </c>
      <c r="H2177" s="101"/>
      <c r="I2177" s="101"/>
      <c r="J2177" s="101">
        <v>651</v>
      </c>
      <c r="K2177" s="101">
        <v>130</v>
      </c>
      <c r="L2177" s="101"/>
      <c r="M2177" s="101">
        <v>130</v>
      </c>
      <c r="N2177" s="101"/>
      <c r="O2177" s="101"/>
      <c r="P2177" s="101"/>
      <c r="Q2177" s="101"/>
      <c r="R2177" s="101"/>
      <c r="S2177" s="101"/>
      <c r="T2177" s="101"/>
      <c r="U2177" s="101"/>
      <c r="V2177" s="101"/>
      <c r="W2177" s="19"/>
      <c r="X2177" s="17"/>
      <c r="Y2177" s="5">
        <f t="shared" si="208"/>
        <v>0</v>
      </c>
      <c r="Z2177" s="5">
        <f t="shared" si="209"/>
        <v>0</v>
      </c>
      <c r="AA2177" s="5">
        <f t="shared" si="210"/>
        <v>0</v>
      </c>
      <c r="AB2177" s="5">
        <f t="shared" si="211"/>
        <v>0</v>
      </c>
      <c r="AC2177" s="5"/>
      <c r="AD2177" s="5">
        <v>0</v>
      </c>
      <c r="AE2177" s="5">
        <f t="shared" si="212"/>
        <v>0</v>
      </c>
      <c r="AF2177" s="70">
        <v>0</v>
      </c>
      <c r="AG2177" s="17"/>
      <c r="AH2177" s="18"/>
      <c r="AI2177" s="47" t="s">
        <v>4346</v>
      </c>
      <c r="AJ2177" s="73" t="s">
        <v>4347</v>
      </c>
      <c r="AK2177" s="45"/>
      <c r="AL2177" s="207" t="s">
        <v>4769</v>
      </c>
      <c r="AM2177" s="121" t="s">
        <v>4615</v>
      </c>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39"/>
      <c r="CE2177" s="138"/>
      <c r="CF2177" s="139"/>
      <c r="CG2177" s="138"/>
      <c r="CH2177" s="139"/>
      <c r="CI2177" s="138"/>
      <c r="CJ2177" s="72"/>
      <c r="CK2177" s="139"/>
      <c r="CL2177" s="71"/>
      <c r="CM2177" s="139"/>
      <c r="CN2177" s="138"/>
      <c r="CO2177" s="138"/>
      <c r="CP2177" s="138"/>
      <c r="CQ2177" s="139"/>
      <c r="CR2177" s="138"/>
      <c r="CS2177" s="45"/>
      <c r="CT2177" s="138"/>
      <c r="CU2177" s="45"/>
      <c r="CV2177" s="99">
        <f t="shared" si="213"/>
        <v>0</v>
      </c>
      <c r="CW2177" s="139"/>
      <c r="CX2177" s="138"/>
      <c r="CY2177" s="138"/>
      <c r="CZ2177" s="138"/>
      <c r="DA2177" s="139"/>
      <c r="DB2177" s="138"/>
      <c r="DC2177" s="45"/>
      <c r="DD2177" s="138"/>
      <c r="DE2177" s="45"/>
      <c r="DF2177" s="46"/>
    </row>
    <row r="2178" spans="1:110" s="42" customFormat="1" ht="72" x14ac:dyDescent="0.2">
      <c r="A2178" s="89">
        <v>40820</v>
      </c>
      <c r="B2178" s="151" t="s">
        <v>4261</v>
      </c>
      <c r="C2178" s="90" t="s">
        <v>2629</v>
      </c>
      <c r="D2178" s="90" t="s">
        <v>2362</v>
      </c>
      <c r="E2178" s="90" t="str">
        <f>VLOOKUP(B2178&amp;C2178,Divipola!$C$2:$F$1138,4,FALSE)</f>
        <v>15189</v>
      </c>
      <c r="F2178" s="4"/>
      <c r="G2178" s="101"/>
      <c r="H2178" s="101"/>
      <c r="I2178" s="101"/>
      <c r="J2178" s="101">
        <v>110</v>
      </c>
      <c r="K2178" s="101">
        <v>22</v>
      </c>
      <c r="L2178" s="101">
        <v>2</v>
      </c>
      <c r="M2178" s="101">
        <v>1</v>
      </c>
      <c r="N2178" s="101"/>
      <c r="O2178" s="101"/>
      <c r="P2178" s="101"/>
      <c r="Q2178" s="101"/>
      <c r="R2178" s="101"/>
      <c r="S2178" s="101"/>
      <c r="T2178" s="101"/>
      <c r="U2178" s="101"/>
      <c r="V2178" s="101">
        <v>20</v>
      </c>
      <c r="W2178" s="19"/>
      <c r="X2178" s="17"/>
      <c r="Y2178" s="5">
        <f t="shared" ref="Y2178:Y2241" si="214">CV2178</f>
        <v>0</v>
      </c>
      <c r="Z2178" s="5">
        <f t="shared" ref="Z2178:Z2241" si="215">CZ2178</f>
        <v>0</v>
      </c>
      <c r="AA2178" s="5">
        <f t="shared" ref="AA2178:AA2241" si="216">DB2178+DD2178</f>
        <v>0</v>
      </c>
      <c r="AB2178" s="5">
        <f t="shared" ref="AB2178:AB2241" si="217">CX2178</f>
        <v>0</v>
      </c>
      <c r="AC2178" s="5"/>
      <c r="AD2178" s="5">
        <v>0</v>
      </c>
      <c r="AE2178" s="5">
        <f t="shared" ref="AE2178:AE2241" si="218">Y2178+Z2178+AA2178+AB2178+AC2178+AD2178</f>
        <v>0</v>
      </c>
      <c r="AF2178" s="70">
        <v>0</v>
      </c>
      <c r="AG2178" s="17"/>
      <c r="AH2178" s="18"/>
      <c r="AI2178" s="47" t="s">
        <v>4346</v>
      </c>
      <c r="AJ2178" s="73" t="s">
        <v>4347</v>
      </c>
      <c r="AK2178" s="45"/>
      <c r="AL2178" s="89" t="s">
        <v>2798</v>
      </c>
      <c r="AM2178" s="121" t="s">
        <v>4735</v>
      </c>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39"/>
      <c r="CE2178" s="138"/>
      <c r="CF2178" s="139"/>
      <c r="CG2178" s="138"/>
      <c r="CH2178" s="139"/>
      <c r="CI2178" s="138"/>
      <c r="CJ2178" s="72"/>
      <c r="CK2178" s="139"/>
      <c r="CL2178" s="71"/>
      <c r="CM2178" s="139"/>
      <c r="CN2178" s="138"/>
      <c r="CO2178" s="138"/>
      <c r="CP2178" s="138"/>
      <c r="CQ2178" s="139"/>
      <c r="CR2178" s="138"/>
      <c r="CS2178" s="45"/>
      <c r="CT2178" s="138"/>
      <c r="CU2178" s="45"/>
      <c r="CV2178" s="99">
        <f t="shared" si="213"/>
        <v>0</v>
      </c>
      <c r="CW2178" s="139"/>
      <c r="CX2178" s="138"/>
      <c r="CY2178" s="138"/>
      <c r="CZ2178" s="138"/>
      <c r="DA2178" s="139"/>
      <c r="DB2178" s="138"/>
      <c r="DC2178" s="45"/>
      <c r="DD2178" s="138"/>
      <c r="DE2178" s="45"/>
      <c r="DF2178" s="46"/>
    </row>
    <row r="2179" spans="1:110" s="42" customFormat="1" x14ac:dyDescent="0.2">
      <c r="A2179" s="89">
        <v>40820</v>
      </c>
      <c r="B2179" s="16" t="s">
        <v>4308</v>
      </c>
      <c r="C2179" s="16" t="s">
        <v>4306</v>
      </c>
      <c r="D2179" s="90" t="s">
        <v>4264</v>
      </c>
      <c r="E2179" s="90" t="str">
        <f>VLOOKUP(B2179&amp;C2179,Divipola!$C$2:$F$1138,4,FALSE)</f>
        <v>47001</v>
      </c>
      <c r="F2179" s="4"/>
      <c r="G2179" s="208"/>
      <c r="H2179" s="208"/>
      <c r="I2179" s="208"/>
      <c r="J2179" s="208"/>
      <c r="K2179" s="208"/>
      <c r="L2179" s="208"/>
      <c r="M2179" s="208"/>
      <c r="N2179" s="208"/>
      <c r="O2179" s="208"/>
      <c r="P2179" s="208"/>
      <c r="Q2179" s="208"/>
      <c r="R2179" s="208"/>
      <c r="S2179" s="208"/>
      <c r="T2179" s="208"/>
      <c r="U2179" s="208"/>
      <c r="V2179" s="208"/>
      <c r="W2179" s="19"/>
      <c r="X2179" s="17"/>
      <c r="Y2179" s="5">
        <f t="shared" si="214"/>
        <v>0</v>
      </c>
      <c r="Z2179" s="5">
        <f t="shared" si="215"/>
        <v>0</v>
      </c>
      <c r="AA2179" s="5">
        <f t="shared" si="216"/>
        <v>0</v>
      </c>
      <c r="AB2179" s="5">
        <f t="shared" si="217"/>
        <v>22736000</v>
      </c>
      <c r="AC2179" s="5"/>
      <c r="AD2179" s="5">
        <v>0</v>
      </c>
      <c r="AE2179" s="5">
        <f t="shared" si="218"/>
        <v>22736000</v>
      </c>
      <c r="AF2179" s="70">
        <v>0</v>
      </c>
      <c r="AG2179" s="17"/>
      <c r="AH2179" s="18"/>
      <c r="AI2179" s="109" t="s">
        <v>4346</v>
      </c>
      <c r="AJ2179" s="110" t="s">
        <v>4347</v>
      </c>
      <c r="AK2179" s="45"/>
      <c r="AL2179" s="17"/>
      <c r="AM2179" s="20"/>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39"/>
      <c r="CE2179" s="138"/>
      <c r="CF2179" s="139"/>
      <c r="CG2179" s="138"/>
      <c r="CH2179" s="139"/>
      <c r="CI2179" s="138"/>
      <c r="CJ2179" s="72"/>
      <c r="CK2179" s="139"/>
      <c r="CL2179" s="71"/>
      <c r="CM2179" s="139"/>
      <c r="CN2179" s="138"/>
      <c r="CO2179" s="138"/>
      <c r="CP2179" s="138"/>
      <c r="CQ2179" s="139"/>
      <c r="CR2179" s="138"/>
      <c r="CS2179" s="45"/>
      <c r="CT2179" s="138"/>
      <c r="CU2179" s="45"/>
      <c r="CV2179" s="99">
        <f t="shared" ref="CV2179:CV2242" si="219">AO2179+AQ2179+AS2179+AU2179+AW2179+AY2179+BA2179+BC2179+BE2179+BG2179+BI2179+BK2179+BM2179+BO2179+BQ2179+BS2179+BU2179+BW2179+BY2179+CA2179+CC2179+CE2179+CG2179+CI2179+CK2179+CM2179+CO2179+CQ2179+CS2179+CU2179</f>
        <v>0</v>
      </c>
      <c r="CW2179" s="139">
        <v>25000</v>
      </c>
      <c r="CX2179" s="138">
        <f>25000*909.44</f>
        <v>22736000</v>
      </c>
      <c r="CY2179" s="138"/>
      <c r="CZ2179" s="138"/>
      <c r="DA2179" s="139"/>
      <c r="DB2179" s="138"/>
      <c r="DC2179" s="45"/>
      <c r="DD2179" s="138"/>
      <c r="DE2179" s="45"/>
      <c r="DF2179" s="46"/>
    </row>
    <row r="2180" spans="1:110" s="42" customFormat="1" ht="36" x14ac:dyDescent="0.2">
      <c r="A2180" s="89">
        <v>40820</v>
      </c>
      <c r="B2180" s="151" t="s">
        <v>4244</v>
      </c>
      <c r="C2180" s="90" t="s">
        <v>4276</v>
      </c>
      <c r="D2180" s="90" t="s">
        <v>4264</v>
      </c>
      <c r="E2180" s="90" t="str">
        <f>VLOOKUP(B2180&amp;C2180,Divipola!$C$2:$F$1138,4,FALSE)</f>
        <v>76113</v>
      </c>
      <c r="F2180" s="4"/>
      <c r="G2180" s="101"/>
      <c r="H2180" s="101"/>
      <c r="I2180" s="101"/>
      <c r="J2180" s="101">
        <v>20</v>
      </c>
      <c r="K2180" s="101">
        <v>4</v>
      </c>
      <c r="L2180" s="101"/>
      <c r="M2180" s="101">
        <v>4</v>
      </c>
      <c r="N2180" s="101"/>
      <c r="O2180" s="101"/>
      <c r="P2180" s="101"/>
      <c r="Q2180" s="101"/>
      <c r="R2180" s="101"/>
      <c r="S2180" s="101"/>
      <c r="T2180" s="101"/>
      <c r="U2180" s="101"/>
      <c r="V2180" s="101"/>
      <c r="W2180" s="19"/>
      <c r="X2180" s="17"/>
      <c r="Y2180" s="5">
        <f t="shared" si="214"/>
        <v>0</v>
      </c>
      <c r="Z2180" s="5">
        <f t="shared" si="215"/>
        <v>0</v>
      </c>
      <c r="AA2180" s="5">
        <f t="shared" si="216"/>
        <v>0</v>
      </c>
      <c r="AB2180" s="5">
        <f t="shared" si="217"/>
        <v>0</v>
      </c>
      <c r="AC2180" s="5"/>
      <c r="AD2180" s="5">
        <v>0</v>
      </c>
      <c r="AE2180" s="5">
        <f t="shared" si="218"/>
        <v>0</v>
      </c>
      <c r="AF2180" s="70">
        <v>0</v>
      </c>
      <c r="AG2180" s="17"/>
      <c r="AH2180" s="18"/>
      <c r="AI2180" s="47" t="s">
        <v>4336</v>
      </c>
      <c r="AJ2180" s="73" t="s">
        <v>4337</v>
      </c>
      <c r="AK2180" s="45"/>
      <c r="AL2180" s="17"/>
      <c r="AM2180" s="121" t="s">
        <v>4610</v>
      </c>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39"/>
      <c r="CE2180" s="138"/>
      <c r="CF2180" s="139"/>
      <c r="CG2180" s="138"/>
      <c r="CH2180" s="139"/>
      <c r="CI2180" s="138"/>
      <c r="CJ2180" s="72"/>
      <c r="CK2180" s="139"/>
      <c r="CL2180" s="71"/>
      <c r="CM2180" s="139"/>
      <c r="CN2180" s="138"/>
      <c r="CO2180" s="138"/>
      <c r="CP2180" s="138"/>
      <c r="CQ2180" s="139"/>
      <c r="CR2180" s="138"/>
      <c r="CS2180" s="45"/>
      <c r="CT2180" s="138"/>
      <c r="CU2180" s="45"/>
      <c r="CV2180" s="99">
        <f t="shared" si="219"/>
        <v>0</v>
      </c>
      <c r="CW2180" s="139"/>
      <c r="CX2180" s="138"/>
      <c r="CY2180" s="138"/>
      <c r="CZ2180" s="138"/>
      <c r="DA2180" s="139"/>
      <c r="DB2180" s="138"/>
      <c r="DC2180" s="45"/>
      <c r="DD2180" s="138"/>
      <c r="DE2180" s="45"/>
      <c r="DF2180" s="46"/>
    </row>
    <row r="2181" spans="1:110" s="42" customFormat="1" ht="36" x14ac:dyDescent="0.2">
      <c r="A2181" s="89">
        <v>40820</v>
      </c>
      <c r="B2181" s="151" t="s">
        <v>4244</v>
      </c>
      <c r="C2181" s="90" t="s">
        <v>3373</v>
      </c>
      <c r="D2181" s="90" t="s">
        <v>4264</v>
      </c>
      <c r="E2181" s="90" t="str">
        <f>VLOOKUP(B2181&amp;C2181,Divipola!$C$2:$F$1138,4,FALSE)</f>
        <v>76248</v>
      </c>
      <c r="F2181" s="4"/>
      <c r="G2181" s="101"/>
      <c r="H2181" s="101"/>
      <c r="I2181" s="101"/>
      <c r="J2181" s="101"/>
      <c r="K2181" s="101"/>
      <c r="L2181" s="101"/>
      <c r="M2181" s="101"/>
      <c r="N2181" s="101"/>
      <c r="O2181" s="101"/>
      <c r="P2181" s="101"/>
      <c r="Q2181" s="101"/>
      <c r="R2181" s="101"/>
      <c r="S2181" s="101"/>
      <c r="T2181" s="101"/>
      <c r="U2181" s="101"/>
      <c r="V2181" s="101"/>
      <c r="W2181" s="19"/>
      <c r="X2181" s="17"/>
      <c r="Y2181" s="5">
        <f t="shared" si="214"/>
        <v>0</v>
      </c>
      <c r="Z2181" s="5">
        <f t="shared" si="215"/>
        <v>0</v>
      </c>
      <c r="AA2181" s="5">
        <f t="shared" si="216"/>
        <v>0</v>
      </c>
      <c r="AB2181" s="5">
        <f t="shared" si="217"/>
        <v>0</v>
      </c>
      <c r="AC2181" s="5"/>
      <c r="AD2181" s="5">
        <v>0</v>
      </c>
      <c r="AE2181" s="5">
        <f t="shared" si="218"/>
        <v>0</v>
      </c>
      <c r="AF2181" s="70">
        <v>0</v>
      </c>
      <c r="AG2181" s="17"/>
      <c r="AH2181" s="18"/>
      <c r="AI2181" s="47" t="s">
        <v>4336</v>
      </c>
      <c r="AJ2181" s="73" t="s">
        <v>4337</v>
      </c>
      <c r="AK2181" s="45"/>
      <c r="AL2181" s="17"/>
      <c r="AM2181" s="121" t="s">
        <v>4608</v>
      </c>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39"/>
      <c r="CE2181" s="138"/>
      <c r="CF2181" s="139"/>
      <c r="CG2181" s="138"/>
      <c r="CH2181" s="139"/>
      <c r="CI2181" s="138"/>
      <c r="CJ2181" s="72"/>
      <c r="CK2181" s="139"/>
      <c r="CL2181" s="71"/>
      <c r="CM2181" s="139"/>
      <c r="CN2181" s="138"/>
      <c r="CO2181" s="138"/>
      <c r="CP2181" s="138"/>
      <c r="CQ2181" s="139"/>
      <c r="CR2181" s="138"/>
      <c r="CS2181" s="45"/>
      <c r="CT2181" s="138"/>
      <c r="CU2181" s="45"/>
      <c r="CV2181" s="99">
        <f t="shared" si="219"/>
        <v>0</v>
      </c>
      <c r="CW2181" s="139"/>
      <c r="CX2181" s="138"/>
      <c r="CY2181" s="138"/>
      <c r="CZ2181" s="138"/>
      <c r="DA2181" s="139"/>
      <c r="DB2181" s="138"/>
      <c r="DC2181" s="45"/>
      <c r="DD2181" s="138"/>
      <c r="DE2181" s="45"/>
      <c r="DF2181" s="46"/>
    </row>
    <row r="2182" spans="1:110" s="42" customFormat="1" ht="60" x14ac:dyDescent="0.2">
      <c r="A2182" s="89">
        <v>40820</v>
      </c>
      <c r="B2182" s="151" t="s">
        <v>4244</v>
      </c>
      <c r="C2182" s="90" t="s">
        <v>4319</v>
      </c>
      <c r="D2182" s="90" t="s">
        <v>4264</v>
      </c>
      <c r="E2182" s="90" t="str">
        <f>VLOOKUP(B2182&amp;C2182,Divipola!$C$2:$F$1138,4,FALSE)</f>
        <v>76828</v>
      </c>
      <c r="F2182" s="4"/>
      <c r="G2182" s="101"/>
      <c r="H2182" s="101"/>
      <c r="I2182" s="101"/>
      <c r="J2182" s="101">
        <v>100</v>
      </c>
      <c r="K2182" s="101">
        <v>20</v>
      </c>
      <c r="L2182" s="101"/>
      <c r="M2182" s="101">
        <v>20</v>
      </c>
      <c r="N2182" s="101"/>
      <c r="O2182" s="101"/>
      <c r="P2182" s="101"/>
      <c r="Q2182" s="101"/>
      <c r="R2182" s="101"/>
      <c r="S2182" s="101"/>
      <c r="T2182" s="101"/>
      <c r="U2182" s="101"/>
      <c r="V2182" s="101"/>
      <c r="W2182" s="19"/>
      <c r="X2182" s="17"/>
      <c r="Y2182" s="5">
        <f t="shared" si="214"/>
        <v>0</v>
      </c>
      <c r="Z2182" s="5">
        <f t="shared" si="215"/>
        <v>0</v>
      </c>
      <c r="AA2182" s="5">
        <f t="shared" si="216"/>
        <v>0</v>
      </c>
      <c r="AB2182" s="5">
        <f t="shared" si="217"/>
        <v>0</v>
      </c>
      <c r="AC2182" s="5"/>
      <c r="AD2182" s="5">
        <v>0</v>
      </c>
      <c r="AE2182" s="5">
        <f t="shared" si="218"/>
        <v>0</v>
      </c>
      <c r="AF2182" s="70">
        <v>0</v>
      </c>
      <c r="AG2182" s="17"/>
      <c r="AH2182" s="18"/>
      <c r="AI2182" s="47" t="s">
        <v>4336</v>
      </c>
      <c r="AJ2182" s="73" t="s">
        <v>4337</v>
      </c>
      <c r="AK2182" s="45"/>
      <c r="AL2182" s="17"/>
      <c r="AM2182" s="121" t="s">
        <v>4609</v>
      </c>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39"/>
      <c r="CE2182" s="138"/>
      <c r="CF2182" s="139"/>
      <c r="CG2182" s="138"/>
      <c r="CH2182" s="139"/>
      <c r="CI2182" s="138"/>
      <c r="CJ2182" s="72"/>
      <c r="CK2182" s="139"/>
      <c r="CL2182" s="71"/>
      <c r="CM2182" s="139"/>
      <c r="CN2182" s="138"/>
      <c r="CO2182" s="138"/>
      <c r="CP2182" s="138"/>
      <c r="CQ2182" s="139"/>
      <c r="CR2182" s="138"/>
      <c r="CS2182" s="45"/>
      <c r="CT2182" s="138"/>
      <c r="CU2182" s="45"/>
      <c r="CV2182" s="99">
        <f t="shared" si="219"/>
        <v>0</v>
      </c>
      <c r="CW2182" s="139"/>
      <c r="CX2182" s="138"/>
      <c r="CY2182" s="138"/>
      <c r="CZ2182" s="138"/>
      <c r="DA2182" s="139"/>
      <c r="DB2182" s="138"/>
      <c r="DC2182" s="45"/>
      <c r="DD2182" s="138"/>
      <c r="DE2182" s="45"/>
      <c r="DF2182" s="46"/>
    </row>
    <row r="2183" spans="1:110" s="42" customFormat="1" ht="60" x14ac:dyDescent="0.2">
      <c r="A2183" s="89">
        <v>40820</v>
      </c>
      <c r="B2183" s="151" t="s">
        <v>4219</v>
      </c>
      <c r="C2183" s="90" t="s">
        <v>3496</v>
      </c>
      <c r="D2183" s="90" t="s">
        <v>4264</v>
      </c>
      <c r="E2183" s="90" t="str">
        <f>VLOOKUP(B2183&amp;C2183,Divipola!$C$2:$F$1138,4,FALSE)</f>
        <v>41518</v>
      </c>
      <c r="F2183" s="4"/>
      <c r="G2183" s="101"/>
      <c r="H2183" s="101"/>
      <c r="I2183" s="101"/>
      <c r="J2183" s="101"/>
      <c r="K2183" s="101"/>
      <c r="L2183" s="101"/>
      <c r="M2183" s="101"/>
      <c r="N2183" s="101">
        <v>7</v>
      </c>
      <c r="O2183" s="101"/>
      <c r="P2183" s="101">
        <v>2</v>
      </c>
      <c r="Q2183" s="101"/>
      <c r="R2183" s="101"/>
      <c r="S2183" s="101"/>
      <c r="T2183" s="101"/>
      <c r="U2183" s="19"/>
      <c r="V2183" s="101"/>
      <c r="W2183" s="19"/>
      <c r="X2183" s="17"/>
      <c r="Y2183" s="5">
        <f t="shared" si="214"/>
        <v>0</v>
      </c>
      <c r="Z2183" s="5">
        <f t="shared" si="215"/>
        <v>0</v>
      </c>
      <c r="AA2183" s="5">
        <f t="shared" si="216"/>
        <v>0</v>
      </c>
      <c r="AB2183" s="5">
        <f t="shared" si="217"/>
        <v>0</v>
      </c>
      <c r="AC2183" s="5"/>
      <c r="AD2183" s="5">
        <v>0</v>
      </c>
      <c r="AE2183" s="5">
        <f t="shared" si="218"/>
        <v>0</v>
      </c>
      <c r="AF2183" s="70">
        <v>0</v>
      </c>
      <c r="AG2183" s="17"/>
      <c r="AH2183" s="18"/>
      <c r="AI2183" s="47" t="s">
        <v>4336</v>
      </c>
      <c r="AJ2183" s="73" t="s">
        <v>4337</v>
      </c>
      <c r="AK2183" s="45"/>
      <c r="AL2183" s="17"/>
      <c r="AM2183" s="121" t="s">
        <v>5493</v>
      </c>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39"/>
      <c r="CE2183" s="138"/>
      <c r="CF2183" s="139"/>
      <c r="CG2183" s="138"/>
      <c r="CH2183" s="139"/>
      <c r="CI2183" s="138"/>
      <c r="CJ2183" s="72"/>
      <c r="CK2183" s="139"/>
      <c r="CL2183" s="71"/>
      <c r="CM2183" s="139"/>
      <c r="CN2183" s="138"/>
      <c r="CO2183" s="138"/>
      <c r="CP2183" s="138"/>
      <c r="CQ2183" s="139"/>
      <c r="CR2183" s="138"/>
      <c r="CS2183" s="45"/>
      <c r="CT2183" s="138"/>
      <c r="CU2183" s="45"/>
      <c r="CV2183" s="99">
        <f t="shared" si="219"/>
        <v>0</v>
      </c>
      <c r="CW2183" s="139"/>
      <c r="CX2183" s="138"/>
      <c r="CY2183" s="138"/>
      <c r="CZ2183" s="138"/>
      <c r="DA2183" s="139"/>
      <c r="DB2183" s="138"/>
      <c r="DC2183" s="45"/>
      <c r="DD2183" s="138"/>
      <c r="DE2183" s="45"/>
      <c r="DF2183" s="46"/>
    </row>
    <row r="2184" spans="1:110" s="42" customFormat="1" ht="48" x14ac:dyDescent="0.2">
      <c r="A2184" s="89">
        <v>40821</v>
      </c>
      <c r="B2184" s="16" t="s">
        <v>3358</v>
      </c>
      <c r="C2184" s="16" t="s">
        <v>2220</v>
      </c>
      <c r="D2184" s="90" t="s">
        <v>4264</v>
      </c>
      <c r="E2184" s="90" t="str">
        <f>VLOOKUP(B2184&amp;C2184,Divipola!$C$2:$F$1138,4,FALSE)</f>
        <v>18460</v>
      </c>
      <c r="F2184" s="4"/>
      <c r="G2184" s="208"/>
      <c r="H2184" s="208"/>
      <c r="I2184" s="208"/>
      <c r="J2184" s="208"/>
      <c r="K2184" s="208"/>
      <c r="L2184" s="208"/>
      <c r="M2184" s="208"/>
      <c r="N2184" s="208">
        <v>2</v>
      </c>
      <c r="O2184" s="208"/>
      <c r="P2184" s="208"/>
      <c r="Q2184" s="208"/>
      <c r="R2184" s="208"/>
      <c r="S2184" s="208"/>
      <c r="T2184" s="208"/>
      <c r="U2184" s="208"/>
      <c r="V2184" s="208"/>
      <c r="W2184" s="19"/>
      <c r="X2184" s="17"/>
      <c r="Y2184" s="5">
        <f t="shared" si="214"/>
        <v>0</v>
      </c>
      <c r="Z2184" s="5">
        <f t="shared" si="215"/>
        <v>0</v>
      </c>
      <c r="AA2184" s="5">
        <f t="shared" si="216"/>
        <v>0</v>
      </c>
      <c r="AB2184" s="5">
        <f t="shared" si="217"/>
        <v>0</v>
      </c>
      <c r="AC2184" s="5"/>
      <c r="AD2184" s="5">
        <v>30000000</v>
      </c>
      <c r="AE2184" s="5">
        <f t="shared" si="218"/>
        <v>30000000</v>
      </c>
      <c r="AF2184" s="70">
        <v>0</v>
      </c>
      <c r="AG2184" s="17"/>
      <c r="AH2184" s="18"/>
      <c r="AI2184" s="47" t="s">
        <v>4346</v>
      </c>
      <c r="AJ2184" s="73" t="s">
        <v>4347</v>
      </c>
      <c r="AK2184" s="45"/>
      <c r="AL2184" s="17"/>
      <c r="AM2184" s="20" t="s">
        <v>4642</v>
      </c>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39"/>
      <c r="CE2184" s="138"/>
      <c r="CF2184" s="139"/>
      <c r="CG2184" s="138"/>
      <c r="CH2184" s="139"/>
      <c r="CI2184" s="138"/>
      <c r="CJ2184" s="72"/>
      <c r="CK2184" s="139"/>
      <c r="CL2184" s="71"/>
      <c r="CM2184" s="139"/>
      <c r="CN2184" s="138"/>
      <c r="CO2184" s="138"/>
      <c r="CP2184" s="138"/>
      <c r="CQ2184" s="139"/>
      <c r="CR2184" s="138"/>
      <c r="CS2184" s="45"/>
      <c r="CT2184" s="138"/>
      <c r="CU2184" s="45"/>
      <c r="CV2184" s="99">
        <f t="shared" si="219"/>
        <v>0</v>
      </c>
      <c r="CW2184" s="139"/>
      <c r="CX2184" s="138"/>
      <c r="CY2184" s="138"/>
      <c r="CZ2184" s="138"/>
      <c r="DA2184" s="139"/>
      <c r="DB2184" s="138"/>
      <c r="DC2184" s="45"/>
      <c r="DD2184" s="138"/>
      <c r="DE2184" s="45"/>
      <c r="DF2184" s="46"/>
    </row>
    <row r="2185" spans="1:110" s="42" customFormat="1" ht="36" x14ac:dyDescent="0.2">
      <c r="A2185" s="89">
        <v>40821</v>
      </c>
      <c r="B2185" s="151" t="s">
        <v>4350</v>
      </c>
      <c r="C2185" s="90" t="s">
        <v>4339</v>
      </c>
      <c r="D2185" s="90" t="s">
        <v>4298</v>
      </c>
      <c r="E2185" s="90" t="str">
        <f>VLOOKUP(B2185&amp;C2185,Divipola!$C$2:$F$1138,4,FALSE)</f>
        <v>63401</v>
      </c>
      <c r="F2185" s="4"/>
      <c r="G2185" s="101"/>
      <c r="H2185" s="101"/>
      <c r="I2185" s="101"/>
      <c r="J2185" s="101">
        <v>5</v>
      </c>
      <c r="K2185" s="101">
        <v>1</v>
      </c>
      <c r="L2185" s="101"/>
      <c r="M2185" s="101">
        <v>1</v>
      </c>
      <c r="N2185" s="101"/>
      <c r="O2185" s="101"/>
      <c r="P2185" s="101"/>
      <c r="Q2185" s="101"/>
      <c r="R2185" s="101"/>
      <c r="S2185" s="101"/>
      <c r="T2185" s="101"/>
      <c r="U2185" s="101"/>
      <c r="V2185" s="101"/>
      <c r="W2185" s="19"/>
      <c r="X2185" s="17"/>
      <c r="Y2185" s="5">
        <f t="shared" si="214"/>
        <v>0</v>
      </c>
      <c r="Z2185" s="5">
        <f t="shared" si="215"/>
        <v>0</v>
      </c>
      <c r="AA2185" s="5">
        <f t="shared" si="216"/>
        <v>0</v>
      </c>
      <c r="AB2185" s="5">
        <f t="shared" si="217"/>
        <v>0</v>
      </c>
      <c r="AC2185" s="5"/>
      <c r="AD2185" s="5">
        <v>0</v>
      </c>
      <c r="AE2185" s="5">
        <f t="shared" si="218"/>
        <v>0</v>
      </c>
      <c r="AF2185" s="70">
        <v>0</v>
      </c>
      <c r="AG2185" s="17"/>
      <c r="AH2185" s="18"/>
      <c r="AI2185" s="47" t="s">
        <v>4336</v>
      </c>
      <c r="AJ2185" s="73" t="s">
        <v>4337</v>
      </c>
      <c r="AK2185" s="45"/>
      <c r="AL2185" s="17"/>
      <c r="AM2185" s="121" t="s">
        <v>4616</v>
      </c>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39"/>
      <c r="CE2185" s="138"/>
      <c r="CF2185" s="139"/>
      <c r="CG2185" s="138"/>
      <c r="CH2185" s="139"/>
      <c r="CI2185" s="138"/>
      <c r="CJ2185" s="72"/>
      <c r="CK2185" s="139"/>
      <c r="CL2185" s="71"/>
      <c r="CM2185" s="139"/>
      <c r="CN2185" s="138"/>
      <c r="CO2185" s="138"/>
      <c r="CP2185" s="138"/>
      <c r="CQ2185" s="139"/>
      <c r="CR2185" s="138"/>
      <c r="CS2185" s="45"/>
      <c r="CT2185" s="138"/>
      <c r="CU2185" s="45"/>
      <c r="CV2185" s="99">
        <f t="shared" si="219"/>
        <v>0</v>
      </c>
      <c r="CW2185" s="139"/>
      <c r="CX2185" s="138"/>
      <c r="CY2185" s="138"/>
      <c r="CZ2185" s="138"/>
      <c r="DA2185" s="139"/>
      <c r="DB2185" s="138"/>
      <c r="DC2185" s="45"/>
      <c r="DD2185" s="138"/>
      <c r="DE2185" s="45"/>
      <c r="DF2185" s="46"/>
    </row>
    <row r="2186" spans="1:110" s="42" customFormat="1" ht="36" x14ac:dyDescent="0.2">
      <c r="A2186" s="89">
        <v>40821</v>
      </c>
      <c r="B2186" s="196" t="s">
        <v>4348</v>
      </c>
      <c r="C2186" s="197" t="s">
        <v>4365</v>
      </c>
      <c r="D2186" s="90" t="s">
        <v>4264</v>
      </c>
      <c r="E2186" s="90" t="str">
        <f>VLOOKUP(B2186&amp;C2186,Divipola!$C$2:$F$1138,4,FALSE)</f>
        <v>66682</v>
      </c>
      <c r="F2186" s="4"/>
      <c r="G2186" s="194"/>
      <c r="H2186" s="194"/>
      <c r="I2186" s="194"/>
      <c r="J2186" s="194">
        <v>5</v>
      </c>
      <c r="K2186" s="194">
        <v>1</v>
      </c>
      <c r="L2186" s="194"/>
      <c r="M2186" s="194">
        <v>1</v>
      </c>
      <c r="N2186" s="194"/>
      <c r="O2186" s="194"/>
      <c r="P2186" s="194"/>
      <c r="Q2186" s="194"/>
      <c r="R2186" s="194"/>
      <c r="S2186" s="194"/>
      <c r="T2186" s="194"/>
      <c r="U2186" s="194"/>
      <c r="V2186" s="194"/>
      <c r="W2186" s="19"/>
      <c r="X2186" s="17"/>
      <c r="Y2186" s="5">
        <f t="shared" si="214"/>
        <v>0</v>
      </c>
      <c r="Z2186" s="5">
        <f t="shared" si="215"/>
        <v>0</v>
      </c>
      <c r="AA2186" s="5">
        <f t="shared" si="216"/>
        <v>0</v>
      </c>
      <c r="AB2186" s="5">
        <f t="shared" si="217"/>
        <v>0</v>
      </c>
      <c r="AC2186" s="5"/>
      <c r="AD2186" s="5">
        <v>0</v>
      </c>
      <c r="AE2186" s="5">
        <f t="shared" si="218"/>
        <v>0</v>
      </c>
      <c r="AF2186" s="70">
        <v>0</v>
      </c>
      <c r="AG2186" s="17"/>
      <c r="AH2186" s="18"/>
      <c r="AI2186" s="47" t="s">
        <v>4336</v>
      </c>
      <c r="AJ2186" s="73" t="s">
        <v>4337</v>
      </c>
      <c r="AK2186" s="45"/>
      <c r="AL2186" s="17"/>
      <c r="AM2186" s="195" t="s">
        <v>4896</v>
      </c>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39"/>
      <c r="CE2186" s="138"/>
      <c r="CF2186" s="139"/>
      <c r="CG2186" s="138"/>
      <c r="CH2186" s="139"/>
      <c r="CI2186" s="138"/>
      <c r="CJ2186" s="72"/>
      <c r="CK2186" s="139"/>
      <c r="CL2186" s="71"/>
      <c r="CM2186" s="139"/>
      <c r="CN2186" s="138"/>
      <c r="CO2186" s="138"/>
      <c r="CP2186" s="138"/>
      <c r="CQ2186" s="139"/>
      <c r="CR2186" s="138"/>
      <c r="CS2186" s="45"/>
      <c r="CT2186" s="138"/>
      <c r="CU2186" s="45"/>
      <c r="CV2186" s="99">
        <f t="shared" si="219"/>
        <v>0</v>
      </c>
      <c r="CW2186" s="139"/>
      <c r="CX2186" s="138"/>
      <c r="CY2186" s="138"/>
      <c r="CZ2186" s="138"/>
      <c r="DA2186" s="139"/>
      <c r="DB2186" s="138"/>
      <c r="DC2186" s="45"/>
      <c r="DD2186" s="138"/>
      <c r="DE2186" s="45"/>
      <c r="DF2186" s="46"/>
    </row>
    <row r="2187" spans="1:110" s="42" customFormat="1" ht="36" x14ac:dyDescent="0.2">
      <c r="A2187" s="89">
        <v>40822</v>
      </c>
      <c r="B2187" s="151" t="s">
        <v>4344</v>
      </c>
      <c r="C2187" s="90" t="s">
        <v>1663</v>
      </c>
      <c r="D2187" s="90" t="s">
        <v>3346</v>
      </c>
      <c r="E2187" s="90" t="str">
        <f>VLOOKUP(B2187&amp;C2187,Divipola!$C$2:$F$1138,4,FALSE)</f>
        <v>25123</v>
      </c>
      <c r="F2187" s="4"/>
      <c r="G2187" s="101"/>
      <c r="H2187" s="101"/>
      <c r="I2187" s="101"/>
      <c r="J2187" s="101">
        <v>225</v>
      </c>
      <c r="K2187" s="101">
        <v>27</v>
      </c>
      <c r="L2187" s="101"/>
      <c r="M2187" s="101">
        <v>27</v>
      </c>
      <c r="N2187" s="101"/>
      <c r="O2187" s="101"/>
      <c r="P2187" s="101"/>
      <c r="Q2187" s="101"/>
      <c r="R2187" s="101"/>
      <c r="S2187" s="101"/>
      <c r="T2187" s="101"/>
      <c r="U2187" s="101"/>
      <c r="V2187" s="101"/>
      <c r="W2187" s="19"/>
      <c r="X2187" s="17"/>
      <c r="Y2187" s="5">
        <f t="shared" si="214"/>
        <v>0</v>
      </c>
      <c r="Z2187" s="5">
        <f t="shared" si="215"/>
        <v>0</v>
      </c>
      <c r="AA2187" s="5">
        <f t="shared" si="216"/>
        <v>0</v>
      </c>
      <c r="AB2187" s="5">
        <f t="shared" si="217"/>
        <v>0</v>
      </c>
      <c r="AC2187" s="5"/>
      <c r="AD2187" s="5">
        <v>0</v>
      </c>
      <c r="AE2187" s="5">
        <f t="shared" si="218"/>
        <v>0</v>
      </c>
      <c r="AF2187" s="70">
        <v>0</v>
      </c>
      <c r="AG2187" s="17"/>
      <c r="AH2187" s="18"/>
      <c r="AI2187" s="47" t="s">
        <v>4336</v>
      </c>
      <c r="AJ2187" s="73" t="s">
        <v>4337</v>
      </c>
      <c r="AK2187" s="45"/>
      <c r="AL2187" s="17"/>
      <c r="AM2187" s="121" t="s">
        <v>4658</v>
      </c>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39"/>
      <c r="CE2187" s="138"/>
      <c r="CF2187" s="139"/>
      <c r="CG2187" s="138"/>
      <c r="CH2187" s="139"/>
      <c r="CI2187" s="138"/>
      <c r="CJ2187" s="72"/>
      <c r="CK2187" s="139"/>
      <c r="CL2187" s="71"/>
      <c r="CM2187" s="139"/>
      <c r="CN2187" s="138"/>
      <c r="CO2187" s="138"/>
      <c r="CP2187" s="138"/>
      <c r="CQ2187" s="139"/>
      <c r="CR2187" s="138"/>
      <c r="CS2187" s="45"/>
      <c r="CT2187" s="138"/>
      <c r="CU2187" s="45"/>
      <c r="CV2187" s="99">
        <f t="shared" si="219"/>
        <v>0</v>
      </c>
      <c r="CW2187" s="139"/>
      <c r="CX2187" s="138"/>
      <c r="CY2187" s="138"/>
      <c r="CZ2187" s="138"/>
      <c r="DA2187" s="139"/>
      <c r="DB2187" s="138"/>
      <c r="DC2187" s="45"/>
      <c r="DD2187" s="138"/>
      <c r="DE2187" s="45"/>
      <c r="DF2187" s="46"/>
    </row>
    <row r="2188" spans="1:110" s="42" customFormat="1" ht="60" x14ac:dyDescent="0.2">
      <c r="A2188" s="89">
        <v>40822</v>
      </c>
      <c r="B2188" s="16" t="s">
        <v>4387</v>
      </c>
      <c r="C2188" s="16" t="s">
        <v>799</v>
      </c>
      <c r="D2188" s="90" t="s">
        <v>2362</v>
      </c>
      <c r="E2188" s="90" t="str">
        <f>VLOOKUP(B2188&amp;C2188,Divipola!$C$2:$F$1138,4,FALSE)</f>
        <v>52287</v>
      </c>
      <c r="F2188" s="4"/>
      <c r="G2188" s="208">
        <v>1</v>
      </c>
      <c r="H2188" s="208">
        <v>3</v>
      </c>
      <c r="I2188" s="208"/>
      <c r="J2188" s="208"/>
      <c r="K2188" s="208"/>
      <c r="L2188" s="208"/>
      <c r="M2188" s="208"/>
      <c r="N2188" s="208"/>
      <c r="O2188" s="208"/>
      <c r="P2188" s="208"/>
      <c r="Q2188" s="208"/>
      <c r="R2188" s="208"/>
      <c r="S2188" s="208"/>
      <c r="T2188" s="208"/>
      <c r="U2188" s="208"/>
      <c r="V2188" s="208"/>
      <c r="W2188" s="19"/>
      <c r="X2188" s="17"/>
      <c r="Y2188" s="5">
        <f t="shared" si="214"/>
        <v>0</v>
      </c>
      <c r="Z2188" s="5">
        <f t="shared" si="215"/>
        <v>0</v>
      </c>
      <c r="AA2188" s="5">
        <f t="shared" si="216"/>
        <v>0</v>
      </c>
      <c r="AB2188" s="5">
        <f t="shared" si="217"/>
        <v>0</v>
      </c>
      <c r="AC2188" s="5"/>
      <c r="AD2188" s="5">
        <v>0</v>
      </c>
      <c r="AE2188" s="5">
        <f t="shared" si="218"/>
        <v>0</v>
      </c>
      <c r="AF2188" s="70">
        <v>0</v>
      </c>
      <c r="AG2188" s="17"/>
      <c r="AH2188" s="18"/>
      <c r="AI2188" s="47" t="s">
        <v>4336</v>
      </c>
      <c r="AJ2188" s="73" t="s">
        <v>4337</v>
      </c>
      <c r="AK2188" s="45"/>
      <c r="AL2188" s="17"/>
      <c r="AM2188" s="121" t="s">
        <v>4624</v>
      </c>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39"/>
      <c r="CE2188" s="138"/>
      <c r="CF2188" s="139"/>
      <c r="CG2188" s="138"/>
      <c r="CH2188" s="139"/>
      <c r="CI2188" s="138"/>
      <c r="CJ2188" s="72"/>
      <c r="CK2188" s="139"/>
      <c r="CL2188" s="71"/>
      <c r="CM2188" s="139"/>
      <c r="CN2188" s="138"/>
      <c r="CO2188" s="138"/>
      <c r="CP2188" s="138"/>
      <c r="CQ2188" s="139"/>
      <c r="CR2188" s="138"/>
      <c r="CS2188" s="45"/>
      <c r="CT2188" s="138"/>
      <c r="CU2188" s="45"/>
      <c r="CV2188" s="99">
        <f t="shared" si="219"/>
        <v>0</v>
      </c>
      <c r="CW2188" s="139"/>
      <c r="CX2188" s="138"/>
      <c r="CY2188" s="138"/>
      <c r="CZ2188" s="138"/>
      <c r="DA2188" s="139"/>
      <c r="DB2188" s="138"/>
      <c r="DC2188" s="45"/>
      <c r="DD2188" s="138"/>
      <c r="DE2188" s="45"/>
      <c r="DF2188" s="46"/>
    </row>
    <row r="2189" spans="1:110" s="42" customFormat="1" ht="36" x14ac:dyDescent="0.2">
      <c r="A2189" s="89">
        <v>40822</v>
      </c>
      <c r="B2189" s="16" t="s">
        <v>4350</v>
      </c>
      <c r="C2189" s="16" t="s">
        <v>797</v>
      </c>
      <c r="D2189" s="16" t="s">
        <v>3346</v>
      </c>
      <c r="E2189" s="90" t="str">
        <f>VLOOKUP(B2189&amp;C2189,Divipola!$C$2:$F$1138,4,FALSE)</f>
        <v>63272</v>
      </c>
      <c r="F2189" s="4"/>
      <c r="G2189" s="208"/>
      <c r="H2189" s="208"/>
      <c r="I2189" s="208"/>
      <c r="J2189" s="208">
        <v>110</v>
      </c>
      <c r="K2189" s="208">
        <v>22</v>
      </c>
      <c r="L2189" s="208"/>
      <c r="M2189" s="208">
        <v>22</v>
      </c>
      <c r="N2189" s="208"/>
      <c r="O2189" s="208"/>
      <c r="P2189" s="208"/>
      <c r="Q2189" s="208"/>
      <c r="R2189" s="208"/>
      <c r="S2189" s="208">
        <v>1</v>
      </c>
      <c r="T2189" s="208"/>
      <c r="U2189" s="208"/>
      <c r="V2189" s="208"/>
      <c r="W2189" s="19"/>
      <c r="X2189" s="17"/>
      <c r="Y2189" s="5">
        <f t="shared" si="214"/>
        <v>3410000</v>
      </c>
      <c r="Z2189" s="5">
        <f t="shared" si="215"/>
        <v>1190000</v>
      </c>
      <c r="AA2189" s="5">
        <f t="shared" si="216"/>
        <v>2640000</v>
      </c>
      <c r="AB2189" s="5">
        <f t="shared" si="217"/>
        <v>0</v>
      </c>
      <c r="AC2189" s="5"/>
      <c r="AD2189" s="5">
        <v>0</v>
      </c>
      <c r="AE2189" s="5">
        <f t="shared" si="218"/>
        <v>7240000</v>
      </c>
      <c r="AF2189" s="70">
        <v>0</v>
      </c>
      <c r="AG2189" s="17"/>
      <c r="AH2189" s="18"/>
      <c r="AI2189" s="109" t="s">
        <v>4346</v>
      </c>
      <c r="AJ2189" s="110" t="s">
        <v>4347</v>
      </c>
      <c r="AK2189" s="45"/>
      <c r="AL2189" s="17"/>
      <c r="AM2189" s="121" t="s">
        <v>4623</v>
      </c>
      <c r="AN2189" s="19"/>
      <c r="AO2189" s="19"/>
      <c r="AP2189" s="19"/>
      <c r="AQ2189" s="19"/>
      <c r="AR2189" s="19"/>
      <c r="AS2189" s="19"/>
      <c r="AT2189" s="19"/>
      <c r="AU2189" s="19"/>
      <c r="AV2189" s="19"/>
      <c r="AW2189" s="19"/>
      <c r="AX2189" s="19"/>
      <c r="AY2189" s="19"/>
      <c r="AZ2189" s="19">
        <v>44</v>
      </c>
      <c r="BA2189" s="19">
        <f>44*56000</f>
        <v>2464000</v>
      </c>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39"/>
      <c r="CE2189" s="138"/>
      <c r="CF2189" s="139"/>
      <c r="CG2189" s="138"/>
      <c r="CH2189" s="139"/>
      <c r="CI2189" s="138"/>
      <c r="CJ2189" s="72">
        <v>44</v>
      </c>
      <c r="CK2189" s="139">
        <f>44*21500</f>
        <v>946000</v>
      </c>
      <c r="CL2189" s="71"/>
      <c r="CM2189" s="139"/>
      <c r="CN2189" s="138"/>
      <c r="CO2189" s="138"/>
      <c r="CP2189" s="138"/>
      <c r="CQ2189" s="139"/>
      <c r="CR2189" s="138"/>
      <c r="CS2189" s="45"/>
      <c r="CT2189" s="138"/>
      <c r="CU2189" s="45"/>
      <c r="CV2189" s="99">
        <f t="shared" si="219"/>
        <v>3410000</v>
      </c>
      <c r="CW2189" s="139"/>
      <c r="CX2189" s="138"/>
      <c r="CY2189" s="138">
        <v>14</v>
      </c>
      <c r="CZ2189" s="138">
        <f>14*85000</f>
        <v>1190000</v>
      </c>
      <c r="DA2189" s="139"/>
      <c r="DB2189" s="138"/>
      <c r="DC2189" s="45">
        <v>80</v>
      </c>
      <c r="DD2189" s="138">
        <f>80*33000</f>
        <v>2640000</v>
      </c>
      <c r="DE2189" s="45"/>
      <c r="DF2189" s="46"/>
    </row>
    <row r="2190" spans="1:110" s="42" customFormat="1" ht="72" x14ac:dyDescent="0.2">
      <c r="A2190" s="89">
        <v>40822</v>
      </c>
      <c r="B2190" s="151" t="s">
        <v>4350</v>
      </c>
      <c r="C2190" s="90" t="s">
        <v>3507</v>
      </c>
      <c r="D2190" s="90" t="s">
        <v>4264</v>
      </c>
      <c r="E2190" s="90" t="str">
        <f>VLOOKUP(B2190&amp;C2190,Divipola!$C$2:$F$1138,4,FALSE)</f>
        <v>63470</v>
      </c>
      <c r="F2190" s="4"/>
      <c r="G2190" s="101"/>
      <c r="H2190" s="101"/>
      <c r="I2190" s="101"/>
      <c r="J2190" s="101"/>
      <c r="K2190" s="101"/>
      <c r="L2190" s="101"/>
      <c r="M2190" s="101"/>
      <c r="N2190" s="101"/>
      <c r="O2190" s="101"/>
      <c r="P2190" s="101"/>
      <c r="Q2190" s="101"/>
      <c r="R2190" s="101"/>
      <c r="S2190" s="101"/>
      <c r="T2190" s="101"/>
      <c r="U2190" s="101"/>
      <c r="V2190" s="101"/>
      <c r="W2190" s="19"/>
      <c r="X2190" s="17"/>
      <c r="Y2190" s="5">
        <f t="shared" si="214"/>
        <v>0</v>
      </c>
      <c r="Z2190" s="5">
        <f t="shared" si="215"/>
        <v>0</v>
      </c>
      <c r="AA2190" s="5">
        <f t="shared" si="216"/>
        <v>0</v>
      </c>
      <c r="AB2190" s="5">
        <f t="shared" si="217"/>
        <v>0</v>
      </c>
      <c r="AC2190" s="5"/>
      <c r="AD2190" s="5">
        <v>0</v>
      </c>
      <c r="AE2190" s="5">
        <f t="shared" si="218"/>
        <v>0</v>
      </c>
      <c r="AF2190" s="70">
        <v>0</v>
      </c>
      <c r="AG2190" s="17"/>
      <c r="AH2190" s="18"/>
      <c r="AI2190" s="47" t="s">
        <v>4336</v>
      </c>
      <c r="AJ2190" s="73" t="s">
        <v>4337</v>
      </c>
      <c r="AK2190" s="45"/>
      <c r="AL2190" s="17"/>
      <c r="AM2190" s="121" t="s">
        <v>4622</v>
      </c>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39"/>
      <c r="CE2190" s="138"/>
      <c r="CF2190" s="139"/>
      <c r="CG2190" s="138"/>
      <c r="CH2190" s="139"/>
      <c r="CI2190" s="138"/>
      <c r="CJ2190" s="72"/>
      <c r="CK2190" s="139"/>
      <c r="CL2190" s="71"/>
      <c r="CM2190" s="139"/>
      <c r="CN2190" s="138"/>
      <c r="CO2190" s="138"/>
      <c r="CP2190" s="138"/>
      <c r="CQ2190" s="139"/>
      <c r="CR2190" s="138"/>
      <c r="CS2190" s="45"/>
      <c r="CT2190" s="138"/>
      <c r="CU2190" s="45"/>
      <c r="CV2190" s="99">
        <f t="shared" si="219"/>
        <v>0</v>
      </c>
      <c r="CW2190" s="139"/>
      <c r="CX2190" s="138"/>
      <c r="CY2190" s="138"/>
      <c r="CZ2190" s="138"/>
      <c r="DA2190" s="139"/>
      <c r="DB2190" s="138"/>
      <c r="DC2190" s="45"/>
      <c r="DD2190" s="138"/>
      <c r="DE2190" s="45"/>
      <c r="DF2190" s="46"/>
    </row>
    <row r="2191" spans="1:110" s="42" customFormat="1" ht="24" x14ac:dyDescent="0.2">
      <c r="A2191" s="89">
        <v>40822</v>
      </c>
      <c r="B2191" s="151" t="s">
        <v>4348</v>
      </c>
      <c r="C2191" s="90" t="s">
        <v>601</v>
      </c>
      <c r="D2191" s="90" t="s">
        <v>4264</v>
      </c>
      <c r="E2191" s="90" t="str">
        <f>VLOOKUP(B2191&amp;C2191,Divipola!$C$2:$F$1138,4,FALSE)</f>
        <v>66170</v>
      </c>
      <c r="F2191" s="4"/>
      <c r="G2191" s="101"/>
      <c r="H2191" s="101"/>
      <c r="I2191" s="101"/>
      <c r="J2191" s="101">
        <v>20</v>
      </c>
      <c r="K2191" s="101">
        <v>4</v>
      </c>
      <c r="L2191" s="101"/>
      <c r="M2191" s="101">
        <v>4</v>
      </c>
      <c r="N2191" s="101"/>
      <c r="O2191" s="101"/>
      <c r="P2191" s="101"/>
      <c r="Q2191" s="101"/>
      <c r="R2191" s="101"/>
      <c r="S2191" s="101"/>
      <c r="T2191" s="101"/>
      <c r="U2191" s="101"/>
      <c r="V2191" s="101"/>
      <c r="W2191" s="19"/>
      <c r="X2191" s="17"/>
      <c r="Y2191" s="5">
        <f t="shared" si="214"/>
        <v>0</v>
      </c>
      <c r="Z2191" s="5">
        <f t="shared" si="215"/>
        <v>0</v>
      </c>
      <c r="AA2191" s="5">
        <f t="shared" si="216"/>
        <v>0</v>
      </c>
      <c r="AB2191" s="5">
        <f t="shared" si="217"/>
        <v>0</v>
      </c>
      <c r="AC2191" s="5"/>
      <c r="AD2191" s="5">
        <v>0</v>
      </c>
      <c r="AE2191" s="5">
        <f t="shared" si="218"/>
        <v>0</v>
      </c>
      <c r="AF2191" s="70">
        <v>0</v>
      </c>
      <c r="AG2191" s="17"/>
      <c r="AH2191" s="18"/>
      <c r="AI2191" s="47" t="s">
        <v>4336</v>
      </c>
      <c r="AJ2191" s="73" t="s">
        <v>4337</v>
      </c>
      <c r="AK2191" s="45"/>
      <c r="AL2191" s="17"/>
      <c r="AM2191" s="121" t="s">
        <v>4626</v>
      </c>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39"/>
      <c r="CE2191" s="138"/>
      <c r="CF2191" s="139"/>
      <c r="CG2191" s="138"/>
      <c r="CH2191" s="139"/>
      <c r="CI2191" s="138"/>
      <c r="CJ2191" s="72"/>
      <c r="CK2191" s="139"/>
      <c r="CL2191" s="71"/>
      <c r="CM2191" s="139"/>
      <c r="CN2191" s="138"/>
      <c r="CO2191" s="138"/>
      <c r="CP2191" s="138"/>
      <c r="CQ2191" s="139"/>
      <c r="CR2191" s="138"/>
      <c r="CS2191" s="45"/>
      <c r="CT2191" s="138"/>
      <c r="CU2191" s="45"/>
      <c r="CV2191" s="99">
        <f t="shared" si="219"/>
        <v>0</v>
      </c>
      <c r="CW2191" s="139"/>
      <c r="CX2191" s="138"/>
      <c r="CY2191" s="138"/>
      <c r="CZ2191" s="138"/>
      <c r="DA2191" s="139"/>
      <c r="DB2191" s="138"/>
      <c r="DC2191" s="45"/>
      <c r="DD2191" s="138"/>
      <c r="DE2191" s="45"/>
      <c r="DF2191" s="46"/>
    </row>
    <row r="2192" spans="1:110" s="42" customFormat="1" ht="72" x14ac:dyDescent="0.2">
      <c r="A2192" s="89">
        <v>40822</v>
      </c>
      <c r="B2192" s="151" t="s">
        <v>4348</v>
      </c>
      <c r="C2192" s="90" t="s">
        <v>2228</v>
      </c>
      <c r="D2192" s="90" t="s">
        <v>4264</v>
      </c>
      <c r="E2192" s="90" t="str">
        <f>VLOOKUP(B2192&amp;C2192,Divipola!$C$2:$F$1138,4,FALSE)</f>
        <v>66001</v>
      </c>
      <c r="F2192" s="4"/>
      <c r="G2192" s="101"/>
      <c r="H2192" s="101"/>
      <c r="I2192" s="101"/>
      <c r="J2192" s="101">
        <v>70</v>
      </c>
      <c r="K2192" s="101">
        <v>14</v>
      </c>
      <c r="L2192" s="101"/>
      <c r="M2192" s="101">
        <v>14</v>
      </c>
      <c r="N2192" s="101"/>
      <c r="O2192" s="101"/>
      <c r="P2192" s="101"/>
      <c r="Q2192" s="101"/>
      <c r="R2192" s="101"/>
      <c r="S2192" s="101"/>
      <c r="T2192" s="101"/>
      <c r="U2192" s="101"/>
      <c r="V2192" s="101"/>
      <c r="W2192" s="19"/>
      <c r="X2192" s="17"/>
      <c r="Y2192" s="5">
        <f t="shared" si="214"/>
        <v>0</v>
      </c>
      <c r="Z2192" s="5">
        <f t="shared" si="215"/>
        <v>0</v>
      </c>
      <c r="AA2192" s="5">
        <f t="shared" si="216"/>
        <v>0</v>
      </c>
      <c r="AB2192" s="5">
        <f t="shared" si="217"/>
        <v>0</v>
      </c>
      <c r="AC2192" s="5"/>
      <c r="AD2192" s="5">
        <v>0</v>
      </c>
      <c r="AE2192" s="5">
        <f t="shared" si="218"/>
        <v>0</v>
      </c>
      <c r="AF2192" s="70">
        <v>0</v>
      </c>
      <c r="AG2192" s="17"/>
      <c r="AH2192" s="18"/>
      <c r="AI2192" s="47" t="s">
        <v>4336</v>
      </c>
      <c r="AJ2192" s="73" t="s">
        <v>4337</v>
      </c>
      <c r="AK2192" s="45"/>
      <c r="AL2192" s="17"/>
      <c r="AM2192" s="121" t="s">
        <v>4625</v>
      </c>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39"/>
      <c r="CE2192" s="138"/>
      <c r="CF2192" s="139"/>
      <c r="CG2192" s="138"/>
      <c r="CH2192" s="139"/>
      <c r="CI2192" s="138"/>
      <c r="CJ2192" s="72"/>
      <c r="CK2192" s="139"/>
      <c r="CL2192" s="71"/>
      <c r="CM2192" s="139"/>
      <c r="CN2192" s="138"/>
      <c r="CO2192" s="138"/>
      <c r="CP2192" s="138"/>
      <c r="CQ2192" s="139"/>
      <c r="CR2192" s="138"/>
      <c r="CS2192" s="45"/>
      <c r="CT2192" s="138"/>
      <c r="CU2192" s="45"/>
      <c r="CV2192" s="99">
        <f t="shared" si="219"/>
        <v>0</v>
      </c>
      <c r="CW2192" s="139"/>
      <c r="CX2192" s="138"/>
      <c r="CY2192" s="138"/>
      <c r="CZ2192" s="138"/>
      <c r="DA2192" s="139"/>
      <c r="DB2192" s="138"/>
      <c r="DC2192" s="45"/>
      <c r="DD2192" s="138"/>
      <c r="DE2192" s="45"/>
      <c r="DF2192" s="46"/>
    </row>
    <row r="2193" spans="1:110" s="42" customFormat="1" ht="84" x14ac:dyDescent="0.2">
      <c r="A2193" s="89">
        <v>40823</v>
      </c>
      <c r="B2193" s="151" t="s">
        <v>4326</v>
      </c>
      <c r="C2193" s="90" t="s">
        <v>2447</v>
      </c>
      <c r="D2193" s="90" t="s">
        <v>35</v>
      </c>
      <c r="E2193" s="90" t="str">
        <f>VLOOKUP(B2193&amp;C2193,Divipola!$C$2:$F$1138,4,FALSE)</f>
        <v>08573</v>
      </c>
      <c r="F2193" s="4"/>
      <c r="G2193" s="194"/>
      <c r="H2193" s="194"/>
      <c r="I2193" s="194"/>
      <c r="J2193" s="194"/>
      <c r="K2193" s="194"/>
      <c r="L2193" s="194"/>
      <c r="M2193" s="194"/>
      <c r="N2193" s="194"/>
      <c r="O2193" s="194"/>
      <c r="P2193" s="194"/>
      <c r="Q2193" s="194"/>
      <c r="R2193" s="194"/>
      <c r="S2193" s="194"/>
      <c r="T2193" s="194"/>
      <c r="U2193" s="194"/>
      <c r="V2193" s="194"/>
      <c r="W2193" s="19"/>
      <c r="X2193" s="17"/>
      <c r="Y2193" s="5">
        <f t="shared" si="214"/>
        <v>0</v>
      </c>
      <c r="Z2193" s="5">
        <f t="shared" si="215"/>
        <v>0</v>
      </c>
      <c r="AA2193" s="5">
        <f t="shared" si="216"/>
        <v>0</v>
      </c>
      <c r="AB2193" s="5">
        <f t="shared" si="217"/>
        <v>0</v>
      </c>
      <c r="AC2193" s="5"/>
      <c r="AD2193" s="5">
        <v>0</v>
      </c>
      <c r="AE2193" s="5">
        <f t="shared" si="218"/>
        <v>0</v>
      </c>
      <c r="AF2193" s="70">
        <v>0</v>
      </c>
      <c r="AG2193" s="17"/>
      <c r="AH2193" s="18"/>
      <c r="AI2193" s="47" t="s">
        <v>4336</v>
      </c>
      <c r="AJ2193" s="73" t="s">
        <v>4337</v>
      </c>
      <c r="AK2193" s="45"/>
      <c r="AL2193" s="17"/>
      <c r="AM2193" s="195" t="s">
        <v>4666</v>
      </c>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39"/>
      <c r="CE2193" s="138"/>
      <c r="CF2193" s="139"/>
      <c r="CG2193" s="138"/>
      <c r="CH2193" s="139"/>
      <c r="CI2193" s="138"/>
      <c r="CJ2193" s="72"/>
      <c r="CK2193" s="139"/>
      <c r="CL2193" s="71"/>
      <c r="CM2193" s="139"/>
      <c r="CN2193" s="138"/>
      <c r="CO2193" s="138"/>
      <c r="CP2193" s="138"/>
      <c r="CQ2193" s="139"/>
      <c r="CR2193" s="138"/>
      <c r="CS2193" s="45"/>
      <c r="CT2193" s="138"/>
      <c r="CU2193" s="45"/>
      <c r="CV2193" s="99">
        <f t="shared" si="219"/>
        <v>0</v>
      </c>
      <c r="CW2193" s="139"/>
      <c r="CX2193" s="138"/>
      <c r="CY2193" s="138"/>
      <c r="CZ2193" s="138"/>
      <c r="DA2193" s="139"/>
      <c r="DB2193" s="138"/>
      <c r="DC2193" s="45"/>
      <c r="DD2193" s="138"/>
      <c r="DE2193" s="45"/>
      <c r="DF2193" s="46"/>
    </row>
    <row r="2194" spans="1:110" s="42" customFormat="1" x14ac:dyDescent="0.2">
      <c r="A2194" s="89">
        <v>40823</v>
      </c>
      <c r="B2194" s="16" t="s">
        <v>4296</v>
      </c>
      <c r="C2194" s="16" t="s">
        <v>4237</v>
      </c>
      <c r="D2194" s="90" t="s">
        <v>4264</v>
      </c>
      <c r="E2194" s="90" t="str">
        <f>VLOOKUP(B2194&amp;C2194,Divipola!$C$2:$F$1138,4,FALSE)</f>
        <v>19701</v>
      </c>
      <c r="F2194" s="4"/>
      <c r="G2194" s="208"/>
      <c r="H2194" s="208"/>
      <c r="I2194" s="208"/>
      <c r="J2194" s="208">
        <f>155*5</f>
        <v>775</v>
      </c>
      <c r="K2194" s="208">
        <v>155</v>
      </c>
      <c r="L2194" s="208"/>
      <c r="M2194" s="208">
        <v>155</v>
      </c>
      <c r="N2194" s="208"/>
      <c r="O2194" s="208"/>
      <c r="P2194" s="208"/>
      <c r="Q2194" s="208"/>
      <c r="R2194" s="208"/>
      <c r="S2194" s="208"/>
      <c r="T2194" s="208"/>
      <c r="U2194" s="208"/>
      <c r="V2194" s="208"/>
      <c r="W2194" s="19"/>
      <c r="X2194" s="17"/>
      <c r="Y2194" s="5">
        <f t="shared" si="214"/>
        <v>55500200</v>
      </c>
      <c r="Z2194" s="5">
        <f t="shared" si="215"/>
        <v>42500000</v>
      </c>
      <c r="AA2194" s="5">
        <f t="shared" si="216"/>
        <v>44639120</v>
      </c>
      <c r="AB2194" s="5">
        <f t="shared" si="217"/>
        <v>0</v>
      </c>
      <c r="AC2194" s="5"/>
      <c r="AD2194" s="5">
        <v>0</v>
      </c>
      <c r="AE2194" s="5">
        <f t="shared" si="218"/>
        <v>142639320</v>
      </c>
      <c r="AF2194" s="70">
        <v>0</v>
      </c>
      <c r="AG2194" s="17"/>
      <c r="AH2194" s="18"/>
      <c r="AI2194" s="47" t="s">
        <v>4346</v>
      </c>
      <c r="AJ2194" s="73" t="s">
        <v>4347</v>
      </c>
      <c r="AK2194" s="45"/>
      <c r="AL2194" s="17"/>
      <c r="AM2194" s="20" t="s">
        <v>3452</v>
      </c>
      <c r="AN2194" s="19"/>
      <c r="AO2194" s="19"/>
      <c r="AP2194" s="19"/>
      <c r="AQ2194" s="19"/>
      <c r="AR2194" s="19"/>
      <c r="AS2194" s="19"/>
      <c r="AT2194" s="19"/>
      <c r="AU2194" s="19"/>
      <c r="AV2194" s="19"/>
      <c r="AW2194" s="19"/>
      <c r="AX2194" s="19"/>
      <c r="AY2194" s="19"/>
      <c r="AZ2194" s="19">
        <v>500</v>
      </c>
      <c r="BA2194" s="19">
        <f>500*56000.16</f>
        <v>28000080</v>
      </c>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39"/>
      <c r="CE2194" s="138"/>
      <c r="CF2194" s="139"/>
      <c r="CG2194" s="138"/>
      <c r="CH2194" s="139"/>
      <c r="CI2194" s="138"/>
      <c r="CJ2194" s="72">
        <v>500</v>
      </c>
      <c r="CK2194" s="139">
        <f>500*17999.72</f>
        <v>8999860</v>
      </c>
      <c r="CL2194" s="71"/>
      <c r="CM2194" s="139"/>
      <c r="CN2194" s="138"/>
      <c r="CO2194" s="138"/>
      <c r="CP2194" s="138">
        <v>500</v>
      </c>
      <c r="CQ2194" s="139">
        <f>500*37000.52</f>
        <v>18500260</v>
      </c>
      <c r="CR2194" s="138"/>
      <c r="CS2194" s="45"/>
      <c r="CT2194" s="138"/>
      <c r="CU2194" s="45"/>
      <c r="CV2194" s="99">
        <f t="shared" si="219"/>
        <v>55500200</v>
      </c>
      <c r="CW2194" s="139"/>
      <c r="CX2194" s="138"/>
      <c r="CY2194" s="138">
        <v>500</v>
      </c>
      <c r="CZ2194" s="138">
        <f>500*85000</f>
        <v>42500000</v>
      </c>
      <c r="DA2194" s="139"/>
      <c r="DB2194" s="138"/>
      <c r="DC2194" s="45">
        <v>2000</v>
      </c>
      <c r="DD2194" s="138">
        <f>2000*21999.4+8000*80.04</f>
        <v>44639120</v>
      </c>
      <c r="DE2194" s="45"/>
      <c r="DF2194" s="46"/>
    </row>
    <row r="2195" spans="1:110" s="42" customFormat="1" ht="60" x14ac:dyDescent="0.2">
      <c r="A2195" s="89">
        <v>40823</v>
      </c>
      <c r="B2195" s="151" t="s">
        <v>4386</v>
      </c>
      <c r="C2195" s="90" t="s">
        <v>3502</v>
      </c>
      <c r="D2195" s="90" t="s">
        <v>4264</v>
      </c>
      <c r="E2195" s="90" t="str">
        <f>VLOOKUP(B2195&amp;C2195,Divipola!$C$2:$F$1138,4,FALSE)</f>
        <v>20001</v>
      </c>
      <c r="F2195" s="4"/>
      <c r="G2195" s="101"/>
      <c r="H2195" s="101"/>
      <c r="I2195" s="101"/>
      <c r="J2195" s="101">
        <v>20</v>
      </c>
      <c r="K2195" s="101">
        <v>4</v>
      </c>
      <c r="L2195" s="101"/>
      <c r="M2195" s="101">
        <v>4</v>
      </c>
      <c r="N2195" s="101"/>
      <c r="O2195" s="101"/>
      <c r="P2195" s="101"/>
      <c r="Q2195" s="101"/>
      <c r="R2195" s="101"/>
      <c r="S2195" s="101"/>
      <c r="T2195" s="101"/>
      <c r="U2195" s="101"/>
      <c r="V2195" s="101"/>
      <c r="W2195" s="19"/>
      <c r="X2195" s="17"/>
      <c r="Y2195" s="5">
        <f t="shared" si="214"/>
        <v>0</v>
      </c>
      <c r="Z2195" s="5">
        <f t="shared" si="215"/>
        <v>0</v>
      </c>
      <c r="AA2195" s="5">
        <f t="shared" si="216"/>
        <v>0</v>
      </c>
      <c r="AB2195" s="5">
        <f t="shared" si="217"/>
        <v>0</v>
      </c>
      <c r="AC2195" s="5"/>
      <c r="AD2195" s="5">
        <v>0</v>
      </c>
      <c r="AE2195" s="5">
        <f t="shared" si="218"/>
        <v>0</v>
      </c>
      <c r="AF2195" s="70">
        <v>0</v>
      </c>
      <c r="AG2195" s="17"/>
      <c r="AH2195" s="18"/>
      <c r="AI2195" s="47" t="s">
        <v>4336</v>
      </c>
      <c r="AJ2195" s="73" t="s">
        <v>4337</v>
      </c>
      <c r="AK2195" s="45"/>
      <c r="AL2195" s="17"/>
      <c r="AM2195" s="121" t="s">
        <v>4628</v>
      </c>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39"/>
      <c r="CE2195" s="138"/>
      <c r="CF2195" s="139"/>
      <c r="CG2195" s="138"/>
      <c r="CH2195" s="139"/>
      <c r="CI2195" s="138"/>
      <c r="CJ2195" s="72"/>
      <c r="CK2195" s="139"/>
      <c r="CL2195" s="71"/>
      <c r="CM2195" s="139"/>
      <c r="CN2195" s="138"/>
      <c r="CO2195" s="138"/>
      <c r="CP2195" s="138"/>
      <c r="CQ2195" s="139"/>
      <c r="CR2195" s="138"/>
      <c r="CS2195" s="45"/>
      <c r="CT2195" s="138"/>
      <c r="CU2195" s="45"/>
      <c r="CV2195" s="99">
        <f t="shared" si="219"/>
        <v>0</v>
      </c>
      <c r="CW2195" s="139"/>
      <c r="CX2195" s="138"/>
      <c r="CY2195" s="138"/>
      <c r="CZ2195" s="138"/>
      <c r="DA2195" s="139"/>
      <c r="DB2195" s="138"/>
      <c r="DC2195" s="45"/>
      <c r="DD2195" s="138"/>
      <c r="DE2195" s="45"/>
      <c r="DF2195" s="46"/>
    </row>
    <row r="2196" spans="1:110" s="42" customFormat="1" ht="72" x14ac:dyDescent="0.2">
      <c r="A2196" s="89">
        <v>40823</v>
      </c>
      <c r="B2196" s="151" t="s">
        <v>4221</v>
      </c>
      <c r="C2196" s="90" t="s">
        <v>2237</v>
      </c>
      <c r="D2196" s="90" t="s">
        <v>3311</v>
      </c>
      <c r="E2196" s="90" t="str">
        <f>VLOOKUP(B2196&amp;C2196,Divipola!$C$2:$F$1138,4,FALSE)</f>
        <v>54261</v>
      </c>
      <c r="F2196" s="4"/>
      <c r="G2196" s="101"/>
      <c r="H2196" s="101"/>
      <c r="I2196" s="101">
        <v>2</v>
      </c>
      <c r="J2196" s="101"/>
      <c r="K2196" s="101"/>
      <c r="L2196" s="101"/>
      <c r="M2196" s="101"/>
      <c r="N2196" s="101"/>
      <c r="O2196" s="101"/>
      <c r="P2196" s="101"/>
      <c r="Q2196" s="101"/>
      <c r="R2196" s="101"/>
      <c r="S2196" s="101"/>
      <c r="T2196" s="101"/>
      <c r="U2196" s="101"/>
      <c r="V2196" s="101"/>
      <c r="W2196" s="19"/>
      <c r="X2196" s="17"/>
      <c r="Y2196" s="5">
        <f t="shared" si="214"/>
        <v>0</v>
      </c>
      <c r="Z2196" s="5">
        <f t="shared" si="215"/>
        <v>0</v>
      </c>
      <c r="AA2196" s="5">
        <f t="shared" si="216"/>
        <v>0</v>
      </c>
      <c r="AB2196" s="5">
        <f t="shared" si="217"/>
        <v>0</v>
      </c>
      <c r="AC2196" s="5"/>
      <c r="AD2196" s="5">
        <v>0</v>
      </c>
      <c r="AE2196" s="5">
        <f t="shared" si="218"/>
        <v>0</v>
      </c>
      <c r="AF2196" s="70">
        <v>0</v>
      </c>
      <c r="AG2196" s="17"/>
      <c r="AH2196" s="18"/>
      <c r="AI2196" s="47" t="s">
        <v>4336</v>
      </c>
      <c r="AJ2196" s="73" t="s">
        <v>4337</v>
      </c>
      <c r="AK2196" s="45"/>
      <c r="AL2196" s="17"/>
      <c r="AM2196" s="121" t="s">
        <v>4630</v>
      </c>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39"/>
      <c r="CE2196" s="138"/>
      <c r="CF2196" s="139"/>
      <c r="CG2196" s="138"/>
      <c r="CH2196" s="139"/>
      <c r="CI2196" s="138"/>
      <c r="CJ2196" s="72"/>
      <c r="CK2196" s="139"/>
      <c r="CL2196" s="71"/>
      <c r="CM2196" s="139"/>
      <c r="CN2196" s="138"/>
      <c r="CO2196" s="138"/>
      <c r="CP2196" s="138"/>
      <c r="CQ2196" s="139"/>
      <c r="CR2196" s="138"/>
      <c r="CS2196" s="45"/>
      <c r="CT2196" s="138"/>
      <c r="CU2196" s="45"/>
      <c r="CV2196" s="99">
        <f t="shared" si="219"/>
        <v>0</v>
      </c>
      <c r="CW2196" s="139"/>
      <c r="CX2196" s="138"/>
      <c r="CY2196" s="138"/>
      <c r="CZ2196" s="138"/>
      <c r="DA2196" s="139"/>
      <c r="DB2196" s="138"/>
      <c r="DC2196" s="45"/>
      <c r="DD2196" s="138"/>
      <c r="DE2196" s="45"/>
      <c r="DF2196" s="46"/>
    </row>
    <row r="2197" spans="1:110" s="42" customFormat="1" ht="72" x14ac:dyDescent="0.2">
      <c r="A2197" s="89">
        <v>40823</v>
      </c>
      <c r="B2197" s="151" t="s">
        <v>4221</v>
      </c>
      <c r="C2197" s="90" t="s">
        <v>4372</v>
      </c>
      <c r="D2197" s="90" t="s">
        <v>2362</v>
      </c>
      <c r="E2197" s="90" t="str">
        <f>VLOOKUP(B2197&amp;C2197,Divipola!$C$2:$F$1138,4,FALSE)</f>
        <v>54498</v>
      </c>
      <c r="F2197" s="4"/>
      <c r="G2197" s="101">
        <v>1</v>
      </c>
      <c r="H2197" s="101">
        <v>2</v>
      </c>
      <c r="I2197" s="101"/>
      <c r="J2197" s="101">
        <v>10</v>
      </c>
      <c r="K2197" s="101">
        <v>2</v>
      </c>
      <c r="L2197" s="101">
        <v>2</v>
      </c>
      <c r="M2197" s="101"/>
      <c r="N2197" s="101"/>
      <c r="O2197" s="101"/>
      <c r="P2197" s="101"/>
      <c r="Q2197" s="101"/>
      <c r="R2197" s="101"/>
      <c r="S2197" s="101"/>
      <c r="T2197" s="101"/>
      <c r="U2197" s="101"/>
      <c r="V2197" s="101"/>
      <c r="W2197" s="19"/>
      <c r="X2197" s="17"/>
      <c r="Y2197" s="5">
        <f t="shared" si="214"/>
        <v>0</v>
      </c>
      <c r="Z2197" s="5">
        <f t="shared" si="215"/>
        <v>0</v>
      </c>
      <c r="AA2197" s="5">
        <f t="shared" si="216"/>
        <v>0</v>
      </c>
      <c r="AB2197" s="5">
        <f t="shared" si="217"/>
        <v>0</v>
      </c>
      <c r="AC2197" s="5"/>
      <c r="AD2197" s="5">
        <v>0</v>
      </c>
      <c r="AE2197" s="5">
        <f t="shared" si="218"/>
        <v>0</v>
      </c>
      <c r="AF2197" s="70">
        <v>0</v>
      </c>
      <c r="AG2197" s="17"/>
      <c r="AH2197" s="18"/>
      <c r="AI2197" s="47" t="s">
        <v>4336</v>
      </c>
      <c r="AJ2197" s="73" t="s">
        <v>4337</v>
      </c>
      <c r="AK2197" s="45"/>
      <c r="AL2197" s="17"/>
      <c r="AM2197" s="121" t="s">
        <v>4627</v>
      </c>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39"/>
      <c r="CE2197" s="138"/>
      <c r="CF2197" s="139"/>
      <c r="CG2197" s="138"/>
      <c r="CH2197" s="139"/>
      <c r="CI2197" s="138"/>
      <c r="CJ2197" s="72"/>
      <c r="CK2197" s="139"/>
      <c r="CL2197" s="71"/>
      <c r="CM2197" s="139"/>
      <c r="CN2197" s="138"/>
      <c r="CO2197" s="138"/>
      <c r="CP2197" s="138"/>
      <c r="CQ2197" s="139"/>
      <c r="CR2197" s="138"/>
      <c r="CS2197" s="45"/>
      <c r="CT2197" s="138"/>
      <c r="CU2197" s="45"/>
      <c r="CV2197" s="99">
        <f t="shared" si="219"/>
        <v>0</v>
      </c>
      <c r="CW2197" s="139"/>
      <c r="CX2197" s="138"/>
      <c r="CY2197" s="138"/>
      <c r="CZ2197" s="138"/>
      <c r="DA2197" s="139"/>
      <c r="DB2197" s="138"/>
      <c r="DC2197" s="45"/>
      <c r="DD2197" s="138"/>
      <c r="DE2197" s="45"/>
      <c r="DF2197" s="46"/>
    </row>
    <row r="2198" spans="1:110" s="42" customFormat="1" ht="72" x14ac:dyDescent="0.2">
      <c r="A2198" s="89">
        <v>40823</v>
      </c>
      <c r="B2198" s="151" t="s">
        <v>4221</v>
      </c>
      <c r="C2198" s="90" t="s">
        <v>3362</v>
      </c>
      <c r="D2198" s="90" t="s">
        <v>2362</v>
      </c>
      <c r="E2198" s="90" t="str">
        <f>VLOOKUP(B2198&amp;C2198,Divipola!$C$2:$F$1138,4,FALSE)</f>
        <v>54820</v>
      </c>
      <c r="F2198" s="4"/>
      <c r="G2198" s="101">
        <v>1</v>
      </c>
      <c r="H2198" s="101">
        <v>2</v>
      </c>
      <c r="I2198" s="101"/>
      <c r="J2198" s="101"/>
      <c r="K2198" s="101"/>
      <c r="L2198" s="101"/>
      <c r="M2198" s="101"/>
      <c r="N2198" s="101"/>
      <c r="O2198" s="101"/>
      <c r="P2198" s="101"/>
      <c r="Q2198" s="101"/>
      <c r="R2198" s="101"/>
      <c r="S2198" s="101"/>
      <c r="T2198" s="101"/>
      <c r="U2198" s="101"/>
      <c r="V2198" s="101"/>
      <c r="W2198" s="19"/>
      <c r="X2198" s="17"/>
      <c r="Y2198" s="5">
        <f t="shared" si="214"/>
        <v>0</v>
      </c>
      <c r="Z2198" s="5">
        <f t="shared" si="215"/>
        <v>0</v>
      </c>
      <c r="AA2198" s="5">
        <f t="shared" si="216"/>
        <v>0</v>
      </c>
      <c r="AB2198" s="5">
        <f t="shared" si="217"/>
        <v>0</v>
      </c>
      <c r="AC2198" s="5"/>
      <c r="AD2198" s="5">
        <v>0</v>
      </c>
      <c r="AE2198" s="5">
        <f t="shared" si="218"/>
        <v>0</v>
      </c>
      <c r="AF2198" s="70">
        <v>0</v>
      </c>
      <c r="AG2198" s="17"/>
      <c r="AH2198" s="18"/>
      <c r="AI2198" s="47" t="s">
        <v>4336</v>
      </c>
      <c r="AJ2198" s="73" t="s">
        <v>4337</v>
      </c>
      <c r="AK2198" s="45"/>
      <c r="AL2198" s="17"/>
      <c r="AM2198" s="121" t="s">
        <v>4632</v>
      </c>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39"/>
      <c r="CE2198" s="138"/>
      <c r="CF2198" s="139"/>
      <c r="CG2198" s="138"/>
      <c r="CH2198" s="139"/>
      <c r="CI2198" s="138"/>
      <c r="CJ2198" s="72"/>
      <c r="CK2198" s="139"/>
      <c r="CL2198" s="71"/>
      <c r="CM2198" s="139"/>
      <c r="CN2198" s="138"/>
      <c r="CO2198" s="138"/>
      <c r="CP2198" s="138"/>
      <c r="CQ2198" s="139"/>
      <c r="CR2198" s="138"/>
      <c r="CS2198" s="45"/>
      <c r="CT2198" s="138"/>
      <c r="CU2198" s="45"/>
      <c r="CV2198" s="99">
        <f t="shared" si="219"/>
        <v>0</v>
      </c>
      <c r="CW2198" s="139"/>
      <c r="CX2198" s="138"/>
      <c r="CY2198" s="138"/>
      <c r="CZ2198" s="138"/>
      <c r="DA2198" s="139"/>
      <c r="DB2198" s="138"/>
      <c r="DC2198" s="45"/>
      <c r="DD2198" s="138"/>
      <c r="DE2198" s="45"/>
      <c r="DF2198" s="46"/>
    </row>
    <row r="2199" spans="1:110" s="42" customFormat="1" ht="72" x14ac:dyDescent="0.2">
      <c r="A2199" s="89">
        <v>40823</v>
      </c>
      <c r="B2199" s="151" t="s">
        <v>2226</v>
      </c>
      <c r="C2199" s="90" t="s">
        <v>2957</v>
      </c>
      <c r="D2199" s="90" t="s">
        <v>4264</v>
      </c>
      <c r="E2199" s="90" t="str">
        <f>VLOOKUP(B2199&amp;C2199,Divipola!$C$2:$F$1138,4,FALSE)</f>
        <v>68464</v>
      </c>
      <c r="F2199" s="4"/>
      <c r="G2199" s="101"/>
      <c r="H2199" s="101">
        <v>3</v>
      </c>
      <c r="I2199" s="101"/>
      <c r="J2199" s="101"/>
      <c r="K2199" s="101"/>
      <c r="L2199" s="101"/>
      <c r="M2199" s="101">
        <v>1</v>
      </c>
      <c r="N2199" s="101"/>
      <c r="O2199" s="101"/>
      <c r="P2199" s="101"/>
      <c r="Q2199" s="101"/>
      <c r="R2199" s="101"/>
      <c r="S2199" s="101"/>
      <c r="T2199" s="101"/>
      <c r="U2199" s="101"/>
      <c r="V2199" s="101"/>
      <c r="W2199" s="19"/>
      <c r="X2199" s="17"/>
      <c r="Y2199" s="5">
        <f t="shared" si="214"/>
        <v>0</v>
      </c>
      <c r="Z2199" s="5">
        <f t="shared" si="215"/>
        <v>0</v>
      </c>
      <c r="AA2199" s="5">
        <f t="shared" si="216"/>
        <v>0</v>
      </c>
      <c r="AB2199" s="5">
        <f t="shared" si="217"/>
        <v>0</v>
      </c>
      <c r="AC2199" s="5"/>
      <c r="AD2199" s="5">
        <v>0</v>
      </c>
      <c r="AE2199" s="5">
        <f t="shared" si="218"/>
        <v>0</v>
      </c>
      <c r="AF2199" s="70">
        <v>0</v>
      </c>
      <c r="AG2199" s="17"/>
      <c r="AH2199" s="18"/>
      <c r="AI2199" s="47" t="s">
        <v>4336</v>
      </c>
      <c r="AJ2199" s="73" t="s">
        <v>4337</v>
      </c>
      <c r="AK2199" s="45"/>
      <c r="AL2199" s="17"/>
      <c r="AM2199" s="121" t="s">
        <v>4629</v>
      </c>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39"/>
      <c r="CE2199" s="138"/>
      <c r="CF2199" s="139"/>
      <c r="CG2199" s="138"/>
      <c r="CH2199" s="139"/>
      <c r="CI2199" s="138"/>
      <c r="CJ2199" s="72"/>
      <c r="CK2199" s="139"/>
      <c r="CL2199" s="71"/>
      <c r="CM2199" s="139"/>
      <c r="CN2199" s="138"/>
      <c r="CO2199" s="138"/>
      <c r="CP2199" s="138"/>
      <c r="CQ2199" s="139"/>
      <c r="CR2199" s="138"/>
      <c r="CS2199" s="45"/>
      <c r="CT2199" s="138"/>
      <c r="CU2199" s="45"/>
      <c r="CV2199" s="99">
        <f t="shared" si="219"/>
        <v>0</v>
      </c>
      <c r="CW2199" s="139"/>
      <c r="CX2199" s="138"/>
      <c r="CY2199" s="138"/>
      <c r="CZ2199" s="138"/>
      <c r="DA2199" s="139"/>
      <c r="DB2199" s="138"/>
      <c r="DC2199" s="45"/>
      <c r="DD2199" s="138"/>
      <c r="DE2199" s="45"/>
      <c r="DF2199" s="46"/>
    </row>
    <row r="2200" spans="1:110" s="42" customFormat="1" ht="36" x14ac:dyDescent="0.2">
      <c r="A2200" s="89">
        <v>40823</v>
      </c>
      <c r="B2200" s="151" t="s">
        <v>2226</v>
      </c>
      <c r="C2200" s="90" t="s">
        <v>2262</v>
      </c>
      <c r="D2200" s="90" t="s">
        <v>4264</v>
      </c>
      <c r="E2200" s="90" t="str">
        <f>VLOOKUP(B2200&amp;C2200,Divipola!$C$2:$F$1138,4,FALSE)</f>
        <v>68720</v>
      </c>
      <c r="F2200" s="4"/>
      <c r="G2200" s="101"/>
      <c r="H2200" s="101"/>
      <c r="I2200" s="101"/>
      <c r="J2200" s="101"/>
      <c r="K2200" s="101"/>
      <c r="L2200" s="101"/>
      <c r="M2200" s="101"/>
      <c r="N2200" s="101"/>
      <c r="O2200" s="101"/>
      <c r="P2200" s="101"/>
      <c r="Q2200" s="101"/>
      <c r="R2200" s="101"/>
      <c r="S2200" s="101"/>
      <c r="T2200" s="101"/>
      <c r="U2200" s="101"/>
      <c r="V2200" s="101"/>
      <c r="W2200" s="19"/>
      <c r="X2200" s="17"/>
      <c r="Y2200" s="5">
        <f t="shared" si="214"/>
        <v>0</v>
      </c>
      <c r="Z2200" s="5">
        <f t="shared" si="215"/>
        <v>0</v>
      </c>
      <c r="AA2200" s="5">
        <f t="shared" si="216"/>
        <v>0</v>
      </c>
      <c r="AB2200" s="5">
        <f t="shared" si="217"/>
        <v>0</v>
      </c>
      <c r="AC2200" s="5"/>
      <c r="AD2200" s="5">
        <v>0</v>
      </c>
      <c r="AE2200" s="5">
        <f t="shared" si="218"/>
        <v>0</v>
      </c>
      <c r="AF2200" s="70">
        <v>0</v>
      </c>
      <c r="AG2200" s="17"/>
      <c r="AH2200" s="18"/>
      <c r="AI2200" s="47" t="s">
        <v>4336</v>
      </c>
      <c r="AJ2200" s="73" t="s">
        <v>4337</v>
      </c>
      <c r="AK2200" s="45"/>
      <c r="AL2200" s="17"/>
      <c r="AM2200" s="121" t="s">
        <v>4631</v>
      </c>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39"/>
      <c r="CE2200" s="138"/>
      <c r="CF2200" s="139"/>
      <c r="CG2200" s="138"/>
      <c r="CH2200" s="139"/>
      <c r="CI2200" s="138"/>
      <c r="CJ2200" s="72"/>
      <c r="CK2200" s="139"/>
      <c r="CL2200" s="71"/>
      <c r="CM2200" s="139"/>
      <c r="CN2200" s="138"/>
      <c r="CO2200" s="138"/>
      <c r="CP2200" s="138"/>
      <c r="CQ2200" s="139"/>
      <c r="CR2200" s="138"/>
      <c r="CS2200" s="45"/>
      <c r="CT2200" s="138"/>
      <c r="CU2200" s="45"/>
      <c r="CV2200" s="99">
        <f t="shared" si="219"/>
        <v>0</v>
      </c>
      <c r="CW2200" s="139"/>
      <c r="CX2200" s="138"/>
      <c r="CY2200" s="138"/>
      <c r="CZ2200" s="138"/>
      <c r="DA2200" s="139"/>
      <c r="DB2200" s="138"/>
      <c r="DC2200" s="45"/>
      <c r="DD2200" s="138"/>
      <c r="DE2200" s="45"/>
      <c r="DF2200" s="46"/>
    </row>
    <row r="2201" spans="1:110" s="42" customFormat="1" ht="168" x14ac:dyDescent="0.2">
      <c r="A2201" s="89">
        <v>40823</v>
      </c>
      <c r="B2201" s="151" t="s">
        <v>4244</v>
      </c>
      <c r="C2201" s="90" t="s">
        <v>4322</v>
      </c>
      <c r="D2201" s="90" t="s">
        <v>2860</v>
      </c>
      <c r="E2201" s="90" t="str">
        <f>VLOOKUP(B2201&amp;C2201,Divipola!$C$2:$F$1138,4,FALSE)</f>
        <v>76109</v>
      </c>
      <c r="F2201" s="4"/>
      <c r="G2201" s="101">
        <v>5</v>
      </c>
      <c r="H2201" s="101">
        <v>3</v>
      </c>
      <c r="I2201" s="101">
        <v>2</v>
      </c>
      <c r="J2201" s="101">
        <v>25</v>
      </c>
      <c r="K2201" s="101">
        <v>5</v>
      </c>
      <c r="L2201" s="101">
        <v>5</v>
      </c>
      <c r="M2201" s="101"/>
      <c r="N2201" s="101"/>
      <c r="O2201" s="101"/>
      <c r="P2201" s="101"/>
      <c r="Q2201" s="101"/>
      <c r="R2201" s="101"/>
      <c r="S2201" s="101"/>
      <c r="T2201" s="101"/>
      <c r="U2201" s="101"/>
      <c r="V2201" s="101"/>
      <c r="W2201" s="19"/>
      <c r="X2201" s="17"/>
      <c r="Y2201" s="5">
        <f t="shared" si="214"/>
        <v>0</v>
      </c>
      <c r="Z2201" s="5">
        <f t="shared" si="215"/>
        <v>0</v>
      </c>
      <c r="AA2201" s="5">
        <f t="shared" si="216"/>
        <v>0</v>
      </c>
      <c r="AB2201" s="5">
        <f t="shared" si="217"/>
        <v>0</v>
      </c>
      <c r="AC2201" s="5">
        <f>530*24799.64</f>
        <v>13143809.199999999</v>
      </c>
      <c r="AD2201" s="5">
        <v>47143016.5</v>
      </c>
      <c r="AE2201" s="5">
        <f t="shared" si="218"/>
        <v>60286825.700000003</v>
      </c>
      <c r="AF2201" s="70">
        <v>0</v>
      </c>
      <c r="AG2201" s="17"/>
      <c r="AH2201" s="18"/>
      <c r="AI2201" s="47" t="s">
        <v>4346</v>
      </c>
      <c r="AJ2201" s="73" t="s">
        <v>4347</v>
      </c>
      <c r="AK2201" s="45"/>
      <c r="AL2201" s="17"/>
      <c r="AM2201" s="121" t="s">
        <v>5225</v>
      </c>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39"/>
      <c r="CE2201" s="138"/>
      <c r="CF2201" s="139"/>
      <c r="CG2201" s="138"/>
      <c r="CH2201" s="139"/>
      <c r="CI2201" s="138"/>
      <c r="CJ2201" s="72"/>
      <c r="CK2201" s="139"/>
      <c r="CL2201" s="71"/>
      <c r="CM2201" s="139"/>
      <c r="CN2201" s="138"/>
      <c r="CO2201" s="138"/>
      <c r="CP2201" s="138"/>
      <c r="CQ2201" s="139"/>
      <c r="CR2201" s="138"/>
      <c r="CS2201" s="45"/>
      <c r="CT2201" s="138"/>
      <c r="CU2201" s="45"/>
      <c r="CV2201" s="99">
        <f t="shared" si="219"/>
        <v>0</v>
      </c>
      <c r="CW2201" s="139"/>
      <c r="CX2201" s="138"/>
      <c r="CY2201" s="138"/>
      <c r="CZ2201" s="138"/>
      <c r="DA2201" s="139"/>
      <c r="DB2201" s="138"/>
      <c r="DC2201" s="45"/>
      <c r="DD2201" s="138"/>
      <c r="DE2201" s="45"/>
      <c r="DF2201" s="46"/>
    </row>
    <row r="2202" spans="1:110" s="42" customFormat="1" ht="24" x14ac:dyDescent="0.2">
      <c r="A2202" s="17">
        <v>40823</v>
      </c>
      <c r="B2202" s="16" t="s">
        <v>4387</v>
      </c>
      <c r="C2202" s="16" t="s">
        <v>798</v>
      </c>
      <c r="D2202" s="16" t="s">
        <v>4264</v>
      </c>
      <c r="E2202" s="90" t="str">
        <f>VLOOKUP(B2202&amp;C2202,Divipola!$C$2:$F$1138,4,FALSE)</f>
        <v>52621</v>
      </c>
      <c r="F2202" s="4"/>
      <c r="G2202" s="208"/>
      <c r="H2202" s="208"/>
      <c r="I2202" s="208"/>
      <c r="J2202" s="208"/>
      <c r="K2202" s="208"/>
      <c r="L2202" s="208"/>
      <c r="M2202" s="208"/>
      <c r="N2202" s="208"/>
      <c r="O2202" s="208"/>
      <c r="P2202" s="208"/>
      <c r="Q2202" s="208"/>
      <c r="R2202" s="208"/>
      <c r="S2202" s="208"/>
      <c r="T2202" s="208"/>
      <c r="U2202" s="208"/>
      <c r="V2202" s="208"/>
      <c r="W2202" s="19"/>
      <c r="X2202" s="17"/>
      <c r="Y2202" s="5">
        <f t="shared" si="214"/>
        <v>11600000</v>
      </c>
      <c r="Z2202" s="5">
        <f t="shared" si="215"/>
        <v>0</v>
      </c>
      <c r="AA2202" s="5">
        <f t="shared" si="216"/>
        <v>0</v>
      </c>
      <c r="AB2202" s="5">
        <f t="shared" si="217"/>
        <v>0</v>
      </c>
      <c r="AC2202" s="5"/>
      <c r="AD2202" s="5">
        <v>0</v>
      </c>
      <c r="AE2202" s="5">
        <f t="shared" si="218"/>
        <v>11600000</v>
      </c>
      <c r="AF2202" s="70">
        <v>0</v>
      </c>
      <c r="AG2202" s="17"/>
      <c r="AH2202" s="18"/>
      <c r="AI2202" s="47" t="s">
        <v>4346</v>
      </c>
      <c r="AJ2202" s="73" t="s">
        <v>4347</v>
      </c>
      <c r="AK2202" s="45"/>
      <c r="AL2202" s="17"/>
      <c r="AM2202" s="20" t="s">
        <v>5590</v>
      </c>
      <c r="AN2202" s="19"/>
      <c r="AO2202" s="19"/>
      <c r="AP2202" s="19"/>
      <c r="AQ2202" s="19"/>
      <c r="AR2202" s="19"/>
      <c r="AS2202" s="19"/>
      <c r="AT2202" s="19"/>
      <c r="AU2202" s="19"/>
      <c r="AV2202" s="19"/>
      <c r="AW2202" s="19"/>
      <c r="AX2202" s="19">
        <v>2</v>
      </c>
      <c r="AY2202" s="19">
        <f>2*5800000</f>
        <v>11600000</v>
      </c>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39"/>
      <c r="CE2202" s="138"/>
      <c r="CF2202" s="139"/>
      <c r="CG2202" s="138"/>
      <c r="CH2202" s="139"/>
      <c r="CI2202" s="138"/>
      <c r="CJ2202" s="72"/>
      <c r="CK2202" s="139"/>
      <c r="CL2202" s="71"/>
      <c r="CM2202" s="139"/>
      <c r="CN2202" s="138"/>
      <c r="CO2202" s="138"/>
      <c r="CP2202" s="138"/>
      <c r="CQ2202" s="139"/>
      <c r="CR2202" s="138"/>
      <c r="CS2202" s="45"/>
      <c r="CT2202" s="138"/>
      <c r="CU2202" s="45"/>
      <c r="CV2202" s="99">
        <f t="shared" si="219"/>
        <v>11600000</v>
      </c>
      <c r="CW2202" s="139"/>
      <c r="CX2202" s="138"/>
      <c r="CY2202" s="138"/>
      <c r="CZ2202" s="138"/>
      <c r="DA2202" s="139"/>
      <c r="DB2202" s="138"/>
      <c r="DC2202" s="45"/>
      <c r="DD2202" s="138"/>
      <c r="DE2202" s="45"/>
      <c r="DF2202" s="46"/>
    </row>
    <row r="2203" spans="1:110" s="42" customFormat="1" ht="180" x14ac:dyDescent="0.2">
      <c r="A2203" s="89">
        <v>40824</v>
      </c>
      <c r="B2203" s="16" t="s">
        <v>4326</v>
      </c>
      <c r="C2203" s="16" t="s">
        <v>4338</v>
      </c>
      <c r="D2203" s="90" t="s">
        <v>4264</v>
      </c>
      <c r="E2203" s="90" t="str">
        <f>VLOOKUP(B2203&amp;C2203,Divipola!$C$2:$F$1138,4,FALSE)</f>
        <v>08001</v>
      </c>
      <c r="F2203" s="4"/>
      <c r="G2203" s="208"/>
      <c r="H2203" s="208"/>
      <c r="I2203" s="208"/>
      <c r="J2203" s="208">
        <v>4235</v>
      </c>
      <c r="K2203" s="208">
        <v>847</v>
      </c>
      <c r="L2203" s="208"/>
      <c r="M2203" s="208">
        <v>847</v>
      </c>
      <c r="N2203" s="208"/>
      <c r="O2203" s="208"/>
      <c r="P2203" s="208"/>
      <c r="Q2203" s="208"/>
      <c r="R2203" s="208"/>
      <c r="S2203" s="208"/>
      <c r="T2203" s="208">
        <v>1</v>
      </c>
      <c r="U2203" s="208"/>
      <c r="V2203" s="208"/>
      <c r="W2203" s="19"/>
      <c r="X2203" s="17"/>
      <c r="Y2203" s="5">
        <f t="shared" si="214"/>
        <v>92888740</v>
      </c>
      <c r="Z2203" s="5">
        <f t="shared" si="215"/>
        <v>201535000</v>
      </c>
      <c r="AA2203" s="5">
        <f t="shared" si="216"/>
        <v>235835145.59999999</v>
      </c>
      <c r="AB2203" s="5">
        <f t="shared" si="217"/>
        <v>0</v>
      </c>
      <c r="AC2203" s="159">
        <f>12000*3248+1000*22272+1000*14152+1000*8236</f>
        <v>83636000</v>
      </c>
      <c r="AD2203" s="5">
        <v>0</v>
      </c>
      <c r="AE2203" s="5">
        <f t="shared" si="218"/>
        <v>613894885.60000002</v>
      </c>
      <c r="AF2203" s="70">
        <v>0</v>
      </c>
      <c r="AG2203" s="17"/>
      <c r="AH2203" s="18"/>
      <c r="AI2203" s="47" t="s">
        <v>4346</v>
      </c>
      <c r="AJ2203" s="73" t="s">
        <v>4347</v>
      </c>
      <c r="AK2203" s="45"/>
      <c r="AL2203" s="207"/>
      <c r="AM2203" s="121" t="s">
        <v>5006</v>
      </c>
      <c r="AN2203" s="19"/>
      <c r="AO2203" s="19"/>
      <c r="AP2203" s="19"/>
      <c r="AQ2203" s="19"/>
      <c r="AR2203" s="19"/>
      <c r="AS2203" s="19"/>
      <c r="AT2203" s="19"/>
      <c r="AU2203" s="19"/>
      <c r="AV2203" s="19"/>
      <c r="AW2203" s="19"/>
      <c r="AX2203" s="19"/>
      <c r="AY2203" s="19"/>
      <c r="AZ2203" s="19">
        <v>700</v>
      </c>
      <c r="BA2203" s="19">
        <f>700*55999</f>
        <v>39199300</v>
      </c>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39"/>
      <c r="CE2203" s="138"/>
      <c r="CF2203" s="139"/>
      <c r="CG2203" s="138"/>
      <c r="CH2203" s="139"/>
      <c r="CI2203" s="138"/>
      <c r="CJ2203" s="72"/>
      <c r="CK2203" s="139"/>
      <c r="CL2203" s="71"/>
      <c r="CM2203" s="139"/>
      <c r="CN2203" s="138"/>
      <c r="CO2203" s="138"/>
      <c r="CP2203" s="138">
        <v>700</v>
      </c>
      <c r="CQ2203" s="139">
        <f>700*36999.36</f>
        <v>25899552</v>
      </c>
      <c r="CR2203" s="138">
        <v>700</v>
      </c>
      <c r="CS2203" s="45">
        <f>700*39699.84</f>
        <v>27789887.999999996</v>
      </c>
      <c r="CT2203" s="138"/>
      <c r="CU2203" s="45"/>
      <c r="CV2203" s="99">
        <f t="shared" si="219"/>
        <v>92888740</v>
      </c>
      <c r="CW2203" s="139"/>
      <c r="CX2203" s="138"/>
      <c r="CY2203" s="138">
        <v>2371</v>
      </c>
      <c r="CZ2203" s="138">
        <f>2371*85000</f>
        <v>201535000</v>
      </c>
      <c r="DA2203" s="139">
        <v>1100</v>
      </c>
      <c r="DB2203" s="138">
        <f>1100*29000</f>
        <v>31900000</v>
      </c>
      <c r="DC2203" s="45">
        <f>700+7440</f>
        <v>8140</v>
      </c>
      <c r="DD2203" s="138">
        <f>700*21924+2800*203+3600*21429.84+3600*28522.08+240*19178.28+14880*241.28</f>
        <v>203935145.59999999</v>
      </c>
      <c r="DE2203" s="45"/>
      <c r="DF2203" s="46"/>
    </row>
    <row r="2204" spans="1:110" s="42" customFormat="1" ht="60" x14ac:dyDescent="0.2">
      <c r="A2204" s="89">
        <v>40824</v>
      </c>
      <c r="B2204" s="16" t="s">
        <v>4326</v>
      </c>
      <c r="C2204" s="16" t="s">
        <v>4239</v>
      </c>
      <c r="D2204" s="90" t="s">
        <v>4264</v>
      </c>
      <c r="E2204" s="90" t="str">
        <f>VLOOKUP(B2204&amp;C2204,Divipola!$C$2:$F$1138,4,FALSE)</f>
        <v>08758</v>
      </c>
      <c r="F2204" s="4"/>
      <c r="G2204" s="208"/>
      <c r="H2204" s="208"/>
      <c r="I2204" s="208"/>
      <c r="J2204" s="208">
        <v>60</v>
      </c>
      <c r="K2204" s="208">
        <v>12</v>
      </c>
      <c r="L2204" s="208"/>
      <c r="M2204" s="208">
        <v>12</v>
      </c>
      <c r="N2204" s="208"/>
      <c r="O2204" s="208"/>
      <c r="P2204" s="208"/>
      <c r="Q2204" s="208"/>
      <c r="R2204" s="208"/>
      <c r="S2204" s="208"/>
      <c r="T2204" s="208"/>
      <c r="U2204" s="208"/>
      <c r="V2204" s="208"/>
      <c r="W2204" s="19"/>
      <c r="X2204" s="17"/>
      <c r="Y2204" s="5">
        <f t="shared" si="214"/>
        <v>0</v>
      </c>
      <c r="Z2204" s="5">
        <f t="shared" si="215"/>
        <v>0</v>
      </c>
      <c r="AA2204" s="5">
        <f t="shared" si="216"/>
        <v>3477952.6000000006</v>
      </c>
      <c r="AB2204" s="5">
        <f t="shared" si="217"/>
        <v>0</v>
      </c>
      <c r="AC2204" s="5"/>
      <c r="AD2204" s="5">
        <v>0</v>
      </c>
      <c r="AE2204" s="5">
        <f t="shared" si="218"/>
        <v>3477952.6000000006</v>
      </c>
      <c r="AF2204" s="70">
        <v>0</v>
      </c>
      <c r="AG2204" s="17"/>
      <c r="AH2204" s="18"/>
      <c r="AI2204" s="109" t="s">
        <v>4346</v>
      </c>
      <c r="AJ2204" s="110" t="s">
        <v>4347</v>
      </c>
      <c r="AK2204" s="45"/>
      <c r="AL2204" s="17"/>
      <c r="AM2204" s="121" t="s">
        <v>4634</v>
      </c>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39"/>
      <c r="CE2204" s="138"/>
      <c r="CF2204" s="139"/>
      <c r="CG2204" s="138"/>
      <c r="CH2204" s="139"/>
      <c r="CI2204" s="138"/>
      <c r="CJ2204" s="72"/>
      <c r="CK2204" s="139"/>
      <c r="CL2204" s="71"/>
      <c r="CM2204" s="139"/>
      <c r="CN2204" s="138"/>
      <c r="CO2204" s="138"/>
      <c r="CP2204" s="138"/>
      <c r="CQ2204" s="139"/>
      <c r="CR2204" s="138"/>
      <c r="CS2204" s="45"/>
      <c r="CT2204" s="138"/>
      <c r="CU2204" s="45"/>
      <c r="CV2204" s="99">
        <f t="shared" si="219"/>
        <v>0</v>
      </c>
      <c r="CW2204" s="139"/>
      <c r="CX2204" s="138"/>
      <c r="CY2204" s="138"/>
      <c r="CZ2204" s="138"/>
      <c r="DA2204" s="139"/>
      <c r="DB2204" s="138"/>
      <c r="DC2204" s="45">
        <v>104</v>
      </c>
      <c r="DD2204" s="138">
        <f>51*35999.44+32*31999.76+9*25999.08+12*31999.76</f>
        <v>3477952.6000000006</v>
      </c>
      <c r="DE2204" s="45"/>
      <c r="DF2204" s="46"/>
    </row>
    <row r="2205" spans="1:110" s="42" customFormat="1" ht="96" x14ac:dyDescent="0.2">
      <c r="A2205" s="89">
        <v>40824</v>
      </c>
      <c r="B2205" s="151" t="s">
        <v>3533</v>
      </c>
      <c r="C2205" s="90" t="s">
        <v>1399</v>
      </c>
      <c r="D2205" s="90" t="s">
        <v>3346</v>
      </c>
      <c r="E2205" s="90" t="str">
        <f>VLOOKUP(B2205&amp;C2205,Divipola!$C$2:$F$1138,4,FALSE)</f>
        <v>17486</v>
      </c>
      <c r="F2205" s="4"/>
      <c r="G2205" s="101"/>
      <c r="H2205" s="101"/>
      <c r="I2205" s="101"/>
      <c r="J2205" s="101">
        <v>100</v>
      </c>
      <c r="K2205" s="101">
        <v>20</v>
      </c>
      <c r="L2205" s="101"/>
      <c r="M2205" s="101">
        <v>20</v>
      </c>
      <c r="N2205" s="101"/>
      <c r="O2205" s="101"/>
      <c r="P2205" s="101"/>
      <c r="Q2205" s="101"/>
      <c r="R2205" s="101"/>
      <c r="S2205" s="101"/>
      <c r="T2205" s="101"/>
      <c r="U2205" s="101"/>
      <c r="V2205" s="101"/>
      <c r="W2205" s="19"/>
      <c r="X2205" s="17"/>
      <c r="Y2205" s="5">
        <f t="shared" si="214"/>
        <v>0</v>
      </c>
      <c r="Z2205" s="5">
        <f t="shared" si="215"/>
        <v>0</v>
      </c>
      <c r="AA2205" s="5">
        <f t="shared" si="216"/>
        <v>0</v>
      </c>
      <c r="AB2205" s="5">
        <f t="shared" si="217"/>
        <v>0</v>
      </c>
      <c r="AC2205" s="5"/>
      <c r="AD2205" s="5">
        <v>0</v>
      </c>
      <c r="AE2205" s="5">
        <f t="shared" si="218"/>
        <v>0</v>
      </c>
      <c r="AF2205" s="70">
        <v>0</v>
      </c>
      <c r="AG2205" s="17"/>
      <c r="AH2205" s="18"/>
      <c r="AI2205" s="47" t="s">
        <v>4336</v>
      </c>
      <c r="AJ2205" s="73" t="s">
        <v>4337</v>
      </c>
      <c r="AK2205" s="45"/>
      <c r="AL2205" s="17"/>
      <c r="AM2205" s="121" t="s">
        <v>4633</v>
      </c>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39"/>
      <c r="CE2205" s="138"/>
      <c r="CF2205" s="139"/>
      <c r="CG2205" s="138"/>
      <c r="CH2205" s="139"/>
      <c r="CI2205" s="138"/>
      <c r="CJ2205" s="72"/>
      <c r="CK2205" s="139"/>
      <c r="CL2205" s="71"/>
      <c r="CM2205" s="139"/>
      <c r="CN2205" s="138"/>
      <c r="CO2205" s="138"/>
      <c r="CP2205" s="138"/>
      <c r="CQ2205" s="139"/>
      <c r="CR2205" s="138"/>
      <c r="CS2205" s="45"/>
      <c r="CT2205" s="138"/>
      <c r="CU2205" s="45"/>
      <c r="CV2205" s="99">
        <f t="shared" si="219"/>
        <v>0</v>
      </c>
      <c r="CW2205" s="139"/>
      <c r="CX2205" s="138"/>
      <c r="CY2205" s="138"/>
      <c r="CZ2205" s="138"/>
      <c r="DA2205" s="139"/>
      <c r="DB2205" s="138"/>
      <c r="DC2205" s="45"/>
      <c r="DD2205" s="138"/>
      <c r="DE2205" s="45"/>
      <c r="DF2205" s="46"/>
    </row>
    <row r="2206" spans="1:110" s="42" customFormat="1" ht="409.5" x14ac:dyDescent="0.2">
      <c r="A2206" s="89">
        <v>40824</v>
      </c>
      <c r="B2206" s="151" t="s">
        <v>4387</v>
      </c>
      <c r="C2206" s="90" t="s">
        <v>3333</v>
      </c>
      <c r="D2206" s="90" t="s">
        <v>4264</v>
      </c>
      <c r="E2206" s="90" t="str">
        <f>VLOOKUP(B2206&amp;C2206,Divipola!$C$2:$F$1138,4,FALSE)</f>
        <v>52683</v>
      </c>
      <c r="F2206" s="4"/>
      <c r="G2206" s="101"/>
      <c r="H2206" s="101"/>
      <c r="I2206" s="101"/>
      <c r="J2206" s="101">
        <v>400</v>
      </c>
      <c r="K2206" s="101">
        <v>100</v>
      </c>
      <c r="L2206" s="101"/>
      <c r="M2206" s="101">
        <v>90</v>
      </c>
      <c r="N2206" s="101">
        <v>3</v>
      </c>
      <c r="O2206" s="101">
        <v>2</v>
      </c>
      <c r="P2206" s="101"/>
      <c r="Q2206" s="101">
        <v>8</v>
      </c>
      <c r="R2206" s="101"/>
      <c r="S2206" s="101"/>
      <c r="T2206" s="101">
        <v>1</v>
      </c>
      <c r="U2206" s="101"/>
      <c r="V2206" s="101">
        <v>30</v>
      </c>
      <c r="W2206" s="19" t="s">
        <v>4637</v>
      </c>
      <c r="X2206" s="17"/>
      <c r="Y2206" s="5">
        <f t="shared" si="214"/>
        <v>0</v>
      </c>
      <c r="Z2206" s="5">
        <f t="shared" si="215"/>
        <v>0</v>
      </c>
      <c r="AA2206" s="5">
        <f t="shared" si="216"/>
        <v>0</v>
      </c>
      <c r="AB2206" s="5">
        <f t="shared" si="217"/>
        <v>0</v>
      </c>
      <c r="AC2206" s="5"/>
      <c r="AD2206" s="5">
        <v>30000000</v>
      </c>
      <c r="AE2206" s="5">
        <f t="shared" si="218"/>
        <v>30000000</v>
      </c>
      <c r="AF2206" s="70">
        <v>0</v>
      </c>
      <c r="AG2206" s="17"/>
      <c r="AH2206" s="18"/>
      <c r="AI2206" s="47" t="s">
        <v>4346</v>
      </c>
      <c r="AJ2206" s="73" t="s">
        <v>4347</v>
      </c>
      <c r="AK2206" s="45"/>
      <c r="AL2206" s="17"/>
      <c r="AM2206" s="121" t="s">
        <v>4661</v>
      </c>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39"/>
      <c r="CE2206" s="138"/>
      <c r="CF2206" s="139"/>
      <c r="CG2206" s="138"/>
      <c r="CH2206" s="139"/>
      <c r="CI2206" s="138"/>
      <c r="CJ2206" s="72"/>
      <c r="CK2206" s="139"/>
      <c r="CL2206" s="71"/>
      <c r="CM2206" s="139"/>
      <c r="CN2206" s="138"/>
      <c r="CO2206" s="138"/>
      <c r="CP2206" s="138"/>
      <c r="CQ2206" s="139"/>
      <c r="CR2206" s="138"/>
      <c r="CS2206" s="45"/>
      <c r="CT2206" s="138"/>
      <c r="CU2206" s="45"/>
      <c r="CV2206" s="99">
        <f t="shared" si="219"/>
        <v>0</v>
      </c>
      <c r="CW2206" s="139"/>
      <c r="CX2206" s="138"/>
      <c r="CY2206" s="138"/>
      <c r="CZ2206" s="138"/>
      <c r="DA2206" s="139"/>
      <c r="DB2206" s="138"/>
      <c r="DC2206" s="45"/>
      <c r="DD2206" s="138"/>
      <c r="DE2206" s="45"/>
      <c r="DF2206" s="46"/>
    </row>
    <row r="2207" spans="1:110" s="42" customFormat="1" ht="48" x14ac:dyDescent="0.2">
      <c r="A2207" s="89">
        <v>40826</v>
      </c>
      <c r="B2207" s="151" t="s">
        <v>2218</v>
      </c>
      <c r="C2207" s="90" t="s">
        <v>3885</v>
      </c>
      <c r="D2207" s="90" t="s">
        <v>3346</v>
      </c>
      <c r="E2207" s="90" t="str">
        <f>VLOOKUP(B2207&amp;C2207,Divipola!$C$2:$F$1138,4,FALSE)</f>
        <v>05197</v>
      </c>
      <c r="F2207" s="4"/>
      <c r="G2207" s="101"/>
      <c r="H2207" s="101"/>
      <c r="I2207" s="101"/>
      <c r="J2207" s="101">
        <v>30</v>
      </c>
      <c r="K2207" s="101">
        <v>6</v>
      </c>
      <c r="L2207" s="101"/>
      <c r="M2207" s="101">
        <v>6</v>
      </c>
      <c r="N2207" s="101"/>
      <c r="O2207" s="101"/>
      <c r="P2207" s="101"/>
      <c r="Q2207" s="101"/>
      <c r="R2207" s="101"/>
      <c r="S2207" s="101"/>
      <c r="T2207" s="101"/>
      <c r="U2207" s="101"/>
      <c r="V2207" s="101"/>
      <c r="W2207" s="19"/>
      <c r="X2207" s="17"/>
      <c r="Y2207" s="5">
        <f t="shared" si="214"/>
        <v>0</v>
      </c>
      <c r="Z2207" s="5">
        <f t="shared" si="215"/>
        <v>0</v>
      </c>
      <c r="AA2207" s="5">
        <f t="shared" si="216"/>
        <v>0</v>
      </c>
      <c r="AB2207" s="5">
        <f t="shared" si="217"/>
        <v>0</v>
      </c>
      <c r="AC2207" s="5"/>
      <c r="AD2207" s="5">
        <v>0</v>
      </c>
      <c r="AE2207" s="5">
        <f t="shared" si="218"/>
        <v>0</v>
      </c>
      <c r="AF2207" s="70">
        <v>0</v>
      </c>
      <c r="AG2207" s="17"/>
      <c r="AH2207" s="18"/>
      <c r="AI2207" s="47" t="s">
        <v>4346</v>
      </c>
      <c r="AJ2207" s="73" t="s">
        <v>4347</v>
      </c>
      <c r="AK2207" s="45"/>
      <c r="AL2207" s="89" t="s">
        <v>2798</v>
      </c>
      <c r="AM2207" s="121" t="s">
        <v>4640</v>
      </c>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39"/>
      <c r="CE2207" s="138"/>
      <c r="CF2207" s="139"/>
      <c r="CG2207" s="138"/>
      <c r="CH2207" s="139"/>
      <c r="CI2207" s="138"/>
      <c r="CJ2207" s="72"/>
      <c r="CK2207" s="139"/>
      <c r="CL2207" s="71"/>
      <c r="CM2207" s="139"/>
      <c r="CN2207" s="138"/>
      <c r="CO2207" s="138"/>
      <c r="CP2207" s="138"/>
      <c r="CQ2207" s="139"/>
      <c r="CR2207" s="138"/>
      <c r="CS2207" s="45"/>
      <c r="CT2207" s="138"/>
      <c r="CU2207" s="45"/>
      <c r="CV2207" s="99">
        <f t="shared" si="219"/>
        <v>0</v>
      </c>
      <c r="CW2207" s="139"/>
      <c r="CX2207" s="138"/>
      <c r="CY2207" s="138"/>
      <c r="CZ2207" s="138"/>
      <c r="DA2207" s="139"/>
      <c r="DB2207" s="138"/>
      <c r="DC2207" s="45"/>
      <c r="DD2207" s="138"/>
      <c r="DE2207" s="45"/>
      <c r="DF2207" s="46"/>
    </row>
    <row r="2208" spans="1:110" s="42" customFormat="1" ht="108" x14ac:dyDescent="0.2">
      <c r="A2208" s="89">
        <v>40826</v>
      </c>
      <c r="B2208" s="151" t="s">
        <v>2218</v>
      </c>
      <c r="C2208" s="90" t="s">
        <v>3911</v>
      </c>
      <c r="D2208" s="90" t="s">
        <v>2362</v>
      </c>
      <c r="E2208" s="90" t="str">
        <f>VLOOKUP(B2208&amp;C2208,Divipola!$C$2:$F$1138,4,FALSE)</f>
        <v>05266</v>
      </c>
      <c r="F2208" s="4"/>
      <c r="G2208" s="101"/>
      <c r="H2208" s="101"/>
      <c r="I2208" s="101"/>
      <c r="J2208" s="101">
        <v>200</v>
      </c>
      <c r="K2208" s="101">
        <v>28</v>
      </c>
      <c r="L2208" s="101"/>
      <c r="M2208" s="101"/>
      <c r="N2208" s="101"/>
      <c r="O2208" s="101"/>
      <c r="P2208" s="101"/>
      <c r="Q2208" s="101"/>
      <c r="R2208" s="101"/>
      <c r="S2208" s="101"/>
      <c r="T2208" s="101"/>
      <c r="U2208" s="101"/>
      <c r="V2208" s="101"/>
      <c r="W2208" s="19"/>
      <c r="X2208" s="17"/>
      <c r="Y2208" s="5">
        <f t="shared" si="214"/>
        <v>0</v>
      </c>
      <c r="Z2208" s="5">
        <f t="shared" si="215"/>
        <v>0</v>
      </c>
      <c r="AA2208" s="5">
        <f t="shared" si="216"/>
        <v>0</v>
      </c>
      <c r="AB2208" s="5">
        <f t="shared" si="217"/>
        <v>0</v>
      </c>
      <c r="AC2208" s="5"/>
      <c r="AD2208" s="5">
        <v>0</v>
      </c>
      <c r="AE2208" s="5">
        <f t="shared" si="218"/>
        <v>0</v>
      </c>
      <c r="AF2208" s="70">
        <v>0</v>
      </c>
      <c r="AG2208" s="17"/>
      <c r="AH2208" s="18"/>
      <c r="AI2208" s="47" t="s">
        <v>4346</v>
      </c>
      <c r="AJ2208" s="73" t="s">
        <v>4347</v>
      </c>
      <c r="AK2208" s="45"/>
      <c r="AL2208" s="89" t="s">
        <v>2798</v>
      </c>
      <c r="AM2208" s="121" t="s">
        <v>4641</v>
      </c>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39"/>
      <c r="CE2208" s="138"/>
      <c r="CF2208" s="139"/>
      <c r="CG2208" s="138"/>
      <c r="CH2208" s="139"/>
      <c r="CI2208" s="138"/>
      <c r="CJ2208" s="72"/>
      <c r="CK2208" s="139"/>
      <c r="CL2208" s="71"/>
      <c r="CM2208" s="139"/>
      <c r="CN2208" s="138"/>
      <c r="CO2208" s="138"/>
      <c r="CP2208" s="138"/>
      <c r="CQ2208" s="139"/>
      <c r="CR2208" s="138"/>
      <c r="CS2208" s="45"/>
      <c r="CT2208" s="138"/>
      <c r="CU2208" s="45"/>
      <c r="CV2208" s="99">
        <f t="shared" si="219"/>
        <v>0</v>
      </c>
      <c r="CW2208" s="139"/>
      <c r="CX2208" s="138"/>
      <c r="CY2208" s="138"/>
      <c r="CZ2208" s="138"/>
      <c r="DA2208" s="139"/>
      <c r="DB2208" s="138"/>
      <c r="DC2208" s="45"/>
      <c r="DD2208" s="138"/>
      <c r="DE2208" s="45"/>
      <c r="DF2208" s="46"/>
    </row>
    <row r="2209" spans="1:110" s="42" customFormat="1" ht="48" x14ac:dyDescent="0.2">
      <c r="A2209" s="89">
        <v>40826</v>
      </c>
      <c r="B2209" s="151" t="s">
        <v>2218</v>
      </c>
      <c r="C2209" s="90" t="s">
        <v>2211</v>
      </c>
      <c r="D2209" s="90" t="s">
        <v>3346</v>
      </c>
      <c r="E2209" s="90" t="str">
        <f>VLOOKUP(B2209&amp;C2209,Divipola!$C$2:$F$1138,4,FALSE)</f>
        <v>05313</v>
      </c>
      <c r="F2209" s="4"/>
      <c r="G2209" s="101"/>
      <c r="H2209" s="101"/>
      <c r="I2209" s="101"/>
      <c r="J2209" s="101">
        <v>35</v>
      </c>
      <c r="K2209" s="101">
        <v>7</v>
      </c>
      <c r="L2209" s="101"/>
      <c r="M2209" s="101">
        <v>7</v>
      </c>
      <c r="N2209" s="101"/>
      <c r="O2209" s="101"/>
      <c r="P2209" s="101"/>
      <c r="Q2209" s="101"/>
      <c r="R2209" s="101"/>
      <c r="S2209" s="101"/>
      <c r="T2209" s="101"/>
      <c r="U2209" s="101"/>
      <c r="V2209" s="101"/>
      <c r="W2209" s="19"/>
      <c r="X2209" s="17"/>
      <c r="Y2209" s="5">
        <f t="shared" si="214"/>
        <v>0</v>
      </c>
      <c r="Z2209" s="5">
        <f t="shared" si="215"/>
        <v>0</v>
      </c>
      <c r="AA2209" s="5">
        <f t="shared" si="216"/>
        <v>0</v>
      </c>
      <c r="AB2209" s="5">
        <f t="shared" si="217"/>
        <v>0</v>
      </c>
      <c r="AC2209" s="5"/>
      <c r="AD2209" s="5">
        <v>0</v>
      </c>
      <c r="AE2209" s="5">
        <f t="shared" si="218"/>
        <v>0</v>
      </c>
      <c r="AF2209" s="70">
        <v>0</v>
      </c>
      <c r="AG2209" s="17"/>
      <c r="AH2209" s="18"/>
      <c r="AI2209" s="47" t="s">
        <v>4346</v>
      </c>
      <c r="AJ2209" s="73" t="s">
        <v>4347</v>
      </c>
      <c r="AK2209" s="45"/>
      <c r="AL2209" s="89" t="s">
        <v>2798</v>
      </c>
      <c r="AM2209" s="121" t="s">
        <v>4639</v>
      </c>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39"/>
      <c r="CE2209" s="138"/>
      <c r="CF2209" s="139"/>
      <c r="CG2209" s="138"/>
      <c r="CH2209" s="139"/>
      <c r="CI2209" s="138"/>
      <c r="CJ2209" s="72"/>
      <c r="CK2209" s="139"/>
      <c r="CL2209" s="71"/>
      <c r="CM2209" s="139"/>
      <c r="CN2209" s="138"/>
      <c r="CO2209" s="138"/>
      <c r="CP2209" s="138"/>
      <c r="CQ2209" s="139"/>
      <c r="CR2209" s="138"/>
      <c r="CS2209" s="45"/>
      <c r="CT2209" s="138"/>
      <c r="CU2209" s="45"/>
      <c r="CV2209" s="99">
        <f t="shared" si="219"/>
        <v>0</v>
      </c>
      <c r="CW2209" s="139"/>
      <c r="CX2209" s="138"/>
      <c r="CY2209" s="138"/>
      <c r="CZ2209" s="138"/>
      <c r="DA2209" s="139"/>
      <c r="DB2209" s="138"/>
      <c r="DC2209" s="45"/>
      <c r="DD2209" s="138"/>
      <c r="DE2209" s="45"/>
      <c r="DF2209" s="46"/>
    </row>
    <row r="2210" spans="1:110" s="42" customFormat="1" ht="48" x14ac:dyDescent="0.2">
      <c r="A2210" s="89">
        <v>40826</v>
      </c>
      <c r="B2210" s="151" t="s">
        <v>2218</v>
      </c>
      <c r="C2210" s="90" t="s">
        <v>2276</v>
      </c>
      <c r="D2210" s="90" t="s">
        <v>3346</v>
      </c>
      <c r="E2210" s="90" t="str">
        <f>VLOOKUP(B2210&amp;C2210,Divipola!$C$2:$F$1138,4,FALSE)</f>
        <v>05660</v>
      </c>
      <c r="F2210" s="4"/>
      <c r="G2210" s="101"/>
      <c r="H2210" s="101"/>
      <c r="I2210" s="101"/>
      <c r="J2210" s="101">
        <v>100</v>
      </c>
      <c r="K2210" s="101">
        <v>20</v>
      </c>
      <c r="L2210" s="101"/>
      <c r="M2210" s="101">
        <v>20</v>
      </c>
      <c r="N2210" s="101"/>
      <c r="O2210" s="101"/>
      <c r="P2210" s="101"/>
      <c r="Q2210" s="101"/>
      <c r="R2210" s="101"/>
      <c r="S2210" s="101"/>
      <c r="T2210" s="101"/>
      <c r="U2210" s="101"/>
      <c r="V2210" s="101"/>
      <c r="W2210" s="19"/>
      <c r="X2210" s="17"/>
      <c r="Y2210" s="5">
        <f t="shared" si="214"/>
        <v>0</v>
      </c>
      <c r="Z2210" s="5">
        <f t="shared" si="215"/>
        <v>0</v>
      </c>
      <c r="AA2210" s="5">
        <f t="shared" si="216"/>
        <v>0</v>
      </c>
      <c r="AB2210" s="5">
        <f t="shared" si="217"/>
        <v>0</v>
      </c>
      <c r="AC2210" s="5"/>
      <c r="AD2210" s="5">
        <v>0</v>
      </c>
      <c r="AE2210" s="5">
        <f t="shared" si="218"/>
        <v>0</v>
      </c>
      <c r="AF2210" s="70">
        <v>0</v>
      </c>
      <c r="AG2210" s="17"/>
      <c r="AH2210" s="18"/>
      <c r="AI2210" s="47" t="s">
        <v>4346</v>
      </c>
      <c r="AJ2210" s="73" t="s">
        <v>4347</v>
      </c>
      <c r="AK2210" s="45"/>
      <c r="AL2210" s="89" t="s">
        <v>2798</v>
      </c>
      <c r="AM2210" s="121" t="s">
        <v>4638</v>
      </c>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39"/>
      <c r="CE2210" s="138"/>
      <c r="CF2210" s="139"/>
      <c r="CG2210" s="138"/>
      <c r="CH2210" s="139"/>
      <c r="CI2210" s="138"/>
      <c r="CJ2210" s="72"/>
      <c r="CK2210" s="139"/>
      <c r="CL2210" s="71"/>
      <c r="CM2210" s="139"/>
      <c r="CN2210" s="138"/>
      <c r="CO2210" s="138"/>
      <c r="CP2210" s="138"/>
      <c r="CQ2210" s="139"/>
      <c r="CR2210" s="138"/>
      <c r="CS2210" s="45"/>
      <c r="CT2210" s="138"/>
      <c r="CU2210" s="45"/>
      <c r="CV2210" s="99">
        <f t="shared" si="219"/>
        <v>0</v>
      </c>
      <c r="CW2210" s="139"/>
      <c r="CX2210" s="138"/>
      <c r="CY2210" s="138"/>
      <c r="CZ2210" s="138"/>
      <c r="DA2210" s="139"/>
      <c r="DB2210" s="138"/>
      <c r="DC2210" s="45"/>
      <c r="DD2210" s="138"/>
      <c r="DE2210" s="45"/>
      <c r="DF2210" s="46"/>
    </row>
    <row r="2211" spans="1:110" s="42" customFormat="1" ht="132" x14ac:dyDescent="0.2">
      <c r="A2211" s="89">
        <v>40826</v>
      </c>
      <c r="B2211" s="16" t="s">
        <v>3358</v>
      </c>
      <c r="C2211" s="16" t="s">
        <v>2233</v>
      </c>
      <c r="D2211" s="90" t="s">
        <v>4264</v>
      </c>
      <c r="E2211" s="90" t="str">
        <f>VLOOKUP(B2211&amp;C2211,Divipola!$C$2:$F$1138,4,FALSE)</f>
        <v>18785</v>
      </c>
      <c r="F2211" s="4"/>
      <c r="G2211" s="208"/>
      <c r="H2211" s="208"/>
      <c r="I2211" s="208"/>
      <c r="J2211" s="208">
        <f>97*5</f>
        <v>485</v>
      </c>
      <c r="K2211" s="208">
        <v>97</v>
      </c>
      <c r="L2211" s="208">
        <v>9</v>
      </c>
      <c r="M2211" s="208">
        <f>97-8</f>
        <v>89</v>
      </c>
      <c r="N2211" s="208"/>
      <c r="O2211" s="208"/>
      <c r="P2211" s="208"/>
      <c r="Q2211" s="208"/>
      <c r="R2211" s="208"/>
      <c r="S2211" s="208"/>
      <c r="T2211" s="208"/>
      <c r="U2211" s="208"/>
      <c r="V2211" s="208"/>
      <c r="W2211" s="19"/>
      <c r="X2211" s="17"/>
      <c r="Y2211" s="5">
        <f t="shared" si="214"/>
        <v>26871475.400000002</v>
      </c>
      <c r="Z2211" s="5">
        <f t="shared" si="215"/>
        <v>8244852.5599999996</v>
      </c>
      <c r="AA2211" s="5">
        <f t="shared" si="216"/>
        <v>63768042</v>
      </c>
      <c r="AB2211" s="5">
        <f t="shared" si="217"/>
        <v>0</v>
      </c>
      <c r="AC2211" s="159">
        <f>24*29000+43*649999.04+9*220400+9*133400+270*31000+2*46974.2+80*72799.28+200*11999.04+3000*1499.88+18*66120+9*68440+9*19720+30*16240+230*26999</f>
        <v>61698067.519999996</v>
      </c>
      <c r="AD2211" s="5">
        <v>0</v>
      </c>
      <c r="AE2211" s="5">
        <f t="shared" si="218"/>
        <v>160582437.48000002</v>
      </c>
      <c r="AF2211" s="70">
        <v>0</v>
      </c>
      <c r="AG2211" s="17"/>
      <c r="AH2211" s="18"/>
      <c r="AI2211" s="47" t="s">
        <v>4346</v>
      </c>
      <c r="AJ2211" s="73" t="s">
        <v>4347</v>
      </c>
      <c r="AK2211" s="45"/>
      <c r="AL2211" s="17"/>
      <c r="AM2211" s="20" t="s">
        <v>5324</v>
      </c>
      <c r="AN2211" s="19"/>
      <c r="AO2211" s="19"/>
      <c r="AP2211" s="19"/>
      <c r="AQ2211" s="19"/>
      <c r="AR2211" s="19"/>
      <c r="AS2211" s="19"/>
      <c r="AT2211" s="19"/>
      <c r="AU2211" s="19"/>
      <c r="AV2211" s="19"/>
      <c r="AW2211" s="19"/>
      <c r="AX2211" s="19"/>
      <c r="AY2211" s="19"/>
      <c r="AZ2211" s="19">
        <v>347</v>
      </c>
      <c r="BA2211" s="19">
        <f>347*55999</f>
        <v>19431653</v>
      </c>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39"/>
      <c r="CE2211" s="138"/>
      <c r="CF2211" s="139"/>
      <c r="CG2211" s="138"/>
      <c r="CH2211" s="139"/>
      <c r="CI2211" s="138"/>
      <c r="CJ2211" s="72"/>
      <c r="CK2211" s="139"/>
      <c r="CL2211" s="71"/>
      <c r="CM2211" s="139"/>
      <c r="CN2211" s="138"/>
      <c r="CO2211" s="138"/>
      <c r="CP2211" s="138">
        <v>97</v>
      </c>
      <c r="CQ2211" s="139">
        <f>97*36999.36</f>
        <v>3588937.92</v>
      </c>
      <c r="CR2211" s="138">
        <v>97</v>
      </c>
      <c r="CS2211" s="45">
        <f>97*39699.84</f>
        <v>3850884.4799999995</v>
      </c>
      <c r="CT2211" s="138"/>
      <c r="CU2211" s="45"/>
      <c r="CV2211" s="99">
        <f t="shared" si="219"/>
        <v>26871475.400000002</v>
      </c>
      <c r="CW2211" s="139"/>
      <c r="CX2211" s="138"/>
      <c r="CY2211" s="138">
        <v>97</v>
      </c>
      <c r="CZ2211" s="138">
        <f>97*84998.48</f>
        <v>8244852.5599999996</v>
      </c>
      <c r="DA2211" s="139">
        <v>360</v>
      </c>
      <c r="DB2211" s="138">
        <f>360*26999</f>
        <v>9719640</v>
      </c>
      <c r="DC2211" s="45">
        <v>2350</v>
      </c>
      <c r="DD2211" s="138">
        <f>2350*22999.32</f>
        <v>54048402</v>
      </c>
      <c r="DE2211" s="45"/>
      <c r="DF2211" s="46"/>
    </row>
    <row r="2212" spans="1:110" s="42" customFormat="1" ht="48" x14ac:dyDescent="0.2">
      <c r="A2212" s="89">
        <v>40826</v>
      </c>
      <c r="B2212" s="153" t="s">
        <v>4348</v>
      </c>
      <c r="C2212" s="4" t="s">
        <v>3338</v>
      </c>
      <c r="D2212" s="16" t="s">
        <v>3346</v>
      </c>
      <c r="E2212" s="90" t="str">
        <f>VLOOKUP(B2212&amp;C2212,Divipola!$C$2:$F$1138,4,FALSE)</f>
        <v>66088</v>
      </c>
      <c r="F2212" s="4"/>
      <c r="G2212" s="208"/>
      <c r="H2212" s="208"/>
      <c r="I2212" s="208"/>
      <c r="J2212" s="208">
        <v>35</v>
      </c>
      <c r="K2212" s="208">
        <v>7</v>
      </c>
      <c r="L2212" s="208"/>
      <c r="M2212" s="208">
        <v>7</v>
      </c>
      <c r="N2212" s="208"/>
      <c r="O2212" s="208"/>
      <c r="P2212" s="208"/>
      <c r="Q2212" s="208"/>
      <c r="R2212" s="208"/>
      <c r="S2212" s="208"/>
      <c r="T2212" s="208"/>
      <c r="U2212" s="208"/>
      <c r="V2212" s="208"/>
      <c r="W2212" s="19"/>
      <c r="X2212" s="17"/>
      <c r="Y2212" s="5">
        <f t="shared" si="214"/>
        <v>1000000</v>
      </c>
      <c r="Z2212" s="5">
        <f t="shared" si="215"/>
        <v>0</v>
      </c>
      <c r="AA2212" s="5">
        <f t="shared" si="216"/>
        <v>3375000</v>
      </c>
      <c r="AB2212" s="5">
        <f t="shared" si="217"/>
        <v>0</v>
      </c>
      <c r="AC2212" s="5"/>
      <c r="AD2212" s="5">
        <v>0</v>
      </c>
      <c r="AE2212" s="5">
        <f t="shared" si="218"/>
        <v>4375000</v>
      </c>
      <c r="AF2212" s="70">
        <v>0</v>
      </c>
      <c r="AG2212" s="17"/>
      <c r="AH2212" s="18"/>
      <c r="AI2212" s="47" t="s">
        <v>4346</v>
      </c>
      <c r="AJ2212" s="73" t="s">
        <v>4347</v>
      </c>
      <c r="AK2212" s="45"/>
      <c r="AL2212" s="17"/>
      <c r="AM2212" s="195" t="s">
        <v>4888</v>
      </c>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v>2</v>
      </c>
      <c r="CA2212" s="19">
        <f>2*500000</f>
        <v>1000000</v>
      </c>
      <c r="CB2212" s="19"/>
      <c r="CC2212" s="19"/>
      <c r="CD2212" s="139"/>
      <c r="CE2212" s="138"/>
      <c r="CF2212" s="139"/>
      <c r="CG2212" s="138"/>
      <c r="CH2212" s="139"/>
      <c r="CI2212" s="138"/>
      <c r="CJ2212" s="72"/>
      <c r="CK2212" s="139"/>
      <c r="CL2212" s="71"/>
      <c r="CM2212" s="139"/>
      <c r="CN2212" s="138"/>
      <c r="CO2212" s="138"/>
      <c r="CP2212" s="138"/>
      <c r="CQ2212" s="139"/>
      <c r="CR2212" s="138"/>
      <c r="CS2212" s="45"/>
      <c r="CT2212" s="138"/>
      <c r="CU2212" s="45"/>
      <c r="CV2212" s="99">
        <f t="shared" si="219"/>
        <v>1000000</v>
      </c>
      <c r="CW2212" s="139"/>
      <c r="CX2212" s="138"/>
      <c r="CY2212" s="138"/>
      <c r="CZ2212" s="138"/>
      <c r="DA2212" s="139"/>
      <c r="DB2212" s="138"/>
      <c r="DC2212" s="143">
        <v>150</v>
      </c>
      <c r="DD2212" s="138">
        <f>150*22500</f>
        <v>3375000</v>
      </c>
      <c r="DE2212" s="45"/>
      <c r="DF2212" s="46"/>
    </row>
    <row r="2213" spans="1:110" s="42" customFormat="1" ht="108" x14ac:dyDescent="0.2">
      <c r="A2213" s="89">
        <v>40826</v>
      </c>
      <c r="B2213" s="151" t="s">
        <v>4348</v>
      </c>
      <c r="C2213" s="90" t="s">
        <v>2228</v>
      </c>
      <c r="D2213" s="90" t="s">
        <v>2362</v>
      </c>
      <c r="E2213" s="90" t="str">
        <f>VLOOKUP(B2213&amp;C2213,Divipola!$C$2:$F$1138,4,FALSE)</f>
        <v>66001</v>
      </c>
      <c r="F2213" s="4"/>
      <c r="G2213" s="208"/>
      <c r="H2213" s="208"/>
      <c r="I2213" s="208"/>
      <c r="J2213" s="208"/>
      <c r="K2213" s="208"/>
      <c r="L2213" s="208"/>
      <c r="M2213" s="208"/>
      <c r="N2213" s="208">
        <v>1</v>
      </c>
      <c r="O2213" s="208"/>
      <c r="P2213" s="208"/>
      <c r="Q2213" s="208"/>
      <c r="R2213" s="208"/>
      <c r="S2213" s="208"/>
      <c r="T2213" s="208"/>
      <c r="U2213" s="208"/>
      <c r="V2213" s="208"/>
      <c r="W2213" s="19"/>
      <c r="X2213" s="17"/>
      <c r="Y2213" s="5">
        <f t="shared" si="214"/>
        <v>0</v>
      </c>
      <c r="Z2213" s="5">
        <f t="shared" si="215"/>
        <v>0</v>
      </c>
      <c r="AA2213" s="5">
        <f t="shared" si="216"/>
        <v>0</v>
      </c>
      <c r="AB2213" s="5">
        <f t="shared" si="217"/>
        <v>0</v>
      </c>
      <c r="AC2213" s="5"/>
      <c r="AD2213" s="5">
        <v>200000000</v>
      </c>
      <c r="AE2213" s="5">
        <f t="shared" si="218"/>
        <v>200000000</v>
      </c>
      <c r="AF2213" s="70">
        <v>0</v>
      </c>
      <c r="AG2213" s="17"/>
      <c r="AH2213" s="18"/>
      <c r="AI2213" s="47" t="s">
        <v>4346</v>
      </c>
      <c r="AJ2213" s="73" t="s">
        <v>4347</v>
      </c>
      <c r="AK2213" s="45"/>
      <c r="AL2213" s="17"/>
      <c r="AM2213" s="121" t="s">
        <v>4826</v>
      </c>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39"/>
      <c r="CE2213" s="138"/>
      <c r="CF2213" s="139"/>
      <c r="CG2213" s="138"/>
      <c r="CH2213" s="139"/>
      <c r="CI2213" s="138"/>
      <c r="CJ2213" s="72"/>
      <c r="CK2213" s="139"/>
      <c r="CL2213" s="71"/>
      <c r="CM2213" s="139"/>
      <c r="CN2213" s="138"/>
      <c r="CO2213" s="138"/>
      <c r="CP2213" s="138"/>
      <c r="CQ2213" s="139"/>
      <c r="CR2213" s="138"/>
      <c r="CS2213" s="45"/>
      <c r="CT2213" s="138"/>
      <c r="CU2213" s="45"/>
      <c r="CV2213" s="99">
        <f t="shared" si="219"/>
        <v>0</v>
      </c>
      <c r="CW2213" s="139"/>
      <c r="CX2213" s="138"/>
      <c r="CY2213" s="138"/>
      <c r="CZ2213" s="138"/>
      <c r="DA2213" s="139"/>
      <c r="DB2213" s="138"/>
      <c r="DC2213" s="45"/>
      <c r="DD2213" s="138"/>
      <c r="DE2213" s="45"/>
      <c r="DF2213" s="46"/>
    </row>
    <row r="2214" spans="1:110" s="42" customFormat="1" x14ac:dyDescent="0.2">
      <c r="A2214" s="89">
        <v>40826</v>
      </c>
      <c r="B2214" s="153" t="s">
        <v>2226</v>
      </c>
      <c r="C2214" s="4" t="s">
        <v>4345</v>
      </c>
      <c r="D2214" s="90" t="s">
        <v>4264</v>
      </c>
      <c r="E2214" s="90">
        <f>VLOOKUP(B2214&amp;C2214,Divipola!$C$2:$F$1138,4,FALSE)</f>
        <v>68</v>
      </c>
      <c r="F2214" s="4"/>
      <c r="G2214" s="208"/>
      <c r="H2214" s="208"/>
      <c r="I2214" s="208"/>
      <c r="J2214" s="208"/>
      <c r="K2214" s="208"/>
      <c r="L2214" s="208"/>
      <c r="M2214" s="208"/>
      <c r="N2214" s="208"/>
      <c r="O2214" s="208"/>
      <c r="P2214" s="208"/>
      <c r="Q2214" s="208"/>
      <c r="R2214" s="208"/>
      <c r="S2214" s="208"/>
      <c r="T2214" s="208"/>
      <c r="U2214" s="208"/>
      <c r="V2214" s="208"/>
      <c r="W2214" s="19"/>
      <c r="X2214" s="17"/>
      <c r="Y2214" s="5">
        <f t="shared" si="214"/>
        <v>53499223.200000003</v>
      </c>
      <c r="Z2214" s="5">
        <f t="shared" si="215"/>
        <v>127500000</v>
      </c>
      <c r="AA2214" s="5">
        <f t="shared" si="216"/>
        <v>13407280</v>
      </c>
      <c r="AB2214" s="5">
        <f t="shared" si="217"/>
        <v>0</v>
      </c>
      <c r="AC2214" s="5"/>
      <c r="AD2214" s="5">
        <v>0</v>
      </c>
      <c r="AE2214" s="5">
        <f t="shared" si="218"/>
        <v>194406503.19999999</v>
      </c>
      <c r="AF2214" s="70">
        <v>0</v>
      </c>
      <c r="AG2214" s="17"/>
      <c r="AH2214" s="18"/>
      <c r="AI2214" s="109" t="s">
        <v>4346</v>
      </c>
      <c r="AJ2214" s="110" t="s">
        <v>4347</v>
      </c>
      <c r="AK2214" s="45"/>
      <c r="AL2214" s="17"/>
      <c r="AM2214" s="20"/>
      <c r="AN2214" s="19"/>
      <c r="AO2214" s="19"/>
      <c r="AP2214" s="19"/>
      <c r="AQ2214" s="19"/>
      <c r="AR2214" s="19"/>
      <c r="AS2214" s="19"/>
      <c r="AT2214" s="19"/>
      <c r="AU2214" s="19"/>
      <c r="AV2214" s="19"/>
      <c r="AW2214" s="19"/>
      <c r="AX2214" s="19"/>
      <c r="AY2214" s="19"/>
      <c r="AZ2214" s="19">
        <v>500</v>
      </c>
      <c r="BA2214" s="19">
        <f>500*55999</f>
        <v>27999500</v>
      </c>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v>30</v>
      </c>
      <c r="CA2214" s="19">
        <f>30*499999.44</f>
        <v>14999983.199999999</v>
      </c>
      <c r="CB2214" s="19"/>
      <c r="CC2214" s="19"/>
      <c r="CD2214" s="139"/>
      <c r="CE2214" s="138"/>
      <c r="CF2214" s="139"/>
      <c r="CG2214" s="138"/>
      <c r="CH2214" s="139"/>
      <c r="CI2214" s="138"/>
      <c r="CJ2214" s="72">
        <v>500</v>
      </c>
      <c r="CK2214" s="139">
        <f>500*20999.48</f>
        <v>10499740</v>
      </c>
      <c r="CL2214" s="71"/>
      <c r="CM2214" s="139"/>
      <c r="CN2214" s="138"/>
      <c r="CO2214" s="138"/>
      <c r="CP2214" s="138"/>
      <c r="CQ2214" s="139"/>
      <c r="CR2214" s="138"/>
      <c r="CS2214" s="45"/>
      <c r="CT2214" s="138"/>
      <c r="CU2214" s="45"/>
      <c r="CV2214" s="99">
        <f t="shared" si="219"/>
        <v>53499223.200000003</v>
      </c>
      <c r="CW2214" s="139"/>
      <c r="CX2214" s="138"/>
      <c r="CY2214" s="138">
        <v>1500</v>
      </c>
      <c r="CZ2214" s="138">
        <f>1500*85000</f>
        <v>127500000</v>
      </c>
      <c r="DA2214" s="139"/>
      <c r="DB2214" s="138"/>
      <c r="DC2214" s="45">
        <v>500</v>
      </c>
      <c r="DD2214" s="138">
        <f>500*25499.12+3000*219.24</f>
        <v>13407280</v>
      </c>
      <c r="DE2214" s="45"/>
      <c r="DF2214" s="46"/>
    </row>
    <row r="2215" spans="1:110" s="42" customFormat="1" ht="36" x14ac:dyDescent="0.2">
      <c r="A2215" s="89">
        <v>40826</v>
      </c>
      <c r="B2215" s="151" t="s">
        <v>4387</v>
      </c>
      <c r="C2215" s="90" t="s">
        <v>4204</v>
      </c>
      <c r="D2215" s="90" t="s">
        <v>4264</v>
      </c>
      <c r="E2215" s="90" t="str">
        <f>VLOOKUP(B2215&amp;C2215,Divipola!$C$2:$F$1138,4,FALSE)</f>
        <v>52381</v>
      </c>
      <c r="F2215" s="4"/>
      <c r="G2215" s="101"/>
      <c r="H2215" s="101"/>
      <c r="I2215" s="101"/>
      <c r="J2215" s="101">
        <v>128</v>
      </c>
      <c r="K2215" s="101">
        <v>31</v>
      </c>
      <c r="L2215" s="101"/>
      <c r="M2215" s="101">
        <v>31</v>
      </c>
      <c r="N2215" s="101"/>
      <c r="O2215" s="101"/>
      <c r="P2215" s="101"/>
      <c r="Q2215" s="101"/>
      <c r="R2215" s="101"/>
      <c r="S2215" s="101"/>
      <c r="T2215" s="101"/>
      <c r="U2215" s="101"/>
      <c r="V2215" s="264"/>
      <c r="W2215" s="19"/>
      <c r="X2215" s="17"/>
      <c r="Y2215" s="5">
        <f t="shared" si="214"/>
        <v>0</v>
      </c>
      <c r="Z2215" s="5">
        <f t="shared" si="215"/>
        <v>0</v>
      </c>
      <c r="AA2215" s="5">
        <f t="shared" si="216"/>
        <v>0</v>
      </c>
      <c r="AB2215" s="5">
        <f t="shared" si="217"/>
        <v>0</v>
      </c>
      <c r="AC2215" s="5"/>
      <c r="AD2215" s="5">
        <v>0</v>
      </c>
      <c r="AE2215" s="5">
        <f t="shared" si="218"/>
        <v>0</v>
      </c>
      <c r="AF2215" s="70">
        <v>0</v>
      </c>
      <c r="AG2215" s="17"/>
      <c r="AH2215" s="18"/>
      <c r="AI2215" s="47" t="s">
        <v>4336</v>
      </c>
      <c r="AJ2215" s="73" t="s">
        <v>4337</v>
      </c>
      <c r="AK2215" s="45"/>
      <c r="AL2215" s="17"/>
      <c r="AM2215" s="121" t="s">
        <v>5609</v>
      </c>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39"/>
      <c r="CE2215" s="138"/>
      <c r="CF2215" s="139"/>
      <c r="CG2215" s="138"/>
      <c r="CH2215" s="139"/>
      <c r="CI2215" s="138"/>
      <c r="CJ2215" s="72"/>
      <c r="CK2215" s="139"/>
      <c r="CL2215" s="71"/>
      <c r="CM2215" s="139"/>
      <c r="CN2215" s="138"/>
      <c r="CO2215" s="138"/>
      <c r="CP2215" s="138"/>
      <c r="CQ2215" s="139"/>
      <c r="CR2215" s="138"/>
      <c r="CS2215" s="45"/>
      <c r="CT2215" s="138"/>
      <c r="CU2215" s="45"/>
      <c r="CV2215" s="99">
        <f t="shared" si="219"/>
        <v>0</v>
      </c>
      <c r="CW2215" s="139"/>
      <c r="CX2215" s="138"/>
      <c r="CY2215" s="138"/>
      <c r="CZ2215" s="138"/>
      <c r="DA2215" s="139"/>
      <c r="DB2215" s="138"/>
      <c r="DC2215" s="45"/>
      <c r="DD2215" s="138"/>
      <c r="DE2215" s="45"/>
      <c r="DF2215" s="46"/>
    </row>
    <row r="2216" spans="1:110" s="42" customFormat="1" ht="48" x14ac:dyDescent="0.2">
      <c r="A2216" s="89">
        <v>40827</v>
      </c>
      <c r="B2216" s="153" t="s">
        <v>4296</v>
      </c>
      <c r="C2216" s="4" t="s">
        <v>936</v>
      </c>
      <c r="D2216" s="90" t="s">
        <v>4264</v>
      </c>
      <c r="E2216" s="90" t="str">
        <f>VLOOKUP(B2216&amp;C2216,Divipola!$C$2:$F$1138,4,FALSE)</f>
        <v>19418</v>
      </c>
      <c r="F2216" s="4"/>
      <c r="G2216" s="208"/>
      <c r="H2216" s="208"/>
      <c r="I2216" s="208"/>
      <c r="J2216" s="208"/>
      <c r="K2216" s="208"/>
      <c r="L2216" s="208"/>
      <c r="M2216" s="208"/>
      <c r="N2216" s="208"/>
      <c r="O2216" s="208"/>
      <c r="P2216" s="208"/>
      <c r="Q2216" s="208"/>
      <c r="R2216" s="208"/>
      <c r="S2216" s="208"/>
      <c r="T2216" s="208"/>
      <c r="U2216" s="208"/>
      <c r="V2216" s="208"/>
      <c r="W2216" s="19"/>
      <c r="X2216" s="17"/>
      <c r="Y2216" s="5">
        <f t="shared" si="214"/>
        <v>0</v>
      </c>
      <c r="Z2216" s="5">
        <f t="shared" si="215"/>
        <v>25500000</v>
      </c>
      <c r="AA2216" s="5">
        <f t="shared" si="216"/>
        <v>0</v>
      </c>
      <c r="AB2216" s="5">
        <f t="shared" si="217"/>
        <v>0</v>
      </c>
      <c r="AC2216" s="5"/>
      <c r="AD2216" s="5">
        <v>0</v>
      </c>
      <c r="AE2216" s="5">
        <f t="shared" si="218"/>
        <v>25500000</v>
      </c>
      <c r="AF2216" s="70">
        <v>0</v>
      </c>
      <c r="AG2216" s="17"/>
      <c r="AH2216" s="18"/>
      <c r="AI2216" s="47" t="s">
        <v>4346</v>
      </c>
      <c r="AJ2216" s="73" t="s">
        <v>4347</v>
      </c>
      <c r="AK2216" s="45"/>
      <c r="AL2216" s="17"/>
      <c r="AM2216" s="20" t="s">
        <v>4829</v>
      </c>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39"/>
      <c r="CE2216" s="138"/>
      <c r="CF2216" s="139"/>
      <c r="CG2216" s="138"/>
      <c r="CH2216" s="139"/>
      <c r="CI2216" s="138"/>
      <c r="CJ2216" s="72"/>
      <c r="CK2216" s="139"/>
      <c r="CL2216" s="71"/>
      <c r="CM2216" s="139"/>
      <c r="CN2216" s="138"/>
      <c r="CO2216" s="138"/>
      <c r="CP2216" s="138"/>
      <c r="CQ2216" s="139"/>
      <c r="CR2216" s="138"/>
      <c r="CS2216" s="45"/>
      <c r="CT2216" s="138"/>
      <c r="CU2216" s="45"/>
      <c r="CV2216" s="99">
        <f t="shared" si="219"/>
        <v>0</v>
      </c>
      <c r="CW2216" s="139"/>
      <c r="CX2216" s="138"/>
      <c r="CY2216" s="138">
        <v>300</v>
      </c>
      <c r="CZ2216" s="138">
        <f>300*85000</f>
        <v>25500000</v>
      </c>
      <c r="DA2216" s="139"/>
      <c r="DB2216" s="138"/>
      <c r="DC2216" s="45"/>
      <c r="DD2216" s="138"/>
      <c r="DE2216" s="45"/>
      <c r="DF2216" s="46"/>
    </row>
    <row r="2217" spans="1:110" s="42" customFormat="1" ht="48" x14ac:dyDescent="0.2">
      <c r="A2217" s="89">
        <v>40827</v>
      </c>
      <c r="B2217" s="151" t="s">
        <v>4350</v>
      </c>
      <c r="C2217" s="151" t="s">
        <v>4339</v>
      </c>
      <c r="D2217" s="90" t="s">
        <v>3346</v>
      </c>
      <c r="E2217" s="90" t="str">
        <f>VLOOKUP(B2217&amp;C2217,Divipola!$C$2:$F$1138,4,FALSE)</f>
        <v>63401</v>
      </c>
      <c r="F2217" s="4"/>
      <c r="G2217" s="101"/>
      <c r="H2217" s="101"/>
      <c r="I2217" s="101"/>
      <c r="J2217" s="101">
        <v>18</v>
      </c>
      <c r="K2217" s="101">
        <v>5</v>
      </c>
      <c r="L2217" s="101"/>
      <c r="M2217" s="101">
        <v>5</v>
      </c>
      <c r="N2217" s="101"/>
      <c r="O2217" s="101"/>
      <c r="P2217" s="101"/>
      <c r="Q2217" s="101"/>
      <c r="R2217" s="101"/>
      <c r="S2217" s="101"/>
      <c r="T2217" s="101"/>
      <c r="U2217" s="101"/>
      <c r="V2217" s="101"/>
      <c r="W2217" s="19"/>
      <c r="X2217" s="17"/>
      <c r="Y2217" s="5">
        <f t="shared" si="214"/>
        <v>0</v>
      </c>
      <c r="Z2217" s="5">
        <f t="shared" si="215"/>
        <v>0</v>
      </c>
      <c r="AA2217" s="5">
        <f t="shared" si="216"/>
        <v>0</v>
      </c>
      <c r="AB2217" s="5">
        <f t="shared" si="217"/>
        <v>0</v>
      </c>
      <c r="AC2217" s="5"/>
      <c r="AD2217" s="5">
        <v>0</v>
      </c>
      <c r="AE2217" s="5">
        <f t="shared" si="218"/>
        <v>0</v>
      </c>
      <c r="AF2217" s="70">
        <v>0</v>
      </c>
      <c r="AG2217" s="17"/>
      <c r="AH2217" s="18"/>
      <c r="AI2217" s="47" t="s">
        <v>4336</v>
      </c>
      <c r="AJ2217" s="73" t="s">
        <v>4337</v>
      </c>
      <c r="AK2217" s="45"/>
      <c r="AL2217" s="17"/>
      <c r="AM2217" s="121" t="s">
        <v>4643</v>
      </c>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39"/>
      <c r="CE2217" s="138"/>
      <c r="CF2217" s="139"/>
      <c r="CG2217" s="138"/>
      <c r="CH2217" s="139"/>
      <c r="CI2217" s="138"/>
      <c r="CJ2217" s="72"/>
      <c r="CK2217" s="139"/>
      <c r="CL2217" s="71"/>
      <c r="CM2217" s="139"/>
      <c r="CN2217" s="138"/>
      <c r="CO2217" s="138"/>
      <c r="CP2217" s="138"/>
      <c r="CQ2217" s="139"/>
      <c r="CR2217" s="138"/>
      <c r="CS2217" s="45"/>
      <c r="CT2217" s="138"/>
      <c r="CU2217" s="45"/>
      <c r="CV2217" s="99">
        <f t="shared" si="219"/>
        <v>0</v>
      </c>
      <c r="CW2217" s="139"/>
      <c r="CX2217" s="138"/>
      <c r="CY2217" s="138"/>
      <c r="CZ2217" s="138"/>
      <c r="DA2217" s="139"/>
      <c r="DB2217" s="138"/>
      <c r="DC2217" s="45"/>
      <c r="DD2217" s="138"/>
      <c r="DE2217" s="45"/>
      <c r="DF2217" s="46"/>
    </row>
    <row r="2218" spans="1:110" s="42" customFormat="1" ht="48" x14ac:dyDescent="0.2">
      <c r="A2218" s="89">
        <v>40827</v>
      </c>
      <c r="B2218" s="151" t="s">
        <v>4348</v>
      </c>
      <c r="C2218" s="90" t="s">
        <v>2228</v>
      </c>
      <c r="D2218" s="90" t="s">
        <v>2362</v>
      </c>
      <c r="E2218" s="90" t="str">
        <f>VLOOKUP(B2218&amp;C2218,Divipola!$C$2:$F$1138,4,FALSE)</f>
        <v>66001</v>
      </c>
      <c r="F2218" s="4"/>
      <c r="G2218" s="101"/>
      <c r="H2218" s="101"/>
      <c r="I2218" s="101"/>
      <c r="J2218" s="101">
        <v>8</v>
      </c>
      <c r="K2218" s="101">
        <v>1</v>
      </c>
      <c r="L2218" s="101"/>
      <c r="M2218" s="101">
        <v>1</v>
      </c>
      <c r="N2218" s="101"/>
      <c r="O2218" s="101"/>
      <c r="P2218" s="101"/>
      <c r="Q2218" s="101"/>
      <c r="R2218" s="101"/>
      <c r="S2218" s="101"/>
      <c r="T2218" s="101"/>
      <c r="U2218" s="101"/>
      <c r="V2218" s="101"/>
      <c r="W2218" s="19"/>
      <c r="X2218" s="17"/>
      <c r="Y2218" s="5">
        <f t="shared" si="214"/>
        <v>0</v>
      </c>
      <c r="Z2218" s="5">
        <f t="shared" si="215"/>
        <v>0</v>
      </c>
      <c r="AA2218" s="5">
        <f t="shared" si="216"/>
        <v>0</v>
      </c>
      <c r="AB2218" s="5">
        <f t="shared" si="217"/>
        <v>0</v>
      </c>
      <c r="AC2218" s="5"/>
      <c r="AD2218" s="5">
        <v>0</v>
      </c>
      <c r="AE2218" s="5">
        <f t="shared" si="218"/>
        <v>0</v>
      </c>
      <c r="AF2218" s="70">
        <v>0</v>
      </c>
      <c r="AG2218" s="17"/>
      <c r="AH2218" s="18"/>
      <c r="AI2218" s="47" t="s">
        <v>4336</v>
      </c>
      <c r="AJ2218" s="73" t="s">
        <v>4337</v>
      </c>
      <c r="AK2218" s="45"/>
      <c r="AL2218" s="17"/>
      <c r="AM2218" s="121" t="s">
        <v>4644</v>
      </c>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39"/>
      <c r="CE2218" s="138"/>
      <c r="CF2218" s="139"/>
      <c r="CG2218" s="138"/>
      <c r="CH2218" s="139"/>
      <c r="CI2218" s="138"/>
      <c r="CJ2218" s="72"/>
      <c r="CK2218" s="139"/>
      <c r="CL2218" s="71"/>
      <c r="CM2218" s="139"/>
      <c r="CN2218" s="138"/>
      <c r="CO2218" s="138"/>
      <c r="CP2218" s="138"/>
      <c r="CQ2218" s="139"/>
      <c r="CR2218" s="138"/>
      <c r="CS2218" s="45"/>
      <c r="CT2218" s="138"/>
      <c r="CU2218" s="45"/>
      <c r="CV2218" s="99">
        <f t="shared" si="219"/>
        <v>0</v>
      </c>
      <c r="CW2218" s="139"/>
      <c r="CX2218" s="138"/>
      <c r="CY2218" s="138"/>
      <c r="CZ2218" s="138"/>
      <c r="DA2218" s="139"/>
      <c r="DB2218" s="138"/>
      <c r="DC2218" s="45"/>
      <c r="DD2218" s="138"/>
      <c r="DE2218" s="45"/>
      <c r="DF2218" s="46"/>
    </row>
    <row r="2219" spans="1:110" s="42" customFormat="1" ht="108" x14ac:dyDescent="0.2">
      <c r="A2219" s="89">
        <v>40827</v>
      </c>
      <c r="B2219" s="151" t="s">
        <v>3316</v>
      </c>
      <c r="C2219" s="90" t="s">
        <v>4323</v>
      </c>
      <c r="D2219" s="90" t="s">
        <v>4264</v>
      </c>
      <c r="E2219" s="90" t="str">
        <f>VLOOKUP(B2219&amp;C2219,Divipola!$C$2:$F$1138,4,FALSE)</f>
        <v>73001</v>
      </c>
      <c r="F2219" s="4"/>
      <c r="G2219" s="101"/>
      <c r="H2219" s="101"/>
      <c r="I2219" s="101"/>
      <c r="J2219" s="101"/>
      <c r="K2219" s="101"/>
      <c r="L2219" s="101"/>
      <c r="M2219" s="101"/>
      <c r="N2219" s="101"/>
      <c r="O2219" s="101"/>
      <c r="P2219" s="101"/>
      <c r="Q2219" s="101">
        <v>1</v>
      </c>
      <c r="R2219" s="101"/>
      <c r="S2219" s="101"/>
      <c r="T2219" s="101"/>
      <c r="U2219" s="101"/>
      <c r="V2219" s="101"/>
      <c r="W2219" s="19"/>
      <c r="X2219" s="17"/>
      <c r="Y2219" s="5">
        <f t="shared" si="214"/>
        <v>0</v>
      </c>
      <c r="Z2219" s="5">
        <f t="shared" si="215"/>
        <v>0</v>
      </c>
      <c r="AA2219" s="5">
        <f t="shared" si="216"/>
        <v>0</v>
      </c>
      <c r="AB2219" s="5">
        <f t="shared" si="217"/>
        <v>0</v>
      </c>
      <c r="AC2219" s="5"/>
      <c r="AD2219" s="5">
        <v>0</v>
      </c>
      <c r="AE2219" s="5">
        <f t="shared" si="218"/>
        <v>0</v>
      </c>
      <c r="AF2219" s="70">
        <v>0</v>
      </c>
      <c r="AG2219" s="17"/>
      <c r="AH2219" s="18"/>
      <c r="AI2219" s="47" t="s">
        <v>4336</v>
      </c>
      <c r="AJ2219" s="73" t="s">
        <v>4337</v>
      </c>
      <c r="AK2219" s="45"/>
      <c r="AL2219" s="17"/>
      <c r="AM2219" s="121" t="s">
        <v>4597</v>
      </c>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39"/>
      <c r="CE2219" s="138"/>
      <c r="CF2219" s="139"/>
      <c r="CG2219" s="138"/>
      <c r="CH2219" s="139"/>
      <c r="CI2219" s="138"/>
      <c r="CJ2219" s="72"/>
      <c r="CK2219" s="139"/>
      <c r="CL2219" s="71"/>
      <c r="CM2219" s="139"/>
      <c r="CN2219" s="138"/>
      <c r="CO2219" s="138"/>
      <c r="CP2219" s="138"/>
      <c r="CQ2219" s="139"/>
      <c r="CR2219" s="138"/>
      <c r="CS2219" s="45"/>
      <c r="CT2219" s="138"/>
      <c r="CU2219" s="45"/>
      <c r="CV2219" s="99">
        <f t="shared" si="219"/>
        <v>0</v>
      </c>
      <c r="CW2219" s="139"/>
      <c r="CX2219" s="138"/>
      <c r="CY2219" s="138"/>
      <c r="CZ2219" s="138"/>
      <c r="DA2219" s="139"/>
      <c r="DB2219" s="138"/>
      <c r="DC2219" s="45"/>
      <c r="DD2219" s="138"/>
      <c r="DE2219" s="45"/>
      <c r="DF2219" s="46"/>
    </row>
    <row r="2220" spans="1:110" s="42" customFormat="1" ht="36" x14ac:dyDescent="0.2">
      <c r="A2220" s="89">
        <v>40828</v>
      </c>
      <c r="B2220" s="151" t="s">
        <v>2218</v>
      </c>
      <c r="C2220" s="90" t="s">
        <v>3955</v>
      </c>
      <c r="D2220" s="90" t="s">
        <v>4264</v>
      </c>
      <c r="E2220" s="90" t="str">
        <f>VLOOKUP(B2220&amp;C2220,Divipola!$C$2:$F$1138,4,FALSE)</f>
        <v>05390</v>
      </c>
      <c r="F2220" s="4"/>
      <c r="G2220" s="101"/>
      <c r="H2220" s="101"/>
      <c r="I2220" s="101"/>
      <c r="J2220" s="101">
        <v>60</v>
      </c>
      <c r="K2220" s="101">
        <v>15</v>
      </c>
      <c r="L2220" s="101"/>
      <c r="M2220" s="101">
        <v>15</v>
      </c>
      <c r="N2220" s="101"/>
      <c r="O2220" s="101"/>
      <c r="P2220" s="101"/>
      <c r="Q2220" s="101"/>
      <c r="R2220" s="101"/>
      <c r="S2220" s="101"/>
      <c r="T2220" s="101"/>
      <c r="U2220" s="101"/>
      <c r="V2220" s="101"/>
      <c r="W2220" s="19"/>
      <c r="X2220" s="17"/>
      <c r="Y2220" s="5">
        <f t="shared" si="214"/>
        <v>0</v>
      </c>
      <c r="Z2220" s="5">
        <f t="shared" si="215"/>
        <v>0</v>
      </c>
      <c r="AA2220" s="5">
        <f t="shared" si="216"/>
        <v>0</v>
      </c>
      <c r="AB2220" s="5">
        <f t="shared" si="217"/>
        <v>0</v>
      </c>
      <c r="AC2220" s="5"/>
      <c r="AD2220" s="5">
        <v>0</v>
      </c>
      <c r="AE2220" s="5">
        <f t="shared" si="218"/>
        <v>0</v>
      </c>
      <c r="AF2220" s="70">
        <v>0</v>
      </c>
      <c r="AG2220" s="17"/>
      <c r="AH2220" s="18"/>
      <c r="AI2220" s="47" t="s">
        <v>4346</v>
      </c>
      <c r="AJ2220" s="175" t="s">
        <v>4347</v>
      </c>
      <c r="AK2220" s="45"/>
      <c r="AL2220" s="89" t="s">
        <v>2798</v>
      </c>
      <c r="AM2220" s="121" t="s">
        <v>4645</v>
      </c>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39"/>
      <c r="CE2220" s="138"/>
      <c r="CF2220" s="139"/>
      <c r="CG2220" s="138"/>
      <c r="CH2220" s="139"/>
      <c r="CI2220" s="138"/>
      <c r="CJ2220" s="72"/>
      <c r="CK2220" s="139"/>
      <c r="CL2220" s="71"/>
      <c r="CM2220" s="139"/>
      <c r="CN2220" s="138"/>
      <c r="CO2220" s="138"/>
      <c r="CP2220" s="138"/>
      <c r="CQ2220" s="139"/>
      <c r="CR2220" s="138"/>
      <c r="CS2220" s="45"/>
      <c r="CT2220" s="138"/>
      <c r="CU2220" s="45"/>
      <c r="CV2220" s="99">
        <f t="shared" si="219"/>
        <v>0</v>
      </c>
      <c r="CW2220" s="139"/>
      <c r="CX2220" s="138"/>
      <c r="CY2220" s="138"/>
      <c r="CZ2220" s="138"/>
      <c r="DA2220" s="139"/>
      <c r="DB2220" s="138"/>
      <c r="DC2220" s="45"/>
      <c r="DD2220" s="138"/>
      <c r="DE2220" s="45"/>
      <c r="DF2220" s="46"/>
    </row>
    <row r="2221" spans="1:110" s="42" customFormat="1" x14ac:dyDescent="0.2">
      <c r="A2221" s="89">
        <v>40828</v>
      </c>
      <c r="B2221" s="151" t="s">
        <v>4326</v>
      </c>
      <c r="C2221" s="90" t="s">
        <v>4117</v>
      </c>
      <c r="D2221" s="90" t="s">
        <v>4264</v>
      </c>
      <c r="E2221" s="90" t="str">
        <f>VLOOKUP(B2221&amp;C2221,Divipola!$C$2:$F$1138,4,FALSE)</f>
        <v>08078</v>
      </c>
      <c r="F2221" s="4"/>
      <c r="G2221" s="208"/>
      <c r="H2221" s="208"/>
      <c r="I2221" s="208"/>
      <c r="J2221" s="208"/>
      <c r="K2221" s="208"/>
      <c r="L2221" s="208"/>
      <c r="M2221" s="208"/>
      <c r="N2221" s="208"/>
      <c r="O2221" s="208"/>
      <c r="P2221" s="208"/>
      <c r="Q2221" s="208"/>
      <c r="R2221" s="208"/>
      <c r="S2221" s="208"/>
      <c r="T2221" s="208"/>
      <c r="U2221" s="208"/>
      <c r="V2221" s="208"/>
      <c r="W2221" s="19"/>
      <c r="X2221" s="17"/>
      <c r="Y2221" s="5">
        <f t="shared" si="214"/>
        <v>0</v>
      </c>
      <c r="Z2221" s="5">
        <f t="shared" si="215"/>
        <v>0</v>
      </c>
      <c r="AA2221" s="5">
        <f t="shared" si="216"/>
        <v>5799930.4000000004</v>
      </c>
      <c r="AB2221" s="5">
        <f t="shared" si="217"/>
        <v>0</v>
      </c>
      <c r="AC2221" s="5"/>
      <c r="AD2221" s="5">
        <v>0</v>
      </c>
      <c r="AE2221" s="5">
        <f t="shared" si="218"/>
        <v>5799930.4000000004</v>
      </c>
      <c r="AF2221" s="70">
        <v>0</v>
      </c>
      <c r="AG2221" s="17"/>
      <c r="AH2221" s="18"/>
      <c r="AI2221" s="109" t="s">
        <v>4346</v>
      </c>
      <c r="AJ2221" s="211" t="s">
        <v>4347</v>
      </c>
      <c r="AK2221" s="45"/>
      <c r="AL2221" s="17"/>
      <c r="AM2221" s="20"/>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39"/>
      <c r="CE2221" s="138"/>
      <c r="CF2221" s="139"/>
      <c r="CG2221" s="138"/>
      <c r="CH2221" s="139"/>
      <c r="CI2221" s="138"/>
      <c r="CJ2221" s="72"/>
      <c r="CK2221" s="139"/>
      <c r="CL2221" s="71"/>
      <c r="CM2221" s="139"/>
      <c r="CN2221" s="138"/>
      <c r="CO2221" s="138"/>
      <c r="CP2221" s="138"/>
      <c r="CQ2221" s="139"/>
      <c r="CR2221" s="138"/>
      <c r="CS2221" s="45"/>
      <c r="CT2221" s="138"/>
      <c r="CU2221" s="45"/>
      <c r="CV2221" s="99">
        <f t="shared" si="219"/>
        <v>0</v>
      </c>
      <c r="CW2221" s="139"/>
      <c r="CX2221" s="138"/>
      <c r="CY2221" s="138"/>
      <c r="CZ2221" s="138"/>
      <c r="DA2221" s="139"/>
      <c r="DB2221" s="138"/>
      <c r="DC2221" s="45">
        <v>170</v>
      </c>
      <c r="DD2221" s="138">
        <f>90*35999.44+80*31999.76</f>
        <v>5799930.4000000004</v>
      </c>
      <c r="DE2221" s="45"/>
      <c r="DF2221" s="46"/>
    </row>
    <row r="2222" spans="1:110" s="42" customFormat="1" ht="60" x14ac:dyDescent="0.2">
      <c r="A2222" s="89">
        <v>40828</v>
      </c>
      <c r="B2222" s="151" t="s">
        <v>4352</v>
      </c>
      <c r="C2222" s="90" t="s">
        <v>2566</v>
      </c>
      <c r="D2222" s="90" t="s">
        <v>2362</v>
      </c>
      <c r="E2222" s="90" t="str">
        <f>VLOOKUP(B2222&amp;C2222,Divipola!$C$2:$F$1138,4,FALSE)</f>
        <v>13836</v>
      </c>
      <c r="F2222" s="4"/>
      <c r="G2222" s="101"/>
      <c r="H2222" s="101"/>
      <c r="I2222" s="101"/>
      <c r="J2222" s="101">
        <v>664</v>
      </c>
      <c r="K2222" s="101">
        <v>218</v>
      </c>
      <c r="L2222" s="101"/>
      <c r="M2222" s="101">
        <v>36</v>
      </c>
      <c r="N2222" s="101"/>
      <c r="O2222" s="101"/>
      <c r="P2222" s="101"/>
      <c r="Q2222" s="101"/>
      <c r="R2222" s="101"/>
      <c r="S2222" s="101"/>
      <c r="T2222" s="101"/>
      <c r="U2222" s="101"/>
      <c r="V2222" s="101"/>
      <c r="W2222" s="19"/>
      <c r="X2222" s="17"/>
      <c r="Y2222" s="5">
        <f t="shared" si="214"/>
        <v>0</v>
      </c>
      <c r="Z2222" s="5">
        <f t="shared" si="215"/>
        <v>0</v>
      </c>
      <c r="AA2222" s="5">
        <f t="shared" si="216"/>
        <v>0</v>
      </c>
      <c r="AB2222" s="5">
        <f t="shared" si="217"/>
        <v>0</v>
      </c>
      <c r="AC2222" s="5"/>
      <c r="AD2222" s="5">
        <v>0</v>
      </c>
      <c r="AE2222" s="5">
        <f t="shared" si="218"/>
        <v>0</v>
      </c>
      <c r="AF2222" s="70">
        <v>0</v>
      </c>
      <c r="AG2222" s="17"/>
      <c r="AH2222" s="18"/>
      <c r="AI2222" s="47" t="s">
        <v>4336</v>
      </c>
      <c r="AJ2222" s="73" t="s">
        <v>4337</v>
      </c>
      <c r="AK2222" s="45"/>
      <c r="AL2222" s="17"/>
      <c r="AM2222" s="121" t="s">
        <v>4695</v>
      </c>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39"/>
      <c r="CE2222" s="138"/>
      <c r="CF2222" s="139"/>
      <c r="CG2222" s="138"/>
      <c r="CH2222" s="139"/>
      <c r="CI2222" s="138"/>
      <c r="CJ2222" s="72"/>
      <c r="CK2222" s="139"/>
      <c r="CL2222" s="71"/>
      <c r="CM2222" s="139"/>
      <c r="CN2222" s="138"/>
      <c r="CO2222" s="138"/>
      <c r="CP2222" s="138"/>
      <c r="CQ2222" s="139"/>
      <c r="CR2222" s="138"/>
      <c r="CS2222" s="45"/>
      <c r="CT2222" s="138"/>
      <c r="CU2222" s="45"/>
      <c r="CV2222" s="99">
        <f t="shared" si="219"/>
        <v>0</v>
      </c>
      <c r="CW2222" s="139"/>
      <c r="CX2222" s="138"/>
      <c r="CY2222" s="138"/>
      <c r="CZ2222" s="138"/>
      <c r="DA2222" s="139"/>
      <c r="DB2222" s="138"/>
      <c r="DC2222" s="45"/>
      <c r="DD2222" s="138"/>
      <c r="DE2222" s="45"/>
      <c r="DF2222" s="46"/>
    </row>
    <row r="2223" spans="1:110" s="42" customFormat="1" ht="36" x14ac:dyDescent="0.2">
      <c r="A2223" s="89">
        <v>40828</v>
      </c>
      <c r="B2223" s="151" t="s">
        <v>4353</v>
      </c>
      <c r="C2223" s="90" t="s">
        <v>3444</v>
      </c>
      <c r="D2223" s="90" t="s">
        <v>4264</v>
      </c>
      <c r="E2223" s="90" t="str">
        <f>VLOOKUP(B2223&amp;C2223,Divipola!$C$2:$F$1138,4,FALSE)</f>
        <v>85225</v>
      </c>
      <c r="F2223" s="4"/>
      <c r="G2223" s="101"/>
      <c r="H2223" s="101"/>
      <c r="I2223" s="101"/>
      <c r="J2223" s="101">
        <v>20</v>
      </c>
      <c r="K2223" s="101">
        <v>4</v>
      </c>
      <c r="L2223" s="101"/>
      <c r="M2223" s="101">
        <v>4</v>
      </c>
      <c r="N2223" s="101"/>
      <c r="O2223" s="101"/>
      <c r="P2223" s="101"/>
      <c r="Q2223" s="101"/>
      <c r="R2223" s="101"/>
      <c r="S2223" s="101"/>
      <c r="T2223" s="101"/>
      <c r="U2223" s="101"/>
      <c r="V2223" s="101"/>
      <c r="W2223" s="19"/>
      <c r="X2223" s="17"/>
      <c r="Y2223" s="5">
        <f t="shared" si="214"/>
        <v>0</v>
      </c>
      <c r="Z2223" s="5">
        <f t="shared" si="215"/>
        <v>0</v>
      </c>
      <c r="AA2223" s="5">
        <f t="shared" si="216"/>
        <v>0</v>
      </c>
      <c r="AB2223" s="5">
        <f t="shared" si="217"/>
        <v>0</v>
      </c>
      <c r="AC2223" s="5"/>
      <c r="AD2223" s="5">
        <v>0</v>
      </c>
      <c r="AE2223" s="5">
        <f t="shared" si="218"/>
        <v>0</v>
      </c>
      <c r="AF2223" s="70">
        <v>0</v>
      </c>
      <c r="AG2223" s="17"/>
      <c r="AH2223" s="18"/>
      <c r="AI2223" s="47" t="s">
        <v>4336</v>
      </c>
      <c r="AJ2223" s="73" t="s">
        <v>4337</v>
      </c>
      <c r="AK2223" s="45"/>
      <c r="AL2223" s="17"/>
      <c r="AM2223" s="121" t="s">
        <v>4701</v>
      </c>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39"/>
      <c r="CE2223" s="138"/>
      <c r="CF2223" s="139"/>
      <c r="CG2223" s="138"/>
      <c r="CH2223" s="139"/>
      <c r="CI2223" s="138"/>
      <c r="CJ2223" s="72"/>
      <c r="CK2223" s="139"/>
      <c r="CL2223" s="71"/>
      <c r="CM2223" s="139"/>
      <c r="CN2223" s="138"/>
      <c r="CO2223" s="138"/>
      <c r="CP2223" s="138"/>
      <c r="CQ2223" s="139"/>
      <c r="CR2223" s="138"/>
      <c r="CS2223" s="45"/>
      <c r="CT2223" s="138"/>
      <c r="CU2223" s="45"/>
      <c r="CV2223" s="99">
        <f t="shared" si="219"/>
        <v>0</v>
      </c>
      <c r="CW2223" s="139"/>
      <c r="CX2223" s="138"/>
      <c r="CY2223" s="138"/>
      <c r="CZ2223" s="138"/>
      <c r="DA2223" s="139"/>
      <c r="DB2223" s="138"/>
      <c r="DC2223" s="45"/>
      <c r="DD2223" s="138"/>
      <c r="DE2223" s="45"/>
      <c r="DF2223" s="46"/>
    </row>
    <row r="2224" spans="1:110" s="42" customFormat="1" ht="264" x14ac:dyDescent="0.2">
      <c r="A2224" s="89">
        <v>40828</v>
      </c>
      <c r="B2224" s="151" t="s">
        <v>4386</v>
      </c>
      <c r="C2224" s="90" t="s">
        <v>1548</v>
      </c>
      <c r="D2224" s="90" t="s">
        <v>4264</v>
      </c>
      <c r="E2224" s="90" t="str">
        <f>VLOOKUP(B2224&amp;C2224,Divipola!$C$2:$F$1138,4,FALSE)</f>
        <v>20228</v>
      </c>
      <c r="F2224" s="151" t="s">
        <v>4386</v>
      </c>
      <c r="G2224" s="101"/>
      <c r="H2224" s="101"/>
      <c r="I2224" s="101"/>
      <c r="J2224" s="101">
        <v>7500</v>
      </c>
      <c r="K2224" s="101">
        <v>1500</v>
      </c>
      <c r="L2224" s="101"/>
      <c r="M2224" s="101">
        <v>1500</v>
      </c>
      <c r="N2224" s="101"/>
      <c r="O2224" s="101">
        <v>1</v>
      </c>
      <c r="P2224" s="101"/>
      <c r="Q2224" s="101">
        <v>1</v>
      </c>
      <c r="R2224" s="101"/>
      <c r="S2224" s="101"/>
      <c r="T2224" s="101"/>
      <c r="U2224" s="101"/>
      <c r="V2224" s="101"/>
      <c r="W2224" s="19"/>
      <c r="X2224" s="17"/>
      <c r="Y2224" s="5">
        <f t="shared" si="214"/>
        <v>0</v>
      </c>
      <c r="Z2224" s="5">
        <f t="shared" si="215"/>
        <v>61200000</v>
      </c>
      <c r="AA2224" s="5">
        <f t="shared" si="216"/>
        <v>15718000</v>
      </c>
      <c r="AB2224" s="5">
        <f t="shared" si="217"/>
        <v>0</v>
      </c>
      <c r="AC2224" s="159">
        <f>50*6264+50*75400+3000*3248+100*162400+100*354380+100*377000+50*81780+15*58580+30*14500+30*42920+15*32248+15*22272+5*54520+1*32248+28*11600</f>
        <v>111342948</v>
      </c>
      <c r="AD2224" s="5">
        <v>0</v>
      </c>
      <c r="AE2224" s="5">
        <f t="shared" si="218"/>
        <v>188260948</v>
      </c>
      <c r="AF2224" s="70">
        <v>0</v>
      </c>
      <c r="AG2224" s="17"/>
      <c r="AH2224" s="18"/>
      <c r="AI2224" s="47" t="s">
        <v>4346</v>
      </c>
      <c r="AJ2224" s="73" t="s">
        <v>4347</v>
      </c>
      <c r="AK2224" s="45"/>
      <c r="AL2224" s="17"/>
      <c r="AM2224" s="121" t="s">
        <v>4931</v>
      </c>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39"/>
      <c r="CE2224" s="138"/>
      <c r="CF2224" s="139"/>
      <c r="CG2224" s="138"/>
      <c r="CH2224" s="139"/>
      <c r="CI2224" s="138"/>
      <c r="CJ2224" s="72"/>
      <c r="CK2224" s="139"/>
      <c r="CL2224" s="71"/>
      <c r="CM2224" s="139"/>
      <c r="CN2224" s="138"/>
      <c r="CO2224" s="138"/>
      <c r="CP2224" s="138"/>
      <c r="CQ2224" s="139"/>
      <c r="CR2224" s="138"/>
      <c r="CS2224" s="45"/>
      <c r="CT2224" s="138"/>
      <c r="CU2224" s="45"/>
      <c r="CV2224" s="99">
        <f t="shared" si="219"/>
        <v>0</v>
      </c>
      <c r="CW2224" s="139"/>
      <c r="CX2224" s="138"/>
      <c r="CY2224" s="138">
        <v>720</v>
      </c>
      <c r="CZ2224" s="138">
        <f>720*85000</f>
        <v>61200000</v>
      </c>
      <c r="DA2224" s="139">
        <v>150</v>
      </c>
      <c r="DB2224" s="138">
        <f>150*29000</f>
        <v>4350000</v>
      </c>
      <c r="DC2224" s="45">
        <v>500</v>
      </c>
      <c r="DD2224" s="138">
        <f>500*21924+2000*203</f>
        <v>11368000</v>
      </c>
      <c r="DE2224" s="45"/>
      <c r="DF2224" s="46"/>
    </row>
    <row r="2225" spans="1:110" s="42" customFormat="1" ht="168" x14ac:dyDescent="0.2">
      <c r="A2225" s="89">
        <v>40828</v>
      </c>
      <c r="B2225" s="151" t="s">
        <v>4219</v>
      </c>
      <c r="C2225" s="90" t="s">
        <v>4382</v>
      </c>
      <c r="D2225" s="90" t="s">
        <v>4264</v>
      </c>
      <c r="E2225" s="90" t="str">
        <f>VLOOKUP(B2225&amp;C2225,Divipola!$C$2:$F$1138,4,FALSE)</f>
        <v>41807</v>
      </c>
      <c r="F2225" s="4"/>
      <c r="G2225" s="101"/>
      <c r="H2225" s="101"/>
      <c r="I2225" s="101"/>
      <c r="J2225" s="101">
        <f>240*5</f>
        <v>1200</v>
      </c>
      <c r="K2225" s="101">
        <f>70+170</f>
        <v>240</v>
      </c>
      <c r="L2225" s="101"/>
      <c r="M2225" s="101">
        <v>240</v>
      </c>
      <c r="N2225" s="101"/>
      <c r="O2225" s="101"/>
      <c r="P2225" s="101"/>
      <c r="Q2225" s="101"/>
      <c r="R2225" s="101"/>
      <c r="S2225" s="101"/>
      <c r="T2225" s="101"/>
      <c r="U2225" s="101"/>
      <c r="V2225" s="101"/>
      <c r="W2225" s="19"/>
      <c r="X2225" s="17"/>
      <c r="Y2225" s="5">
        <f t="shared" si="214"/>
        <v>0</v>
      </c>
      <c r="Z2225" s="5">
        <f t="shared" si="215"/>
        <v>0</v>
      </c>
      <c r="AA2225" s="5">
        <f t="shared" si="216"/>
        <v>0</v>
      </c>
      <c r="AB2225" s="5">
        <f t="shared" si="217"/>
        <v>0</v>
      </c>
      <c r="AC2225" s="5"/>
      <c r="AD2225" s="5">
        <v>0</v>
      </c>
      <c r="AE2225" s="5">
        <f t="shared" si="218"/>
        <v>0</v>
      </c>
      <c r="AF2225" s="70">
        <v>0</v>
      </c>
      <c r="AG2225" s="17"/>
      <c r="AH2225" s="18"/>
      <c r="AI2225" s="47" t="s">
        <v>4336</v>
      </c>
      <c r="AJ2225" s="73" t="s">
        <v>4337</v>
      </c>
      <c r="AK2225" s="45"/>
      <c r="AL2225" s="17"/>
      <c r="AM2225" s="121" t="s">
        <v>5629</v>
      </c>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39"/>
      <c r="CE2225" s="138"/>
      <c r="CF2225" s="139"/>
      <c r="CG2225" s="138"/>
      <c r="CH2225" s="139"/>
      <c r="CI2225" s="138"/>
      <c r="CJ2225" s="72"/>
      <c r="CK2225" s="139"/>
      <c r="CL2225" s="71"/>
      <c r="CM2225" s="139"/>
      <c r="CN2225" s="138"/>
      <c r="CO2225" s="138"/>
      <c r="CP2225" s="138"/>
      <c r="CQ2225" s="139"/>
      <c r="CR2225" s="138"/>
      <c r="CS2225" s="45"/>
      <c r="CT2225" s="138"/>
      <c r="CU2225" s="45"/>
      <c r="CV2225" s="99">
        <f t="shared" si="219"/>
        <v>0</v>
      </c>
      <c r="CW2225" s="139"/>
      <c r="CX2225" s="138"/>
      <c r="CY2225" s="138"/>
      <c r="CZ2225" s="138"/>
      <c r="DA2225" s="139"/>
      <c r="DB2225" s="138"/>
      <c r="DC2225" s="45"/>
      <c r="DD2225" s="138"/>
      <c r="DE2225" s="45"/>
      <c r="DF2225" s="46"/>
    </row>
    <row r="2226" spans="1:110" s="42" customFormat="1" ht="24" x14ac:dyDescent="0.2">
      <c r="A2226" s="89">
        <v>40828</v>
      </c>
      <c r="B2226" s="151" t="s">
        <v>4221</v>
      </c>
      <c r="C2226" s="90" t="s">
        <v>4299</v>
      </c>
      <c r="D2226" s="90" t="s">
        <v>2362</v>
      </c>
      <c r="E2226" s="90" t="str">
        <f>VLOOKUP(B2226&amp;C2226,Divipola!$C$2:$F$1138,4,FALSE)</f>
        <v>54001</v>
      </c>
      <c r="F2226" s="151" t="s">
        <v>4221</v>
      </c>
      <c r="G2226" s="101"/>
      <c r="H2226" s="101"/>
      <c r="I2226" s="101"/>
      <c r="J2226" s="101">
        <v>10</v>
      </c>
      <c r="K2226" s="101">
        <v>1</v>
      </c>
      <c r="L2226" s="101">
        <v>1</v>
      </c>
      <c r="M2226" s="101"/>
      <c r="N2226" s="101"/>
      <c r="O2226" s="101"/>
      <c r="P2226" s="101"/>
      <c r="Q2226" s="101"/>
      <c r="R2226" s="101"/>
      <c r="S2226" s="101"/>
      <c r="T2226" s="101"/>
      <c r="U2226" s="101"/>
      <c r="V2226" s="101"/>
      <c r="W2226" s="19"/>
      <c r="X2226" s="17"/>
      <c r="Y2226" s="5">
        <f t="shared" si="214"/>
        <v>0</v>
      </c>
      <c r="Z2226" s="5">
        <f t="shared" si="215"/>
        <v>0</v>
      </c>
      <c r="AA2226" s="5">
        <f t="shared" si="216"/>
        <v>0</v>
      </c>
      <c r="AB2226" s="5">
        <f t="shared" si="217"/>
        <v>0</v>
      </c>
      <c r="AC2226" s="5"/>
      <c r="AD2226" s="5">
        <v>0</v>
      </c>
      <c r="AE2226" s="5">
        <f t="shared" si="218"/>
        <v>0</v>
      </c>
      <c r="AF2226" s="70">
        <v>0</v>
      </c>
      <c r="AG2226" s="17"/>
      <c r="AH2226" s="18"/>
      <c r="AI2226" s="47" t="s">
        <v>4336</v>
      </c>
      <c r="AJ2226" s="73" t="s">
        <v>4337</v>
      </c>
      <c r="AK2226" s="45"/>
      <c r="AL2226" s="17"/>
      <c r="AM2226" s="121" t="s">
        <v>4649</v>
      </c>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39"/>
      <c r="CE2226" s="138"/>
      <c r="CF2226" s="139"/>
      <c r="CG2226" s="138"/>
      <c r="CH2226" s="139"/>
      <c r="CI2226" s="138"/>
      <c r="CJ2226" s="72"/>
      <c r="CK2226" s="139"/>
      <c r="CL2226" s="71"/>
      <c r="CM2226" s="139"/>
      <c r="CN2226" s="138"/>
      <c r="CO2226" s="138"/>
      <c r="CP2226" s="138"/>
      <c r="CQ2226" s="139"/>
      <c r="CR2226" s="138"/>
      <c r="CS2226" s="45"/>
      <c r="CT2226" s="138"/>
      <c r="CU2226" s="45"/>
      <c r="CV2226" s="99">
        <f t="shared" si="219"/>
        <v>0</v>
      </c>
      <c r="CW2226" s="139"/>
      <c r="CX2226" s="138"/>
      <c r="CY2226" s="138"/>
      <c r="CZ2226" s="138"/>
      <c r="DA2226" s="139"/>
      <c r="DB2226" s="138"/>
      <c r="DC2226" s="45"/>
      <c r="DD2226" s="138"/>
      <c r="DE2226" s="45"/>
      <c r="DF2226" s="46"/>
    </row>
    <row r="2227" spans="1:110" s="42" customFormat="1" ht="72" x14ac:dyDescent="0.2">
      <c r="A2227" s="89">
        <v>40828</v>
      </c>
      <c r="B2227" s="151" t="s">
        <v>2204</v>
      </c>
      <c r="C2227" s="90" t="s">
        <v>3492</v>
      </c>
      <c r="D2227" s="90" t="s">
        <v>4264</v>
      </c>
      <c r="E2227" s="90" t="str">
        <f>VLOOKUP(B2227&amp;C2227,Divipola!$C$2:$F$1138,4,FALSE)</f>
        <v>70717</v>
      </c>
      <c r="F2227" s="4"/>
      <c r="G2227" s="101"/>
      <c r="H2227" s="101"/>
      <c r="I2227" s="101"/>
      <c r="J2227" s="101">
        <v>822</v>
      </c>
      <c r="K2227" s="101">
        <v>216</v>
      </c>
      <c r="L2227" s="101"/>
      <c r="M2227" s="101">
        <v>202</v>
      </c>
      <c r="N2227" s="101"/>
      <c r="O2227" s="101"/>
      <c r="P2227" s="101"/>
      <c r="Q2227" s="101"/>
      <c r="R2227" s="101"/>
      <c r="S2227" s="101"/>
      <c r="T2227" s="101"/>
      <c r="U2227" s="101"/>
      <c r="V2227" s="101"/>
      <c r="W2227" s="19"/>
      <c r="X2227" s="17"/>
      <c r="Y2227" s="5">
        <f t="shared" si="214"/>
        <v>0</v>
      </c>
      <c r="Z2227" s="5">
        <f t="shared" si="215"/>
        <v>0</v>
      </c>
      <c r="AA2227" s="5">
        <f t="shared" si="216"/>
        <v>0</v>
      </c>
      <c r="AB2227" s="5">
        <f t="shared" si="217"/>
        <v>0</v>
      </c>
      <c r="AC2227" s="5"/>
      <c r="AD2227" s="5">
        <v>0</v>
      </c>
      <c r="AE2227" s="5">
        <f t="shared" si="218"/>
        <v>0</v>
      </c>
      <c r="AF2227" s="70">
        <v>0</v>
      </c>
      <c r="AG2227" s="17"/>
      <c r="AH2227" s="18"/>
      <c r="AI2227" s="47" t="s">
        <v>4336</v>
      </c>
      <c r="AJ2227" s="73" t="s">
        <v>4337</v>
      </c>
      <c r="AK2227" s="45"/>
      <c r="AL2227" s="17"/>
      <c r="AM2227" s="121" t="s">
        <v>4725</v>
      </c>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39"/>
      <c r="CE2227" s="138"/>
      <c r="CF2227" s="139"/>
      <c r="CG2227" s="138"/>
      <c r="CH2227" s="139"/>
      <c r="CI2227" s="138"/>
      <c r="CJ2227" s="72"/>
      <c r="CK2227" s="139"/>
      <c r="CL2227" s="71"/>
      <c r="CM2227" s="139"/>
      <c r="CN2227" s="138"/>
      <c r="CO2227" s="138"/>
      <c r="CP2227" s="138"/>
      <c r="CQ2227" s="139"/>
      <c r="CR2227" s="138"/>
      <c r="CS2227" s="45"/>
      <c r="CT2227" s="138"/>
      <c r="CU2227" s="45"/>
      <c r="CV2227" s="99">
        <f t="shared" si="219"/>
        <v>0</v>
      </c>
      <c r="CW2227" s="139"/>
      <c r="CX2227" s="138"/>
      <c r="CY2227" s="138"/>
      <c r="CZ2227" s="138"/>
      <c r="DA2227" s="139"/>
      <c r="DB2227" s="138"/>
      <c r="DC2227" s="45"/>
      <c r="DD2227" s="138"/>
      <c r="DE2227" s="45"/>
      <c r="DF2227" s="46"/>
    </row>
    <row r="2228" spans="1:110" s="42" customFormat="1" ht="24" x14ac:dyDescent="0.2">
      <c r="A2228" s="89">
        <v>40828</v>
      </c>
      <c r="B2228" s="151" t="s">
        <v>3316</v>
      </c>
      <c r="C2228" s="90" t="s">
        <v>3551</v>
      </c>
      <c r="D2228" s="90" t="s">
        <v>2362</v>
      </c>
      <c r="E2228" s="90" t="str">
        <f>VLOOKUP(B2228&amp;C2228,Divipola!$C$2:$F$1138,4,FALSE)</f>
        <v>73283</v>
      </c>
      <c r="F2228" s="4"/>
      <c r="G2228" s="101"/>
      <c r="H2228" s="101"/>
      <c r="I2228" s="101"/>
      <c r="J2228" s="101"/>
      <c r="K2228" s="101"/>
      <c r="L2228" s="101"/>
      <c r="M2228" s="101"/>
      <c r="N2228" s="101">
        <v>1</v>
      </c>
      <c r="O2228" s="101"/>
      <c r="P2228" s="101"/>
      <c r="Q2228" s="101"/>
      <c r="R2228" s="101"/>
      <c r="S2228" s="101"/>
      <c r="T2228" s="101"/>
      <c r="U2228" s="101"/>
      <c r="V2228" s="101"/>
      <c r="W2228" s="19"/>
      <c r="X2228" s="17"/>
      <c r="Y2228" s="5">
        <f t="shared" si="214"/>
        <v>0</v>
      </c>
      <c r="Z2228" s="5">
        <f t="shared" si="215"/>
        <v>0</v>
      </c>
      <c r="AA2228" s="5">
        <f t="shared" si="216"/>
        <v>0</v>
      </c>
      <c r="AB2228" s="5">
        <f t="shared" si="217"/>
        <v>0</v>
      </c>
      <c r="AC2228" s="5"/>
      <c r="AD2228" s="5">
        <v>0</v>
      </c>
      <c r="AE2228" s="5">
        <f t="shared" si="218"/>
        <v>0</v>
      </c>
      <c r="AF2228" s="70">
        <v>0</v>
      </c>
      <c r="AG2228" s="17"/>
      <c r="AH2228" s="18"/>
      <c r="AI2228" s="47" t="s">
        <v>4346</v>
      </c>
      <c r="AJ2228" s="73" t="s">
        <v>4347</v>
      </c>
      <c r="AK2228" s="45"/>
      <c r="AL2228" s="89" t="s">
        <v>2798</v>
      </c>
      <c r="AM2228" s="121" t="s">
        <v>4646</v>
      </c>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39"/>
      <c r="CE2228" s="138"/>
      <c r="CF2228" s="139"/>
      <c r="CG2228" s="138"/>
      <c r="CH2228" s="139"/>
      <c r="CI2228" s="138"/>
      <c r="CJ2228" s="72"/>
      <c r="CK2228" s="139"/>
      <c r="CL2228" s="71"/>
      <c r="CM2228" s="139"/>
      <c r="CN2228" s="138"/>
      <c r="CO2228" s="138"/>
      <c r="CP2228" s="138"/>
      <c r="CQ2228" s="139"/>
      <c r="CR2228" s="138"/>
      <c r="CS2228" s="45"/>
      <c r="CT2228" s="138"/>
      <c r="CU2228" s="45"/>
      <c r="CV2228" s="99">
        <f t="shared" si="219"/>
        <v>0</v>
      </c>
      <c r="CW2228" s="139"/>
      <c r="CX2228" s="138"/>
      <c r="CY2228" s="138"/>
      <c r="CZ2228" s="138"/>
      <c r="DA2228" s="139"/>
      <c r="DB2228" s="138"/>
      <c r="DC2228" s="45"/>
      <c r="DD2228" s="138"/>
      <c r="DE2228" s="45"/>
      <c r="DF2228" s="46"/>
    </row>
    <row r="2229" spans="1:110" s="42" customFormat="1" ht="168" x14ac:dyDescent="0.2">
      <c r="A2229" s="89">
        <v>40828</v>
      </c>
      <c r="B2229" s="151" t="s">
        <v>3316</v>
      </c>
      <c r="C2229" s="90" t="s">
        <v>3348</v>
      </c>
      <c r="D2229" s="90" t="s">
        <v>4264</v>
      </c>
      <c r="E2229" s="90" t="str">
        <f>VLOOKUP(B2229&amp;C2229,Divipola!$C$2:$F$1138,4,FALSE)</f>
        <v>73411</v>
      </c>
      <c r="F2229" s="4"/>
      <c r="G2229" s="101"/>
      <c r="H2229" s="101">
        <v>1</v>
      </c>
      <c r="I2229" s="101"/>
      <c r="J2229" s="101">
        <v>35</v>
      </c>
      <c r="K2229" s="101">
        <v>7</v>
      </c>
      <c r="L2229" s="101">
        <v>1</v>
      </c>
      <c r="M2229" s="101">
        <v>6</v>
      </c>
      <c r="N2229" s="101">
        <v>1</v>
      </c>
      <c r="O2229" s="101"/>
      <c r="P2229" s="101"/>
      <c r="Q2229" s="101"/>
      <c r="R2229" s="101"/>
      <c r="S2229" s="101"/>
      <c r="T2229" s="101"/>
      <c r="U2229" s="101"/>
      <c r="V2229" s="101"/>
      <c r="W2229" s="19"/>
      <c r="X2229" s="17"/>
      <c r="Y2229" s="5">
        <f t="shared" si="214"/>
        <v>0</v>
      </c>
      <c r="Z2229" s="5">
        <f t="shared" si="215"/>
        <v>0</v>
      </c>
      <c r="AA2229" s="5">
        <f t="shared" si="216"/>
        <v>0</v>
      </c>
      <c r="AB2229" s="5">
        <f t="shared" si="217"/>
        <v>0</v>
      </c>
      <c r="AC2229" s="5"/>
      <c r="AD2229" s="5">
        <v>30000000</v>
      </c>
      <c r="AE2229" s="5">
        <f t="shared" si="218"/>
        <v>30000000</v>
      </c>
      <c r="AF2229" s="70">
        <v>0</v>
      </c>
      <c r="AG2229" s="17"/>
      <c r="AH2229" s="18"/>
      <c r="AI2229" s="47" t="s">
        <v>4346</v>
      </c>
      <c r="AJ2229" s="73" t="s">
        <v>4347</v>
      </c>
      <c r="AK2229" s="45"/>
      <c r="AL2229" s="89" t="s">
        <v>2798</v>
      </c>
      <c r="AM2229" s="121" t="s">
        <v>5343</v>
      </c>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39"/>
      <c r="CE2229" s="138"/>
      <c r="CF2229" s="139"/>
      <c r="CG2229" s="138"/>
      <c r="CH2229" s="139"/>
      <c r="CI2229" s="138"/>
      <c r="CJ2229" s="72"/>
      <c r="CK2229" s="139"/>
      <c r="CL2229" s="71"/>
      <c r="CM2229" s="139"/>
      <c r="CN2229" s="138"/>
      <c r="CO2229" s="138"/>
      <c r="CP2229" s="138"/>
      <c r="CQ2229" s="139"/>
      <c r="CR2229" s="138"/>
      <c r="CS2229" s="45"/>
      <c r="CT2229" s="138"/>
      <c r="CU2229" s="45"/>
      <c r="CV2229" s="99">
        <f t="shared" si="219"/>
        <v>0</v>
      </c>
      <c r="CW2229" s="139"/>
      <c r="CX2229" s="138"/>
      <c r="CY2229" s="138"/>
      <c r="CZ2229" s="138"/>
      <c r="DA2229" s="139"/>
      <c r="DB2229" s="138"/>
      <c r="DC2229" s="45"/>
      <c r="DD2229" s="138"/>
      <c r="DE2229" s="45"/>
      <c r="DF2229" s="46"/>
    </row>
    <row r="2230" spans="1:110" s="42" customFormat="1" ht="84" x14ac:dyDescent="0.2">
      <c r="A2230" s="89">
        <v>40828</v>
      </c>
      <c r="B2230" s="151" t="s">
        <v>3316</v>
      </c>
      <c r="C2230" s="90" t="s">
        <v>1960</v>
      </c>
      <c r="D2230" s="90" t="s">
        <v>2362</v>
      </c>
      <c r="E2230" s="90" t="str">
        <f>VLOOKUP(B2230&amp;C2230,Divipola!$C$2:$F$1138,4,FALSE)</f>
        <v>73870</v>
      </c>
      <c r="F2230" s="4"/>
      <c r="G2230" s="101"/>
      <c r="H2230" s="101"/>
      <c r="I2230" s="101"/>
      <c r="J2230" s="101"/>
      <c r="K2230" s="101"/>
      <c r="L2230" s="101"/>
      <c r="M2230" s="101"/>
      <c r="N2230" s="101">
        <v>2</v>
      </c>
      <c r="O2230" s="101"/>
      <c r="P2230" s="101"/>
      <c r="Q2230" s="101"/>
      <c r="R2230" s="101"/>
      <c r="S2230" s="101"/>
      <c r="T2230" s="101"/>
      <c r="U2230" s="101"/>
      <c r="V2230" s="101"/>
      <c r="W2230" s="19"/>
      <c r="X2230" s="17"/>
      <c r="Y2230" s="5">
        <f t="shared" si="214"/>
        <v>0</v>
      </c>
      <c r="Z2230" s="5">
        <f t="shared" si="215"/>
        <v>0</v>
      </c>
      <c r="AA2230" s="5">
        <f t="shared" si="216"/>
        <v>0</v>
      </c>
      <c r="AB2230" s="5">
        <f t="shared" si="217"/>
        <v>0</v>
      </c>
      <c r="AC2230" s="5"/>
      <c r="AD2230" s="5">
        <v>50000000</v>
      </c>
      <c r="AE2230" s="5">
        <f t="shared" si="218"/>
        <v>50000000</v>
      </c>
      <c r="AF2230" s="70">
        <v>0</v>
      </c>
      <c r="AG2230" s="17"/>
      <c r="AH2230" s="18"/>
      <c r="AI2230" s="47" t="s">
        <v>4346</v>
      </c>
      <c r="AJ2230" s="73" t="s">
        <v>4347</v>
      </c>
      <c r="AK2230" s="45"/>
      <c r="AL2230" s="17"/>
      <c r="AM2230" s="121" t="s">
        <v>4775</v>
      </c>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39"/>
      <c r="CE2230" s="138"/>
      <c r="CF2230" s="139"/>
      <c r="CG2230" s="138"/>
      <c r="CH2230" s="139"/>
      <c r="CI2230" s="138"/>
      <c r="CJ2230" s="72"/>
      <c r="CK2230" s="139"/>
      <c r="CL2230" s="71"/>
      <c r="CM2230" s="139"/>
      <c r="CN2230" s="138"/>
      <c r="CO2230" s="138"/>
      <c r="CP2230" s="138"/>
      <c r="CQ2230" s="139"/>
      <c r="CR2230" s="138"/>
      <c r="CS2230" s="45"/>
      <c r="CT2230" s="138"/>
      <c r="CU2230" s="45"/>
      <c r="CV2230" s="99">
        <f t="shared" si="219"/>
        <v>0</v>
      </c>
      <c r="CW2230" s="139"/>
      <c r="CX2230" s="138"/>
      <c r="CY2230" s="138"/>
      <c r="CZ2230" s="138"/>
      <c r="DA2230" s="139"/>
      <c r="DB2230" s="138"/>
      <c r="DC2230" s="45"/>
      <c r="DD2230" s="138"/>
      <c r="DE2230" s="45"/>
      <c r="DF2230" s="46"/>
    </row>
    <row r="2231" spans="1:110" s="42" customFormat="1" ht="60" x14ac:dyDescent="0.2">
      <c r="A2231" s="89">
        <v>40828</v>
      </c>
      <c r="B2231" s="151" t="s">
        <v>4244</v>
      </c>
      <c r="C2231" s="90" t="s">
        <v>2239</v>
      </c>
      <c r="D2231" s="90" t="s">
        <v>4264</v>
      </c>
      <c r="E2231" s="90" t="str">
        <f>VLOOKUP(B2231&amp;C2231,Divipola!$C$2:$F$1138,4,FALSE)</f>
        <v>76890</v>
      </c>
      <c r="F2231" s="151" t="s">
        <v>4244</v>
      </c>
      <c r="G2231" s="101"/>
      <c r="H2231" s="101"/>
      <c r="I2231" s="101"/>
      <c r="J2231" s="101"/>
      <c r="K2231" s="101"/>
      <c r="L2231" s="101"/>
      <c r="M2231" s="101"/>
      <c r="N2231" s="101"/>
      <c r="O2231" s="101"/>
      <c r="P2231" s="101"/>
      <c r="Q2231" s="101"/>
      <c r="R2231" s="101"/>
      <c r="S2231" s="101"/>
      <c r="T2231" s="101"/>
      <c r="U2231" s="101"/>
      <c r="V2231" s="101"/>
      <c r="W2231" s="19"/>
      <c r="X2231" s="17"/>
      <c r="Y2231" s="5">
        <f t="shared" si="214"/>
        <v>0</v>
      </c>
      <c r="Z2231" s="5">
        <f t="shared" si="215"/>
        <v>0</v>
      </c>
      <c r="AA2231" s="5">
        <f t="shared" si="216"/>
        <v>0</v>
      </c>
      <c r="AB2231" s="5">
        <f t="shared" si="217"/>
        <v>0</v>
      </c>
      <c r="AC2231" s="5"/>
      <c r="AD2231" s="5">
        <v>0</v>
      </c>
      <c r="AE2231" s="5">
        <f t="shared" si="218"/>
        <v>0</v>
      </c>
      <c r="AF2231" s="70">
        <v>0</v>
      </c>
      <c r="AG2231" s="17"/>
      <c r="AH2231" s="18"/>
      <c r="AI2231" s="47" t="s">
        <v>4346</v>
      </c>
      <c r="AJ2231" s="73" t="s">
        <v>4347</v>
      </c>
      <c r="AK2231" s="45"/>
      <c r="AL2231" s="89" t="s">
        <v>2798</v>
      </c>
      <c r="AM2231" s="121" t="s">
        <v>4654</v>
      </c>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39"/>
      <c r="CE2231" s="138"/>
      <c r="CF2231" s="139"/>
      <c r="CG2231" s="138"/>
      <c r="CH2231" s="139"/>
      <c r="CI2231" s="138"/>
      <c r="CJ2231" s="72"/>
      <c r="CK2231" s="139"/>
      <c r="CL2231" s="71"/>
      <c r="CM2231" s="139"/>
      <c r="CN2231" s="138"/>
      <c r="CO2231" s="138"/>
      <c r="CP2231" s="138"/>
      <c r="CQ2231" s="139"/>
      <c r="CR2231" s="138"/>
      <c r="CS2231" s="45"/>
      <c r="CT2231" s="138"/>
      <c r="CU2231" s="45"/>
      <c r="CV2231" s="99">
        <f t="shared" si="219"/>
        <v>0</v>
      </c>
      <c r="CW2231" s="139"/>
      <c r="CX2231" s="138"/>
      <c r="CY2231" s="138"/>
      <c r="CZ2231" s="138"/>
      <c r="DA2231" s="139"/>
      <c r="DB2231" s="138"/>
      <c r="DC2231" s="45"/>
      <c r="DD2231" s="138"/>
      <c r="DE2231" s="45"/>
      <c r="DF2231" s="46"/>
    </row>
    <row r="2232" spans="1:110" s="42" customFormat="1" ht="60" x14ac:dyDescent="0.2">
      <c r="A2232" s="89">
        <v>40828</v>
      </c>
      <c r="B2232" s="151" t="s">
        <v>4219</v>
      </c>
      <c r="C2232" s="90" t="s">
        <v>4255</v>
      </c>
      <c r="D2232" s="90" t="s">
        <v>2362</v>
      </c>
      <c r="E2232" s="90" t="str">
        <f>VLOOKUP(B2232&amp;C2232,Divipola!$C$2:$F$1138,4,FALSE)</f>
        <v>41396</v>
      </c>
      <c r="F2232" s="4"/>
      <c r="G2232" s="101"/>
      <c r="H2232" s="101"/>
      <c r="I2232" s="101"/>
      <c r="J2232" s="101">
        <v>28</v>
      </c>
      <c r="K2232" s="101">
        <v>5</v>
      </c>
      <c r="L2232" s="101"/>
      <c r="M2232" s="101">
        <v>5</v>
      </c>
      <c r="N2232" s="101"/>
      <c r="O2232" s="101"/>
      <c r="P2232" s="101"/>
      <c r="Q2232" s="101"/>
      <c r="R2232" s="101"/>
      <c r="S2232" s="101"/>
      <c r="T2232" s="101">
        <v>1</v>
      </c>
      <c r="U2232" s="19"/>
      <c r="V2232" s="101"/>
      <c r="W2232" s="19"/>
      <c r="X2232" s="17"/>
      <c r="Y2232" s="5">
        <f t="shared" si="214"/>
        <v>0</v>
      </c>
      <c r="Z2232" s="5">
        <f t="shared" si="215"/>
        <v>0</v>
      </c>
      <c r="AA2232" s="5">
        <f t="shared" si="216"/>
        <v>0</v>
      </c>
      <c r="AB2232" s="5">
        <f t="shared" si="217"/>
        <v>0</v>
      </c>
      <c r="AC2232" s="5"/>
      <c r="AD2232" s="5">
        <v>0</v>
      </c>
      <c r="AE2232" s="5">
        <f t="shared" si="218"/>
        <v>0</v>
      </c>
      <c r="AF2232" s="70">
        <v>0</v>
      </c>
      <c r="AG2232" s="17"/>
      <c r="AH2232" s="18"/>
      <c r="AI2232" s="47" t="s">
        <v>4346</v>
      </c>
      <c r="AJ2232" s="73" t="s">
        <v>4347</v>
      </c>
      <c r="AK2232" s="45"/>
      <c r="AL2232" s="89" t="s">
        <v>2798</v>
      </c>
      <c r="AM2232" s="121" t="s">
        <v>5493</v>
      </c>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39"/>
      <c r="CE2232" s="138"/>
      <c r="CF2232" s="139"/>
      <c r="CG2232" s="138"/>
      <c r="CH2232" s="139"/>
      <c r="CI2232" s="138"/>
      <c r="CJ2232" s="72"/>
      <c r="CK2232" s="139"/>
      <c r="CL2232" s="71"/>
      <c r="CM2232" s="139"/>
      <c r="CN2232" s="138"/>
      <c r="CO2232" s="138"/>
      <c r="CP2232" s="138"/>
      <c r="CQ2232" s="139"/>
      <c r="CR2232" s="138"/>
      <c r="CS2232" s="45"/>
      <c r="CT2232" s="138"/>
      <c r="CU2232" s="45"/>
      <c r="CV2232" s="99">
        <f t="shared" si="219"/>
        <v>0</v>
      </c>
      <c r="CW2232" s="139"/>
      <c r="CX2232" s="138"/>
      <c r="CY2232" s="138"/>
      <c r="CZ2232" s="138"/>
      <c r="DA2232" s="139"/>
      <c r="DB2232" s="138"/>
      <c r="DC2232" s="45"/>
      <c r="DD2232" s="138"/>
      <c r="DE2232" s="45"/>
      <c r="DF2232" s="46"/>
    </row>
    <row r="2233" spans="1:110" s="42" customFormat="1" ht="72" x14ac:dyDescent="0.2">
      <c r="A2233" s="89">
        <v>40829</v>
      </c>
      <c r="B2233" s="151" t="s">
        <v>4386</v>
      </c>
      <c r="C2233" s="90" t="s">
        <v>1548</v>
      </c>
      <c r="D2233" s="90" t="s">
        <v>4340</v>
      </c>
      <c r="E2233" s="90" t="str">
        <f>VLOOKUP(B2233&amp;C2233,Divipola!$C$2:$F$1138,4,FALSE)</f>
        <v>20228</v>
      </c>
      <c r="F2233" s="4"/>
      <c r="G2233" s="101">
        <v>1</v>
      </c>
      <c r="H2233" s="101">
        <v>1</v>
      </c>
      <c r="I2233" s="101"/>
      <c r="J2233" s="101"/>
      <c r="K2233" s="101"/>
      <c r="L2233" s="101"/>
      <c r="M2233" s="101"/>
      <c r="N2233" s="101"/>
      <c r="O2233" s="101"/>
      <c r="P2233" s="101"/>
      <c r="Q2233" s="101"/>
      <c r="R2233" s="101"/>
      <c r="S2233" s="101"/>
      <c r="T2233" s="101"/>
      <c r="U2233" s="101"/>
      <c r="V2233" s="101"/>
      <c r="W2233" s="19"/>
      <c r="X2233" s="17"/>
      <c r="Y2233" s="5">
        <f t="shared" si="214"/>
        <v>0</v>
      </c>
      <c r="Z2233" s="5">
        <f t="shared" si="215"/>
        <v>0</v>
      </c>
      <c r="AA2233" s="5">
        <f t="shared" si="216"/>
        <v>0</v>
      </c>
      <c r="AB2233" s="5">
        <f t="shared" si="217"/>
        <v>0</v>
      </c>
      <c r="AC2233" s="5"/>
      <c r="AD2233" s="5">
        <v>0</v>
      </c>
      <c r="AE2233" s="5">
        <f t="shared" si="218"/>
        <v>0</v>
      </c>
      <c r="AF2233" s="70">
        <v>0</v>
      </c>
      <c r="AG2233" s="17"/>
      <c r="AH2233" s="18"/>
      <c r="AI2233" s="47" t="s">
        <v>4336</v>
      </c>
      <c r="AJ2233" s="73" t="s">
        <v>4337</v>
      </c>
      <c r="AK2233" s="45"/>
      <c r="AL2233" s="17"/>
      <c r="AM2233" s="121" t="s">
        <v>4655</v>
      </c>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39"/>
      <c r="CE2233" s="138"/>
      <c r="CF2233" s="139"/>
      <c r="CG2233" s="138"/>
      <c r="CH2233" s="139"/>
      <c r="CI2233" s="138"/>
      <c r="CJ2233" s="72"/>
      <c r="CK2233" s="139"/>
      <c r="CL2233" s="71"/>
      <c r="CM2233" s="139"/>
      <c r="CN2233" s="138"/>
      <c r="CO2233" s="138"/>
      <c r="CP2233" s="138"/>
      <c r="CQ2233" s="139"/>
      <c r="CR2233" s="138"/>
      <c r="CS2233" s="45"/>
      <c r="CT2233" s="138"/>
      <c r="CU2233" s="45"/>
      <c r="CV2233" s="99">
        <f t="shared" si="219"/>
        <v>0</v>
      </c>
      <c r="CW2233" s="139"/>
      <c r="CX2233" s="138"/>
      <c r="CY2233" s="138"/>
      <c r="CZ2233" s="138"/>
      <c r="DA2233" s="139"/>
      <c r="DB2233" s="138"/>
      <c r="DC2233" s="45"/>
      <c r="DD2233" s="138"/>
      <c r="DE2233" s="45"/>
      <c r="DF2233" s="46"/>
    </row>
    <row r="2234" spans="1:110" s="42" customFormat="1" ht="60" x14ac:dyDescent="0.2">
      <c r="A2234" s="89">
        <v>40829</v>
      </c>
      <c r="B2234" s="151" t="s">
        <v>4386</v>
      </c>
      <c r="C2234" s="90" t="s">
        <v>3502</v>
      </c>
      <c r="D2234" s="90" t="s">
        <v>4264</v>
      </c>
      <c r="E2234" s="90" t="str">
        <f>VLOOKUP(B2234&amp;C2234,Divipola!$C$2:$F$1138,4,FALSE)</f>
        <v>20001</v>
      </c>
      <c r="F2234" s="4"/>
      <c r="G2234" s="101">
        <v>1</v>
      </c>
      <c r="H2234" s="101"/>
      <c r="I2234" s="101"/>
      <c r="J2234" s="101"/>
      <c r="K2234" s="101"/>
      <c r="L2234" s="101"/>
      <c r="M2234" s="101"/>
      <c r="N2234" s="101"/>
      <c r="O2234" s="101"/>
      <c r="P2234" s="101"/>
      <c r="Q2234" s="101"/>
      <c r="R2234" s="101"/>
      <c r="S2234" s="101"/>
      <c r="T2234" s="101"/>
      <c r="U2234" s="101"/>
      <c r="V2234" s="101"/>
      <c r="W2234" s="19"/>
      <c r="X2234" s="17"/>
      <c r="Y2234" s="5">
        <f t="shared" si="214"/>
        <v>0</v>
      </c>
      <c r="Z2234" s="5">
        <f t="shared" si="215"/>
        <v>0</v>
      </c>
      <c r="AA2234" s="5">
        <f t="shared" si="216"/>
        <v>0</v>
      </c>
      <c r="AB2234" s="5">
        <f t="shared" si="217"/>
        <v>0</v>
      </c>
      <c r="AC2234" s="5"/>
      <c r="AD2234" s="5">
        <v>0</v>
      </c>
      <c r="AE2234" s="5">
        <f t="shared" si="218"/>
        <v>0</v>
      </c>
      <c r="AF2234" s="70">
        <v>0</v>
      </c>
      <c r="AG2234" s="17"/>
      <c r="AH2234" s="18"/>
      <c r="AI2234" s="47" t="s">
        <v>4336</v>
      </c>
      <c r="AJ2234" s="73" t="s">
        <v>4337</v>
      </c>
      <c r="AK2234" s="45"/>
      <c r="AL2234" s="17"/>
      <c r="AM2234" s="121" t="s">
        <v>4743</v>
      </c>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39"/>
      <c r="CE2234" s="138"/>
      <c r="CF2234" s="139"/>
      <c r="CG2234" s="138"/>
      <c r="CH2234" s="139"/>
      <c r="CI2234" s="138"/>
      <c r="CJ2234" s="72"/>
      <c r="CK2234" s="139"/>
      <c r="CL2234" s="71"/>
      <c r="CM2234" s="139"/>
      <c r="CN2234" s="138"/>
      <c r="CO2234" s="138"/>
      <c r="CP2234" s="138"/>
      <c r="CQ2234" s="139"/>
      <c r="CR2234" s="138"/>
      <c r="CS2234" s="45"/>
      <c r="CT2234" s="138"/>
      <c r="CU2234" s="45"/>
      <c r="CV2234" s="99">
        <f t="shared" si="219"/>
        <v>0</v>
      </c>
      <c r="CW2234" s="139"/>
      <c r="CX2234" s="138"/>
      <c r="CY2234" s="138"/>
      <c r="CZ2234" s="138"/>
      <c r="DA2234" s="139"/>
      <c r="DB2234" s="138"/>
      <c r="DC2234" s="45"/>
      <c r="DD2234" s="138"/>
      <c r="DE2234" s="45"/>
      <c r="DF2234" s="46"/>
    </row>
    <row r="2235" spans="1:110" s="42" customFormat="1" ht="84" x14ac:dyDescent="0.2">
      <c r="A2235" s="89">
        <v>40829</v>
      </c>
      <c r="B2235" s="151" t="s">
        <v>4344</v>
      </c>
      <c r="C2235" s="90" t="s">
        <v>4231</v>
      </c>
      <c r="D2235" s="90" t="s">
        <v>3346</v>
      </c>
      <c r="E2235" s="90" t="str">
        <f>VLOOKUP(B2235&amp;C2235,Divipola!$C$2:$F$1138,4,FALSE)</f>
        <v>25290</v>
      </c>
      <c r="F2235" s="4"/>
      <c r="G2235" s="101"/>
      <c r="H2235" s="101"/>
      <c r="I2235" s="101"/>
      <c r="J2235" s="101">
        <v>60</v>
      </c>
      <c r="K2235" s="101">
        <v>12</v>
      </c>
      <c r="L2235" s="101"/>
      <c r="M2235" s="101">
        <v>12</v>
      </c>
      <c r="N2235" s="101"/>
      <c r="O2235" s="101"/>
      <c r="P2235" s="101"/>
      <c r="Q2235" s="101"/>
      <c r="R2235" s="101"/>
      <c r="S2235" s="101"/>
      <c r="T2235" s="101"/>
      <c r="U2235" s="101">
        <v>1</v>
      </c>
      <c r="V2235" s="101"/>
      <c r="W2235" s="19"/>
      <c r="X2235" s="17"/>
      <c r="Y2235" s="5">
        <f t="shared" si="214"/>
        <v>0</v>
      </c>
      <c r="Z2235" s="5">
        <f t="shared" si="215"/>
        <v>0</v>
      </c>
      <c r="AA2235" s="5">
        <f t="shared" si="216"/>
        <v>0</v>
      </c>
      <c r="AB2235" s="5">
        <f t="shared" si="217"/>
        <v>0</v>
      </c>
      <c r="AC2235" s="5"/>
      <c r="AD2235" s="5">
        <v>0</v>
      </c>
      <c r="AE2235" s="5">
        <f t="shared" si="218"/>
        <v>0</v>
      </c>
      <c r="AF2235" s="70">
        <v>0</v>
      </c>
      <c r="AG2235" s="17"/>
      <c r="AH2235" s="18"/>
      <c r="AI2235" s="47" t="s">
        <v>4336</v>
      </c>
      <c r="AJ2235" s="73" t="s">
        <v>4337</v>
      </c>
      <c r="AK2235" s="45"/>
      <c r="AL2235" s="17"/>
      <c r="AM2235" s="121" t="s">
        <v>4656</v>
      </c>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39"/>
      <c r="CE2235" s="138"/>
      <c r="CF2235" s="139"/>
      <c r="CG2235" s="138"/>
      <c r="CH2235" s="139"/>
      <c r="CI2235" s="138"/>
      <c r="CJ2235" s="72"/>
      <c r="CK2235" s="139"/>
      <c r="CL2235" s="71"/>
      <c r="CM2235" s="139"/>
      <c r="CN2235" s="138"/>
      <c r="CO2235" s="138"/>
      <c r="CP2235" s="138"/>
      <c r="CQ2235" s="139"/>
      <c r="CR2235" s="138"/>
      <c r="CS2235" s="45"/>
      <c r="CT2235" s="138"/>
      <c r="CU2235" s="45"/>
      <c r="CV2235" s="99">
        <f t="shared" si="219"/>
        <v>0</v>
      </c>
      <c r="CW2235" s="139"/>
      <c r="CX2235" s="138"/>
      <c r="CY2235" s="138"/>
      <c r="CZ2235" s="138"/>
      <c r="DA2235" s="139"/>
      <c r="DB2235" s="138"/>
      <c r="DC2235" s="45"/>
      <c r="DD2235" s="138"/>
      <c r="DE2235" s="45"/>
      <c r="DF2235" s="46"/>
    </row>
    <row r="2236" spans="1:110" s="42" customFormat="1" ht="90.75" x14ac:dyDescent="0.2">
      <c r="A2236" s="89">
        <v>40829</v>
      </c>
      <c r="B2236" s="16" t="s">
        <v>4221</v>
      </c>
      <c r="C2236" s="16" t="s">
        <v>853</v>
      </c>
      <c r="D2236" s="90" t="s">
        <v>4264</v>
      </c>
      <c r="E2236" s="90" t="str">
        <f>VLOOKUP(B2236&amp;C2236,Divipola!$C$2:$F$1138,4,FALSE)</f>
        <v>54003</v>
      </c>
      <c r="F2236" s="4"/>
      <c r="G2236" s="208"/>
      <c r="H2236" s="208"/>
      <c r="I2236" s="208"/>
      <c r="J2236" s="208"/>
      <c r="K2236" s="208"/>
      <c r="L2236" s="208"/>
      <c r="M2236" s="208"/>
      <c r="N2236" s="208"/>
      <c r="O2236" s="208"/>
      <c r="P2236" s="208"/>
      <c r="Q2236" s="208"/>
      <c r="R2236" s="208"/>
      <c r="S2236" s="208"/>
      <c r="T2236" s="208"/>
      <c r="U2236" s="208"/>
      <c r="V2236" s="208"/>
      <c r="W2236" s="19"/>
      <c r="X2236" s="17"/>
      <c r="Y2236" s="5">
        <f t="shared" si="214"/>
        <v>0</v>
      </c>
      <c r="Z2236" s="5">
        <f t="shared" si="215"/>
        <v>0</v>
      </c>
      <c r="AA2236" s="5">
        <f t="shared" si="216"/>
        <v>0</v>
      </c>
      <c r="AB2236" s="5">
        <f t="shared" si="217"/>
        <v>0</v>
      </c>
      <c r="AC2236" s="5"/>
      <c r="AD2236" s="5">
        <v>300000000</v>
      </c>
      <c r="AE2236" s="5">
        <f t="shared" si="218"/>
        <v>300000000</v>
      </c>
      <c r="AF2236" s="70">
        <v>0</v>
      </c>
      <c r="AG2236" s="17"/>
      <c r="AH2236" s="18"/>
      <c r="AI2236" s="109" t="s">
        <v>4346</v>
      </c>
      <c r="AJ2236" s="110" t="s">
        <v>4347</v>
      </c>
      <c r="AK2236" s="45"/>
      <c r="AL2236" s="17"/>
      <c r="AM2236" s="20" t="s">
        <v>4760</v>
      </c>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39"/>
      <c r="CE2236" s="138"/>
      <c r="CF2236" s="139"/>
      <c r="CG2236" s="138"/>
      <c r="CH2236" s="139"/>
      <c r="CI2236" s="138"/>
      <c r="CJ2236" s="72"/>
      <c r="CK2236" s="139"/>
      <c r="CL2236" s="71"/>
      <c r="CM2236" s="139"/>
      <c r="CN2236" s="138"/>
      <c r="CO2236" s="138"/>
      <c r="CP2236" s="138"/>
      <c r="CQ2236" s="139"/>
      <c r="CR2236" s="138"/>
      <c r="CS2236" s="45"/>
      <c r="CT2236" s="138"/>
      <c r="CU2236" s="45"/>
      <c r="CV2236" s="99">
        <f t="shared" si="219"/>
        <v>0</v>
      </c>
      <c r="CW2236" s="139"/>
      <c r="CX2236" s="138"/>
      <c r="CY2236" s="138"/>
      <c r="CZ2236" s="138"/>
      <c r="DA2236" s="139"/>
      <c r="DB2236" s="138"/>
      <c r="DC2236" s="45"/>
      <c r="DD2236" s="138"/>
      <c r="DE2236" s="45"/>
      <c r="DF2236" s="46"/>
    </row>
    <row r="2237" spans="1:110" s="42" customFormat="1" ht="60" x14ac:dyDescent="0.2">
      <c r="A2237" s="89">
        <v>40829</v>
      </c>
      <c r="B2237" s="151" t="s">
        <v>2226</v>
      </c>
      <c r="C2237" s="90" t="s">
        <v>4232</v>
      </c>
      <c r="D2237" s="90" t="s">
        <v>4264</v>
      </c>
      <c r="E2237" s="90" t="str">
        <f>VLOOKUP(B2237&amp;C2237,Divipola!$C$2:$F$1138,4,FALSE)</f>
        <v>68001</v>
      </c>
      <c r="F2237" s="151" t="s">
        <v>2226</v>
      </c>
      <c r="G2237" s="101"/>
      <c r="H2237" s="101"/>
      <c r="I2237" s="101"/>
      <c r="J2237" s="101">
        <v>500</v>
      </c>
      <c r="K2237" s="101">
        <v>100</v>
      </c>
      <c r="L2237" s="101"/>
      <c r="M2237" s="101">
        <v>100</v>
      </c>
      <c r="N2237" s="101"/>
      <c r="O2237" s="101"/>
      <c r="P2237" s="101"/>
      <c r="Q2237" s="101"/>
      <c r="R2237" s="101"/>
      <c r="S2237" s="101"/>
      <c r="T2237" s="101"/>
      <c r="U2237" s="101"/>
      <c r="V2237" s="101"/>
      <c r="W2237" s="19"/>
      <c r="X2237" s="17"/>
      <c r="Y2237" s="5">
        <f t="shared" si="214"/>
        <v>0</v>
      </c>
      <c r="Z2237" s="5">
        <f t="shared" si="215"/>
        <v>0</v>
      </c>
      <c r="AA2237" s="5">
        <f t="shared" si="216"/>
        <v>0</v>
      </c>
      <c r="AB2237" s="5">
        <f t="shared" si="217"/>
        <v>0</v>
      </c>
      <c r="AC2237" s="5"/>
      <c r="AD2237" s="5">
        <v>0</v>
      </c>
      <c r="AE2237" s="5">
        <f t="shared" si="218"/>
        <v>0</v>
      </c>
      <c r="AF2237" s="70">
        <v>0</v>
      </c>
      <c r="AG2237" s="17"/>
      <c r="AH2237" s="18"/>
      <c r="AI2237" s="47" t="s">
        <v>4346</v>
      </c>
      <c r="AJ2237" s="73" t="s">
        <v>4347</v>
      </c>
      <c r="AK2237" s="45"/>
      <c r="AL2237" s="89" t="s">
        <v>2798</v>
      </c>
      <c r="AM2237" s="121" t="s">
        <v>4650</v>
      </c>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39"/>
      <c r="CE2237" s="138"/>
      <c r="CF2237" s="139"/>
      <c r="CG2237" s="138"/>
      <c r="CH2237" s="139"/>
      <c r="CI2237" s="138"/>
      <c r="CJ2237" s="72"/>
      <c r="CK2237" s="139"/>
      <c r="CL2237" s="71"/>
      <c r="CM2237" s="139"/>
      <c r="CN2237" s="138"/>
      <c r="CO2237" s="138"/>
      <c r="CP2237" s="138"/>
      <c r="CQ2237" s="139"/>
      <c r="CR2237" s="138"/>
      <c r="CS2237" s="45"/>
      <c r="CT2237" s="138"/>
      <c r="CU2237" s="45"/>
      <c r="CV2237" s="99">
        <f t="shared" si="219"/>
        <v>0</v>
      </c>
      <c r="CW2237" s="139"/>
      <c r="CX2237" s="138"/>
      <c r="CY2237" s="138"/>
      <c r="CZ2237" s="138"/>
      <c r="DA2237" s="139"/>
      <c r="DB2237" s="138"/>
      <c r="DC2237" s="45"/>
      <c r="DD2237" s="138"/>
      <c r="DE2237" s="45"/>
      <c r="DF2237" s="46"/>
    </row>
    <row r="2238" spans="1:110" s="42" customFormat="1" ht="36" x14ac:dyDescent="0.2">
      <c r="A2238" s="89">
        <v>40829</v>
      </c>
      <c r="B2238" s="151" t="s">
        <v>2226</v>
      </c>
      <c r="C2238" s="90" t="s">
        <v>4232</v>
      </c>
      <c r="D2238" s="90" t="s">
        <v>2362</v>
      </c>
      <c r="E2238" s="90" t="str">
        <f>VLOOKUP(B2238&amp;C2238,Divipola!$C$2:$F$1138,4,FALSE)</f>
        <v>68001</v>
      </c>
      <c r="F2238" s="151" t="s">
        <v>2226</v>
      </c>
      <c r="G2238" s="101"/>
      <c r="H2238" s="101"/>
      <c r="I2238" s="101"/>
      <c r="J2238" s="101">
        <v>5</v>
      </c>
      <c r="K2238" s="101">
        <v>1</v>
      </c>
      <c r="L2238" s="101">
        <v>1</v>
      </c>
      <c r="M2238" s="101"/>
      <c r="N2238" s="101"/>
      <c r="O2238" s="101"/>
      <c r="P2238" s="101"/>
      <c r="Q2238" s="101"/>
      <c r="R2238" s="101"/>
      <c r="S2238" s="101"/>
      <c r="T2238" s="101"/>
      <c r="U2238" s="101"/>
      <c r="V2238" s="101"/>
      <c r="W2238" s="19"/>
      <c r="X2238" s="17"/>
      <c r="Y2238" s="5">
        <f t="shared" si="214"/>
        <v>0</v>
      </c>
      <c r="Z2238" s="5">
        <f t="shared" si="215"/>
        <v>0</v>
      </c>
      <c r="AA2238" s="5">
        <f t="shared" si="216"/>
        <v>0</v>
      </c>
      <c r="AB2238" s="5">
        <f t="shared" si="217"/>
        <v>0</v>
      </c>
      <c r="AC2238" s="5"/>
      <c r="AD2238" s="5">
        <v>0</v>
      </c>
      <c r="AE2238" s="5">
        <f t="shared" si="218"/>
        <v>0</v>
      </c>
      <c r="AF2238" s="70">
        <v>0</v>
      </c>
      <c r="AG2238" s="17"/>
      <c r="AH2238" s="18"/>
      <c r="AI2238" s="47" t="s">
        <v>4346</v>
      </c>
      <c r="AJ2238" s="73" t="s">
        <v>4347</v>
      </c>
      <c r="AK2238" s="45"/>
      <c r="AL2238" s="89" t="s">
        <v>2798</v>
      </c>
      <c r="AM2238" s="121" t="s">
        <v>4651</v>
      </c>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39"/>
      <c r="CE2238" s="138"/>
      <c r="CF2238" s="139"/>
      <c r="CG2238" s="138"/>
      <c r="CH2238" s="139"/>
      <c r="CI2238" s="138"/>
      <c r="CJ2238" s="72"/>
      <c r="CK2238" s="139"/>
      <c r="CL2238" s="71"/>
      <c r="CM2238" s="139"/>
      <c r="CN2238" s="138"/>
      <c r="CO2238" s="138"/>
      <c r="CP2238" s="138"/>
      <c r="CQ2238" s="139"/>
      <c r="CR2238" s="138"/>
      <c r="CS2238" s="45"/>
      <c r="CT2238" s="138"/>
      <c r="CU2238" s="45"/>
      <c r="CV2238" s="99">
        <f t="shared" si="219"/>
        <v>0</v>
      </c>
      <c r="CW2238" s="139"/>
      <c r="CX2238" s="138"/>
      <c r="CY2238" s="138"/>
      <c r="CZ2238" s="138"/>
      <c r="DA2238" s="139"/>
      <c r="DB2238" s="138"/>
      <c r="DC2238" s="45"/>
      <c r="DD2238" s="138"/>
      <c r="DE2238" s="45"/>
      <c r="DF2238" s="46"/>
    </row>
    <row r="2239" spans="1:110" s="42" customFormat="1" ht="36" x14ac:dyDescent="0.2">
      <c r="A2239" s="89">
        <v>40829</v>
      </c>
      <c r="B2239" s="151" t="s">
        <v>2226</v>
      </c>
      <c r="C2239" s="90" t="s">
        <v>4232</v>
      </c>
      <c r="D2239" s="90" t="s">
        <v>4264</v>
      </c>
      <c r="E2239" s="90" t="str">
        <f>VLOOKUP(B2239&amp;C2239,Divipola!$C$2:$F$1138,4,FALSE)</f>
        <v>68001</v>
      </c>
      <c r="F2239" s="4"/>
      <c r="G2239" s="101"/>
      <c r="H2239" s="101"/>
      <c r="I2239" s="101"/>
      <c r="J2239" s="101">
        <v>832</v>
      </c>
      <c r="K2239" s="101">
        <v>205</v>
      </c>
      <c r="L2239" s="101"/>
      <c r="M2239" s="101">
        <v>205</v>
      </c>
      <c r="N2239" s="101"/>
      <c r="O2239" s="101"/>
      <c r="P2239" s="101"/>
      <c r="Q2239" s="101"/>
      <c r="R2239" s="101"/>
      <c r="S2239" s="101"/>
      <c r="T2239" s="101"/>
      <c r="U2239" s="101"/>
      <c r="V2239" s="101"/>
      <c r="W2239" s="19"/>
      <c r="X2239" s="17"/>
      <c r="Y2239" s="5">
        <f t="shared" si="214"/>
        <v>0</v>
      </c>
      <c r="Z2239" s="5">
        <f t="shared" si="215"/>
        <v>0</v>
      </c>
      <c r="AA2239" s="5">
        <f t="shared" si="216"/>
        <v>0</v>
      </c>
      <c r="AB2239" s="5">
        <f t="shared" si="217"/>
        <v>0</v>
      </c>
      <c r="AC2239" s="5"/>
      <c r="AD2239" s="5">
        <v>0</v>
      </c>
      <c r="AE2239" s="5">
        <f t="shared" si="218"/>
        <v>0</v>
      </c>
      <c r="AF2239" s="70">
        <v>0</v>
      </c>
      <c r="AG2239" s="17"/>
      <c r="AH2239" s="18"/>
      <c r="AI2239" s="47" t="s">
        <v>4346</v>
      </c>
      <c r="AJ2239" s="73" t="s">
        <v>4347</v>
      </c>
      <c r="AK2239" s="45"/>
      <c r="AL2239" s="89" t="s">
        <v>2798</v>
      </c>
      <c r="AM2239" s="121" t="s">
        <v>4657</v>
      </c>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39"/>
      <c r="CE2239" s="138"/>
      <c r="CF2239" s="139"/>
      <c r="CG2239" s="138"/>
      <c r="CH2239" s="139"/>
      <c r="CI2239" s="138"/>
      <c r="CJ2239" s="72"/>
      <c r="CK2239" s="139"/>
      <c r="CL2239" s="71"/>
      <c r="CM2239" s="139"/>
      <c r="CN2239" s="138"/>
      <c r="CO2239" s="138"/>
      <c r="CP2239" s="138"/>
      <c r="CQ2239" s="139"/>
      <c r="CR2239" s="138"/>
      <c r="CS2239" s="45"/>
      <c r="CT2239" s="138"/>
      <c r="CU2239" s="45"/>
      <c r="CV2239" s="99">
        <f t="shared" si="219"/>
        <v>0</v>
      </c>
      <c r="CW2239" s="139"/>
      <c r="CX2239" s="138"/>
      <c r="CY2239" s="138"/>
      <c r="CZ2239" s="138"/>
      <c r="DA2239" s="139"/>
      <c r="DB2239" s="138"/>
      <c r="DC2239" s="45"/>
      <c r="DD2239" s="138"/>
      <c r="DE2239" s="45"/>
      <c r="DF2239" s="46"/>
    </row>
    <row r="2240" spans="1:110" s="42" customFormat="1" ht="276" x14ac:dyDescent="0.2">
      <c r="A2240" s="89">
        <v>40829</v>
      </c>
      <c r="B2240" s="151" t="s">
        <v>2226</v>
      </c>
      <c r="C2240" s="90" t="s">
        <v>663</v>
      </c>
      <c r="D2240" s="90" t="s">
        <v>2362</v>
      </c>
      <c r="E2240" s="90" t="str">
        <f>VLOOKUP(B2240&amp;C2240,Divipola!$C$2:$F$1138,4,FALSE)</f>
        <v>68255</v>
      </c>
      <c r="F2240" s="4"/>
      <c r="G2240" s="101">
        <v>1</v>
      </c>
      <c r="H2240" s="101"/>
      <c r="I2240" s="101"/>
      <c r="J2240" s="101">
        <v>9</v>
      </c>
      <c r="K2240" s="101">
        <v>2</v>
      </c>
      <c r="L2240" s="101">
        <v>2</v>
      </c>
      <c r="M2240" s="101"/>
      <c r="N2240" s="101"/>
      <c r="O2240" s="101"/>
      <c r="P2240" s="101"/>
      <c r="Q2240" s="101"/>
      <c r="R2240" s="101"/>
      <c r="S2240" s="101"/>
      <c r="T2240" s="101"/>
      <c r="U2240" s="101"/>
      <c r="V2240" s="101"/>
      <c r="W2240" s="19"/>
      <c r="X2240" s="17"/>
      <c r="Y2240" s="5">
        <f t="shared" si="214"/>
        <v>0</v>
      </c>
      <c r="Z2240" s="5">
        <f t="shared" si="215"/>
        <v>0</v>
      </c>
      <c r="AA2240" s="5">
        <f t="shared" si="216"/>
        <v>0</v>
      </c>
      <c r="AB2240" s="5">
        <f t="shared" si="217"/>
        <v>0</v>
      </c>
      <c r="AC2240" s="5"/>
      <c r="AD2240" s="5">
        <v>0</v>
      </c>
      <c r="AE2240" s="5">
        <f t="shared" si="218"/>
        <v>0</v>
      </c>
      <c r="AF2240" s="70">
        <v>0</v>
      </c>
      <c r="AG2240" s="17"/>
      <c r="AH2240" s="18"/>
      <c r="AI2240" s="47" t="s">
        <v>4346</v>
      </c>
      <c r="AJ2240" s="73" t="s">
        <v>4347</v>
      </c>
      <c r="AK2240" s="45"/>
      <c r="AL2240" s="89" t="s">
        <v>2798</v>
      </c>
      <c r="AM2240" s="121" t="s">
        <v>4660</v>
      </c>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39"/>
      <c r="CE2240" s="138"/>
      <c r="CF2240" s="139"/>
      <c r="CG2240" s="138"/>
      <c r="CH2240" s="139"/>
      <c r="CI2240" s="138"/>
      <c r="CJ2240" s="72"/>
      <c r="CK2240" s="139"/>
      <c r="CL2240" s="71"/>
      <c r="CM2240" s="139"/>
      <c r="CN2240" s="138"/>
      <c r="CO2240" s="138"/>
      <c r="CP2240" s="138"/>
      <c r="CQ2240" s="139"/>
      <c r="CR2240" s="138"/>
      <c r="CS2240" s="45"/>
      <c r="CT2240" s="138"/>
      <c r="CU2240" s="45"/>
      <c r="CV2240" s="99">
        <f t="shared" si="219"/>
        <v>0</v>
      </c>
      <c r="CW2240" s="139"/>
      <c r="CX2240" s="138"/>
      <c r="CY2240" s="138"/>
      <c r="CZ2240" s="138"/>
      <c r="DA2240" s="139"/>
      <c r="DB2240" s="138"/>
      <c r="DC2240" s="45"/>
      <c r="DD2240" s="138"/>
      <c r="DE2240" s="45"/>
      <c r="DF2240" s="46"/>
    </row>
    <row r="2241" spans="1:110" s="42" customFormat="1" ht="48" x14ac:dyDescent="0.2">
      <c r="A2241" s="89">
        <v>40829</v>
      </c>
      <c r="B2241" s="151" t="s">
        <v>2226</v>
      </c>
      <c r="C2241" s="90" t="s">
        <v>4390</v>
      </c>
      <c r="D2241" s="90" t="s">
        <v>4264</v>
      </c>
      <c r="E2241" s="90" t="str">
        <f>VLOOKUP(B2241&amp;C2241,Divipola!$C$2:$F$1138,4,FALSE)</f>
        <v>68307</v>
      </c>
      <c r="F2241" s="4"/>
      <c r="G2241" s="101"/>
      <c r="H2241" s="101"/>
      <c r="I2241" s="101"/>
      <c r="J2241" s="101">
        <v>750</v>
      </c>
      <c r="K2241" s="101">
        <v>150</v>
      </c>
      <c r="L2241" s="101"/>
      <c r="M2241" s="101">
        <v>150</v>
      </c>
      <c r="N2241" s="101"/>
      <c r="O2241" s="101"/>
      <c r="P2241" s="101"/>
      <c r="Q2241" s="101"/>
      <c r="R2241" s="101"/>
      <c r="S2241" s="101"/>
      <c r="T2241" s="101"/>
      <c r="U2241" s="101"/>
      <c r="V2241" s="101"/>
      <c r="W2241" s="19"/>
      <c r="X2241" s="17"/>
      <c r="Y2241" s="5">
        <f t="shared" si="214"/>
        <v>0</v>
      </c>
      <c r="Z2241" s="5">
        <f t="shared" si="215"/>
        <v>0</v>
      </c>
      <c r="AA2241" s="5">
        <f t="shared" si="216"/>
        <v>0</v>
      </c>
      <c r="AB2241" s="5">
        <f t="shared" si="217"/>
        <v>0</v>
      </c>
      <c r="AC2241" s="5"/>
      <c r="AD2241" s="5">
        <v>0</v>
      </c>
      <c r="AE2241" s="5">
        <f t="shared" si="218"/>
        <v>0</v>
      </c>
      <c r="AF2241" s="70">
        <v>0</v>
      </c>
      <c r="AG2241" s="17"/>
      <c r="AH2241" s="18"/>
      <c r="AI2241" s="47" t="s">
        <v>4346</v>
      </c>
      <c r="AJ2241" s="73" t="s">
        <v>4347</v>
      </c>
      <c r="AK2241" s="45"/>
      <c r="AL2241" s="89" t="s">
        <v>2798</v>
      </c>
      <c r="AM2241" s="121" t="s">
        <v>4788</v>
      </c>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39"/>
      <c r="CE2241" s="138"/>
      <c r="CF2241" s="139"/>
      <c r="CG2241" s="138"/>
      <c r="CH2241" s="139"/>
      <c r="CI2241" s="138"/>
      <c r="CJ2241" s="72"/>
      <c r="CK2241" s="139"/>
      <c r="CL2241" s="71"/>
      <c r="CM2241" s="139"/>
      <c r="CN2241" s="138"/>
      <c r="CO2241" s="138"/>
      <c r="CP2241" s="138"/>
      <c r="CQ2241" s="139"/>
      <c r="CR2241" s="138"/>
      <c r="CS2241" s="45"/>
      <c r="CT2241" s="138"/>
      <c r="CU2241" s="45"/>
      <c r="CV2241" s="99">
        <f t="shared" si="219"/>
        <v>0</v>
      </c>
      <c r="CW2241" s="139"/>
      <c r="CX2241" s="138"/>
      <c r="CY2241" s="138"/>
      <c r="CZ2241" s="138"/>
      <c r="DA2241" s="139"/>
      <c r="DB2241" s="138"/>
      <c r="DC2241" s="45"/>
      <c r="DD2241" s="138"/>
      <c r="DE2241" s="45"/>
      <c r="DF2241" s="46"/>
    </row>
    <row r="2242" spans="1:110" s="42" customFormat="1" ht="36" x14ac:dyDescent="0.2">
      <c r="A2242" s="89">
        <v>40829</v>
      </c>
      <c r="B2242" s="151" t="s">
        <v>2226</v>
      </c>
      <c r="C2242" s="90" t="s">
        <v>676</v>
      </c>
      <c r="D2242" s="90" t="s">
        <v>4264</v>
      </c>
      <c r="E2242" s="90" t="str">
        <f>VLOOKUP(B2242&amp;C2242,Divipola!$C$2:$F$1138,4,FALSE)</f>
        <v>68318</v>
      </c>
      <c r="F2242" s="4"/>
      <c r="G2242" s="101"/>
      <c r="H2242" s="101"/>
      <c r="I2242" s="101"/>
      <c r="J2242" s="101"/>
      <c r="K2242" s="101"/>
      <c r="L2242" s="101"/>
      <c r="M2242" s="101"/>
      <c r="N2242" s="101"/>
      <c r="O2242" s="101"/>
      <c r="P2242" s="101"/>
      <c r="Q2242" s="101"/>
      <c r="R2242" s="101"/>
      <c r="S2242" s="101"/>
      <c r="T2242" s="101"/>
      <c r="U2242" s="101"/>
      <c r="V2242" s="101"/>
      <c r="W2242" s="19"/>
      <c r="X2242" s="17"/>
      <c r="Y2242" s="5">
        <f t="shared" ref="Y2242:Y2305" si="220">CV2242</f>
        <v>0</v>
      </c>
      <c r="Z2242" s="5">
        <f t="shared" ref="Z2242:Z2305" si="221">CZ2242</f>
        <v>0</v>
      </c>
      <c r="AA2242" s="5">
        <f t="shared" ref="AA2242:AA2305" si="222">DB2242+DD2242</f>
        <v>0</v>
      </c>
      <c r="AB2242" s="5">
        <f t="shared" ref="AB2242:AB2305" si="223">CX2242</f>
        <v>0</v>
      </c>
      <c r="AC2242" s="5"/>
      <c r="AD2242" s="5">
        <v>0</v>
      </c>
      <c r="AE2242" s="5">
        <f t="shared" ref="AE2242:AE2305" si="224">Y2242+Z2242+AA2242+AB2242+AC2242+AD2242</f>
        <v>0</v>
      </c>
      <c r="AF2242" s="70">
        <v>0</v>
      </c>
      <c r="AG2242" s="17"/>
      <c r="AH2242" s="18"/>
      <c r="AI2242" s="47" t="s">
        <v>4346</v>
      </c>
      <c r="AJ2242" s="73" t="s">
        <v>4347</v>
      </c>
      <c r="AK2242" s="45"/>
      <c r="AL2242" s="89" t="s">
        <v>2798</v>
      </c>
      <c r="AM2242" s="121" t="s">
        <v>4789</v>
      </c>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39"/>
      <c r="CE2242" s="138"/>
      <c r="CF2242" s="139"/>
      <c r="CG2242" s="138"/>
      <c r="CH2242" s="139"/>
      <c r="CI2242" s="138"/>
      <c r="CJ2242" s="72"/>
      <c r="CK2242" s="139"/>
      <c r="CL2242" s="71"/>
      <c r="CM2242" s="139"/>
      <c r="CN2242" s="138"/>
      <c r="CO2242" s="138"/>
      <c r="CP2242" s="138"/>
      <c r="CQ2242" s="139"/>
      <c r="CR2242" s="138"/>
      <c r="CS2242" s="45"/>
      <c r="CT2242" s="138"/>
      <c r="CU2242" s="45"/>
      <c r="CV2242" s="99">
        <f t="shared" si="219"/>
        <v>0</v>
      </c>
      <c r="CW2242" s="139"/>
      <c r="CX2242" s="138"/>
      <c r="CY2242" s="138"/>
      <c r="CZ2242" s="138"/>
      <c r="DA2242" s="139"/>
      <c r="DB2242" s="138"/>
      <c r="DC2242" s="45"/>
      <c r="DD2242" s="138"/>
      <c r="DE2242" s="45"/>
      <c r="DF2242" s="46"/>
    </row>
    <row r="2243" spans="1:110" s="42" customFormat="1" ht="48" x14ac:dyDescent="0.2">
      <c r="A2243" s="89">
        <v>40829</v>
      </c>
      <c r="B2243" s="151" t="s">
        <v>2226</v>
      </c>
      <c r="C2243" s="90" t="s">
        <v>2947</v>
      </c>
      <c r="D2243" s="90" t="s">
        <v>2362</v>
      </c>
      <c r="E2243" s="90" t="str">
        <f>VLOOKUP(B2243&amp;C2243,Divipola!$C$2:$F$1138,4,FALSE)</f>
        <v>68406</v>
      </c>
      <c r="F2243" s="4"/>
      <c r="G2243" s="101"/>
      <c r="H2243" s="101"/>
      <c r="I2243" s="101"/>
      <c r="J2243" s="101">
        <v>30</v>
      </c>
      <c r="K2243" s="101">
        <v>6</v>
      </c>
      <c r="L2243" s="101">
        <v>6</v>
      </c>
      <c r="M2243" s="101"/>
      <c r="N2243" s="101"/>
      <c r="O2243" s="101"/>
      <c r="P2243" s="101"/>
      <c r="Q2243" s="101"/>
      <c r="R2243" s="101"/>
      <c r="S2243" s="101"/>
      <c r="T2243" s="101"/>
      <c r="U2243" s="101"/>
      <c r="V2243" s="101"/>
      <c r="W2243" s="19"/>
      <c r="X2243" s="17"/>
      <c r="Y2243" s="5">
        <f t="shared" si="220"/>
        <v>0</v>
      </c>
      <c r="Z2243" s="5">
        <f t="shared" si="221"/>
        <v>0</v>
      </c>
      <c r="AA2243" s="5">
        <f t="shared" si="222"/>
        <v>0</v>
      </c>
      <c r="AB2243" s="5">
        <f t="shared" si="223"/>
        <v>0</v>
      </c>
      <c r="AC2243" s="5"/>
      <c r="AD2243" s="5">
        <v>0</v>
      </c>
      <c r="AE2243" s="5">
        <f t="shared" si="224"/>
        <v>0</v>
      </c>
      <c r="AF2243" s="70">
        <v>0</v>
      </c>
      <c r="AG2243" s="17"/>
      <c r="AH2243" s="18"/>
      <c r="AI2243" s="47" t="s">
        <v>4346</v>
      </c>
      <c r="AJ2243" s="73" t="s">
        <v>4347</v>
      </c>
      <c r="AK2243" s="45"/>
      <c r="AL2243" s="89" t="s">
        <v>2798</v>
      </c>
      <c r="AM2243" s="121" t="s">
        <v>4787</v>
      </c>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39"/>
      <c r="CE2243" s="138"/>
      <c r="CF2243" s="139"/>
      <c r="CG2243" s="138"/>
      <c r="CH2243" s="139"/>
      <c r="CI2243" s="138"/>
      <c r="CJ2243" s="72"/>
      <c r="CK2243" s="139"/>
      <c r="CL2243" s="71"/>
      <c r="CM2243" s="139"/>
      <c r="CN2243" s="138"/>
      <c r="CO2243" s="138"/>
      <c r="CP2243" s="138"/>
      <c r="CQ2243" s="139"/>
      <c r="CR2243" s="138"/>
      <c r="CS2243" s="45"/>
      <c r="CT2243" s="138"/>
      <c r="CU2243" s="45"/>
      <c r="CV2243" s="99">
        <f t="shared" ref="CV2243:CV2306" si="225">AO2243+AQ2243+AS2243+AU2243+AW2243+AY2243+BA2243+BC2243+BE2243+BG2243+BI2243+BK2243+BM2243+BO2243+BQ2243+BS2243+BU2243+BW2243+BY2243+CA2243+CC2243+CE2243+CG2243+CI2243+CK2243+CM2243+CO2243+CQ2243+CS2243+CU2243</f>
        <v>0</v>
      </c>
      <c r="CW2243" s="139"/>
      <c r="CX2243" s="138"/>
      <c r="CY2243" s="138"/>
      <c r="CZ2243" s="138"/>
      <c r="DA2243" s="139"/>
      <c r="DB2243" s="138"/>
      <c r="DC2243" s="45"/>
      <c r="DD2243" s="138"/>
      <c r="DE2243" s="45"/>
      <c r="DF2243" s="46"/>
    </row>
    <row r="2244" spans="1:110" s="42" customFormat="1" ht="60" x14ac:dyDescent="0.2">
      <c r="A2244" s="89">
        <v>40829</v>
      </c>
      <c r="B2244" s="151" t="s">
        <v>2226</v>
      </c>
      <c r="C2244" s="90" t="s">
        <v>2261</v>
      </c>
      <c r="D2244" s="90" t="s">
        <v>2860</v>
      </c>
      <c r="E2244" s="90" t="str">
        <f>VLOOKUP(B2244&amp;C2244,Divipola!$C$2:$F$1138,4,FALSE)</f>
        <v>68615</v>
      </c>
      <c r="F2244" s="151" t="s">
        <v>2226</v>
      </c>
      <c r="G2244" s="101"/>
      <c r="H2244" s="101"/>
      <c r="I2244" s="101"/>
      <c r="J2244" s="101">
        <v>200</v>
      </c>
      <c r="K2244" s="101">
        <v>40</v>
      </c>
      <c r="L2244" s="101"/>
      <c r="M2244" s="101">
        <v>40</v>
      </c>
      <c r="N2244" s="101"/>
      <c r="O2244" s="101"/>
      <c r="P2244" s="101"/>
      <c r="Q2244" s="101"/>
      <c r="R2244" s="101"/>
      <c r="S2244" s="101"/>
      <c r="T2244" s="101"/>
      <c r="U2244" s="101"/>
      <c r="V2244" s="101"/>
      <c r="W2244" s="19"/>
      <c r="X2244" s="17"/>
      <c r="Y2244" s="5">
        <f t="shared" si="220"/>
        <v>0</v>
      </c>
      <c r="Z2244" s="5">
        <f t="shared" si="221"/>
        <v>0</v>
      </c>
      <c r="AA2244" s="5">
        <f t="shared" si="222"/>
        <v>0</v>
      </c>
      <c r="AB2244" s="5">
        <f t="shared" si="223"/>
        <v>0</v>
      </c>
      <c r="AC2244" s="5"/>
      <c r="AD2244" s="5">
        <v>0</v>
      </c>
      <c r="AE2244" s="5">
        <f t="shared" si="224"/>
        <v>0</v>
      </c>
      <c r="AF2244" s="70">
        <v>0</v>
      </c>
      <c r="AG2244" s="17"/>
      <c r="AH2244" s="18"/>
      <c r="AI2244" s="47" t="s">
        <v>4346</v>
      </c>
      <c r="AJ2244" s="73" t="s">
        <v>4347</v>
      </c>
      <c r="AK2244" s="45"/>
      <c r="AL2244" s="89" t="s">
        <v>2798</v>
      </c>
      <c r="AM2244" s="121" t="s">
        <v>4652</v>
      </c>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39"/>
      <c r="CE2244" s="138"/>
      <c r="CF2244" s="139"/>
      <c r="CG2244" s="138"/>
      <c r="CH2244" s="139"/>
      <c r="CI2244" s="138"/>
      <c r="CJ2244" s="72"/>
      <c r="CK2244" s="139"/>
      <c r="CL2244" s="71"/>
      <c r="CM2244" s="139"/>
      <c r="CN2244" s="138"/>
      <c r="CO2244" s="138"/>
      <c r="CP2244" s="138"/>
      <c r="CQ2244" s="139"/>
      <c r="CR2244" s="138"/>
      <c r="CS2244" s="45"/>
      <c r="CT2244" s="138"/>
      <c r="CU2244" s="45"/>
      <c r="CV2244" s="99">
        <f t="shared" si="225"/>
        <v>0</v>
      </c>
      <c r="CW2244" s="139"/>
      <c r="CX2244" s="138"/>
      <c r="CY2244" s="138"/>
      <c r="CZ2244" s="138"/>
      <c r="DA2244" s="139"/>
      <c r="DB2244" s="138"/>
      <c r="DC2244" s="45"/>
      <c r="DD2244" s="138"/>
      <c r="DE2244" s="45"/>
      <c r="DF2244" s="46"/>
    </row>
    <row r="2245" spans="1:110" s="42" customFormat="1" ht="48" x14ac:dyDescent="0.2">
      <c r="A2245" s="89">
        <v>40829</v>
      </c>
      <c r="B2245" s="151" t="s">
        <v>2226</v>
      </c>
      <c r="C2245" s="90" t="s">
        <v>2261</v>
      </c>
      <c r="D2245" s="90" t="s">
        <v>2860</v>
      </c>
      <c r="E2245" s="90" t="str">
        <f>VLOOKUP(B2245&amp;C2245,Divipola!$C$2:$F$1138,4,FALSE)</f>
        <v>68615</v>
      </c>
      <c r="F2245" s="151" t="s">
        <v>2226</v>
      </c>
      <c r="G2245" s="101"/>
      <c r="H2245" s="101"/>
      <c r="I2245" s="101"/>
      <c r="J2245" s="101">
        <v>20</v>
      </c>
      <c r="K2245" s="101">
        <v>3</v>
      </c>
      <c r="L2245" s="101"/>
      <c r="M2245" s="101">
        <v>3</v>
      </c>
      <c r="N2245" s="101"/>
      <c r="O2245" s="101"/>
      <c r="P2245" s="101"/>
      <c r="Q2245" s="101"/>
      <c r="R2245" s="101"/>
      <c r="S2245" s="101"/>
      <c r="T2245" s="101"/>
      <c r="U2245" s="101"/>
      <c r="V2245" s="101"/>
      <c r="W2245" s="19"/>
      <c r="X2245" s="17"/>
      <c r="Y2245" s="5">
        <f t="shared" si="220"/>
        <v>0</v>
      </c>
      <c r="Z2245" s="5">
        <f t="shared" si="221"/>
        <v>0</v>
      </c>
      <c r="AA2245" s="5">
        <f t="shared" si="222"/>
        <v>0</v>
      </c>
      <c r="AB2245" s="5">
        <f t="shared" si="223"/>
        <v>0</v>
      </c>
      <c r="AC2245" s="5"/>
      <c r="AD2245" s="5">
        <v>0</v>
      </c>
      <c r="AE2245" s="5">
        <f t="shared" si="224"/>
        <v>0</v>
      </c>
      <c r="AF2245" s="70">
        <v>0</v>
      </c>
      <c r="AG2245" s="17"/>
      <c r="AH2245" s="18"/>
      <c r="AI2245" s="47" t="s">
        <v>4346</v>
      </c>
      <c r="AJ2245" s="73" t="s">
        <v>4347</v>
      </c>
      <c r="AK2245" s="45"/>
      <c r="AL2245" s="89" t="s">
        <v>2798</v>
      </c>
      <c r="AM2245" s="121" t="s">
        <v>4653</v>
      </c>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39"/>
      <c r="CE2245" s="138"/>
      <c r="CF2245" s="139"/>
      <c r="CG2245" s="138"/>
      <c r="CH2245" s="139"/>
      <c r="CI2245" s="138"/>
      <c r="CJ2245" s="72"/>
      <c r="CK2245" s="139"/>
      <c r="CL2245" s="71"/>
      <c r="CM2245" s="139"/>
      <c r="CN2245" s="138"/>
      <c r="CO2245" s="138"/>
      <c r="CP2245" s="138"/>
      <c r="CQ2245" s="139"/>
      <c r="CR2245" s="138"/>
      <c r="CS2245" s="45"/>
      <c r="CT2245" s="138"/>
      <c r="CU2245" s="45"/>
      <c r="CV2245" s="99">
        <f t="shared" si="225"/>
        <v>0</v>
      </c>
      <c r="CW2245" s="139"/>
      <c r="CX2245" s="138"/>
      <c r="CY2245" s="138"/>
      <c r="CZ2245" s="138"/>
      <c r="DA2245" s="139"/>
      <c r="DB2245" s="138"/>
      <c r="DC2245" s="45"/>
      <c r="DD2245" s="138"/>
      <c r="DE2245" s="45"/>
      <c r="DF2245" s="46"/>
    </row>
    <row r="2246" spans="1:110" s="42" customFormat="1" ht="96" x14ac:dyDescent="0.2">
      <c r="A2246" s="17">
        <v>40829</v>
      </c>
      <c r="B2246" s="151" t="s">
        <v>4221</v>
      </c>
      <c r="C2246" s="16" t="s">
        <v>4225</v>
      </c>
      <c r="D2246" s="16" t="s">
        <v>4264</v>
      </c>
      <c r="E2246" s="90" t="str">
        <f>VLOOKUP(B2246&amp;C2246,Divipola!$C$2:$F$1138,4,FALSE)</f>
        <v>54099</v>
      </c>
      <c r="F2246" s="4"/>
      <c r="G2246" s="208"/>
      <c r="H2246" s="208"/>
      <c r="I2246" s="208"/>
      <c r="J2246" s="208"/>
      <c r="K2246" s="208"/>
      <c r="L2246" s="208"/>
      <c r="M2246" s="208"/>
      <c r="N2246" s="208"/>
      <c r="O2246" s="208"/>
      <c r="P2246" s="208"/>
      <c r="Q2246" s="208"/>
      <c r="R2246" s="208"/>
      <c r="S2246" s="208"/>
      <c r="T2246" s="208"/>
      <c r="U2246" s="208"/>
      <c r="V2246" s="208"/>
      <c r="W2246" s="19"/>
      <c r="X2246" s="17"/>
      <c r="Y2246" s="5">
        <f t="shared" si="220"/>
        <v>0</v>
      </c>
      <c r="Z2246" s="5">
        <f t="shared" si="221"/>
        <v>0</v>
      </c>
      <c r="AA2246" s="5">
        <f t="shared" si="222"/>
        <v>0</v>
      </c>
      <c r="AB2246" s="5">
        <f t="shared" si="223"/>
        <v>0</v>
      </c>
      <c r="AC2246" s="5">
        <f>2*631040+2*464000+200*9396+10*394400+10*39440+10*194880+10*287680+30*243600+5*619440+4*1034720+5*4756000+30*39440+40*98600+2*2266640+10*127600</f>
        <v>62493840</v>
      </c>
      <c r="AD2246" s="5">
        <v>0</v>
      </c>
      <c r="AE2246" s="5">
        <f t="shared" si="224"/>
        <v>62493840</v>
      </c>
      <c r="AF2246" s="70">
        <v>0</v>
      </c>
      <c r="AG2246" s="17"/>
      <c r="AH2246" s="18"/>
      <c r="AI2246" s="47" t="s">
        <v>4346</v>
      </c>
      <c r="AJ2246" s="73" t="s">
        <v>4347</v>
      </c>
      <c r="AK2246" s="45"/>
      <c r="AL2246" s="17"/>
      <c r="AM2246" s="154" t="s">
        <v>5608</v>
      </c>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39"/>
      <c r="CE2246" s="138"/>
      <c r="CF2246" s="139"/>
      <c r="CG2246" s="138"/>
      <c r="CH2246" s="139"/>
      <c r="CI2246" s="138"/>
      <c r="CJ2246" s="72"/>
      <c r="CK2246" s="139"/>
      <c r="CL2246" s="71"/>
      <c r="CM2246" s="139"/>
      <c r="CN2246" s="138"/>
      <c r="CO2246" s="138"/>
      <c r="CP2246" s="138"/>
      <c r="CQ2246" s="139"/>
      <c r="CR2246" s="138"/>
      <c r="CS2246" s="45"/>
      <c r="CT2246" s="138"/>
      <c r="CU2246" s="45"/>
      <c r="CV2246" s="99">
        <f t="shared" si="225"/>
        <v>0</v>
      </c>
      <c r="CW2246" s="139"/>
      <c r="CX2246" s="138"/>
      <c r="CY2246" s="138"/>
      <c r="CZ2246" s="138"/>
      <c r="DA2246" s="139"/>
      <c r="DB2246" s="138"/>
      <c r="DC2246" s="45"/>
      <c r="DD2246" s="138"/>
      <c r="DE2246" s="45"/>
      <c r="DF2246" s="46"/>
    </row>
    <row r="2247" spans="1:110" s="42" customFormat="1" ht="60" x14ac:dyDescent="0.2">
      <c r="A2247" s="89">
        <v>40830</v>
      </c>
      <c r="B2247" s="151" t="s">
        <v>3533</v>
      </c>
      <c r="C2247" s="90" t="s">
        <v>862</v>
      </c>
      <c r="D2247" s="90" t="s">
        <v>4264</v>
      </c>
      <c r="E2247" s="90" t="str">
        <f>VLOOKUP(B2247&amp;C2247,Divipola!$C$2:$F$1138,4,FALSE)</f>
        <v>17001</v>
      </c>
      <c r="F2247" s="4"/>
      <c r="G2247" s="194"/>
      <c r="H2247" s="194"/>
      <c r="I2247" s="194"/>
      <c r="J2247" s="194">
        <v>50</v>
      </c>
      <c r="K2247" s="194">
        <v>10</v>
      </c>
      <c r="L2247" s="194">
        <v>1</v>
      </c>
      <c r="M2247" s="194">
        <v>4</v>
      </c>
      <c r="N2247" s="194"/>
      <c r="O2247" s="194"/>
      <c r="P2247" s="194"/>
      <c r="Q2247" s="194"/>
      <c r="R2247" s="194"/>
      <c r="S2247" s="194"/>
      <c r="T2247" s="194"/>
      <c r="U2247" s="194"/>
      <c r="V2247" s="194"/>
      <c r="W2247" s="19"/>
      <c r="X2247" s="17"/>
      <c r="Y2247" s="5">
        <f t="shared" si="220"/>
        <v>0</v>
      </c>
      <c r="Z2247" s="5">
        <f t="shared" si="221"/>
        <v>0</v>
      </c>
      <c r="AA2247" s="5">
        <f t="shared" si="222"/>
        <v>0</v>
      </c>
      <c r="AB2247" s="5">
        <f t="shared" si="223"/>
        <v>0</v>
      </c>
      <c r="AC2247" s="5"/>
      <c r="AD2247" s="5">
        <v>0</v>
      </c>
      <c r="AE2247" s="5">
        <f t="shared" si="224"/>
        <v>0</v>
      </c>
      <c r="AF2247" s="70">
        <v>0</v>
      </c>
      <c r="AG2247" s="17"/>
      <c r="AH2247" s="18"/>
      <c r="AI2247" s="47" t="s">
        <v>4336</v>
      </c>
      <c r="AJ2247" s="73" t="s">
        <v>4337</v>
      </c>
      <c r="AK2247" s="45"/>
      <c r="AL2247" s="17"/>
      <c r="AM2247" s="195" t="s">
        <v>4665</v>
      </c>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39"/>
      <c r="CE2247" s="138"/>
      <c r="CF2247" s="139"/>
      <c r="CG2247" s="138"/>
      <c r="CH2247" s="139"/>
      <c r="CI2247" s="138"/>
      <c r="CJ2247" s="72"/>
      <c r="CK2247" s="139"/>
      <c r="CL2247" s="71"/>
      <c r="CM2247" s="139"/>
      <c r="CN2247" s="138"/>
      <c r="CO2247" s="138"/>
      <c r="CP2247" s="138"/>
      <c r="CQ2247" s="139"/>
      <c r="CR2247" s="138"/>
      <c r="CS2247" s="45"/>
      <c r="CT2247" s="138"/>
      <c r="CU2247" s="45"/>
      <c r="CV2247" s="99">
        <f t="shared" si="225"/>
        <v>0</v>
      </c>
      <c r="CW2247" s="139"/>
      <c r="CX2247" s="138"/>
      <c r="CY2247" s="138"/>
      <c r="CZ2247" s="138"/>
      <c r="DA2247" s="139"/>
      <c r="DB2247" s="138"/>
      <c r="DC2247" s="45"/>
      <c r="DD2247" s="138"/>
      <c r="DE2247" s="45"/>
      <c r="DF2247" s="46"/>
    </row>
    <row r="2248" spans="1:110" s="42" customFormat="1" ht="72" x14ac:dyDescent="0.2">
      <c r="A2248" s="89">
        <v>40830</v>
      </c>
      <c r="B2248" s="151" t="s">
        <v>4296</v>
      </c>
      <c r="C2248" s="90" t="s">
        <v>3364</v>
      </c>
      <c r="D2248" s="90" t="s">
        <v>4264</v>
      </c>
      <c r="E2248" s="90" t="str">
        <f>VLOOKUP(B2248&amp;C2248,Divipola!$C$2:$F$1138,4,FALSE)</f>
        <v>19455</v>
      </c>
      <c r="F2248" s="4"/>
      <c r="G2248" s="101">
        <v>1</v>
      </c>
      <c r="H2248" s="101"/>
      <c r="I2248" s="101"/>
      <c r="J2248" s="101"/>
      <c r="K2248" s="101"/>
      <c r="L2248" s="101"/>
      <c r="M2248" s="101"/>
      <c r="N2248" s="101"/>
      <c r="O2248" s="101"/>
      <c r="P2248" s="101"/>
      <c r="Q2248" s="101"/>
      <c r="R2248" s="101"/>
      <c r="S2248" s="101"/>
      <c r="T2248" s="101"/>
      <c r="U2248" s="101"/>
      <c r="V2248" s="101"/>
      <c r="W2248" s="19"/>
      <c r="X2248" s="17"/>
      <c r="Y2248" s="5">
        <f t="shared" si="220"/>
        <v>0</v>
      </c>
      <c r="Z2248" s="5">
        <f t="shared" si="221"/>
        <v>0</v>
      </c>
      <c r="AA2248" s="5">
        <f t="shared" si="222"/>
        <v>0</v>
      </c>
      <c r="AB2248" s="5">
        <f t="shared" si="223"/>
        <v>0</v>
      </c>
      <c r="AC2248" s="5"/>
      <c r="AD2248" s="5">
        <v>0</v>
      </c>
      <c r="AE2248" s="5">
        <f t="shared" si="224"/>
        <v>0</v>
      </c>
      <c r="AF2248" s="70">
        <v>0</v>
      </c>
      <c r="AG2248" s="17"/>
      <c r="AH2248" s="18"/>
      <c r="AI2248" s="47" t="s">
        <v>4336</v>
      </c>
      <c r="AJ2248" s="73" t="s">
        <v>4337</v>
      </c>
      <c r="AK2248" s="45"/>
      <c r="AL2248" s="17"/>
      <c r="AM2248" s="121" t="s">
        <v>4692</v>
      </c>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39"/>
      <c r="CE2248" s="138"/>
      <c r="CF2248" s="139"/>
      <c r="CG2248" s="138"/>
      <c r="CH2248" s="139"/>
      <c r="CI2248" s="138"/>
      <c r="CJ2248" s="72"/>
      <c r="CK2248" s="139"/>
      <c r="CL2248" s="71"/>
      <c r="CM2248" s="139"/>
      <c r="CN2248" s="138"/>
      <c r="CO2248" s="138"/>
      <c r="CP2248" s="138"/>
      <c r="CQ2248" s="139"/>
      <c r="CR2248" s="138"/>
      <c r="CS2248" s="45"/>
      <c r="CT2248" s="138"/>
      <c r="CU2248" s="45"/>
      <c r="CV2248" s="99">
        <f t="shared" si="225"/>
        <v>0</v>
      </c>
      <c r="CW2248" s="139"/>
      <c r="CX2248" s="138"/>
      <c r="CY2248" s="138"/>
      <c r="CZ2248" s="138"/>
      <c r="DA2248" s="139"/>
      <c r="DB2248" s="138"/>
      <c r="DC2248" s="45"/>
      <c r="DD2248" s="138"/>
      <c r="DE2248" s="45"/>
      <c r="DF2248" s="46"/>
    </row>
    <row r="2249" spans="1:110" s="42" customFormat="1" ht="168" x14ac:dyDescent="0.2">
      <c r="A2249" s="89">
        <v>40830</v>
      </c>
      <c r="B2249" s="151" t="s">
        <v>4296</v>
      </c>
      <c r="C2249" s="90" t="s">
        <v>1516</v>
      </c>
      <c r="D2249" s="90" t="s">
        <v>4264</v>
      </c>
      <c r="E2249" s="90" t="str">
        <f>VLOOKUP(B2249&amp;C2249,Divipola!$C$2:$F$1138,4,FALSE)</f>
        <v>19760</v>
      </c>
      <c r="F2249" s="4"/>
      <c r="G2249" s="101">
        <v>1</v>
      </c>
      <c r="H2249" s="101">
        <v>3</v>
      </c>
      <c r="I2249" s="101"/>
      <c r="J2249" s="101">
        <f>110*4</f>
        <v>440</v>
      </c>
      <c r="K2249" s="101">
        <v>110</v>
      </c>
      <c r="L2249" s="101">
        <v>10</v>
      </c>
      <c r="M2249" s="101">
        <v>100</v>
      </c>
      <c r="N2249" s="101">
        <v>9</v>
      </c>
      <c r="O2249" s="101">
        <v>5</v>
      </c>
      <c r="P2249" s="101">
        <v>2</v>
      </c>
      <c r="Q2249" s="101">
        <v>5</v>
      </c>
      <c r="R2249" s="101">
        <v>2</v>
      </c>
      <c r="S2249" s="101"/>
      <c r="T2249" s="101"/>
      <c r="U2249" s="101"/>
      <c r="V2249" s="101"/>
      <c r="W2249" s="19"/>
      <c r="X2249" s="17"/>
      <c r="Y2249" s="5">
        <f t="shared" si="220"/>
        <v>17236000</v>
      </c>
      <c r="Z2249" s="5">
        <f t="shared" si="221"/>
        <v>13600000</v>
      </c>
      <c r="AA2249" s="5">
        <f t="shared" si="222"/>
        <v>45000000</v>
      </c>
      <c r="AB2249" s="5">
        <f t="shared" si="223"/>
        <v>0</v>
      </c>
      <c r="AC2249" s="5"/>
      <c r="AD2249" s="5">
        <v>0</v>
      </c>
      <c r="AE2249" s="5">
        <f t="shared" si="224"/>
        <v>75836000</v>
      </c>
      <c r="AF2249" s="70">
        <v>0</v>
      </c>
      <c r="AG2249" s="17"/>
      <c r="AH2249" s="18"/>
      <c r="AI2249" s="47" t="s">
        <v>4346</v>
      </c>
      <c r="AJ2249" s="73" t="s">
        <v>4347</v>
      </c>
      <c r="AK2249" s="45"/>
      <c r="AL2249" s="17"/>
      <c r="AM2249" s="121" t="s">
        <v>4756</v>
      </c>
      <c r="AN2249" s="19"/>
      <c r="AO2249" s="19"/>
      <c r="AP2249" s="19"/>
      <c r="AQ2249" s="19"/>
      <c r="AR2249" s="19"/>
      <c r="AS2249" s="19"/>
      <c r="AT2249" s="19"/>
      <c r="AU2249" s="19"/>
      <c r="AV2249" s="19"/>
      <c r="AW2249" s="19"/>
      <c r="AX2249" s="19"/>
      <c r="AY2249" s="19"/>
      <c r="AZ2249" s="19">
        <v>150</v>
      </c>
      <c r="BA2249" s="19">
        <f>150*56000</f>
        <v>8400000</v>
      </c>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39"/>
      <c r="CE2249" s="138"/>
      <c r="CF2249" s="139"/>
      <c r="CG2249" s="138"/>
      <c r="CH2249" s="139"/>
      <c r="CI2249" s="138"/>
      <c r="CJ2249" s="72">
        <v>150</v>
      </c>
      <c r="CK2249" s="139">
        <f>150*18000</f>
        <v>2700000</v>
      </c>
      <c r="CL2249" s="71"/>
      <c r="CM2249" s="139"/>
      <c r="CN2249" s="138"/>
      <c r="CO2249" s="138"/>
      <c r="CP2249" s="138">
        <v>80</v>
      </c>
      <c r="CQ2249" s="139">
        <f>80*37000</f>
        <v>2960000</v>
      </c>
      <c r="CR2249" s="138">
        <v>80</v>
      </c>
      <c r="CS2249" s="45">
        <f>80*39700</f>
        <v>3176000</v>
      </c>
      <c r="CT2249" s="138"/>
      <c r="CU2249" s="45"/>
      <c r="CV2249" s="99">
        <f t="shared" si="225"/>
        <v>17236000</v>
      </c>
      <c r="CW2249" s="139"/>
      <c r="CX2249" s="138"/>
      <c r="CY2249" s="138">
        <v>160</v>
      </c>
      <c r="CZ2249" s="138">
        <f>160*85000</f>
        <v>13600000</v>
      </c>
      <c r="DA2249" s="139"/>
      <c r="DB2249" s="138"/>
      <c r="DC2249" s="45">
        <v>2000</v>
      </c>
      <c r="DD2249" s="138">
        <f>2000*22500</f>
        <v>45000000</v>
      </c>
      <c r="DE2249" s="45"/>
      <c r="DF2249" s="46"/>
    </row>
    <row r="2250" spans="1:110" s="42" customFormat="1" ht="84" x14ac:dyDescent="0.2">
      <c r="A2250" s="89">
        <v>40830</v>
      </c>
      <c r="B2250" s="196" t="s">
        <v>2225</v>
      </c>
      <c r="C2250" s="197" t="s">
        <v>4359</v>
      </c>
      <c r="D2250" s="90" t="s">
        <v>4264</v>
      </c>
      <c r="E2250" s="90" t="str">
        <f>VLOOKUP(B2250&amp;C2250,Divipola!$C$2:$F$1138,4,FALSE)</f>
        <v>27025</v>
      </c>
      <c r="F2250" s="4"/>
      <c r="G2250" s="194"/>
      <c r="H2250" s="194"/>
      <c r="I2250" s="194"/>
      <c r="J2250" s="194">
        <v>21785</v>
      </c>
      <c r="K2250" s="194">
        <v>4635</v>
      </c>
      <c r="L2250" s="194"/>
      <c r="M2250" s="194">
        <v>4635</v>
      </c>
      <c r="N2250" s="194"/>
      <c r="O2250" s="194"/>
      <c r="P2250" s="194"/>
      <c r="Q2250" s="194"/>
      <c r="R2250" s="194"/>
      <c r="S2250" s="194"/>
      <c r="T2250" s="194"/>
      <c r="U2250" s="194"/>
      <c r="V2250" s="194"/>
      <c r="W2250" s="19"/>
      <c r="X2250" s="17"/>
      <c r="Y2250" s="5">
        <f t="shared" si="220"/>
        <v>58000000</v>
      </c>
      <c r="Z2250" s="5">
        <f t="shared" si="221"/>
        <v>402550010</v>
      </c>
      <c r="AA2250" s="5">
        <f t="shared" si="222"/>
        <v>0</v>
      </c>
      <c r="AB2250" s="5">
        <f t="shared" si="223"/>
        <v>0</v>
      </c>
      <c r="AC2250" s="5"/>
      <c r="AD2250" s="5">
        <v>0</v>
      </c>
      <c r="AE2250" s="5">
        <f t="shared" si="224"/>
        <v>460550010</v>
      </c>
      <c r="AF2250" s="70">
        <v>0</v>
      </c>
      <c r="AG2250" s="17"/>
      <c r="AH2250" s="18"/>
      <c r="AI2250" s="109" t="s">
        <v>4346</v>
      </c>
      <c r="AJ2250" s="110" t="s">
        <v>4347</v>
      </c>
      <c r="AK2250" s="45"/>
      <c r="AL2250" s="17"/>
      <c r="AM2250" s="195" t="s">
        <v>4979</v>
      </c>
      <c r="AN2250" s="19"/>
      <c r="AO2250" s="19"/>
      <c r="AP2250" s="19"/>
      <c r="AQ2250" s="19"/>
      <c r="AR2250" s="19"/>
      <c r="AS2250" s="19"/>
      <c r="AT2250" s="19"/>
      <c r="AU2250" s="19"/>
      <c r="AV2250" s="19"/>
      <c r="AW2250" s="19"/>
      <c r="AX2250" s="19"/>
      <c r="AY2250" s="19"/>
      <c r="AZ2250" s="19">
        <v>1000</v>
      </c>
      <c r="BA2250" s="19">
        <f>1000*58000</f>
        <v>58000000</v>
      </c>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39"/>
      <c r="CE2250" s="138"/>
      <c r="CF2250" s="139"/>
      <c r="CG2250" s="138"/>
      <c r="CH2250" s="139"/>
      <c r="CI2250" s="138"/>
      <c r="CJ2250" s="72"/>
      <c r="CK2250" s="139"/>
      <c r="CL2250" s="71"/>
      <c r="CM2250" s="139"/>
      <c r="CN2250" s="138"/>
      <c r="CO2250" s="138"/>
      <c r="CP2250" s="138"/>
      <c r="CQ2250" s="139"/>
      <c r="CR2250" s="138"/>
      <c r="CS2250" s="45"/>
      <c r="CT2250" s="138"/>
      <c r="CU2250" s="45"/>
      <c r="CV2250" s="99">
        <f t="shared" si="225"/>
        <v>58000000</v>
      </c>
      <c r="CW2250" s="139"/>
      <c r="CX2250" s="138"/>
      <c r="CY2250" s="138">
        <f>1150+2500+1000</f>
        <v>4650</v>
      </c>
      <c r="CZ2250" s="138">
        <f>1150*87000+1200*87000+1300*87000+1000*85000.01</f>
        <v>402550010</v>
      </c>
      <c r="DA2250" s="139"/>
      <c r="DB2250" s="138"/>
      <c r="DC2250" s="45"/>
      <c r="DD2250" s="138"/>
      <c r="DE2250" s="45"/>
      <c r="DF2250" s="46"/>
    </row>
    <row r="2251" spans="1:110" s="42" customFormat="1" ht="72" x14ac:dyDescent="0.2">
      <c r="A2251" s="89">
        <v>40830</v>
      </c>
      <c r="B2251" s="196" t="s">
        <v>2225</v>
      </c>
      <c r="C2251" s="197" t="s">
        <v>3381</v>
      </c>
      <c r="D2251" s="90" t="s">
        <v>4264</v>
      </c>
      <c r="E2251" s="90" t="str">
        <f>VLOOKUP(B2251&amp;C2251,Divipola!$C$2:$F$1138,4,FALSE)</f>
        <v>27615</v>
      </c>
      <c r="F2251" s="4"/>
      <c r="G2251" s="194"/>
      <c r="H2251" s="194"/>
      <c r="I2251" s="194"/>
      <c r="J2251" s="194">
        <v>1333</v>
      </c>
      <c r="K2251" s="194">
        <v>386</v>
      </c>
      <c r="L2251" s="194"/>
      <c r="M2251" s="194">
        <v>386</v>
      </c>
      <c r="N2251" s="194"/>
      <c r="O2251" s="194"/>
      <c r="P2251" s="194"/>
      <c r="Q2251" s="194"/>
      <c r="R2251" s="194"/>
      <c r="S2251" s="194"/>
      <c r="T2251" s="194"/>
      <c r="U2251" s="194"/>
      <c r="V2251" s="194"/>
      <c r="W2251" s="19"/>
      <c r="X2251" s="17"/>
      <c r="Y2251" s="5">
        <f t="shared" si="220"/>
        <v>80998972</v>
      </c>
      <c r="Z2251" s="5">
        <f t="shared" si="221"/>
        <v>43500000</v>
      </c>
      <c r="AA2251" s="5">
        <f t="shared" si="222"/>
        <v>0</v>
      </c>
      <c r="AB2251" s="5">
        <f t="shared" si="223"/>
        <v>0</v>
      </c>
      <c r="AC2251" s="5"/>
      <c r="AD2251" s="5">
        <v>0</v>
      </c>
      <c r="AE2251" s="5">
        <f t="shared" si="224"/>
        <v>124498972</v>
      </c>
      <c r="AF2251" s="70">
        <v>0</v>
      </c>
      <c r="AG2251" s="17"/>
      <c r="AH2251" s="18"/>
      <c r="AI2251" s="109" t="s">
        <v>4346</v>
      </c>
      <c r="AJ2251" s="110" t="s">
        <v>4347</v>
      </c>
      <c r="AK2251" s="45"/>
      <c r="AL2251" s="17"/>
      <c r="AM2251" s="195" t="s">
        <v>4681</v>
      </c>
      <c r="AN2251" s="19"/>
      <c r="AO2251" s="19"/>
      <c r="AP2251" s="19"/>
      <c r="AQ2251" s="19"/>
      <c r="AR2251" s="19"/>
      <c r="AS2251" s="19"/>
      <c r="AT2251" s="19"/>
      <c r="AU2251" s="19"/>
      <c r="AV2251" s="19"/>
      <c r="AW2251" s="19"/>
      <c r="AX2251" s="19"/>
      <c r="AY2251" s="19"/>
      <c r="AZ2251" s="19">
        <v>1000</v>
      </c>
      <c r="BA2251" s="19">
        <f>1000*55999</f>
        <v>55999000</v>
      </c>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v>50</v>
      </c>
      <c r="CA2251" s="19">
        <f>50*499999.44</f>
        <v>24999972</v>
      </c>
      <c r="CB2251" s="19"/>
      <c r="CC2251" s="19"/>
      <c r="CD2251" s="139"/>
      <c r="CE2251" s="138"/>
      <c r="CF2251" s="139"/>
      <c r="CG2251" s="138"/>
      <c r="CH2251" s="139"/>
      <c r="CI2251" s="138"/>
      <c r="CJ2251" s="72"/>
      <c r="CK2251" s="139"/>
      <c r="CL2251" s="71"/>
      <c r="CM2251" s="139"/>
      <c r="CN2251" s="138"/>
      <c r="CO2251" s="138"/>
      <c r="CP2251" s="138"/>
      <c r="CQ2251" s="139"/>
      <c r="CR2251" s="138"/>
      <c r="CS2251" s="45"/>
      <c r="CT2251" s="138"/>
      <c r="CU2251" s="45"/>
      <c r="CV2251" s="99">
        <f t="shared" si="225"/>
        <v>80998972</v>
      </c>
      <c r="CW2251" s="139"/>
      <c r="CX2251" s="138"/>
      <c r="CY2251" s="138">
        <v>500</v>
      </c>
      <c r="CZ2251" s="138">
        <f>500*87000</f>
        <v>43500000</v>
      </c>
      <c r="DA2251" s="139"/>
      <c r="DB2251" s="138"/>
      <c r="DC2251" s="45"/>
      <c r="DD2251" s="138"/>
      <c r="DE2251" s="45"/>
      <c r="DF2251" s="46"/>
    </row>
    <row r="2252" spans="1:110" s="42" customFormat="1" ht="48" x14ac:dyDescent="0.2">
      <c r="A2252" s="89">
        <v>40830</v>
      </c>
      <c r="B2252" s="151" t="s">
        <v>4344</v>
      </c>
      <c r="C2252" s="90" t="s">
        <v>4374</v>
      </c>
      <c r="D2252" s="90" t="s">
        <v>4264</v>
      </c>
      <c r="E2252" s="90" t="str">
        <f>VLOOKUP(B2252&amp;C2252,Divipola!$C$2:$F$1138,4,FALSE)</f>
        <v>25120</v>
      </c>
      <c r="F2252" s="4"/>
      <c r="G2252" s="101"/>
      <c r="H2252" s="101"/>
      <c r="I2252" s="101"/>
      <c r="J2252" s="101">
        <v>63</v>
      </c>
      <c r="K2252" s="101">
        <v>12</v>
      </c>
      <c r="L2252" s="101"/>
      <c r="M2252" s="101">
        <v>12</v>
      </c>
      <c r="N2252" s="101"/>
      <c r="O2252" s="101"/>
      <c r="P2252" s="101"/>
      <c r="Q2252" s="101"/>
      <c r="R2252" s="101">
        <v>1</v>
      </c>
      <c r="S2252" s="101"/>
      <c r="T2252" s="101"/>
      <c r="U2252" s="101"/>
      <c r="V2252" s="101"/>
      <c r="W2252" s="19"/>
      <c r="X2252" s="17"/>
      <c r="Y2252" s="5">
        <f t="shared" si="220"/>
        <v>0</v>
      </c>
      <c r="Z2252" s="5">
        <f t="shared" si="221"/>
        <v>0</v>
      </c>
      <c r="AA2252" s="5">
        <f t="shared" si="222"/>
        <v>0</v>
      </c>
      <c r="AB2252" s="5">
        <f t="shared" si="223"/>
        <v>0</v>
      </c>
      <c r="AC2252" s="5"/>
      <c r="AD2252" s="5">
        <v>0</v>
      </c>
      <c r="AE2252" s="5">
        <f t="shared" si="224"/>
        <v>0</v>
      </c>
      <c r="AF2252" s="70">
        <v>0</v>
      </c>
      <c r="AG2252" s="17"/>
      <c r="AH2252" s="18"/>
      <c r="AI2252" s="47" t="s">
        <v>4336</v>
      </c>
      <c r="AJ2252" s="73" t="s">
        <v>4337</v>
      </c>
      <c r="AK2252" s="45"/>
      <c r="AL2252" s="17"/>
      <c r="AM2252" s="121" t="s">
        <v>4704</v>
      </c>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39"/>
      <c r="CE2252" s="138"/>
      <c r="CF2252" s="139"/>
      <c r="CG2252" s="138"/>
      <c r="CH2252" s="139"/>
      <c r="CI2252" s="138"/>
      <c r="CJ2252" s="72"/>
      <c r="CK2252" s="139"/>
      <c r="CL2252" s="71"/>
      <c r="CM2252" s="139"/>
      <c r="CN2252" s="138"/>
      <c r="CO2252" s="138"/>
      <c r="CP2252" s="138"/>
      <c r="CQ2252" s="139"/>
      <c r="CR2252" s="138"/>
      <c r="CS2252" s="45"/>
      <c r="CT2252" s="138"/>
      <c r="CU2252" s="45"/>
      <c r="CV2252" s="99">
        <f t="shared" si="225"/>
        <v>0</v>
      </c>
      <c r="CW2252" s="139"/>
      <c r="CX2252" s="138"/>
      <c r="CY2252" s="138"/>
      <c r="CZ2252" s="138"/>
      <c r="DA2252" s="139"/>
      <c r="DB2252" s="138"/>
      <c r="DC2252" s="45"/>
      <c r="DD2252" s="138"/>
      <c r="DE2252" s="45"/>
      <c r="DF2252" s="46"/>
    </row>
    <row r="2253" spans="1:110" s="42" customFormat="1" ht="60" x14ac:dyDescent="0.2">
      <c r="A2253" s="89">
        <v>40830</v>
      </c>
      <c r="B2253" s="151" t="s">
        <v>4344</v>
      </c>
      <c r="C2253" s="90" t="s">
        <v>1688</v>
      </c>
      <c r="D2253" s="90" t="s">
        <v>4264</v>
      </c>
      <c r="E2253" s="90" t="str">
        <f>VLOOKUP(B2253&amp;C2253,Divipola!$C$2:$F$1138,4,FALSE)</f>
        <v>25260</v>
      </c>
      <c r="F2253" s="4"/>
      <c r="G2253" s="194"/>
      <c r="H2253" s="194"/>
      <c r="I2253" s="194"/>
      <c r="J2253" s="194">
        <v>161</v>
      </c>
      <c r="K2253" s="194">
        <v>39</v>
      </c>
      <c r="L2253" s="194"/>
      <c r="M2253" s="194">
        <v>39</v>
      </c>
      <c r="N2253" s="194"/>
      <c r="O2253" s="194"/>
      <c r="P2253" s="194"/>
      <c r="Q2253" s="194"/>
      <c r="R2253" s="194"/>
      <c r="S2253" s="194"/>
      <c r="T2253" s="194"/>
      <c r="U2253" s="194"/>
      <c r="V2253" s="194"/>
      <c r="W2253" s="19"/>
      <c r="X2253" s="17"/>
      <c r="Y2253" s="5">
        <f t="shared" si="220"/>
        <v>0</v>
      </c>
      <c r="Z2253" s="5">
        <f t="shared" si="221"/>
        <v>0</v>
      </c>
      <c r="AA2253" s="5">
        <f t="shared" si="222"/>
        <v>0</v>
      </c>
      <c r="AB2253" s="5">
        <f t="shared" si="223"/>
        <v>0</v>
      </c>
      <c r="AC2253" s="5"/>
      <c r="AD2253" s="5">
        <v>0</v>
      </c>
      <c r="AE2253" s="5">
        <f t="shared" si="224"/>
        <v>0</v>
      </c>
      <c r="AF2253" s="70">
        <v>0</v>
      </c>
      <c r="AG2253" s="17"/>
      <c r="AH2253" s="18"/>
      <c r="AI2253" s="47" t="s">
        <v>4336</v>
      </c>
      <c r="AJ2253" s="73" t="s">
        <v>4337</v>
      </c>
      <c r="AK2253" s="45"/>
      <c r="AL2253" s="17"/>
      <c r="AM2253" s="195" t="s">
        <v>4663</v>
      </c>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39"/>
      <c r="CE2253" s="138"/>
      <c r="CF2253" s="139"/>
      <c r="CG2253" s="138"/>
      <c r="CH2253" s="139"/>
      <c r="CI2253" s="138"/>
      <c r="CJ2253" s="72"/>
      <c r="CK2253" s="139"/>
      <c r="CL2253" s="71"/>
      <c r="CM2253" s="139"/>
      <c r="CN2253" s="138"/>
      <c r="CO2253" s="138"/>
      <c r="CP2253" s="138"/>
      <c r="CQ2253" s="139"/>
      <c r="CR2253" s="138"/>
      <c r="CS2253" s="45"/>
      <c r="CT2253" s="138"/>
      <c r="CU2253" s="45"/>
      <c r="CV2253" s="99">
        <f t="shared" si="225"/>
        <v>0</v>
      </c>
      <c r="CW2253" s="139"/>
      <c r="CX2253" s="138"/>
      <c r="CY2253" s="138"/>
      <c r="CZ2253" s="138"/>
      <c r="DA2253" s="139"/>
      <c r="DB2253" s="138"/>
      <c r="DC2253" s="45"/>
      <c r="DD2253" s="138"/>
      <c r="DE2253" s="45"/>
      <c r="DF2253" s="46"/>
    </row>
    <row r="2254" spans="1:110" s="42" customFormat="1" ht="36" x14ac:dyDescent="0.2">
      <c r="A2254" s="89">
        <v>40830</v>
      </c>
      <c r="B2254" s="151" t="s">
        <v>4344</v>
      </c>
      <c r="C2254" s="90" t="s">
        <v>3473</v>
      </c>
      <c r="D2254" s="90" t="s">
        <v>3346</v>
      </c>
      <c r="E2254" s="90" t="str">
        <f>VLOOKUP(B2254&amp;C2254,Divipola!$C$2:$F$1138,4,FALSE)</f>
        <v>25878</v>
      </c>
      <c r="F2254" s="4"/>
      <c r="G2254" s="101"/>
      <c r="H2254" s="101"/>
      <c r="I2254" s="101"/>
      <c r="J2254" s="101">
        <v>111</v>
      </c>
      <c r="K2254" s="101">
        <v>27</v>
      </c>
      <c r="L2254" s="101"/>
      <c r="M2254" s="101">
        <v>27</v>
      </c>
      <c r="N2254" s="101"/>
      <c r="O2254" s="101"/>
      <c r="P2254" s="101"/>
      <c r="Q2254" s="101"/>
      <c r="R2254" s="101"/>
      <c r="S2254" s="101"/>
      <c r="T2254" s="101"/>
      <c r="U2254" s="101"/>
      <c r="V2254" s="101"/>
      <c r="W2254" s="19"/>
      <c r="X2254" s="17"/>
      <c r="Y2254" s="5">
        <f t="shared" si="220"/>
        <v>0</v>
      </c>
      <c r="Z2254" s="5">
        <f t="shared" si="221"/>
        <v>0</v>
      </c>
      <c r="AA2254" s="5">
        <f t="shared" si="222"/>
        <v>0</v>
      </c>
      <c r="AB2254" s="5">
        <f t="shared" si="223"/>
        <v>0</v>
      </c>
      <c r="AC2254" s="5"/>
      <c r="AD2254" s="5">
        <v>0</v>
      </c>
      <c r="AE2254" s="5">
        <f t="shared" si="224"/>
        <v>0</v>
      </c>
      <c r="AF2254" s="70">
        <v>0</v>
      </c>
      <c r="AG2254" s="17"/>
      <c r="AH2254" s="18"/>
      <c r="AI2254" s="47" t="s">
        <v>4336</v>
      </c>
      <c r="AJ2254" s="73" t="s">
        <v>4337</v>
      </c>
      <c r="AK2254" s="45"/>
      <c r="AL2254" s="17"/>
      <c r="AM2254" s="121" t="s">
        <v>4705</v>
      </c>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39"/>
      <c r="CE2254" s="138"/>
      <c r="CF2254" s="139"/>
      <c r="CG2254" s="138"/>
      <c r="CH2254" s="139"/>
      <c r="CI2254" s="138"/>
      <c r="CJ2254" s="72"/>
      <c r="CK2254" s="139"/>
      <c r="CL2254" s="71"/>
      <c r="CM2254" s="139"/>
      <c r="CN2254" s="138"/>
      <c r="CO2254" s="138"/>
      <c r="CP2254" s="138"/>
      <c r="CQ2254" s="139"/>
      <c r="CR2254" s="138"/>
      <c r="CS2254" s="45"/>
      <c r="CT2254" s="138"/>
      <c r="CU2254" s="45"/>
      <c r="CV2254" s="99">
        <f t="shared" si="225"/>
        <v>0</v>
      </c>
      <c r="CW2254" s="139"/>
      <c r="CX2254" s="138"/>
      <c r="CY2254" s="138"/>
      <c r="CZ2254" s="138"/>
      <c r="DA2254" s="139"/>
      <c r="DB2254" s="138"/>
      <c r="DC2254" s="45"/>
      <c r="DD2254" s="138"/>
      <c r="DE2254" s="45"/>
      <c r="DF2254" s="46"/>
    </row>
    <row r="2255" spans="1:110" s="42" customFormat="1" ht="48" x14ac:dyDescent="0.2">
      <c r="A2255" s="89">
        <v>40830</v>
      </c>
      <c r="B2255" s="151" t="s">
        <v>4219</v>
      </c>
      <c r="C2255" s="90" t="s">
        <v>796</v>
      </c>
      <c r="D2255" s="90" t="s">
        <v>3346</v>
      </c>
      <c r="E2255" s="90" t="str">
        <f>VLOOKUP(B2255&amp;C2255,Divipola!$C$2:$F$1138,4,FALSE)</f>
        <v>41006</v>
      </c>
      <c r="F2255" s="4"/>
      <c r="G2255" s="194"/>
      <c r="H2255" s="194"/>
      <c r="I2255" s="194"/>
      <c r="J2255" s="194">
        <v>52</v>
      </c>
      <c r="K2255" s="194">
        <v>12</v>
      </c>
      <c r="L2255" s="194"/>
      <c r="M2255" s="194">
        <v>12</v>
      </c>
      <c r="N2255" s="194"/>
      <c r="O2255" s="194"/>
      <c r="P2255" s="194"/>
      <c r="Q2255" s="194"/>
      <c r="R2255" s="194"/>
      <c r="S2255" s="194"/>
      <c r="T2255" s="194"/>
      <c r="U2255" s="194"/>
      <c r="V2255" s="194"/>
      <c r="W2255" s="19"/>
      <c r="X2255" s="17"/>
      <c r="Y2255" s="5">
        <f t="shared" si="220"/>
        <v>0</v>
      </c>
      <c r="Z2255" s="5">
        <f t="shared" si="221"/>
        <v>0</v>
      </c>
      <c r="AA2255" s="5">
        <f t="shared" si="222"/>
        <v>0</v>
      </c>
      <c r="AB2255" s="5">
        <f t="shared" si="223"/>
        <v>0</v>
      </c>
      <c r="AC2255" s="5"/>
      <c r="AD2255" s="5">
        <v>0</v>
      </c>
      <c r="AE2255" s="5">
        <f t="shared" si="224"/>
        <v>0</v>
      </c>
      <c r="AF2255" s="70">
        <v>0</v>
      </c>
      <c r="AG2255" s="17"/>
      <c r="AH2255" s="18"/>
      <c r="AI2255" s="47" t="s">
        <v>4336</v>
      </c>
      <c r="AJ2255" s="73" t="s">
        <v>4337</v>
      </c>
      <c r="AK2255" s="45"/>
      <c r="AL2255" s="17"/>
      <c r="AM2255" s="195" t="s">
        <v>4671</v>
      </c>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39"/>
      <c r="CE2255" s="138"/>
      <c r="CF2255" s="139"/>
      <c r="CG2255" s="138"/>
      <c r="CH2255" s="139"/>
      <c r="CI2255" s="138"/>
      <c r="CJ2255" s="72"/>
      <c r="CK2255" s="139"/>
      <c r="CL2255" s="71"/>
      <c r="CM2255" s="139"/>
      <c r="CN2255" s="138"/>
      <c r="CO2255" s="138"/>
      <c r="CP2255" s="138"/>
      <c r="CQ2255" s="139"/>
      <c r="CR2255" s="138"/>
      <c r="CS2255" s="45"/>
      <c r="CT2255" s="138"/>
      <c r="CU2255" s="45"/>
      <c r="CV2255" s="99">
        <f t="shared" si="225"/>
        <v>0</v>
      </c>
      <c r="CW2255" s="139"/>
      <c r="CX2255" s="138"/>
      <c r="CY2255" s="138"/>
      <c r="CZ2255" s="138"/>
      <c r="DA2255" s="139"/>
      <c r="DB2255" s="138"/>
      <c r="DC2255" s="45"/>
      <c r="DD2255" s="138"/>
      <c r="DE2255" s="45"/>
      <c r="DF2255" s="46"/>
    </row>
    <row r="2256" spans="1:110" s="42" customFormat="1" ht="72" x14ac:dyDescent="0.2">
      <c r="A2256" s="89">
        <v>40830</v>
      </c>
      <c r="B2256" s="151" t="s">
        <v>4350</v>
      </c>
      <c r="C2256" s="90" t="s">
        <v>4351</v>
      </c>
      <c r="D2256" s="90" t="s">
        <v>4264</v>
      </c>
      <c r="E2256" s="90" t="str">
        <f>VLOOKUP(B2256&amp;C2256,Divipola!$C$2:$F$1138,4,FALSE)</f>
        <v>63001</v>
      </c>
      <c r="F2256" s="4"/>
      <c r="G2256" s="194"/>
      <c r="H2256" s="194"/>
      <c r="I2256" s="194"/>
      <c r="J2256" s="194">
        <v>75</v>
      </c>
      <c r="K2256" s="194">
        <v>15</v>
      </c>
      <c r="L2256" s="194"/>
      <c r="M2256" s="194">
        <v>15</v>
      </c>
      <c r="N2256" s="194"/>
      <c r="O2256" s="194"/>
      <c r="P2256" s="194"/>
      <c r="Q2256" s="194"/>
      <c r="R2256" s="194"/>
      <c r="S2256" s="194"/>
      <c r="T2256" s="194"/>
      <c r="U2256" s="194"/>
      <c r="V2256" s="194"/>
      <c r="W2256" s="19"/>
      <c r="X2256" s="17"/>
      <c r="Y2256" s="5">
        <f t="shared" si="220"/>
        <v>0</v>
      </c>
      <c r="Z2256" s="5">
        <f t="shared" si="221"/>
        <v>0</v>
      </c>
      <c r="AA2256" s="5">
        <f t="shared" si="222"/>
        <v>0</v>
      </c>
      <c r="AB2256" s="5">
        <f t="shared" si="223"/>
        <v>0</v>
      </c>
      <c r="AC2256" s="5"/>
      <c r="AD2256" s="5">
        <v>0</v>
      </c>
      <c r="AE2256" s="5">
        <f t="shared" si="224"/>
        <v>0</v>
      </c>
      <c r="AF2256" s="70">
        <v>0</v>
      </c>
      <c r="AG2256" s="17"/>
      <c r="AH2256" s="18"/>
      <c r="AI2256" s="47" t="s">
        <v>4336</v>
      </c>
      <c r="AJ2256" s="73" t="s">
        <v>4337</v>
      </c>
      <c r="AK2256" s="45"/>
      <c r="AL2256" s="17"/>
      <c r="AM2256" s="195" t="s">
        <v>4674</v>
      </c>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39"/>
      <c r="CE2256" s="138"/>
      <c r="CF2256" s="139"/>
      <c r="CG2256" s="138"/>
      <c r="CH2256" s="139"/>
      <c r="CI2256" s="138"/>
      <c r="CJ2256" s="72"/>
      <c r="CK2256" s="139"/>
      <c r="CL2256" s="71"/>
      <c r="CM2256" s="139"/>
      <c r="CN2256" s="138"/>
      <c r="CO2256" s="138"/>
      <c r="CP2256" s="138"/>
      <c r="CQ2256" s="139"/>
      <c r="CR2256" s="138"/>
      <c r="CS2256" s="45"/>
      <c r="CT2256" s="138"/>
      <c r="CU2256" s="45"/>
      <c r="CV2256" s="99">
        <f t="shared" si="225"/>
        <v>0</v>
      </c>
      <c r="CW2256" s="139"/>
      <c r="CX2256" s="138"/>
      <c r="CY2256" s="138"/>
      <c r="CZ2256" s="138"/>
      <c r="DA2256" s="139"/>
      <c r="DB2256" s="138"/>
      <c r="DC2256" s="45"/>
      <c r="DD2256" s="138"/>
      <c r="DE2256" s="45"/>
      <c r="DF2256" s="46"/>
    </row>
    <row r="2257" spans="1:110" s="42" customFormat="1" ht="72" x14ac:dyDescent="0.2">
      <c r="A2257" s="89">
        <v>40830</v>
      </c>
      <c r="B2257" s="151" t="s">
        <v>4350</v>
      </c>
      <c r="C2257" s="90" t="s">
        <v>3535</v>
      </c>
      <c r="D2257" s="90" t="s">
        <v>4264</v>
      </c>
      <c r="E2257" s="90" t="str">
        <f>VLOOKUP(B2257&amp;C2257,Divipola!$C$2:$F$1138,4,FALSE)</f>
        <v>63130</v>
      </c>
      <c r="F2257" s="4"/>
      <c r="G2257" s="194"/>
      <c r="H2257" s="194"/>
      <c r="I2257" s="194"/>
      <c r="J2257" s="194">
        <v>75</v>
      </c>
      <c r="K2257" s="194">
        <v>15</v>
      </c>
      <c r="L2257" s="194"/>
      <c r="M2257" s="194">
        <v>15</v>
      </c>
      <c r="N2257" s="194"/>
      <c r="O2257" s="194"/>
      <c r="P2257" s="194"/>
      <c r="Q2257" s="194"/>
      <c r="R2257" s="194"/>
      <c r="S2257" s="194"/>
      <c r="T2257" s="194"/>
      <c r="U2257" s="194"/>
      <c r="V2257" s="194"/>
      <c r="W2257" s="19"/>
      <c r="X2257" s="17"/>
      <c r="Y2257" s="5">
        <f t="shared" si="220"/>
        <v>0</v>
      </c>
      <c r="Z2257" s="5">
        <f t="shared" si="221"/>
        <v>0</v>
      </c>
      <c r="AA2257" s="5">
        <f t="shared" si="222"/>
        <v>0</v>
      </c>
      <c r="AB2257" s="5">
        <f t="shared" si="223"/>
        <v>0</v>
      </c>
      <c r="AC2257" s="5"/>
      <c r="AD2257" s="5">
        <v>0</v>
      </c>
      <c r="AE2257" s="5">
        <f t="shared" si="224"/>
        <v>0</v>
      </c>
      <c r="AF2257" s="70">
        <v>0</v>
      </c>
      <c r="AG2257" s="17"/>
      <c r="AH2257" s="18"/>
      <c r="AI2257" s="47" t="s">
        <v>4336</v>
      </c>
      <c r="AJ2257" s="73" t="s">
        <v>4337</v>
      </c>
      <c r="AK2257" s="45"/>
      <c r="AL2257" s="17"/>
      <c r="AM2257" s="195" t="s">
        <v>4673</v>
      </c>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39"/>
      <c r="CE2257" s="138"/>
      <c r="CF2257" s="139"/>
      <c r="CG2257" s="138"/>
      <c r="CH2257" s="139"/>
      <c r="CI2257" s="138"/>
      <c r="CJ2257" s="72"/>
      <c r="CK2257" s="139"/>
      <c r="CL2257" s="71"/>
      <c r="CM2257" s="139"/>
      <c r="CN2257" s="138"/>
      <c r="CO2257" s="138"/>
      <c r="CP2257" s="138"/>
      <c r="CQ2257" s="139"/>
      <c r="CR2257" s="138"/>
      <c r="CS2257" s="45"/>
      <c r="CT2257" s="138"/>
      <c r="CU2257" s="45"/>
      <c r="CV2257" s="99">
        <f t="shared" si="225"/>
        <v>0</v>
      </c>
      <c r="CW2257" s="139"/>
      <c r="CX2257" s="138"/>
      <c r="CY2257" s="138"/>
      <c r="CZ2257" s="138"/>
      <c r="DA2257" s="139"/>
      <c r="DB2257" s="138"/>
      <c r="DC2257" s="45"/>
      <c r="DD2257" s="138"/>
      <c r="DE2257" s="45"/>
      <c r="DF2257" s="46"/>
    </row>
    <row r="2258" spans="1:110" s="42" customFormat="1" ht="60" x14ac:dyDescent="0.2">
      <c r="A2258" s="89">
        <v>40830</v>
      </c>
      <c r="B2258" s="151" t="s">
        <v>4350</v>
      </c>
      <c r="C2258" s="90" t="s">
        <v>3349</v>
      </c>
      <c r="D2258" s="90" t="s">
        <v>4264</v>
      </c>
      <c r="E2258" s="90" t="str">
        <f>VLOOKUP(B2258&amp;C2258,Divipola!$C$2:$F$1138,4,FALSE)</f>
        <v>63190</v>
      </c>
      <c r="F2258" s="4"/>
      <c r="G2258" s="194"/>
      <c r="H2258" s="194"/>
      <c r="I2258" s="194"/>
      <c r="J2258" s="194">
        <v>10</v>
      </c>
      <c r="K2258" s="194">
        <v>2</v>
      </c>
      <c r="L2258" s="194"/>
      <c r="M2258" s="194">
        <v>2</v>
      </c>
      <c r="N2258" s="194"/>
      <c r="O2258" s="194"/>
      <c r="P2258" s="194"/>
      <c r="Q2258" s="194"/>
      <c r="R2258" s="194"/>
      <c r="S2258" s="194"/>
      <c r="T2258" s="194"/>
      <c r="U2258" s="194"/>
      <c r="V2258" s="194"/>
      <c r="W2258" s="19"/>
      <c r="X2258" s="17"/>
      <c r="Y2258" s="5">
        <f t="shared" si="220"/>
        <v>0</v>
      </c>
      <c r="Z2258" s="5">
        <f t="shared" si="221"/>
        <v>0</v>
      </c>
      <c r="AA2258" s="5">
        <f t="shared" si="222"/>
        <v>0</v>
      </c>
      <c r="AB2258" s="5">
        <f t="shared" si="223"/>
        <v>0</v>
      </c>
      <c r="AC2258" s="5"/>
      <c r="AD2258" s="5">
        <v>0</v>
      </c>
      <c r="AE2258" s="5">
        <f t="shared" si="224"/>
        <v>0</v>
      </c>
      <c r="AF2258" s="70">
        <v>0</v>
      </c>
      <c r="AG2258" s="17"/>
      <c r="AH2258" s="18"/>
      <c r="AI2258" s="47" t="s">
        <v>4336</v>
      </c>
      <c r="AJ2258" s="73" t="s">
        <v>4337</v>
      </c>
      <c r="AK2258" s="45"/>
      <c r="AL2258" s="17"/>
      <c r="AM2258" s="195" t="s">
        <v>4670</v>
      </c>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39"/>
      <c r="CE2258" s="138"/>
      <c r="CF2258" s="139"/>
      <c r="CG2258" s="138"/>
      <c r="CH2258" s="139"/>
      <c r="CI2258" s="138"/>
      <c r="CJ2258" s="72"/>
      <c r="CK2258" s="139"/>
      <c r="CL2258" s="71"/>
      <c r="CM2258" s="139"/>
      <c r="CN2258" s="138"/>
      <c r="CO2258" s="138"/>
      <c r="CP2258" s="138"/>
      <c r="CQ2258" s="139"/>
      <c r="CR2258" s="138"/>
      <c r="CS2258" s="45"/>
      <c r="CT2258" s="138"/>
      <c r="CU2258" s="45"/>
      <c r="CV2258" s="99">
        <f t="shared" si="225"/>
        <v>0</v>
      </c>
      <c r="CW2258" s="139"/>
      <c r="CX2258" s="138"/>
      <c r="CY2258" s="138"/>
      <c r="CZ2258" s="138"/>
      <c r="DA2258" s="139"/>
      <c r="DB2258" s="138"/>
      <c r="DC2258" s="45"/>
      <c r="DD2258" s="138"/>
      <c r="DE2258" s="45"/>
      <c r="DF2258" s="46"/>
    </row>
    <row r="2259" spans="1:110" s="42" customFormat="1" ht="72" x14ac:dyDescent="0.2">
      <c r="A2259" s="89">
        <v>40830</v>
      </c>
      <c r="B2259" s="151" t="s">
        <v>4350</v>
      </c>
      <c r="C2259" s="90" t="s">
        <v>4252</v>
      </c>
      <c r="D2259" s="90" t="s">
        <v>4264</v>
      </c>
      <c r="E2259" s="90" t="str">
        <f>VLOOKUP(B2259&amp;C2259,Divipola!$C$2:$F$1138,4,FALSE)</f>
        <v>63690</v>
      </c>
      <c r="F2259" s="4"/>
      <c r="G2259" s="194"/>
      <c r="H2259" s="194"/>
      <c r="I2259" s="194"/>
      <c r="J2259" s="194">
        <v>175</v>
      </c>
      <c r="K2259" s="194">
        <v>35</v>
      </c>
      <c r="L2259" s="194"/>
      <c r="M2259" s="194">
        <v>35</v>
      </c>
      <c r="N2259" s="194"/>
      <c r="O2259" s="194"/>
      <c r="P2259" s="194"/>
      <c r="Q2259" s="194"/>
      <c r="R2259" s="194"/>
      <c r="S2259" s="194"/>
      <c r="T2259" s="194"/>
      <c r="U2259" s="194"/>
      <c r="V2259" s="194"/>
      <c r="W2259" s="19"/>
      <c r="X2259" s="17"/>
      <c r="Y2259" s="5">
        <f t="shared" si="220"/>
        <v>0</v>
      </c>
      <c r="Z2259" s="5">
        <f t="shared" si="221"/>
        <v>0</v>
      </c>
      <c r="AA2259" s="5">
        <f t="shared" si="222"/>
        <v>0</v>
      </c>
      <c r="AB2259" s="5">
        <f t="shared" si="223"/>
        <v>0</v>
      </c>
      <c r="AC2259" s="5"/>
      <c r="AD2259" s="5">
        <v>0</v>
      </c>
      <c r="AE2259" s="5">
        <f t="shared" si="224"/>
        <v>0</v>
      </c>
      <c r="AF2259" s="70">
        <v>0</v>
      </c>
      <c r="AG2259" s="17"/>
      <c r="AH2259" s="18"/>
      <c r="AI2259" s="47" t="s">
        <v>4336</v>
      </c>
      <c r="AJ2259" s="73" t="s">
        <v>4337</v>
      </c>
      <c r="AK2259" s="45"/>
      <c r="AL2259" s="17"/>
      <c r="AM2259" s="195" t="s">
        <v>4672</v>
      </c>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39"/>
      <c r="CE2259" s="138"/>
      <c r="CF2259" s="139"/>
      <c r="CG2259" s="138"/>
      <c r="CH2259" s="139"/>
      <c r="CI2259" s="138"/>
      <c r="CJ2259" s="72"/>
      <c r="CK2259" s="139"/>
      <c r="CL2259" s="71"/>
      <c r="CM2259" s="139"/>
      <c r="CN2259" s="138"/>
      <c r="CO2259" s="138"/>
      <c r="CP2259" s="138"/>
      <c r="CQ2259" s="139"/>
      <c r="CR2259" s="138"/>
      <c r="CS2259" s="45"/>
      <c r="CT2259" s="138"/>
      <c r="CU2259" s="45"/>
      <c r="CV2259" s="99">
        <f t="shared" si="225"/>
        <v>0</v>
      </c>
      <c r="CW2259" s="139"/>
      <c r="CX2259" s="138"/>
      <c r="CY2259" s="138"/>
      <c r="CZ2259" s="138"/>
      <c r="DA2259" s="139"/>
      <c r="DB2259" s="138"/>
      <c r="DC2259" s="45"/>
      <c r="DD2259" s="138"/>
      <c r="DE2259" s="45"/>
      <c r="DF2259" s="46"/>
    </row>
    <row r="2260" spans="1:110" s="42" customFormat="1" ht="228" x14ac:dyDescent="0.2">
      <c r="A2260" s="89">
        <v>40830</v>
      </c>
      <c r="B2260" s="151" t="s">
        <v>4348</v>
      </c>
      <c r="C2260" s="90" t="s">
        <v>4365</v>
      </c>
      <c r="D2260" s="90" t="s">
        <v>4264</v>
      </c>
      <c r="E2260" s="90" t="str">
        <f>VLOOKUP(B2260&amp;C2260,Divipola!$C$2:$F$1138,4,FALSE)</f>
        <v>66682</v>
      </c>
      <c r="F2260" s="4"/>
      <c r="G2260" s="192" t="s">
        <v>4265</v>
      </c>
      <c r="H2260" s="192"/>
      <c r="I2260" s="192"/>
      <c r="J2260" s="192">
        <v>855</v>
      </c>
      <c r="K2260" s="192">
        <v>171</v>
      </c>
      <c r="L2260" s="192">
        <v>80</v>
      </c>
      <c r="M2260" s="192">
        <v>91</v>
      </c>
      <c r="N2260" s="192">
        <v>3</v>
      </c>
      <c r="O2260" s="193"/>
      <c r="P2260" s="193"/>
      <c r="Q2260" s="191"/>
      <c r="R2260" s="191"/>
      <c r="S2260" s="191"/>
      <c r="T2260" s="191"/>
      <c r="U2260" s="191"/>
      <c r="V2260" s="191"/>
      <c r="W2260" s="19"/>
      <c r="X2260" s="17"/>
      <c r="Y2260" s="5">
        <f t="shared" si="220"/>
        <v>17099676</v>
      </c>
      <c r="Z2260" s="5">
        <f t="shared" si="221"/>
        <v>12750000</v>
      </c>
      <c r="AA2260" s="5">
        <f t="shared" si="222"/>
        <v>0</v>
      </c>
      <c r="AB2260" s="5">
        <f t="shared" si="223"/>
        <v>0</v>
      </c>
      <c r="AC2260" s="5"/>
      <c r="AD2260" s="5">
        <v>0</v>
      </c>
      <c r="AE2260" s="5">
        <f t="shared" si="224"/>
        <v>29849676</v>
      </c>
      <c r="AF2260" s="70">
        <v>0</v>
      </c>
      <c r="AG2260" s="17"/>
      <c r="AH2260" s="18"/>
      <c r="AI2260" s="109" t="s">
        <v>4346</v>
      </c>
      <c r="AJ2260" s="110" t="s">
        <v>4347</v>
      </c>
      <c r="AK2260" s="45"/>
      <c r="AL2260" s="17"/>
      <c r="AM2260" s="121" t="s">
        <v>4897</v>
      </c>
      <c r="AN2260" s="19"/>
      <c r="AO2260" s="19"/>
      <c r="AP2260" s="19"/>
      <c r="AQ2260" s="19"/>
      <c r="AR2260" s="19"/>
      <c r="AS2260" s="19"/>
      <c r="AT2260" s="19"/>
      <c r="AU2260" s="19"/>
      <c r="AV2260" s="19">
        <v>150</v>
      </c>
      <c r="AW2260" s="19">
        <f>150*20999.48</f>
        <v>3149922</v>
      </c>
      <c r="AX2260" s="19"/>
      <c r="AY2260" s="19"/>
      <c r="AZ2260" s="19">
        <v>150</v>
      </c>
      <c r="BA2260" s="19">
        <f>150*55999</f>
        <v>8399850</v>
      </c>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39"/>
      <c r="CE2260" s="138"/>
      <c r="CF2260" s="139"/>
      <c r="CG2260" s="138"/>
      <c r="CH2260" s="139"/>
      <c r="CI2260" s="138"/>
      <c r="CJ2260" s="72"/>
      <c r="CK2260" s="139"/>
      <c r="CL2260" s="71"/>
      <c r="CM2260" s="139"/>
      <c r="CN2260" s="138"/>
      <c r="CO2260" s="138"/>
      <c r="CP2260" s="138">
        <v>150</v>
      </c>
      <c r="CQ2260" s="139">
        <f>150*36999.36</f>
        <v>5549904</v>
      </c>
      <c r="CR2260" s="138"/>
      <c r="CS2260" s="45"/>
      <c r="CT2260" s="138"/>
      <c r="CU2260" s="45"/>
      <c r="CV2260" s="99">
        <f t="shared" si="225"/>
        <v>17099676</v>
      </c>
      <c r="CW2260" s="139"/>
      <c r="CX2260" s="138"/>
      <c r="CY2260" s="138">
        <v>150</v>
      </c>
      <c r="CZ2260" s="138">
        <f>150*85000</f>
        <v>12750000</v>
      </c>
      <c r="DA2260" s="139"/>
      <c r="DB2260" s="138"/>
      <c r="DC2260" s="45"/>
      <c r="DD2260" s="138"/>
      <c r="DE2260" s="45"/>
      <c r="DF2260" s="46"/>
    </row>
    <row r="2261" spans="1:110" s="42" customFormat="1" ht="36" x14ac:dyDescent="0.2">
      <c r="A2261" s="89">
        <v>40830</v>
      </c>
      <c r="B2261" s="196" t="s">
        <v>4348</v>
      </c>
      <c r="C2261" s="197" t="s">
        <v>2228</v>
      </c>
      <c r="D2261" s="90" t="s">
        <v>4264</v>
      </c>
      <c r="E2261" s="90" t="str">
        <f>VLOOKUP(B2261&amp;C2261,Divipola!$C$2:$F$1138,4,FALSE)</f>
        <v>66001</v>
      </c>
      <c r="F2261" s="4"/>
      <c r="G2261" s="194"/>
      <c r="H2261" s="194"/>
      <c r="I2261" s="194"/>
      <c r="J2261" s="194">
        <v>50</v>
      </c>
      <c r="K2261" s="194">
        <v>10</v>
      </c>
      <c r="L2261" s="194"/>
      <c r="M2261" s="194">
        <v>10</v>
      </c>
      <c r="N2261" s="194"/>
      <c r="O2261" s="194"/>
      <c r="P2261" s="194"/>
      <c r="Q2261" s="194"/>
      <c r="R2261" s="194"/>
      <c r="S2261" s="194"/>
      <c r="T2261" s="194"/>
      <c r="U2261" s="194"/>
      <c r="V2261" s="194"/>
      <c r="W2261" s="19"/>
      <c r="X2261" s="17"/>
      <c r="Y2261" s="5">
        <f t="shared" si="220"/>
        <v>0</v>
      </c>
      <c r="Z2261" s="5">
        <f t="shared" si="221"/>
        <v>0</v>
      </c>
      <c r="AA2261" s="5">
        <f t="shared" si="222"/>
        <v>0</v>
      </c>
      <c r="AB2261" s="5">
        <f t="shared" si="223"/>
        <v>0</v>
      </c>
      <c r="AC2261" s="5"/>
      <c r="AD2261" s="5">
        <v>0</v>
      </c>
      <c r="AE2261" s="5">
        <f t="shared" si="224"/>
        <v>0</v>
      </c>
      <c r="AF2261" s="70">
        <v>0</v>
      </c>
      <c r="AG2261" s="17"/>
      <c r="AH2261" s="18"/>
      <c r="AI2261" s="47" t="s">
        <v>4336</v>
      </c>
      <c r="AJ2261" s="73" t="s">
        <v>4337</v>
      </c>
      <c r="AK2261" s="45"/>
      <c r="AL2261" s="17"/>
      <c r="AM2261" s="195" t="s">
        <v>4894</v>
      </c>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39"/>
      <c r="CE2261" s="138"/>
      <c r="CF2261" s="139"/>
      <c r="CG2261" s="138"/>
      <c r="CH2261" s="139"/>
      <c r="CI2261" s="138"/>
      <c r="CJ2261" s="72"/>
      <c r="CK2261" s="139"/>
      <c r="CL2261" s="71"/>
      <c r="CM2261" s="139"/>
      <c r="CN2261" s="138"/>
      <c r="CO2261" s="138"/>
      <c r="CP2261" s="138"/>
      <c r="CQ2261" s="139"/>
      <c r="CR2261" s="138"/>
      <c r="CS2261" s="45"/>
      <c r="CT2261" s="138"/>
      <c r="CU2261" s="45"/>
      <c r="CV2261" s="99">
        <f t="shared" si="225"/>
        <v>0</v>
      </c>
      <c r="CW2261" s="139"/>
      <c r="CX2261" s="138"/>
      <c r="CY2261" s="138"/>
      <c r="CZ2261" s="138"/>
      <c r="DA2261" s="139"/>
      <c r="DB2261" s="138"/>
      <c r="DC2261" s="45"/>
      <c r="DD2261" s="138"/>
      <c r="DE2261" s="45"/>
      <c r="DF2261" s="46"/>
    </row>
    <row r="2262" spans="1:110" s="42" customFormat="1" ht="192" x14ac:dyDescent="0.2">
      <c r="A2262" s="89">
        <v>40830</v>
      </c>
      <c r="B2262" s="16" t="s">
        <v>2226</v>
      </c>
      <c r="C2262" s="16" t="s">
        <v>3499</v>
      </c>
      <c r="D2262" s="90" t="s">
        <v>4264</v>
      </c>
      <c r="E2262" s="90" t="str">
        <f>VLOOKUP(B2262&amp;C2262,Divipola!$C$2:$F$1138,4,FALSE)</f>
        <v>68655</v>
      </c>
      <c r="F2262" s="4"/>
      <c r="G2262" s="208"/>
      <c r="H2262" s="208"/>
      <c r="I2262" s="208"/>
      <c r="J2262" s="208">
        <v>2500</v>
      </c>
      <c r="K2262" s="208">
        <v>500</v>
      </c>
      <c r="L2262" s="208"/>
      <c r="M2262" s="208">
        <v>500</v>
      </c>
      <c r="N2262" s="208">
        <v>1</v>
      </c>
      <c r="O2262" s="208"/>
      <c r="P2262" s="208"/>
      <c r="Q2262" s="208"/>
      <c r="R2262" s="208"/>
      <c r="S2262" s="208"/>
      <c r="T2262" s="208"/>
      <c r="U2262" s="208"/>
      <c r="V2262" s="208"/>
      <c r="W2262" s="19"/>
      <c r="X2262" s="17"/>
      <c r="Y2262" s="5">
        <f t="shared" si="220"/>
        <v>0</v>
      </c>
      <c r="Z2262" s="5">
        <f t="shared" si="221"/>
        <v>0</v>
      </c>
      <c r="AA2262" s="5">
        <f t="shared" si="222"/>
        <v>0</v>
      </c>
      <c r="AB2262" s="5">
        <f t="shared" si="223"/>
        <v>0</v>
      </c>
      <c r="AC2262" s="5"/>
      <c r="AD2262" s="5">
        <v>0</v>
      </c>
      <c r="AE2262" s="5">
        <f t="shared" si="224"/>
        <v>0</v>
      </c>
      <c r="AF2262" s="70">
        <v>0</v>
      </c>
      <c r="AG2262" s="17"/>
      <c r="AH2262" s="18"/>
      <c r="AI2262" s="47" t="s">
        <v>4346</v>
      </c>
      <c r="AJ2262" s="73" t="s">
        <v>4347</v>
      </c>
      <c r="AK2262" s="45"/>
      <c r="AL2262" s="89" t="s">
        <v>2798</v>
      </c>
      <c r="AM2262" s="121" t="s">
        <v>4659</v>
      </c>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39"/>
      <c r="CE2262" s="138"/>
      <c r="CF2262" s="139"/>
      <c r="CG2262" s="138"/>
      <c r="CH2262" s="139"/>
      <c r="CI2262" s="138"/>
      <c r="CJ2262" s="72"/>
      <c r="CK2262" s="139"/>
      <c r="CL2262" s="71"/>
      <c r="CM2262" s="139"/>
      <c r="CN2262" s="138"/>
      <c r="CO2262" s="138"/>
      <c r="CP2262" s="138"/>
      <c r="CQ2262" s="139"/>
      <c r="CR2262" s="138"/>
      <c r="CS2262" s="45"/>
      <c r="CT2262" s="138"/>
      <c r="CU2262" s="45"/>
      <c r="CV2262" s="99">
        <f t="shared" si="225"/>
        <v>0</v>
      </c>
      <c r="CW2262" s="139"/>
      <c r="CX2262" s="138"/>
      <c r="CY2262" s="138"/>
      <c r="CZ2262" s="138"/>
      <c r="DA2262" s="139"/>
      <c r="DB2262" s="138"/>
      <c r="DC2262" s="45"/>
      <c r="DD2262" s="138"/>
      <c r="DE2262" s="45"/>
      <c r="DF2262" s="46"/>
    </row>
    <row r="2263" spans="1:110" s="42" customFormat="1" ht="24" x14ac:dyDescent="0.2">
      <c r="A2263" s="254">
        <v>40830</v>
      </c>
      <c r="B2263" s="250" t="s">
        <v>4219</v>
      </c>
      <c r="C2263" s="251" t="s">
        <v>3322</v>
      </c>
      <c r="D2263" s="252" t="s">
        <v>4264</v>
      </c>
      <c r="E2263" s="90" t="str">
        <f>VLOOKUP(B2263&amp;C2263,Divipola!$C$2:$F$1138,4,FALSE)</f>
        <v>41319</v>
      </c>
      <c r="F2263" s="4"/>
      <c r="G2263" s="327"/>
      <c r="H2263" s="327"/>
      <c r="I2263" s="327"/>
      <c r="J2263" s="328">
        <v>15</v>
      </c>
      <c r="K2263" s="328">
        <v>3</v>
      </c>
      <c r="L2263" s="245"/>
      <c r="M2263" s="246">
        <v>3</v>
      </c>
      <c r="N2263" s="245"/>
      <c r="O2263" s="245"/>
      <c r="P2263" s="245"/>
      <c r="Q2263" s="245"/>
      <c r="R2263" s="245"/>
      <c r="S2263" s="245"/>
      <c r="T2263" s="245"/>
      <c r="U2263" s="245"/>
      <c r="V2263" s="246">
        <v>213.9</v>
      </c>
      <c r="W2263" s="19"/>
      <c r="X2263" s="17"/>
      <c r="Y2263" s="5">
        <f t="shared" si="220"/>
        <v>0</v>
      </c>
      <c r="Z2263" s="5">
        <f t="shared" si="221"/>
        <v>0</v>
      </c>
      <c r="AA2263" s="5">
        <f t="shared" si="222"/>
        <v>0</v>
      </c>
      <c r="AB2263" s="5">
        <f t="shared" si="223"/>
        <v>0</v>
      </c>
      <c r="AC2263" s="5"/>
      <c r="AD2263" s="5">
        <v>0</v>
      </c>
      <c r="AE2263" s="5">
        <f t="shared" si="224"/>
        <v>0</v>
      </c>
      <c r="AF2263" s="70">
        <v>0</v>
      </c>
      <c r="AG2263" s="17"/>
      <c r="AH2263" s="18"/>
      <c r="AI2263" s="47" t="s">
        <v>4346</v>
      </c>
      <c r="AJ2263" s="73" t="s">
        <v>4347</v>
      </c>
      <c r="AK2263" s="45"/>
      <c r="AL2263" s="89" t="s">
        <v>2798</v>
      </c>
      <c r="AM2263" s="121" t="s">
        <v>5559</v>
      </c>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39"/>
      <c r="CE2263" s="138"/>
      <c r="CF2263" s="139"/>
      <c r="CG2263" s="138"/>
      <c r="CH2263" s="139"/>
      <c r="CI2263" s="138"/>
      <c r="CJ2263" s="72"/>
      <c r="CK2263" s="139"/>
      <c r="CL2263" s="71"/>
      <c r="CM2263" s="139"/>
      <c r="CN2263" s="138"/>
      <c r="CO2263" s="138"/>
      <c r="CP2263" s="138"/>
      <c r="CQ2263" s="139"/>
      <c r="CR2263" s="138"/>
      <c r="CS2263" s="45"/>
      <c r="CT2263" s="138"/>
      <c r="CU2263" s="45"/>
      <c r="CV2263" s="99">
        <f t="shared" si="225"/>
        <v>0</v>
      </c>
      <c r="CW2263" s="139"/>
      <c r="CX2263" s="138"/>
      <c r="CY2263" s="138"/>
      <c r="CZ2263" s="138"/>
      <c r="DA2263" s="139"/>
      <c r="DB2263" s="138"/>
      <c r="DC2263" s="45"/>
      <c r="DD2263" s="138"/>
      <c r="DE2263" s="45"/>
      <c r="DF2263" s="46"/>
    </row>
    <row r="2264" spans="1:110" s="42" customFormat="1" ht="60" x14ac:dyDescent="0.2">
      <c r="A2264" s="89">
        <v>40831</v>
      </c>
      <c r="B2264" s="151" t="s">
        <v>2218</v>
      </c>
      <c r="C2264" s="90" t="s">
        <v>3955</v>
      </c>
      <c r="D2264" s="90" t="s">
        <v>4264</v>
      </c>
      <c r="E2264" s="90" t="str">
        <f>VLOOKUP(B2264&amp;C2264,Divipola!$C$2:$F$1138,4,FALSE)</f>
        <v>05390</v>
      </c>
      <c r="F2264" s="4"/>
      <c r="G2264" s="194"/>
      <c r="H2264" s="194"/>
      <c r="I2264" s="194"/>
      <c r="J2264" s="194">
        <v>160</v>
      </c>
      <c r="K2264" s="194">
        <v>40</v>
      </c>
      <c r="L2264" s="194"/>
      <c r="M2264" s="194">
        <v>40</v>
      </c>
      <c r="N2264" s="194"/>
      <c r="O2264" s="194"/>
      <c r="P2264" s="194"/>
      <c r="Q2264" s="194"/>
      <c r="R2264" s="194"/>
      <c r="S2264" s="194"/>
      <c r="T2264" s="194"/>
      <c r="U2264" s="194"/>
      <c r="V2264" s="194"/>
      <c r="W2264" s="19"/>
      <c r="X2264" s="17"/>
      <c r="Y2264" s="5">
        <f t="shared" si="220"/>
        <v>0</v>
      </c>
      <c r="Z2264" s="5">
        <f t="shared" si="221"/>
        <v>0</v>
      </c>
      <c r="AA2264" s="5">
        <f t="shared" si="222"/>
        <v>0</v>
      </c>
      <c r="AB2264" s="5">
        <f t="shared" si="223"/>
        <v>0</v>
      </c>
      <c r="AC2264" s="5"/>
      <c r="AD2264" s="5">
        <v>0</v>
      </c>
      <c r="AE2264" s="5">
        <f t="shared" si="224"/>
        <v>0</v>
      </c>
      <c r="AF2264" s="70">
        <v>0</v>
      </c>
      <c r="AG2264" s="17"/>
      <c r="AH2264" s="18"/>
      <c r="AI2264" s="47" t="s">
        <v>4346</v>
      </c>
      <c r="AJ2264" s="73" t="s">
        <v>4347</v>
      </c>
      <c r="AK2264" s="45"/>
      <c r="AL2264" s="89" t="s">
        <v>2798</v>
      </c>
      <c r="AM2264" s="195" t="s">
        <v>4668</v>
      </c>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39"/>
      <c r="CE2264" s="138"/>
      <c r="CF2264" s="139"/>
      <c r="CG2264" s="138"/>
      <c r="CH2264" s="139"/>
      <c r="CI2264" s="138"/>
      <c r="CJ2264" s="72"/>
      <c r="CK2264" s="139"/>
      <c r="CL2264" s="71"/>
      <c r="CM2264" s="139"/>
      <c r="CN2264" s="138"/>
      <c r="CO2264" s="138"/>
      <c r="CP2264" s="138"/>
      <c r="CQ2264" s="139"/>
      <c r="CR2264" s="138"/>
      <c r="CS2264" s="45"/>
      <c r="CT2264" s="138"/>
      <c r="CU2264" s="45"/>
      <c r="CV2264" s="99">
        <f t="shared" si="225"/>
        <v>0</v>
      </c>
      <c r="CW2264" s="139"/>
      <c r="CX2264" s="138"/>
      <c r="CY2264" s="138"/>
      <c r="CZ2264" s="138"/>
      <c r="DA2264" s="139"/>
      <c r="DB2264" s="138"/>
      <c r="DC2264" s="45"/>
      <c r="DD2264" s="138"/>
      <c r="DE2264" s="45"/>
      <c r="DF2264" s="46"/>
    </row>
    <row r="2265" spans="1:110" s="42" customFormat="1" ht="60" x14ac:dyDescent="0.2">
      <c r="A2265" s="89">
        <v>40831</v>
      </c>
      <c r="B2265" s="151" t="s">
        <v>2218</v>
      </c>
      <c r="C2265" s="90" t="s">
        <v>3441</v>
      </c>
      <c r="D2265" s="90" t="s">
        <v>4264</v>
      </c>
      <c r="E2265" s="90" t="str">
        <f>VLOOKUP(B2265&amp;C2265,Divipola!$C$2:$F$1138,4,FALSE)</f>
        <v>05861</v>
      </c>
      <c r="F2265" s="4"/>
      <c r="G2265" s="194"/>
      <c r="H2265" s="194"/>
      <c r="I2265" s="194"/>
      <c r="J2265" s="194">
        <v>1250</v>
      </c>
      <c r="K2265" s="194">
        <v>250</v>
      </c>
      <c r="L2265" s="194"/>
      <c r="M2265" s="194">
        <v>250</v>
      </c>
      <c r="N2265" s="194"/>
      <c r="O2265" s="194"/>
      <c r="P2265" s="194"/>
      <c r="Q2265" s="194"/>
      <c r="R2265" s="194"/>
      <c r="S2265" s="194"/>
      <c r="T2265" s="194"/>
      <c r="U2265" s="194"/>
      <c r="V2265" s="194"/>
      <c r="W2265" s="19"/>
      <c r="X2265" s="17"/>
      <c r="Y2265" s="5">
        <f t="shared" si="220"/>
        <v>0</v>
      </c>
      <c r="Z2265" s="5">
        <f t="shared" si="221"/>
        <v>0</v>
      </c>
      <c r="AA2265" s="5">
        <f t="shared" si="222"/>
        <v>0</v>
      </c>
      <c r="AB2265" s="5">
        <f t="shared" si="223"/>
        <v>0</v>
      </c>
      <c r="AC2265" s="5"/>
      <c r="AD2265" s="5">
        <v>0</v>
      </c>
      <c r="AE2265" s="5">
        <f t="shared" si="224"/>
        <v>0</v>
      </c>
      <c r="AF2265" s="70">
        <v>0</v>
      </c>
      <c r="AG2265" s="17"/>
      <c r="AH2265" s="18"/>
      <c r="AI2265" s="47" t="s">
        <v>4346</v>
      </c>
      <c r="AJ2265" s="73" t="s">
        <v>4347</v>
      </c>
      <c r="AK2265" s="45"/>
      <c r="AL2265" s="89" t="s">
        <v>2798</v>
      </c>
      <c r="AM2265" s="195" t="s">
        <v>4669</v>
      </c>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39"/>
      <c r="CE2265" s="138"/>
      <c r="CF2265" s="139"/>
      <c r="CG2265" s="138"/>
      <c r="CH2265" s="139"/>
      <c r="CI2265" s="138"/>
      <c r="CJ2265" s="72"/>
      <c r="CK2265" s="139"/>
      <c r="CL2265" s="71"/>
      <c r="CM2265" s="139"/>
      <c r="CN2265" s="138"/>
      <c r="CO2265" s="138"/>
      <c r="CP2265" s="138"/>
      <c r="CQ2265" s="139"/>
      <c r="CR2265" s="138"/>
      <c r="CS2265" s="45"/>
      <c r="CT2265" s="138"/>
      <c r="CU2265" s="45"/>
      <c r="CV2265" s="99">
        <f t="shared" si="225"/>
        <v>0</v>
      </c>
      <c r="CW2265" s="139"/>
      <c r="CX2265" s="138"/>
      <c r="CY2265" s="138"/>
      <c r="CZ2265" s="138"/>
      <c r="DA2265" s="139"/>
      <c r="DB2265" s="138"/>
      <c r="DC2265" s="45"/>
      <c r="DD2265" s="138"/>
      <c r="DE2265" s="45"/>
      <c r="DF2265" s="46"/>
    </row>
    <row r="2266" spans="1:110" s="42" customFormat="1" ht="72" x14ac:dyDescent="0.2">
      <c r="A2266" s="89">
        <v>40831</v>
      </c>
      <c r="B2266" s="151" t="s">
        <v>4352</v>
      </c>
      <c r="C2266" s="90" t="s">
        <v>2504</v>
      </c>
      <c r="D2266" s="90" t="s">
        <v>4264</v>
      </c>
      <c r="E2266" s="90" t="str">
        <f>VLOOKUP(B2266&amp;C2266,Divipola!$C$2:$F$1138,4,FALSE)</f>
        <v>13248</v>
      </c>
      <c r="F2266" s="4"/>
      <c r="G2266" s="101"/>
      <c r="H2266" s="101"/>
      <c r="I2266" s="101"/>
      <c r="J2266" s="101">
        <v>583</v>
      </c>
      <c r="K2266" s="101">
        <v>144</v>
      </c>
      <c r="L2266" s="101"/>
      <c r="M2266" s="101">
        <v>90</v>
      </c>
      <c r="N2266" s="101"/>
      <c r="O2266" s="101"/>
      <c r="P2266" s="101"/>
      <c r="Q2266" s="101"/>
      <c r="R2266" s="101"/>
      <c r="S2266" s="101"/>
      <c r="T2266" s="101"/>
      <c r="U2266" s="101"/>
      <c r="V2266" s="101"/>
      <c r="W2266" s="19"/>
      <c r="X2266" s="17"/>
      <c r="Y2266" s="5">
        <f t="shared" si="220"/>
        <v>0</v>
      </c>
      <c r="Z2266" s="5">
        <f t="shared" si="221"/>
        <v>0</v>
      </c>
      <c r="AA2266" s="5">
        <f t="shared" si="222"/>
        <v>0</v>
      </c>
      <c r="AB2266" s="5">
        <f t="shared" si="223"/>
        <v>0</v>
      </c>
      <c r="AC2266" s="5"/>
      <c r="AD2266" s="5">
        <v>0</v>
      </c>
      <c r="AE2266" s="5">
        <f t="shared" si="224"/>
        <v>0</v>
      </c>
      <c r="AF2266" s="70">
        <v>0</v>
      </c>
      <c r="AG2266" s="17"/>
      <c r="AH2266" s="18"/>
      <c r="AI2266" s="47" t="s">
        <v>4336</v>
      </c>
      <c r="AJ2266" s="73" t="s">
        <v>4337</v>
      </c>
      <c r="AK2266" s="45"/>
      <c r="AL2266" s="17"/>
      <c r="AM2266" s="121" t="s">
        <v>5597</v>
      </c>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39"/>
      <c r="CE2266" s="138"/>
      <c r="CF2266" s="139"/>
      <c r="CG2266" s="138"/>
      <c r="CH2266" s="139"/>
      <c r="CI2266" s="138"/>
      <c r="CJ2266" s="72"/>
      <c r="CK2266" s="139"/>
      <c r="CL2266" s="71"/>
      <c r="CM2266" s="139"/>
      <c r="CN2266" s="138"/>
      <c r="CO2266" s="138"/>
      <c r="CP2266" s="138"/>
      <c r="CQ2266" s="139"/>
      <c r="CR2266" s="138"/>
      <c r="CS2266" s="45"/>
      <c r="CT2266" s="138"/>
      <c r="CU2266" s="45"/>
      <c r="CV2266" s="99">
        <f t="shared" si="225"/>
        <v>0</v>
      </c>
      <c r="CW2266" s="139"/>
      <c r="CX2266" s="138"/>
      <c r="CY2266" s="138"/>
      <c r="CZ2266" s="138"/>
      <c r="DA2266" s="139"/>
      <c r="DB2266" s="138"/>
      <c r="DC2266" s="45"/>
      <c r="DD2266" s="138"/>
      <c r="DE2266" s="45"/>
      <c r="DF2266" s="46"/>
    </row>
    <row r="2267" spans="1:110" s="42" customFormat="1" ht="60" x14ac:dyDescent="0.2">
      <c r="A2267" s="89">
        <v>40831</v>
      </c>
      <c r="B2267" s="151" t="s">
        <v>4352</v>
      </c>
      <c r="C2267" s="90" t="s">
        <v>2511</v>
      </c>
      <c r="D2267" s="90" t="s">
        <v>4264</v>
      </c>
      <c r="E2267" s="90" t="str">
        <f>VLOOKUP(B2267&amp;C2267,Divipola!$C$2:$F$1138,4,FALSE)</f>
        <v>13433</v>
      </c>
      <c r="F2267" s="4"/>
      <c r="G2267" s="101"/>
      <c r="H2267" s="101"/>
      <c r="I2267" s="101"/>
      <c r="J2267" s="101"/>
      <c r="K2267" s="101"/>
      <c r="L2267" s="101"/>
      <c r="M2267" s="101"/>
      <c r="N2267" s="101">
        <v>1</v>
      </c>
      <c r="O2267" s="101">
        <v>1</v>
      </c>
      <c r="P2267" s="101"/>
      <c r="Q2267" s="101"/>
      <c r="R2267" s="101"/>
      <c r="S2267" s="101"/>
      <c r="T2267" s="101"/>
      <c r="U2267" s="101"/>
      <c r="V2267" s="101"/>
      <c r="W2267" s="19"/>
      <c r="X2267" s="17"/>
      <c r="Y2267" s="5">
        <f t="shared" si="220"/>
        <v>0</v>
      </c>
      <c r="Z2267" s="5">
        <f t="shared" si="221"/>
        <v>0</v>
      </c>
      <c r="AA2267" s="5">
        <f t="shared" si="222"/>
        <v>0</v>
      </c>
      <c r="AB2267" s="5">
        <f t="shared" si="223"/>
        <v>0</v>
      </c>
      <c r="AC2267" s="5"/>
      <c r="AD2267" s="5">
        <v>0</v>
      </c>
      <c r="AE2267" s="5">
        <f t="shared" si="224"/>
        <v>0</v>
      </c>
      <c r="AF2267" s="70">
        <v>0</v>
      </c>
      <c r="AG2267" s="17"/>
      <c r="AH2267" s="18"/>
      <c r="AI2267" s="47" t="s">
        <v>4336</v>
      </c>
      <c r="AJ2267" s="73" t="s">
        <v>4337</v>
      </c>
      <c r="AK2267" s="45"/>
      <c r="AL2267" s="17"/>
      <c r="AM2267" s="121" t="s">
        <v>4693</v>
      </c>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39"/>
      <c r="CE2267" s="138"/>
      <c r="CF2267" s="139"/>
      <c r="CG2267" s="138"/>
      <c r="CH2267" s="139"/>
      <c r="CI2267" s="138"/>
      <c r="CJ2267" s="72"/>
      <c r="CK2267" s="139"/>
      <c r="CL2267" s="71"/>
      <c r="CM2267" s="139"/>
      <c r="CN2267" s="138"/>
      <c r="CO2267" s="138"/>
      <c r="CP2267" s="138"/>
      <c r="CQ2267" s="139"/>
      <c r="CR2267" s="138"/>
      <c r="CS2267" s="45"/>
      <c r="CT2267" s="138"/>
      <c r="CU2267" s="45"/>
      <c r="CV2267" s="99">
        <f t="shared" si="225"/>
        <v>0</v>
      </c>
      <c r="CW2267" s="139"/>
      <c r="CX2267" s="138"/>
      <c r="CY2267" s="138"/>
      <c r="CZ2267" s="138"/>
      <c r="DA2267" s="139"/>
      <c r="DB2267" s="138"/>
      <c r="DC2267" s="45"/>
      <c r="DD2267" s="138"/>
      <c r="DE2267" s="45"/>
      <c r="DF2267" s="46"/>
    </row>
    <row r="2268" spans="1:110" s="42" customFormat="1" ht="72" x14ac:dyDescent="0.2">
      <c r="A2268" s="89">
        <v>40831</v>
      </c>
      <c r="B2268" s="151" t="s">
        <v>4308</v>
      </c>
      <c r="C2268" s="90" t="s">
        <v>737</v>
      </c>
      <c r="D2268" s="90" t="s">
        <v>4264</v>
      </c>
      <c r="E2268" s="90" t="str">
        <f>VLOOKUP(B2268&amp;C2268,Divipola!$C$2:$F$1138,4,FALSE)</f>
        <v>47030</v>
      </c>
      <c r="F2268" s="4"/>
      <c r="G2268" s="101"/>
      <c r="H2268" s="101"/>
      <c r="I2268" s="101"/>
      <c r="J2268" s="101">
        <v>10000</v>
      </c>
      <c r="K2268" s="101">
        <v>2000</v>
      </c>
      <c r="L2268" s="101"/>
      <c r="M2268" s="101">
        <v>2000</v>
      </c>
      <c r="N2268" s="101">
        <v>1</v>
      </c>
      <c r="O2268" s="101"/>
      <c r="P2268" s="101"/>
      <c r="Q2268" s="101"/>
      <c r="R2268" s="101"/>
      <c r="S2268" s="101"/>
      <c r="T2268" s="101"/>
      <c r="U2268" s="101"/>
      <c r="V2268" s="101"/>
      <c r="W2268" s="19"/>
      <c r="X2268" s="17"/>
      <c r="Y2268" s="5">
        <f t="shared" si="220"/>
        <v>0</v>
      </c>
      <c r="Z2268" s="5">
        <f t="shared" si="221"/>
        <v>0</v>
      </c>
      <c r="AA2268" s="5">
        <f t="shared" si="222"/>
        <v>0</v>
      </c>
      <c r="AB2268" s="5">
        <f t="shared" si="223"/>
        <v>0</v>
      </c>
      <c r="AC2268" s="5"/>
      <c r="AD2268" s="5">
        <v>0</v>
      </c>
      <c r="AE2268" s="5">
        <f t="shared" si="224"/>
        <v>0</v>
      </c>
      <c r="AF2268" s="70">
        <v>0</v>
      </c>
      <c r="AG2268" s="17"/>
      <c r="AH2268" s="18"/>
      <c r="AI2268" s="47" t="s">
        <v>4346</v>
      </c>
      <c r="AJ2268" s="73" t="s">
        <v>4347</v>
      </c>
      <c r="AK2268" s="45"/>
      <c r="AL2268" s="89" t="s">
        <v>2798</v>
      </c>
      <c r="AM2268" s="121" t="s">
        <v>4739</v>
      </c>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39"/>
      <c r="CE2268" s="138"/>
      <c r="CF2268" s="139"/>
      <c r="CG2268" s="138"/>
      <c r="CH2268" s="139"/>
      <c r="CI2268" s="138"/>
      <c r="CJ2268" s="72"/>
      <c r="CK2268" s="139"/>
      <c r="CL2268" s="71"/>
      <c r="CM2268" s="139"/>
      <c r="CN2268" s="138"/>
      <c r="CO2268" s="138"/>
      <c r="CP2268" s="138"/>
      <c r="CQ2268" s="139"/>
      <c r="CR2268" s="138"/>
      <c r="CS2268" s="45"/>
      <c r="CT2268" s="138"/>
      <c r="CU2268" s="45"/>
      <c r="CV2268" s="99">
        <f t="shared" si="225"/>
        <v>0</v>
      </c>
      <c r="CW2268" s="139"/>
      <c r="CX2268" s="138"/>
      <c r="CY2268" s="138"/>
      <c r="CZ2268" s="138"/>
      <c r="DA2268" s="139"/>
      <c r="DB2268" s="138"/>
      <c r="DC2268" s="45"/>
      <c r="DD2268" s="138"/>
      <c r="DE2268" s="45"/>
      <c r="DF2268" s="46"/>
    </row>
    <row r="2269" spans="1:110" s="42" customFormat="1" ht="36" x14ac:dyDescent="0.2">
      <c r="A2269" s="89">
        <v>40831</v>
      </c>
      <c r="B2269" s="151" t="s">
        <v>4308</v>
      </c>
      <c r="C2269" s="90" t="s">
        <v>758</v>
      </c>
      <c r="D2269" s="90" t="s">
        <v>4264</v>
      </c>
      <c r="E2269" s="90" t="str">
        <f>VLOOKUP(B2269&amp;C2269,Divipola!$C$2:$F$1138,4,FALSE)</f>
        <v>47288</v>
      </c>
      <c r="F2269" s="4"/>
      <c r="G2269" s="101"/>
      <c r="H2269" s="101"/>
      <c r="I2269" s="101"/>
      <c r="J2269" s="101">
        <v>11125</v>
      </c>
      <c r="K2269" s="101">
        <v>2225</v>
      </c>
      <c r="L2269" s="101"/>
      <c r="M2269" s="101">
        <v>1441</v>
      </c>
      <c r="N2269" s="101"/>
      <c r="O2269" s="101"/>
      <c r="P2269" s="101"/>
      <c r="Q2269" s="101"/>
      <c r="R2269" s="101"/>
      <c r="S2269" s="101"/>
      <c r="T2269" s="101"/>
      <c r="U2269" s="101"/>
      <c r="V2269" s="101"/>
      <c r="W2269" s="19"/>
      <c r="X2269" s="17"/>
      <c r="Y2269" s="5">
        <f t="shared" si="220"/>
        <v>0</v>
      </c>
      <c r="Z2269" s="5">
        <f t="shared" si="221"/>
        <v>0</v>
      </c>
      <c r="AA2269" s="5">
        <f t="shared" si="222"/>
        <v>0</v>
      </c>
      <c r="AB2269" s="5">
        <f t="shared" si="223"/>
        <v>0</v>
      </c>
      <c r="AC2269" s="5"/>
      <c r="AD2269" s="5">
        <v>0</v>
      </c>
      <c r="AE2269" s="5">
        <f t="shared" si="224"/>
        <v>0</v>
      </c>
      <c r="AF2269" s="70">
        <v>0</v>
      </c>
      <c r="AG2269" s="17"/>
      <c r="AH2269" s="18"/>
      <c r="AI2269" s="47" t="s">
        <v>4346</v>
      </c>
      <c r="AJ2269" s="73" t="s">
        <v>4347</v>
      </c>
      <c r="AK2269" s="45"/>
      <c r="AL2269" s="89" t="s">
        <v>2798</v>
      </c>
      <c r="AM2269" s="121" t="s">
        <v>4738</v>
      </c>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39"/>
      <c r="CE2269" s="138"/>
      <c r="CF2269" s="139"/>
      <c r="CG2269" s="138"/>
      <c r="CH2269" s="139"/>
      <c r="CI2269" s="138"/>
      <c r="CJ2269" s="72"/>
      <c r="CK2269" s="139"/>
      <c r="CL2269" s="71"/>
      <c r="CM2269" s="139"/>
      <c r="CN2269" s="138"/>
      <c r="CO2269" s="138"/>
      <c r="CP2269" s="138"/>
      <c r="CQ2269" s="139"/>
      <c r="CR2269" s="138"/>
      <c r="CS2269" s="45"/>
      <c r="CT2269" s="138"/>
      <c r="CU2269" s="45"/>
      <c r="CV2269" s="99">
        <f t="shared" si="225"/>
        <v>0</v>
      </c>
      <c r="CW2269" s="139"/>
      <c r="CX2269" s="138"/>
      <c r="CY2269" s="138"/>
      <c r="CZ2269" s="138"/>
      <c r="DA2269" s="139"/>
      <c r="DB2269" s="138"/>
      <c r="DC2269" s="45"/>
      <c r="DD2269" s="138"/>
      <c r="DE2269" s="45"/>
      <c r="DF2269" s="46"/>
    </row>
    <row r="2270" spans="1:110" s="42" customFormat="1" x14ac:dyDescent="0.2">
      <c r="A2270" s="89">
        <v>40831</v>
      </c>
      <c r="B2270" s="153" t="s">
        <v>4308</v>
      </c>
      <c r="C2270" s="4" t="s">
        <v>4306</v>
      </c>
      <c r="D2270" s="90" t="s">
        <v>4264</v>
      </c>
      <c r="E2270" s="90" t="str">
        <f>VLOOKUP(B2270&amp;C2270,Divipola!$C$2:$F$1138,4,FALSE)</f>
        <v>47001</v>
      </c>
      <c r="F2270" s="4"/>
      <c r="G2270" s="208"/>
      <c r="H2270" s="208"/>
      <c r="I2270" s="208"/>
      <c r="J2270" s="208"/>
      <c r="K2270" s="208"/>
      <c r="L2270" s="208"/>
      <c r="M2270" s="208"/>
      <c r="N2270" s="208"/>
      <c r="O2270" s="208"/>
      <c r="P2270" s="208"/>
      <c r="Q2270" s="208"/>
      <c r="R2270" s="208"/>
      <c r="S2270" s="208"/>
      <c r="T2270" s="208"/>
      <c r="U2270" s="208"/>
      <c r="V2270" s="208"/>
      <c r="W2270" s="19"/>
      <c r="X2270" s="17"/>
      <c r="Y2270" s="5">
        <f t="shared" si="220"/>
        <v>111600000</v>
      </c>
      <c r="Z2270" s="5">
        <f t="shared" si="221"/>
        <v>102000000</v>
      </c>
      <c r="AA2270" s="5">
        <f t="shared" si="222"/>
        <v>0</v>
      </c>
      <c r="AB2270" s="5">
        <f t="shared" si="223"/>
        <v>0</v>
      </c>
      <c r="AC2270" s="5"/>
      <c r="AD2270" s="5">
        <v>0</v>
      </c>
      <c r="AE2270" s="5">
        <f t="shared" si="224"/>
        <v>213600000</v>
      </c>
      <c r="AF2270" s="70">
        <v>0</v>
      </c>
      <c r="AG2270" s="17"/>
      <c r="AH2270" s="18"/>
      <c r="AI2270" s="109" t="s">
        <v>4346</v>
      </c>
      <c r="AJ2270" s="110" t="s">
        <v>4347</v>
      </c>
      <c r="AK2270" s="45"/>
      <c r="AL2270" s="17"/>
      <c r="AM2270" s="20"/>
      <c r="AN2270" s="19"/>
      <c r="AO2270" s="19"/>
      <c r="AP2270" s="19"/>
      <c r="AQ2270" s="19"/>
      <c r="AR2270" s="19"/>
      <c r="AS2270" s="19"/>
      <c r="AT2270" s="19"/>
      <c r="AU2270" s="19"/>
      <c r="AV2270" s="19"/>
      <c r="AW2270" s="19"/>
      <c r="AX2270" s="19"/>
      <c r="AY2270" s="19"/>
      <c r="AZ2270" s="19">
        <v>1200</v>
      </c>
      <c r="BA2270" s="19">
        <f>1200*56000</f>
        <v>67200000</v>
      </c>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39"/>
      <c r="CE2270" s="138"/>
      <c r="CF2270" s="139"/>
      <c r="CG2270" s="138"/>
      <c r="CH2270" s="139"/>
      <c r="CI2270" s="138"/>
      <c r="CJ2270" s="72"/>
      <c r="CK2270" s="139"/>
      <c r="CL2270" s="71"/>
      <c r="CM2270" s="139"/>
      <c r="CN2270" s="138"/>
      <c r="CO2270" s="138"/>
      <c r="CP2270" s="138">
        <v>1200</v>
      </c>
      <c r="CQ2270" s="139">
        <f>1200*37000</f>
        <v>44400000</v>
      </c>
      <c r="CR2270" s="138"/>
      <c r="CS2270" s="45"/>
      <c r="CT2270" s="138"/>
      <c r="CU2270" s="45"/>
      <c r="CV2270" s="99">
        <f t="shared" si="225"/>
        <v>111600000</v>
      </c>
      <c r="CW2270" s="139"/>
      <c r="CX2270" s="138"/>
      <c r="CY2270" s="138">
        <v>1200</v>
      </c>
      <c r="CZ2270" s="138">
        <f>1200*85000</f>
        <v>102000000</v>
      </c>
      <c r="DA2270" s="139"/>
      <c r="DB2270" s="138"/>
      <c r="DC2270" s="45"/>
      <c r="DD2270" s="138"/>
      <c r="DE2270" s="45"/>
      <c r="DF2270" s="46"/>
    </row>
    <row r="2271" spans="1:110" s="42" customFormat="1" ht="84" x14ac:dyDescent="0.2">
      <c r="A2271" s="89">
        <v>40831</v>
      </c>
      <c r="B2271" s="151" t="s">
        <v>4221</v>
      </c>
      <c r="C2271" s="90" t="s">
        <v>68</v>
      </c>
      <c r="D2271" s="90" t="s">
        <v>2362</v>
      </c>
      <c r="E2271" s="90" t="str">
        <f>VLOOKUP(B2271&amp;C2271,Divipola!$C$2:$F$1138,4,FALSE)</f>
        <v>54385</v>
      </c>
      <c r="F2271" s="4"/>
      <c r="G2271" s="194">
        <v>1</v>
      </c>
      <c r="H2271" s="194">
        <v>1</v>
      </c>
      <c r="I2271" s="194"/>
      <c r="J2271" s="194"/>
      <c r="K2271" s="194"/>
      <c r="L2271" s="194"/>
      <c r="M2271" s="194"/>
      <c r="N2271" s="194"/>
      <c r="O2271" s="194"/>
      <c r="P2271" s="194"/>
      <c r="Q2271" s="194"/>
      <c r="R2271" s="194"/>
      <c r="S2271" s="194"/>
      <c r="T2271" s="194"/>
      <c r="U2271" s="194"/>
      <c r="V2271" s="194"/>
      <c r="W2271" s="19"/>
      <c r="X2271" s="17"/>
      <c r="Y2271" s="5">
        <f t="shared" si="220"/>
        <v>0</v>
      </c>
      <c r="Z2271" s="5">
        <f t="shared" si="221"/>
        <v>0</v>
      </c>
      <c r="AA2271" s="5">
        <f t="shared" si="222"/>
        <v>0</v>
      </c>
      <c r="AB2271" s="5">
        <f t="shared" si="223"/>
        <v>0</v>
      </c>
      <c r="AC2271" s="5"/>
      <c r="AD2271" s="5">
        <v>0</v>
      </c>
      <c r="AE2271" s="5">
        <f t="shared" si="224"/>
        <v>0</v>
      </c>
      <c r="AF2271" s="70">
        <v>0</v>
      </c>
      <c r="AG2271" s="17"/>
      <c r="AH2271" s="18"/>
      <c r="AI2271" s="47" t="s">
        <v>4336</v>
      </c>
      <c r="AJ2271" s="73" t="s">
        <v>4337</v>
      </c>
      <c r="AK2271" s="45"/>
      <c r="AL2271" s="17"/>
      <c r="AM2271" s="195" t="s">
        <v>4667</v>
      </c>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39"/>
      <c r="CE2271" s="138"/>
      <c r="CF2271" s="139"/>
      <c r="CG2271" s="138"/>
      <c r="CH2271" s="139"/>
      <c r="CI2271" s="138"/>
      <c r="CJ2271" s="72"/>
      <c r="CK2271" s="139"/>
      <c r="CL2271" s="71"/>
      <c r="CM2271" s="139"/>
      <c r="CN2271" s="138"/>
      <c r="CO2271" s="138"/>
      <c r="CP2271" s="138"/>
      <c r="CQ2271" s="139"/>
      <c r="CR2271" s="138"/>
      <c r="CS2271" s="45"/>
      <c r="CT2271" s="138"/>
      <c r="CU2271" s="45"/>
      <c r="CV2271" s="99">
        <f t="shared" si="225"/>
        <v>0</v>
      </c>
      <c r="CW2271" s="139"/>
      <c r="CX2271" s="138"/>
      <c r="CY2271" s="138"/>
      <c r="CZ2271" s="138"/>
      <c r="DA2271" s="139"/>
      <c r="DB2271" s="138"/>
      <c r="DC2271" s="45"/>
      <c r="DD2271" s="138"/>
      <c r="DE2271" s="45"/>
      <c r="DF2271" s="46"/>
    </row>
    <row r="2272" spans="1:110" s="42" customFormat="1" ht="72" x14ac:dyDescent="0.2">
      <c r="A2272" s="89">
        <v>40831</v>
      </c>
      <c r="B2272" s="151" t="s">
        <v>4221</v>
      </c>
      <c r="C2272" s="90" t="s">
        <v>68</v>
      </c>
      <c r="D2272" s="90" t="s">
        <v>4264</v>
      </c>
      <c r="E2272" s="90" t="str">
        <f>VLOOKUP(B2272&amp;C2272,Divipola!$C$2:$F$1138,4,FALSE)</f>
        <v>54385</v>
      </c>
      <c r="F2272" s="4"/>
      <c r="G2272" s="194"/>
      <c r="H2272" s="194"/>
      <c r="I2272" s="194"/>
      <c r="J2272" s="194">
        <v>250</v>
      </c>
      <c r="K2272" s="194">
        <v>50</v>
      </c>
      <c r="L2272" s="194"/>
      <c r="M2272" s="194">
        <v>50</v>
      </c>
      <c r="N2272" s="194"/>
      <c r="O2272" s="194"/>
      <c r="P2272" s="194"/>
      <c r="Q2272" s="194"/>
      <c r="R2272" s="194"/>
      <c r="S2272" s="194"/>
      <c r="T2272" s="194"/>
      <c r="U2272" s="194"/>
      <c r="V2272" s="194"/>
      <c r="W2272" s="19"/>
      <c r="X2272" s="17"/>
      <c r="Y2272" s="5">
        <f t="shared" si="220"/>
        <v>0</v>
      </c>
      <c r="Z2272" s="5">
        <f t="shared" si="221"/>
        <v>0</v>
      </c>
      <c r="AA2272" s="5">
        <f t="shared" si="222"/>
        <v>0</v>
      </c>
      <c r="AB2272" s="5">
        <f t="shared" si="223"/>
        <v>0</v>
      </c>
      <c r="AC2272" s="5"/>
      <c r="AD2272" s="5">
        <v>0</v>
      </c>
      <c r="AE2272" s="5">
        <f t="shared" si="224"/>
        <v>0</v>
      </c>
      <c r="AF2272" s="70">
        <v>0</v>
      </c>
      <c r="AG2272" s="17"/>
      <c r="AH2272" s="18"/>
      <c r="AI2272" s="47" t="s">
        <v>4336</v>
      </c>
      <c r="AJ2272" s="73" t="s">
        <v>4337</v>
      </c>
      <c r="AK2272" s="45"/>
      <c r="AL2272" s="17"/>
      <c r="AM2272" s="195" t="s">
        <v>4664</v>
      </c>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39"/>
      <c r="CE2272" s="138"/>
      <c r="CF2272" s="139"/>
      <c r="CG2272" s="138"/>
      <c r="CH2272" s="139"/>
      <c r="CI2272" s="138"/>
      <c r="CJ2272" s="72"/>
      <c r="CK2272" s="139"/>
      <c r="CL2272" s="71"/>
      <c r="CM2272" s="139"/>
      <c r="CN2272" s="138"/>
      <c r="CO2272" s="138"/>
      <c r="CP2272" s="138"/>
      <c r="CQ2272" s="139"/>
      <c r="CR2272" s="138"/>
      <c r="CS2272" s="45"/>
      <c r="CT2272" s="138"/>
      <c r="CU2272" s="45"/>
      <c r="CV2272" s="99">
        <f t="shared" si="225"/>
        <v>0</v>
      </c>
      <c r="CW2272" s="139"/>
      <c r="CX2272" s="138"/>
      <c r="CY2272" s="138"/>
      <c r="CZ2272" s="138"/>
      <c r="DA2272" s="139"/>
      <c r="DB2272" s="138"/>
      <c r="DC2272" s="45"/>
      <c r="DD2272" s="138"/>
      <c r="DE2272" s="45"/>
      <c r="DF2272" s="46"/>
    </row>
    <row r="2273" spans="1:110" s="42" customFormat="1" ht="60" x14ac:dyDescent="0.2">
      <c r="A2273" s="89">
        <v>40831</v>
      </c>
      <c r="B2273" s="196" t="s">
        <v>4350</v>
      </c>
      <c r="C2273" s="197" t="s">
        <v>4351</v>
      </c>
      <c r="D2273" s="197" t="s">
        <v>4298</v>
      </c>
      <c r="E2273" s="90" t="str">
        <f>VLOOKUP(B2273&amp;C2273,Divipola!$C$2:$F$1138,4,FALSE)</f>
        <v>63001</v>
      </c>
      <c r="F2273" s="4"/>
      <c r="G2273" s="194"/>
      <c r="H2273" s="194"/>
      <c r="I2273" s="194"/>
      <c r="J2273" s="194">
        <v>5</v>
      </c>
      <c r="K2273" s="194">
        <v>1</v>
      </c>
      <c r="L2273" s="194"/>
      <c r="M2273" s="194">
        <v>1</v>
      </c>
      <c r="N2273" s="194"/>
      <c r="O2273" s="194"/>
      <c r="P2273" s="194"/>
      <c r="Q2273" s="194"/>
      <c r="R2273" s="194"/>
      <c r="S2273" s="194"/>
      <c r="T2273" s="194"/>
      <c r="U2273" s="194"/>
      <c r="V2273" s="194"/>
      <c r="W2273" s="19"/>
      <c r="X2273" s="17"/>
      <c r="Y2273" s="5">
        <f t="shared" si="220"/>
        <v>0</v>
      </c>
      <c r="Z2273" s="5">
        <f t="shared" si="221"/>
        <v>0</v>
      </c>
      <c r="AA2273" s="5">
        <f t="shared" si="222"/>
        <v>0</v>
      </c>
      <c r="AB2273" s="5">
        <f t="shared" si="223"/>
        <v>0</v>
      </c>
      <c r="AC2273" s="5"/>
      <c r="AD2273" s="5">
        <v>0</v>
      </c>
      <c r="AE2273" s="5">
        <f t="shared" si="224"/>
        <v>0</v>
      </c>
      <c r="AF2273" s="70">
        <v>0</v>
      </c>
      <c r="AG2273" s="17"/>
      <c r="AH2273" s="18"/>
      <c r="AI2273" s="47" t="s">
        <v>4336</v>
      </c>
      <c r="AJ2273" s="73" t="s">
        <v>4337</v>
      </c>
      <c r="AK2273" s="45"/>
      <c r="AL2273" s="17"/>
      <c r="AM2273" s="195" t="s">
        <v>4680</v>
      </c>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39"/>
      <c r="CE2273" s="138"/>
      <c r="CF2273" s="139"/>
      <c r="CG2273" s="138"/>
      <c r="CH2273" s="139"/>
      <c r="CI2273" s="138"/>
      <c r="CJ2273" s="72"/>
      <c r="CK2273" s="139"/>
      <c r="CL2273" s="71"/>
      <c r="CM2273" s="139"/>
      <c r="CN2273" s="138"/>
      <c r="CO2273" s="138"/>
      <c r="CP2273" s="138"/>
      <c r="CQ2273" s="139"/>
      <c r="CR2273" s="138"/>
      <c r="CS2273" s="45"/>
      <c r="CT2273" s="138"/>
      <c r="CU2273" s="45"/>
      <c r="CV2273" s="99">
        <f t="shared" si="225"/>
        <v>0</v>
      </c>
      <c r="CW2273" s="139"/>
      <c r="CX2273" s="138"/>
      <c r="CY2273" s="138"/>
      <c r="CZ2273" s="138"/>
      <c r="DA2273" s="139"/>
      <c r="DB2273" s="138"/>
      <c r="DC2273" s="45"/>
      <c r="DD2273" s="138"/>
      <c r="DE2273" s="45"/>
      <c r="DF2273" s="46"/>
    </row>
    <row r="2274" spans="1:110" s="42" customFormat="1" ht="72" x14ac:dyDescent="0.2">
      <c r="A2274" s="89">
        <v>40831</v>
      </c>
      <c r="B2274" s="151" t="s">
        <v>4348</v>
      </c>
      <c r="C2274" s="90" t="s">
        <v>601</v>
      </c>
      <c r="D2274" s="90" t="s">
        <v>2362</v>
      </c>
      <c r="E2274" s="90" t="str">
        <f>VLOOKUP(B2274&amp;C2274,Divipola!$C$2:$F$1138,4,FALSE)</f>
        <v>66170</v>
      </c>
      <c r="F2274" s="4"/>
      <c r="G2274" s="101"/>
      <c r="H2274" s="101"/>
      <c r="I2274" s="101"/>
      <c r="J2274" s="101"/>
      <c r="K2274" s="101"/>
      <c r="L2274" s="101"/>
      <c r="M2274" s="101"/>
      <c r="N2274" s="101"/>
      <c r="O2274" s="101"/>
      <c r="P2274" s="101"/>
      <c r="Q2274" s="101">
        <v>1</v>
      </c>
      <c r="R2274" s="101"/>
      <c r="S2274" s="101"/>
      <c r="T2274" s="101"/>
      <c r="U2274" s="101"/>
      <c r="V2274" s="101"/>
      <c r="W2274" s="19"/>
      <c r="X2274" s="17"/>
      <c r="Y2274" s="5">
        <f t="shared" si="220"/>
        <v>0</v>
      </c>
      <c r="Z2274" s="5">
        <f t="shared" si="221"/>
        <v>0</v>
      </c>
      <c r="AA2274" s="5">
        <f t="shared" si="222"/>
        <v>0</v>
      </c>
      <c r="AB2274" s="5">
        <f t="shared" si="223"/>
        <v>0</v>
      </c>
      <c r="AC2274" s="5"/>
      <c r="AD2274" s="5">
        <v>0</v>
      </c>
      <c r="AE2274" s="5">
        <f t="shared" si="224"/>
        <v>0</v>
      </c>
      <c r="AF2274" s="70">
        <v>0</v>
      </c>
      <c r="AG2274" s="17"/>
      <c r="AH2274" s="18"/>
      <c r="AI2274" s="47" t="s">
        <v>4336</v>
      </c>
      <c r="AJ2274" s="73" t="s">
        <v>4337</v>
      </c>
      <c r="AK2274" s="45"/>
      <c r="AL2274" s="17"/>
      <c r="AM2274" s="195" t="s">
        <v>4676</v>
      </c>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39"/>
      <c r="CE2274" s="138"/>
      <c r="CF2274" s="139"/>
      <c r="CG2274" s="138"/>
      <c r="CH2274" s="139"/>
      <c r="CI2274" s="138"/>
      <c r="CJ2274" s="72"/>
      <c r="CK2274" s="139"/>
      <c r="CL2274" s="71"/>
      <c r="CM2274" s="139"/>
      <c r="CN2274" s="138"/>
      <c r="CO2274" s="138"/>
      <c r="CP2274" s="138"/>
      <c r="CQ2274" s="139"/>
      <c r="CR2274" s="138"/>
      <c r="CS2274" s="45"/>
      <c r="CT2274" s="138"/>
      <c r="CU2274" s="45"/>
      <c r="CV2274" s="99">
        <f t="shared" si="225"/>
        <v>0</v>
      </c>
      <c r="CW2274" s="139"/>
      <c r="CX2274" s="138"/>
      <c r="CY2274" s="138"/>
      <c r="CZ2274" s="138"/>
      <c r="DA2274" s="139"/>
      <c r="DB2274" s="138"/>
      <c r="DC2274" s="45"/>
      <c r="DD2274" s="138"/>
      <c r="DE2274" s="45"/>
      <c r="DF2274" s="46"/>
    </row>
    <row r="2275" spans="1:110" s="42" customFormat="1" ht="84" x14ac:dyDescent="0.2">
      <c r="A2275" s="89">
        <v>40831</v>
      </c>
      <c r="B2275" s="151" t="s">
        <v>4348</v>
      </c>
      <c r="C2275" s="90" t="s">
        <v>3303</v>
      </c>
      <c r="D2275" s="90" t="s">
        <v>2362</v>
      </c>
      <c r="E2275" s="90" t="str">
        <f>VLOOKUP(B2275&amp;C2275,Divipola!$C$2:$F$1138,4,FALSE)</f>
        <v>66456</v>
      </c>
      <c r="F2275" s="4"/>
      <c r="G2275" s="101"/>
      <c r="H2275" s="101"/>
      <c r="I2275" s="101"/>
      <c r="J2275" s="101"/>
      <c r="K2275" s="101"/>
      <c r="L2275" s="101"/>
      <c r="M2275" s="101"/>
      <c r="N2275" s="101">
        <v>1</v>
      </c>
      <c r="O2275" s="101"/>
      <c r="P2275" s="101"/>
      <c r="Q2275" s="101"/>
      <c r="R2275" s="101"/>
      <c r="S2275" s="101"/>
      <c r="T2275" s="101"/>
      <c r="U2275" s="101"/>
      <c r="V2275" s="101"/>
      <c r="W2275" s="19"/>
      <c r="X2275" s="17"/>
      <c r="Y2275" s="5">
        <f t="shared" si="220"/>
        <v>0</v>
      </c>
      <c r="Z2275" s="5">
        <f t="shared" si="221"/>
        <v>0</v>
      </c>
      <c r="AA2275" s="5">
        <f t="shared" si="222"/>
        <v>0</v>
      </c>
      <c r="AB2275" s="5">
        <f t="shared" si="223"/>
        <v>0</v>
      </c>
      <c r="AC2275" s="5"/>
      <c r="AD2275" s="5">
        <v>0</v>
      </c>
      <c r="AE2275" s="5">
        <f t="shared" si="224"/>
        <v>0</v>
      </c>
      <c r="AF2275" s="70">
        <v>0</v>
      </c>
      <c r="AG2275" s="17"/>
      <c r="AH2275" s="18"/>
      <c r="AI2275" s="47" t="s">
        <v>4336</v>
      </c>
      <c r="AJ2275" s="73" t="s">
        <v>4337</v>
      </c>
      <c r="AK2275" s="45"/>
      <c r="AL2275" s="17"/>
      <c r="AM2275" s="195" t="s">
        <v>4678</v>
      </c>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39"/>
      <c r="CE2275" s="138"/>
      <c r="CF2275" s="139"/>
      <c r="CG2275" s="138"/>
      <c r="CH2275" s="139"/>
      <c r="CI2275" s="138"/>
      <c r="CJ2275" s="72"/>
      <c r="CK2275" s="139"/>
      <c r="CL2275" s="71"/>
      <c r="CM2275" s="139"/>
      <c r="CN2275" s="138"/>
      <c r="CO2275" s="138"/>
      <c r="CP2275" s="138"/>
      <c r="CQ2275" s="139"/>
      <c r="CR2275" s="138"/>
      <c r="CS2275" s="45"/>
      <c r="CT2275" s="138"/>
      <c r="CU2275" s="45"/>
      <c r="CV2275" s="99">
        <f t="shared" si="225"/>
        <v>0</v>
      </c>
      <c r="CW2275" s="139"/>
      <c r="CX2275" s="138"/>
      <c r="CY2275" s="138"/>
      <c r="CZ2275" s="138"/>
      <c r="DA2275" s="139"/>
      <c r="DB2275" s="138"/>
      <c r="DC2275" s="45"/>
      <c r="DD2275" s="138"/>
      <c r="DE2275" s="45"/>
      <c r="DF2275" s="46"/>
    </row>
    <row r="2276" spans="1:110" s="42" customFormat="1" ht="72" x14ac:dyDescent="0.2">
      <c r="A2276" s="89">
        <v>40831</v>
      </c>
      <c r="B2276" s="151" t="s">
        <v>4348</v>
      </c>
      <c r="C2276" s="90" t="s">
        <v>4365</v>
      </c>
      <c r="D2276" s="90" t="s">
        <v>3346</v>
      </c>
      <c r="E2276" s="90" t="str">
        <f>VLOOKUP(B2276&amp;C2276,Divipola!$C$2:$F$1138,4,FALSE)</f>
        <v>66682</v>
      </c>
      <c r="F2276" s="4"/>
      <c r="G2276" s="101"/>
      <c r="H2276" s="101"/>
      <c r="I2276" s="101"/>
      <c r="J2276" s="101">
        <v>125</v>
      </c>
      <c r="K2276" s="101">
        <v>25</v>
      </c>
      <c r="L2276" s="101"/>
      <c r="M2276" s="101">
        <v>25</v>
      </c>
      <c r="N2276" s="101"/>
      <c r="O2276" s="101"/>
      <c r="P2276" s="101"/>
      <c r="Q2276" s="101"/>
      <c r="R2276" s="101"/>
      <c r="S2276" s="101"/>
      <c r="T2276" s="101"/>
      <c r="U2276" s="101"/>
      <c r="V2276" s="101"/>
      <c r="W2276" s="19"/>
      <c r="X2276" s="17"/>
      <c r="Y2276" s="5">
        <f t="shared" si="220"/>
        <v>0</v>
      </c>
      <c r="Z2276" s="5">
        <f t="shared" si="221"/>
        <v>0</v>
      </c>
      <c r="AA2276" s="5">
        <f t="shared" si="222"/>
        <v>0</v>
      </c>
      <c r="AB2276" s="5">
        <f t="shared" si="223"/>
        <v>0</v>
      </c>
      <c r="AC2276" s="5"/>
      <c r="AD2276" s="5">
        <v>0</v>
      </c>
      <c r="AE2276" s="5">
        <f t="shared" si="224"/>
        <v>0</v>
      </c>
      <c r="AF2276" s="70">
        <v>0</v>
      </c>
      <c r="AG2276" s="17"/>
      <c r="AH2276" s="18"/>
      <c r="AI2276" s="47" t="s">
        <v>4346</v>
      </c>
      <c r="AJ2276" s="73" t="s">
        <v>4347</v>
      </c>
      <c r="AK2276" s="45"/>
      <c r="AL2276" s="89" t="s">
        <v>2798</v>
      </c>
      <c r="AM2276" s="195" t="s">
        <v>4675</v>
      </c>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39"/>
      <c r="CE2276" s="138"/>
      <c r="CF2276" s="139"/>
      <c r="CG2276" s="138"/>
      <c r="CH2276" s="139"/>
      <c r="CI2276" s="138"/>
      <c r="CJ2276" s="72"/>
      <c r="CK2276" s="139"/>
      <c r="CL2276" s="71"/>
      <c r="CM2276" s="139"/>
      <c r="CN2276" s="138"/>
      <c r="CO2276" s="138"/>
      <c r="CP2276" s="138"/>
      <c r="CQ2276" s="139"/>
      <c r="CR2276" s="138"/>
      <c r="CS2276" s="45"/>
      <c r="CT2276" s="138"/>
      <c r="CU2276" s="45"/>
      <c r="CV2276" s="99">
        <f t="shared" si="225"/>
        <v>0</v>
      </c>
      <c r="CW2276" s="139"/>
      <c r="CX2276" s="138"/>
      <c r="CY2276" s="138"/>
      <c r="CZ2276" s="138"/>
      <c r="DA2276" s="139"/>
      <c r="DB2276" s="138"/>
      <c r="DC2276" s="45"/>
      <c r="DD2276" s="138"/>
      <c r="DE2276" s="45"/>
      <c r="DF2276" s="46"/>
    </row>
    <row r="2277" spans="1:110" s="42" customFormat="1" ht="48" x14ac:dyDescent="0.2">
      <c r="A2277" s="89">
        <v>40832</v>
      </c>
      <c r="B2277" s="197" t="s">
        <v>1116</v>
      </c>
      <c r="C2277" s="197" t="s">
        <v>1116</v>
      </c>
      <c r="D2277" s="90" t="s">
        <v>2362</v>
      </c>
      <c r="E2277" s="90" t="str">
        <f>VLOOKUP(B2277&amp;C2277,Divipola!$C$2:$F$1138,4,FALSE)</f>
        <v>11001</v>
      </c>
      <c r="F2277" s="4"/>
      <c r="G2277" s="194"/>
      <c r="H2277" s="194"/>
      <c r="I2277" s="194"/>
      <c r="J2277" s="194">
        <v>5</v>
      </c>
      <c r="K2277" s="194">
        <v>1</v>
      </c>
      <c r="L2277" s="194"/>
      <c r="M2277" s="194">
        <v>1</v>
      </c>
      <c r="N2277" s="194"/>
      <c r="O2277" s="194"/>
      <c r="P2277" s="194"/>
      <c r="Q2277" s="194"/>
      <c r="R2277" s="194"/>
      <c r="S2277" s="194"/>
      <c r="T2277" s="194"/>
      <c r="U2277" s="194"/>
      <c r="V2277" s="194"/>
      <c r="W2277" s="19"/>
      <c r="X2277" s="17"/>
      <c r="Y2277" s="5">
        <f t="shared" si="220"/>
        <v>0</v>
      </c>
      <c r="Z2277" s="5">
        <f t="shared" si="221"/>
        <v>0</v>
      </c>
      <c r="AA2277" s="5">
        <f t="shared" si="222"/>
        <v>0</v>
      </c>
      <c r="AB2277" s="5">
        <f t="shared" si="223"/>
        <v>0</v>
      </c>
      <c r="AC2277" s="5"/>
      <c r="AD2277" s="5">
        <v>0</v>
      </c>
      <c r="AE2277" s="5">
        <f t="shared" si="224"/>
        <v>0</v>
      </c>
      <c r="AF2277" s="70">
        <v>0</v>
      </c>
      <c r="AG2277" s="17"/>
      <c r="AH2277" s="18"/>
      <c r="AI2277" s="47" t="s">
        <v>4336</v>
      </c>
      <c r="AJ2277" s="73" t="s">
        <v>4337</v>
      </c>
      <c r="AK2277" s="45"/>
      <c r="AL2277" s="17"/>
      <c r="AM2277" s="195" t="s">
        <v>4679</v>
      </c>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39"/>
      <c r="CE2277" s="138"/>
      <c r="CF2277" s="139"/>
      <c r="CG2277" s="138"/>
      <c r="CH2277" s="139"/>
      <c r="CI2277" s="138"/>
      <c r="CJ2277" s="72"/>
      <c r="CK2277" s="139"/>
      <c r="CL2277" s="71"/>
      <c r="CM2277" s="139"/>
      <c r="CN2277" s="138"/>
      <c r="CO2277" s="138"/>
      <c r="CP2277" s="138"/>
      <c r="CQ2277" s="139"/>
      <c r="CR2277" s="138"/>
      <c r="CS2277" s="45"/>
      <c r="CT2277" s="138"/>
      <c r="CU2277" s="45"/>
      <c r="CV2277" s="99">
        <f t="shared" si="225"/>
        <v>0</v>
      </c>
      <c r="CW2277" s="139"/>
      <c r="CX2277" s="138"/>
      <c r="CY2277" s="138"/>
      <c r="CZ2277" s="138"/>
      <c r="DA2277" s="139"/>
      <c r="DB2277" s="138"/>
      <c r="DC2277" s="45"/>
      <c r="DD2277" s="138"/>
      <c r="DE2277" s="45"/>
      <c r="DF2277" s="46"/>
    </row>
    <row r="2278" spans="1:110" s="42" customFormat="1" ht="36" x14ac:dyDescent="0.2">
      <c r="A2278" s="89">
        <v>40832</v>
      </c>
      <c r="B2278" s="197" t="s">
        <v>1116</v>
      </c>
      <c r="C2278" s="197" t="s">
        <v>1116</v>
      </c>
      <c r="D2278" s="90" t="s">
        <v>2362</v>
      </c>
      <c r="E2278" s="90" t="str">
        <f>VLOOKUP(B2278&amp;C2278,Divipola!$C$2:$F$1138,4,FALSE)</f>
        <v>11001</v>
      </c>
      <c r="F2278" s="4"/>
      <c r="G2278" s="194"/>
      <c r="H2278" s="194">
        <v>1</v>
      </c>
      <c r="I2278" s="194"/>
      <c r="J2278" s="194">
        <v>5</v>
      </c>
      <c r="K2278" s="194">
        <v>1</v>
      </c>
      <c r="L2278" s="194">
        <v>1</v>
      </c>
      <c r="M2278" s="194"/>
      <c r="N2278" s="194"/>
      <c r="O2278" s="194"/>
      <c r="P2278" s="194"/>
      <c r="Q2278" s="194"/>
      <c r="R2278" s="194"/>
      <c r="S2278" s="194"/>
      <c r="T2278" s="194"/>
      <c r="U2278" s="194"/>
      <c r="V2278" s="194"/>
      <c r="W2278" s="19"/>
      <c r="X2278" s="17"/>
      <c r="Y2278" s="5">
        <f t="shared" si="220"/>
        <v>0</v>
      </c>
      <c r="Z2278" s="5">
        <f t="shared" si="221"/>
        <v>0</v>
      </c>
      <c r="AA2278" s="5">
        <f t="shared" si="222"/>
        <v>0</v>
      </c>
      <c r="AB2278" s="5">
        <f t="shared" si="223"/>
        <v>0</v>
      </c>
      <c r="AC2278" s="5"/>
      <c r="AD2278" s="5">
        <v>0</v>
      </c>
      <c r="AE2278" s="5">
        <f t="shared" si="224"/>
        <v>0</v>
      </c>
      <c r="AF2278" s="70">
        <v>0</v>
      </c>
      <c r="AG2278" s="17"/>
      <c r="AH2278" s="18"/>
      <c r="AI2278" s="47" t="s">
        <v>4336</v>
      </c>
      <c r="AJ2278" s="73" t="s">
        <v>4337</v>
      </c>
      <c r="AK2278" s="45"/>
      <c r="AL2278" s="17"/>
      <c r="AM2278" s="195" t="s">
        <v>4761</v>
      </c>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39"/>
      <c r="CE2278" s="138"/>
      <c r="CF2278" s="139"/>
      <c r="CG2278" s="138"/>
      <c r="CH2278" s="139"/>
      <c r="CI2278" s="138"/>
      <c r="CJ2278" s="72"/>
      <c r="CK2278" s="139"/>
      <c r="CL2278" s="71"/>
      <c r="CM2278" s="139"/>
      <c r="CN2278" s="138"/>
      <c r="CO2278" s="138"/>
      <c r="CP2278" s="138"/>
      <c r="CQ2278" s="139"/>
      <c r="CR2278" s="138"/>
      <c r="CS2278" s="45"/>
      <c r="CT2278" s="138"/>
      <c r="CU2278" s="45"/>
      <c r="CV2278" s="99">
        <f t="shared" si="225"/>
        <v>0</v>
      </c>
      <c r="CW2278" s="139"/>
      <c r="CX2278" s="138"/>
      <c r="CY2278" s="138"/>
      <c r="CZ2278" s="138"/>
      <c r="DA2278" s="139"/>
      <c r="DB2278" s="138"/>
      <c r="DC2278" s="45"/>
      <c r="DD2278" s="138"/>
      <c r="DE2278" s="45"/>
      <c r="DF2278" s="46"/>
    </row>
    <row r="2279" spans="1:110" s="42" customFormat="1" ht="24" x14ac:dyDescent="0.2">
      <c r="A2279" s="89">
        <v>40832</v>
      </c>
      <c r="B2279" s="197" t="s">
        <v>1116</v>
      </c>
      <c r="C2279" s="197" t="s">
        <v>1116</v>
      </c>
      <c r="D2279" s="90" t="s">
        <v>4264</v>
      </c>
      <c r="E2279" s="90" t="str">
        <f>VLOOKUP(B2279&amp;C2279,Divipola!$C$2:$F$1138,4,FALSE)</f>
        <v>11001</v>
      </c>
      <c r="F2279" s="4"/>
      <c r="G2279" s="194"/>
      <c r="H2279" s="194"/>
      <c r="I2279" s="194"/>
      <c r="J2279" s="194">
        <v>84</v>
      </c>
      <c r="K2279" s="194">
        <v>21</v>
      </c>
      <c r="L2279" s="194"/>
      <c r="M2279" s="194">
        <v>21</v>
      </c>
      <c r="N2279" s="194"/>
      <c r="O2279" s="194"/>
      <c r="P2279" s="194"/>
      <c r="Q2279" s="194"/>
      <c r="R2279" s="194"/>
      <c r="S2279" s="194"/>
      <c r="T2279" s="194"/>
      <c r="U2279" s="194"/>
      <c r="V2279" s="194"/>
      <c r="W2279" s="19"/>
      <c r="X2279" s="17"/>
      <c r="Y2279" s="5">
        <f t="shared" si="220"/>
        <v>0</v>
      </c>
      <c r="Z2279" s="5">
        <f t="shared" si="221"/>
        <v>0</v>
      </c>
      <c r="AA2279" s="5">
        <f t="shared" si="222"/>
        <v>0</v>
      </c>
      <c r="AB2279" s="5">
        <f t="shared" si="223"/>
        <v>0</v>
      </c>
      <c r="AC2279" s="5"/>
      <c r="AD2279" s="5">
        <v>0</v>
      </c>
      <c r="AE2279" s="5">
        <f t="shared" si="224"/>
        <v>0</v>
      </c>
      <c r="AF2279" s="70">
        <v>0</v>
      </c>
      <c r="AG2279" s="17"/>
      <c r="AH2279" s="18"/>
      <c r="AI2279" s="47" t="s">
        <v>4336</v>
      </c>
      <c r="AJ2279" s="73" t="s">
        <v>4337</v>
      </c>
      <c r="AK2279" s="45"/>
      <c r="AL2279" s="17"/>
      <c r="AM2279" s="195" t="s">
        <v>4762</v>
      </c>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39"/>
      <c r="CE2279" s="138"/>
      <c r="CF2279" s="139"/>
      <c r="CG2279" s="138"/>
      <c r="CH2279" s="139"/>
      <c r="CI2279" s="138"/>
      <c r="CJ2279" s="72"/>
      <c r="CK2279" s="139"/>
      <c r="CL2279" s="71"/>
      <c r="CM2279" s="139"/>
      <c r="CN2279" s="138"/>
      <c r="CO2279" s="138"/>
      <c r="CP2279" s="138"/>
      <c r="CQ2279" s="139"/>
      <c r="CR2279" s="138"/>
      <c r="CS2279" s="45"/>
      <c r="CT2279" s="138"/>
      <c r="CU2279" s="45"/>
      <c r="CV2279" s="99">
        <f t="shared" si="225"/>
        <v>0</v>
      </c>
      <c r="CW2279" s="139"/>
      <c r="CX2279" s="138"/>
      <c r="CY2279" s="138"/>
      <c r="CZ2279" s="138"/>
      <c r="DA2279" s="139"/>
      <c r="DB2279" s="138"/>
      <c r="DC2279" s="45"/>
      <c r="DD2279" s="138"/>
      <c r="DE2279" s="45"/>
      <c r="DF2279" s="46"/>
    </row>
    <row r="2280" spans="1:110" s="42" customFormat="1" ht="96" x14ac:dyDescent="0.2">
      <c r="A2280" s="89">
        <v>40832</v>
      </c>
      <c r="B2280" s="196" t="s">
        <v>4352</v>
      </c>
      <c r="C2280" s="197" t="s">
        <v>4358</v>
      </c>
      <c r="D2280" s="197" t="s">
        <v>3346</v>
      </c>
      <c r="E2280" s="90" t="str">
        <f>VLOOKUP(B2280&amp;C2280,Divipola!$C$2:$F$1138,4,FALSE)</f>
        <v>13001</v>
      </c>
      <c r="F2280" s="4"/>
      <c r="G2280" s="194"/>
      <c r="H2280" s="194">
        <v>3</v>
      </c>
      <c r="I2280" s="194"/>
      <c r="J2280" s="194">
        <v>60</v>
      </c>
      <c r="K2280" s="194">
        <v>12</v>
      </c>
      <c r="L2280" s="194"/>
      <c r="M2280" s="194">
        <v>12</v>
      </c>
      <c r="N2280" s="194"/>
      <c r="O2280" s="194"/>
      <c r="P2280" s="194"/>
      <c r="Q2280" s="194"/>
      <c r="R2280" s="194"/>
      <c r="S2280" s="194"/>
      <c r="T2280" s="194"/>
      <c r="U2280" s="194"/>
      <c r="V2280" s="194"/>
      <c r="W2280" s="19"/>
      <c r="X2280" s="17"/>
      <c r="Y2280" s="5">
        <f t="shared" si="220"/>
        <v>0</v>
      </c>
      <c r="Z2280" s="5">
        <f t="shared" si="221"/>
        <v>0</v>
      </c>
      <c r="AA2280" s="5">
        <f t="shared" si="222"/>
        <v>0</v>
      </c>
      <c r="AB2280" s="5">
        <f t="shared" si="223"/>
        <v>0</v>
      </c>
      <c r="AC2280" s="5"/>
      <c r="AD2280" s="5">
        <v>0</v>
      </c>
      <c r="AE2280" s="5">
        <f t="shared" si="224"/>
        <v>0</v>
      </c>
      <c r="AF2280" s="70">
        <v>0</v>
      </c>
      <c r="AG2280" s="17"/>
      <c r="AH2280" s="18"/>
      <c r="AI2280" s="47" t="s">
        <v>4336</v>
      </c>
      <c r="AJ2280" s="73" t="s">
        <v>4337</v>
      </c>
      <c r="AK2280" s="45"/>
      <c r="AL2280" s="17"/>
      <c r="AM2280" s="195" t="s">
        <v>4682</v>
      </c>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39"/>
      <c r="CE2280" s="138"/>
      <c r="CF2280" s="139"/>
      <c r="CG2280" s="138"/>
      <c r="CH2280" s="139"/>
      <c r="CI2280" s="138"/>
      <c r="CJ2280" s="72"/>
      <c r="CK2280" s="139"/>
      <c r="CL2280" s="71"/>
      <c r="CM2280" s="139"/>
      <c r="CN2280" s="138"/>
      <c r="CO2280" s="138"/>
      <c r="CP2280" s="138"/>
      <c r="CQ2280" s="139"/>
      <c r="CR2280" s="138"/>
      <c r="CS2280" s="45"/>
      <c r="CT2280" s="138"/>
      <c r="CU2280" s="45"/>
      <c r="CV2280" s="99">
        <f t="shared" si="225"/>
        <v>0</v>
      </c>
      <c r="CW2280" s="139"/>
      <c r="CX2280" s="138"/>
      <c r="CY2280" s="138"/>
      <c r="CZ2280" s="138"/>
      <c r="DA2280" s="139"/>
      <c r="DB2280" s="138"/>
      <c r="DC2280" s="45"/>
      <c r="DD2280" s="138"/>
      <c r="DE2280" s="45"/>
      <c r="DF2280" s="46"/>
    </row>
    <row r="2281" spans="1:110" s="42" customFormat="1" ht="24" x14ac:dyDescent="0.2">
      <c r="A2281" s="89">
        <v>40832</v>
      </c>
      <c r="B2281" s="151" t="s">
        <v>4352</v>
      </c>
      <c r="C2281" s="90" t="s">
        <v>2532</v>
      </c>
      <c r="D2281" s="90" t="s">
        <v>4264</v>
      </c>
      <c r="E2281" s="90" t="str">
        <f>VLOOKUP(B2281&amp;C2281,Divipola!$C$2:$F$1138,4,FALSE)</f>
        <v>13647</v>
      </c>
      <c r="F2281" s="4"/>
      <c r="G2281" s="101"/>
      <c r="H2281" s="101"/>
      <c r="I2281" s="101"/>
      <c r="J2281" s="101"/>
      <c r="K2281" s="101"/>
      <c r="L2281" s="101"/>
      <c r="M2281" s="101"/>
      <c r="N2281" s="101"/>
      <c r="O2281" s="101"/>
      <c r="P2281" s="101"/>
      <c r="Q2281" s="101"/>
      <c r="R2281" s="101"/>
      <c r="S2281" s="101"/>
      <c r="T2281" s="101"/>
      <c r="U2281" s="101"/>
      <c r="V2281" s="101"/>
      <c r="W2281" s="19"/>
      <c r="X2281" s="17"/>
      <c r="Y2281" s="5">
        <f t="shared" si="220"/>
        <v>0</v>
      </c>
      <c r="Z2281" s="5">
        <f t="shared" si="221"/>
        <v>0</v>
      </c>
      <c r="AA2281" s="5">
        <f t="shared" si="222"/>
        <v>0</v>
      </c>
      <c r="AB2281" s="5">
        <f t="shared" si="223"/>
        <v>0</v>
      </c>
      <c r="AC2281" s="5"/>
      <c r="AD2281" s="5">
        <v>0</v>
      </c>
      <c r="AE2281" s="5">
        <f t="shared" si="224"/>
        <v>0</v>
      </c>
      <c r="AF2281" s="70">
        <v>0</v>
      </c>
      <c r="AG2281" s="17"/>
      <c r="AH2281" s="18"/>
      <c r="AI2281" s="47" t="s">
        <v>4336</v>
      </c>
      <c r="AJ2281" s="73" t="s">
        <v>4337</v>
      </c>
      <c r="AK2281" s="45"/>
      <c r="AL2281" s="17"/>
      <c r="AM2281" s="121" t="s">
        <v>4697</v>
      </c>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39"/>
      <c r="CE2281" s="138"/>
      <c r="CF2281" s="139"/>
      <c r="CG2281" s="138"/>
      <c r="CH2281" s="139"/>
      <c r="CI2281" s="138"/>
      <c r="CJ2281" s="72"/>
      <c r="CK2281" s="139"/>
      <c r="CL2281" s="71"/>
      <c r="CM2281" s="139"/>
      <c r="CN2281" s="138"/>
      <c r="CO2281" s="138"/>
      <c r="CP2281" s="138"/>
      <c r="CQ2281" s="139"/>
      <c r="CR2281" s="138"/>
      <c r="CS2281" s="45"/>
      <c r="CT2281" s="138"/>
      <c r="CU2281" s="45"/>
      <c r="CV2281" s="99">
        <f t="shared" si="225"/>
        <v>0</v>
      </c>
      <c r="CW2281" s="139"/>
      <c r="CX2281" s="138"/>
      <c r="CY2281" s="138"/>
      <c r="CZ2281" s="138"/>
      <c r="DA2281" s="139"/>
      <c r="DB2281" s="138"/>
      <c r="DC2281" s="45"/>
      <c r="DD2281" s="138"/>
      <c r="DE2281" s="45"/>
      <c r="DF2281" s="46"/>
    </row>
    <row r="2282" spans="1:110" s="42" customFormat="1" ht="36" x14ac:dyDescent="0.2">
      <c r="A2282" s="89">
        <v>40832</v>
      </c>
      <c r="B2282" s="151" t="s">
        <v>4352</v>
      </c>
      <c r="C2282" s="90" t="s">
        <v>2236</v>
      </c>
      <c r="D2282" s="90" t="s">
        <v>4264</v>
      </c>
      <c r="E2282" s="90" t="str">
        <f>VLOOKUP(B2282&amp;C2282,Divipola!$C$2:$F$1138,4,FALSE)</f>
        <v>13657</v>
      </c>
      <c r="F2282" s="4"/>
      <c r="G2282" s="101"/>
      <c r="H2282" s="101"/>
      <c r="I2282" s="101"/>
      <c r="J2282" s="101">
        <v>759</v>
      </c>
      <c r="K2282" s="101">
        <v>226</v>
      </c>
      <c r="L2282" s="101"/>
      <c r="M2282" s="101">
        <v>226</v>
      </c>
      <c r="N2282" s="101"/>
      <c r="O2282" s="101"/>
      <c r="P2282" s="101"/>
      <c r="Q2282" s="101"/>
      <c r="R2282" s="101"/>
      <c r="S2282" s="101"/>
      <c r="T2282" s="101"/>
      <c r="U2282" s="101"/>
      <c r="V2282" s="101"/>
      <c r="W2282" s="19"/>
      <c r="X2282" s="17"/>
      <c r="Y2282" s="5">
        <f t="shared" si="220"/>
        <v>0</v>
      </c>
      <c r="Z2282" s="5">
        <f t="shared" si="221"/>
        <v>0</v>
      </c>
      <c r="AA2282" s="5">
        <f t="shared" si="222"/>
        <v>0</v>
      </c>
      <c r="AB2282" s="5">
        <f t="shared" si="223"/>
        <v>0</v>
      </c>
      <c r="AC2282" s="5"/>
      <c r="AD2282" s="5">
        <v>0</v>
      </c>
      <c r="AE2282" s="5">
        <f t="shared" si="224"/>
        <v>0</v>
      </c>
      <c r="AF2282" s="70">
        <v>0</v>
      </c>
      <c r="AG2282" s="17"/>
      <c r="AH2282" s="18"/>
      <c r="AI2282" s="47" t="s">
        <v>4336</v>
      </c>
      <c r="AJ2282" s="73" t="s">
        <v>4337</v>
      </c>
      <c r="AK2282" s="45"/>
      <c r="AL2282" s="17"/>
      <c r="AM2282" s="121" t="s">
        <v>4719</v>
      </c>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39"/>
      <c r="CE2282" s="138"/>
      <c r="CF2282" s="139"/>
      <c r="CG2282" s="138"/>
      <c r="CH2282" s="139"/>
      <c r="CI2282" s="138"/>
      <c r="CJ2282" s="72"/>
      <c r="CK2282" s="139"/>
      <c r="CL2282" s="71"/>
      <c r="CM2282" s="139"/>
      <c r="CN2282" s="138"/>
      <c r="CO2282" s="138"/>
      <c r="CP2282" s="138"/>
      <c r="CQ2282" s="139"/>
      <c r="CR2282" s="138"/>
      <c r="CS2282" s="45"/>
      <c r="CT2282" s="138"/>
      <c r="CU2282" s="45"/>
      <c r="CV2282" s="99">
        <f t="shared" si="225"/>
        <v>0</v>
      </c>
      <c r="CW2282" s="139"/>
      <c r="CX2282" s="138"/>
      <c r="CY2282" s="138"/>
      <c r="CZ2282" s="138"/>
      <c r="DA2282" s="139"/>
      <c r="DB2282" s="138"/>
      <c r="DC2282" s="45"/>
      <c r="DD2282" s="138"/>
      <c r="DE2282" s="45"/>
      <c r="DF2282" s="46"/>
    </row>
    <row r="2283" spans="1:110" s="42" customFormat="1" ht="36" x14ac:dyDescent="0.2">
      <c r="A2283" s="89">
        <v>40832</v>
      </c>
      <c r="B2283" s="151" t="s">
        <v>4352</v>
      </c>
      <c r="C2283" s="90" t="s">
        <v>4237</v>
      </c>
      <c r="D2283" s="90" t="s">
        <v>4264</v>
      </c>
      <c r="E2283" s="90" t="str">
        <f>VLOOKUP(B2283&amp;C2283,Divipola!$C$2:$F$1138,4,FALSE)</f>
        <v>13683</v>
      </c>
      <c r="F2283" s="4"/>
      <c r="G2283" s="101"/>
      <c r="H2283" s="101"/>
      <c r="I2283" s="101"/>
      <c r="J2283" s="101">
        <f>444*5</f>
        <v>2220</v>
      </c>
      <c r="K2283" s="101">
        <v>444</v>
      </c>
      <c r="L2283" s="101"/>
      <c r="M2283" s="101"/>
      <c r="N2283" s="101"/>
      <c r="O2283" s="101"/>
      <c r="P2283" s="101"/>
      <c r="Q2283" s="101"/>
      <c r="R2283" s="101"/>
      <c r="S2283" s="101"/>
      <c r="T2283" s="101"/>
      <c r="U2283" s="101"/>
      <c r="V2283" s="101"/>
      <c r="W2283" s="19"/>
      <c r="X2283" s="17"/>
      <c r="Y2283" s="5">
        <f t="shared" si="220"/>
        <v>0</v>
      </c>
      <c r="Z2283" s="5">
        <f t="shared" si="221"/>
        <v>0</v>
      </c>
      <c r="AA2283" s="5">
        <f t="shared" si="222"/>
        <v>0</v>
      </c>
      <c r="AB2283" s="5">
        <f t="shared" si="223"/>
        <v>0</v>
      </c>
      <c r="AC2283" s="5"/>
      <c r="AD2283" s="5">
        <v>0</v>
      </c>
      <c r="AE2283" s="5">
        <f t="shared" si="224"/>
        <v>0</v>
      </c>
      <c r="AF2283" s="70">
        <v>0</v>
      </c>
      <c r="AG2283" s="17"/>
      <c r="AH2283" s="18"/>
      <c r="AI2283" s="47" t="s">
        <v>4336</v>
      </c>
      <c r="AJ2283" s="73" t="s">
        <v>4337</v>
      </c>
      <c r="AK2283" s="45"/>
      <c r="AL2283" s="17"/>
      <c r="AM2283" s="121" t="s">
        <v>4696</v>
      </c>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39"/>
      <c r="CE2283" s="138"/>
      <c r="CF2283" s="139"/>
      <c r="CG2283" s="138"/>
      <c r="CH2283" s="139"/>
      <c r="CI2283" s="138"/>
      <c r="CJ2283" s="72"/>
      <c r="CK2283" s="139"/>
      <c r="CL2283" s="71"/>
      <c r="CM2283" s="139"/>
      <c r="CN2283" s="138"/>
      <c r="CO2283" s="138"/>
      <c r="CP2283" s="138"/>
      <c r="CQ2283" s="139"/>
      <c r="CR2283" s="138"/>
      <c r="CS2283" s="45"/>
      <c r="CT2283" s="138"/>
      <c r="CU2283" s="45"/>
      <c r="CV2283" s="99">
        <f t="shared" si="225"/>
        <v>0</v>
      </c>
      <c r="CW2283" s="139"/>
      <c r="CX2283" s="138"/>
      <c r="CY2283" s="138"/>
      <c r="CZ2283" s="138"/>
      <c r="DA2283" s="139"/>
      <c r="DB2283" s="138"/>
      <c r="DC2283" s="45"/>
      <c r="DD2283" s="138"/>
      <c r="DE2283" s="45"/>
      <c r="DF2283" s="46"/>
    </row>
    <row r="2284" spans="1:110" s="42" customFormat="1" ht="36" x14ac:dyDescent="0.2">
      <c r="A2284" s="89">
        <v>40832</v>
      </c>
      <c r="B2284" s="151" t="s">
        <v>4352</v>
      </c>
      <c r="C2284" s="90" t="s">
        <v>2566</v>
      </c>
      <c r="D2284" s="90" t="s">
        <v>4264</v>
      </c>
      <c r="E2284" s="90" t="str">
        <f>VLOOKUP(B2284&amp;C2284,Divipola!$C$2:$F$1138,4,FALSE)</f>
        <v>13836</v>
      </c>
      <c r="F2284" s="4"/>
      <c r="G2284" s="101"/>
      <c r="H2284" s="101"/>
      <c r="I2284" s="101"/>
      <c r="J2284" s="101">
        <v>1250</v>
      </c>
      <c r="K2284" s="101">
        <v>250</v>
      </c>
      <c r="L2284" s="101"/>
      <c r="M2284" s="101">
        <v>250</v>
      </c>
      <c r="N2284" s="101"/>
      <c r="O2284" s="101"/>
      <c r="P2284" s="101"/>
      <c r="Q2284" s="101"/>
      <c r="R2284" s="101"/>
      <c r="S2284" s="101"/>
      <c r="T2284" s="101"/>
      <c r="U2284" s="101"/>
      <c r="V2284" s="101"/>
      <c r="W2284" s="19"/>
      <c r="X2284" s="17"/>
      <c r="Y2284" s="5">
        <f t="shared" si="220"/>
        <v>0</v>
      </c>
      <c r="Z2284" s="5">
        <f t="shared" si="221"/>
        <v>0</v>
      </c>
      <c r="AA2284" s="5">
        <f t="shared" si="222"/>
        <v>0</v>
      </c>
      <c r="AB2284" s="5">
        <f t="shared" si="223"/>
        <v>0</v>
      </c>
      <c r="AC2284" s="5"/>
      <c r="AD2284" s="5">
        <v>0</v>
      </c>
      <c r="AE2284" s="5">
        <f t="shared" si="224"/>
        <v>0</v>
      </c>
      <c r="AF2284" s="70">
        <v>0</v>
      </c>
      <c r="AG2284" s="17"/>
      <c r="AH2284" s="18"/>
      <c r="AI2284" s="47" t="s">
        <v>4336</v>
      </c>
      <c r="AJ2284" s="73" t="s">
        <v>4337</v>
      </c>
      <c r="AK2284" s="45"/>
      <c r="AL2284" s="17"/>
      <c r="AM2284" s="121" t="s">
        <v>4694</v>
      </c>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39"/>
      <c r="CE2284" s="138"/>
      <c r="CF2284" s="139"/>
      <c r="CG2284" s="138"/>
      <c r="CH2284" s="139"/>
      <c r="CI2284" s="138"/>
      <c r="CJ2284" s="72"/>
      <c r="CK2284" s="139"/>
      <c r="CL2284" s="71"/>
      <c r="CM2284" s="139"/>
      <c r="CN2284" s="138"/>
      <c r="CO2284" s="138"/>
      <c r="CP2284" s="138"/>
      <c r="CQ2284" s="139"/>
      <c r="CR2284" s="138"/>
      <c r="CS2284" s="45"/>
      <c r="CT2284" s="138"/>
      <c r="CU2284" s="45"/>
      <c r="CV2284" s="99">
        <f t="shared" si="225"/>
        <v>0</v>
      </c>
      <c r="CW2284" s="139"/>
      <c r="CX2284" s="138"/>
      <c r="CY2284" s="138"/>
      <c r="CZ2284" s="138"/>
      <c r="DA2284" s="139"/>
      <c r="DB2284" s="138"/>
      <c r="DC2284" s="45"/>
      <c r="DD2284" s="138"/>
      <c r="DE2284" s="45"/>
      <c r="DF2284" s="46"/>
    </row>
    <row r="2285" spans="1:110" s="42" customFormat="1" ht="48" x14ac:dyDescent="0.2">
      <c r="A2285" s="89">
        <v>40832</v>
      </c>
      <c r="B2285" s="151" t="s">
        <v>4261</v>
      </c>
      <c r="C2285" s="90" t="s">
        <v>2581</v>
      </c>
      <c r="D2285" s="90" t="s">
        <v>4264</v>
      </c>
      <c r="E2285" s="90" t="str">
        <f>VLOOKUP(B2285&amp;C2285,Divipola!$C$2:$F$1138,4,FALSE)</f>
        <v>15047</v>
      </c>
      <c r="F2285" s="4"/>
      <c r="G2285" s="101"/>
      <c r="H2285" s="101"/>
      <c r="I2285" s="101"/>
      <c r="J2285" s="101">
        <v>25</v>
      </c>
      <c r="K2285" s="101">
        <v>5</v>
      </c>
      <c r="L2285" s="101"/>
      <c r="M2285" s="101">
        <v>5</v>
      </c>
      <c r="N2285" s="101"/>
      <c r="O2285" s="101"/>
      <c r="P2285" s="101"/>
      <c r="Q2285" s="101"/>
      <c r="R2285" s="101"/>
      <c r="S2285" s="101"/>
      <c r="T2285" s="101"/>
      <c r="U2285" s="101"/>
      <c r="V2285" s="101"/>
      <c r="W2285" s="19"/>
      <c r="X2285" s="17"/>
      <c r="Y2285" s="5">
        <f t="shared" si="220"/>
        <v>0</v>
      </c>
      <c r="Z2285" s="5">
        <f t="shared" si="221"/>
        <v>0</v>
      </c>
      <c r="AA2285" s="5">
        <f t="shared" si="222"/>
        <v>0</v>
      </c>
      <c r="AB2285" s="5">
        <f t="shared" si="223"/>
        <v>0</v>
      </c>
      <c r="AC2285" s="5"/>
      <c r="AD2285" s="5">
        <v>0</v>
      </c>
      <c r="AE2285" s="5">
        <f t="shared" si="224"/>
        <v>0</v>
      </c>
      <c r="AF2285" s="70">
        <v>0</v>
      </c>
      <c r="AG2285" s="17"/>
      <c r="AH2285" s="18"/>
      <c r="AI2285" s="47" t="s">
        <v>4346</v>
      </c>
      <c r="AJ2285" s="73" t="s">
        <v>4347</v>
      </c>
      <c r="AK2285" s="45"/>
      <c r="AL2285" s="89" t="s">
        <v>2798</v>
      </c>
      <c r="AM2285" s="121" t="s">
        <v>4723</v>
      </c>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39"/>
      <c r="CE2285" s="138"/>
      <c r="CF2285" s="139"/>
      <c r="CG2285" s="138"/>
      <c r="CH2285" s="139"/>
      <c r="CI2285" s="138"/>
      <c r="CJ2285" s="72"/>
      <c r="CK2285" s="139"/>
      <c r="CL2285" s="71"/>
      <c r="CM2285" s="139"/>
      <c r="CN2285" s="138"/>
      <c r="CO2285" s="138"/>
      <c r="CP2285" s="138"/>
      <c r="CQ2285" s="139"/>
      <c r="CR2285" s="138"/>
      <c r="CS2285" s="45"/>
      <c r="CT2285" s="138"/>
      <c r="CU2285" s="45"/>
      <c r="CV2285" s="99">
        <f t="shared" si="225"/>
        <v>0</v>
      </c>
      <c r="CW2285" s="139"/>
      <c r="CX2285" s="138"/>
      <c r="CY2285" s="138"/>
      <c r="CZ2285" s="138"/>
      <c r="DA2285" s="139"/>
      <c r="DB2285" s="138"/>
      <c r="DC2285" s="45"/>
      <c r="DD2285" s="138"/>
      <c r="DE2285" s="45"/>
      <c r="DF2285" s="46"/>
    </row>
    <row r="2286" spans="1:110" s="42" customFormat="1" ht="36" x14ac:dyDescent="0.2">
      <c r="A2286" s="89">
        <v>40832</v>
      </c>
      <c r="B2286" s="151" t="s">
        <v>4261</v>
      </c>
      <c r="C2286" s="90" t="s">
        <v>2256</v>
      </c>
      <c r="D2286" s="90" t="s">
        <v>4264</v>
      </c>
      <c r="E2286" s="90" t="str">
        <f>VLOOKUP(B2286&amp;C2286,Divipola!$C$2:$F$1138,4,FALSE)</f>
        <v>15759</v>
      </c>
      <c r="F2286" s="4"/>
      <c r="G2286" s="101"/>
      <c r="H2286" s="101"/>
      <c r="I2286" s="101"/>
      <c r="J2286" s="101">
        <v>25</v>
      </c>
      <c r="K2286" s="101">
        <v>5</v>
      </c>
      <c r="L2286" s="101"/>
      <c r="M2286" s="101">
        <v>5</v>
      </c>
      <c r="N2286" s="101"/>
      <c r="O2286" s="101"/>
      <c r="P2286" s="101"/>
      <c r="Q2286" s="101"/>
      <c r="R2286" s="101"/>
      <c r="S2286" s="101"/>
      <c r="T2286" s="101"/>
      <c r="U2286" s="101"/>
      <c r="V2286" s="101"/>
      <c r="W2286" s="19"/>
      <c r="X2286" s="17"/>
      <c r="Y2286" s="5">
        <f t="shared" si="220"/>
        <v>0</v>
      </c>
      <c r="Z2286" s="5">
        <f t="shared" si="221"/>
        <v>0</v>
      </c>
      <c r="AA2286" s="5">
        <f t="shared" si="222"/>
        <v>0</v>
      </c>
      <c r="AB2286" s="5">
        <f t="shared" si="223"/>
        <v>0</v>
      </c>
      <c r="AC2286" s="5"/>
      <c r="AD2286" s="5">
        <v>0</v>
      </c>
      <c r="AE2286" s="5">
        <f t="shared" si="224"/>
        <v>0</v>
      </c>
      <c r="AF2286" s="70">
        <v>0</v>
      </c>
      <c r="AG2286" s="17"/>
      <c r="AH2286" s="18"/>
      <c r="AI2286" s="47" t="s">
        <v>4346</v>
      </c>
      <c r="AJ2286" s="73" t="s">
        <v>4347</v>
      </c>
      <c r="AK2286" s="45"/>
      <c r="AL2286" s="89" t="s">
        <v>2798</v>
      </c>
      <c r="AM2286" s="121" t="s">
        <v>4721</v>
      </c>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39"/>
      <c r="CE2286" s="138"/>
      <c r="CF2286" s="139"/>
      <c r="CG2286" s="138"/>
      <c r="CH2286" s="139"/>
      <c r="CI2286" s="138"/>
      <c r="CJ2286" s="72"/>
      <c r="CK2286" s="139"/>
      <c r="CL2286" s="71"/>
      <c r="CM2286" s="139"/>
      <c r="CN2286" s="138"/>
      <c r="CO2286" s="138"/>
      <c r="CP2286" s="138"/>
      <c r="CQ2286" s="139"/>
      <c r="CR2286" s="138"/>
      <c r="CS2286" s="45"/>
      <c r="CT2286" s="138"/>
      <c r="CU2286" s="45"/>
      <c r="CV2286" s="99">
        <f t="shared" si="225"/>
        <v>0</v>
      </c>
      <c r="CW2286" s="139"/>
      <c r="CX2286" s="138"/>
      <c r="CY2286" s="138"/>
      <c r="CZ2286" s="138"/>
      <c r="DA2286" s="139"/>
      <c r="DB2286" s="138"/>
      <c r="DC2286" s="45"/>
      <c r="DD2286" s="138"/>
      <c r="DE2286" s="45"/>
      <c r="DF2286" s="46"/>
    </row>
    <row r="2287" spans="1:110" s="42" customFormat="1" ht="36" x14ac:dyDescent="0.2">
      <c r="A2287" s="89">
        <v>40832</v>
      </c>
      <c r="B2287" s="151" t="s">
        <v>4261</v>
      </c>
      <c r="C2287" s="90" t="s">
        <v>2256</v>
      </c>
      <c r="D2287" s="90" t="s">
        <v>2362</v>
      </c>
      <c r="E2287" s="90" t="str">
        <f>VLOOKUP(B2287&amp;C2287,Divipola!$C$2:$F$1138,4,FALSE)</f>
        <v>15759</v>
      </c>
      <c r="F2287" s="4"/>
      <c r="G2287" s="101"/>
      <c r="H2287" s="101"/>
      <c r="I2287" s="101"/>
      <c r="J2287" s="101"/>
      <c r="K2287" s="101"/>
      <c r="L2287" s="101"/>
      <c r="M2287" s="101"/>
      <c r="N2287" s="101">
        <v>1</v>
      </c>
      <c r="O2287" s="101"/>
      <c r="P2287" s="101"/>
      <c r="Q2287" s="101"/>
      <c r="R2287" s="101"/>
      <c r="S2287" s="101"/>
      <c r="T2287" s="101"/>
      <c r="U2287" s="101"/>
      <c r="V2287" s="101"/>
      <c r="W2287" s="19"/>
      <c r="X2287" s="17"/>
      <c r="Y2287" s="5">
        <f t="shared" si="220"/>
        <v>0</v>
      </c>
      <c r="Z2287" s="5">
        <f t="shared" si="221"/>
        <v>0</v>
      </c>
      <c r="AA2287" s="5">
        <f t="shared" si="222"/>
        <v>0</v>
      </c>
      <c r="AB2287" s="5">
        <f t="shared" si="223"/>
        <v>0</v>
      </c>
      <c r="AC2287" s="5"/>
      <c r="AD2287" s="5">
        <v>0</v>
      </c>
      <c r="AE2287" s="5">
        <f t="shared" si="224"/>
        <v>0</v>
      </c>
      <c r="AF2287" s="70">
        <v>0</v>
      </c>
      <c r="AG2287" s="17"/>
      <c r="AH2287" s="18"/>
      <c r="AI2287" s="47" t="s">
        <v>4336</v>
      </c>
      <c r="AJ2287" s="73" t="s">
        <v>4337</v>
      </c>
      <c r="AK2287" s="45"/>
      <c r="AL2287" s="17"/>
      <c r="AM2287" s="121" t="s">
        <v>4722</v>
      </c>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39"/>
      <c r="CE2287" s="138"/>
      <c r="CF2287" s="139"/>
      <c r="CG2287" s="138"/>
      <c r="CH2287" s="139"/>
      <c r="CI2287" s="138"/>
      <c r="CJ2287" s="72"/>
      <c r="CK2287" s="139"/>
      <c r="CL2287" s="71"/>
      <c r="CM2287" s="139"/>
      <c r="CN2287" s="138"/>
      <c r="CO2287" s="138"/>
      <c r="CP2287" s="138"/>
      <c r="CQ2287" s="139"/>
      <c r="CR2287" s="138"/>
      <c r="CS2287" s="45"/>
      <c r="CT2287" s="138"/>
      <c r="CU2287" s="45"/>
      <c r="CV2287" s="99">
        <f t="shared" si="225"/>
        <v>0</v>
      </c>
      <c r="CW2287" s="139"/>
      <c r="CX2287" s="138"/>
      <c r="CY2287" s="138"/>
      <c r="CZ2287" s="138"/>
      <c r="DA2287" s="139"/>
      <c r="DB2287" s="138"/>
      <c r="DC2287" s="45"/>
      <c r="DD2287" s="138"/>
      <c r="DE2287" s="45"/>
      <c r="DF2287" s="46"/>
    </row>
    <row r="2288" spans="1:110" s="42" customFormat="1" ht="60" x14ac:dyDescent="0.2">
      <c r="A2288" s="89">
        <v>40832</v>
      </c>
      <c r="B2288" s="151" t="s">
        <v>3533</v>
      </c>
      <c r="C2288" s="90" t="s">
        <v>4242</v>
      </c>
      <c r="D2288" s="90" t="s">
        <v>2362</v>
      </c>
      <c r="E2288" s="90" t="str">
        <f>VLOOKUP(B2288&amp;C2288,Divipola!$C$2:$F$1138,4,FALSE)</f>
        <v>17873</v>
      </c>
      <c r="F2288" s="4"/>
      <c r="G2288" s="101"/>
      <c r="H2288" s="101"/>
      <c r="I2288" s="101"/>
      <c r="J2288" s="101">
        <v>21</v>
      </c>
      <c r="K2288" s="101">
        <v>3</v>
      </c>
      <c r="L2288" s="101">
        <v>3</v>
      </c>
      <c r="M2288" s="101"/>
      <c r="N2288" s="101"/>
      <c r="O2288" s="101"/>
      <c r="P2288" s="101"/>
      <c r="Q2288" s="101"/>
      <c r="R2288" s="101"/>
      <c r="S2288" s="101"/>
      <c r="T2288" s="101"/>
      <c r="U2288" s="101"/>
      <c r="V2288" s="101"/>
      <c r="W2288" s="19"/>
      <c r="X2288" s="17"/>
      <c r="Y2288" s="5">
        <f t="shared" si="220"/>
        <v>0</v>
      </c>
      <c r="Z2288" s="5">
        <f t="shared" si="221"/>
        <v>0</v>
      </c>
      <c r="AA2288" s="5">
        <f t="shared" si="222"/>
        <v>0</v>
      </c>
      <c r="AB2288" s="5">
        <f t="shared" si="223"/>
        <v>0</v>
      </c>
      <c r="AC2288" s="5"/>
      <c r="AD2288" s="5">
        <v>0</v>
      </c>
      <c r="AE2288" s="5">
        <f t="shared" si="224"/>
        <v>0</v>
      </c>
      <c r="AF2288" s="70">
        <v>0</v>
      </c>
      <c r="AG2288" s="17"/>
      <c r="AH2288" s="18"/>
      <c r="AI2288" s="47" t="s">
        <v>4336</v>
      </c>
      <c r="AJ2288" s="73" t="s">
        <v>4337</v>
      </c>
      <c r="AK2288" s="45"/>
      <c r="AL2288" s="17"/>
      <c r="AM2288" s="195" t="s">
        <v>4677</v>
      </c>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39"/>
      <c r="CE2288" s="138"/>
      <c r="CF2288" s="139"/>
      <c r="CG2288" s="138"/>
      <c r="CH2288" s="139"/>
      <c r="CI2288" s="138"/>
      <c r="CJ2288" s="72"/>
      <c r="CK2288" s="139"/>
      <c r="CL2288" s="71"/>
      <c r="CM2288" s="139"/>
      <c r="CN2288" s="138"/>
      <c r="CO2288" s="138"/>
      <c r="CP2288" s="138"/>
      <c r="CQ2288" s="139"/>
      <c r="CR2288" s="138"/>
      <c r="CS2288" s="45"/>
      <c r="CT2288" s="138"/>
      <c r="CU2288" s="45"/>
      <c r="CV2288" s="99">
        <f t="shared" si="225"/>
        <v>0</v>
      </c>
      <c r="CW2288" s="139"/>
      <c r="CX2288" s="138"/>
      <c r="CY2288" s="138"/>
      <c r="CZ2288" s="138"/>
      <c r="DA2288" s="139"/>
      <c r="DB2288" s="138"/>
      <c r="DC2288" s="45"/>
      <c r="DD2288" s="138"/>
      <c r="DE2288" s="45"/>
      <c r="DF2288" s="46"/>
    </row>
    <row r="2289" spans="1:110" s="42" customFormat="1" ht="168" x14ac:dyDescent="0.2">
      <c r="A2289" s="89">
        <v>40832</v>
      </c>
      <c r="B2289" s="196" t="s">
        <v>2225</v>
      </c>
      <c r="C2289" s="197" t="s">
        <v>1874</v>
      </c>
      <c r="D2289" s="90" t="s">
        <v>2362</v>
      </c>
      <c r="E2289" s="90" t="str">
        <f>VLOOKUP(B2289&amp;C2289,Divipola!$C$2:$F$1138,4,FALSE)</f>
        <v>27245</v>
      </c>
      <c r="F2289" s="4"/>
      <c r="G2289" s="194">
        <v>2</v>
      </c>
      <c r="H2289" s="194"/>
      <c r="I2289" s="194">
        <v>2</v>
      </c>
      <c r="J2289" s="194"/>
      <c r="K2289" s="194"/>
      <c r="L2289" s="194"/>
      <c r="M2289" s="194"/>
      <c r="N2289" s="194">
        <v>1</v>
      </c>
      <c r="O2289" s="194"/>
      <c r="P2289" s="194"/>
      <c r="Q2289" s="194"/>
      <c r="R2289" s="194"/>
      <c r="S2289" s="194"/>
      <c r="T2289" s="194"/>
      <c r="U2289" s="194"/>
      <c r="V2289" s="194"/>
      <c r="W2289" s="19"/>
      <c r="X2289" s="17"/>
      <c r="Y2289" s="5">
        <f t="shared" si="220"/>
        <v>13949754</v>
      </c>
      <c r="Z2289" s="5">
        <f t="shared" si="221"/>
        <v>13050000</v>
      </c>
      <c r="AA2289" s="5">
        <f t="shared" si="222"/>
        <v>0</v>
      </c>
      <c r="AB2289" s="5">
        <f t="shared" si="223"/>
        <v>0</v>
      </c>
      <c r="AC2289" s="5"/>
      <c r="AD2289" s="5">
        <v>20319000</v>
      </c>
      <c r="AE2289" s="5">
        <f t="shared" si="224"/>
        <v>47318754</v>
      </c>
      <c r="AF2289" s="70">
        <v>0</v>
      </c>
      <c r="AG2289" s="17"/>
      <c r="AH2289" s="18"/>
      <c r="AI2289" s="109" t="s">
        <v>4346</v>
      </c>
      <c r="AJ2289" s="110" t="s">
        <v>4347</v>
      </c>
      <c r="AK2289" s="45"/>
      <c r="AL2289" s="17"/>
      <c r="AM2289" s="195" t="s">
        <v>4755</v>
      </c>
      <c r="AN2289" s="19"/>
      <c r="AO2289" s="19"/>
      <c r="AP2289" s="19"/>
      <c r="AQ2289" s="19"/>
      <c r="AR2289" s="19"/>
      <c r="AS2289" s="19"/>
      <c r="AT2289" s="19"/>
      <c r="AU2289" s="19"/>
      <c r="AV2289" s="19"/>
      <c r="AW2289" s="19"/>
      <c r="AX2289" s="19"/>
      <c r="AY2289" s="19"/>
      <c r="AZ2289" s="19">
        <v>150</v>
      </c>
      <c r="BA2289" s="19">
        <f>150*55999</f>
        <v>8399850</v>
      </c>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39"/>
      <c r="CE2289" s="138"/>
      <c r="CF2289" s="139"/>
      <c r="CG2289" s="138"/>
      <c r="CH2289" s="139"/>
      <c r="CI2289" s="138"/>
      <c r="CJ2289" s="72"/>
      <c r="CK2289" s="139"/>
      <c r="CL2289" s="71"/>
      <c r="CM2289" s="139"/>
      <c r="CN2289" s="138"/>
      <c r="CO2289" s="138"/>
      <c r="CP2289" s="138">
        <v>150</v>
      </c>
      <c r="CQ2289" s="139">
        <f>150*36999.36</f>
        <v>5549904</v>
      </c>
      <c r="CR2289" s="138"/>
      <c r="CS2289" s="45"/>
      <c r="CT2289" s="138"/>
      <c r="CU2289" s="45"/>
      <c r="CV2289" s="99">
        <f t="shared" si="225"/>
        <v>13949754</v>
      </c>
      <c r="CW2289" s="139"/>
      <c r="CX2289" s="138"/>
      <c r="CY2289" s="138">
        <v>150</v>
      </c>
      <c r="CZ2289" s="138">
        <f>150*87000</f>
        <v>13050000</v>
      </c>
      <c r="DA2289" s="139"/>
      <c r="DB2289" s="138"/>
      <c r="DC2289" s="45"/>
      <c r="DD2289" s="138"/>
      <c r="DE2289" s="45"/>
      <c r="DF2289" s="46"/>
    </row>
    <row r="2290" spans="1:110" s="42" customFormat="1" ht="108" x14ac:dyDescent="0.2">
      <c r="A2290" s="89">
        <v>40832</v>
      </c>
      <c r="B2290" s="151" t="s">
        <v>4308</v>
      </c>
      <c r="C2290" s="90" t="s">
        <v>742</v>
      </c>
      <c r="D2290" s="90" t="s">
        <v>4264</v>
      </c>
      <c r="E2290" s="90" t="str">
        <f>VLOOKUP(B2290&amp;C2290,Divipola!$C$2:$F$1138,4,FALSE)</f>
        <v>47058</v>
      </c>
      <c r="F2290" s="4"/>
      <c r="G2290" s="194"/>
      <c r="H2290" s="194"/>
      <c r="I2290" s="194"/>
      <c r="J2290" s="194">
        <f>150*5</f>
        <v>750</v>
      </c>
      <c r="K2290" s="194">
        <v>150</v>
      </c>
      <c r="L2290" s="194"/>
      <c r="M2290" s="194">
        <v>150</v>
      </c>
      <c r="N2290" s="194"/>
      <c r="O2290" s="194"/>
      <c r="P2290" s="194"/>
      <c r="Q2290" s="194"/>
      <c r="R2290" s="194"/>
      <c r="S2290" s="194"/>
      <c r="T2290" s="194"/>
      <c r="U2290" s="194"/>
      <c r="V2290" s="194"/>
      <c r="W2290" s="19"/>
      <c r="X2290" s="17"/>
      <c r="Y2290" s="5">
        <f t="shared" si="220"/>
        <v>0</v>
      </c>
      <c r="Z2290" s="5">
        <f t="shared" si="221"/>
        <v>0</v>
      </c>
      <c r="AA2290" s="5">
        <f t="shared" si="222"/>
        <v>0</v>
      </c>
      <c r="AB2290" s="5">
        <f t="shared" si="223"/>
        <v>0</v>
      </c>
      <c r="AC2290" s="5"/>
      <c r="AD2290" s="5">
        <v>15000000</v>
      </c>
      <c r="AE2290" s="5">
        <f t="shared" si="224"/>
        <v>15000000</v>
      </c>
      <c r="AF2290" s="70">
        <v>0</v>
      </c>
      <c r="AG2290" s="17"/>
      <c r="AH2290" s="18"/>
      <c r="AI2290" s="47" t="s">
        <v>4346</v>
      </c>
      <c r="AJ2290" s="73" t="s">
        <v>4347</v>
      </c>
      <c r="AK2290" s="45"/>
      <c r="AL2290" s="89" t="s">
        <v>2798</v>
      </c>
      <c r="AM2290" s="195" t="s">
        <v>4857</v>
      </c>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39"/>
      <c r="CE2290" s="138"/>
      <c r="CF2290" s="139"/>
      <c r="CG2290" s="138"/>
      <c r="CH2290" s="139"/>
      <c r="CI2290" s="138"/>
      <c r="CJ2290" s="72"/>
      <c r="CK2290" s="139"/>
      <c r="CL2290" s="71"/>
      <c r="CM2290" s="139"/>
      <c r="CN2290" s="138"/>
      <c r="CO2290" s="138"/>
      <c r="CP2290" s="138"/>
      <c r="CQ2290" s="139"/>
      <c r="CR2290" s="138"/>
      <c r="CS2290" s="45"/>
      <c r="CT2290" s="138"/>
      <c r="CU2290" s="45"/>
      <c r="CV2290" s="99">
        <f t="shared" si="225"/>
        <v>0</v>
      </c>
      <c r="CW2290" s="139"/>
      <c r="CX2290" s="138"/>
      <c r="CY2290" s="138"/>
      <c r="CZ2290" s="138"/>
      <c r="DA2290" s="139"/>
      <c r="DB2290" s="138"/>
      <c r="DC2290" s="45"/>
      <c r="DD2290" s="138"/>
      <c r="DE2290" s="45"/>
      <c r="DF2290" s="46"/>
    </row>
    <row r="2291" spans="1:110" s="42" customFormat="1" ht="84" x14ac:dyDescent="0.2">
      <c r="A2291" s="89">
        <v>40832</v>
      </c>
      <c r="B2291" s="151" t="s">
        <v>2226</v>
      </c>
      <c r="C2291" s="90" t="s">
        <v>2261</v>
      </c>
      <c r="D2291" s="90" t="s">
        <v>4264</v>
      </c>
      <c r="E2291" s="90" t="str">
        <f>VLOOKUP(B2291&amp;C2291,Divipola!$C$2:$F$1138,4,FALSE)</f>
        <v>68615</v>
      </c>
      <c r="F2291" s="4"/>
      <c r="G2291" s="101"/>
      <c r="H2291" s="101"/>
      <c r="I2291" s="101"/>
      <c r="J2291" s="101">
        <v>240</v>
      </c>
      <c r="K2291" s="101">
        <v>48</v>
      </c>
      <c r="L2291" s="101">
        <v>3</v>
      </c>
      <c r="M2291" s="101">
        <v>47</v>
      </c>
      <c r="N2291" s="101"/>
      <c r="O2291" s="101"/>
      <c r="P2291" s="101"/>
      <c r="Q2291" s="101"/>
      <c r="R2291" s="101"/>
      <c r="S2291" s="101"/>
      <c r="T2291" s="101"/>
      <c r="U2291" s="101"/>
      <c r="V2291" s="101"/>
      <c r="W2291" s="19"/>
      <c r="X2291" s="17"/>
      <c r="Y2291" s="5">
        <f t="shared" si="220"/>
        <v>0</v>
      </c>
      <c r="Z2291" s="5">
        <f t="shared" si="221"/>
        <v>0</v>
      </c>
      <c r="AA2291" s="5">
        <f t="shared" si="222"/>
        <v>0</v>
      </c>
      <c r="AB2291" s="5">
        <f t="shared" si="223"/>
        <v>0</v>
      </c>
      <c r="AC2291" s="5"/>
      <c r="AD2291" s="5">
        <v>0</v>
      </c>
      <c r="AE2291" s="5">
        <f t="shared" si="224"/>
        <v>0</v>
      </c>
      <c r="AF2291" s="70">
        <v>0</v>
      </c>
      <c r="AG2291" s="17"/>
      <c r="AH2291" s="18"/>
      <c r="AI2291" s="47" t="s">
        <v>4346</v>
      </c>
      <c r="AJ2291" s="73" t="s">
        <v>4347</v>
      </c>
      <c r="AK2291" s="45"/>
      <c r="AL2291" s="89" t="s">
        <v>2798</v>
      </c>
      <c r="AM2291" s="121" t="s">
        <v>4790</v>
      </c>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39"/>
      <c r="CE2291" s="138"/>
      <c r="CF2291" s="139"/>
      <c r="CG2291" s="138"/>
      <c r="CH2291" s="139"/>
      <c r="CI2291" s="138"/>
      <c r="CJ2291" s="72"/>
      <c r="CK2291" s="139"/>
      <c r="CL2291" s="71"/>
      <c r="CM2291" s="139"/>
      <c r="CN2291" s="138"/>
      <c r="CO2291" s="138"/>
      <c r="CP2291" s="138"/>
      <c r="CQ2291" s="139"/>
      <c r="CR2291" s="138"/>
      <c r="CS2291" s="45"/>
      <c r="CT2291" s="138"/>
      <c r="CU2291" s="45"/>
      <c r="CV2291" s="99">
        <f t="shared" si="225"/>
        <v>0</v>
      </c>
      <c r="CW2291" s="139"/>
      <c r="CX2291" s="138"/>
      <c r="CY2291" s="138"/>
      <c r="CZ2291" s="138"/>
      <c r="DA2291" s="139"/>
      <c r="DB2291" s="138"/>
      <c r="DC2291" s="45"/>
      <c r="DD2291" s="138"/>
      <c r="DE2291" s="45"/>
      <c r="DF2291" s="46"/>
    </row>
    <row r="2292" spans="1:110" s="42" customFormat="1" ht="48" x14ac:dyDescent="0.2">
      <c r="A2292" s="89">
        <v>40833</v>
      </c>
      <c r="B2292" s="151" t="s">
        <v>2218</v>
      </c>
      <c r="C2292" s="90" t="s">
        <v>4355</v>
      </c>
      <c r="D2292" s="90" t="s">
        <v>4264</v>
      </c>
      <c r="E2292" s="90" t="str">
        <f>VLOOKUP(B2292&amp;C2292,Divipola!$C$2:$F$1138,4,FALSE)</f>
        <v>05031</v>
      </c>
      <c r="F2292" s="4"/>
      <c r="G2292" s="101"/>
      <c r="H2292" s="101"/>
      <c r="I2292" s="101"/>
      <c r="J2292" s="101">
        <v>400</v>
      </c>
      <c r="K2292" s="101">
        <v>100</v>
      </c>
      <c r="L2292" s="101"/>
      <c r="M2292" s="101">
        <v>100</v>
      </c>
      <c r="N2292" s="101"/>
      <c r="O2292" s="101"/>
      <c r="P2292" s="101"/>
      <c r="Q2292" s="101"/>
      <c r="R2292" s="101"/>
      <c r="S2292" s="101"/>
      <c r="T2292" s="101"/>
      <c r="U2292" s="101"/>
      <c r="V2292" s="101"/>
      <c r="W2292" s="19"/>
      <c r="X2292" s="17"/>
      <c r="Y2292" s="5">
        <f t="shared" si="220"/>
        <v>0</v>
      </c>
      <c r="Z2292" s="5">
        <f t="shared" si="221"/>
        <v>0</v>
      </c>
      <c r="AA2292" s="5">
        <f t="shared" si="222"/>
        <v>0</v>
      </c>
      <c r="AB2292" s="5">
        <f t="shared" si="223"/>
        <v>0</v>
      </c>
      <c r="AC2292" s="5"/>
      <c r="AD2292" s="5">
        <v>0</v>
      </c>
      <c r="AE2292" s="5">
        <f t="shared" si="224"/>
        <v>0</v>
      </c>
      <c r="AF2292" s="70">
        <v>0</v>
      </c>
      <c r="AG2292" s="17"/>
      <c r="AH2292" s="18"/>
      <c r="AI2292" s="47" t="s">
        <v>4346</v>
      </c>
      <c r="AJ2292" s="73" t="s">
        <v>4347</v>
      </c>
      <c r="AK2292" s="45"/>
      <c r="AL2292" s="89" t="s">
        <v>2798</v>
      </c>
      <c r="AM2292" s="121" t="s">
        <v>4728</v>
      </c>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39"/>
      <c r="CE2292" s="138"/>
      <c r="CF2292" s="139"/>
      <c r="CG2292" s="138"/>
      <c r="CH2292" s="139"/>
      <c r="CI2292" s="138"/>
      <c r="CJ2292" s="72"/>
      <c r="CK2292" s="139"/>
      <c r="CL2292" s="71"/>
      <c r="CM2292" s="139"/>
      <c r="CN2292" s="138"/>
      <c r="CO2292" s="138"/>
      <c r="CP2292" s="138"/>
      <c r="CQ2292" s="139"/>
      <c r="CR2292" s="138"/>
      <c r="CS2292" s="45"/>
      <c r="CT2292" s="138"/>
      <c r="CU2292" s="45"/>
      <c r="CV2292" s="99">
        <f t="shared" si="225"/>
        <v>0</v>
      </c>
      <c r="CW2292" s="139"/>
      <c r="CX2292" s="138"/>
      <c r="CY2292" s="138"/>
      <c r="CZ2292" s="138"/>
      <c r="DA2292" s="139"/>
      <c r="DB2292" s="138"/>
      <c r="DC2292" s="45"/>
      <c r="DD2292" s="138"/>
      <c r="DE2292" s="45"/>
      <c r="DF2292" s="46"/>
    </row>
    <row r="2293" spans="1:110" s="42" customFormat="1" ht="36" x14ac:dyDescent="0.2">
      <c r="A2293" s="89">
        <v>40833</v>
      </c>
      <c r="B2293" s="151" t="s">
        <v>2218</v>
      </c>
      <c r="C2293" s="90" t="s">
        <v>3297</v>
      </c>
      <c r="D2293" s="90" t="s">
        <v>2362</v>
      </c>
      <c r="E2293" s="90" t="str">
        <f>VLOOKUP(B2293&amp;C2293,Divipola!$C$2:$F$1138,4,FALSE)</f>
        <v>05001</v>
      </c>
      <c r="F2293" s="4"/>
      <c r="G2293" s="194"/>
      <c r="H2293" s="194"/>
      <c r="I2293" s="194"/>
      <c r="J2293" s="194">
        <v>15</v>
      </c>
      <c r="K2293" s="194">
        <v>5</v>
      </c>
      <c r="L2293" s="194">
        <v>2</v>
      </c>
      <c r="M2293" s="194">
        <v>3</v>
      </c>
      <c r="N2293" s="194"/>
      <c r="O2293" s="194"/>
      <c r="P2293" s="194"/>
      <c r="Q2293" s="194"/>
      <c r="R2293" s="194"/>
      <c r="S2293" s="194"/>
      <c r="T2293" s="194"/>
      <c r="U2293" s="194"/>
      <c r="V2293" s="194"/>
      <c r="W2293" s="19"/>
      <c r="X2293" s="17"/>
      <c r="Y2293" s="5">
        <f t="shared" si="220"/>
        <v>0</v>
      </c>
      <c r="Z2293" s="5">
        <f t="shared" si="221"/>
        <v>0</v>
      </c>
      <c r="AA2293" s="5">
        <f t="shared" si="222"/>
        <v>0</v>
      </c>
      <c r="AB2293" s="5">
        <f t="shared" si="223"/>
        <v>0</v>
      </c>
      <c r="AC2293" s="5"/>
      <c r="AD2293" s="5">
        <v>0</v>
      </c>
      <c r="AE2293" s="5">
        <f t="shared" si="224"/>
        <v>0</v>
      </c>
      <c r="AF2293" s="70">
        <v>0</v>
      </c>
      <c r="AG2293" s="17"/>
      <c r="AH2293" s="18"/>
      <c r="AI2293" s="47" t="s">
        <v>4336</v>
      </c>
      <c r="AJ2293" s="73" t="s">
        <v>4337</v>
      </c>
      <c r="AK2293" s="45"/>
      <c r="AL2293" s="17"/>
      <c r="AM2293" s="195" t="s">
        <v>4763</v>
      </c>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39"/>
      <c r="CE2293" s="138"/>
      <c r="CF2293" s="139"/>
      <c r="CG2293" s="138"/>
      <c r="CH2293" s="139"/>
      <c r="CI2293" s="138"/>
      <c r="CJ2293" s="72"/>
      <c r="CK2293" s="139"/>
      <c r="CL2293" s="71"/>
      <c r="CM2293" s="139"/>
      <c r="CN2293" s="138"/>
      <c r="CO2293" s="138"/>
      <c r="CP2293" s="138"/>
      <c r="CQ2293" s="139"/>
      <c r="CR2293" s="138"/>
      <c r="CS2293" s="45"/>
      <c r="CT2293" s="138"/>
      <c r="CU2293" s="45"/>
      <c r="CV2293" s="99">
        <f t="shared" si="225"/>
        <v>0</v>
      </c>
      <c r="CW2293" s="139"/>
      <c r="CX2293" s="138"/>
      <c r="CY2293" s="138"/>
      <c r="CZ2293" s="138"/>
      <c r="DA2293" s="139"/>
      <c r="DB2293" s="138"/>
      <c r="DC2293" s="45"/>
      <c r="DD2293" s="138"/>
      <c r="DE2293" s="45"/>
      <c r="DF2293" s="46"/>
    </row>
    <row r="2294" spans="1:110" s="42" customFormat="1" ht="48" x14ac:dyDescent="0.2">
      <c r="A2294" s="89">
        <v>40833</v>
      </c>
      <c r="B2294" s="151" t="s">
        <v>2218</v>
      </c>
      <c r="C2294" s="90" t="s">
        <v>4016</v>
      </c>
      <c r="D2294" s="90" t="s">
        <v>4264</v>
      </c>
      <c r="E2294" s="90" t="str">
        <f>VLOOKUP(B2294&amp;C2294,Divipola!$C$2:$F$1138,4,FALSE)</f>
        <v>05642</v>
      </c>
      <c r="F2294" s="4"/>
      <c r="G2294" s="101"/>
      <c r="H2294" s="101"/>
      <c r="I2294" s="101"/>
      <c r="J2294" s="101">
        <v>400</v>
      </c>
      <c r="K2294" s="101">
        <v>100</v>
      </c>
      <c r="L2294" s="101"/>
      <c r="M2294" s="101">
        <v>100</v>
      </c>
      <c r="N2294" s="101"/>
      <c r="O2294" s="101"/>
      <c r="P2294" s="101"/>
      <c r="Q2294" s="101"/>
      <c r="R2294" s="101"/>
      <c r="S2294" s="101"/>
      <c r="T2294" s="101"/>
      <c r="U2294" s="101"/>
      <c r="V2294" s="101"/>
      <c r="W2294" s="19"/>
      <c r="X2294" s="17"/>
      <c r="Y2294" s="5">
        <f t="shared" si="220"/>
        <v>0</v>
      </c>
      <c r="Z2294" s="5">
        <f t="shared" si="221"/>
        <v>0</v>
      </c>
      <c r="AA2294" s="5">
        <f t="shared" si="222"/>
        <v>0</v>
      </c>
      <c r="AB2294" s="5">
        <f t="shared" si="223"/>
        <v>0</v>
      </c>
      <c r="AC2294" s="5"/>
      <c r="AD2294" s="5">
        <v>0</v>
      </c>
      <c r="AE2294" s="5">
        <f t="shared" si="224"/>
        <v>0</v>
      </c>
      <c r="AF2294" s="70">
        <v>0</v>
      </c>
      <c r="AG2294" s="17"/>
      <c r="AH2294" s="18"/>
      <c r="AI2294" s="47" t="s">
        <v>4346</v>
      </c>
      <c r="AJ2294" s="73" t="s">
        <v>4347</v>
      </c>
      <c r="AK2294" s="45"/>
      <c r="AL2294" s="89" t="s">
        <v>2798</v>
      </c>
      <c r="AM2294" s="121" t="s">
        <v>4729</v>
      </c>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39"/>
      <c r="CE2294" s="138"/>
      <c r="CF2294" s="139"/>
      <c r="CG2294" s="138"/>
      <c r="CH2294" s="139"/>
      <c r="CI2294" s="138"/>
      <c r="CJ2294" s="72"/>
      <c r="CK2294" s="139"/>
      <c r="CL2294" s="71"/>
      <c r="CM2294" s="139"/>
      <c r="CN2294" s="138"/>
      <c r="CO2294" s="138"/>
      <c r="CP2294" s="138"/>
      <c r="CQ2294" s="139"/>
      <c r="CR2294" s="138"/>
      <c r="CS2294" s="45"/>
      <c r="CT2294" s="138"/>
      <c r="CU2294" s="45"/>
      <c r="CV2294" s="99">
        <f t="shared" si="225"/>
        <v>0</v>
      </c>
      <c r="CW2294" s="139"/>
      <c r="CX2294" s="138"/>
      <c r="CY2294" s="138"/>
      <c r="CZ2294" s="138"/>
      <c r="DA2294" s="139"/>
      <c r="DB2294" s="138"/>
      <c r="DC2294" s="45"/>
      <c r="DD2294" s="138"/>
      <c r="DE2294" s="45"/>
      <c r="DF2294" s="46"/>
    </row>
    <row r="2295" spans="1:110" s="42" customFormat="1" x14ac:dyDescent="0.2">
      <c r="A2295" s="89">
        <v>40833</v>
      </c>
      <c r="B2295" s="202" t="s">
        <v>4352</v>
      </c>
      <c r="C2295" s="203" t="s">
        <v>4358</v>
      </c>
      <c r="D2295" s="90" t="s">
        <v>4264</v>
      </c>
      <c r="E2295" s="90" t="str">
        <f>VLOOKUP(B2295&amp;C2295,Divipola!$C$2:$F$1138,4,FALSE)</f>
        <v>13001</v>
      </c>
      <c r="F2295" s="4"/>
      <c r="G2295" s="204"/>
      <c r="H2295" s="204">
        <v>1</v>
      </c>
      <c r="I2295" s="204"/>
      <c r="J2295" s="204">
        <f>3326*5</f>
        <v>16630</v>
      </c>
      <c r="K2295" s="204">
        <v>3326</v>
      </c>
      <c r="L2295" s="204">
        <v>5</v>
      </c>
      <c r="M2295" s="204">
        <v>576</v>
      </c>
      <c r="N2295" s="204"/>
      <c r="O2295" s="204"/>
      <c r="P2295" s="204"/>
      <c r="Q2295" s="204"/>
      <c r="R2295" s="204"/>
      <c r="S2295" s="204"/>
      <c r="T2295" s="204"/>
      <c r="U2295" s="204"/>
      <c r="V2295" s="204"/>
      <c r="W2295" s="19"/>
      <c r="X2295" s="17"/>
      <c r="Y2295" s="5">
        <f t="shared" si="220"/>
        <v>424094680</v>
      </c>
      <c r="Z2295" s="5">
        <f t="shared" si="221"/>
        <v>467500000</v>
      </c>
      <c r="AA2295" s="5">
        <f t="shared" si="222"/>
        <v>0</v>
      </c>
      <c r="AB2295" s="5">
        <f t="shared" si="223"/>
        <v>0</v>
      </c>
      <c r="AC2295" s="5"/>
      <c r="AD2295" s="5">
        <v>0</v>
      </c>
      <c r="AE2295" s="5">
        <f t="shared" si="224"/>
        <v>891594680</v>
      </c>
      <c r="AF2295" s="70">
        <v>0</v>
      </c>
      <c r="AG2295" s="17"/>
      <c r="AH2295" s="18"/>
      <c r="AI2295" s="47" t="s">
        <v>4346</v>
      </c>
      <c r="AJ2295" s="73" t="s">
        <v>4347</v>
      </c>
      <c r="AK2295" s="45"/>
      <c r="AL2295" s="17"/>
      <c r="AM2295" s="205" t="s">
        <v>4265</v>
      </c>
      <c r="AN2295" s="19"/>
      <c r="AO2295" s="19"/>
      <c r="AP2295" s="19"/>
      <c r="AQ2295" s="19"/>
      <c r="AR2295" s="19"/>
      <c r="AS2295" s="19"/>
      <c r="AT2295" s="19"/>
      <c r="AU2295" s="19"/>
      <c r="AV2295" s="19"/>
      <c r="AW2295" s="19"/>
      <c r="AX2295" s="19"/>
      <c r="AY2295" s="19"/>
      <c r="AZ2295" s="19">
        <v>5000</v>
      </c>
      <c r="BA2295" s="19">
        <f>1500*56000+1500*55999+2000*55999</f>
        <v>279996500</v>
      </c>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39"/>
      <c r="CE2295" s="138"/>
      <c r="CF2295" s="139"/>
      <c r="CG2295" s="138"/>
      <c r="CH2295" s="139"/>
      <c r="CI2295" s="138"/>
      <c r="CJ2295" s="72">
        <v>5000</v>
      </c>
      <c r="CK2295" s="139">
        <f>1500*21500+1500*20999.48+2000*20999.48</f>
        <v>105748180</v>
      </c>
      <c r="CL2295" s="71"/>
      <c r="CM2295" s="139"/>
      <c r="CN2295" s="138"/>
      <c r="CO2295" s="138"/>
      <c r="CP2295" s="138">
        <v>500</v>
      </c>
      <c r="CQ2295" s="139">
        <f>500*37000</f>
        <v>18500000</v>
      </c>
      <c r="CR2295" s="138">
        <v>500</v>
      </c>
      <c r="CS2295" s="45">
        <f>500*39700</f>
        <v>19850000</v>
      </c>
      <c r="CT2295" s="138"/>
      <c r="CU2295" s="45"/>
      <c r="CV2295" s="99">
        <f t="shared" si="225"/>
        <v>424094680</v>
      </c>
      <c r="CW2295" s="139"/>
      <c r="CX2295" s="138"/>
      <c r="CY2295" s="138">
        <v>5500</v>
      </c>
      <c r="CZ2295" s="138">
        <f>1500*85000+1500*85000+2000*85000+500*85000</f>
        <v>467500000</v>
      </c>
      <c r="DA2295" s="139"/>
      <c r="DB2295" s="138"/>
      <c r="DC2295" s="45"/>
      <c r="DD2295" s="138"/>
      <c r="DE2295" s="45"/>
      <c r="DF2295" s="46"/>
    </row>
    <row r="2296" spans="1:110" s="42" customFormat="1" ht="36" x14ac:dyDescent="0.2">
      <c r="A2296" s="89">
        <v>40833</v>
      </c>
      <c r="B2296" s="151" t="s">
        <v>4386</v>
      </c>
      <c r="C2296" s="90" t="s">
        <v>1570</v>
      </c>
      <c r="D2296" s="90" t="s">
        <v>2362</v>
      </c>
      <c r="E2296" s="90" t="str">
        <f>VLOOKUP(B2296&amp;C2296,Divipola!$C$2:$F$1138,4,FALSE)</f>
        <v>20570</v>
      </c>
      <c r="F2296" s="4"/>
      <c r="G2296" s="101">
        <v>1</v>
      </c>
      <c r="H2296" s="101"/>
      <c r="I2296" s="101"/>
      <c r="J2296" s="101">
        <f>454*5</f>
        <v>2270</v>
      </c>
      <c r="K2296" s="101">
        <v>454</v>
      </c>
      <c r="L2296" s="101"/>
      <c r="M2296" s="101">
        <v>454</v>
      </c>
      <c r="N2296" s="101"/>
      <c r="O2296" s="101"/>
      <c r="P2296" s="101"/>
      <c r="Q2296" s="101"/>
      <c r="R2296" s="101"/>
      <c r="S2296" s="101"/>
      <c r="T2296" s="101"/>
      <c r="U2296" s="101"/>
      <c r="V2296" s="101"/>
      <c r="W2296" s="19"/>
      <c r="X2296" s="17"/>
      <c r="Y2296" s="5">
        <f t="shared" si="220"/>
        <v>66430000</v>
      </c>
      <c r="Z2296" s="5">
        <f t="shared" si="221"/>
        <v>89250000</v>
      </c>
      <c r="AA2296" s="5">
        <f t="shared" si="222"/>
        <v>26400000</v>
      </c>
      <c r="AB2296" s="5">
        <f t="shared" si="223"/>
        <v>0</v>
      </c>
      <c r="AC2296" s="5"/>
      <c r="AD2296" s="5">
        <v>0</v>
      </c>
      <c r="AE2296" s="5">
        <f t="shared" si="224"/>
        <v>182080000</v>
      </c>
      <c r="AF2296" s="70">
        <v>0</v>
      </c>
      <c r="AG2296" s="17"/>
      <c r="AH2296" s="18"/>
      <c r="AI2296" s="47" t="s">
        <v>4346</v>
      </c>
      <c r="AJ2296" s="73" t="s">
        <v>4347</v>
      </c>
      <c r="AK2296" s="45"/>
      <c r="AL2296" s="17"/>
      <c r="AM2296" s="121" t="s">
        <v>4744</v>
      </c>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v>650</v>
      </c>
      <c r="BM2296" s="19">
        <f>650*25500</f>
        <v>16575000</v>
      </c>
      <c r="BN2296" s="19"/>
      <c r="BO2296" s="19"/>
      <c r="BP2296" s="19"/>
      <c r="BQ2296" s="19"/>
      <c r="BR2296" s="19"/>
      <c r="BS2296" s="19"/>
      <c r="BT2296" s="19"/>
      <c r="BU2296" s="19"/>
      <c r="BV2296" s="19"/>
      <c r="BW2296" s="19"/>
      <c r="BX2296" s="19"/>
      <c r="BY2296" s="19"/>
      <c r="BZ2296" s="19"/>
      <c r="CA2296" s="19"/>
      <c r="CB2296" s="19"/>
      <c r="CC2296" s="19"/>
      <c r="CD2296" s="139"/>
      <c r="CE2296" s="138"/>
      <c r="CF2296" s="139"/>
      <c r="CG2296" s="138"/>
      <c r="CH2296" s="139"/>
      <c r="CI2296" s="138"/>
      <c r="CJ2296" s="72"/>
      <c r="CK2296" s="139"/>
      <c r="CL2296" s="71"/>
      <c r="CM2296" s="139"/>
      <c r="CN2296" s="138"/>
      <c r="CO2296" s="138"/>
      <c r="CP2296" s="138">
        <v>650</v>
      </c>
      <c r="CQ2296" s="139">
        <f>650*37000</f>
        <v>24050000</v>
      </c>
      <c r="CR2296" s="138">
        <v>650</v>
      </c>
      <c r="CS2296" s="45">
        <f>650*39700</f>
        <v>25805000</v>
      </c>
      <c r="CT2296" s="138"/>
      <c r="CU2296" s="45"/>
      <c r="CV2296" s="99">
        <f t="shared" si="225"/>
        <v>66430000</v>
      </c>
      <c r="CW2296" s="139"/>
      <c r="CX2296" s="138"/>
      <c r="CY2296" s="138">
        <f>400+650</f>
        <v>1050</v>
      </c>
      <c r="CZ2296" s="138">
        <f>400*85000+650*85000</f>
        <v>89250000</v>
      </c>
      <c r="DA2296" s="139"/>
      <c r="DB2296" s="138"/>
      <c r="DC2296" s="45">
        <v>1200</v>
      </c>
      <c r="DD2296" s="138">
        <f>1200*22000</f>
        <v>26400000</v>
      </c>
      <c r="DE2296" s="45"/>
      <c r="DF2296" s="46"/>
    </row>
    <row r="2297" spans="1:110" s="42" customFormat="1" x14ac:dyDescent="0.2">
      <c r="A2297" s="89">
        <v>40833</v>
      </c>
      <c r="B2297" s="16" t="s">
        <v>2225</v>
      </c>
      <c r="C2297" s="16" t="s">
        <v>3466</v>
      </c>
      <c r="D2297" s="90" t="s">
        <v>4264</v>
      </c>
      <c r="E2297" s="90" t="str">
        <f>VLOOKUP(B2297&amp;C2297,Divipola!$C$2:$F$1138,4,FALSE)</f>
        <v>27050</v>
      </c>
      <c r="F2297" s="4"/>
      <c r="G2297" s="208"/>
      <c r="H2297" s="208"/>
      <c r="I2297" s="208"/>
      <c r="J2297" s="208">
        <v>3550</v>
      </c>
      <c r="K2297" s="208">
        <v>710</v>
      </c>
      <c r="L2297" s="208"/>
      <c r="M2297" s="208"/>
      <c r="N2297" s="208"/>
      <c r="O2297" s="208"/>
      <c r="P2297" s="208"/>
      <c r="Q2297" s="208"/>
      <c r="R2297" s="208"/>
      <c r="S2297" s="208"/>
      <c r="T2297" s="208"/>
      <c r="U2297" s="208"/>
      <c r="V2297" s="208"/>
      <c r="W2297" s="19"/>
      <c r="X2297" s="17"/>
      <c r="Y2297" s="5">
        <f t="shared" si="220"/>
        <v>5999984</v>
      </c>
      <c r="Z2297" s="5">
        <f t="shared" si="221"/>
        <v>60350007.099999994</v>
      </c>
      <c r="AA2297" s="5">
        <f t="shared" si="222"/>
        <v>21499440</v>
      </c>
      <c r="AB2297" s="5">
        <f t="shared" si="223"/>
        <v>0</v>
      </c>
      <c r="AC2297" s="5"/>
      <c r="AD2297" s="5">
        <v>0</v>
      </c>
      <c r="AE2297" s="5">
        <f t="shared" si="224"/>
        <v>87849431.099999994</v>
      </c>
      <c r="AF2297" s="70">
        <v>0</v>
      </c>
      <c r="AG2297" s="17"/>
      <c r="AH2297" s="18"/>
      <c r="AI2297" s="109" t="s">
        <v>4346</v>
      </c>
      <c r="AJ2297" s="110" t="s">
        <v>4347</v>
      </c>
      <c r="AK2297" s="45"/>
      <c r="AL2297" s="17"/>
      <c r="AM2297" s="20"/>
      <c r="AN2297" s="19"/>
      <c r="AO2297" s="19"/>
      <c r="AP2297" s="19"/>
      <c r="AQ2297" s="19"/>
      <c r="AR2297" s="19"/>
      <c r="AS2297" s="19"/>
      <c r="AT2297" s="19"/>
      <c r="AU2297" s="19"/>
      <c r="AV2297" s="19"/>
      <c r="AW2297" s="19"/>
      <c r="AX2297" s="19"/>
      <c r="AY2297" s="19"/>
      <c r="AZ2297" s="19">
        <v>100</v>
      </c>
      <c r="BA2297" s="19">
        <f>100*59999.84</f>
        <v>5999984</v>
      </c>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39"/>
      <c r="CE2297" s="138"/>
      <c r="CF2297" s="139"/>
      <c r="CG2297" s="138"/>
      <c r="CH2297" s="139"/>
      <c r="CI2297" s="138"/>
      <c r="CJ2297" s="72"/>
      <c r="CK2297" s="139"/>
      <c r="CL2297" s="71"/>
      <c r="CM2297" s="139"/>
      <c r="CN2297" s="138"/>
      <c r="CO2297" s="138"/>
      <c r="CP2297" s="138"/>
      <c r="CQ2297" s="139"/>
      <c r="CR2297" s="138"/>
      <c r="CS2297" s="45"/>
      <c r="CT2297" s="138"/>
      <c r="CU2297" s="45"/>
      <c r="CV2297" s="99">
        <f t="shared" si="225"/>
        <v>5999984</v>
      </c>
      <c r="CW2297" s="139"/>
      <c r="CX2297" s="138"/>
      <c r="CY2297" s="138">
        <v>710</v>
      </c>
      <c r="CZ2297" s="138">
        <f>710*85000.01</f>
        <v>60350007.099999994</v>
      </c>
      <c r="DA2297" s="139"/>
      <c r="DB2297" s="138"/>
      <c r="DC2297" s="45">
        <v>1000</v>
      </c>
      <c r="DD2297" s="138">
        <f>1000*21499.44</f>
        <v>21499440</v>
      </c>
      <c r="DE2297" s="45"/>
      <c r="DF2297" s="46"/>
    </row>
    <row r="2298" spans="1:110" s="42" customFormat="1" x14ac:dyDescent="0.2">
      <c r="A2298" s="89">
        <v>40833</v>
      </c>
      <c r="B2298" s="16" t="s">
        <v>2225</v>
      </c>
      <c r="C2298" s="16" t="s">
        <v>3318</v>
      </c>
      <c r="D2298" s="90" t="s">
        <v>4264</v>
      </c>
      <c r="E2298" s="90" t="str">
        <f>VLOOKUP(B2298&amp;C2298,Divipola!$C$2:$F$1138,4,FALSE)</f>
        <v>27073</v>
      </c>
      <c r="F2298" s="4"/>
      <c r="G2298" s="208"/>
      <c r="H2298" s="208"/>
      <c r="I2298" s="208"/>
      <c r="J2298" s="208"/>
      <c r="K2298" s="208"/>
      <c r="L2298" s="208"/>
      <c r="M2298" s="208"/>
      <c r="N2298" s="208"/>
      <c r="O2298" s="208"/>
      <c r="P2298" s="208"/>
      <c r="Q2298" s="208"/>
      <c r="R2298" s="208"/>
      <c r="S2298" s="208"/>
      <c r="T2298" s="208"/>
      <c r="U2298" s="208"/>
      <c r="V2298" s="208"/>
      <c r="W2298" s="19"/>
      <c r="X2298" s="17"/>
      <c r="Y2298" s="5">
        <f t="shared" si="220"/>
        <v>0</v>
      </c>
      <c r="Z2298" s="5">
        <f t="shared" si="221"/>
        <v>0</v>
      </c>
      <c r="AA2298" s="5">
        <f t="shared" si="222"/>
        <v>0</v>
      </c>
      <c r="AB2298" s="5">
        <f t="shared" si="223"/>
        <v>0</v>
      </c>
      <c r="AC2298" s="5"/>
      <c r="AD2298" s="5">
        <v>0</v>
      </c>
      <c r="AE2298" s="5">
        <f t="shared" si="224"/>
        <v>0</v>
      </c>
      <c r="AF2298" s="70">
        <v>0</v>
      </c>
      <c r="AG2298" s="17"/>
      <c r="AH2298" s="18"/>
      <c r="AI2298" s="47" t="s">
        <v>4336</v>
      </c>
      <c r="AJ2298" s="73" t="s">
        <v>4337</v>
      </c>
      <c r="AK2298" s="45"/>
      <c r="AL2298" s="17"/>
      <c r="AM2298" s="20"/>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39"/>
      <c r="CE2298" s="138"/>
      <c r="CF2298" s="139"/>
      <c r="CG2298" s="138"/>
      <c r="CH2298" s="139"/>
      <c r="CI2298" s="138"/>
      <c r="CJ2298" s="72"/>
      <c r="CK2298" s="139"/>
      <c r="CL2298" s="71"/>
      <c r="CM2298" s="139"/>
      <c r="CN2298" s="138"/>
      <c r="CO2298" s="138"/>
      <c r="CP2298" s="138"/>
      <c r="CQ2298" s="139"/>
      <c r="CR2298" s="138"/>
      <c r="CS2298" s="45"/>
      <c r="CT2298" s="138"/>
      <c r="CU2298" s="45"/>
      <c r="CV2298" s="99">
        <f t="shared" si="225"/>
        <v>0</v>
      </c>
      <c r="CW2298" s="139"/>
      <c r="CX2298" s="138"/>
      <c r="CY2298" s="138"/>
      <c r="CZ2298" s="138"/>
      <c r="DA2298" s="139"/>
      <c r="DB2298" s="138"/>
      <c r="DC2298" s="45"/>
      <c r="DD2298" s="138"/>
      <c r="DE2298" s="45"/>
      <c r="DF2298" s="46"/>
    </row>
    <row r="2299" spans="1:110" s="42" customFormat="1" x14ac:dyDescent="0.2">
      <c r="A2299" s="89">
        <v>40833</v>
      </c>
      <c r="B2299" s="16" t="s">
        <v>2225</v>
      </c>
      <c r="C2299" s="90" t="s">
        <v>1862</v>
      </c>
      <c r="D2299" s="90" t="s">
        <v>4264</v>
      </c>
      <c r="E2299" s="90" t="str">
        <f>VLOOKUP(B2299&amp;C2299,Divipola!$C$2:$F$1138,4,FALSE)</f>
        <v>27077</v>
      </c>
      <c r="F2299" s="4"/>
      <c r="G2299" s="208"/>
      <c r="H2299" s="208"/>
      <c r="I2299" s="208"/>
      <c r="J2299" s="208"/>
      <c r="K2299" s="208"/>
      <c r="L2299" s="208"/>
      <c r="M2299" s="208"/>
      <c r="N2299" s="208"/>
      <c r="O2299" s="208"/>
      <c r="P2299" s="208"/>
      <c r="Q2299" s="208"/>
      <c r="R2299" s="208"/>
      <c r="S2299" s="208"/>
      <c r="T2299" s="208"/>
      <c r="U2299" s="208"/>
      <c r="V2299" s="208"/>
      <c r="W2299" s="19"/>
      <c r="X2299" s="17"/>
      <c r="Y2299" s="5">
        <f t="shared" si="220"/>
        <v>27999500</v>
      </c>
      <c r="Z2299" s="5">
        <f t="shared" si="221"/>
        <v>0</v>
      </c>
      <c r="AA2299" s="5">
        <f t="shared" si="222"/>
        <v>33872000</v>
      </c>
      <c r="AB2299" s="5">
        <f t="shared" si="223"/>
        <v>0</v>
      </c>
      <c r="AC2299" s="5"/>
      <c r="AD2299" s="5">
        <v>0</v>
      </c>
      <c r="AE2299" s="5">
        <f t="shared" si="224"/>
        <v>61871500</v>
      </c>
      <c r="AF2299" s="70">
        <v>0</v>
      </c>
      <c r="AG2299" s="17"/>
      <c r="AH2299" s="18"/>
      <c r="AI2299" s="109" t="s">
        <v>4346</v>
      </c>
      <c r="AJ2299" s="110" t="s">
        <v>4347</v>
      </c>
      <c r="AK2299" s="45"/>
      <c r="AL2299" s="17"/>
      <c r="AM2299" s="20"/>
      <c r="AN2299" s="19"/>
      <c r="AO2299" s="19"/>
      <c r="AP2299" s="19"/>
      <c r="AQ2299" s="19"/>
      <c r="AR2299" s="19"/>
      <c r="AS2299" s="19"/>
      <c r="AT2299" s="19"/>
      <c r="AU2299" s="19"/>
      <c r="AV2299" s="19"/>
      <c r="AW2299" s="19"/>
      <c r="AX2299" s="19"/>
      <c r="AY2299" s="19"/>
      <c r="AZ2299" s="19">
        <v>500</v>
      </c>
      <c r="BA2299" s="19">
        <f>500*55999</f>
        <v>27999500</v>
      </c>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39"/>
      <c r="CE2299" s="138"/>
      <c r="CF2299" s="139"/>
      <c r="CG2299" s="138"/>
      <c r="CH2299" s="139"/>
      <c r="CI2299" s="138"/>
      <c r="CJ2299" s="72"/>
      <c r="CK2299" s="139"/>
      <c r="CL2299" s="71"/>
      <c r="CM2299" s="139"/>
      <c r="CN2299" s="138"/>
      <c r="CO2299" s="138"/>
      <c r="CP2299" s="138"/>
      <c r="CQ2299" s="139"/>
      <c r="CR2299" s="138"/>
      <c r="CS2299" s="45"/>
      <c r="CT2299" s="138"/>
      <c r="CU2299" s="45"/>
      <c r="CV2299" s="99">
        <f t="shared" si="225"/>
        <v>27999500</v>
      </c>
      <c r="CW2299" s="139"/>
      <c r="CX2299" s="138"/>
      <c r="CY2299" s="138"/>
      <c r="CZ2299" s="138"/>
      <c r="DA2299" s="139"/>
      <c r="DB2299" s="138"/>
      <c r="DC2299" s="45">
        <v>1000</v>
      </c>
      <c r="DD2299" s="138">
        <f>1000*33872</f>
        <v>33872000</v>
      </c>
      <c r="DE2299" s="45"/>
      <c r="DF2299" s="46"/>
    </row>
    <row r="2300" spans="1:110" s="42" customFormat="1" ht="60" x14ac:dyDescent="0.2">
      <c r="A2300" s="89">
        <v>40833</v>
      </c>
      <c r="B2300" s="196" t="s">
        <v>2225</v>
      </c>
      <c r="C2300" s="197" t="s">
        <v>1876</v>
      </c>
      <c r="D2300" s="90" t="s">
        <v>4264</v>
      </c>
      <c r="E2300" s="90" t="str">
        <f>VLOOKUP(B2300&amp;C2300,Divipola!$C$2:$F$1138,4,FALSE)</f>
        <v>27250</v>
      </c>
      <c r="F2300" s="4"/>
      <c r="G2300" s="194"/>
      <c r="H2300" s="194"/>
      <c r="I2300" s="194"/>
      <c r="J2300" s="194">
        <v>5534</v>
      </c>
      <c r="K2300" s="194">
        <v>1135</v>
      </c>
      <c r="L2300" s="194"/>
      <c r="M2300" s="194">
        <v>1135</v>
      </c>
      <c r="N2300" s="194"/>
      <c r="O2300" s="194"/>
      <c r="P2300" s="194"/>
      <c r="Q2300" s="194"/>
      <c r="R2300" s="194"/>
      <c r="S2300" s="194"/>
      <c r="T2300" s="194"/>
      <c r="U2300" s="194"/>
      <c r="V2300" s="194"/>
      <c r="W2300" s="19"/>
      <c r="X2300" s="17"/>
      <c r="Y2300" s="5">
        <f t="shared" si="220"/>
        <v>14999983.199999999</v>
      </c>
      <c r="Z2300" s="5">
        <f t="shared" si="221"/>
        <v>96475000</v>
      </c>
      <c r="AA2300" s="5">
        <f t="shared" si="222"/>
        <v>0</v>
      </c>
      <c r="AB2300" s="5">
        <f t="shared" si="223"/>
        <v>0</v>
      </c>
      <c r="AC2300" s="5"/>
      <c r="AD2300" s="5">
        <v>0</v>
      </c>
      <c r="AE2300" s="5">
        <f t="shared" si="224"/>
        <v>111474983.2</v>
      </c>
      <c r="AF2300" s="70">
        <v>0</v>
      </c>
      <c r="AG2300" s="17"/>
      <c r="AH2300" s="18"/>
      <c r="AI2300" s="109" t="s">
        <v>4346</v>
      </c>
      <c r="AJ2300" s="110" t="s">
        <v>4347</v>
      </c>
      <c r="AK2300" s="45"/>
      <c r="AL2300" s="17"/>
      <c r="AM2300" s="195" t="s">
        <v>4684</v>
      </c>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v>30</v>
      </c>
      <c r="CA2300" s="19">
        <f>30*499999.44</f>
        <v>14999983.199999999</v>
      </c>
      <c r="CB2300" s="19"/>
      <c r="CC2300" s="19"/>
      <c r="CD2300" s="139"/>
      <c r="CE2300" s="138"/>
      <c r="CF2300" s="139"/>
      <c r="CG2300" s="138"/>
      <c r="CH2300" s="139"/>
      <c r="CI2300" s="138"/>
      <c r="CJ2300" s="72"/>
      <c r="CK2300" s="139"/>
      <c r="CL2300" s="71"/>
      <c r="CM2300" s="139"/>
      <c r="CN2300" s="138"/>
      <c r="CO2300" s="138"/>
      <c r="CP2300" s="138"/>
      <c r="CQ2300" s="139"/>
      <c r="CR2300" s="138"/>
      <c r="CS2300" s="45"/>
      <c r="CT2300" s="138"/>
      <c r="CU2300" s="45"/>
      <c r="CV2300" s="99">
        <f t="shared" si="225"/>
        <v>14999983.199999999</v>
      </c>
      <c r="CW2300" s="139"/>
      <c r="CX2300" s="138"/>
      <c r="CY2300" s="138">
        <v>1135</v>
      </c>
      <c r="CZ2300" s="138">
        <f>1135*85000</f>
        <v>96475000</v>
      </c>
      <c r="DA2300" s="139"/>
      <c r="DB2300" s="138"/>
      <c r="DC2300" s="45"/>
      <c r="DD2300" s="138"/>
      <c r="DE2300" s="45"/>
      <c r="DF2300" s="46"/>
    </row>
    <row r="2301" spans="1:110" s="42" customFormat="1" x14ac:dyDescent="0.2">
      <c r="A2301" s="89">
        <v>40833</v>
      </c>
      <c r="B2301" s="16" t="s">
        <v>2225</v>
      </c>
      <c r="C2301" s="90" t="s">
        <v>4520</v>
      </c>
      <c r="D2301" s="90" t="s">
        <v>4264</v>
      </c>
      <c r="E2301" s="90" t="str">
        <f>VLOOKUP(B2301&amp;C2301,Divipola!$C$2:$F$1138,4,FALSE)</f>
        <v>27361</v>
      </c>
      <c r="F2301" s="4"/>
      <c r="G2301" s="208"/>
      <c r="H2301" s="208"/>
      <c r="I2301" s="208"/>
      <c r="J2301" s="208"/>
      <c r="K2301" s="208"/>
      <c r="L2301" s="208"/>
      <c r="M2301" s="208"/>
      <c r="N2301" s="208"/>
      <c r="O2301" s="208"/>
      <c r="P2301" s="208"/>
      <c r="Q2301" s="208"/>
      <c r="R2301" s="208"/>
      <c r="S2301" s="208"/>
      <c r="T2301" s="208"/>
      <c r="U2301" s="208"/>
      <c r="V2301" s="208"/>
      <c r="W2301" s="19"/>
      <c r="X2301" s="17"/>
      <c r="Y2301" s="5">
        <f t="shared" si="220"/>
        <v>12283787.52</v>
      </c>
      <c r="Z2301" s="5">
        <f t="shared" si="221"/>
        <v>28220000</v>
      </c>
      <c r="AA2301" s="5">
        <f t="shared" si="222"/>
        <v>0</v>
      </c>
      <c r="AB2301" s="5">
        <f t="shared" si="223"/>
        <v>0</v>
      </c>
      <c r="AC2301" s="5"/>
      <c r="AD2301" s="5">
        <v>0</v>
      </c>
      <c r="AE2301" s="5">
        <f t="shared" si="224"/>
        <v>40503787.519999996</v>
      </c>
      <c r="AF2301" s="70">
        <v>0</v>
      </c>
      <c r="AG2301" s="17"/>
      <c r="AH2301" s="18"/>
      <c r="AI2301" s="109" t="s">
        <v>4346</v>
      </c>
      <c r="AJ2301" s="110" t="s">
        <v>4347</v>
      </c>
      <c r="AK2301" s="45"/>
      <c r="AL2301" s="17"/>
      <c r="AM2301" s="20"/>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39"/>
      <c r="CE2301" s="138"/>
      <c r="CF2301" s="139"/>
      <c r="CG2301" s="138"/>
      <c r="CH2301" s="139"/>
      <c r="CI2301" s="138"/>
      <c r="CJ2301" s="72"/>
      <c r="CK2301" s="139"/>
      <c r="CL2301" s="71"/>
      <c r="CM2301" s="139"/>
      <c r="CN2301" s="138"/>
      <c r="CO2301" s="138"/>
      <c r="CP2301" s="138">
        <v>332</v>
      </c>
      <c r="CQ2301" s="139">
        <f>332*36999.36</f>
        <v>12283787.52</v>
      </c>
      <c r="CR2301" s="138"/>
      <c r="CS2301" s="45"/>
      <c r="CT2301" s="138"/>
      <c r="CU2301" s="45"/>
      <c r="CV2301" s="99">
        <f t="shared" si="225"/>
        <v>12283787.52</v>
      </c>
      <c r="CW2301" s="139"/>
      <c r="CX2301" s="138"/>
      <c r="CY2301" s="138">
        <v>332</v>
      </c>
      <c r="CZ2301" s="138">
        <f>332*85000</f>
        <v>28220000</v>
      </c>
      <c r="DA2301" s="139"/>
      <c r="DB2301" s="138"/>
      <c r="DC2301" s="45"/>
      <c r="DD2301" s="138"/>
      <c r="DE2301" s="45"/>
      <c r="DF2301" s="46"/>
    </row>
    <row r="2302" spans="1:110" s="42" customFormat="1" x14ac:dyDescent="0.2">
      <c r="A2302" s="89">
        <v>40833</v>
      </c>
      <c r="B2302" s="16" t="s">
        <v>2225</v>
      </c>
      <c r="C2302" s="4" t="s">
        <v>1879</v>
      </c>
      <c r="D2302" s="90" t="s">
        <v>4264</v>
      </c>
      <c r="E2302" s="90" t="str">
        <f>VLOOKUP(B2302&amp;C2302,Divipola!$C$2:$F$1138,4,FALSE)</f>
        <v>27372</v>
      </c>
      <c r="F2302" s="4"/>
      <c r="G2302" s="208"/>
      <c r="H2302" s="208"/>
      <c r="I2302" s="208"/>
      <c r="J2302" s="208"/>
      <c r="K2302" s="208"/>
      <c r="L2302" s="208"/>
      <c r="M2302" s="208"/>
      <c r="N2302" s="208"/>
      <c r="O2302" s="208"/>
      <c r="P2302" s="208"/>
      <c r="Q2302" s="208"/>
      <c r="R2302" s="208"/>
      <c r="S2302" s="208"/>
      <c r="T2302" s="208"/>
      <c r="U2302" s="208"/>
      <c r="V2302" s="208"/>
      <c r="W2302" s="19"/>
      <c r="X2302" s="17"/>
      <c r="Y2302" s="5">
        <f t="shared" si="220"/>
        <v>0</v>
      </c>
      <c r="Z2302" s="5">
        <f t="shared" si="221"/>
        <v>72248708</v>
      </c>
      <c r="AA2302" s="5">
        <f t="shared" si="222"/>
        <v>0</v>
      </c>
      <c r="AB2302" s="5">
        <f t="shared" si="223"/>
        <v>0</v>
      </c>
      <c r="AC2302" s="5"/>
      <c r="AD2302" s="5">
        <v>0</v>
      </c>
      <c r="AE2302" s="5">
        <f t="shared" si="224"/>
        <v>72248708</v>
      </c>
      <c r="AF2302" s="70">
        <v>0</v>
      </c>
      <c r="AG2302" s="17"/>
      <c r="AH2302" s="18"/>
      <c r="AI2302" s="109" t="s">
        <v>4346</v>
      </c>
      <c r="AJ2302" s="110" t="s">
        <v>4347</v>
      </c>
      <c r="AK2302" s="45"/>
      <c r="AL2302" s="17"/>
      <c r="AM2302" s="20"/>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39"/>
      <c r="CE2302" s="138"/>
      <c r="CF2302" s="139"/>
      <c r="CG2302" s="138"/>
      <c r="CH2302" s="139"/>
      <c r="CI2302" s="138"/>
      <c r="CJ2302" s="72"/>
      <c r="CK2302" s="139"/>
      <c r="CL2302" s="71"/>
      <c r="CM2302" s="139"/>
      <c r="CN2302" s="138"/>
      <c r="CO2302" s="138"/>
      <c r="CP2302" s="138"/>
      <c r="CQ2302" s="139"/>
      <c r="CR2302" s="138"/>
      <c r="CS2302" s="45"/>
      <c r="CT2302" s="138"/>
      <c r="CU2302" s="45"/>
      <c r="CV2302" s="99">
        <f t="shared" si="225"/>
        <v>0</v>
      </c>
      <c r="CW2302" s="139"/>
      <c r="CX2302" s="138"/>
      <c r="CY2302" s="138">
        <v>850</v>
      </c>
      <c r="CZ2302" s="138">
        <f>850*84998.48</f>
        <v>72248708</v>
      </c>
      <c r="DA2302" s="139"/>
      <c r="DB2302" s="138"/>
      <c r="DC2302" s="45"/>
      <c r="DD2302" s="138"/>
      <c r="DE2302" s="45"/>
      <c r="DF2302" s="46"/>
    </row>
    <row r="2303" spans="1:110" s="42" customFormat="1" ht="216" x14ac:dyDescent="0.2">
      <c r="A2303" s="89">
        <v>40833</v>
      </c>
      <c r="B2303" s="196" t="s">
        <v>2225</v>
      </c>
      <c r="C2303" s="197" t="s">
        <v>1882</v>
      </c>
      <c r="D2303" s="90" t="s">
        <v>4264</v>
      </c>
      <c r="E2303" s="90" t="str">
        <f>VLOOKUP(B2303&amp;C2303,Divipola!$C$2:$F$1138,4,FALSE)</f>
        <v>27425</v>
      </c>
      <c r="F2303" s="4"/>
      <c r="G2303" s="194"/>
      <c r="H2303" s="194"/>
      <c r="I2303" s="194"/>
      <c r="J2303" s="194">
        <f>560*5</f>
        <v>2800</v>
      </c>
      <c r="K2303" s="194">
        <v>560</v>
      </c>
      <c r="L2303" s="194"/>
      <c r="M2303" s="194">
        <v>560</v>
      </c>
      <c r="N2303" s="194"/>
      <c r="O2303" s="194"/>
      <c r="P2303" s="194"/>
      <c r="Q2303" s="194"/>
      <c r="R2303" s="194"/>
      <c r="S2303" s="194"/>
      <c r="T2303" s="194"/>
      <c r="U2303" s="194"/>
      <c r="V2303" s="194"/>
      <c r="W2303" s="19"/>
      <c r="X2303" s="17"/>
      <c r="Y2303" s="5">
        <f t="shared" si="220"/>
        <v>0</v>
      </c>
      <c r="Z2303" s="5">
        <f t="shared" si="221"/>
        <v>48720000</v>
      </c>
      <c r="AA2303" s="5">
        <f t="shared" si="222"/>
        <v>0</v>
      </c>
      <c r="AB2303" s="5">
        <f t="shared" si="223"/>
        <v>0</v>
      </c>
      <c r="AC2303" s="5"/>
      <c r="AD2303" s="5">
        <v>0</v>
      </c>
      <c r="AE2303" s="5">
        <f t="shared" si="224"/>
        <v>48720000</v>
      </c>
      <c r="AF2303" s="70">
        <v>0</v>
      </c>
      <c r="AG2303" s="17"/>
      <c r="AH2303" s="18"/>
      <c r="AI2303" s="47" t="s">
        <v>4346</v>
      </c>
      <c r="AJ2303" s="73" t="s">
        <v>4347</v>
      </c>
      <c r="AK2303" s="45"/>
      <c r="AL2303" s="17"/>
      <c r="AM2303" s="195" t="s">
        <v>4981</v>
      </c>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39"/>
      <c r="CE2303" s="138"/>
      <c r="CF2303" s="139"/>
      <c r="CG2303" s="138"/>
      <c r="CH2303" s="139"/>
      <c r="CI2303" s="138"/>
      <c r="CJ2303" s="72"/>
      <c r="CK2303" s="139"/>
      <c r="CL2303" s="71"/>
      <c r="CM2303" s="139"/>
      <c r="CN2303" s="138"/>
      <c r="CO2303" s="138"/>
      <c r="CP2303" s="138"/>
      <c r="CQ2303" s="139"/>
      <c r="CR2303" s="138"/>
      <c r="CS2303" s="45"/>
      <c r="CT2303" s="138"/>
      <c r="CU2303" s="45"/>
      <c r="CV2303" s="99">
        <f t="shared" si="225"/>
        <v>0</v>
      </c>
      <c r="CW2303" s="139"/>
      <c r="CX2303" s="138"/>
      <c r="CY2303" s="138">
        <v>560</v>
      </c>
      <c r="CZ2303" s="138">
        <f>560*87000</f>
        <v>48720000</v>
      </c>
      <c r="DA2303" s="139"/>
      <c r="DB2303" s="138"/>
      <c r="DC2303" s="45"/>
      <c r="DD2303" s="138"/>
      <c r="DE2303" s="45"/>
      <c r="DF2303" s="46"/>
    </row>
    <row r="2304" spans="1:110" s="42" customFormat="1" ht="24" x14ac:dyDescent="0.2">
      <c r="A2304" s="89">
        <v>40833</v>
      </c>
      <c r="B2304" s="16" t="s">
        <v>2225</v>
      </c>
      <c r="C2304" s="4" t="s">
        <v>1884</v>
      </c>
      <c r="D2304" s="90" t="s">
        <v>4264</v>
      </c>
      <c r="E2304" s="90" t="str">
        <f>VLOOKUP(B2304&amp;C2304,Divipola!$C$2:$F$1138,4,FALSE)</f>
        <v>27430</v>
      </c>
      <c r="F2304" s="4"/>
      <c r="G2304" s="208"/>
      <c r="H2304" s="208"/>
      <c r="I2304" s="208"/>
      <c r="J2304" s="208"/>
      <c r="K2304" s="208"/>
      <c r="L2304" s="208"/>
      <c r="M2304" s="208"/>
      <c r="N2304" s="208"/>
      <c r="O2304" s="208"/>
      <c r="P2304" s="208"/>
      <c r="Q2304" s="208"/>
      <c r="R2304" s="208"/>
      <c r="S2304" s="208"/>
      <c r="T2304" s="208"/>
      <c r="U2304" s="208"/>
      <c r="V2304" s="208"/>
      <c r="W2304" s="19"/>
      <c r="X2304" s="17"/>
      <c r="Y2304" s="5">
        <f t="shared" si="220"/>
        <v>0</v>
      </c>
      <c r="Z2304" s="5">
        <f t="shared" si="221"/>
        <v>66300000</v>
      </c>
      <c r="AA2304" s="5">
        <f t="shared" si="222"/>
        <v>0</v>
      </c>
      <c r="AB2304" s="5">
        <f t="shared" si="223"/>
        <v>0</v>
      </c>
      <c r="AC2304" s="5"/>
      <c r="AD2304" s="5">
        <v>0</v>
      </c>
      <c r="AE2304" s="5">
        <f t="shared" si="224"/>
        <v>66300000</v>
      </c>
      <c r="AF2304" s="70">
        <v>0</v>
      </c>
      <c r="AG2304" s="17"/>
      <c r="AH2304" s="18"/>
      <c r="AI2304" s="109" t="s">
        <v>4346</v>
      </c>
      <c r="AJ2304" s="110" t="s">
        <v>4347</v>
      </c>
      <c r="AK2304" s="45"/>
      <c r="AL2304" s="17"/>
      <c r="AM2304" s="20" t="s">
        <v>4980</v>
      </c>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39"/>
      <c r="CE2304" s="138"/>
      <c r="CF2304" s="139"/>
      <c r="CG2304" s="138"/>
      <c r="CH2304" s="139"/>
      <c r="CI2304" s="138"/>
      <c r="CJ2304" s="72"/>
      <c r="CK2304" s="139"/>
      <c r="CL2304" s="71"/>
      <c r="CM2304" s="139"/>
      <c r="CN2304" s="138"/>
      <c r="CO2304" s="138"/>
      <c r="CP2304" s="138"/>
      <c r="CQ2304" s="139"/>
      <c r="CR2304" s="138"/>
      <c r="CS2304" s="45"/>
      <c r="CT2304" s="138"/>
      <c r="CU2304" s="45"/>
      <c r="CV2304" s="99">
        <f t="shared" si="225"/>
        <v>0</v>
      </c>
      <c r="CW2304" s="139"/>
      <c r="CX2304" s="138"/>
      <c r="CY2304" s="138">
        <v>780</v>
      </c>
      <c r="CZ2304" s="138">
        <f>780*85000</f>
        <v>66300000</v>
      </c>
      <c r="DA2304" s="139"/>
      <c r="DB2304" s="138"/>
      <c r="DC2304" s="45"/>
      <c r="DD2304" s="138"/>
      <c r="DE2304" s="45"/>
      <c r="DF2304" s="46"/>
    </row>
    <row r="2305" spans="1:110" s="42" customFormat="1" x14ac:dyDescent="0.2">
      <c r="A2305" s="89">
        <v>40833</v>
      </c>
      <c r="B2305" s="16" t="s">
        <v>2225</v>
      </c>
      <c r="C2305" s="16" t="s">
        <v>1889</v>
      </c>
      <c r="D2305" s="90" t="s">
        <v>4264</v>
      </c>
      <c r="E2305" s="90" t="str">
        <f>VLOOKUP(B2305&amp;C2305,Divipola!$C$2:$F$1138,4,FALSE)</f>
        <v>27495</v>
      </c>
      <c r="F2305" s="4"/>
      <c r="G2305" s="208"/>
      <c r="H2305" s="208"/>
      <c r="I2305" s="208"/>
      <c r="J2305" s="208"/>
      <c r="K2305" s="208"/>
      <c r="L2305" s="208"/>
      <c r="M2305" s="208"/>
      <c r="N2305" s="208"/>
      <c r="O2305" s="208"/>
      <c r="P2305" s="208"/>
      <c r="Q2305" s="208"/>
      <c r="R2305" s="208"/>
      <c r="S2305" s="208"/>
      <c r="T2305" s="208"/>
      <c r="U2305" s="208"/>
      <c r="V2305" s="208"/>
      <c r="W2305" s="19"/>
      <c r="X2305" s="17"/>
      <c r="Y2305" s="5">
        <f t="shared" si="220"/>
        <v>0</v>
      </c>
      <c r="Z2305" s="5">
        <f t="shared" si="221"/>
        <v>0</v>
      </c>
      <c r="AA2305" s="5">
        <f t="shared" si="222"/>
        <v>0</v>
      </c>
      <c r="AB2305" s="5">
        <f t="shared" si="223"/>
        <v>0</v>
      </c>
      <c r="AC2305" s="5"/>
      <c r="AD2305" s="5">
        <v>0</v>
      </c>
      <c r="AE2305" s="5">
        <f t="shared" si="224"/>
        <v>0</v>
      </c>
      <c r="AF2305" s="70">
        <v>0</v>
      </c>
      <c r="AG2305" s="17"/>
      <c r="AH2305" s="18"/>
      <c r="AI2305" s="47" t="s">
        <v>4336</v>
      </c>
      <c r="AJ2305" s="73" t="s">
        <v>4337</v>
      </c>
      <c r="AK2305" s="45"/>
      <c r="AL2305" s="17"/>
      <c r="AM2305" s="20"/>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39"/>
      <c r="CE2305" s="138"/>
      <c r="CF2305" s="139"/>
      <c r="CG2305" s="138"/>
      <c r="CH2305" s="139"/>
      <c r="CI2305" s="138"/>
      <c r="CJ2305" s="72"/>
      <c r="CK2305" s="139"/>
      <c r="CL2305" s="71"/>
      <c r="CM2305" s="139"/>
      <c r="CN2305" s="138"/>
      <c r="CO2305" s="138"/>
      <c r="CP2305" s="138"/>
      <c r="CQ2305" s="139"/>
      <c r="CR2305" s="138"/>
      <c r="CS2305" s="45"/>
      <c r="CT2305" s="138"/>
      <c r="CU2305" s="45"/>
      <c r="CV2305" s="99">
        <f t="shared" si="225"/>
        <v>0</v>
      </c>
      <c r="CW2305" s="139"/>
      <c r="CX2305" s="138"/>
      <c r="CY2305" s="138"/>
      <c r="CZ2305" s="138"/>
      <c r="DA2305" s="139"/>
      <c r="DB2305" s="138"/>
      <c r="DC2305" s="45"/>
      <c r="DD2305" s="138"/>
      <c r="DE2305" s="45"/>
      <c r="DF2305" s="46"/>
    </row>
    <row r="2306" spans="1:110" s="42" customFormat="1" ht="22.5" x14ac:dyDescent="0.2">
      <c r="A2306" s="89">
        <v>40833</v>
      </c>
      <c r="B2306" s="16" t="s">
        <v>2225</v>
      </c>
      <c r="C2306" s="90" t="s">
        <v>4241</v>
      </c>
      <c r="D2306" s="90" t="s">
        <v>4264</v>
      </c>
      <c r="E2306" s="90" t="str">
        <f>VLOOKUP(B2306&amp;C2306,Divipola!$C$2:$F$1138,4,FALSE)</f>
        <v>27660</v>
      </c>
      <c r="F2306" s="4"/>
      <c r="G2306" s="208"/>
      <c r="H2306" s="208"/>
      <c r="I2306" s="208"/>
      <c r="J2306" s="208">
        <v>10974</v>
      </c>
      <c r="K2306" s="208">
        <v>2494</v>
      </c>
      <c r="L2306" s="208"/>
      <c r="M2306" s="208"/>
      <c r="N2306" s="208"/>
      <c r="O2306" s="208"/>
      <c r="P2306" s="208"/>
      <c r="Q2306" s="208"/>
      <c r="R2306" s="208"/>
      <c r="S2306" s="208"/>
      <c r="T2306" s="208"/>
      <c r="U2306" s="208"/>
      <c r="V2306" s="208"/>
      <c r="W2306" s="19"/>
      <c r="X2306" s="17"/>
      <c r="Y2306" s="5">
        <f t="shared" ref="Y2306:Y2369" si="226">CV2306</f>
        <v>0</v>
      </c>
      <c r="Z2306" s="5">
        <f t="shared" ref="Z2306:Z2369" si="227">CZ2306</f>
        <v>102000000</v>
      </c>
      <c r="AA2306" s="5">
        <f t="shared" ref="AA2306:AA2369" si="228">DB2306+DD2306</f>
        <v>0</v>
      </c>
      <c r="AB2306" s="5">
        <f t="shared" ref="AB2306:AB2369" si="229">CX2306</f>
        <v>0</v>
      </c>
      <c r="AC2306" s="5"/>
      <c r="AD2306" s="5">
        <v>0</v>
      </c>
      <c r="AE2306" s="5">
        <f t="shared" ref="AE2306:AE2369" si="230">Y2306+Z2306+AA2306+AB2306+AC2306+AD2306</f>
        <v>102000000</v>
      </c>
      <c r="AF2306" s="70">
        <v>0</v>
      </c>
      <c r="AG2306" s="17"/>
      <c r="AH2306" s="18"/>
      <c r="AI2306" s="109" t="s">
        <v>4346</v>
      </c>
      <c r="AJ2306" s="110" t="s">
        <v>4347</v>
      </c>
      <c r="AK2306" s="45"/>
      <c r="AL2306" s="17"/>
      <c r="AM2306" s="20"/>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39"/>
      <c r="CE2306" s="138"/>
      <c r="CF2306" s="139"/>
      <c r="CG2306" s="138"/>
      <c r="CH2306" s="139"/>
      <c r="CI2306" s="138"/>
      <c r="CJ2306" s="72"/>
      <c r="CK2306" s="139"/>
      <c r="CL2306" s="71"/>
      <c r="CM2306" s="139"/>
      <c r="CN2306" s="138"/>
      <c r="CO2306" s="138"/>
      <c r="CP2306" s="138"/>
      <c r="CQ2306" s="139"/>
      <c r="CR2306" s="138"/>
      <c r="CS2306" s="45"/>
      <c r="CT2306" s="138"/>
      <c r="CU2306" s="45"/>
      <c r="CV2306" s="99">
        <f t="shared" si="225"/>
        <v>0</v>
      </c>
      <c r="CW2306" s="139"/>
      <c r="CX2306" s="138"/>
      <c r="CY2306" s="138">
        <v>1200</v>
      </c>
      <c r="CZ2306" s="138">
        <f>1200*85000</f>
        <v>102000000</v>
      </c>
      <c r="DA2306" s="139"/>
      <c r="DB2306" s="138"/>
      <c r="DC2306" s="45"/>
      <c r="DD2306" s="138"/>
      <c r="DE2306" s="45"/>
      <c r="DF2306" s="46"/>
    </row>
    <row r="2307" spans="1:110" s="42" customFormat="1" ht="60" x14ac:dyDescent="0.2">
      <c r="A2307" s="89">
        <v>40833</v>
      </c>
      <c r="B2307" s="16" t="s">
        <v>4221</v>
      </c>
      <c r="C2307" s="16" t="s">
        <v>2237</v>
      </c>
      <c r="D2307" s="90" t="s">
        <v>4264</v>
      </c>
      <c r="E2307" s="90" t="str">
        <f>VLOOKUP(B2307&amp;C2307,Divipola!$C$2:$F$1138,4,FALSE)</f>
        <v>54261</v>
      </c>
      <c r="F2307" s="4"/>
      <c r="G2307" s="208">
        <v>2</v>
      </c>
      <c r="H2307" s="208"/>
      <c r="I2307" s="208"/>
      <c r="J2307" s="208"/>
      <c r="K2307" s="208"/>
      <c r="L2307" s="208"/>
      <c r="M2307" s="208"/>
      <c r="N2307" s="208"/>
      <c r="O2307" s="208"/>
      <c r="P2307" s="208"/>
      <c r="Q2307" s="208"/>
      <c r="R2307" s="208"/>
      <c r="S2307" s="208"/>
      <c r="T2307" s="208"/>
      <c r="U2307" s="208"/>
      <c r="V2307" s="208"/>
      <c r="W2307" s="19"/>
      <c r="X2307" s="17"/>
      <c r="Y2307" s="5">
        <f t="shared" si="226"/>
        <v>0</v>
      </c>
      <c r="Z2307" s="5">
        <f t="shared" si="227"/>
        <v>0</v>
      </c>
      <c r="AA2307" s="5">
        <f t="shared" si="228"/>
        <v>0</v>
      </c>
      <c r="AB2307" s="5">
        <f t="shared" si="229"/>
        <v>0</v>
      </c>
      <c r="AC2307" s="5"/>
      <c r="AD2307" s="5">
        <v>0</v>
      </c>
      <c r="AE2307" s="5">
        <f t="shared" si="230"/>
        <v>0</v>
      </c>
      <c r="AF2307" s="70">
        <v>0</v>
      </c>
      <c r="AG2307" s="17"/>
      <c r="AH2307" s="18"/>
      <c r="AI2307" s="47" t="s">
        <v>4336</v>
      </c>
      <c r="AJ2307" s="73" t="s">
        <v>4337</v>
      </c>
      <c r="AK2307" s="45"/>
      <c r="AL2307" s="17"/>
      <c r="AM2307" s="121" t="s">
        <v>4699</v>
      </c>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39"/>
      <c r="CE2307" s="138"/>
      <c r="CF2307" s="139"/>
      <c r="CG2307" s="138"/>
      <c r="CH2307" s="139"/>
      <c r="CI2307" s="138"/>
      <c r="CJ2307" s="72"/>
      <c r="CK2307" s="139"/>
      <c r="CL2307" s="71"/>
      <c r="CM2307" s="139"/>
      <c r="CN2307" s="138"/>
      <c r="CO2307" s="138"/>
      <c r="CP2307" s="138"/>
      <c r="CQ2307" s="139"/>
      <c r="CR2307" s="138"/>
      <c r="CS2307" s="45"/>
      <c r="CT2307" s="138"/>
      <c r="CU2307" s="45"/>
      <c r="CV2307" s="99">
        <f t="shared" ref="CV2307:CV2370" si="231">AO2307+AQ2307+AS2307+AU2307+AW2307+AY2307+BA2307+BC2307+BE2307+BG2307+BI2307+BK2307+BM2307+BO2307+BQ2307+BS2307+BU2307+BW2307+BY2307+CA2307+CC2307+CE2307+CG2307+CI2307+CK2307+CM2307+CO2307+CQ2307+CS2307+CU2307</f>
        <v>0</v>
      </c>
      <c r="CW2307" s="139"/>
      <c r="CX2307" s="138"/>
      <c r="CY2307" s="138"/>
      <c r="CZ2307" s="138"/>
      <c r="DA2307" s="139"/>
      <c r="DB2307" s="138"/>
      <c r="DC2307" s="45"/>
      <c r="DD2307" s="138"/>
      <c r="DE2307" s="45"/>
      <c r="DF2307" s="46"/>
    </row>
    <row r="2308" spans="1:110" s="42" customFormat="1" ht="60" x14ac:dyDescent="0.2">
      <c r="A2308" s="89">
        <v>40833</v>
      </c>
      <c r="B2308" s="151" t="s">
        <v>4350</v>
      </c>
      <c r="C2308" s="90" t="s">
        <v>4351</v>
      </c>
      <c r="D2308" s="90" t="s">
        <v>4264</v>
      </c>
      <c r="E2308" s="90" t="str">
        <f>VLOOKUP(B2308&amp;C2308,Divipola!$C$2:$F$1138,4,FALSE)</f>
        <v>63001</v>
      </c>
      <c r="F2308" s="4"/>
      <c r="G2308" s="101"/>
      <c r="H2308" s="101"/>
      <c r="I2308" s="101"/>
      <c r="J2308" s="101">
        <v>3</v>
      </c>
      <c r="K2308" s="101"/>
      <c r="L2308" s="101"/>
      <c r="M2308" s="101"/>
      <c r="N2308" s="101"/>
      <c r="O2308" s="101"/>
      <c r="P2308" s="101"/>
      <c r="Q2308" s="101"/>
      <c r="R2308" s="101"/>
      <c r="S2308" s="101"/>
      <c r="T2308" s="101"/>
      <c r="U2308" s="101"/>
      <c r="V2308" s="101"/>
      <c r="W2308" s="19"/>
      <c r="X2308" s="17"/>
      <c r="Y2308" s="5">
        <f t="shared" si="226"/>
        <v>0</v>
      </c>
      <c r="Z2308" s="5">
        <f t="shared" si="227"/>
        <v>0</v>
      </c>
      <c r="AA2308" s="5">
        <f t="shared" si="228"/>
        <v>0</v>
      </c>
      <c r="AB2308" s="5">
        <f t="shared" si="229"/>
        <v>0</v>
      </c>
      <c r="AC2308" s="5"/>
      <c r="AD2308" s="5">
        <v>0</v>
      </c>
      <c r="AE2308" s="5">
        <f t="shared" si="230"/>
        <v>0</v>
      </c>
      <c r="AF2308" s="70">
        <v>0</v>
      </c>
      <c r="AG2308" s="17"/>
      <c r="AH2308" s="18"/>
      <c r="AI2308" s="47" t="s">
        <v>4336</v>
      </c>
      <c r="AJ2308" s="73" t="s">
        <v>4337</v>
      </c>
      <c r="AK2308" s="45"/>
      <c r="AL2308" s="17"/>
      <c r="AM2308" s="121" t="s">
        <v>4700</v>
      </c>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39"/>
      <c r="CE2308" s="138"/>
      <c r="CF2308" s="139"/>
      <c r="CG2308" s="138"/>
      <c r="CH2308" s="139"/>
      <c r="CI2308" s="138"/>
      <c r="CJ2308" s="72"/>
      <c r="CK2308" s="139"/>
      <c r="CL2308" s="71"/>
      <c r="CM2308" s="139"/>
      <c r="CN2308" s="138"/>
      <c r="CO2308" s="138"/>
      <c r="CP2308" s="138"/>
      <c r="CQ2308" s="139"/>
      <c r="CR2308" s="138"/>
      <c r="CS2308" s="45"/>
      <c r="CT2308" s="138"/>
      <c r="CU2308" s="45"/>
      <c r="CV2308" s="99">
        <f t="shared" si="231"/>
        <v>0</v>
      </c>
      <c r="CW2308" s="139"/>
      <c r="CX2308" s="138"/>
      <c r="CY2308" s="138"/>
      <c r="CZ2308" s="138"/>
      <c r="DA2308" s="139"/>
      <c r="DB2308" s="138"/>
      <c r="DC2308" s="45"/>
      <c r="DD2308" s="138"/>
      <c r="DE2308" s="45"/>
      <c r="DF2308" s="46"/>
    </row>
    <row r="2309" spans="1:110" s="42" customFormat="1" ht="36" x14ac:dyDescent="0.2">
      <c r="A2309" s="89">
        <v>40833</v>
      </c>
      <c r="B2309" s="151" t="s">
        <v>4350</v>
      </c>
      <c r="C2309" s="90" t="s">
        <v>4351</v>
      </c>
      <c r="D2309" s="90" t="s">
        <v>2362</v>
      </c>
      <c r="E2309" s="90" t="str">
        <f>VLOOKUP(B2309&amp;C2309,Divipola!$C$2:$F$1138,4,FALSE)</f>
        <v>63001</v>
      </c>
      <c r="F2309" s="4"/>
      <c r="G2309" s="101"/>
      <c r="H2309" s="101">
        <v>2</v>
      </c>
      <c r="I2309" s="101"/>
      <c r="J2309" s="101">
        <v>11</v>
      </c>
      <c r="K2309" s="101">
        <v>3</v>
      </c>
      <c r="L2309" s="101">
        <v>2</v>
      </c>
      <c r="M2309" s="101"/>
      <c r="N2309" s="101"/>
      <c r="O2309" s="101"/>
      <c r="P2309" s="101"/>
      <c r="Q2309" s="101"/>
      <c r="R2309" s="101"/>
      <c r="S2309" s="101"/>
      <c r="T2309" s="101"/>
      <c r="U2309" s="101"/>
      <c r="V2309" s="101"/>
      <c r="W2309" s="19"/>
      <c r="X2309" s="17"/>
      <c r="Y2309" s="5">
        <f t="shared" si="226"/>
        <v>0</v>
      </c>
      <c r="Z2309" s="5">
        <f t="shared" si="227"/>
        <v>0</v>
      </c>
      <c r="AA2309" s="5">
        <f t="shared" si="228"/>
        <v>0</v>
      </c>
      <c r="AB2309" s="5">
        <f t="shared" si="229"/>
        <v>0</v>
      </c>
      <c r="AC2309" s="5"/>
      <c r="AD2309" s="5">
        <v>0</v>
      </c>
      <c r="AE2309" s="5">
        <f t="shared" si="230"/>
        <v>0</v>
      </c>
      <c r="AF2309" s="70">
        <v>0</v>
      </c>
      <c r="AG2309" s="17"/>
      <c r="AH2309" s="18"/>
      <c r="AI2309" s="47" t="s">
        <v>4336</v>
      </c>
      <c r="AJ2309" s="73" t="s">
        <v>4337</v>
      </c>
      <c r="AK2309" s="45"/>
      <c r="AL2309" s="17"/>
      <c r="AM2309" s="121" t="s">
        <v>4703</v>
      </c>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39"/>
      <c r="CE2309" s="138"/>
      <c r="CF2309" s="139"/>
      <c r="CG2309" s="138"/>
      <c r="CH2309" s="139"/>
      <c r="CI2309" s="138"/>
      <c r="CJ2309" s="72"/>
      <c r="CK2309" s="139"/>
      <c r="CL2309" s="71"/>
      <c r="CM2309" s="139"/>
      <c r="CN2309" s="138"/>
      <c r="CO2309" s="138"/>
      <c r="CP2309" s="138"/>
      <c r="CQ2309" s="139"/>
      <c r="CR2309" s="138"/>
      <c r="CS2309" s="45"/>
      <c r="CT2309" s="138"/>
      <c r="CU2309" s="45"/>
      <c r="CV2309" s="99">
        <f t="shared" si="231"/>
        <v>0</v>
      </c>
      <c r="CW2309" s="139"/>
      <c r="CX2309" s="138"/>
      <c r="CY2309" s="138"/>
      <c r="CZ2309" s="138"/>
      <c r="DA2309" s="139"/>
      <c r="DB2309" s="138"/>
      <c r="DC2309" s="45"/>
      <c r="DD2309" s="138"/>
      <c r="DE2309" s="45"/>
      <c r="DF2309" s="46"/>
    </row>
    <row r="2310" spans="1:110" s="42" customFormat="1" ht="120" x14ac:dyDescent="0.2">
      <c r="A2310" s="89">
        <v>40833</v>
      </c>
      <c r="B2310" s="151" t="s">
        <v>2226</v>
      </c>
      <c r="C2310" s="90" t="s">
        <v>4232</v>
      </c>
      <c r="D2310" s="90" t="s">
        <v>4264</v>
      </c>
      <c r="E2310" s="90" t="str">
        <f>VLOOKUP(B2310&amp;C2310,Divipola!$C$2:$F$1138,4,FALSE)</f>
        <v>68001</v>
      </c>
      <c r="F2310" s="4"/>
      <c r="G2310" s="101"/>
      <c r="H2310" s="101"/>
      <c r="I2310" s="101"/>
      <c r="J2310" s="101">
        <v>150</v>
      </c>
      <c r="K2310" s="101">
        <v>30</v>
      </c>
      <c r="L2310" s="101">
        <v>1</v>
      </c>
      <c r="M2310" s="101">
        <v>29</v>
      </c>
      <c r="N2310" s="101">
        <v>1</v>
      </c>
      <c r="O2310" s="101"/>
      <c r="P2310" s="101"/>
      <c r="Q2310" s="101"/>
      <c r="R2310" s="101"/>
      <c r="S2310" s="101"/>
      <c r="T2310" s="101"/>
      <c r="U2310" s="101"/>
      <c r="V2310" s="101"/>
      <c r="W2310" s="19"/>
      <c r="X2310" s="17"/>
      <c r="Y2310" s="5">
        <f t="shared" si="226"/>
        <v>0</v>
      </c>
      <c r="Z2310" s="5">
        <f t="shared" si="227"/>
        <v>0</v>
      </c>
      <c r="AA2310" s="5">
        <f t="shared" si="228"/>
        <v>0</v>
      </c>
      <c r="AB2310" s="5">
        <f t="shared" si="229"/>
        <v>0</v>
      </c>
      <c r="AC2310" s="5"/>
      <c r="AD2310" s="5">
        <v>0</v>
      </c>
      <c r="AE2310" s="5">
        <f t="shared" si="230"/>
        <v>0</v>
      </c>
      <c r="AF2310" s="70">
        <v>0</v>
      </c>
      <c r="AG2310" s="17"/>
      <c r="AH2310" s="18"/>
      <c r="AI2310" s="47" t="s">
        <v>4346</v>
      </c>
      <c r="AJ2310" s="73" t="s">
        <v>4347</v>
      </c>
      <c r="AK2310" s="45"/>
      <c r="AL2310" s="89" t="s">
        <v>2798</v>
      </c>
      <c r="AM2310" s="121" t="s">
        <v>4689</v>
      </c>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39"/>
      <c r="CE2310" s="138"/>
      <c r="CF2310" s="139"/>
      <c r="CG2310" s="138"/>
      <c r="CH2310" s="139"/>
      <c r="CI2310" s="138"/>
      <c r="CJ2310" s="72"/>
      <c r="CK2310" s="139"/>
      <c r="CL2310" s="71"/>
      <c r="CM2310" s="139"/>
      <c r="CN2310" s="138"/>
      <c r="CO2310" s="138"/>
      <c r="CP2310" s="138"/>
      <c r="CQ2310" s="139"/>
      <c r="CR2310" s="138"/>
      <c r="CS2310" s="45"/>
      <c r="CT2310" s="138"/>
      <c r="CU2310" s="45"/>
      <c r="CV2310" s="99">
        <f t="shared" si="231"/>
        <v>0</v>
      </c>
      <c r="CW2310" s="139"/>
      <c r="CX2310" s="138"/>
      <c r="CY2310" s="138"/>
      <c r="CZ2310" s="138"/>
      <c r="DA2310" s="139"/>
      <c r="DB2310" s="138"/>
      <c r="DC2310" s="45"/>
      <c r="DD2310" s="138"/>
      <c r="DE2310" s="45"/>
      <c r="DF2310" s="46"/>
    </row>
    <row r="2311" spans="1:110" s="42" customFormat="1" ht="144" x14ac:dyDescent="0.2">
      <c r="A2311" s="89">
        <v>40833</v>
      </c>
      <c r="B2311" s="151" t="s">
        <v>2226</v>
      </c>
      <c r="C2311" s="90" t="s">
        <v>659</v>
      </c>
      <c r="D2311" s="90" t="s">
        <v>2362</v>
      </c>
      <c r="E2311" s="90" t="str">
        <f>VLOOKUP(B2311&amp;C2311,Divipola!$C$2:$F$1138,4,FALSE)</f>
        <v>68245</v>
      </c>
      <c r="F2311" s="4"/>
      <c r="G2311" s="101"/>
      <c r="H2311" s="101"/>
      <c r="I2311" s="101"/>
      <c r="J2311" s="101">
        <v>25</v>
      </c>
      <c r="K2311" s="101">
        <v>6</v>
      </c>
      <c r="L2311" s="101"/>
      <c r="M2311" s="101"/>
      <c r="N2311" s="101"/>
      <c r="O2311" s="101">
        <v>2</v>
      </c>
      <c r="P2311" s="101"/>
      <c r="Q2311" s="101"/>
      <c r="R2311" s="101"/>
      <c r="S2311" s="101"/>
      <c r="T2311" s="101"/>
      <c r="U2311" s="101"/>
      <c r="V2311" s="101"/>
      <c r="W2311" s="19"/>
      <c r="X2311" s="17"/>
      <c r="Y2311" s="5">
        <f t="shared" si="226"/>
        <v>0</v>
      </c>
      <c r="Z2311" s="5">
        <f t="shared" si="227"/>
        <v>0</v>
      </c>
      <c r="AA2311" s="5">
        <f t="shared" si="228"/>
        <v>0</v>
      </c>
      <c r="AB2311" s="5">
        <f t="shared" si="229"/>
        <v>0</v>
      </c>
      <c r="AC2311" s="5"/>
      <c r="AD2311" s="5">
        <v>0</v>
      </c>
      <c r="AE2311" s="5">
        <f t="shared" si="230"/>
        <v>0</v>
      </c>
      <c r="AF2311" s="70">
        <v>0</v>
      </c>
      <c r="AG2311" s="17"/>
      <c r="AH2311" s="18"/>
      <c r="AI2311" s="47" t="s">
        <v>4346</v>
      </c>
      <c r="AJ2311" s="73" t="s">
        <v>4347</v>
      </c>
      <c r="AK2311" s="45"/>
      <c r="AL2311" s="89" t="s">
        <v>2798</v>
      </c>
      <c r="AM2311" s="121" t="s">
        <v>4791</v>
      </c>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39"/>
      <c r="CE2311" s="138"/>
      <c r="CF2311" s="139"/>
      <c r="CG2311" s="138"/>
      <c r="CH2311" s="139"/>
      <c r="CI2311" s="138"/>
      <c r="CJ2311" s="72"/>
      <c r="CK2311" s="139"/>
      <c r="CL2311" s="71"/>
      <c r="CM2311" s="139"/>
      <c r="CN2311" s="138"/>
      <c r="CO2311" s="138"/>
      <c r="CP2311" s="138"/>
      <c r="CQ2311" s="139"/>
      <c r="CR2311" s="138"/>
      <c r="CS2311" s="45"/>
      <c r="CT2311" s="138"/>
      <c r="CU2311" s="45"/>
      <c r="CV2311" s="99">
        <f t="shared" si="231"/>
        <v>0</v>
      </c>
      <c r="CW2311" s="139"/>
      <c r="CX2311" s="138"/>
      <c r="CY2311" s="138"/>
      <c r="CZ2311" s="138"/>
      <c r="DA2311" s="139"/>
      <c r="DB2311" s="138"/>
      <c r="DC2311" s="45"/>
      <c r="DD2311" s="138"/>
      <c r="DE2311" s="45"/>
      <c r="DF2311" s="46"/>
    </row>
    <row r="2312" spans="1:110" s="42" customFormat="1" ht="96" x14ac:dyDescent="0.2">
      <c r="A2312" s="89">
        <v>40833</v>
      </c>
      <c r="B2312" s="196" t="s">
        <v>4244</v>
      </c>
      <c r="C2312" s="197" t="s">
        <v>3167</v>
      </c>
      <c r="D2312" s="90" t="s">
        <v>4264</v>
      </c>
      <c r="E2312" s="90" t="str">
        <f>VLOOKUP(B2312&amp;C2312,Divipola!$C$2:$F$1138,4,FALSE)</f>
        <v>76275</v>
      </c>
      <c r="F2312" s="4"/>
      <c r="G2312" s="194"/>
      <c r="H2312" s="194"/>
      <c r="I2312" s="194"/>
      <c r="J2312" s="194">
        <v>70</v>
      </c>
      <c r="K2312" s="194">
        <v>14</v>
      </c>
      <c r="L2312" s="194"/>
      <c r="M2312" s="194">
        <v>14</v>
      </c>
      <c r="N2312" s="194"/>
      <c r="O2312" s="194"/>
      <c r="P2312" s="194"/>
      <c r="Q2312" s="194"/>
      <c r="R2312" s="194"/>
      <c r="S2312" s="194"/>
      <c r="T2312" s="194">
        <v>1</v>
      </c>
      <c r="U2312" s="194"/>
      <c r="V2312" s="194"/>
      <c r="W2312" s="19"/>
      <c r="X2312" s="17"/>
      <c r="Y2312" s="5">
        <f t="shared" si="226"/>
        <v>0</v>
      </c>
      <c r="Z2312" s="5">
        <f t="shared" si="227"/>
        <v>0</v>
      </c>
      <c r="AA2312" s="5">
        <f t="shared" si="228"/>
        <v>0</v>
      </c>
      <c r="AB2312" s="5">
        <f t="shared" si="229"/>
        <v>0</v>
      </c>
      <c r="AC2312" s="5"/>
      <c r="AD2312" s="5">
        <v>0</v>
      </c>
      <c r="AE2312" s="5">
        <f t="shared" si="230"/>
        <v>0</v>
      </c>
      <c r="AF2312" s="70">
        <v>0</v>
      </c>
      <c r="AG2312" s="17"/>
      <c r="AH2312" s="18"/>
      <c r="AI2312" s="47" t="s">
        <v>4346</v>
      </c>
      <c r="AJ2312" s="73" t="s">
        <v>4347</v>
      </c>
      <c r="AK2312" s="45"/>
      <c r="AL2312" s="89" t="s">
        <v>2798</v>
      </c>
      <c r="AM2312" s="195" t="s">
        <v>4686</v>
      </c>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39"/>
      <c r="CE2312" s="138"/>
      <c r="CF2312" s="139"/>
      <c r="CG2312" s="138"/>
      <c r="CH2312" s="139"/>
      <c r="CI2312" s="138"/>
      <c r="CJ2312" s="72"/>
      <c r="CK2312" s="139"/>
      <c r="CL2312" s="71"/>
      <c r="CM2312" s="139"/>
      <c r="CN2312" s="138"/>
      <c r="CO2312" s="138"/>
      <c r="CP2312" s="138"/>
      <c r="CQ2312" s="139"/>
      <c r="CR2312" s="138"/>
      <c r="CS2312" s="45"/>
      <c r="CT2312" s="138"/>
      <c r="CU2312" s="45"/>
      <c r="CV2312" s="99">
        <f t="shared" si="231"/>
        <v>0</v>
      </c>
      <c r="CW2312" s="139"/>
      <c r="CX2312" s="138"/>
      <c r="CY2312" s="138"/>
      <c r="CZ2312" s="138"/>
      <c r="DA2312" s="139"/>
      <c r="DB2312" s="138"/>
      <c r="DC2312" s="45"/>
      <c r="DD2312" s="138"/>
      <c r="DE2312" s="45"/>
      <c r="DF2312" s="46"/>
    </row>
    <row r="2313" spans="1:110" s="42" customFormat="1" ht="84" x14ac:dyDescent="0.2">
      <c r="A2313" s="89">
        <v>40833</v>
      </c>
      <c r="B2313" s="151" t="s">
        <v>4244</v>
      </c>
      <c r="C2313" s="90" t="s">
        <v>3169</v>
      </c>
      <c r="D2313" s="90" t="s">
        <v>4264</v>
      </c>
      <c r="E2313" s="90" t="str">
        <f>VLOOKUP(B2313&amp;C2313,Divipola!$C$2:$F$1138,4,FALSE)</f>
        <v>76318</v>
      </c>
      <c r="F2313" s="4"/>
      <c r="G2313" s="101"/>
      <c r="H2313" s="101"/>
      <c r="I2313" s="101"/>
      <c r="J2313" s="101">
        <v>25</v>
      </c>
      <c r="K2313" s="101">
        <v>5</v>
      </c>
      <c r="L2313" s="101"/>
      <c r="M2313" s="101">
        <v>5</v>
      </c>
      <c r="N2313" s="101"/>
      <c r="O2313" s="101"/>
      <c r="P2313" s="101"/>
      <c r="Q2313" s="101"/>
      <c r="R2313" s="101"/>
      <c r="S2313" s="101"/>
      <c r="T2313" s="101"/>
      <c r="U2313" s="101"/>
      <c r="V2313" s="101">
        <v>5</v>
      </c>
      <c r="W2313" s="19"/>
      <c r="X2313" s="17"/>
      <c r="Y2313" s="5">
        <f t="shared" si="226"/>
        <v>0</v>
      </c>
      <c r="Z2313" s="5">
        <f t="shared" si="227"/>
        <v>0</v>
      </c>
      <c r="AA2313" s="5">
        <f t="shared" si="228"/>
        <v>0</v>
      </c>
      <c r="AB2313" s="5">
        <f t="shared" si="229"/>
        <v>0</v>
      </c>
      <c r="AC2313" s="5"/>
      <c r="AD2313" s="5">
        <v>0</v>
      </c>
      <c r="AE2313" s="5">
        <f t="shared" si="230"/>
        <v>0</v>
      </c>
      <c r="AF2313" s="70">
        <v>0</v>
      </c>
      <c r="AG2313" s="17"/>
      <c r="AH2313" s="18"/>
      <c r="AI2313" s="47" t="s">
        <v>4346</v>
      </c>
      <c r="AJ2313" s="73" t="s">
        <v>4347</v>
      </c>
      <c r="AK2313" s="45"/>
      <c r="AL2313" s="89" t="s">
        <v>2798</v>
      </c>
      <c r="AM2313" s="121" t="s">
        <v>4688</v>
      </c>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39"/>
      <c r="CE2313" s="138"/>
      <c r="CF2313" s="139"/>
      <c r="CG2313" s="138"/>
      <c r="CH2313" s="139"/>
      <c r="CI2313" s="138"/>
      <c r="CJ2313" s="72"/>
      <c r="CK2313" s="139"/>
      <c r="CL2313" s="71"/>
      <c r="CM2313" s="139"/>
      <c r="CN2313" s="138"/>
      <c r="CO2313" s="138"/>
      <c r="CP2313" s="138"/>
      <c r="CQ2313" s="139"/>
      <c r="CR2313" s="138"/>
      <c r="CS2313" s="45"/>
      <c r="CT2313" s="138"/>
      <c r="CU2313" s="45"/>
      <c r="CV2313" s="99">
        <f t="shared" si="231"/>
        <v>0</v>
      </c>
      <c r="CW2313" s="139"/>
      <c r="CX2313" s="138"/>
      <c r="CY2313" s="138"/>
      <c r="CZ2313" s="138"/>
      <c r="DA2313" s="139"/>
      <c r="DB2313" s="138"/>
      <c r="DC2313" s="45"/>
      <c r="DD2313" s="138"/>
      <c r="DE2313" s="45"/>
      <c r="DF2313" s="46"/>
    </row>
    <row r="2314" spans="1:110" s="42" customFormat="1" ht="96" x14ac:dyDescent="0.2">
      <c r="A2314" s="89">
        <v>40833</v>
      </c>
      <c r="B2314" s="196" t="s">
        <v>4244</v>
      </c>
      <c r="C2314" s="197" t="s">
        <v>4227</v>
      </c>
      <c r="D2314" s="90" t="s">
        <v>4264</v>
      </c>
      <c r="E2314" s="90" t="str">
        <f>VLOOKUP(B2314&amp;C2314,Divipola!$C$2:$F$1138,4,FALSE)</f>
        <v>76520</v>
      </c>
      <c r="F2314" s="4"/>
      <c r="G2314" s="194"/>
      <c r="H2314" s="194"/>
      <c r="I2314" s="194"/>
      <c r="J2314" s="194">
        <v>75</v>
      </c>
      <c r="K2314" s="194">
        <v>15</v>
      </c>
      <c r="L2314" s="194"/>
      <c r="M2314" s="194">
        <v>15</v>
      </c>
      <c r="N2314" s="194">
        <v>1</v>
      </c>
      <c r="O2314" s="194"/>
      <c r="P2314" s="194"/>
      <c r="Q2314" s="194">
        <v>1</v>
      </c>
      <c r="R2314" s="194"/>
      <c r="S2314" s="194"/>
      <c r="T2314" s="194"/>
      <c r="U2314" s="194"/>
      <c r="V2314" s="194"/>
      <c r="W2314" s="19"/>
      <c r="X2314" s="17"/>
      <c r="Y2314" s="5">
        <f t="shared" si="226"/>
        <v>0</v>
      </c>
      <c r="Z2314" s="5">
        <f t="shared" si="227"/>
        <v>0</v>
      </c>
      <c r="AA2314" s="5">
        <f t="shared" si="228"/>
        <v>0</v>
      </c>
      <c r="AB2314" s="5">
        <f t="shared" si="229"/>
        <v>0</v>
      </c>
      <c r="AC2314" s="5"/>
      <c r="AD2314" s="5">
        <v>0</v>
      </c>
      <c r="AE2314" s="5">
        <f t="shared" si="230"/>
        <v>0</v>
      </c>
      <c r="AF2314" s="70">
        <v>0</v>
      </c>
      <c r="AG2314" s="17"/>
      <c r="AH2314" s="18"/>
      <c r="AI2314" s="47" t="s">
        <v>4346</v>
      </c>
      <c r="AJ2314" s="73" t="s">
        <v>4347</v>
      </c>
      <c r="AK2314" s="45"/>
      <c r="AL2314" s="89" t="s">
        <v>2798</v>
      </c>
      <c r="AM2314" s="195" t="s">
        <v>4685</v>
      </c>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39"/>
      <c r="CE2314" s="138"/>
      <c r="CF2314" s="139"/>
      <c r="CG2314" s="138"/>
      <c r="CH2314" s="139"/>
      <c r="CI2314" s="138"/>
      <c r="CJ2314" s="72"/>
      <c r="CK2314" s="139"/>
      <c r="CL2314" s="71"/>
      <c r="CM2314" s="139"/>
      <c r="CN2314" s="138"/>
      <c r="CO2314" s="138"/>
      <c r="CP2314" s="138"/>
      <c r="CQ2314" s="139"/>
      <c r="CR2314" s="138"/>
      <c r="CS2314" s="45"/>
      <c r="CT2314" s="138"/>
      <c r="CU2314" s="45"/>
      <c r="CV2314" s="99">
        <f t="shared" si="231"/>
        <v>0</v>
      </c>
      <c r="CW2314" s="139"/>
      <c r="CX2314" s="138"/>
      <c r="CY2314" s="138"/>
      <c r="CZ2314" s="138"/>
      <c r="DA2314" s="139"/>
      <c r="DB2314" s="138"/>
      <c r="DC2314" s="45"/>
      <c r="DD2314" s="138"/>
      <c r="DE2314" s="45"/>
      <c r="DF2314" s="46"/>
    </row>
    <row r="2315" spans="1:110" s="42" customFormat="1" ht="84" x14ac:dyDescent="0.2">
      <c r="A2315" s="89">
        <v>40833</v>
      </c>
      <c r="B2315" s="196" t="s">
        <v>4244</v>
      </c>
      <c r="C2315" s="197" t="s">
        <v>3451</v>
      </c>
      <c r="D2315" s="90" t="s">
        <v>4264</v>
      </c>
      <c r="E2315" s="90" t="str">
        <f>VLOOKUP(B2315&amp;C2315,Divipola!$C$2:$F$1138,4,FALSE)</f>
        <v>76834</v>
      </c>
      <c r="F2315" s="4"/>
      <c r="G2315" s="194"/>
      <c r="H2315" s="194"/>
      <c r="I2315" s="194"/>
      <c r="J2315" s="194">
        <v>40</v>
      </c>
      <c r="K2315" s="194">
        <v>10</v>
      </c>
      <c r="L2315" s="194">
        <v>20</v>
      </c>
      <c r="M2315" s="194">
        <v>8</v>
      </c>
      <c r="N2315" s="194"/>
      <c r="O2315" s="194"/>
      <c r="P2315" s="194"/>
      <c r="Q2315" s="194"/>
      <c r="R2315" s="194"/>
      <c r="S2315" s="194"/>
      <c r="T2315" s="194"/>
      <c r="U2315" s="194"/>
      <c r="V2315" s="194"/>
      <c r="W2315" s="19"/>
      <c r="X2315" s="17"/>
      <c r="Y2315" s="5">
        <f t="shared" si="226"/>
        <v>0</v>
      </c>
      <c r="Z2315" s="5">
        <f t="shared" si="227"/>
        <v>0</v>
      </c>
      <c r="AA2315" s="5">
        <f t="shared" si="228"/>
        <v>0</v>
      </c>
      <c r="AB2315" s="5">
        <f t="shared" si="229"/>
        <v>0</v>
      </c>
      <c r="AC2315" s="5"/>
      <c r="AD2315" s="5">
        <v>0</v>
      </c>
      <c r="AE2315" s="5">
        <f t="shared" si="230"/>
        <v>0</v>
      </c>
      <c r="AF2315" s="70">
        <v>0</v>
      </c>
      <c r="AG2315" s="17"/>
      <c r="AH2315" s="18"/>
      <c r="AI2315" s="47" t="s">
        <v>4346</v>
      </c>
      <c r="AJ2315" s="73" t="s">
        <v>4347</v>
      </c>
      <c r="AK2315" s="45"/>
      <c r="AL2315" s="89" t="s">
        <v>2798</v>
      </c>
      <c r="AM2315" s="195" t="s">
        <v>4683</v>
      </c>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39"/>
      <c r="CE2315" s="138"/>
      <c r="CF2315" s="139"/>
      <c r="CG2315" s="138"/>
      <c r="CH2315" s="139"/>
      <c r="CI2315" s="138"/>
      <c r="CJ2315" s="72"/>
      <c r="CK2315" s="139"/>
      <c r="CL2315" s="71"/>
      <c r="CM2315" s="139"/>
      <c r="CN2315" s="138"/>
      <c r="CO2315" s="138"/>
      <c r="CP2315" s="138"/>
      <c r="CQ2315" s="139"/>
      <c r="CR2315" s="138"/>
      <c r="CS2315" s="45"/>
      <c r="CT2315" s="138"/>
      <c r="CU2315" s="45"/>
      <c r="CV2315" s="99">
        <f t="shared" si="231"/>
        <v>0</v>
      </c>
      <c r="CW2315" s="139"/>
      <c r="CX2315" s="138"/>
      <c r="CY2315" s="138"/>
      <c r="CZ2315" s="138"/>
      <c r="DA2315" s="139"/>
      <c r="DB2315" s="138"/>
      <c r="DC2315" s="45"/>
      <c r="DD2315" s="138"/>
      <c r="DE2315" s="45"/>
      <c r="DF2315" s="46"/>
    </row>
    <row r="2316" spans="1:110" s="42" customFormat="1" ht="48" x14ac:dyDescent="0.2">
      <c r="A2316" s="89">
        <v>40833</v>
      </c>
      <c r="B2316" s="151" t="s">
        <v>4244</v>
      </c>
      <c r="C2316" s="90" t="s">
        <v>3451</v>
      </c>
      <c r="D2316" s="90" t="s">
        <v>2362</v>
      </c>
      <c r="E2316" s="90" t="str">
        <f>VLOOKUP(B2316&amp;C2316,Divipola!$C$2:$F$1138,4,FALSE)</f>
        <v>76834</v>
      </c>
      <c r="F2316" s="4"/>
      <c r="G2316" s="101"/>
      <c r="H2316" s="101"/>
      <c r="I2316" s="101"/>
      <c r="J2316" s="101">
        <v>10</v>
      </c>
      <c r="K2316" s="101">
        <v>2</v>
      </c>
      <c r="L2316" s="101"/>
      <c r="M2316" s="101">
        <v>2</v>
      </c>
      <c r="N2316" s="101"/>
      <c r="O2316" s="101"/>
      <c r="P2316" s="101"/>
      <c r="Q2316" s="101">
        <v>1</v>
      </c>
      <c r="R2316" s="101"/>
      <c r="S2316" s="101"/>
      <c r="T2316" s="101"/>
      <c r="U2316" s="101"/>
      <c r="V2316" s="101"/>
      <c r="W2316" s="19"/>
      <c r="X2316" s="17"/>
      <c r="Y2316" s="5">
        <f t="shared" si="226"/>
        <v>0</v>
      </c>
      <c r="Z2316" s="5">
        <f t="shared" si="227"/>
        <v>0</v>
      </c>
      <c r="AA2316" s="5">
        <f t="shared" si="228"/>
        <v>0</v>
      </c>
      <c r="AB2316" s="5">
        <f t="shared" si="229"/>
        <v>0</v>
      </c>
      <c r="AC2316" s="5"/>
      <c r="AD2316" s="5">
        <v>0</v>
      </c>
      <c r="AE2316" s="5">
        <f t="shared" si="230"/>
        <v>0</v>
      </c>
      <c r="AF2316" s="70">
        <v>0</v>
      </c>
      <c r="AG2316" s="17"/>
      <c r="AH2316" s="18"/>
      <c r="AI2316" s="47" t="s">
        <v>4346</v>
      </c>
      <c r="AJ2316" s="73" t="s">
        <v>4347</v>
      </c>
      <c r="AK2316" s="45"/>
      <c r="AL2316" s="89" t="s">
        <v>2798</v>
      </c>
      <c r="AM2316" s="121" t="s">
        <v>4687</v>
      </c>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39"/>
      <c r="CE2316" s="138"/>
      <c r="CF2316" s="139"/>
      <c r="CG2316" s="138"/>
      <c r="CH2316" s="139"/>
      <c r="CI2316" s="138"/>
      <c r="CJ2316" s="72"/>
      <c r="CK2316" s="139"/>
      <c r="CL2316" s="71"/>
      <c r="CM2316" s="139"/>
      <c r="CN2316" s="138"/>
      <c r="CO2316" s="138"/>
      <c r="CP2316" s="138"/>
      <c r="CQ2316" s="139"/>
      <c r="CR2316" s="138"/>
      <c r="CS2316" s="45"/>
      <c r="CT2316" s="138"/>
      <c r="CU2316" s="45"/>
      <c r="CV2316" s="99">
        <f t="shared" si="231"/>
        <v>0</v>
      </c>
      <c r="CW2316" s="139"/>
      <c r="CX2316" s="138"/>
      <c r="CY2316" s="138"/>
      <c r="CZ2316" s="138"/>
      <c r="DA2316" s="139"/>
      <c r="DB2316" s="138"/>
      <c r="DC2316" s="45"/>
      <c r="DD2316" s="138"/>
      <c r="DE2316" s="45"/>
      <c r="DF2316" s="46"/>
    </row>
    <row r="2317" spans="1:110" s="42" customFormat="1" ht="48" x14ac:dyDescent="0.2">
      <c r="A2317" s="89">
        <v>40833</v>
      </c>
      <c r="B2317" s="196" t="s">
        <v>4350</v>
      </c>
      <c r="C2317" s="197" t="s">
        <v>4351</v>
      </c>
      <c r="D2317" s="197" t="s">
        <v>2362</v>
      </c>
      <c r="E2317" s="90" t="str">
        <f>VLOOKUP(B2317&amp;C2317,Divipola!$C$2:$F$1138,4,FALSE)</f>
        <v>63001</v>
      </c>
      <c r="F2317" s="4"/>
      <c r="G2317" s="194"/>
      <c r="H2317" s="194"/>
      <c r="I2317" s="194"/>
      <c r="J2317" s="194">
        <v>5</v>
      </c>
      <c r="K2317" s="194">
        <v>1</v>
      </c>
      <c r="L2317" s="194"/>
      <c r="M2317" s="194">
        <v>1</v>
      </c>
      <c r="N2317" s="194"/>
      <c r="O2317" s="194"/>
      <c r="P2317" s="194"/>
      <c r="Q2317" s="194"/>
      <c r="R2317" s="194"/>
      <c r="S2317" s="194"/>
      <c r="T2317" s="194"/>
      <c r="U2317" s="194"/>
      <c r="V2317" s="194"/>
      <c r="W2317" s="19"/>
      <c r="X2317" s="17"/>
      <c r="Y2317" s="5">
        <f t="shared" si="226"/>
        <v>0</v>
      </c>
      <c r="Z2317" s="5">
        <f t="shared" si="227"/>
        <v>0</v>
      </c>
      <c r="AA2317" s="5">
        <f t="shared" si="228"/>
        <v>0</v>
      </c>
      <c r="AB2317" s="5">
        <f t="shared" si="229"/>
        <v>0</v>
      </c>
      <c r="AC2317" s="5"/>
      <c r="AD2317" s="5">
        <v>0</v>
      </c>
      <c r="AE2317" s="5">
        <f t="shared" si="230"/>
        <v>0</v>
      </c>
      <c r="AF2317" s="70">
        <v>0</v>
      </c>
      <c r="AG2317" s="17"/>
      <c r="AH2317" s="18"/>
      <c r="AI2317" s="47" t="s">
        <v>4336</v>
      </c>
      <c r="AJ2317" s="73" t="s">
        <v>4337</v>
      </c>
      <c r="AK2317" s="45"/>
      <c r="AL2317" s="17"/>
      <c r="AM2317" s="195" t="s">
        <v>5246</v>
      </c>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39"/>
      <c r="CE2317" s="138"/>
      <c r="CF2317" s="139"/>
      <c r="CG2317" s="138"/>
      <c r="CH2317" s="139"/>
      <c r="CI2317" s="138"/>
      <c r="CJ2317" s="72"/>
      <c r="CK2317" s="139"/>
      <c r="CL2317" s="71"/>
      <c r="CM2317" s="139"/>
      <c r="CN2317" s="138"/>
      <c r="CO2317" s="138"/>
      <c r="CP2317" s="138"/>
      <c r="CQ2317" s="139"/>
      <c r="CR2317" s="138"/>
      <c r="CS2317" s="45"/>
      <c r="CT2317" s="138"/>
      <c r="CU2317" s="45"/>
      <c r="CV2317" s="99">
        <f t="shared" si="231"/>
        <v>0</v>
      </c>
      <c r="CW2317" s="139"/>
      <c r="CX2317" s="138"/>
      <c r="CY2317" s="138"/>
      <c r="CZ2317" s="138"/>
      <c r="DA2317" s="139"/>
      <c r="DB2317" s="138"/>
      <c r="DC2317" s="45"/>
      <c r="DD2317" s="138"/>
      <c r="DE2317" s="45"/>
      <c r="DF2317" s="46"/>
    </row>
    <row r="2318" spans="1:110" s="42" customFormat="1" ht="96" x14ac:dyDescent="0.2">
      <c r="A2318" s="89">
        <v>40834</v>
      </c>
      <c r="B2318" s="151" t="s">
        <v>4326</v>
      </c>
      <c r="C2318" s="90" t="s">
        <v>4338</v>
      </c>
      <c r="D2318" s="90" t="s">
        <v>2362</v>
      </c>
      <c r="E2318" s="90" t="str">
        <f>VLOOKUP(B2318&amp;C2318,Divipola!$C$2:$F$1138,4,FALSE)</f>
        <v>08001</v>
      </c>
      <c r="F2318" s="4"/>
      <c r="G2318" s="101"/>
      <c r="H2318" s="101"/>
      <c r="I2318" s="101"/>
      <c r="J2318" s="101"/>
      <c r="K2318" s="101"/>
      <c r="L2318" s="101"/>
      <c r="M2318" s="101"/>
      <c r="N2318" s="101">
        <v>1</v>
      </c>
      <c r="O2318" s="101"/>
      <c r="P2318" s="101"/>
      <c r="Q2318" s="101"/>
      <c r="R2318" s="101"/>
      <c r="S2318" s="101"/>
      <c r="T2318" s="101"/>
      <c r="U2318" s="101"/>
      <c r="V2318" s="101"/>
      <c r="W2318" s="19"/>
      <c r="X2318" s="17"/>
      <c r="Y2318" s="5">
        <f t="shared" si="226"/>
        <v>0</v>
      </c>
      <c r="Z2318" s="5">
        <f t="shared" si="227"/>
        <v>0</v>
      </c>
      <c r="AA2318" s="5">
        <f t="shared" si="228"/>
        <v>0</v>
      </c>
      <c r="AB2318" s="5">
        <f t="shared" si="229"/>
        <v>0</v>
      </c>
      <c r="AC2318" s="5"/>
      <c r="AD2318" s="5">
        <v>0</v>
      </c>
      <c r="AE2318" s="5">
        <f t="shared" si="230"/>
        <v>0</v>
      </c>
      <c r="AF2318" s="70">
        <v>0</v>
      </c>
      <c r="AG2318" s="17"/>
      <c r="AH2318" s="18"/>
      <c r="AI2318" s="47" t="s">
        <v>4336</v>
      </c>
      <c r="AJ2318" s="73" t="s">
        <v>4337</v>
      </c>
      <c r="AK2318" s="45"/>
      <c r="AL2318" s="207"/>
      <c r="AM2318" s="121" t="s">
        <v>4724</v>
      </c>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39"/>
      <c r="CE2318" s="138"/>
      <c r="CF2318" s="139"/>
      <c r="CG2318" s="138"/>
      <c r="CH2318" s="139"/>
      <c r="CI2318" s="138"/>
      <c r="CJ2318" s="72"/>
      <c r="CK2318" s="139"/>
      <c r="CL2318" s="71"/>
      <c r="CM2318" s="139"/>
      <c r="CN2318" s="138"/>
      <c r="CO2318" s="138"/>
      <c r="CP2318" s="138"/>
      <c r="CQ2318" s="139"/>
      <c r="CR2318" s="138"/>
      <c r="CS2318" s="45"/>
      <c r="CT2318" s="138"/>
      <c r="CU2318" s="45"/>
      <c r="CV2318" s="99">
        <f t="shared" si="231"/>
        <v>0</v>
      </c>
      <c r="CW2318" s="139"/>
      <c r="CX2318" s="138"/>
      <c r="CY2318" s="138"/>
      <c r="CZ2318" s="138"/>
      <c r="DA2318" s="139"/>
      <c r="DB2318" s="138"/>
      <c r="DC2318" s="45"/>
      <c r="DD2318" s="138"/>
      <c r="DE2318" s="45"/>
      <c r="DF2318" s="46"/>
    </row>
    <row r="2319" spans="1:110" s="42" customFormat="1" ht="36" x14ac:dyDescent="0.2">
      <c r="A2319" s="89">
        <v>40834</v>
      </c>
      <c r="B2319" s="151" t="s">
        <v>4261</v>
      </c>
      <c r="C2319" s="90" t="s">
        <v>71</v>
      </c>
      <c r="D2319" s="90" t="s">
        <v>4264</v>
      </c>
      <c r="E2319" s="90" t="str">
        <f>VLOOKUP(B2319&amp;C2319,Divipola!$C$2:$F$1138,4,FALSE)</f>
        <v>15212</v>
      </c>
      <c r="F2319" s="4"/>
      <c r="G2319" s="101"/>
      <c r="H2319" s="101"/>
      <c r="I2319" s="101"/>
      <c r="J2319" s="101"/>
      <c r="K2319" s="101"/>
      <c r="L2319" s="101"/>
      <c r="M2319" s="101"/>
      <c r="N2319" s="101"/>
      <c r="O2319" s="101">
        <v>1</v>
      </c>
      <c r="P2319" s="101"/>
      <c r="Q2319" s="101"/>
      <c r="R2319" s="101"/>
      <c r="S2319" s="101"/>
      <c r="T2319" s="101"/>
      <c r="U2319" s="101"/>
      <c r="V2319" s="101"/>
      <c r="W2319" s="19"/>
      <c r="X2319" s="17"/>
      <c r="Y2319" s="5">
        <f t="shared" si="226"/>
        <v>0</v>
      </c>
      <c r="Z2319" s="5">
        <f t="shared" si="227"/>
        <v>0</v>
      </c>
      <c r="AA2319" s="5">
        <f t="shared" si="228"/>
        <v>0</v>
      </c>
      <c r="AB2319" s="5">
        <f t="shared" si="229"/>
        <v>0</v>
      </c>
      <c r="AC2319" s="5"/>
      <c r="AD2319" s="5">
        <v>0</v>
      </c>
      <c r="AE2319" s="5">
        <f t="shared" si="230"/>
        <v>0</v>
      </c>
      <c r="AF2319" s="70">
        <v>0</v>
      </c>
      <c r="AG2319" s="17"/>
      <c r="AH2319" s="18"/>
      <c r="AI2319" s="47" t="s">
        <v>4346</v>
      </c>
      <c r="AJ2319" s="73" t="s">
        <v>4347</v>
      </c>
      <c r="AK2319" s="45"/>
      <c r="AL2319" s="89" t="s">
        <v>2798</v>
      </c>
      <c r="AM2319" s="121" t="s">
        <v>4852</v>
      </c>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39"/>
      <c r="CE2319" s="138"/>
      <c r="CF2319" s="139"/>
      <c r="CG2319" s="138"/>
      <c r="CH2319" s="139"/>
      <c r="CI2319" s="138"/>
      <c r="CJ2319" s="72"/>
      <c r="CK2319" s="139"/>
      <c r="CL2319" s="71"/>
      <c r="CM2319" s="139"/>
      <c r="CN2319" s="138"/>
      <c r="CO2319" s="138"/>
      <c r="CP2319" s="138"/>
      <c r="CQ2319" s="139"/>
      <c r="CR2319" s="138"/>
      <c r="CS2319" s="45"/>
      <c r="CT2319" s="138"/>
      <c r="CU2319" s="45"/>
      <c r="CV2319" s="99">
        <f t="shared" si="231"/>
        <v>0</v>
      </c>
      <c r="CW2319" s="139"/>
      <c r="CX2319" s="138"/>
      <c r="CY2319" s="138"/>
      <c r="CZ2319" s="138"/>
      <c r="DA2319" s="139"/>
      <c r="DB2319" s="138"/>
      <c r="DC2319" s="45"/>
      <c r="DD2319" s="138"/>
      <c r="DE2319" s="45"/>
      <c r="DF2319" s="46"/>
    </row>
    <row r="2320" spans="1:110" s="42" customFormat="1" x14ac:dyDescent="0.2">
      <c r="A2320" s="89">
        <v>40834</v>
      </c>
      <c r="B2320" s="16" t="s">
        <v>4353</v>
      </c>
      <c r="C2320" s="16" t="s">
        <v>4345</v>
      </c>
      <c r="D2320" s="90" t="s">
        <v>4264</v>
      </c>
      <c r="E2320" s="90">
        <f>VLOOKUP(B2320&amp;C2320,Divipola!$C$2:$F$1138,4,FALSE)</f>
        <v>85</v>
      </c>
      <c r="F2320" s="4"/>
      <c r="G2320" s="208"/>
      <c r="H2320" s="208"/>
      <c r="I2320" s="208"/>
      <c r="J2320" s="208"/>
      <c r="K2320" s="208"/>
      <c r="L2320" s="208"/>
      <c r="M2320" s="208"/>
      <c r="N2320" s="208"/>
      <c r="O2320" s="208"/>
      <c r="P2320" s="208"/>
      <c r="Q2320" s="208"/>
      <c r="R2320" s="208"/>
      <c r="S2320" s="208"/>
      <c r="T2320" s="208"/>
      <c r="U2320" s="208"/>
      <c r="V2320" s="208"/>
      <c r="W2320" s="19"/>
      <c r="X2320" s="17"/>
      <c r="Y2320" s="5">
        <f t="shared" si="226"/>
        <v>0</v>
      </c>
      <c r="Z2320" s="5">
        <f t="shared" si="227"/>
        <v>0</v>
      </c>
      <c r="AA2320" s="5">
        <f t="shared" si="228"/>
        <v>33749040</v>
      </c>
      <c r="AB2320" s="5">
        <f t="shared" si="229"/>
        <v>0</v>
      </c>
      <c r="AC2320" s="5"/>
      <c r="AD2320" s="5">
        <v>0</v>
      </c>
      <c r="AE2320" s="5">
        <f t="shared" si="230"/>
        <v>33749040</v>
      </c>
      <c r="AF2320" s="70">
        <v>0</v>
      </c>
      <c r="AG2320" s="17"/>
      <c r="AH2320" s="18"/>
      <c r="AI2320" s="47" t="s">
        <v>4346</v>
      </c>
      <c r="AJ2320" s="73" t="s">
        <v>4347</v>
      </c>
      <c r="AK2320" s="45"/>
      <c r="AL2320" s="17"/>
      <c r="AM2320" s="20"/>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39"/>
      <c r="CE2320" s="138"/>
      <c r="CF2320" s="139"/>
      <c r="CG2320" s="138"/>
      <c r="CH2320" s="139"/>
      <c r="CI2320" s="138"/>
      <c r="CJ2320" s="72"/>
      <c r="CK2320" s="139"/>
      <c r="CL2320" s="71"/>
      <c r="CM2320" s="139"/>
      <c r="CN2320" s="138"/>
      <c r="CO2320" s="138"/>
      <c r="CP2320" s="138"/>
      <c r="CQ2320" s="139"/>
      <c r="CR2320" s="138"/>
      <c r="CS2320" s="45"/>
      <c r="CT2320" s="138"/>
      <c r="CU2320" s="45"/>
      <c r="CV2320" s="99">
        <f t="shared" si="231"/>
        <v>0</v>
      </c>
      <c r="CW2320" s="139"/>
      <c r="CX2320" s="138"/>
      <c r="CY2320" s="138"/>
      <c r="CZ2320" s="138"/>
      <c r="DA2320" s="139"/>
      <c r="DB2320" s="138"/>
      <c r="DC2320" s="45">
        <v>1500</v>
      </c>
      <c r="DD2320" s="138">
        <f>1500*22499.36</f>
        <v>33749040</v>
      </c>
      <c r="DE2320" s="45"/>
      <c r="DF2320" s="46"/>
    </row>
    <row r="2321" spans="1:110" s="42" customFormat="1" x14ac:dyDescent="0.2">
      <c r="A2321" s="89">
        <v>40834</v>
      </c>
      <c r="B2321" s="16" t="s">
        <v>4353</v>
      </c>
      <c r="C2321" s="16" t="s">
        <v>863</v>
      </c>
      <c r="D2321" s="90" t="s">
        <v>4264</v>
      </c>
      <c r="E2321" s="90" t="str">
        <f>VLOOKUP(B2321&amp;C2321,Divipola!$C$2:$F$1138,4,FALSE)</f>
        <v>85125</v>
      </c>
      <c r="F2321" s="4"/>
      <c r="G2321" s="208"/>
      <c r="H2321" s="208"/>
      <c r="I2321" s="208"/>
      <c r="J2321" s="208">
        <f>245*5</f>
        <v>1225</v>
      </c>
      <c r="K2321" s="208">
        <v>245</v>
      </c>
      <c r="L2321" s="208"/>
      <c r="M2321" s="208">
        <v>245</v>
      </c>
      <c r="N2321" s="208"/>
      <c r="O2321" s="208"/>
      <c r="P2321" s="208"/>
      <c r="Q2321" s="208"/>
      <c r="R2321" s="208"/>
      <c r="S2321" s="208"/>
      <c r="T2321" s="208"/>
      <c r="U2321" s="208"/>
      <c r="V2321" s="208"/>
      <c r="W2321" s="19"/>
      <c r="X2321" s="17"/>
      <c r="Y2321" s="5">
        <f t="shared" si="226"/>
        <v>50762951.399999991</v>
      </c>
      <c r="Z2321" s="5">
        <f t="shared" si="227"/>
        <v>20825000</v>
      </c>
      <c r="AA2321" s="5">
        <f t="shared" si="228"/>
        <v>0</v>
      </c>
      <c r="AB2321" s="5">
        <f t="shared" si="229"/>
        <v>0</v>
      </c>
      <c r="AC2321" s="5"/>
      <c r="AD2321" s="5">
        <v>0</v>
      </c>
      <c r="AE2321" s="5">
        <f t="shared" si="230"/>
        <v>71587951.399999991</v>
      </c>
      <c r="AF2321" s="70">
        <v>0</v>
      </c>
      <c r="AG2321" s="17"/>
      <c r="AH2321" s="18"/>
      <c r="AI2321" s="47" t="s">
        <v>4346</v>
      </c>
      <c r="AJ2321" s="73" t="s">
        <v>4347</v>
      </c>
      <c r="AK2321" s="45"/>
      <c r="AL2321" s="17"/>
      <c r="AM2321" s="20" t="s">
        <v>5544</v>
      </c>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v>735</v>
      </c>
      <c r="BM2321" s="19">
        <f>735*25499.12</f>
        <v>18741853.199999999</v>
      </c>
      <c r="BN2321" s="19"/>
      <c r="BO2321" s="19"/>
      <c r="BP2321" s="19"/>
      <c r="BQ2321" s="19"/>
      <c r="BR2321" s="19"/>
      <c r="BS2321" s="19"/>
      <c r="BT2321" s="19"/>
      <c r="BU2321" s="19"/>
      <c r="BV2321" s="19"/>
      <c r="BW2321" s="19"/>
      <c r="BX2321" s="19"/>
      <c r="BY2321" s="19"/>
      <c r="BZ2321" s="19"/>
      <c r="CA2321" s="19"/>
      <c r="CB2321" s="19"/>
      <c r="CC2321" s="19"/>
      <c r="CD2321" s="139"/>
      <c r="CE2321" s="138"/>
      <c r="CF2321" s="139"/>
      <c r="CG2321" s="138"/>
      <c r="CH2321" s="139"/>
      <c r="CI2321" s="138"/>
      <c r="CJ2321" s="72"/>
      <c r="CK2321" s="139"/>
      <c r="CL2321" s="71"/>
      <c r="CM2321" s="139"/>
      <c r="CN2321" s="138">
        <v>735</v>
      </c>
      <c r="CO2321" s="138">
        <f>735*17999.72</f>
        <v>13229794.200000001</v>
      </c>
      <c r="CP2321" s="138">
        <v>245</v>
      </c>
      <c r="CQ2321" s="139">
        <f>245*36999.36</f>
        <v>9064843.1999999993</v>
      </c>
      <c r="CR2321" s="138">
        <v>245</v>
      </c>
      <c r="CS2321" s="45">
        <f>245*39699.84</f>
        <v>9726460.7999999989</v>
      </c>
      <c r="CT2321" s="138"/>
      <c r="CU2321" s="45"/>
      <c r="CV2321" s="99">
        <f t="shared" si="231"/>
        <v>50762951.399999991</v>
      </c>
      <c r="CW2321" s="139"/>
      <c r="CX2321" s="138"/>
      <c r="CY2321" s="138">
        <v>245</v>
      </c>
      <c r="CZ2321" s="138">
        <f>245*85000</f>
        <v>20825000</v>
      </c>
      <c r="DA2321" s="139"/>
      <c r="DB2321" s="138"/>
      <c r="DC2321" s="45"/>
      <c r="DD2321" s="138"/>
      <c r="DE2321" s="45"/>
      <c r="DF2321" s="46"/>
    </row>
    <row r="2322" spans="1:110" s="42" customFormat="1" x14ac:dyDescent="0.2">
      <c r="A2322" s="89">
        <v>40834</v>
      </c>
      <c r="B2322" s="16" t="s">
        <v>4353</v>
      </c>
      <c r="C2322" s="16" t="s">
        <v>4354</v>
      </c>
      <c r="D2322" s="90" t="s">
        <v>4264</v>
      </c>
      <c r="E2322" s="90" t="str">
        <f>VLOOKUP(B2322&amp;C2322,Divipola!$C$2:$F$1138,4,FALSE)</f>
        <v>85230</v>
      </c>
      <c r="F2322" s="4"/>
      <c r="G2322" s="208"/>
      <c r="H2322" s="208"/>
      <c r="I2322" s="208"/>
      <c r="J2322" s="208">
        <f>55*5</f>
        <v>275</v>
      </c>
      <c r="K2322" s="208">
        <v>55</v>
      </c>
      <c r="L2322" s="208"/>
      <c r="M2322" s="208">
        <v>55</v>
      </c>
      <c r="N2322" s="208"/>
      <c r="O2322" s="208"/>
      <c r="P2322" s="208"/>
      <c r="Q2322" s="208"/>
      <c r="R2322" s="208"/>
      <c r="S2322" s="208"/>
      <c r="T2322" s="208"/>
      <c r="U2322" s="208"/>
      <c r="V2322" s="208"/>
      <c r="W2322" s="19"/>
      <c r="X2322" s="17"/>
      <c r="Y2322" s="5">
        <f t="shared" si="226"/>
        <v>11395764.6</v>
      </c>
      <c r="Z2322" s="5">
        <f t="shared" si="227"/>
        <v>4675000</v>
      </c>
      <c r="AA2322" s="5">
        <f t="shared" si="228"/>
        <v>0</v>
      </c>
      <c r="AB2322" s="5">
        <f t="shared" si="229"/>
        <v>0</v>
      </c>
      <c r="AC2322" s="5"/>
      <c r="AD2322" s="5">
        <v>0</v>
      </c>
      <c r="AE2322" s="5">
        <f t="shared" si="230"/>
        <v>16070764.6</v>
      </c>
      <c r="AF2322" s="70">
        <v>0</v>
      </c>
      <c r="AG2322" s="17"/>
      <c r="AH2322" s="18"/>
      <c r="AI2322" s="47" t="s">
        <v>4346</v>
      </c>
      <c r="AJ2322" s="73" t="s">
        <v>4347</v>
      </c>
      <c r="AK2322" s="45"/>
      <c r="AL2322" s="17"/>
      <c r="AM2322" s="20" t="s">
        <v>1115</v>
      </c>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v>165</v>
      </c>
      <c r="BM2322" s="19">
        <f>165*25499.12</f>
        <v>4207354.8</v>
      </c>
      <c r="BN2322" s="19"/>
      <c r="BO2322" s="19"/>
      <c r="BP2322" s="19"/>
      <c r="BQ2322" s="19"/>
      <c r="BR2322" s="19"/>
      <c r="BS2322" s="19"/>
      <c r="BT2322" s="19"/>
      <c r="BU2322" s="19"/>
      <c r="BV2322" s="19"/>
      <c r="BW2322" s="19"/>
      <c r="BX2322" s="19"/>
      <c r="BY2322" s="19"/>
      <c r="BZ2322" s="19"/>
      <c r="CA2322" s="19"/>
      <c r="CB2322" s="19"/>
      <c r="CC2322" s="19"/>
      <c r="CD2322" s="139"/>
      <c r="CE2322" s="138"/>
      <c r="CF2322" s="139"/>
      <c r="CG2322" s="138"/>
      <c r="CH2322" s="139"/>
      <c r="CI2322" s="138"/>
      <c r="CJ2322" s="72"/>
      <c r="CK2322" s="139"/>
      <c r="CL2322" s="71"/>
      <c r="CM2322" s="139"/>
      <c r="CN2322" s="138">
        <v>165</v>
      </c>
      <c r="CO2322" s="138">
        <f>165*17999.72</f>
        <v>2969953.8000000003</v>
      </c>
      <c r="CP2322" s="138">
        <v>55</v>
      </c>
      <c r="CQ2322" s="139">
        <f>55*36999.36</f>
        <v>2034964.8</v>
      </c>
      <c r="CR2322" s="138">
        <v>55</v>
      </c>
      <c r="CS2322" s="45">
        <f>55*39699.84</f>
        <v>2183491.1999999997</v>
      </c>
      <c r="CT2322" s="138"/>
      <c r="CU2322" s="45"/>
      <c r="CV2322" s="99">
        <f t="shared" si="231"/>
        <v>11395764.6</v>
      </c>
      <c r="CW2322" s="139"/>
      <c r="CX2322" s="138"/>
      <c r="CY2322" s="138">
        <v>55</v>
      </c>
      <c r="CZ2322" s="138">
        <f>55*85000</f>
        <v>4675000</v>
      </c>
      <c r="DA2322" s="139"/>
      <c r="DB2322" s="138"/>
      <c r="DC2322" s="45"/>
      <c r="DD2322" s="138"/>
      <c r="DE2322" s="45"/>
      <c r="DF2322" s="46"/>
    </row>
    <row r="2323" spans="1:110" s="42" customFormat="1" ht="36" x14ac:dyDescent="0.2">
      <c r="A2323" s="89">
        <v>40834</v>
      </c>
      <c r="B2323" s="151" t="s">
        <v>4386</v>
      </c>
      <c r="C2323" s="90" t="s">
        <v>1574</v>
      </c>
      <c r="D2323" s="90" t="s">
        <v>2362</v>
      </c>
      <c r="E2323" s="90" t="str">
        <f>VLOOKUP(B2323&amp;C2323,Divipola!$C$2:$F$1138,4,FALSE)</f>
        <v>20621</v>
      </c>
      <c r="F2323" s="4"/>
      <c r="G2323" s="101"/>
      <c r="H2323" s="101"/>
      <c r="I2323" s="101"/>
      <c r="J2323" s="101">
        <f>370*5</f>
        <v>1850</v>
      </c>
      <c r="K2323" s="101">
        <v>370</v>
      </c>
      <c r="L2323" s="101"/>
      <c r="M2323" s="101"/>
      <c r="N2323" s="101"/>
      <c r="O2323" s="101"/>
      <c r="P2323" s="101"/>
      <c r="Q2323" s="101"/>
      <c r="R2323" s="101"/>
      <c r="S2323" s="101"/>
      <c r="T2323" s="101"/>
      <c r="U2323" s="101"/>
      <c r="V2323" s="101"/>
      <c r="W2323" s="19"/>
      <c r="X2323" s="17"/>
      <c r="Y2323" s="5">
        <f t="shared" si="226"/>
        <v>0</v>
      </c>
      <c r="Z2323" s="5">
        <f t="shared" si="227"/>
        <v>31450000</v>
      </c>
      <c r="AA2323" s="5">
        <f t="shared" si="228"/>
        <v>0</v>
      </c>
      <c r="AB2323" s="5">
        <f t="shared" si="229"/>
        <v>0</v>
      </c>
      <c r="AC2323" s="5"/>
      <c r="AD2323" s="5">
        <v>0</v>
      </c>
      <c r="AE2323" s="5">
        <f t="shared" si="230"/>
        <v>31450000</v>
      </c>
      <c r="AF2323" s="70">
        <v>0</v>
      </c>
      <c r="AG2323" s="17"/>
      <c r="AH2323" s="18"/>
      <c r="AI2323" s="47" t="s">
        <v>4346</v>
      </c>
      <c r="AJ2323" s="73" t="s">
        <v>4347</v>
      </c>
      <c r="AK2323" s="45"/>
      <c r="AL2323" s="17"/>
      <c r="AM2323" s="121" t="s">
        <v>4712</v>
      </c>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39"/>
      <c r="CE2323" s="138"/>
      <c r="CF2323" s="139"/>
      <c r="CG2323" s="138"/>
      <c r="CH2323" s="139"/>
      <c r="CI2323" s="138"/>
      <c r="CJ2323" s="72"/>
      <c r="CK2323" s="139"/>
      <c r="CL2323" s="71"/>
      <c r="CM2323" s="139"/>
      <c r="CN2323" s="138"/>
      <c r="CO2323" s="138"/>
      <c r="CP2323" s="138"/>
      <c r="CQ2323" s="139"/>
      <c r="CR2323" s="138"/>
      <c r="CS2323" s="45"/>
      <c r="CT2323" s="138"/>
      <c r="CU2323" s="45"/>
      <c r="CV2323" s="99">
        <f t="shared" si="231"/>
        <v>0</v>
      </c>
      <c r="CW2323" s="139"/>
      <c r="CX2323" s="138"/>
      <c r="CY2323" s="138">
        <v>370</v>
      </c>
      <c r="CZ2323" s="138">
        <f>370*85000</f>
        <v>31450000</v>
      </c>
      <c r="DA2323" s="139"/>
      <c r="DB2323" s="138"/>
      <c r="DC2323" s="45"/>
      <c r="DD2323" s="138"/>
      <c r="DE2323" s="45"/>
      <c r="DF2323" s="46"/>
    </row>
    <row r="2324" spans="1:110" s="42" customFormat="1" ht="60" x14ac:dyDescent="0.2">
      <c r="A2324" s="89">
        <v>40834</v>
      </c>
      <c r="B2324" s="151" t="s">
        <v>4386</v>
      </c>
      <c r="C2324" s="90" t="s">
        <v>3502</v>
      </c>
      <c r="D2324" s="90" t="s">
        <v>4264</v>
      </c>
      <c r="E2324" s="90" t="str">
        <f>VLOOKUP(B2324&amp;C2324,Divipola!$C$2:$F$1138,4,FALSE)</f>
        <v>20001</v>
      </c>
      <c r="F2324" s="4"/>
      <c r="G2324" s="101"/>
      <c r="H2324" s="101"/>
      <c r="I2324" s="101"/>
      <c r="J2324" s="101">
        <f>700*5</f>
        <v>3500</v>
      </c>
      <c r="K2324" s="101">
        <v>700</v>
      </c>
      <c r="L2324" s="101"/>
      <c r="M2324" s="101"/>
      <c r="N2324" s="101"/>
      <c r="O2324" s="101"/>
      <c r="P2324" s="101"/>
      <c r="Q2324" s="101"/>
      <c r="R2324" s="101"/>
      <c r="S2324" s="101"/>
      <c r="T2324" s="101"/>
      <c r="U2324" s="101"/>
      <c r="V2324" s="101"/>
      <c r="W2324" s="19"/>
      <c r="X2324" s="17"/>
      <c r="Y2324" s="5">
        <f t="shared" si="226"/>
        <v>0</v>
      </c>
      <c r="Z2324" s="5">
        <f t="shared" si="227"/>
        <v>59500000</v>
      </c>
      <c r="AA2324" s="5">
        <f t="shared" si="228"/>
        <v>0</v>
      </c>
      <c r="AB2324" s="5">
        <f t="shared" si="229"/>
        <v>0</v>
      </c>
      <c r="AC2324" s="5"/>
      <c r="AD2324" s="5">
        <v>0</v>
      </c>
      <c r="AE2324" s="5">
        <f t="shared" si="230"/>
        <v>59500000</v>
      </c>
      <c r="AF2324" s="70">
        <v>0</v>
      </c>
      <c r="AG2324" s="17"/>
      <c r="AH2324" s="18"/>
      <c r="AI2324" s="47" t="s">
        <v>4346</v>
      </c>
      <c r="AJ2324" s="73" t="s">
        <v>4347</v>
      </c>
      <c r="AK2324" s="45"/>
      <c r="AL2324" s="17"/>
      <c r="AM2324" s="121" t="s">
        <v>4713</v>
      </c>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39"/>
      <c r="CE2324" s="138"/>
      <c r="CF2324" s="139"/>
      <c r="CG2324" s="138"/>
      <c r="CH2324" s="139"/>
      <c r="CI2324" s="138"/>
      <c r="CJ2324" s="72"/>
      <c r="CK2324" s="139"/>
      <c r="CL2324" s="71"/>
      <c r="CM2324" s="139"/>
      <c r="CN2324" s="138"/>
      <c r="CO2324" s="138"/>
      <c r="CP2324" s="138"/>
      <c r="CQ2324" s="139"/>
      <c r="CR2324" s="138"/>
      <c r="CS2324" s="45"/>
      <c r="CT2324" s="138"/>
      <c r="CU2324" s="45"/>
      <c r="CV2324" s="99">
        <f t="shared" si="231"/>
        <v>0</v>
      </c>
      <c r="CW2324" s="139"/>
      <c r="CX2324" s="138"/>
      <c r="CY2324" s="138">
        <v>700</v>
      </c>
      <c r="CZ2324" s="138">
        <f>700*85000</f>
        <v>59500000</v>
      </c>
      <c r="DA2324" s="139"/>
      <c r="DB2324" s="138"/>
      <c r="DC2324" s="45"/>
      <c r="DD2324" s="138"/>
      <c r="DE2324" s="45"/>
      <c r="DF2324" s="46"/>
    </row>
    <row r="2325" spans="1:110" s="42" customFormat="1" ht="96" x14ac:dyDescent="0.2">
      <c r="A2325" s="89">
        <v>40834</v>
      </c>
      <c r="B2325" s="151" t="s">
        <v>4344</v>
      </c>
      <c r="C2325" s="90" t="s">
        <v>4231</v>
      </c>
      <c r="D2325" s="90" t="s">
        <v>4264</v>
      </c>
      <c r="E2325" s="90" t="str">
        <f>VLOOKUP(B2325&amp;C2325,Divipola!$C$2:$F$1138,4,FALSE)</f>
        <v>25290</v>
      </c>
      <c r="F2325" s="4"/>
      <c r="G2325" s="101"/>
      <c r="H2325" s="101"/>
      <c r="I2325" s="101"/>
      <c r="J2325" s="101">
        <v>83</v>
      </c>
      <c r="K2325" s="101">
        <v>20</v>
      </c>
      <c r="L2325" s="101"/>
      <c r="M2325" s="101">
        <v>19</v>
      </c>
      <c r="N2325" s="101"/>
      <c r="O2325" s="101"/>
      <c r="P2325" s="101"/>
      <c r="Q2325" s="101">
        <v>1</v>
      </c>
      <c r="R2325" s="101"/>
      <c r="S2325" s="101"/>
      <c r="T2325" s="101"/>
      <c r="U2325" s="101"/>
      <c r="V2325" s="101"/>
      <c r="W2325" s="19"/>
      <c r="X2325" s="17"/>
      <c r="Y2325" s="5">
        <f t="shared" si="226"/>
        <v>0</v>
      </c>
      <c r="Z2325" s="5">
        <f t="shared" si="227"/>
        <v>0</v>
      </c>
      <c r="AA2325" s="5">
        <f t="shared" si="228"/>
        <v>0</v>
      </c>
      <c r="AB2325" s="5">
        <f t="shared" si="229"/>
        <v>0</v>
      </c>
      <c r="AC2325" s="5"/>
      <c r="AD2325" s="5">
        <v>0</v>
      </c>
      <c r="AE2325" s="5">
        <f t="shared" si="230"/>
        <v>0</v>
      </c>
      <c r="AF2325" s="70">
        <v>0</v>
      </c>
      <c r="AG2325" s="17"/>
      <c r="AH2325" s="18"/>
      <c r="AI2325" s="47" t="s">
        <v>4336</v>
      </c>
      <c r="AJ2325" s="73" t="s">
        <v>4337</v>
      </c>
      <c r="AK2325" s="45"/>
      <c r="AL2325" s="17"/>
      <c r="AM2325" s="206" t="s">
        <v>4727</v>
      </c>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39"/>
      <c r="CE2325" s="138"/>
      <c r="CF2325" s="139"/>
      <c r="CG2325" s="138"/>
      <c r="CH2325" s="139"/>
      <c r="CI2325" s="138"/>
      <c r="CJ2325" s="72"/>
      <c r="CK2325" s="139"/>
      <c r="CL2325" s="71"/>
      <c r="CM2325" s="139"/>
      <c r="CN2325" s="138"/>
      <c r="CO2325" s="138"/>
      <c r="CP2325" s="138"/>
      <c r="CQ2325" s="139"/>
      <c r="CR2325" s="138"/>
      <c r="CS2325" s="45"/>
      <c r="CT2325" s="138"/>
      <c r="CU2325" s="45"/>
      <c r="CV2325" s="99">
        <f t="shared" si="231"/>
        <v>0</v>
      </c>
      <c r="CW2325" s="139"/>
      <c r="CX2325" s="138"/>
      <c r="CY2325" s="138"/>
      <c r="CZ2325" s="138"/>
      <c r="DA2325" s="139"/>
      <c r="DB2325" s="138"/>
      <c r="DC2325" s="45"/>
      <c r="DD2325" s="138"/>
      <c r="DE2325" s="45"/>
      <c r="DF2325" s="46"/>
    </row>
    <row r="2326" spans="1:110" s="42" customFormat="1" ht="48" x14ac:dyDescent="0.2">
      <c r="A2326" s="89">
        <v>40834</v>
      </c>
      <c r="B2326" s="151" t="s">
        <v>4344</v>
      </c>
      <c r="C2326" s="90" t="s">
        <v>2286</v>
      </c>
      <c r="D2326" s="90" t="s">
        <v>4264</v>
      </c>
      <c r="E2326" s="90" t="str">
        <f>VLOOKUP(B2326&amp;C2326,Divipola!$C$2:$F$1138,4,FALSE)</f>
        <v>25297</v>
      </c>
      <c r="F2326" s="4"/>
      <c r="G2326" s="101"/>
      <c r="H2326" s="101"/>
      <c r="I2326" s="101"/>
      <c r="J2326" s="101">
        <v>45</v>
      </c>
      <c r="K2326" s="101">
        <v>10</v>
      </c>
      <c r="L2326" s="101"/>
      <c r="M2326" s="101">
        <v>10</v>
      </c>
      <c r="N2326" s="101"/>
      <c r="O2326" s="101"/>
      <c r="P2326" s="101"/>
      <c r="Q2326" s="101"/>
      <c r="R2326" s="101"/>
      <c r="S2326" s="101"/>
      <c r="T2326" s="101"/>
      <c r="U2326" s="101"/>
      <c r="V2326" s="101"/>
      <c r="W2326" s="19"/>
      <c r="X2326" s="17"/>
      <c r="Y2326" s="5">
        <f t="shared" si="226"/>
        <v>0</v>
      </c>
      <c r="Z2326" s="5">
        <f t="shared" si="227"/>
        <v>0</v>
      </c>
      <c r="AA2326" s="5">
        <f t="shared" si="228"/>
        <v>0</v>
      </c>
      <c r="AB2326" s="5">
        <f t="shared" si="229"/>
        <v>0</v>
      </c>
      <c r="AC2326" s="5"/>
      <c r="AD2326" s="5">
        <v>0</v>
      </c>
      <c r="AE2326" s="5">
        <f t="shared" si="230"/>
        <v>0</v>
      </c>
      <c r="AF2326" s="70">
        <v>0</v>
      </c>
      <c r="AG2326" s="17"/>
      <c r="AH2326" s="18"/>
      <c r="AI2326" s="47" t="s">
        <v>4336</v>
      </c>
      <c r="AJ2326" s="73" t="s">
        <v>4337</v>
      </c>
      <c r="AK2326" s="45"/>
      <c r="AL2326" s="17"/>
      <c r="AM2326" s="121" t="s">
        <v>4706</v>
      </c>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39"/>
      <c r="CE2326" s="138"/>
      <c r="CF2326" s="139"/>
      <c r="CG2326" s="138"/>
      <c r="CH2326" s="139"/>
      <c r="CI2326" s="138"/>
      <c r="CJ2326" s="72"/>
      <c r="CK2326" s="139"/>
      <c r="CL2326" s="71"/>
      <c r="CM2326" s="139"/>
      <c r="CN2326" s="138"/>
      <c r="CO2326" s="138"/>
      <c r="CP2326" s="138"/>
      <c r="CQ2326" s="139"/>
      <c r="CR2326" s="138"/>
      <c r="CS2326" s="45"/>
      <c r="CT2326" s="138"/>
      <c r="CU2326" s="45"/>
      <c r="CV2326" s="99">
        <f t="shared" si="231"/>
        <v>0</v>
      </c>
      <c r="CW2326" s="139"/>
      <c r="CX2326" s="138"/>
      <c r="CY2326" s="138"/>
      <c r="CZ2326" s="138"/>
      <c r="DA2326" s="139"/>
      <c r="DB2326" s="138"/>
      <c r="DC2326" s="45"/>
      <c r="DD2326" s="138"/>
      <c r="DE2326" s="45"/>
      <c r="DF2326" s="46"/>
    </row>
    <row r="2327" spans="1:110" s="42" customFormat="1" ht="96" x14ac:dyDescent="0.2">
      <c r="A2327" s="89">
        <v>40834</v>
      </c>
      <c r="B2327" s="151" t="s">
        <v>4344</v>
      </c>
      <c r="C2327" s="90" t="s">
        <v>3552</v>
      </c>
      <c r="D2327" s="90" t="s">
        <v>4264</v>
      </c>
      <c r="E2327" s="90" t="str">
        <f>VLOOKUP(B2327&amp;C2327,Divipola!$C$2:$F$1138,4,FALSE)</f>
        <v>25320</v>
      </c>
      <c r="F2327" s="4"/>
      <c r="G2327" s="101">
        <v>1</v>
      </c>
      <c r="H2327" s="101"/>
      <c r="I2327" s="101"/>
      <c r="J2327" s="101">
        <v>1</v>
      </c>
      <c r="K2327" s="101"/>
      <c r="L2327" s="101"/>
      <c r="M2327" s="101"/>
      <c r="N2327" s="101"/>
      <c r="O2327" s="101"/>
      <c r="P2327" s="101"/>
      <c r="Q2327" s="101"/>
      <c r="R2327" s="101"/>
      <c r="S2327" s="101"/>
      <c r="T2327" s="101"/>
      <c r="U2327" s="101"/>
      <c r="V2327" s="101"/>
      <c r="W2327" s="19"/>
      <c r="X2327" s="17"/>
      <c r="Y2327" s="5">
        <f t="shared" si="226"/>
        <v>0</v>
      </c>
      <c r="Z2327" s="5">
        <f t="shared" si="227"/>
        <v>0</v>
      </c>
      <c r="AA2327" s="5">
        <f t="shared" si="228"/>
        <v>0</v>
      </c>
      <c r="AB2327" s="5">
        <f t="shared" si="229"/>
        <v>0</v>
      </c>
      <c r="AC2327" s="5"/>
      <c r="AD2327" s="5">
        <v>0</v>
      </c>
      <c r="AE2327" s="5">
        <f t="shared" si="230"/>
        <v>0</v>
      </c>
      <c r="AF2327" s="70">
        <v>0</v>
      </c>
      <c r="AG2327" s="17"/>
      <c r="AH2327" s="18"/>
      <c r="AI2327" s="47" t="s">
        <v>4336</v>
      </c>
      <c r="AJ2327" s="73" t="s">
        <v>4337</v>
      </c>
      <c r="AK2327" s="45"/>
      <c r="AL2327" s="17"/>
      <c r="AM2327" s="121" t="s">
        <v>4709</v>
      </c>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39"/>
      <c r="CE2327" s="138"/>
      <c r="CF2327" s="139"/>
      <c r="CG2327" s="138"/>
      <c r="CH2327" s="139"/>
      <c r="CI2327" s="138"/>
      <c r="CJ2327" s="72"/>
      <c r="CK2327" s="139"/>
      <c r="CL2327" s="71"/>
      <c r="CM2327" s="139"/>
      <c r="CN2327" s="138"/>
      <c r="CO2327" s="138"/>
      <c r="CP2327" s="138"/>
      <c r="CQ2327" s="139"/>
      <c r="CR2327" s="138"/>
      <c r="CS2327" s="45"/>
      <c r="CT2327" s="138"/>
      <c r="CU2327" s="45"/>
      <c r="CV2327" s="99">
        <f t="shared" si="231"/>
        <v>0</v>
      </c>
      <c r="CW2327" s="139"/>
      <c r="CX2327" s="138"/>
      <c r="CY2327" s="138"/>
      <c r="CZ2327" s="138"/>
      <c r="DA2327" s="139"/>
      <c r="DB2327" s="138"/>
      <c r="DC2327" s="45"/>
      <c r="DD2327" s="138"/>
      <c r="DE2327" s="45"/>
      <c r="DF2327" s="46"/>
    </row>
    <row r="2328" spans="1:110" s="42" customFormat="1" ht="36" x14ac:dyDescent="0.2">
      <c r="A2328" s="89">
        <v>40834</v>
      </c>
      <c r="B2328" s="151" t="s">
        <v>4219</v>
      </c>
      <c r="C2328" s="90" t="s">
        <v>3396</v>
      </c>
      <c r="D2328" s="90" t="s">
        <v>2362</v>
      </c>
      <c r="E2328" s="90" t="str">
        <f>VLOOKUP(B2328&amp;C2328,Divipola!$C$2:$F$1138,4,FALSE)</f>
        <v>41020</v>
      </c>
      <c r="F2328" s="4"/>
      <c r="G2328" s="101"/>
      <c r="H2328" s="101"/>
      <c r="I2328" s="101"/>
      <c r="J2328" s="101"/>
      <c r="K2328" s="101"/>
      <c r="L2328" s="101"/>
      <c r="M2328" s="101"/>
      <c r="N2328" s="101">
        <v>1</v>
      </c>
      <c r="O2328" s="101"/>
      <c r="P2328" s="101"/>
      <c r="Q2328" s="101"/>
      <c r="R2328" s="101"/>
      <c r="S2328" s="101"/>
      <c r="T2328" s="101"/>
      <c r="U2328" s="101"/>
      <c r="V2328" s="101"/>
      <c r="W2328" s="19"/>
      <c r="X2328" s="17"/>
      <c r="Y2328" s="5">
        <f t="shared" si="226"/>
        <v>0</v>
      </c>
      <c r="Z2328" s="5">
        <f t="shared" si="227"/>
        <v>0</v>
      </c>
      <c r="AA2328" s="5">
        <f t="shared" si="228"/>
        <v>0</v>
      </c>
      <c r="AB2328" s="5">
        <f t="shared" si="229"/>
        <v>0</v>
      </c>
      <c r="AC2328" s="5"/>
      <c r="AD2328" s="5">
        <v>0</v>
      </c>
      <c r="AE2328" s="5">
        <f t="shared" si="230"/>
        <v>0</v>
      </c>
      <c r="AF2328" s="70">
        <v>0</v>
      </c>
      <c r="AG2328" s="17"/>
      <c r="AH2328" s="18"/>
      <c r="AI2328" s="47" t="s">
        <v>4336</v>
      </c>
      <c r="AJ2328" s="73" t="s">
        <v>4337</v>
      </c>
      <c r="AK2328" s="45"/>
      <c r="AL2328" s="17"/>
      <c r="AM2328" s="121" t="s">
        <v>4710</v>
      </c>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39"/>
      <c r="CE2328" s="138"/>
      <c r="CF2328" s="139"/>
      <c r="CG2328" s="138"/>
      <c r="CH2328" s="139"/>
      <c r="CI2328" s="138"/>
      <c r="CJ2328" s="72"/>
      <c r="CK2328" s="139"/>
      <c r="CL2328" s="71"/>
      <c r="CM2328" s="139"/>
      <c r="CN2328" s="138"/>
      <c r="CO2328" s="138"/>
      <c r="CP2328" s="138"/>
      <c r="CQ2328" s="139"/>
      <c r="CR2328" s="138"/>
      <c r="CS2328" s="45"/>
      <c r="CT2328" s="138"/>
      <c r="CU2328" s="45"/>
      <c r="CV2328" s="99">
        <f t="shared" si="231"/>
        <v>0</v>
      </c>
      <c r="CW2328" s="139"/>
      <c r="CX2328" s="138"/>
      <c r="CY2328" s="138"/>
      <c r="CZ2328" s="138"/>
      <c r="DA2328" s="139"/>
      <c r="DB2328" s="138"/>
      <c r="DC2328" s="45"/>
      <c r="DD2328" s="138"/>
      <c r="DE2328" s="45"/>
      <c r="DF2328" s="46"/>
    </row>
    <row r="2329" spans="1:110" s="42" customFormat="1" ht="132" x14ac:dyDescent="0.2">
      <c r="A2329" s="89">
        <v>40834</v>
      </c>
      <c r="B2329" s="151" t="s">
        <v>4219</v>
      </c>
      <c r="C2329" s="90" t="s">
        <v>3498</v>
      </c>
      <c r="D2329" s="90" t="s">
        <v>2860</v>
      </c>
      <c r="E2329" s="90" t="str">
        <f>VLOOKUP(B2329&amp;C2329,Divipola!$C$2:$F$1138,4,FALSE)</f>
        <v>41799</v>
      </c>
      <c r="F2329" s="4"/>
      <c r="G2329" s="101"/>
      <c r="H2329" s="101"/>
      <c r="I2329" s="101"/>
      <c r="J2329" s="101"/>
      <c r="K2329" s="101"/>
      <c r="L2329" s="101"/>
      <c r="M2329" s="101"/>
      <c r="N2329" s="101">
        <v>9</v>
      </c>
      <c r="O2329" s="101">
        <v>1</v>
      </c>
      <c r="P2329" s="101"/>
      <c r="Q2329" s="101">
        <v>2</v>
      </c>
      <c r="R2329" s="101"/>
      <c r="S2329" s="101"/>
      <c r="T2329" s="101"/>
      <c r="U2329" s="101"/>
      <c r="V2329" s="101"/>
      <c r="W2329" s="19"/>
      <c r="X2329" s="17"/>
      <c r="Y2329" s="5">
        <f t="shared" si="226"/>
        <v>0</v>
      </c>
      <c r="Z2329" s="5">
        <f t="shared" si="227"/>
        <v>0</v>
      </c>
      <c r="AA2329" s="5">
        <f t="shared" si="228"/>
        <v>0</v>
      </c>
      <c r="AB2329" s="5">
        <f t="shared" si="229"/>
        <v>0</v>
      </c>
      <c r="AC2329" s="5"/>
      <c r="AD2329" s="5">
        <v>0</v>
      </c>
      <c r="AE2329" s="5">
        <f t="shared" si="230"/>
        <v>0</v>
      </c>
      <c r="AF2329" s="70">
        <v>0</v>
      </c>
      <c r="AG2329" s="17"/>
      <c r="AH2329" s="18"/>
      <c r="AI2329" s="47" t="s">
        <v>4336</v>
      </c>
      <c r="AJ2329" s="73" t="s">
        <v>4337</v>
      </c>
      <c r="AK2329" s="45"/>
      <c r="AL2329" s="17"/>
      <c r="AM2329" s="121" t="s">
        <v>5501</v>
      </c>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39"/>
      <c r="CE2329" s="138"/>
      <c r="CF2329" s="139"/>
      <c r="CG2329" s="138"/>
      <c r="CH2329" s="139"/>
      <c r="CI2329" s="138"/>
      <c r="CJ2329" s="72"/>
      <c r="CK2329" s="139"/>
      <c r="CL2329" s="71"/>
      <c r="CM2329" s="139"/>
      <c r="CN2329" s="138"/>
      <c r="CO2329" s="138"/>
      <c r="CP2329" s="138"/>
      <c r="CQ2329" s="139"/>
      <c r="CR2329" s="138"/>
      <c r="CS2329" s="45"/>
      <c r="CT2329" s="138"/>
      <c r="CU2329" s="45"/>
      <c r="CV2329" s="99">
        <f t="shared" si="231"/>
        <v>0</v>
      </c>
      <c r="CW2329" s="139"/>
      <c r="CX2329" s="138"/>
      <c r="CY2329" s="138"/>
      <c r="CZ2329" s="138"/>
      <c r="DA2329" s="139"/>
      <c r="DB2329" s="138"/>
      <c r="DC2329" s="45"/>
      <c r="DD2329" s="138"/>
      <c r="DE2329" s="45"/>
      <c r="DF2329" s="46"/>
    </row>
    <row r="2330" spans="1:110" s="42" customFormat="1" ht="48" x14ac:dyDescent="0.2">
      <c r="A2330" s="89">
        <v>40834</v>
      </c>
      <c r="B2330" s="196" t="s">
        <v>874</v>
      </c>
      <c r="C2330" s="197" t="s">
        <v>3541</v>
      </c>
      <c r="D2330" s="197" t="s">
        <v>3346</v>
      </c>
      <c r="E2330" s="90" t="str">
        <f>VLOOKUP(B2330&amp;C2330,Divipola!$C$2:$F$1138,4,FALSE)</f>
        <v>44001</v>
      </c>
      <c r="F2330" s="4"/>
      <c r="G2330" s="194"/>
      <c r="H2330" s="194"/>
      <c r="I2330" s="194"/>
      <c r="J2330" s="194">
        <v>135</v>
      </c>
      <c r="K2330" s="194">
        <v>27</v>
      </c>
      <c r="L2330" s="194">
        <v>8</v>
      </c>
      <c r="M2330" s="194">
        <v>19</v>
      </c>
      <c r="N2330" s="194"/>
      <c r="O2330" s="194"/>
      <c r="P2330" s="194"/>
      <c r="Q2330" s="194"/>
      <c r="R2330" s="194"/>
      <c r="S2330" s="194"/>
      <c r="T2330" s="194"/>
      <c r="U2330" s="194"/>
      <c r="V2330" s="194"/>
      <c r="W2330" s="19"/>
      <c r="X2330" s="17"/>
      <c r="Y2330" s="5">
        <f t="shared" si="226"/>
        <v>0</v>
      </c>
      <c r="Z2330" s="5">
        <f t="shared" si="227"/>
        <v>0</v>
      </c>
      <c r="AA2330" s="5">
        <f t="shared" si="228"/>
        <v>0</v>
      </c>
      <c r="AB2330" s="5">
        <f t="shared" si="229"/>
        <v>0</v>
      </c>
      <c r="AC2330" s="5"/>
      <c r="AD2330" s="5">
        <v>0</v>
      </c>
      <c r="AE2330" s="5">
        <f t="shared" si="230"/>
        <v>0</v>
      </c>
      <c r="AF2330" s="70">
        <v>0</v>
      </c>
      <c r="AG2330" s="17"/>
      <c r="AH2330" s="18"/>
      <c r="AI2330" s="47" t="s">
        <v>4336</v>
      </c>
      <c r="AJ2330" s="73" t="s">
        <v>4337</v>
      </c>
      <c r="AK2330" s="45"/>
      <c r="AL2330" s="17"/>
      <c r="AM2330" s="195" t="s">
        <v>4768</v>
      </c>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39"/>
      <c r="CE2330" s="138"/>
      <c r="CF2330" s="139"/>
      <c r="CG2330" s="138"/>
      <c r="CH2330" s="139"/>
      <c r="CI2330" s="138"/>
      <c r="CJ2330" s="72"/>
      <c r="CK2330" s="139"/>
      <c r="CL2330" s="71"/>
      <c r="CM2330" s="139"/>
      <c r="CN2330" s="138"/>
      <c r="CO2330" s="138"/>
      <c r="CP2330" s="138"/>
      <c r="CQ2330" s="139"/>
      <c r="CR2330" s="138"/>
      <c r="CS2330" s="45"/>
      <c r="CT2330" s="138"/>
      <c r="CU2330" s="45"/>
      <c r="CV2330" s="99">
        <f t="shared" si="231"/>
        <v>0</v>
      </c>
      <c r="CW2330" s="139"/>
      <c r="CX2330" s="138"/>
      <c r="CY2330" s="138"/>
      <c r="CZ2330" s="138"/>
      <c r="DA2330" s="139"/>
      <c r="DB2330" s="138"/>
      <c r="DC2330" s="45"/>
      <c r="DD2330" s="138"/>
      <c r="DE2330" s="45"/>
      <c r="DF2330" s="46"/>
    </row>
    <row r="2331" spans="1:110" s="42" customFormat="1" ht="72" x14ac:dyDescent="0.2">
      <c r="A2331" s="89">
        <v>40834</v>
      </c>
      <c r="B2331" s="16" t="s">
        <v>4308</v>
      </c>
      <c r="C2331" s="16" t="s">
        <v>750</v>
      </c>
      <c r="D2331" s="90" t="s">
        <v>4264</v>
      </c>
      <c r="E2331" s="90" t="str">
        <f>VLOOKUP(B2331&amp;C2331,Divipola!$C$2:$F$1138,4,FALSE)</f>
        <v>47189</v>
      </c>
      <c r="F2331" s="4"/>
      <c r="G2331" s="208"/>
      <c r="H2331" s="208"/>
      <c r="I2331" s="208"/>
      <c r="J2331" s="208">
        <f>250*5</f>
        <v>1250</v>
      </c>
      <c r="K2331" s="208">
        <v>250</v>
      </c>
      <c r="L2331" s="208"/>
      <c r="M2331" s="208">
        <v>250</v>
      </c>
      <c r="N2331" s="208"/>
      <c r="O2331" s="208"/>
      <c r="P2331" s="208"/>
      <c r="Q2331" s="208"/>
      <c r="R2331" s="208"/>
      <c r="S2331" s="208"/>
      <c r="T2331" s="208"/>
      <c r="U2331" s="208"/>
      <c r="V2331" s="208">
        <v>1014</v>
      </c>
      <c r="W2331" s="19"/>
      <c r="X2331" s="17"/>
      <c r="Y2331" s="5">
        <f t="shared" si="226"/>
        <v>0</v>
      </c>
      <c r="Z2331" s="5">
        <f t="shared" si="227"/>
        <v>0</v>
      </c>
      <c r="AA2331" s="5">
        <f t="shared" si="228"/>
        <v>0</v>
      </c>
      <c r="AB2331" s="5">
        <f t="shared" si="229"/>
        <v>0</v>
      </c>
      <c r="AC2331" s="5"/>
      <c r="AD2331" s="5">
        <v>0</v>
      </c>
      <c r="AE2331" s="5">
        <f t="shared" si="230"/>
        <v>0</v>
      </c>
      <c r="AF2331" s="70">
        <v>0</v>
      </c>
      <c r="AG2331" s="17"/>
      <c r="AH2331" s="18"/>
      <c r="AI2331" s="47" t="s">
        <v>4346</v>
      </c>
      <c r="AJ2331" s="73" t="s">
        <v>4347</v>
      </c>
      <c r="AK2331" s="45"/>
      <c r="AL2331" s="89" t="s">
        <v>2798</v>
      </c>
      <c r="AM2331" s="20" t="s">
        <v>4767</v>
      </c>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39"/>
      <c r="CE2331" s="138"/>
      <c r="CF2331" s="139"/>
      <c r="CG2331" s="138"/>
      <c r="CH2331" s="139"/>
      <c r="CI2331" s="138"/>
      <c r="CJ2331" s="72"/>
      <c r="CK2331" s="139"/>
      <c r="CL2331" s="71"/>
      <c r="CM2331" s="139"/>
      <c r="CN2331" s="138"/>
      <c r="CO2331" s="138"/>
      <c r="CP2331" s="138"/>
      <c r="CQ2331" s="139"/>
      <c r="CR2331" s="138"/>
      <c r="CS2331" s="45"/>
      <c r="CT2331" s="138"/>
      <c r="CU2331" s="45"/>
      <c r="CV2331" s="99">
        <f t="shared" si="231"/>
        <v>0</v>
      </c>
      <c r="CW2331" s="139"/>
      <c r="CX2331" s="138"/>
      <c r="CY2331" s="138"/>
      <c r="CZ2331" s="138"/>
      <c r="DA2331" s="139"/>
      <c r="DB2331" s="138"/>
      <c r="DC2331" s="45"/>
      <c r="DD2331" s="138"/>
      <c r="DE2331" s="45"/>
      <c r="DF2331" s="46"/>
    </row>
    <row r="2332" spans="1:110" s="42" customFormat="1" x14ac:dyDescent="0.2">
      <c r="A2332" s="89">
        <v>40834</v>
      </c>
      <c r="B2332" s="16" t="s">
        <v>4308</v>
      </c>
      <c r="C2332" s="16" t="s">
        <v>762</v>
      </c>
      <c r="D2332" s="90" t="s">
        <v>4264</v>
      </c>
      <c r="E2332" s="90" t="str">
        <f>VLOOKUP(B2332&amp;C2332,Divipola!$C$2:$F$1138,4,FALSE)</f>
        <v>47460</v>
      </c>
      <c r="F2332" s="4"/>
      <c r="G2332" s="208"/>
      <c r="H2332" s="208"/>
      <c r="I2332" s="208"/>
      <c r="J2332" s="208">
        <f>50*5</f>
        <v>250</v>
      </c>
      <c r="K2332" s="208">
        <v>50</v>
      </c>
      <c r="L2332" s="208"/>
      <c r="M2332" s="208">
        <v>50</v>
      </c>
      <c r="N2332" s="208"/>
      <c r="O2332" s="208"/>
      <c r="P2332" s="208"/>
      <c r="Q2332" s="208"/>
      <c r="R2332" s="208"/>
      <c r="S2332" s="208"/>
      <c r="T2332" s="208"/>
      <c r="U2332" s="208"/>
      <c r="V2332" s="208"/>
      <c r="W2332" s="19"/>
      <c r="X2332" s="17"/>
      <c r="Y2332" s="5">
        <f t="shared" si="226"/>
        <v>0</v>
      </c>
      <c r="Z2332" s="5">
        <f t="shared" si="227"/>
        <v>0</v>
      </c>
      <c r="AA2332" s="5">
        <f t="shared" si="228"/>
        <v>0</v>
      </c>
      <c r="AB2332" s="5">
        <f t="shared" si="229"/>
        <v>0</v>
      </c>
      <c r="AC2332" s="5"/>
      <c r="AD2332" s="5">
        <v>0</v>
      </c>
      <c r="AE2332" s="5">
        <f t="shared" si="230"/>
        <v>0</v>
      </c>
      <c r="AF2332" s="70">
        <v>0</v>
      </c>
      <c r="AG2332" s="17"/>
      <c r="AH2332" s="18"/>
      <c r="AI2332" s="47" t="s">
        <v>4346</v>
      </c>
      <c r="AJ2332" s="73" t="s">
        <v>4347</v>
      </c>
      <c r="AK2332" s="45"/>
      <c r="AL2332" s="89" t="s">
        <v>2798</v>
      </c>
      <c r="AM2332" s="20" t="s">
        <v>3452</v>
      </c>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39"/>
      <c r="CE2332" s="138"/>
      <c r="CF2332" s="139"/>
      <c r="CG2332" s="138"/>
      <c r="CH2332" s="139"/>
      <c r="CI2332" s="138"/>
      <c r="CJ2332" s="72"/>
      <c r="CK2332" s="139"/>
      <c r="CL2332" s="71"/>
      <c r="CM2332" s="139"/>
      <c r="CN2332" s="138"/>
      <c r="CO2332" s="138"/>
      <c r="CP2332" s="138"/>
      <c r="CQ2332" s="139"/>
      <c r="CR2332" s="138"/>
      <c r="CS2332" s="45"/>
      <c r="CT2332" s="138"/>
      <c r="CU2332" s="45"/>
      <c r="CV2332" s="99">
        <f t="shared" si="231"/>
        <v>0</v>
      </c>
      <c r="CW2332" s="139"/>
      <c r="CX2332" s="138"/>
      <c r="CY2332" s="138"/>
      <c r="CZ2332" s="138"/>
      <c r="DA2332" s="139"/>
      <c r="DB2332" s="138"/>
      <c r="DC2332" s="45"/>
      <c r="DD2332" s="138"/>
      <c r="DE2332" s="45"/>
      <c r="DF2332" s="46"/>
    </row>
    <row r="2333" spans="1:110" s="42" customFormat="1" ht="60" x14ac:dyDescent="0.2">
      <c r="A2333" s="89">
        <v>40834</v>
      </c>
      <c r="B2333" s="151" t="s">
        <v>4221</v>
      </c>
      <c r="C2333" s="90" t="s">
        <v>4299</v>
      </c>
      <c r="D2333" s="90" t="s">
        <v>4298</v>
      </c>
      <c r="E2333" s="90" t="str">
        <f>VLOOKUP(B2333&amp;C2333,Divipola!$C$2:$F$1138,4,FALSE)</f>
        <v>54001</v>
      </c>
      <c r="F2333" s="4"/>
      <c r="G2333" s="101"/>
      <c r="H2333" s="101"/>
      <c r="I2333" s="101"/>
      <c r="J2333" s="101"/>
      <c r="K2333" s="101"/>
      <c r="L2333" s="101"/>
      <c r="M2333" s="101"/>
      <c r="N2333" s="101"/>
      <c r="O2333" s="101"/>
      <c r="P2333" s="101"/>
      <c r="Q2333" s="101"/>
      <c r="R2333" s="101"/>
      <c r="S2333" s="101"/>
      <c r="T2333" s="101"/>
      <c r="U2333" s="101"/>
      <c r="V2333" s="101"/>
      <c r="W2333" s="19"/>
      <c r="X2333" s="17"/>
      <c r="Y2333" s="5">
        <f t="shared" si="226"/>
        <v>0</v>
      </c>
      <c r="Z2333" s="5">
        <f t="shared" si="227"/>
        <v>0</v>
      </c>
      <c r="AA2333" s="5">
        <f t="shared" si="228"/>
        <v>0</v>
      </c>
      <c r="AB2333" s="5">
        <f t="shared" si="229"/>
        <v>0</v>
      </c>
      <c r="AC2333" s="5"/>
      <c r="AD2333" s="5">
        <v>0</v>
      </c>
      <c r="AE2333" s="5">
        <f t="shared" si="230"/>
        <v>0</v>
      </c>
      <c r="AF2333" s="70">
        <v>0</v>
      </c>
      <c r="AG2333" s="17"/>
      <c r="AH2333" s="18"/>
      <c r="AI2333" s="47" t="s">
        <v>4336</v>
      </c>
      <c r="AJ2333" s="73" t="s">
        <v>4337</v>
      </c>
      <c r="AK2333" s="45"/>
      <c r="AL2333" s="17"/>
      <c r="AM2333" s="121" t="s">
        <v>4714</v>
      </c>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39"/>
      <c r="CE2333" s="138"/>
      <c r="CF2333" s="139"/>
      <c r="CG2333" s="138"/>
      <c r="CH2333" s="139"/>
      <c r="CI2333" s="138"/>
      <c r="CJ2333" s="72"/>
      <c r="CK2333" s="139"/>
      <c r="CL2333" s="71"/>
      <c r="CM2333" s="139"/>
      <c r="CN2333" s="138"/>
      <c r="CO2333" s="138"/>
      <c r="CP2333" s="138"/>
      <c r="CQ2333" s="139"/>
      <c r="CR2333" s="138"/>
      <c r="CS2333" s="45"/>
      <c r="CT2333" s="138"/>
      <c r="CU2333" s="45"/>
      <c r="CV2333" s="99">
        <f t="shared" si="231"/>
        <v>0</v>
      </c>
      <c r="CW2333" s="139"/>
      <c r="CX2333" s="138"/>
      <c r="CY2333" s="138"/>
      <c r="CZ2333" s="138"/>
      <c r="DA2333" s="139"/>
      <c r="DB2333" s="138"/>
      <c r="DC2333" s="45"/>
      <c r="DD2333" s="138"/>
      <c r="DE2333" s="45"/>
      <c r="DF2333" s="46"/>
    </row>
    <row r="2334" spans="1:110" s="42" customFormat="1" ht="60" x14ac:dyDescent="0.2">
      <c r="A2334" s="89">
        <v>40834</v>
      </c>
      <c r="B2334" s="151" t="s">
        <v>4350</v>
      </c>
      <c r="C2334" s="90" t="s">
        <v>3361</v>
      </c>
      <c r="D2334" s="90" t="s">
        <v>4264</v>
      </c>
      <c r="E2334" s="90" t="str">
        <f>VLOOKUP(B2334&amp;C2334,Divipola!$C$2:$F$1138,4,FALSE)</f>
        <v>63548</v>
      </c>
      <c r="F2334" s="4"/>
      <c r="G2334" s="101"/>
      <c r="H2334" s="101"/>
      <c r="I2334" s="101"/>
      <c r="J2334" s="101">
        <v>12</v>
      </c>
      <c r="K2334" s="101">
        <v>3</v>
      </c>
      <c r="L2334" s="101"/>
      <c r="M2334" s="101">
        <v>3</v>
      </c>
      <c r="N2334" s="101"/>
      <c r="O2334" s="101"/>
      <c r="P2334" s="101"/>
      <c r="Q2334" s="101"/>
      <c r="R2334" s="101"/>
      <c r="S2334" s="101"/>
      <c r="T2334" s="101"/>
      <c r="U2334" s="101"/>
      <c r="V2334" s="101"/>
      <c r="W2334" s="19"/>
      <c r="X2334" s="17"/>
      <c r="Y2334" s="5">
        <f t="shared" si="226"/>
        <v>0</v>
      </c>
      <c r="Z2334" s="5">
        <f t="shared" si="227"/>
        <v>0</v>
      </c>
      <c r="AA2334" s="5">
        <f t="shared" si="228"/>
        <v>0</v>
      </c>
      <c r="AB2334" s="5">
        <f t="shared" si="229"/>
        <v>0</v>
      </c>
      <c r="AC2334" s="5"/>
      <c r="AD2334" s="5">
        <v>0</v>
      </c>
      <c r="AE2334" s="5">
        <f t="shared" si="230"/>
        <v>0</v>
      </c>
      <c r="AF2334" s="70">
        <v>0</v>
      </c>
      <c r="AG2334" s="17"/>
      <c r="AH2334" s="18"/>
      <c r="AI2334" s="47" t="s">
        <v>4336</v>
      </c>
      <c r="AJ2334" s="73" t="s">
        <v>4337</v>
      </c>
      <c r="AK2334" s="45"/>
      <c r="AL2334" s="17"/>
      <c r="AM2334" s="121" t="s">
        <v>4745</v>
      </c>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39"/>
      <c r="CE2334" s="138"/>
      <c r="CF2334" s="139"/>
      <c r="CG2334" s="138"/>
      <c r="CH2334" s="139"/>
      <c r="CI2334" s="138"/>
      <c r="CJ2334" s="72"/>
      <c r="CK2334" s="139"/>
      <c r="CL2334" s="71"/>
      <c r="CM2334" s="139"/>
      <c r="CN2334" s="138"/>
      <c r="CO2334" s="138"/>
      <c r="CP2334" s="138"/>
      <c r="CQ2334" s="139"/>
      <c r="CR2334" s="138"/>
      <c r="CS2334" s="45"/>
      <c r="CT2334" s="138"/>
      <c r="CU2334" s="45"/>
      <c r="CV2334" s="99">
        <f t="shared" si="231"/>
        <v>0</v>
      </c>
      <c r="CW2334" s="139"/>
      <c r="CX2334" s="138"/>
      <c r="CY2334" s="138"/>
      <c r="CZ2334" s="138"/>
      <c r="DA2334" s="139"/>
      <c r="DB2334" s="138"/>
      <c r="DC2334" s="45"/>
      <c r="DD2334" s="138"/>
      <c r="DE2334" s="45"/>
      <c r="DF2334" s="46"/>
    </row>
    <row r="2335" spans="1:110" s="42" customFormat="1" ht="180" x14ac:dyDescent="0.2">
      <c r="A2335" s="89">
        <v>40834</v>
      </c>
      <c r="B2335" s="16" t="s">
        <v>4348</v>
      </c>
      <c r="C2335" s="16" t="s">
        <v>4345</v>
      </c>
      <c r="D2335" s="90" t="s">
        <v>4264</v>
      </c>
      <c r="E2335" s="90">
        <f>VLOOKUP(B2335&amp;C2335,Divipola!$C$2:$F$1138,4,FALSE)</f>
        <v>66</v>
      </c>
      <c r="F2335" s="4"/>
      <c r="G2335" s="208"/>
      <c r="H2335" s="208"/>
      <c r="I2335" s="208"/>
      <c r="J2335" s="208"/>
      <c r="K2335" s="208"/>
      <c r="L2335" s="208"/>
      <c r="M2335" s="208"/>
      <c r="N2335" s="208"/>
      <c r="O2335" s="208"/>
      <c r="P2335" s="208"/>
      <c r="Q2335" s="208"/>
      <c r="R2335" s="208"/>
      <c r="S2335" s="208"/>
      <c r="T2335" s="208"/>
      <c r="U2335" s="208"/>
      <c r="V2335" s="208"/>
      <c r="W2335" s="19"/>
      <c r="X2335" s="17"/>
      <c r="Y2335" s="5">
        <f t="shared" si="226"/>
        <v>0</v>
      </c>
      <c r="Z2335" s="5">
        <f t="shared" si="227"/>
        <v>127500000</v>
      </c>
      <c r="AA2335" s="5">
        <f t="shared" si="228"/>
        <v>0</v>
      </c>
      <c r="AB2335" s="5">
        <f t="shared" si="229"/>
        <v>0</v>
      </c>
      <c r="AC2335" s="5"/>
      <c r="AD2335" s="5">
        <v>153000000</v>
      </c>
      <c r="AE2335" s="5">
        <f t="shared" si="230"/>
        <v>280500000</v>
      </c>
      <c r="AF2335" s="70">
        <v>0</v>
      </c>
      <c r="AG2335" s="17"/>
      <c r="AH2335" s="18"/>
      <c r="AI2335" s="47" t="s">
        <v>4346</v>
      </c>
      <c r="AJ2335" s="73" t="s">
        <v>4347</v>
      </c>
      <c r="AK2335" s="45"/>
      <c r="AL2335" s="17"/>
      <c r="AM2335" s="20" t="s">
        <v>4691</v>
      </c>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39"/>
      <c r="CE2335" s="138"/>
      <c r="CF2335" s="139"/>
      <c r="CG2335" s="138"/>
      <c r="CH2335" s="139"/>
      <c r="CI2335" s="138"/>
      <c r="CJ2335" s="72"/>
      <c r="CK2335" s="139"/>
      <c r="CL2335" s="71"/>
      <c r="CM2335" s="139"/>
      <c r="CN2335" s="138"/>
      <c r="CO2335" s="138"/>
      <c r="CP2335" s="138"/>
      <c r="CQ2335" s="139"/>
      <c r="CR2335" s="138"/>
      <c r="CS2335" s="45"/>
      <c r="CT2335" s="138"/>
      <c r="CU2335" s="45"/>
      <c r="CV2335" s="99">
        <f t="shared" si="231"/>
        <v>0</v>
      </c>
      <c r="CW2335" s="139"/>
      <c r="CX2335" s="138"/>
      <c r="CY2335" s="138">
        <v>1500</v>
      </c>
      <c r="CZ2335" s="138">
        <f>1500*85000</f>
        <v>127500000</v>
      </c>
      <c r="DA2335" s="139"/>
      <c r="DB2335" s="138"/>
      <c r="DC2335" s="45"/>
      <c r="DD2335" s="138"/>
      <c r="DE2335" s="45"/>
      <c r="DF2335" s="46"/>
    </row>
    <row r="2336" spans="1:110" s="42" customFormat="1" ht="48" x14ac:dyDescent="0.2">
      <c r="A2336" s="89">
        <v>40834</v>
      </c>
      <c r="B2336" s="151" t="s">
        <v>4348</v>
      </c>
      <c r="C2336" s="90" t="s">
        <v>4313</v>
      </c>
      <c r="D2336" s="90" t="s">
        <v>2362</v>
      </c>
      <c r="E2336" s="90" t="str">
        <f>VLOOKUP(B2336&amp;C2336,Divipola!$C$2:$F$1138,4,FALSE)</f>
        <v>66318</v>
      </c>
      <c r="F2336" s="4"/>
      <c r="G2336" s="101"/>
      <c r="H2336" s="101"/>
      <c r="I2336" s="101"/>
      <c r="J2336" s="101">
        <v>250</v>
      </c>
      <c r="K2336" s="101">
        <v>50</v>
      </c>
      <c r="L2336" s="101"/>
      <c r="M2336" s="101">
        <v>50</v>
      </c>
      <c r="N2336" s="101"/>
      <c r="O2336" s="101"/>
      <c r="P2336" s="101"/>
      <c r="Q2336" s="101">
        <v>1</v>
      </c>
      <c r="R2336" s="101"/>
      <c r="S2336" s="101"/>
      <c r="T2336" s="101"/>
      <c r="U2336" s="101"/>
      <c r="V2336" s="101"/>
      <c r="W2336" s="19"/>
      <c r="X2336" s="17"/>
      <c r="Y2336" s="5">
        <f t="shared" si="226"/>
        <v>0</v>
      </c>
      <c r="Z2336" s="5">
        <f t="shared" si="227"/>
        <v>0</v>
      </c>
      <c r="AA2336" s="5">
        <f t="shared" si="228"/>
        <v>0</v>
      </c>
      <c r="AB2336" s="5">
        <f t="shared" si="229"/>
        <v>0</v>
      </c>
      <c r="AC2336" s="5"/>
      <c r="AD2336" s="5">
        <v>0</v>
      </c>
      <c r="AE2336" s="5">
        <f t="shared" si="230"/>
        <v>0</v>
      </c>
      <c r="AF2336" s="70">
        <v>0</v>
      </c>
      <c r="AG2336" s="17"/>
      <c r="AH2336" s="18"/>
      <c r="AI2336" s="47" t="s">
        <v>4336</v>
      </c>
      <c r="AJ2336" s="73" t="s">
        <v>4337</v>
      </c>
      <c r="AK2336" s="45"/>
      <c r="AL2336" s="17"/>
      <c r="AM2336" s="121" t="s">
        <v>4715</v>
      </c>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39"/>
      <c r="CE2336" s="138"/>
      <c r="CF2336" s="139"/>
      <c r="CG2336" s="138"/>
      <c r="CH2336" s="139"/>
      <c r="CI2336" s="138"/>
      <c r="CJ2336" s="72"/>
      <c r="CK2336" s="139"/>
      <c r="CL2336" s="71"/>
      <c r="CM2336" s="139"/>
      <c r="CN2336" s="138"/>
      <c r="CO2336" s="138"/>
      <c r="CP2336" s="138"/>
      <c r="CQ2336" s="139"/>
      <c r="CR2336" s="138"/>
      <c r="CS2336" s="45"/>
      <c r="CT2336" s="138"/>
      <c r="CU2336" s="45"/>
      <c r="CV2336" s="99">
        <f t="shared" si="231"/>
        <v>0</v>
      </c>
      <c r="CW2336" s="139"/>
      <c r="CX2336" s="138"/>
      <c r="CY2336" s="138"/>
      <c r="CZ2336" s="138"/>
      <c r="DA2336" s="139"/>
      <c r="DB2336" s="138"/>
      <c r="DC2336" s="45"/>
      <c r="DD2336" s="138"/>
      <c r="DE2336" s="45"/>
      <c r="DF2336" s="46"/>
    </row>
    <row r="2337" spans="1:110" s="42" customFormat="1" ht="60" x14ac:dyDescent="0.2">
      <c r="A2337" s="89">
        <v>40834</v>
      </c>
      <c r="B2337" s="151" t="s">
        <v>4348</v>
      </c>
      <c r="C2337" s="90" t="s">
        <v>3377</v>
      </c>
      <c r="D2337" s="90" t="s">
        <v>4264</v>
      </c>
      <c r="E2337" s="90" t="str">
        <f>VLOOKUP(B2337&amp;C2337,Divipola!$C$2:$F$1138,4,FALSE)</f>
        <v>66400</v>
      </c>
      <c r="F2337" s="4"/>
      <c r="G2337" s="101"/>
      <c r="H2337" s="101"/>
      <c r="I2337" s="101"/>
      <c r="J2337" s="101">
        <v>1400</v>
      </c>
      <c r="K2337" s="101">
        <v>280</v>
      </c>
      <c r="L2337" s="101"/>
      <c r="M2337" s="101">
        <v>280</v>
      </c>
      <c r="N2337" s="101"/>
      <c r="O2337" s="101"/>
      <c r="P2337" s="101"/>
      <c r="Q2337" s="101"/>
      <c r="R2337" s="101"/>
      <c r="S2337" s="101"/>
      <c r="T2337" s="101"/>
      <c r="U2337" s="101"/>
      <c r="V2337" s="101"/>
      <c r="W2337" s="19"/>
      <c r="X2337" s="17"/>
      <c r="Y2337" s="5">
        <f t="shared" si="226"/>
        <v>0</v>
      </c>
      <c r="Z2337" s="5">
        <f t="shared" si="227"/>
        <v>0</v>
      </c>
      <c r="AA2337" s="5">
        <f t="shared" si="228"/>
        <v>0</v>
      </c>
      <c r="AB2337" s="5">
        <f t="shared" si="229"/>
        <v>0</v>
      </c>
      <c r="AC2337" s="5"/>
      <c r="AD2337" s="5">
        <v>0</v>
      </c>
      <c r="AE2337" s="5">
        <f t="shared" si="230"/>
        <v>0</v>
      </c>
      <c r="AF2337" s="70">
        <v>0</v>
      </c>
      <c r="AG2337" s="17"/>
      <c r="AH2337" s="18"/>
      <c r="AI2337" s="47" t="s">
        <v>4336</v>
      </c>
      <c r="AJ2337" s="175" t="s">
        <v>4337</v>
      </c>
      <c r="AK2337" s="45"/>
      <c r="AL2337" s="17"/>
      <c r="AM2337" s="121" t="s">
        <v>4702</v>
      </c>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39"/>
      <c r="CE2337" s="138"/>
      <c r="CF2337" s="139"/>
      <c r="CG2337" s="138"/>
      <c r="CH2337" s="139"/>
      <c r="CI2337" s="138"/>
      <c r="CJ2337" s="72"/>
      <c r="CK2337" s="139"/>
      <c r="CL2337" s="71"/>
      <c r="CM2337" s="139"/>
      <c r="CN2337" s="138"/>
      <c r="CO2337" s="138"/>
      <c r="CP2337" s="138"/>
      <c r="CQ2337" s="139"/>
      <c r="CR2337" s="138"/>
      <c r="CS2337" s="45"/>
      <c r="CT2337" s="138"/>
      <c r="CU2337" s="45"/>
      <c r="CV2337" s="99">
        <f t="shared" si="231"/>
        <v>0</v>
      </c>
      <c r="CW2337" s="139"/>
      <c r="CX2337" s="138"/>
      <c r="CY2337" s="138"/>
      <c r="CZ2337" s="138"/>
      <c r="DA2337" s="139"/>
      <c r="DB2337" s="138"/>
      <c r="DC2337" s="45"/>
      <c r="DD2337" s="138"/>
      <c r="DE2337" s="45"/>
      <c r="DF2337" s="46"/>
    </row>
    <row r="2338" spans="1:110" s="42" customFormat="1" ht="48" x14ac:dyDescent="0.2">
      <c r="A2338" s="89">
        <v>40834</v>
      </c>
      <c r="B2338" s="151" t="s">
        <v>4348</v>
      </c>
      <c r="C2338" s="90" t="s">
        <v>3304</v>
      </c>
      <c r="D2338" s="90" t="s">
        <v>2362</v>
      </c>
      <c r="E2338" s="90" t="str">
        <f>VLOOKUP(B2338&amp;C2338,Divipola!$C$2:$F$1138,4,FALSE)</f>
        <v>66440</v>
      </c>
      <c r="F2338" s="4"/>
      <c r="G2338" s="101"/>
      <c r="H2338" s="101"/>
      <c r="I2338" s="101"/>
      <c r="J2338" s="101"/>
      <c r="K2338" s="101"/>
      <c r="L2338" s="101"/>
      <c r="M2338" s="101"/>
      <c r="N2338" s="101">
        <v>4</v>
      </c>
      <c r="O2338" s="101"/>
      <c r="P2338" s="101"/>
      <c r="Q2338" s="101"/>
      <c r="R2338" s="101"/>
      <c r="S2338" s="101"/>
      <c r="T2338" s="101"/>
      <c r="U2338" s="101"/>
      <c r="V2338" s="101"/>
      <c r="W2338" s="19"/>
      <c r="X2338" s="17"/>
      <c r="Y2338" s="5">
        <f t="shared" si="226"/>
        <v>0</v>
      </c>
      <c r="Z2338" s="5">
        <f t="shared" si="227"/>
        <v>0</v>
      </c>
      <c r="AA2338" s="5">
        <f t="shared" si="228"/>
        <v>0</v>
      </c>
      <c r="AB2338" s="5">
        <f t="shared" si="229"/>
        <v>0</v>
      </c>
      <c r="AC2338" s="5"/>
      <c r="AD2338" s="5">
        <v>0</v>
      </c>
      <c r="AE2338" s="5">
        <f t="shared" si="230"/>
        <v>0</v>
      </c>
      <c r="AF2338" s="70">
        <v>0</v>
      </c>
      <c r="AG2338" s="17"/>
      <c r="AH2338" s="18"/>
      <c r="AI2338" s="47" t="s">
        <v>4336</v>
      </c>
      <c r="AJ2338" s="73" t="s">
        <v>4337</v>
      </c>
      <c r="AK2338" s="45"/>
      <c r="AL2338" s="17"/>
      <c r="AM2338" s="121" t="s">
        <v>4717</v>
      </c>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39"/>
      <c r="CE2338" s="138"/>
      <c r="CF2338" s="139"/>
      <c r="CG2338" s="138"/>
      <c r="CH2338" s="139"/>
      <c r="CI2338" s="138"/>
      <c r="CJ2338" s="72"/>
      <c r="CK2338" s="139"/>
      <c r="CL2338" s="71"/>
      <c r="CM2338" s="139"/>
      <c r="CN2338" s="138"/>
      <c r="CO2338" s="138"/>
      <c r="CP2338" s="138"/>
      <c r="CQ2338" s="139"/>
      <c r="CR2338" s="138"/>
      <c r="CS2338" s="45"/>
      <c r="CT2338" s="138"/>
      <c r="CU2338" s="45"/>
      <c r="CV2338" s="99">
        <f t="shared" si="231"/>
        <v>0</v>
      </c>
      <c r="CW2338" s="139"/>
      <c r="CX2338" s="138"/>
      <c r="CY2338" s="138"/>
      <c r="CZ2338" s="138"/>
      <c r="DA2338" s="139"/>
      <c r="DB2338" s="138"/>
      <c r="DC2338" s="45"/>
      <c r="DD2338" s="138"/>
      <c r="DE2338" s="45"/>
      <c r="DF2338" s="46"/>
    </row>
    <row r="2339" spans="1:110" s="42" customFormat="1" ht="36" x14ac:dyDescent="0.2">
      <c r="A2339" s="89">
        <v>40834</v>
      </c>
      <c r="B2339" s="151" t="s">
        <v>4348</v>
      </c>
      <c r="C2339" s="90" t="s">
        <v>2228</v>
      </c>
      <c r="D2339" s="90" t="s">
        <v>4264</v>
      </c>
      <c r="E2339" s="90" t="str">
        <f>VLOOKUP(B2339&amp;C2339,Divipola!$C$2:$F$1138,4,FALSE)</f>
        <v>66001</v>
      </c>
      <c r="F2339" s="4"/>
      <c r="G2339" s="101"/>
      <c r="H2339" s="101"/>
      <c r="I2339" s="101"/>
      <c r="J2339" s="101">
        <v>295</v>
      </c>
      <c r="K2339" s="101">
        <v>59</v>
      </c>
      <c r="L2339" s="101"/>
      <c r="M2339" s="101">
        <v>59</v>
      </c>
      <c r="N2339" s="101"/>
      <c r="O2339" s="101"/>
      <c r="P2339" s="101"/>
      <c r="Q2339" s="101"/>
      <c r="R2339" s="101"/>
      <c r="S2339" s="101"/>
      <c r="T2339" s="101"/>
      <c r="U2339" s="101"/>
      <c r="V2339" s="101"/>
      <c r="W2339" s="19"/>
      <c r="X2339" s="17"/>
      <c r="Y2339" s="5">
        <f t="shared" si="226"/>
        <v>0</v>
      </c>
      <c r="Z2339" s="5">
        <f t="shared" si="227"/>
        <v>0</v>
      </c>
      <c r="AA2339" s="5">
        <f t="shared" si="228"/>
        <v>0</v>
      </c>
      <c r="AB2339" s="5">
        <f t="shared" si="229"/>
        <v>0</v>
      </c>
      <c r="AC2339" s="5"/>
      <c r="AD2339" s="5">
        <v>0</v>
      </c>
      <c r="AE2339" s="5">
        <f t="shared" si="230"/>
        <v>0</v>
      </c>
      <c r="AF2339" s="70">
        <v>0</v>
      </c>
      <c r="AG2339" s="17"/>
      <c r="AH2339" s="18"/>
      <c r="AI2339" s="47" t="s">
        <v>4336</v>
      </c>
      <c r="AJ2339" s="73" t="s">
        <v>4337</v>
      </c>
      <c r="AK2339" s="45"/>
      <c r="AL2339" s="17"/>
      <c r="AM2339" s="121" t="s">
        <v>4711</v>
      </c>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39"/>
      <c r="CE2339" s="138"/>
      <c r="CF2339" s="139"/>
      <c r="CG2339" s="138"/>
      <c r="CH2339" s="139"/>
      <c r="CI2339" s="138"/>
      <c r="CJ2339" s="72"/>
      <c r="CK2339" s="139"/>
      <c r="CL2339" s="71"/>
      <c r="CM2339" s="139"/>
      <c r="CN2339" s="138"/>
      <c r="CO2339" s="138"/>
      <c r="CP2339" s="138"/>
      <c r="CQ2339" s="139"/>
      <c r="CR2339" s="138"/>
      <c r="CS2339" s="45"/>
      <c r="CT2339" s="138"/>
      <c r="CU2339" s="45"/>
      <c r="CV2339" s="99">
        <f t="shared" si="231"/>
        <v>0</v>
      </c>
      <c r="CW2339" s="139"/>
      <c r="CX2339" s="138"/>
      <c r="CY2339" s="138"/>
      <c r="CZ2339" s="138"/>
      <c r="DA2339" s="139"/>
      <c r="DB2339" s="138"/>
      <c r="DC2339" s="45"/>
      <c r="DD2339" s="138"/>
      <c r="DE2339" s="45"/>
      <c r="DF2339" s="46"/>
    </row>
    <row r="2340" spans="1:110" s="42" customFormat="1" ht="96" x14ac:dyDescent="0.2">
      <c r="A2340" s="89">
        <v>40834</v>
      </c>
      <c r="B2340" s="16" t="s">
        <v>2226</v>
      </c>
      <c r="C2340" s="16" t="s">
        <v>651</v>
      </c>
      <c r="D2340" s="90" t="s">
        <v>2362</v>
      </c>
      <c r="E2340" s="90" t="str">
        <f>VLOOKUP(B2340&amp;C2340,Divipola!$C$2:$F$1138,4,FALSE)</f>
        <v>68217</v>
      </c>
      <c r="F2340" s="4"/>
      <c r="G2340" s="208"/>
      <c r="H2340" s="208"/>
      <c r="I2340" s="208"/>
      <c r="J2340" s="208"/>
      <c r="K2340" s="208"/>
      <c r="L2340" s="208"/>
      <c r="M2340" s="208"/>
      <c r="N2340" s="208">
        <v>1</v>
      </c>
      <c r="O2340" s="208"/>
      <c r="P2340" s="208"/>
      <c r="Q2340" s="208"/>
      <c r="R2340" s="208"/>
      <c r="S2340" s="208"/>
      <c r="T2340" s="208"/>
      <c r="U2340" s="208"/>
      <c r="V2340" s="208"/>
      <c r="W2340" s="19"/>
      <c r="X2340" s="17"/>
      <c r="Y2340" s="5">
        <f t="shared" si="226"/>
        <v>0</v>
      </c>
      <c r="Z2340" s="5">
        <f t="shared" si="227"/>
        <v>0</v>
      </c>
      <c r="AA2340" s="5">
        <f t="shared" si="228"/>
        <v>0</v>
      </c>
      <c r="AB2340" s="5">
        <f t="shared" si="229"/>
        <v>0</v>
      </c>
      <c r="AC2340" s="159">
        <f>600*5452</f>
        <v>3271200</v>
      </c>
      <c r="AD2340" s="5">
        <v>0</v>
      </c>
      <c r="AE2340" s="5">
        <f t="shared" si="230"/>
        <v>3271200</v>
      </c>
      <c r="AF2340" s="70">
        <v>0</v>
      </c>
      <c r="AG2340" s="17"/>
      <c r="AH2340" s="18"/>
      <c r="AI2340" s="47" t="s">
        <v>4346</v>
      </c>
      <c r="AJ2340" s="73" t="s">
        <v>4347</v>
      </c>
      <c r="AK2340" s="45"/>
      <c r="AL2340" s="17"/>
      <c r="AM2340" s="20" t="s">
        <v>4798</v>
      </c>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39"/>
      <c r="CE2340" s="138"/>
      <c r="CF2340" s="139"/>
      <c r="CG2340" s="138"/>
      <c r="CH2340" s="139"/>
      <c r="CI2340" s="138"/>
      <c r="CJ2340" s="72"/>
      <c r="CK2340" s="139"/>
      <c r="CL2340" s="71"/>
      <c r="CM2340" s="139"/>
      <c r="CN2340" s="138"/>
      <c r="CO2340" s="138"/>
      <c r="CP2340" s="138"/>
      <c r="CQ2340" s="139"/>
      <c r="CR2340" s="138"/>
      <c r="CS2340" s="45"/>
      <c r="CT2340" s="138"/>
      <c r="CU2340" s="45"/>
      <c r="CV2340" s="99">
        <f t="shared" si="231"/>
        <v>0</v>
      </c>
      <c r="CW2340" s="139"/>
      <c r="CX2340" s="138"/>
      <c r="CY2340" s="138"/>
      <c r="CZ2340" s="138"/>
      <c r="DA2340" s="139"/>
      <c r="DB2340" s="138"/>
      <c r="DC2340" s="45"/>
      <c r="DD2340" s="138"/>
      <c r="DE2340" s="45"/>
      <c r="DF2340" s="46"/>
    </row>
    <row r="2341" spans="1:110" s="42" customFormat="1" ht="48" x14ac:dyDescent="0.2">
      <c r="A2341" s="89">
        <v>40834</v>
      </c>
      <c r="B2341" s="151" t="s">
        <v>2226</v>
      </c>
      <c r="C2341" s="90" t="s">
        <v>665</v>
      </c>
      <c r="D2341" s="90" t="s">
        <v>2362</v>
      </c>
      <c r="E2341" s="90" t="str">
        <f>VLOOKUP(B2341&amp;C2341,Divipola!$C$2:$F$1138,4,FALSE)</f>
        <v>68264</v>
      </c>
      <c r="F2341" s="4"/>
      <c r="G2341" s="101"/>
      <c r="H2341" s="101"/>
      <c r="I2341" s="101"/>
      <c r="J2341" s="101">
        <v>5</v>
      </c>
      <c r="K2341" s="101">
        <v>1</v>
      </c>
      <c r="L2341" s="101">
        <v>1</v>
      </c>
      <c r="M2341" s="101"/>
      <c r="N2341" s="101">
        <v>1</v>
      </c>
      <c r="O2341" s="101"/>
      <c r="P2341" s="101"/>
      <c r="Q2341" s="101"/>
      <c r="R2341" s="101"/>
      <c r="S2341" s="101"/>
      <c r="T2341" s="101"/>
      <c r="U2341" s="101"/>
      <c r="V2341" s="101"/>
      <c r="W2341" s="19"/>
      <c r="X2341" s="17"/>
      <c r="Y2341" s="5">
        <f t="shared" si="226"/>
        <v>0</v>
      </c>
      <c r="Z2341" s="5">
        <f t="shared" si="227"/>
        <v>0</v>
      </c>
      <c r="AA2341" s="5">
        <f t="shared" si="228"/>
        <v>0</v>
      </c>
      <c r="AB2341" s="5">
        <f t="shared" si="229"/>
        <v>0</v>
      </c>
      <c r="AC2341" s="5"/>
      <c r="AD2341" s="5">
        <v>0</v>
      </c>
      <c r="AE2341" s="5">
        <f t="shared" si="230"/>
        <v>0</v>
      </c>
      <c r="AF2341" s="70">
        <v>0</v>
      </c>
      <c r="AG2341" s="17"/>
      <c r="AH2341" s="18"/>
      <c r="AI2341" s="47" t="s">
        <v>4346</v>
      </c>
      <c r="AJ2341" s="73" t="s">
        <v>4347</v>
      </c>
      <c r="AK2341" s="45"/>
      <c r="AL2341" s="89" t="s">
        <v>2798</v>
      </c>
      <c r="AM2341" s="121" t="s">
        <v>4792</v>
      </c>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39"/>
      <c r="CE2341" s="138"/>
      <c r="CF2341" s="139"/>
      <c r="CG2341" s="138"/>
      <c r="CH2341" s="139"/>
      <c r="CI2341" s="138"/>
      <c r="CJ2341" s="72"/>
      <c r="CK2341" s="139"/>
      <c r="CL2341" s="71"/>
      <c r="CM2341" s="139"/>
      <c r="CN2341" s="138"/>
      <c r="CO2341" s="138"/>
      <c r="CP2341" s="138"/>
      <c r="CQ2341" s="139"/>
      <c r="CR2341" s="138"/>
      <c r="CS2341" s="45"/>
      <c r="CT2341" s="138"/>
      <c r="CU2341" s="45"/>
      <c r="CV2341" s="99">
        <f t="shared" si="231"/>
        <v>0</v>
      </c>
      <c r="CW2341" s="139"/>
      <c r="CX2341" s="138"/>
      <c r="CY2341" s="138"/>
      <c r="CZ2341" s="138"/>
      <c r="DA2341" s="139"/>
      <c r="DB2341" s="138"/>
      <c r="DC2341" s="45"/>
      <c r="DD2341" s="138"/>
      <c r="DE2341" s="45"/>
      <c r="DF2341" s="46"/>
    </row>
    <row r="2342" spans="1:110" s="42" customFormat="1" ht="48" x14ac:dyDescent="0.2">
      <c r="A2342" s="89">
        <v>40834</v>
      </c>
      <c r="B2342" s="151" t="s">
        <v>2226</v>
      </c>
      <c r="C2342" s="90" t="s">
        <v>672</v>
      </c>
      <c r="D2342" s="90" t="s">
        <v>2362</v>
      </c>
      <c r="E2342" s="90" t="str">
        <f>VLOOKUP(B2342&amp;C2342,Divipola!$C$2:$F$1138,4,FALSE)</f>
        <v>68296</v>
      </c>
      <c r="F2342" s="4"/>
      <c r="G2342" s="101"/>
      <c r="H2342" s="101"/>
      <c r="I2342" s="101"/>
      <c r="J2342" s="101"/>
      <c r="K2342" s="101"/>
      <c r="L2342" s="101"/>
      <c r="M2342" s="101"/>
      <c r="N2342" s="101">
        <v>2</v>
      </c>
      <c r="O2342" s="101"/>
      <c r="P2342" s="101"/>
      <c r="Q2342" s="101"/>
      <c r="R2342" s="101"/>
      <c r="S2342" s="101"/>
      <c r="T2342" s="101"/>
      <c r="U2342" s="101"/>
      <c r="V2342" s="101"/>
      <c r="W2342" s="19"/>
      <c r="X2342" s="17"/>
      <c r="Y2342" s="5">
        <f t="shared" si="226"/>
        <v>0</v>
      </c>
      <c r="Z2342" s="5">
        <f t="shared" si="227"/>
        <v>0</v>
      </c>
      <c r="AA2342" s="5">
        <f t="shared" si="228"/>
        <v>0</v>
      </c>
      <c r="AB2342" s="5">
        <f t="shared" si="229"/>
        <v>0</v>
      </c>
      <c r="AC2342" s="5"/>
      <c r="AD2342" s="5">
        <v>0</v>
      </c>
      <c r="AE2342" s="5">
        <f t="shared" si="230"/>
        <v>0</v>
      </c>
      <c r="AF2342" s="70">
        <v>0</v>
      </c>
      <c r="AG2342" s="17"/>
      <c r="AH2342" s="18"/>
      <c r="AI2342" s="47" t="s">
        <v>4346</v>
      </c>
      <c r="AJ2342" s="73" t="s">
        <v>4347</v>
      </c>
      <c r="AK2342" s="45"/>
      <c r="AL2342" s="89" t="s">
        <v>2798</v>
      </c>
      <c r="AM2342" s="121" t="s">
        <v>4794</v>
      </c>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39"/>
      <c r="CE2342" s="138"/>
      <c r="CF2342" s="139"/>
      <c r="CG2342" s="138"/>
      <c r="CH2342" s="139"/>
      <c r="CI2342" s="138"/>
      <c r="CJ2342" s="72"/>
      <c r="CK2342" s="139"/>
      <c r="CL2342" s="71"/>
      <c r="CM2342" s="139"/>
      <c r="CN2342" s="138"/>
      <c r="CO2342" s="138"/>
      <c r="CP2342" s="138"/>
      <c r="CQ2342" s="139"/>
      <c r="CR2342" s="138"/>
      <c r="CS2342" s="45"/>
      <c r="CT2342" s="138"/>
      <c r="CU2342" s="45"/>
      <c r="CV2342" s="99">
        <f t="shared" si="231"/>
        <v>0</v>
      </c>
      <c r="CW2342" s="139"/>
      <c r="CX2342" s="138"/>
      <c r="CY2342" s="138"/>
      <c r="CZ2342" s="138"/>
      <c r="DA2342" s="139"/>
      <c r="DB2342" s="138"/>
      <c r="DC2342" s="45"/>
      <c r="DD2342" s="138"/>
      <c r="DE2342" s="45"/>
      <c r="DF2342" s="46"/>
    </row>
    <row r="2343" spans="1:110" s="42" customFormat="1" ht="48" x14ac:dyDescent="0.2">
      <c r="A2343" s="89">
        <v>40834</v>
      </c>
      <c r="B2343" s="151" t="s">
        <v>2226</v>
      </c>
      <c r="C2343" s="90" t="s">
        <v>679</v>
      </c>
      <c r="D2343" s="90" t="s">
        <v>2362</v>
      </c>
      <c r="E2343" s="90" t="str">
        <f>VLOOKUP(B2343&amp;C2343,Divipola!$C$2:$F$1138,4,FALSE)</f>
        <v>68322</v>
      </c>
      <c r="F2343" s="4"/>
      <c r="G2343" s="101"/>
      <c r="H2343" s="101"/>
      <c r="I2343" s="101"/>
      <c r="J2343" s="101"/>
      <c r="K2343" s="101"/>
      <c r="L2343" s="101"/>
      <c r="M2343" s="101"/>
      <c r="N2343" s="101">
        <v>2</v>
      </c>
      <c r="O2343" s="101"/>
      <c r="P2343" s="101"/>
      <c r="Q2343" s="101"/>
      <c r="R2343" s="101"/>
      <c r="S2343" s="101"/>
      <c r="T2343" s="101"/>
      <c r="U2343" s="101"/>
      <c r="V2343" s="101"/>
      <c r="W2343" s="19"/>
      <c r="X2343" s="17"/>
      <c r="Y2343" s="5">
        <f t="shared" si="226"/>
        <v>0</v>
      </c>
      <c r="Z2343" s="5">
        <f t="shared" si="227"/>
        <v>0</v>
      </c>
      <c r="AA2343" s="5">
        <f t="shared" si="228"/>
        <v>0</v>
      </c>
      <c r="AB2343" s="5">
        <f t="shared" si="229"/>
        <v>0</v>
      </c>
      <c r="AC2343" s="5"/>
      <c r="AD2343" s="5">
        <v>0</v>
      </c>
      <c r="AE2343" s="5">
        <f t="shared" si="230"/>
        <v>0</v>
      </c>
      <c r="AF2343" s="70">
        <v>0</v>
      </c>
      <c r="AG2343" s="17"/>
      <c r="AH2343" s="18"/>
      <c r="AI2343" s="47" t="s">
        <v>4346</v>
      </c>
      <c r="AJ2343" s="73" t="s">
        <v>4347</v>
      </c>
      <c r="AK2343" s="45"/>
      <c r="AL2343" s="89" t="s">
        <v>2798</v>
      </c>
      <c r="AM2343" s="121" t="s">
        <v>4793</v>
      </c>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39"/>
      <c r="CE2343" s="138"/>
      <c r="CF2343" s="139"/>
      <c r="CG2343" s="138"/>
      <c r="CH2343" s="139"/>
      <c r="CI2343" s="138"/>
      <c r="CJ2343" s="72"/>
      <c r="CK2343" s="139"/>
      <c r="CL2343" s="71"/>
      <c r="CM2343" s="139"/>
      <c r="CN2343" s="138"/>
      <c r="CO2343" s="138"/>
      <c r="CP2343" s="138"/>
      <c r="CQ2343" s="139"/>
      <c r="CR2343" s="138"/>
      <c r="CS2343" s="45"/>
      <c r="CT2343" s="138"/>
      <c r="CU2343" s="45"/>
      <c r="CV2343" s="99">
        <f t="shared" si="231"/>
        <v>0</v>
      </c>
      <c r="CW2343" s="139"/>
      <c r="CX2343" s="138"/>
      <c r="CY2343" s="138"/>
      <c r="CZ2343" s="138"/>
      <c r="DA2343" s="139"/>
      <c r="DB2343" s="138"/>
      <c r="DC2343" s="45"/>
      <c r="DD2343" s="138"/>
      <c r="DE2343" s="45"/>
      <c r="DF2343" s="46"/>
    </row>
    <row r="2344" spans="1:110" s="42" customFormat="1" ht="48" x14ac:dyDescent="0.2">
      <c r="A2344" s="89">
        <v>40834</v>
      </c>
      <c r="B2344" s="151" t="s">
        <v>3316</v>
      </c>
      <c r="C2344" s="90" t="s">
        <v>3443</v>
      </c>
      <c r="D2344" s="90" t="s">
        <v>2362</v>
      </c>
      <c r="E2344" s="90" t="str">
        <f>VLOOKUP(B2344&amp;C2344,Divipola!$C$2:$F$1138,4,FALSE)</f>
        <v>73124</v>
      </c>
      <c r="F2344" s="4"/>
      <c r="G2344" s="101"/>
      <c r="H2344" s="101"/>
      <c r="I2344" s="101"/>
      <c r="J2344" s="101"/>
      <c r="K2344" s="101"/>
      <c r="L2344" s="101"/>
      <c r="M2344" s="101"/>
      <c r="N2344" s="101">
        <v>1</v>
      </c>
      <c r="O2344" s="101"/>
      <c r="P2344" s="101"/>
      <c r="Q2344" s="101"/>
      <c r="R2344" s="101"/>
      <c r="S2344" s="101"/>
      <c r="T2344" s="101"/>
      <c r="U2344" s="101"/>
      <c r="V2344" s="101"/>
      <c r="W2344" s="19"/>
      <c r="X2344" s="17"/>
      <c r="Y2344" s="5">
        <f t="shared" si="226"/>
        <v>0</v>
      </c>
      <c r="Z2344" s="5">
        <f t="shared" si="227"/>
        <v>0</v>
      </c>
      <c r="AA2344" s="5">
        <f t="shared" si="228"/>
        <v>0</v>
      </c>
      <c r="AB2344" s="5">
        <f t="shared" si="229"/>
        <v>0</v>
      </c>
      <c r="AC2344" s="5"/>
      <c r="AD2344" s="5">
        <v>0</v>
      </c>
      <c r="AE2344" s="5">
        <f t="shared" si="230"/>
        <v>0</v>
      </c>
      <c r="AF2344" s="70">
        <v>0</v>
      </c>
      <c r="AG2344" s="17"/>
      <c r="AH2344" s="18"/>
      <c r="AI2344" s="47" t="s">
        <v>4346</v>
      </c>
      <c r="AJ2344" s="73" t="s">
        <v>4347</v>
      </c>
      <c r="AK2344" s="45"/>
      <c r="AL2344" s="89" t="s">
        <v>2798</v>
      </c>
      <c r="AM2344" s="121" t="s">
        <v>4698</v>
      </c>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39"/>
      <c r="CE2344" s="138"/>
      <c r="CF2344" s="139"/>
      <c r="CG2344" s="138"/>
      <c r="CH2344" s="139"/>
      <c r="CI2344" s="138"/>
      <c r="CJ2344" s="72"/>
      <c r="CK2344" s="139"/>
      <c r="CL2344" s="71"/>
      <c r="CM2344" s="139"/>
      <c r="CN2344" s="138"/>
      <c r="CO2344" s="138"/>
      <c r="CP2344" s="138"/>
      <c r="CQ2344" s="139"/>
      <c r="CR2344" s="138"/>
      <c r="CS2344" s="45"/>
      <c r="CT2344" s="138"/>
      <c r="CU2344" s="45"/>
      <c r="CV2344" s="99">
        <f t="shared" si="231"/>
        <v>0</v>
      </c>
      <c r="CW2344" s="139"/>
      <c r="CX2344" s="138"/>
      <c r="CY2344" s="138"/>
      <c r="CZ2344" s="138"/>
      <c r="DA2344" s="139"/>
      <c r="DB2344" s="138"/>
      <c r="DC2344" s="45"/>
      <c r="DD2344" s="138"/>
      <c r="DE2344" s="45"/>
      <c r="DF2344" s="46"/>
    </row>
    <row r="2345" spans="1:110" s="42" customFormat="1" ht="36" x14ac:dyDescent="0.2">
      <c r="A2345" s="89">
        <v>40834</v>
      </c>
      <c r="B2345" s="151" t="s">
        <v>3316</v>
      </c>
      <c r="C2345" s="90" t="s">
        <v>4233</v>
      </c>
      <c r="D2345" s="90" t="s">
        <v>3346</v>
      </c>
      <c r="E2345" s="90" t="str">
        <f>VLOOKUP(B2345&amp;C2345,Divipola!$C$2:$F$1138,4,FALSE)</f>
        <v>73352</v>
      </c>
      <c r="F2345" s="4"/>
      <c r="G2345" s="101"/>
      <c r="H2345" s="101"/>
      <c r="I2345" s="101"/>
      <c r="J2345" s="101">
        <v>200</v>
      </c>
      <c r="K2345" s="101">
        <v>40</v>
      </c>
      <c r="L2345" s="101"/>
      <c r="M2345" s="101">
        <v>40</v>
      </c>
      <c r="N2345" s="101"/>
      <c r="O2345" s="101"/>
      <c r="P2345" s="101"/>
      <c r="Q2345" s="101"/>
      <c r="R2345" s="101"/>
      <c r="S2345" s="101"/>
      <c r="T2345" s="101"/>
      <c r="U2345" s="101"/>
      <c r="V2345" s="101"/>
      <c r="W2345" s="19"/>
      <c r="X2345" s="17"/>
      <c r="Y2345" s="5">
        <f t="shared" si="226"/>
        <v>0</v>
      </c>
      <c r="Z2345" s="5">
        <f t="shared" si="227"/>
        <v>0</v>
      </c>
      <c r="AA2345" s="5">
        <f t="shared" si="228"/>
        <v>0</v>
      </c>
      <c r="AB2345" s="5">
        <f t="shared" si="229"/>
        <v>0</v>
      </c>
      <c r="AC2345" s="5"/>
      <c r="AD2345" s="5">
        <v>0</v>
      </c>
      <c r="AE2345" s="5">
        <f t="shared" si="230"/>
        <v>0</v>
      </c>
      <c r="AF2345" s="70">
        <v>0</v>
      </c>
      <c r="AG2345" s="17"/>
      <c r="AH2345" s="18"/>
      <c r="AI2345" s="47" t="s">
        <v>4346</v>
      </c>
      <c r="AJ2345" s="73" t="s">
        <v>4347</v>
      </c>
      <c r="AK2345" s="45"/>
      <c r="AL2345" s="89" t="s">
        <v>2798</v>
      </c>
      <c r="AM2345" s="121" t="s">
        <v>4708</v>
      </c>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39"/>
      <c r="CE2345" s="138"/>
      <c r="CF2345" s="139"/>
      <c r="CG2345" s="138"/>
      <c r="CH2345" s="139"/>
      <c r="CI2345" s="138"/>
      <c r="CJ2345" s="72"/>
      <c r="CK2345" s="139"/>
      <c r="CL2345" s="71"/>
      <c r="CM2345" s="139"/>
      <c r="CN2345" s="138"/>
      <c r="CO2345" s="138"/>
      <c r="CP2345" s="138"/>
      <c r="CQ2345" s="139"/>
      <c r="CR2345" s="138"/>
      <c r="CS2345" s="45"/>
      <c r="CT2345" s="138"/>
      <c r="CU2345" s="45"/>
      <c r="CV2345" s="99">
        <f t="shared" si="231"/>
        <v>0</v>
      </c>
      <c r="CW2345" s="139"/>
      <c r="CX2345" s="138"/>
      <c r="CY2345" s="138"/>
      <c r="CZ2345" s="138"/>
      <c r="DA2345" s="139"/>
      <c r="DB2345" s="138"/>
      <c r="DC2345" s="45"/>
      <c r="DD2345" s="138"/>
      <c r="DE2345" s="45"/>
      <c r="DF2345" s="46"/>
    </row>
    <row r="2346" spans="1:110" s="42" customFormat="1" ht="48" x14ac:dyDescent="0.2">
      <c r="A2346" s="89">
        <v>40834</v>
      </c>
      <c r="B2346" s="151" t="s">
        <v>4244</v>
      </c>
      <c r="C2346" s="90" t="s">
        <v>2768</v>
      </c>
      <c r="D2346" s="90" t="s">
        <v>4298</v>
      </c>
      <c r="E2346" s="90" t="str">
        <f>VLOOKUP(B2346&amp;C2346,Divipola!$C$2:$F$1138,4,FALSE)</f>
        <v>76001</v>
      </c>
      <c r="F2346" s="4"/>
      <c r="G2346" s="101"/>
      <c r="H2346" s="101"/>
      <c r="I2346" s="101"/>
      <c r="J2346" s="101">
        <v>75</v>
      </c>
      <c r="K2346" s="101">
        <v>15</v>
      </c>
      <c r="L2346" s="101">
        <v>15</v>
      </c>
      <c r="M2346" s="101"/>
      <c r="N2346" s="101"/>
      <c r="O2346" s="101"/>
      <c r="P2346" s="101"/>
      <c r="Q2346" s="101"/>
      <c r="R2346" s="101"/>
      <c r="S2346" s="101"/>
      <c r="T2346" s="101"/>
      <c r="U2346" s="101"/>
      <c r="V2346" s="101"/>
      <c r="W2346" s="19"/>
      <c r="X2346" s="17"/>
      <c r="Y2346" s="5">
        <f t="shared" si="226"/>
        <v>0</v>
      </c>
      <c r="Z2346" s="5">
        <f t="shared" si="227"/>
        <v>0</v>
      </c>
      <c r="AA2346" s="5">
        <f t="shared" si="228"/>
        <v>0</v>
      </c>
      <c r="AB2346" s="5">
        <f t="shared" si="229"/>
        <v>0</v>
      </c>
      <c r="AC2346" s="5"/>
      <c r="AD2346" s="5">
        <v>0</v>
      </c>
      <c r="AE2346" s="5">
        <f t="shared" si="230"/>
        <v>0</v>
      </c>
      <c r="AF2346" s="70">
        <v>0</v>
      </c>
      <c r="AG2346" s="17"/>
      <c r="AH2346" s="18"/>
      <c r="AI2346" s="47" t="s">
        <v>4346</v>
      </c>
      <c r="AJ2346" s="73" t="s">
        <v>4347</v>
      </c>
      <c r="AK2346" s="45"/>
      <c r="AL2346" s="89" t="s">
        <v>2798</v>
      </c>
      <c r="AM2346" s="121" t="s">
        <v>4707</v>
      </c>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39"/>
      <c r="CE2346" s="138"/>
      <c r="CF2346" s="139"/>
      <c r="CG2346" s="138"/>
      <c r="CH2346" s="139"/>
      <c r="CI2346" s="138"/>
      <c r="CJ2346" s="72"/>
      <c r="CK2346" s="139"/>
      <c r="CL2346" s="71"/>
      <c r="CM2346" s="139"/>
      <c r="CN2346" s="138"/>
      <c r="CO2346" s="138"/>
      <c r="CP2346" s="138"/>
      <c r="CQ2346" s="139"/>
      <c r="CR2346" s="138"/>
      <c r="CS2346" s="45"/>
      <c r="CT2346" s="138"/>
      <c r="CU2346" s="45"/>
      <c r="CV2346" s="99">
        <f t="shared" si="231"/>
        <v>0</v>
      </c>
      <c r="CW2346" s="139"/>
      <c r="CX2346" s="138"/>
      <c r="CY2346" s="138"/>
      <c r="CZ2346" s="138"/>
      <c r="DA2346" s="139"/>
      <c r="DB2346" s="138"/>
      <c r="DC2346" s="45"/>
      <c r="DD2346" s="138"/>
      <c r="DE2346" s="45"/>
      <c r="DF2346" s="46"/>
    </row>
    <row r="2347" spans="1:110" s="42" customFormat="1" ht="22.5" x14ac:dyDescent="0.2">
      <c r="A2347" s="89">
        <v>40834</v>
      </c>
      <c r="B2347" s="16" t="s">
        <v>4244</v>
      </c>
      <c r="C2347" s="16" t="s">
        <v>4332</v>
      </c>
      <c r="D2347" s="90" t="s">
        <v>4264</v>
      </c>
      <c r="E2347" s="90" t="str">
        <f>VLOOKUP(B2347&amp;C2347,Divipola!$C$2:$F$1138,4,FALSE)</f>
        <v>76306</v>
      </c>
      <c r="F2347" s="4"/>
      <c r="G2347" s="208"/>
      <c r="H2347" s="208"/>
      <c r="I2347" s="208"/>
      <c r="J2347" s="208"/>
      <c r="K2347" s="208"/>
      <c r="L2347" s="208"/>
      <c r="M2347" s="208"/>
      <c r="N2347" s="208"/>
      <c r="O2347" s="208"/>
      <c r="P2347" s="208"/>
      <c r="Q2347" s="208"/>
      <c r="R2347" s="208"/>
      <c r="S2347" s="208"/>
      <c r="T2347" s="208"/>
      <c r="U2347" s="208"/>
      <c r="V2347" s="208"/>
      <c r="W2347" s="19"/>
      <c r="X2347" s="17"/>
      <c r="Y2347" s="5">
        <f t="shared" si="226"/>
        <v>76700000</v>
      </c>
      <c r="Z2347" s="5">
        <f t="shared" si="227"/>
        <v>85000000</v>
      </c>
      <c r="AA2347" s="5">
        <f t="shared" si="228"/>
        <v>0</v>
      </c>
      <c r="AB2347" s="5">
        <f t="shared" si="229"/>
        <v>0</v>
      </c>
      <c r="AC2347" s="5"/>
      <c r="AD2347" s="5">
        <v>0</v>
      </c>
      <c r="AE2347" s="5">
        <f t="shared" si="230"/>
        <v>161700000</v>
      </c>
      <c r="AF2347" s="70">
        <v>0</v>
      </c>
      <c r="AG2347" s="17"/>
      <c r="AH2347" s="18"/>
      <c r="AI2347" s="47" t="s">
        <v>4346</v>
      </c>
      <c r="AJ2347" s="73" t="s">
        <v>4347</v>
      </c>
      <c r="AK2347" s="45"/>
      <c r="AL2347" s="17"/>
      <c r="AM2347" s="20"/>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39"/>
      <c r="CE2347" s="138"/>
      <c r="CF2347" s="139"/>
      <c r="CG2347" s="138"/>
      <c r="CH2347" s="139"/>
      <c r="CI2347" s="138"/>
      <c r="CJ2347" s="72"/>
      <c r="CK2347" s="139"/>
      <c r="CL2347" s="71"/>
      <c r="CM2347" s="139"/>
      <c r="CN2347" s="138"/>
      <c r="CO2347" s="138"/>
      <c r="CP2347" s="138">
        <v>1000</v>
      </c>
      <c r="CQ2347" s="139">
        <f>1000*37000</f>
        <v>37000000</v>
      </c>
      <c r="CR2347" s="138">
        <v>1000</v>
      </c>
      <c r="CS2347" s="45">
        <f>1000*39700</f>
        <v>39700000</v>
      </c>
      <c r="CT2347" s="138"/>
      <c r="CU2347" s="45"/>
      <c r="CV2347" s="99">
        <f t="shared" si="231"/>
        <v>76700000</v>
      </c>
      <c r="CW2347" s="139"/>
      <c r="CX2347" s="138"/>
      <c r="CY2347" s="138">
        <v>1000</v>
      </c>
      <c r="CZ2347" s="138">
        <f>1000*85000</f>
        <v>85000000</v>
      </c>
      <c r="DA2347" s="139"/>
      <c r="DB2347" s="138"/>
      <c r="DC2347" s="45"/>
      <c r="DD2347" s="138"/>
      <c r="DE2347" s="45"/>
      <c r="DF2347" s="46"/>
    </row>
    <row r="2348" spans="1:110" s="42" customFormat="1" ht="84" x14ac:dyDescent="0.2">
      <c r="A2348" s="89">
        <v>40834</v>
      </c>
      <c r="B2348" s="151" t="s">
        <v>4348</v>
      </c>
      <c r="C2348" s="90" t="s">
        <v>3303</v>
      </c>
      <c r="D2348" s="90" t="s">
        <v>2362</v>
      </c>
      <c r="E2348" s="90"/>
      <c r="F2348" s="4"/>
      <c r="G2348" s="101"/>
      <c r="H2348" s="101"/>
      <c r="I2348" s="101"/>
      <c r="J2348" s="101">
        <v>10</v>
      </c>
      <c r="K2348" s="101">
        <v>2</v>
      </c>
      <c r="L2348" s="101"/>
      <c r="M2348" s="101">
        <v>2</v>
      </c>
      <c r="N2348" s="101"/>
      <c r="O2348" s="101"/>
      <c r="P2348" s="101"/>
      <c r="Q2348" s="101"/>
      <c r="R2348" s="101"/>
      <c r="S2348" s="101"/>
      <c r="T2348" s="101"/>
      <c r="U2348" s="101"/>
      <c r="V2348" s="101"/>
      <c r="W2348" s="19"/>
      <c r="X2348" s="17"/>
      <c r="Y2348" s="5">
        <f t="shared" si="226"/>
        <v>0</v>
      </c>
      <c r="Z2348" s="5">
        <f t="shared" si="227"/>
        <v>0</v>
      </c>
      <c r="AA2348" s="5">
        <f t="shared" si="228"/>
        <v>0</v>
      </c>
      <c r="AB2348" s="5">
        <f t="shared" si="229"/>
        <v>0</v>
      </c>
      <c r="AC2348" s="5"/>
      <c r="AD2348" s="5">
        <v>0</v>
      </c>
      <c r="AE2348" s="5">
        <f t="shared" si="230"/>
        <v>0</v>
      </c>
      <c r="AF2348" s="70">
        <v>0</v>
      </c>
      <c r="AG2348" s="17"/>
      <c r="AH2348" s="18"/>
      <c r="AI2348" s="47" t="s">
        <v>4336</v>
      </c>
      <c r="AJ2348" s="73" t="s">
        <v>4337</v>
      </c>
      <c r="AK2348" s="45"/>
      <c r="AL2348" s="17" t="s">
        <v>4579</v>
      </c>
      <c r="AM2348" s="329" t="s">
        <v>5623</v>
      </c>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39"/>
      <c r="CE2348" s="138"/>
      <c r="CF2348" s="139"/>
      <c r="CG2348" s="138"/>
      <c r="CH2348" s="139"/>
      <c r="CI2348" s="138"/>
      <c r="CJ2348" s="72"/>
      <c r="CK2348" s="139"/>
      <c r="CL2348" s="71"/>
      <c r="CM2348" s="139"/>
      <c r="CN2348" s="138"/>
      <c r="CO2348" s="138"/>
      <c r="CP2348" s="138"/>
      <c r="CQ2348" s="139"/>
      <c r="CR2348" s="138"/>
      <c r="CS2348" s="45"/>
      <c r="CT2348" s="138"/>
      <c r="CU2348" s="45"/>
      <c r="CV2348" s="99">
        <f t="shared" si="231"/>
        <v>0</v>
      </c>
      <c r="CW2348" s="139"/>
      <c r="CX2348" s="138"/>
      <c r="CY2348" s="138"/>
      <c r="CZ2348" s="138"/>
      <c r="DA2348" s="139"/>
      <c r="DB2348" s="138"/>
      <c r="DC2348" s="45"/>
      <c r="DD2348" s="138"/>
      <c r="DE2348" s="45"/>
      <c r="DF2348" s="46"/>
    </row>
    <row r="2349" spans="1:110" s="42" customFormat="1" ht="36" x14ac:dyDescent="0.2">
      <c r="A2349" s="89">
        <v>40835</v>
      </c>
      <c r="B2349" s="151" t="s">
        <v>4326</v>
      </c>
      <c r="C2349" s="90" t="s">
        <v>2459</v>
      </c>
      <c r="D2349" s="90" t="s">
        <v>4264</v>
      </c>
      <c r="E2349" s="90" t="str">
        <f>VLOOKUP(B2349&amp;C2349,Divipola!$C$2:$F$1138,4,FALSE)</f>
        <v>08685</v>
      </c>
      <c r="F2349" s="4"/>
      <c r="G2349" s="101"/>
      <c r="H2349" s="101"/>
      <c r="I2349" s="101"/>
      <c r="J2349" s="101">
        <v>350</v>
      </c>
      <c r="K2349" s="101">
        <v>70</v>
      </c>
      <c r="L2349" s="101"/>
      <c r="M2349" s="101">
        <v>70</v>
      </c>
      <c r="N2349" s="101"/>
      <c r="O2349" s="101"/>
      <c r="P2349" s="101"/>
      <c r="Q2349" s="101"/>
      <c r="R2349" s="101"/>
      <c r="S2349" s="101"/>
      <c r="T2349" s="101"/>
      <c r="U2349" s="101"/>
      <c r="V2349" s="101"/>
      <c r="W2349" s="19"/>
      <c r="X2349" s="17"/>
      <c r="Y2349" s="5">
        <f t="shared" si="226"/>
        <v>0</v>
      </c>
      <c r="Z2349" s="5">
        <f t="shared" si="227"/>
        <v>0</v>
      </c>
      <c r="AA2349" s="5">
        <f t="shared" si="228"/>
        <v>0</v>
      </c>
      <c r="AB2349" s="5">
        <f t="shared" si="229"/>
        <v>0</v>
      </c>
      <c r="AC2349" s="5"/>
      <c r="AD2349" s="5">
        <v>20000000</v>
      </c>
      <c r="AE2349" s="5">
        <f t="shared" si="230"/>
        <v>20000000</v>
      </c>
      <c r="AF2349" s="70">
        <v>0</v>
      </c>
      <c r="AG2349" s="17"/>
      <c r="AH2349" s="18"/>
      <c r="AI2349" s="47" t="s">
        <v>4346</v>
      </c>
      <c r="AJ2349" s="73" t="s">
        <v>4347</v>
      </c>
      <c r="AK2349" s="45"/>
      <c r="AL2349" s="89" t="s">
        <v>2798</v>
      </c>
      <c r="AM2349" s="121" t="s">
        <v>4810</v>
      </c>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39"/>
      <c r="CE2349" s="138"/>
      <c r="CF2349" s="139"/>
      <c r="CG2349" s="138"/>
      <c r="CH2349" s="139"/>
      <c r="CI2349" s="138"/>
      <c r="CJ2349" s="72"/>
      <c r="CK2349" s="139"/>
      <c r="CL2349" s="71"/>
      <c r="CM2349" s="139"/>
      <c r="CN2349" s="138"/>
      <c r="CO2349" s="138"/>
      <c r="CP2349" s="138"/>
      <c r="CQ2349" s="139"/>
      <c r="CR2349" s="138"/>
      <c r="CS2349" s="45"/>
      <c r="CT2349" s="138"/>
      <c r="CU2349" s="45"/>
      <c r="CV2349" s="99">
        <f t="shared" si="231"/>
        <v>0</v>
      </c>
      <c r="CW2349" s="139"/>
      <c r="CX2349" s="138"/>
      <c r="CY2349" s="138"/>
      <c r="CZ2349" s="138"/>
      <c r="DA2349" s="139"/>
      <c r="DB2349" s="138"/>
      <c r="DC2349" s="45"/>
      <c r="DD2349" s="138"/>
      <c r="DE2349" s="45"/>
      <c r="DF2349" s="46"/>
    </row>
    <row r="2350" spans="1:110" s="42" customFormat="1" ht="36" x14ac:dyDescent="0.2">
      <c r="A2350" s="89">
        <v>40835</v>
      </c>
      <c r="B2350" s="151" t="s">
        <v>4326</v>
      </c>
      <c r="C2350" s="90" t="s">
        <v>2470</v>
      </c>
      <c r="D2350" s="90" t="s">
        <v>4264</v>
      </c>
      <c r="E2350" s="90" t="str">
        <f>VLOOKUP(B2350&amp;C2350,Divipola!$C$2:$F$1138,4,FALSE)</f>
        <v>08849</v>
      </c>
      <c r="F2350" s="4"/>
      <c r="G2350" s="101"/>
      <c r="H2350" s="101"/>
      <c r="I2350" s="101"/>
      <c r="J2350" s="101">
        <v>250</v>
      </c>
      <c r="K2350" s="101">
        <v>50</v>
      </c>
      <c r="L2350" s="101"/>
      <c r="M2350" s="101">
        <v>50</v>
      </c>
      <c r="N2350" s="101"/>
      <c r="O2350" s="101"/>
      <c r="P2350" s="101"/>
      <c r="Q2350" s="101"/>
      <c r="R2350" s="101"/>
      <c r="S2350" s="101"/>
      <c r="T2350" s="101"/>
      <c r="U2350" s="101"/>
      <c r="V2350" s="101"/>
      <c r="W2350" s="19"/>
      <c r="X2350" s="17"/>
      <c r="Y2350" s="5">
        <f t="shared" si="226"/>
        <v>0</v>
      </c>
      <c r="Z2350" s="5">
        <f t="shared" si="227"/>
        <v>0</v>
      </c>
      <c r="AA2350" s="5">
        <f t="shared" si="228"/>
        <v>0</v>
      </c>
      <c r="AB2350" s="5">
        <f t="shared" si="229"/>
        <v>0</v>
      </c>
      <c r="AC2350" s="5"/>
      <c r="AD2350" s="5">
        <v>0</v>
      </c>
      <c r="AE2350" s="5">
        <f t="shared" si="230"/>
        <v>0</v>
      </c>
      <c r="AF2350" s="70">
        <v>0</v>
      </c>
      <c r="AG2350" s="17"/>
      <c r="AH2350" s="18"/>
      <c r="AI2350" s="47" t="s">
        <v>4346</v>
      </c>
      <c r="AJ2350" s="73" t="s">
        <v>4347</v>
      </c>
      <c r="AK2350" s="45"/>
      <c r="AL2350" s="89" t="s">
        <v>2798</v>
      </c>
      <c r="AM2350" s="121" t="s">
        <v>4810</v>
      </c>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39"/>
      <c r="CE2350" s="138"/>
      <c r="CF2350" s="139"/>
      <c r="CG2350" s="138"/>
      <c r="CH2350" s="139"/>
      <c r="CI2350" s="138"/>
      <c r="CJ2350" s="72"/>
      <c r="CK2350" s="139"/>
      <c r="CL2350" s="71"/>
      <c r="CM2350" s="139"/>
      <c r="CN2350" s="138"/>
      <c r="CO2350" s="138"/>
      <c r="CP2350" s="138"/>
      <c r="CQ2350" s="139"/>
      <c r="CR2350" s="138"/>
      <c r="CS2350" s="45"/>
      <c r="CT2350" s="138"/>
      <c r="CU2350" s="45"/>
      <c r="CV2350" s="99">
        <f t="shared" si="231"/>
        <v>0</v>
      </c>
      <c r="CW2350" s="139"/>
      <c r="CX2350" s="138"/>
      <c r="CY2350" s="138"/>
      <c r="CZ2350" s="138"/>
      <c r="DA2350" s="139"/>
      <c r="DB2350" s="138"/>
      <c r="DC2350" s="45"/>
      <c r="DD2350" s="138"/>
      <c r="DE2350" s="45"/>
      <c r="DF2350" s="46"/>
    </row>
    <row r="2351" spans="1:110" s="42" customFormat="1" ht="72" x14ac:dyDescent="0.2">
      <c r="A2351" s="89">
        <v>40835</v>
      </c>
      <c r="B2351" s="151" t="s">
        <v>4352</v>
      </c>
      <c r="C2351" s="90" t="s">
        <v>4358</v>
      </c>
      <c r="D2351" s="90" t="s">
        <v>2362</v>
      </c>
      <c r="E2351" s="90" t="str">
        <f>VLOOKUP(B2351&amp;C2351,Divipola!$C$2:$F$1138,4,FALSE)</f>
        <v>13001</v>
      </c>
      <c r="F2351" s="4"/>
      <c r="G2351" s="101">
        <v>1</v>
      </c>
      <c r="H2351" s="101"/>
      <c r="I2351" s="101"/>
      <c r="J2351" s="101">
        <v>5</v>
      </c>
      <c r="K2351" s="101">
        <v>1</v>
      </c>
      <c r="L2351" s="101">
        <v>1</v>
      </c>
      <c r="M2351" s="101"/>
      <c r="N2351" s="101"/>
      <c r="O2351" s="101"/>
      <c r="P2351" s="101"/>
      <c r="Q2351" s="101"/>
      <c r="R2351" s="101"/>
      <c r="S2351" s="101"/>
      <c r="T2351" s="101"/>
      <c r="U2351" s="101"/>
      <c r="V2351" s="101"/>
      <c r="W2351" s="19"/>
      <c r="X2351" s="17"/>
      <c r="Y2351" s="5">
        <f t="shared" si="226"/>
        <v>0</v>
      </c>
      <c r="Z2351" s="5">
        <f t="shared" si="227"/>
        <v>0</v>
      </c>
      <c r="AA2351" s="5">
        <f t="shared" si="228"/>
        <v>0</v>
      </c>
      <c r="AB2351" s="5">
        <f t="shared" si="229"/>
        <v>0</v>
      </c>
      <c r="AC2351" s="5"/>
      <c r="AD2351" s="5">
        <v>0</v>
      </c>
      <c r="AE2351" s="5">
        <f t="shared" si="230"/>
        <v>0</v>
      </c>
      <c r="AF2351" s="70">
        <v>0</v>
      </c>
      <c r="AG2351" s="17"/>
      <c r="AH2351" s="18"/>
      <c r="AI2351" s="47" t="s">
        <v>4336</v>
      </c>
      <c r="AJ2351" s="73" t="s">
        <v>4337</v>
      </c>
      <c r="AK2351" s="45"/>
      <c r="AL2351" s="17"/>
      <c r="AM2351" s="121" t="s">
        <v>4726</v>
      </c>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39"/>
      <c r="CE2351" s="138"/>
      <c r="CF2351" s="139"/>
      <c r="CG2351" s="138"/>
      <c r="CH2351" s="139"/>
      <c r="CI2351" s="138"/>
      <c r="CJ2351" s="72"/>
      <c r="CK2351" s="139"/>
      <c r="CL2351" s="71"/>
      <c r="CM2351" s="139"/>
      <c r="CN2351" s="138"/>
      <c r="CO2351" s="138"/>
      <c r="CP2351" s="138"/>
      <c r="CQ2351" s="139"/>
      <c r="CR2351" s="138"/>
      <c r="CS2351" s="45"/>
      <c r="CT2351" s="138"/>
      <c r="CU2351" s="45"/>
      <c r="CV2351" s="99">
        <f t="shared" si="231"/>
        <v>0</v>
      </c>
      <c r="CW2351" s="139"/>
      <c r="CX2351" s="138"/>
      <c r="CY2351" s="138"/>
      <c r="CZ2351" s="138"/>
      <c r="DA2351" s="139"/>
      <c r="DB2351" s="138"/>
      <c r="DC2351" s="45"/>
      <c r="DD2351" s="138"/>
      <c r="DE2351" s="45"/>
      <c r="DF2351" s="46"/>
    </row>
    <row r="2352" spans="1:110" s="42" customFormat="1" ht="240" x14ac:dyDescent="0.2">
      <c r="A2352" s="89">
        <v>40835</v>
      </c>
      <c r="B2352" s="151" t="s">
        <v>3533</v>
      </c>
      <c r="C2352" s="90" t="s">
        <v>862</v>
      </c>
      <c r="D2352" s="90" t="s">
        <v>2362</v>
      </c>
      <c r="E2352" s="90" t="str">
        <f>VLOOKUP(B2352&amp;C2352,Divipola!$C$2:$F$1138,4,FALSE)</f>
        <v>17001</v>
      </c>
      <c r="F2352" s="4"/>
      <c r="G2352" s="101"/>
      <c r="H2352" s="101"/>
      <c r="I2352" s="101"/>
      <c r="J2352" s="101"/>
      <c r="K2352" s="101"/>
      <c r="L2352" s="101"/>
      <c r="M2352" s="101"/>
      <c r="N2352" s="101"/>
      <c r="O2352" s="101"/>
      <c r="P2352" s="101"/>
      <c r="Q2352" s="101">
        <v>1</v>
      </c>
      <c r="R2352" s="101"/>
      <c r="S2352" s="101"/>
      <c r="T2352" s="101"/>
      <c r="U2352" s="101"/>
      <c r="V2352" s="101"/>
      <c r="W2352" s="19"/>
      <c r="X2352" s="17"/>
      <c r="Y2352" s="5">
        <f t="shared" si="226"/>
        <v>0</v>
      </c>
      <c r="Z2352" s="5">
        <f t="shared" si="227"/>
        <v>0</v>
      </c>
      <c r="AA2352" s="5">
        <f t="shared" si="228"/>
        <v>0</v>
      </c>
      <c r="AB2352" s="5">
        <f t="shared" si="229"/>
        <v>0</v>
      </c>
      <c r="AC2352" s="5">
        <f>20*1197000+18900000+16000000+20*1197000</f>
        <v>82780000</v>
      </c>
      <c r="AD2352" s="5">
        <v>625345625</v>
      </c>
      <c r="AE2352" s="5">
        <f t="shared" si="230"/>
        <v>708125625</v>
      </c>
      <c r="AF2352" s="70">
        <v>0</v>
      </c>
      <c r="AG2352" s="17"/>
      <c r="AH2352" s="18"/>
      <c r="AI2352" s="47" t="s">
        <v>4346</v>
      </c>
      <c r="AJ2352" s="73" t="s">
        <v>4347</v>
      </c>
      <c r="AK2352" s="45"/>
      <c r="AL2352" s="17"/>
      <c r="AM2352" s="121" t="s">
        <v>4843</v>
      </c>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39"/>
      <c r="CE2352" s="138"/>
      <c r="CF2352" s="139"/>
      <c r="CG2352" s="138"/>
      <c r="CH2352" s="139"/>
      <c r="CI2352" s="138"/>
      <c r="CJ2352" s="72"/>
      <c r="CK2352" s="139"/>
      <c r="CL2352" s="71"/>
      <c r="CM2352" s="139"/>
      <c r="CN2352" s="138"/>
      <c r="CO2352" s="138"/>
      <c r="CP2352" s="138"/>
      <c r="CQ2352" s="139"/>
      <c r="CR2352" s="138"/>
      <c r="CS2352" s="45"/>
      <c r="CT2352" s="138"/>
      <c r="CU2352" s="45"/>
      <c r="CV2352" s="99">
        <f t="shared" si="231"/>
        <v>0</v>
      </c>
      <c r="CW2352" s="139"/>
      <c r="CX2352" s="138"/>
      <c r="CY2352" s="138"/>
      <c r="CZ2352" s="138"/>
      <c r="DA2352" s="139"/>
      <c r="DB2352" s="138"/>
      <c r="DC2352" s="45"/>
      <c r="DD2352" s="138"/>
      <c r="DE2352" s="45"/>
      <c r="DF2352" s="46"/>
    </row>
    <row r="2353" spans="1:110" s="42" customFormat="1" ht="48" x14ac:dyDescent="0.2">
      <c r="A2353" s="89">
        <v>40835</v>
      </c>
      <c r="B2353" s="151" t="s">
        <v>3533</v>
      </c>
      <c r="C2353" s="90" t="s">
        <v>862</v>
      </c>
      <c r="D2353" s="90" t="s">
        <v>2362</v>
      </c>
      <c r="E2353" s="90" t="str">
        <f>VLOOKUP(B2353&amp;C2353,Divipola!$C$2:$F$1138,4,FALSE)</f>
        <v>17001</v>
      </c>
      <c r="F2353" s="4"/>
      <c r="G2353" s="101"/>
      <c r="H2353" s="101"/>
      <c r="I2353" s="101"/>
      <c r="J2353" s="101">
        <v>10</v>
      </c>
      <c r="K2353" s="101">
        <v>2</v>
      </c>
      <c r="L2353" s="101">
        <v>2</v>
      </c>
      <c r="M2353" s="101"/>
      <c r="N2353" s="101"/>
      <c r="O2353" s="101"/>
      <c r="P2353" s="101"/>
      <c r="Q2353" s="101"/>
      <c r="R2353" s="101"/>
      <c r="S2353" s="101"/>
      <c r="T2353" s="101"/>
      <c r="U2353" s="101"/>
      <c r="V2353" s="101"/>
      <c r="W2353" s="19"/>
      <c r="X2353" s="17"/>
      <c r="Y2353" s="5">
        <f t="shared" si="226"/>
        <v>0</v>
      </c>
      <c r="Z2353" s="5">
        <f t="shared" si="227"/>
        <v>0</v>
      </c>
      <c r="AA2353" s="5">
        <f t="shared" si="228"/>
        <v>0</v>
      </c>
      <c r="AB2353" s="5">
        <f t="shared" si="229"/>
        <v>0</v>
      </c>
      <c r="AC2353" s="5"/>
      <c r="AD2353" s="5">
        <v>0</v>
      </c>
      <c r="AE2353" s="5">
        <f t="shared" si="230"/>
        <v>0</v>
      </c>
      <c r="AF2353" s="70">
        <v>0</v>
      </c>
      <c r="AG2353" s="17"/>
      <c r="AH2353" s="18"/>
      <c r="AI2353" s="47" t="s">
        <v>4336</v>
      </c>
      <c r="AJ2353" s="73" t="s">
        <v>4337</v>
      </c>
      <c r="AK2353" s="45"/>
      <c r="AL2353" s="17"/>
      <c r="AM2353" s="121" t="s">
        <v>4740</v>
      </c>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39"/>
      <c r="CE2353" s="138"/>
      <c r="CF2353" s="139"/>
      <c r="CG2353" s="138"/>
      <c r="CH2353" s="139"/>
      <c r="CI2353" s="138"/>
      <c r="CJ2353" s="72"/>
      <c r="CK2353" s="139"/>
      <c r="CL2353" s="71"/>
      <c r="CM2353" s="139"/>
      <c r="CN2353" s="138"/>
      <c r="CO2353" s="138"/>
      <c r="CP2353" s="138"/>
      <c r="CQ2353" s="139"/>
      <c r="CR2353" s="138"/>
      <c r="CS2353" s="45"/>
      <c r="CT2353" s="138"/>
      <c r="CU2353" s="45"/>
      <c r="CV2353" s="99">
        <f t="shared" si="231"/>
        <v>0</v>
      </c>
      <c r="CW2353" s="139"/>
      <c r="CX2353" s="138"/>
      <c r="CY2353" s="138"/>
      <c r="CZ2353" s="138"/>
      <c r="DA2353" s="139"/>
      <c r="DB2353" s="138"/>
      <c r="DC2353" s="45"/>
      <c r="DD2353" s="138"/>
      <c r="DE2353" s="45"/>
      <c r="DF2353" s="46"/>
    </row>
    <row r="2354" spans="1:110" s="42" customFormat="1" ht="60" x14ac:dyDescent="0.2">
      <c r="A2354" s="89">
        <v>40835</v>
      </c>
      <c r="B2354" s="151" t="s">
        <v>4386</v>
      </c>
      <c r="C2354" s="90" t="s">
        <v>4376</v>
      </c>
      <c r="D2354" s="90" t="s">
        <v>4264</v>
      </c>
      <c r="E2354" s="90" t="str">
        <f>VLOOKUP(B2354&amp;C2354,Divipola!$C$2:$F$1138,4,FALSE)</f>
        <v>20383</v>
      </c>
      <c r="F2354" s="4"/>
      <c r="G2354" s="101"/>
      <c r="H2354" s="101"/>
      <c r="I2354" s="101"/>
      <c r="J2354" s="101">
        <v>220</v>
      </c>
      <c r="K2354" s="101">
        <v>46</v>
      </c>
      <c r="L2354" s="101">
        <v>1</v>
      </c>
      <c r="M2354" s="101">
        <v>45</v>
      </c>
      <c r="N2354" s="101"/>
      <c r="O2354" s="101"/>
      <c r="P2354" s="101"/>
      <c r="Q2354" s="101"/>
      <c r="R2354" s="101"/>
      <c r="S2354" s="101"/>
      <c r="T2354" s="101"/>
      <c r="U2354" s="101"/>
      <c r="V2354" s="101"/>
      <c r="W2354" s="19"/>
      <c r="X2354" s="17"/>
      <c r="Y2354" s="5">
        <f t="shared" si="226"/>
        <v>0</v>
      </c>
      <c r="Z2354" s="5">
        <f t="shared" si="227"/>
        <v>0</v>
      </c>
      <c r="AA2354" s="5">
        <f t="shared" si="228"/>
        <v>0</v>
      </c>
      <c r="AB2354" s="5">
        <f t="shared" si="229"/>
        <v>0</v>
      </c>
      <c r="AC2354" s="5"/>
      <c r="AD2354" s="5">
        <v>0</v>
      </c>
      <c r="AE2354" s="5">
        <f t="shared" si="230"/>
        <v>0</v>
      </c>
      <c r="AF2354" s="70">
        <v>0</v>
      </c>
      <c r="AG2354" s="17"/>
      <c r="AH2354" s="18"/>
      <c r="AI2354" s="47" t="s">
        <v>4336</v>
      </c>
      <c r="AJ2354" s="73" t="s">
        <v>4337</v>
      </c>
      <c r="AK2354" s="45"/>
      <c r="AL2354" s="17"/>
      <c r="AM2354" s="121" t="s">
        <v>4720</v>
      </c>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39"/>
      <c r="CE2354" s="138"/>
      <c r="CF2354" s="139"/>
      <c r="CG2354" s="138"/>
      <c r="CH2354" s="139"/>
      <c r="CI2354" s="138"/>
      <c r="CJ2354" s="72"/>
      <c r="CK2354" s="139"/>
      <c r="CL2354" s="71"/>
      <c r="CM2354" s="139"/>
      <c r="CN2354" s="138"/>
      <c r="CO2354" s="138"/>
      <c r="CP2354" s="138"/>
      <c r="CQ2354" s="139"/>
      <c r="CR2354" s="138"/>
      <c r="CS2354" s="45"/>
      <c r="CT2354" s="138"/>
      <c r="CU2354" s="45"/>
      <c r="CV2354" s="99">
        <f t="shared" si="231"/>
        <v>0</v>
      </c>
      <c r="CW2354" s="139"/>
      <c r="CX2354" s="138"/>
      <c r="CY2354" s="138"/>
      <c r="CZ2354" s="138"/>
      <c r="DA2354" s="139"/>
      <c r="DB2354" s="138"/>
      <c r="DC2354" s="45"/>
      <c r="DD2354" s="138"/>
      <c r="DE2354" s="45"/>
      <c r="DF2354" s="46"/>
    </row>
    <row r="2355" spans="1:110" s="42" customFormat="1" ht="60" x14ac:dyDescent="0.2">
      <c r="A2355" s="89">
        <v>40835</v>
      </c>
      <c r="B2355" s="151" t="s">
        <v>4219</v>
      </c>
      <c r="C2355" s="90" t="s">
        <v>209</v>
      </c>
      <c r="D2355" s="90" t="s">
        <v>4264</v>
      </c>
      <c r="E2355" s="90" t="str">
        <f>VLOOKUP(B2355&amp;C2355,Divipola!$C$2:$F$1138,4,FALSE)</f>
        <v>41206</v>
      </c>
      <c r="F2355" s="4"/>
      <c r="G2355" s="101"/>
      <c r="H2355" s="101"/>
      <c r="I2355" s="101"/>
      <c r="J2355" s="101">
        <v>5</v>
      </c>
      <c r="K2355" s="101">
        <v>1</v>
      </c>
      <c r="L2355" s="101">
        <v>1</v>
      </c>
      <c r="M2355" s="101"/>
      <c r="N2355" s="101"/>
      <c r="O2355" s="101"/>
      <c r="P2355" s="101"/>
      <c r="Q2355" s="101"/>
      <c r="R2355" s="101"/>
      <c r="S2355" s="101"/>
      <c r="T2355" s="101"/>
      <c r="U2355" s="101"/>
      <c r="V2355" s="101"/>
      <c r="W2355" s="19"/>
      <c r="X2355" s="17"/>
      <c r="Y2355" s="5">
        <f t="shared" si="226"/>
        <v>0</v>
      </c>
      <c r="Z2355" s="5">
        <f t="shared" si="227"/>
        <v>0</v>
      </c>
      <c r="AA2355" s="5">
        <f t="shared" si="228"/>
        <v>0</v>
      </c>
      <c r="AB2355" s="5">
        <f t="shared" si="229"/>
        <v>0</v>
      </c>
      <c r="AC2355" s="5"/>
      <c r="AD2355" s="5">
        <v>0</v>
      </c>
      <c r="AE2355" s="5">
        <f t="shared" si="230"/>
        <v>0</v>
      </c>
      <c r="AF2355" s="70">
        <v>0</v>
      </c>
      <c r="AG2355" s="17"/>
      <c r="AH2355" s="18"/>
      <c r="AI2355" s="47" t="s">
        <v>4336</v>
      </c>
      <c r="AJ2355" s="73" t="s">
        <v>4337</v>
      </c>
      <c r="AK2355" s="45"/>
      <c r="AL2355" s="17"/>
      <c r="AM2355" s="121" t="s">
        <v>4753</v>
      </c>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39"/>
      <c r="CE2355" s="138"/>
      <c r="CF2355" s="139"/>
      <c r="CG2355" s="138"/>
      <c r="CH2355" s="139"/>
      <c r="CI2355" s="138"/>
      <c r="CJ2355" s="72"/>
      <c r="CK2355" s="139"/>
      <c r="CL2355" s="71"/>
      <c r="CM2355" s="139"/>
      <c r="CN2355" s="138"/>
      <c r="CO2355" s="138"/>
      <c r="CP2355" s="138"/>
      <c r="CQ2355" s="139"/>
      <c r="CR2355" s="138"/>
      <c r="CS2355" s="45"/>
      <c r="CT2355" s="138"/>
      <c r="CU2355" s="45"/>
      <c r="CV2355" s="99">
        <f t="shared" si="231"/>
        <v>0</v>
      </c>
      <c r="CW2355" s="139"/>
      <c r="CX2355" s="138"/>
      <c r="CY2355" s="138"/>
      <c r="CZ2355" s="138"/>
      <c r="DA2355" s="139"/>
      <c r="DB2355" s="138"/>
      <c r="DC2355" s="45"/>
      <c r="DD2355" s="138"/>
      <c r="DE2355" s="45"/>
      <c r="DF2355" s="46"/>
    </row>
    <row r="2356" spans="1:110" s="42" customFormat="1" ht="96" x14ac:dyDescent="0.2">
      <c r="A2356" s="89">
        <v>40835</v>
      </c>
      <c r="B2356" s="151" t="s">
        <v>4219</v>
      </c>
      <c r="C2356" s="90" t="s">
        <v>4220</v>
      </c>
      <c r="D2356" s="90" t="s">
        <v>4264</v>
      </c>
      <c r="E2356" s="90" t="str">
        <f>VLOOKUP(B2356&amp;C2356,Divipola!$C$2:$F$1138,4,FALSE)</f>
        <v>41483</v>
      </c>
      <c r="F2356" s="4"/>
      <c r="G2356" s="101"/>
      <c r="H2356" s="101"/>
      <c r="I2356" s="101"/>
      <c r="J2356" s="101">
        <v>90</v>
      </c>
      <c r="K2356" s="101">
        <v>18</v>
      </c>
      <c r="L2356" s="101"/>
      <c r="M2356" s="101"/>
      <c r="N2356" s="101">
        <v>9</v>
      </c>
      <c r="O2356" s="101">
        <v>1</v>
      </c>
      <c r="P2356" s="101"/>
      <c r="Q2356" s="101">
        <v>2</v>
      </c>
      <c r="R2356" s="101">
        <v>1</v>
      </c>
      <c r="S2356" s="101"/>
      <c r="T2356" s="101">
        <v>1</v>
      </c>
      <c r="U2356" s="101"/>
      <c r="V2356" s="101">
        <v>14</v>
      </c>
      <c r="W2356" s="19"/>
      <c r="X2356" s="17"/>
      <c r="Y2356" s="5">
        <f t="shared" si="226"/>
        <v>0</v>
      </c>
      <c r="Z2356" s="5">
        <f t="shared" si="227"/>
        <v>0</v>
      </c>
      <c r="AA2356" s="5">
        <f t="shared" si="228"/>
        <v>0</v>
      </c>
      <c r="AB2356" s="5">
        <f t="shared" si="229"/>
        <v>0</v>
      </c>
      <c r="AC2356" s="5"/>
      <c r="AD2356" s="5">
        <v>0</v>
      </c>
      <c r="AE2356" s="5">
        <f t="shared" si="230"/>
        <v>0</v>
      </c>
      <c r="AF2356" s="70">
        <v>0</v>
      </c>
      <c r="AG2356" s="17"/>
      <c r="AH2356" s="18"/>
      <c r="AI2356" s="47" t="s">
        <v>4336</v>
      </c>
      <c r="AJ2356" s="73" t="s">
        <v>4337</v>
      </c>
      <c r="AK2356" s="45"/>
      <c r="AL2356" s="17"/>
      <c r="AM2356" s="121" t="s">
        <v>5499</v>
      </c>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39"/>
      <c r="CE2356" s="138"/>
      <c r="CF2356" s="139"/>
      <c r="CG2356" s="138"/>
      <c r="CH2356" s="139"/>
      <c r="CI2356" s="138"/>
      <c r="CJ2356" s="72"/>
      <c r="CK2356" s="139"/>
      <c r="CL2356" s="71"/>
      <c r="CM2356" s="139"/>
      <c r="CN2356" s="138"/>
      <c r="CO2356" s="138"/>
      <c r="CP2356" s="138"/>
      <c r="CQ2356" s="139"/>
      <c r="CR2356" s="138"/>
      <c r="CS2356" s="45"/>
      <c r="CT2356" s="138"/>
      <c r="CU2356" s="45"/>
      <c r="CV2356" s="99">
        <f t="shared" si="231"/>
        <v>0</v>
      </c>
      <c r="CW2356" s="139"/>
      <c r="CX2356" s="138"/>
      <c r="CY2356" s="138"/>
      <c r="CZ2356" s="138"/>
      <c r="DA2356" s="139"/>
      <c r="DB2356" s="138"/>
      <c r="DC2356" s="45"/>
      <c r="DD2356" s="138"/>
      <c r="DE2356" s="45"/>
      <c r="DF2356" s="46"/>
    </row>
    <row r="2357" spans="1:110" s="42" customFormat="1" ht="36" x14ac:dyDescent="0.2">
      <c r="A2357" s="89">
        <v>40835</v>
      </c>
      <c r="B2357" s="196" t="s">
        <v>4348</v>
      </c>
      <c r="C2357" s="197" t="s">
        <v>3553</v>
      </c>
      <c r="D2357" s="197" t="s">
        <v>3346</v>
      </c>
      <c r="E2357" s="90" t="str">
        <f>VLOOKUP(B2357&amp;C2357,Divipola!$C$2:$F$1138,4,FALSE)</f>
        <v>66075</v>
      </c>
      <c r="F2357" s="4"/>
      <c r="G2357" s="194"/>
      <c r="H2357" s="194"/>
      <c r="I2357" s="194"/>
      <c r="J2357" s="194">
        <v>15</v>
      </c>
      <c r="K2357" s="194">
        <v>3</v>
      </c>
      <c r="L2357" s="194"/>
      <c r="M2357" s="194">
        <v>3</v>
      </c>
      <c r="N2357" s="194"/>
      <c r="O2357" s="194"/>
      <c r="P2357" s="194"/>
      <c r="Q2357" s="194"/>
      <c r="R2357" s="194"/>
      <c r="S2357" s="194"/>
      <c r="T2357" s="194"/>
      <c r="U2357" s="194"/>
      <c r="V2357" s="194"/>
      <c r="W2357" s="19"/>
      <c r="X2357" s="17"/>
      <c r="Y2357" s="5">
        <f t="shared" si="226"/>
        <v>0</v>
      </c>
      <c r="Z2357" s="5">
        <f t="shared" si="227"/>
        <v>0</v>
      </c>
      <c r="AA2357" s="5">
        <f t="shared" si="228"/>
        <v>0</v>
      </c>
      <c r="AB2357" s="5">
        <f t="shared" si="229"/>
        <v>0</v>
      </c>
      <c r="AC2357" s="5"/>
      <c r="AD2357" s="5">
        <v>0</v>
      </c>
      <c r="AE2357" s="5">
        <f t="shared" si="230"/>
        <v>0</v>
      </c>
      <c r="AF2357" s="70">
        <v>0</v>
      </c>
      <c r="AG2357" s="17"/>
      <c r="AH2357" s="18"/>
      <c r="AI2357" s="47" t="s">
        <v>4336</v>
      </c>
      <c r="AJ2357" s="73" t="s">
        <v>4337</v>
      </c>
      <c r="AK2357" s="45"/>
      <c r="AL2357" s="17"/>
      <c r="AM2357" s="195" t="s">
        <v>4887</v>
      </c>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39"/>
      <c r="CE2357" s="138"/>
      <c r="CF2357" s="139"/>
      <c r="CG2357" s="138"/>
      <c r="CH2357" s="139"/>
      <c r="CI2357" s="138"/>
      <c r="CJ2357" s="72"/>
      <c r="CK2357" s="139"/>
      <c r="CL2357" s="71"/>
      <c r="CM2357" s="139"/>
      <c r="CN2357" s="138"/>
      <c r="CO2357" s="138"/>
      <c r="CP2357" s="138"/>
      <c r="CQ2357" s="139"/>
      <c r="CR2357" s="138"/>
      <c r="CS2357" s="45"/>
      <c r="CT2357" s="138"/>
      <c r="CU2357" s="45"/>
      <c r="CV2357" s="99">
        <f t="shared" si="231"/>
        <v>0</v>
      </c>
      <c r="CW2357" s="139"/>
      <c r="CX2357" s="138"/>
      <c r="CY2357" s="138"/>
      <c r="CZ2357" s="138"/>
      <c r="DA2357" s="139"/>
      <c r="DB2357" s="138"/>
      <c r="DC2357" s="45"/>
      <c r="DD2357" s="138"/>
      <c r="DE2357" s="45"/>
      <c r="DF2357" s="46"/>
    </row>
    <row r="2358" spans="1:110" s="42" customFormat="1" ht="72" x14ac:dyDescent="0.2">
      <c r="A2358" s="89">
        <v>40835</v>
      </c>
      <c r="B2358" s="151" t="s">
        <v>2226</v>
      </c>
      <c r="C2358" s="90" t="s">
        <v>2947</v>
      </c>
      <c r="D2358" s="90" t="s">
        <v>4264</v>
      </c>
      <c r="E2358" s="90" t="str">
        <f>VLOOKUP(B2358&amp;C2358,Divipola!$C$2:$F$1138,4,FALSE)</f>
        <v>68406</v>
      </c>
      <c r="F2358" s="4"/>
      <c r="G2358" s="101"/>
      <c r="H2358" s="101"/>
      <c r="I2358" s="101"/>
      <c r="J2358" s="101"/>
      <c r="K2358" s="101"/>
      <c r="L2358" s="101"/>
      <c r="M2358" s="101"/>
      <c r="N2358" s="101">
        <v>1</v>
      </c>
      <c r="O2358" s="101"/>
      <c r="P2358" s="101"/>
      <c r="Q2358" s="101"/>
      <c r="R2358" s="101"/>
      <c r="S2358" s="101"/>
      <c r="T2358" s="101"/>
      <c r="U2358" s="101"/>
      <c r="V2358" s="101"/>
      <c r="W2358" s="19"/>
      <c r="X2358" s="17"/>
      <c r="Y2358" s="5">
        <f t="shared" si="226"/>
        <v>0</v>
      </c>
      <c r="Z2358" s="5">
        <f t="shared" si="227"/>
        <v>0</v>
      </c>
      <c r="AA2358" s="5">
        <f t="shared" si="228"/>
        <v>0</v>
      </c>
      <c r="AB2358" s="5">
        <f t="shared" si="229"/>
        <v>0</v>
      </c>
      <c r="AC2358" s="5"/>
      <c r="AD2358" s="5">
        <v>0</v>
      </c>
      <c r="AE2358" s="5">
        <f t="shared" si="230"/>
        <v>0</v>
      </c>
      <c r="AF2358" s="70">
        <v>0</v>
      </c>
      <c r="AG2358" s="17"/>
      <c r="AH2358" s="18"/>
      <c r="AI2358" s="47" t="s">
        <v>4346</v>
      </c>
      <c r="AJ2358" s="73" t="s">
        <v>4347</v>
      </c>
      <c r="AK2358" s="45"/>
      <c r="AL2358" s="89" t="s">
        <v>2798</v>
      </c>
      <c r="AM2358" s="121" t="s">
        <v>4795</v>
      </c>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39"/>
      <c r="CE2358" s="138"/>
      <c r="CF2358" s="139"/>
      <c r="CG2358" s="138"/>
      <c r="CH2358" s="139"/>
      <c r="CI2358" s="138"/>
      <c r="CJ2358" s="72"/>
      <c r="CK2358" s="139"/>
      <c r="CL2358" s="71"/>
      <c r="CM2358" s="139"/>
      <c r="CN2358" s="138"/>
      <c r="CO2358" s="138"/>
      <c r="CP2358" s="138"/>
      <c r="CQ2358" s="139"/>
      <c r="CR2358" s="138"/>
      <c r="CS2358" s="45"/>
      <c r="CT2358" s="138"/>
      <c r="CU2358" s="45"/>
      <c r="CV2358" s="99">
        <f t="shared" si="231"/>
        <v>0</v>
      </c>
      <c r="CW2358" s="139"/>
      <c r="CX2358" s="138"/>
      <c r="CY2358" s="138"/>
      <c r="CZ2358" s="138"/>
      <c r="DA2358" s="139"/>
      <c r="DB2358" s="138"/>
      <c r="DC2358" s="45"/>
      <c r="DD2358" s="138"/>
      <c r="DE2358" s="45"/>
      <c r="DF2358" s="46"/>
    </row>
    <row r="2359" spans="1:110" s="42" customFormat="1" ht="36" x14ac:dyDescent="0.2">
      <c r="A2359" s="89">
        <v>40836</v>
      </c>
      <c r="B2359" s="151" t="s">
        <v>2218</v>
      </c>
      <c r="C2359" s="90" t="s">
        <v>3876</v>
      </c>
      <c r="D2359" s="90" t="s">
        <v>4264</v>
      </c>
      <c r="E2359" s="90" t="str">
        <f>VLOOKUP(B2359&amp;C2359,Divipola!$C$2:$F$1138,4,FALSE)</f>
        <v>05154</v>
      </c>
      <c r="F2359" s="4"/>
      <c r="G2359" s="101"/>
      <c r="H2359" s="101"/>
      <c r="I2359" s="101"/>
      <c r="J2359" s="101">
        <v>10000</v>
      </c>
      <c r="K2359" s="101">
        <v>2000</v>
      </c>
      <c r="L2359" s="101"/>
      <c r="M2359" s="101">
        <v>2000</v>
      </c>
      <c r="N2359" s="101"/>
      <c r="O2359" s="101"/>
      <c r="P2359" s="101"/>
      <c r="Q2359" s="101"/>
      <c r="R2359" s="101"/>
      <c r="S2359" s="101"/>
      <c r="T2359" s="101"/>
      <c r="U2359" s="101"/>
      <c r="V2359" s="101"/>
      <c r="W2359" s="19"/>
      <c r="X2359" s="17"/>
      <c r="Y2359" s="5">
        <f t="shared" si="226"/>
        <v>0</v>
      </c>
      <c r="Z2359" s="5">
        <f t="shared" si="227"/>
        <v>0</v>
      </c>
      <c r="AA2359" s="5">
        <f t="shared" si="228"/>
        <v>0</v>
      </c>
      <c r="AB2359" s="5">
        <f t="shared" si="229"/>
        <v>0</v>
      </c>
      <c r="AC2359" s="5"/>
      <c r="AD2359" s="5">
        <v>0</v>
      </c>
      <c r="AE2359" s="5">
        <f t="shared" si="230"/>
        <v>0</v>
      </c>
      <c r="AF2359" s="70">
        <v>0</v>
      </c>
      <c r="AG2359" s="17"/>
      <c r="AH2359" s="18"/>
      <c r="AI2359" s="47" t="s">
        <v>4346</v>
      </c>
      <c r="AJ2359" s="73" t="s">
        <v>4347</v>
      </c>
      <c r="AK2359" s="45"/>
      <c r="AL2359" s="89" t="s">
        <v>2798</v>
      </c>
      <c r="AM2359" s="121" t="s">
        <v>4736</v>
      </c>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39"/>
      <c r="CE2359" s="138"/>
      <c r="CF2359" s="139"/>
      <c r="CG2359" s="138"/>
      <c r="CH2359" s="139"/>
      <c r="CI2359" s="138"/>
      <c r="CJ2359" s="72"/>
      <c r="CK2359" s="139"/>
      <c r="CL2359" s="71"/>
      <c r="CM2359" s="139"/>
      <c r="CN2359" s="138"/>
      <c r="CO2359" s="138"/>
      <c r="CP2359" s="138"/>
      <c r="CQ2359" s="139"/>
      <c r="CR2359" s="138"/>
      <c r="CS2359" s="45"/>
      <c r="CT2359" s="138"/>
      <c r="CU2359" s="45"/>
      <c r="CV2359" s="99">
        <f t="shared" si="231"/>
        <v>0</v>
      </c>
      <c r="CW2359" s="139"/>
      <c r="CX2359" s="138"/>
      <c r="CY2359" s="138"/>
      <c r="CZ2359" s="138"/>
      <c r="DA2359" s="139"/>
      <c r="DB2359" s="138"/>
      <c r="DC2359" s="45"/>
      <c r="DD2359" s="138"/>
      <c r="DE2359" s="45"/>
      <c r="DF2359" s="46"/>
    </row>
    <row r="2360" spans="1:110" s="42" customFormat="1" ht="36" x14ac:dyDescent="0.2">
      <c r="A2360" s="89">
        <v>40836</v>
      </c>
      <c r="B2360" s="16" t="s">
        <v>2218</v>
      </c>
      <c r="C2360" s="16" t="s">
        <v>4345</v>
      </c>
      <c r="D2360" s="90" t="s">
        <v>4264</v>
      </c>
      <c r="E2360" s="90">
        <f>VLOOKUP(B2360&amp;C2360,Divipola!$C$2:$F$1138,4,FALSE)</f>
        <v>5</v>
      </c>
      <c r="F2360" s="4"/>
      <c r="G2360" s="208"/>
      <c r="H2360" s="208"/>
      <c r="I2360" s="208"/>
      <c r="J2360" s="208"/>
      <c r="K2360" s="208"/>
      <c r="L2360" s="208"/>
      <c r="M2360" s="208"/>
      <c r="N2360" s="208"/>
      <c r="O2360" s="208"/>
      <c r="P2360" s="208"/>
      <c r="Q2360" s="208"/>
      <c r="R2360" s="208"/>
      <c r="S2360" s="208"/>
      <c r="T2360" s="208"/>
      <c r="U2360" s="208"/>
      <c r="V2360" s="208"/>
      <c r="W2360" s="19"/>
      <c r="X2360" s="17"/>
      <c r="Y2360" s="5">
        <f t="shared" si="226"/>
        <v>191696960</v>
      </c>
      <c r="Z2360" s="5">
        <f t="shared" si="227"/>
        <v>340000000</v>
      </c>
      <c r="AA2360" s="5">
        <f t="shared" si="228"/>
        <v>0</v>
      </c>
      <c r="AB2360" s="5">
        <f t="shared" si="229"/>
        <v>0</v>
      </c>
      <c r="AC2360" s="5"/>
      <c r="AD2360" s="5">
        <v>0</v>
      </c>
      <c r="AE2360" s="5">
        <f t="shared" si="230"/>
        <v>531696960</v>
      </c>
      <c r="AF2360" s="70">
        <v>0</v>
      </c>
      <c r="AG2360" s="17"/>
      <c r="AH2360" s="18"/>
      <c r="AI2360" s="47" t="s">
        <v>4346</v>
      </c>
      <c r="AJ2360" s="73" t="s">
        <v>4347</v>
      </c>
      <c r="AK2360" s="45"/>
      <c r="AL2360" s="89" t="s">
        <v>2798</v>
      </c>
      <c r="AM2360" s="20" t="s">
        <v>4830</v>
      </c>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39"/>
      <c r="CE2360" s="138"/>
      <c r="CF2360" s="139"/>
      <c r="CG2360" s="138"/>
      <c r="CH2360" s="139">
        <v>2000</v>
      </c>
      <c r="CI2360" s="138">
        <f>2000*17999.72</f>
        <v>35999440</v>
      </c>
      <c r="CJ2360" s="72">
        <v>2000</v>
      </c>
      <c r="CK2360" s="139">
        <f>2000*20999.48</f>
        <v>41998960</v>
      </c>
      <c r="CL2360" s="71"/>
      <c r="CM2360" s="139"/>
      <c r="CN2360" s="138"/>
      <c r="CO2360" s="138"/>
      <c r="CP2360" s="138">
        <v>2000</v>
      </c>
      <c r="CQ2360" s="139">
        <f>2000*36999.36</f>
        <v>73998720</v>
      </c>
      <c r="CR2360" s="138">
        <v>1000</v>
      </c>
      <c r="CS2360" s="45">
        <f>1000*39699.84</f>
        <v>39699840</v>
      </c>
      <c r="CT2360" s="138"/>
      <c r="CU2360" s="45"/>
      <c r="CV2360" s="99">
        <f t="shared" si="231"/>
        <v>191696960</v>
      </c>
      <c r="CW2360" s="139"/>
      <c r="CX2360" s="138"/>
      <c r="CY2360" s="138">
        <v>4000</v>
      </c>
      <c r="CZ2360" s="138">
        <f>4000*85000</f>
        <v>340000000</v>
      </c>
      <c r="DA2360" s="139"/>
      <c r="DB2360" s="138"/>
      <c r="DC2360" s="45"/>
      <c r="DD2360" s="138"/>
      <c r="DE2360" s="45"/>
      <c r="DF2360" s="46"/>
    </row>
    <row r="2361" spans="1:110" s="42" customFormat="1" ht="60" x14ac:dyDescent="0.2">
      <c r="A2361" s="89">
        <v>40836</v>
      </c>
      <c r="B2361" s="151" t="s">
        <v>2218</v>
      </c>
      <c r="C2361" s="90" t="s">
        <v>3983</v>
      </c>
      <c r="D2361" s="90" t="s">
        <v>4264</v>
      </c>
      <c r="E2361" s="90" t="str">
        <f>VLOOKUP(B2361&amp;C2361,Divipola!$C$2:$F$1138,4,FALSE)</f>
        <v>05495</v>
      </c>
      <c r="F2361" s="4"/>
      <c r="G2361" s="101"/>
      <c r="H2361" s="101"/>
      <c r="I2361" s="101"/>
      <c r="J2361" s="101">
        <v>5000</v>
      </c>
      <c r="K2361" s="101">
        <v>1000</v>
      </c>
      <c r="L2361" s="101"/>
      <c r="M2361" s="101">
        <v>1000</v>
      </c>
      <c r="N2361" s="101"/>
      <c r="O2361" s="101"/>
      <c r="P2361" s="101"/>
      <c r="Q2361" s="101"/>
      <c r="R2361" s="101"/>
      <c r="S2361" s="101"/>
      <c r="T2361" s="101"/>
      <c r="U2361" s="101"/>
      <c r="V2361" s="101"/>
      <c r="W2361" s="19"/>
      <c r="X2361" s="17"/>
      <c r="Y2361" s="5">
        <f t="shared" si="226"/>
        <v>0</v>
      </c>
      <c r="Z2361" s="5">
        <f t="shared" si="227"/>
        <v>0</v>
      </c>
      <c r="AA2361" s="5">
        <f t="shared" si="228"/>
        <v>0</v>
      </c>
      <c r="AB2361" s="5">
        <f t="shared" si="229"/>
        <v>0</v>
      </c>
      <c r="AC2361" s="5"/>
      <c r="AD2361" s="5">
        <v>0</v>
      </c>
      <c r="AE2361" s="5">
        <f t="shared" si="230"/>
        <v>0</v>
      </c>
      <c r="AF2361" s="70">
        <v>0</v>
      </c>
      <c r="AG2361" s="17"/>
      <c r="AH2361" s="18"/>
      <c r="AI2361" s="47" t="s">
        <v>4346</v>
      </c>
      <c r="AJ2361" s="73" t="s">
        <v>4347</v>
      </c>
      <c r="AK2361" s="45"/>
      <c r="AL2361" s="89" t="s">
        <v>2798</v>
      </c>
      <c r="AM2361" s="121" t="s">
        <v>4737</v>
      </c>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39"/>
      <c r="CE2361" s="138"/>
      <c r="CF2361" s="139"/>
      <c r="CG2361" s="138"/>
      <c r="CH2361" s="139"/>
      <c r="CI2361" s="138"/>
      <c r="CJ2361" s="72"/>
      <c r="CK2361" s="139"/>
      <c r="CL2361" s="71"/>
      <c r="CM2361" s="139"/>
      <c r="CN2361" s="138"/>
      <c r="CO2361" s="138"/>
      <c r="CP2361" s="138"/>
      <c r="CQ2361" s="139"/>
      <c r="CR2361" s="138"/>
      <c r="CS2361" s="45"/>
      <c r="CT2361" s="138"/>
      <c r="CU2361" s="45"/>
      <c r="CV2361" s="99">
        <f t="shared" si="231"/>
        <v>0</v>
      </c>
      <c r="CW2361" s="139"/>
      <c r="CX2361" s="138"/>
      <c r="CY2361" s="138"/>
      <c r="CZ2361" s="138"/>
      <c r="DA2361" s="139"/>
      <c r="DB2361" s="138"/>
      <c r="DC2361" s="45"/>
      <c r="DD2361" s="138"/>
      <c r="DE2361" s="45"/>
      <c r="DF2361" s="46"/>
    </row>
    <row r="2362" spans="1:110" s="42" customFormat="1" ht="24" x14ac:dyDescent="0.2">
      <c r="A2362" s="89">
        <v>40836</v>
      </c>
      <c r="B2362" s="16" t="s">
        <v>4326</v>
      </c>
      <c r="C2362" s="16" t="s">
        <v>4324</v>
      </c>
      <c r="D2362" s="90" t="s">
        <v>4264</v>
      </c>
      <c r="E2362" s="90" t="str">
        <f>VLOOKUP(B2362&amp;C2362,Divipola!$C$2:$F$1138,4,FALSE)</f>
        <v>08137</v>
      </c>
      <c r="F2362" s="4"/>
      <c r="G2362" s="208"/>
      <c r="H2362" s="208"/>
      <c r="I2362" s="208"/>
      <c r="J2362" s="208">
        <v>1000</v>
      </c>
      <c r="K2362" s="208">
        <v>200</v>
      </c>
      <c r="L2362" s="208"/>
      <c r="M2362" s="208">
        <v>200</v>
      </c>
      <c r="N2362" s="208"/>
      <c r="O2362" s="208"/>
      <c r="P2362" s="208"/>
      <c r="Q2362" s="208"/>
      <c r="R2362" s="208"/>
      <c r="S2362" s="208"/>
      <c r="T2362" s="208"/>
      <c r="U2362" s="208"/>
      <c r="V2362" s="208"/>
      <c r="W2362" s="19"/>
      <c r="X2362" s="17"/>
      <c r="Y2362" s="5">
        <f t="shared" si="226"/>
        <v>0</v>
      </c>
      <c r="Z2362" s="5">
        <f t="shared" si="227"/>
        <v>0</v>
      </c>
      <c r="AA2362" s="5">
        <f t="shared" si="228"/>
        <v>0</v>
      </c>
      <c r="AB2362" s="5">
        <f t="shared" si="229"/>
        <v>0</v>
      </c>
      <c r="AC2362" s="5"/>
      <c r="AD2362" s="5">
        <v>0</v>
      </c>
      <c r="AE2362" s="5">
        <f t="shared" si="230"/>
        <v>0</v>
      </c>
      <c r="AF2362" s="70">
        <v>0</v>
      </c>
      <c r="AG2362" s="17"/>
      <c r="AH2362" s="18"/>
      <c r="AI2362" s="47" t="s">
        <v>4346</v>
      </c>
      <c r="AJ2362" s="73" t="s">
        <v>4347</v>
      </c>
      <c r="AK2362" s="45"/>
      <c r="AL2362" s="89" t="s">
        <v>2798</v>
      </c>
      <c r="AM2362" s="20" t="s">
        <v>4757</v>
      </c>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39"/>
      <c r="CE2362" s="138"/>
      <c r="CF2362" s="139"/>
      <c r="CG2362" s="138"/>
      <c r="CH2362" s="139"/>
      <c r="CI2362" s="138"/>
      <c r="CJ2362" s="72"/>
      <c r="CK2362" s="139"/>
      <c r="CL2362" s="71"/>
      <c r="CM2362" s="139"/>
      <c r="CN2362" s="138"/>
      <c r="CO2362" s="138"/>
      <c r="CP2362" s="138"/>
      <c r="CQ2362" s="139"/>
      <c r="CR2362" s="138"/>
      <c r="CS2362" s="45"/>
      <c r="CT2362" s="138"/>
      <c r="CU2362" s="45"/>
      <c r="CV2362" s="99">
        <f t="shared" si="231"/>
        <v>0</v>
      </c>
      <c r="CW2362" s="139"/>
      <c r="CX2362" s="138"/>
      <c r="CY2362" s="138"/>
      <c r="CZ2362" s="138"/>
      <c r="DA2362" s="139"/>
      <c r="DB2362" s="138"/>
      <c r="DC2362" s="45"/>
      <c r="DD2362" s="138"/>
      <c r="DE2362" s="45"/>
      <c r="DF2362" s="46"/>
    </row>
    <row r="2363" spans="1:110" s="42" customFormat="1" ht="60" x14ac:dyDescent="0.2">
      <c r="A2363" s="89">
        <v>40836</v>
      </c>
      <c r="B2363" s="151" t="s">
        <v>4326</v>
      </c>
      <c r="C2363" s="90" t="s">
        <v>4325</v>
      </c>
      <c r="D2363" s="90" t="s">
        <v>4264</v>
      </c>
      <c r="E2363" s="90" t="str">
        <f>VLOOKUP(B2363&amp;C2363,Divipola!$C$2:$F$1138,4,FALSE)</f>
        <v>08141</v>
      </c>
      <c r="F2363" s="4"/>
      <c r="G2363" s="101"/>
      <c r="H2363" s="101"/>
      <c r="I2363" s="101"/>
      <c r="J2363" s="101">
        <v>500</v>
      </c>
      <c r="K2363" s="101">
        <v>100</v>
      </c>
      <c r="L2363" s="101"/>
      <c r="M2363" s="101">
        <v>100</v>
      </c>
      <c r="N2363" s="101"/>
      <c r="O2363" s="101"/>
      <c r="P2363" s="101"/>
      <c r="Q2363" s="101"/>
      <c r="R2363" s="101"/>
      <c r="S2363" s="101"/>
      <c r="T2363" s="101"/>
      <c r="U2363" s="101"/>
      <c r="V2363" s="101"/>
      <c r="W2363" s="19"/>
      <c r="X2363" s="17"/>
      <c r="Y2363" s="5">
        <f t="shared" si="226"/>
        <v>0</v>
      </c>
      <c r="Z2363" s="5">
        <f t="shared" si="227"/>
        <v>0</v>
      </c>
      <c r="AA2363" s="5">
        <f t="shared" si="228"/>
        <v>0</v>
      </c>
      <c r="AB2363" s="5">
        <f t="shared" si="229"/>
        <v>0</v>
      </c>
      <c r="AC2363" s="5"/>
      <c r="AD2363" s="5">
        <v>0</v>
      </c>
      <c r="AE2363" s="5">
        <f t="shared" si="230"/>
        <v>0</v>
      </c>
      <c r="AF2363" s="70">
        <v>0</v>
      </c>
      <c r="AG2363" s="17"/>
      <c r="AH2363" s="18"/>
      <c r="AI2363" s="47" t="s">
        <v>4346</v>
      </c>
      <c r="AJ2363" s="73" t="s">
        <v>4347</v>
      </c>
      <c r="AK2363" s="45"/>
      <c r="AL2363" s="89" t="s">
        <v>2798</v>
      </c>
      <c r="AM2363" s="121" t="s">
        <v>4758</v>
      </c>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39"/>
      <c r="CE2363" s="138"/>
      <c r="CF2363" s="139"/>
      <c r="CG2363" s="138"/>
      <c r="CH2363" s="139"/>
      <c r="CI2363" s="138"/>
      <c r="CJ2363" s="72"/>
      <c r="CK2363" s="139"/>
      <c r="CL2363" s="71"/>
      <c r="CM2363" s="139"/>
      <c r="CN2363" s="138"/>
      <c r="CO2363" s="138"/>
      <c r="CP2363" s="138"/>
      <c r="CQ2363" s="139"/>
      <c r="CR2363" s="138"/>
      <c r="CS2363" s="45"/>
      <c r="CT2363" s="138"/>
      <c r="CU2363" s="45"/>
      <c r="CV2363" s="99">
        <f t="shared" si="231"/>
        <v>0</v>
      </c>
      <c r="CW2363" s="139"/>
      <c r="CX2363" s="138"/>
      <c r="CY2363" s="138"/>
      <c r="CZ2363" s="138"/>
      <c r="DA2363" s="139"/>
      <c r="DB2363" s="138"/>
      <c r="DC2363" s="45"/>
      <c r="DD2363" s="138"/>
      <c r="DE2363" s="45"/>
      <c r="DF2363" s="46"/>
    </row>
    <row r="2364" spans="1:110" s="42" customFormat="1" ht="48" x14ac:dyDescent="0.2">
      <c r="A2364" s="89">
        <v>40836</v>
      </c>
      <c r="B2364" s="151" t="s">
        <v>4326</v>
      </c>
      <c r="C2364" s="90" t="s">
        <v>2424</v>
      </c>
      <c r="D2364" s="90" t="s">
        <v>4264</v>
      </c>
      <c r="E2364" s="90" t="str">
        <f>VLOOKUP(B2364&amp;C2364,Divipola!$C$2:$F$1138,4,FALSE)</f>
        <v>08372</v>
      </c>
      <c r="F2364" s="4"/>
      <c r="G2364" s="101"/>
      <c r="H2364" s="101"/>
      <c r="I2364" s="101"/>
      <c r="J2364" s="101">
        <v>300</v>
      </c>
      <c r="K2364" s="101">
        <v>60</v>
      </c>
      <c r="L2364" s="101"/>
      <c r="M2364" s="101">
        <v>60</v>
      </c>
      <c r="N2364" s="101"/>
      <c r="O2364" s="101">
        <v>1</v>
      </c>
      <c r="P2364" s="101"/>
      <c r="Q2364" s="101"/>
      <c r="R2364" s="101"/>
      <c r="S2364" s="101"/>
      <c r="T2364" s="101"/>
      <c r="U2364" s="101"/>
      <c r="V2364" s="101"/>
      <c r="W2364" s="19"/>
      <c r="X2364" s="17"/>
      <c r="Y2364" s="5">
        <f t="shared" si="226"/>
        <v>0</v>
      </c>
      <c r="Z2364" s="5">
        <f t="shared" si="227"/>
        <v>0</v>
      </c>
      <c r="AA2364" s="5">
        <f t="shared" si="228"/>
        <v>0</v>
      </c>
      <c r="AB2364" s="5">
        <f t="shared" si="229"/>
        <v>0</v>
      </c>
      <c r="AC2364" s="5"/>
      <c r="AD2364" s="5">
        <v>0</v>
      </c>
      <c r="AE2364" s="5">
        <f t="shared" si="230"/>
        <v>0</v>
      </c>
      <c r="AF2364" s="70">
        <v>0</v>
      </c>
      <c r="AG2364" s="17"/>
      <c r="AH2364" s="18"/>
      <c r="AI2364" s="47" t="s">
        <v>4346</v>
      </c>
      <c r="AJ2364" s="73" t="s">
        <v>4347</v>
      </c>
      <c r="AK2364" s="45"/>
      <c r="AL2364" s="89" t="s">
        <v>2798</v>
      </c>
      <c r="AM2364" s="121" t="s">
        <v>4751</v>
      </c>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39"/>
      <c r="CE2364" s="138"/>
      <c r="CF2364" s="139"/>
      <c r="CG2364" s="138"/>
      <c r="CH2364" s="139"/>
      <c r="CI2364" s="138"/>
      <c r="CJ2364" s="72"/>
      <c r="CK2364" s="139"/>
      <c r="CL2364" s="71"/>
      <c r="CM2364" s="139"/>
      <c r="CN2364" s="138"/>
      <c r="CO2364" s="138"/>
      <c r="CP2364" s="138"/>
      <c r="CQ2364" s="139"/>
      <c r="CR2364" s="138"/>
      <c r="CS2364" s="45"/>
      <c r="CT2364" s="138"/>
      <c r="CU2364" s="45"/>
      <c r="CV2364" s="99">
        <f t="shared" si="231"/>
        <v>0</v>
      </c>
      <c r="CW2364" s="139"/>
      <c r="CX2364" s="138"/>
      <c r="CY2364" s="138"/>
      <c r="CZ2364" s="138"/>
      <c r="DA2364" s="139"/>
      <c r="DB2364" s="138"/>
      <c r="DC2364" s="45"/>
      <c r="DD2364" s="138"/>
      <c r="DE2364" s="45"/>
      <c r="DF2364" s="46"/>
    </row>
    <row r="2365" spans="1:110" s="42" customFormat="1" ht="60" x14ac:dyDescent="0.2">
      <c r="A2365" s="89">
        <v>40836</v>
      </c>
      <c r="B2365" s="151" t="s">
        <v>4326</v>
      </c>
      <c r="C2365" s="90" t="s">
        <v>2430</v>
      </c>
      <c r="D2365" s="90" t="s">
        <v>4264</v>
      </c>
      <c r="E2365" s="90" t="str">
        <f>VLOOKUP(B2365&amp;C2365,Divipola!$C$2:$F$1138,4,FALSE)</f>
        <v>08433</v>
      </c>
      <c r="F2365" s="4"/>
      <c r="G2365" s="101"/>
      <c r="H2365" s="101"/>
      <c r="I2365" s="101"/>
      <c r="J2365" s="101">
        <v>750</v>
      </c>
      <c r="K2365" s="101">
        <v>150</v>
      </c>
      <c r="L2365" s="101"/>
      <c r="M2365" s="101">
        <v>150</v>
      </c>
      <c r="N2365" s="101"/>
      <c r="O2365" s="101"/>
      <c r="P2365" s="101"/>
      <c r="Q2365" s="101"/>
      <c r="R2365" s="101"/>
      <c r="S2365" s="101"/>
      <c r="T2365" s="101"/>
      <c r="U2365" s="101"/>
      <c r="V2365" s="101"/>
      <c r="W2365" s="19"/>
      <c r="X2365" s="17"/>
      <c r="Y2365" s="5">
        <f t="shared" si="226"/>
        <v>0</v>
      </c>
      <c r="Z2365" s="5">
        <f t="shared" si="227"/>
        <v>0</v>
      </c>
      <c r="AA2365" s="5">
        <f t="shared" si="228"/>
        <v>0</v>
      </c>
      <c r="AB2365" s="5">
        <f t="shared" si="229"/>
        <v>0</v>
      </c>
      <c r="AC2365" s="5"/>
      <c r="AD2365" s="5">
        <v>0</v>
      </c>
      <c r="AE2365" s="5">
        <f t="shared" si="230"/>
        <v>0</v>
      </c>
      <c r="AF2365" s="70">
        <v>0</v>
      </c>
      <c r="AG2365" s="17"/>
      <c r="AH2365" s="18"/>
      <c r="AI2365" s="47" t="s">
        <v>4346</v>
      </c>
      <c r="AJ2365" s="73" t="s">
        <v>4347</v>
      </c>
      <c r="AK2365" s="45"/>
      <c r="AL2365" s="89" t="s">
        <v>2798</v>
      </c>
      <c r="AM2365" s="121" t="s">
        <v>4746</v>
      </c>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39"/>
      <c r="CE2365" s="138"/>
      <c r="CF2365" s="139"/>
      <c r="CG2365" s="138"/>
      <c r="CH2365" s="139"/>
      <c r="CI2365" s="138"/>
      <c r="CJ2365" s="72"/>
      <c r="CK2365" s="139"/>
      <c r="CL2365" s="71"/>
      <c r="CM2365" s="139"/>
      <c r="CN2365" s="138"/>
      <c r="CO2365" s="138"/>
      <c r="CP2365" s="138"/>
      <c r="CQ2365" s="139"/>
      <c r="CR2365" s="138"/>
      <c r="CS2365" s="45"/>
      <c r="CT2365" s="138"/>
      <c r="CU2365" s="45"/>
      <c r="CV2365" s="99">
        <f t="shared" si="231"/>
        <v>0</v>
      </c>
      <c r="CW2365" s="139"/>
      <c r="CX2365" s="138"/>
      <c r="CY2365" s="138"/>
      <c r="CZ2365" s="138"/>
      <c r="DA2365" s="139"/>
      <c r="DB2365" s="138"/>
      <c r="DC2365" s="45"/>
      <c r="DD2365" s="138"/>
      <c r="DE2365" s="45"/>
      <c r="DF2365" s="46"/>
    </row>
    <row r="2366" spans="1:110" s="42" customFormat="1" ht="48" x14ac:dyDescent="0.2">
      <c r="A2366" s="89">
        <v>40836</v>
      </c>
      <c r="B2366" s="151" t="s">
        <v>4326</v>
      </c>
      <c r="C2366" s="90" t="s">
        <v>2229</v>
      </c>
      <c r="D2366" s="90" t="s">
        <v>4264</v>
      </c>
      <c r="E2366" s="90" t="str">
        <f>VLOOKUP(B2366&amp;C2366,Divipola!$C$2:$F$1138,4,FALSE)</f>
        <v>08549</v>
      </c>
      <c r="F2366" s="4"/>
      <c r="G2366" s="101"/>
      <c r="H2366" s="101"/>
      <c r="I2366" s="101"/>
      <c r="J2366" s="101">
        <v>500</v>
      </c>
      <c r="K2366" s="101">
        <v>100</v>
      </c>
      <c r="L2366" s="101"/>
      <c r="M2366" s="101">
        <v>100</v>
      </c>
      <c r="N2366" s="101"/>
      <c r="O2366" s="101"/>
      <c r="P2366" s="101"/>
      <c r="Q2366" s="101"/>
      <c r="R2366" s="101"/>
      <c r="S2366" s="101"/>
      <c r="T2366" s="101"/>
      <c r="U2366" s="101"/>
      <c r="V2366" s="101"/>
      <c r="W2366" s="19"/>
      <c r="X2366" s="17"/>
      <c r="Y2366" s="5">
        <f t="shared" si="226"/>
        <v>0</v>
      </c>
      <c r="Z2366" s="5">
        <f t="shared" si="227"/>
        <v>0</v>
      </c>
      <c r="AA2366" s="5">
        <f t="shared" si="228"/>
        <v>0</v>
      </c>
      <c r="AB2366" s="5">
        <f t="shared" si="229"/>
        <v>0</v>
      </c>
      <c r="AC2366" s="5"/>
      <c r="AD2366" s="5">
        <v>0</v>
      </c>
      <c r="AE2366" s="5">
        <f t="shared" si="230"/>
        <v>0</v>
      </c>
      <c r="AF2366" s="70">
        <v>0</v>
      </c>
      <c r="AG2366" s="17"/>
      <c r="AH2366" s="18"/>
      <c r="AI2366" s="47" t="s">
        <v>4346</v>
      </c>
      <c r="AJ2366" s="73" t="s">
        <v>4347</v>
      </c>
      <c r="AK2366" s="45"/>
      <c r="AL2366" s="89" t="s">
        <v>2798</v>
      </c>
      <c r="AM2366" s="121" t="s">
        <v>4750</v>
      </c>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39"/>
      <c r="CE2366" s="138"/>
      <c r="CF2366" s="139"/>
      <c r="CG2366" s="138"/>
      <c r="CH2366" s="139"/>
      <c r="CI2366" s="138"/>
      <c r="CJ2366" s="72"/>
      <c r="CK2366" s="139"/>
      <c r="CL2366" s="71"/>
      <c r="CM2366" s="139"/>
      <c r="CN2366" s="138"/>
      <c r="CO2366" s="138"/>
      <c r="CP2366" s="138"/>
      <c r="CQ2366" s="139"/>
      <c r="CR2366" s="138"/>
      <c r="CS2366" s="45"/>
      <c r="CT2366" s="138"/>
      <c r="CU2366" s="45"/>
      <c r="CV2366" s="99">
        <f t="shared" si="231"/>
        <v>0</v>
      </c>
      <c r="CW2366" s="139"/>
      <c r="CX2366" s="138"/>
      <c r="CY2366" s="138"/>
      <c r="CZ2366" s="138"/>
      <c r="DA2366" s="139"/>
      <c r="DB2366" s="138"/>
      <c r="DC2366" s="45"/>
      <c r="DD2366" s="138"/>
      <c r="DE2366" s="45"/>
      <c r="DF2366" s="46"/>
    </row>
    <row r="2367" spans="1:110" s="42" customFormat="1" ht="48" x14ac:dyDescent="0.2">
      <c r="A2367" s="89">
        <v>40836</v>
      </c>
      <c r="B2367" s="151" t="s">
        <v>4326</v>
      </c>
      <c r="C2367" s="90" t="s">
        <v>2444</v>
      </c>
      <c r="D2367" s="90" t="s">
        <v>4264</v>
      </c>
      <c r="E2367" s="90" t="str">
        <f>VLOOKUP(B2367&amp;C2367,Divipola!$C$2:$F$1138,4,FALSE)</f>
        <v>08560</v>
      </c>
      <c r="F2367" s="4"/>
      <c r="G2367" s="101"/>
      <c r="H2367" s="101"/>
      <c r="I2367" s="101"/>
      <c r="J2367" s="101">
        <v>1000</v>
      </c>
      <c r="K2367" s="101">
        <v>200</v>
      </c>
      <c r="L2367" s="101"/>
      <c r="M2367" s="101">
        <v>200</v>
      </c>
      <c r="N2367" s="101"/>
      <c r="O2367" s="101"/>
      <c r="P2367" s="101"/>
      <c r="Q2367" s="101"/>
      <c r="R2367" s="101"/>
      <c r="S2367" s="101"/>
      <c r="T2367" s="101"/>
      <c r="U2367" s="101"/>
      <c r="V2367" s="101"/>
      <c r="W2367" s="19"/>
      <c r="X2367" s="17"/>
      <c r="Y2367" s="5">
        <f t="shared" si="226"/>
        <v>0</v>
      </c>
      <c r="Z2367" s="5">
        <f t="shared" si="227"/>
        <v>0</v>
      </c>
      <c r="AA2367" s="5">
        <f t="shared" si="228"/>
        <v>0</v>
      </c>
      <c r="AB2367" s="5">
        <f t="shared" si="229"/>
        <v>0</v>
      </c>
      <c r="AC2367" s="5"/>
      <c r="AD2367" s="5">
        <v>0</v>
      </c>
      <c r="AE2367" s="5">
        <f t="shared" si="230"/>
        <v>0</v>
      </c>
      <c r="AF2367" s="70">
        <v>0</v>
      </c>
      <c r="AG2367" s="17"/>
      <c r="AH2367" s="18"/>
      <c r="AI2367" s="47" t="s">
        <v>4346</v>
      </c>
      <c r="AJ2367" s="73" t="s">
        <v>4347</v>
      </c>
      <c r="AK2367" s="45"/>
      <c r="AL2367" s="89" t="s">
        <v>2798</v>
      </c>
      <c r="AM2367" s="121" t="s">
        <v>4748</v>
      </c>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39"/>
      <c r="CE2367" s="138"/>
      <c r="CF2367" s="139"/>
      <c r="CG2367" s="138"/>
      <c r="CH2367" s="139"/>
      <c r="CI2367" s="138"/>
      <c r="CJ2367" s="72"/>
      <c r="CK2367" s="139"/>
      <c r="CL2367" s="71"/>
      <c r="CM2367" s="139"/>
      <c r="CN2367" s="138"/>
      <c r="CO2367" s="138"/>
      <c r="CP2367" s="138"/>
      <c r="CQ2367" s="139"/>
      <c r="CR2367" s="138"/>
      <c r="CS2367" s="45"/>
      <c r="CT2367" s="138"/>
      <c r="CU2367" s="45"/>
      <c r="CV2367" s="99">
        <f t="shared" si="231"/>
        <v>0</v>
      </c>
      <c r="CW2367" s="139"/>
      <c r="CX2367" s="138"/>
      <c r="CY2367" s="138"/>
      <c r="CZ2367" s="138"/>
      <c r="DA2367" s="139"/>
      <c r="DB2367" s="138"/>
      <c r="DC2367" s="45"/>
      <c r="DD2367" s="138"/>
      <c r="DE2367" s="45"/>
      <c r="DF2367" s="46"/>
    </row>
    <row r="2368" spans="1:110" s="42" customFormat="1" ht="36" x14ac:dyDescent="0.2">
      <c r="A2368" s="89">
        <v>40836</v>
      </c>
      <c r="B2368" s="151" t="s">
        <v>4326</v>
      </c>
      <c r="C2368" s="90" t="s">
        <v>2447</v>
      </c>
      <c r="D2368" s="90" t="s">
        <v>4264</v>
      </c>
      <c r="E2368" s="90" t="str">
        <f>VLOOKUP(B2368&amp;C2368,Divipola!$C$2:$F$1138,4,FALSE)</f>
        <v>08573</v>
      </c>
      <c r="F2368" s="4"/>
      <c r="G2368" s="101"/>
      <c r="H2368" s="101"/>
      <c r="I2368" s="101"/>
      <c r="J2368" s="101">
        <v>1500</v>
      </c>
      <c r="K2368" s="101">
        <v>300</v>
      </c>
      <c r="L2368" s="101"/>
      <c r="M2368" s="101">
        <v>300</v>
      </c>
      <c r="N2368" s="101"/>
      <c r="O2368" s="101"/>
      <c r="P2368" s="101"/>
      <c r="Q2368" s="101"/>
      <c r="R2368" s="101"/>
      <c r="S2368" s="101"/>
      <c r="T2368" s="101"/>
      <c r="U2368" s="101"/>
      <c r="V2368" s="101"/>
      <c r="W2368" s="19"/>
      <c r="X2368" s="17"/>
      <c r="Y2368" s="5">
        <f t="shared" si="226"/>
        <v>0</v>
      </c>
      <c r="Z2368" s="5">
        <f t="shared" si="227"/>
        <v>0</v>
      </c>
      <c r="AA2368" s="5">
        <f t="shared" si="228"/>
        <v>0</v>
      </c>
      <c r="AB2368" s="5">
        <f t="shared" si="229"/>
        <v>0</v>
      </c>
      <c r="AC2368" s="5"/>
      <c r="AD2368" s="5">
        <v>0</v>
      </c>
      <c r="AE2368" s="5">
        <f t="shared" si="230"/>
        <v>0</v>
      </c>
      <c r="AF2368" s="70">
        <v>0</v>
      </c>
      <c r="AG2368" s="17"/>
      <c r="AH2368" s="18"/>
      <c r="AI2368" s="47" t="s">
        <v>4346</v>
      </c>
      <c r="AJ2368" s="73" t="s">
        <v>4347</v>
      </c>
      <c r="AK2368" s="45"/>
      <c r="AL2368" s="89" t="s">
        <v>2798</v>
      </c>
      <c r="AM2368" s="121" t="s">
        <v>4749</v>
      </c>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39"/>
      <c r="CE2368" s="138"/>
      <c r="CF2368" s="139"/>
      <c r="CG2368" s="138"/>
      <c r="CH2368" s="139"/>
      <c r="CI2368" s="138"/>
      <c r="CJ2368" s="72"/>
      <c r="CK2368" s="139"/>
      <c r="CL2368" s="71"/>
      <c r="CM2368" s="139"/>
      <c r="CN2368" s="138"/>
      <c r="CO2368" s="138"/>
      <c r="CP2368" s="138"/>
      <c r="CQ2368" s="139"/>
      <c r="CR2368" s="138"/>
      <c r="CS2368" s="45"/>
      <c r="CT2368" s="138"/>
      <c r="CU2368" s="45"/>
      <c r="CV2368" s="99">
        <f t="shared" si="231"/>
        <v>0</v>
      </c>
      <c r="CW2368" s="139"/>
      <c r="CX2368" s="138"/>
      <c r="CY2368" s="138"/>
      <c r="CZ2368" s="138"/>
      <c r="DA2368" s="139"/>
      <c r="DB2368" s="138"/>
      <c r="DC2368" s="45"/>
      <c r="DD2368" s="138"/>
      <c r="DE2368" s="45"/>
      <c r="DF2368" s="46"/>
    </row>
    <row r="2369" spans="1:110" s="42" customFormat="1" ht="36" x14ac:dyDescent="0.2">
      <c r="A2369" s="89">
        <v>40836</v>
      </c>
      <c r="B2369" s="151" t="s">
        <v>4326</v>
      </c>
      <c r="C2369" s="90" t="s">
        <v>844</v>
      </c>
      <c r="D2369" s="90" t="s">
        <v>4264</v>
      </c>
      <c r="E2369" s="90" t="str">
        <f>VLOOKUP(B2369&amp;C2369,Divipola!$C$2:$F$1138,4,FALSE)</f>
        <v>08606</v>
      </c>
      <c r="F2369" s="4"/>
      <c r="G2369" s="194"/>
      <c r="H2369" s="194"/>
      <c r="I2369" s="194"/>
      <c r="J2369" s="194">
        <v>1500</v>
      </c>
      <c r="K2369" s="194">
        <v>300</v>
      </c>
      <c r="L2369" s="194"/>
      <c r="M2369" s="194">
        <v>300</v>
      </c>
      <c r="N2369" s="194"/>
      <c r="O2369" s="194"/>
      <c r="P2369" s="194"/>
      <c r="Q2369" s="194"/>
      <c r="R2369" s="194"/>
      <c r="S2369" s="194"/>
      <c r="T2369" s="194"/>
      <c r="U2369" s="194"/>
      <c r="V2369" s="194"/>
      <c r="W2369" s="19"/>
      <c r="X2369" s="17"/>
      <c r="Y2369" s="5">
        <f t="shared" si="226"/>
        <v>0</v>
      </c>
      <c r="Z2369" s="5">
        <f t="shared" si="227"/>
        <v>0</v>
      </c>
      <c r="AA2369" s="5">
        <f t="shared" si="228"/>
        <v>0</v>
      </c>
      <c r="AB2369" s="5">
        <f t="shared" si="229"/>
        <v>0</v>
      </c>
      <c r="AC2369" s="5"/>
      <c r="AD2369" s="5">
        <v>0</v>
      </c>
      <c r="AE2369" s="5">
        <f t="shared" si="230"/>
        <v>0</v>
      </c>
      <c r="AF2369" s="70">
        <v>0</v>
      </c>
      <c r="AG2369" s="17"/>
      <c r="AH2369" s="18"/>
      <c r="AI2369" s="47" t="s">
        <v>4346</v>
      </c>
      <c r="AJ2369" s="73" t="s">
        <v>4347</v>
      </c>
      <c r="AK2369" s="45"/>
      <c r="AL2369" s="89" t="s">
        <v>2798</v>
      </c>
      <c r="AM2369" s="195" t="s">
        <v>4765</v>
      </c>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39"/>
      <c r="CE2369" s="138"/>
      <c r="CF2369" s="139"/>
      <c r="CG2369" s="138"/>
      <c r="CH2369" s="139"/>
      <c r="CI2369" s="138"/>
      <c r="CJ2369" s="72"/>
      <c r="CK2369" s="139"/>
      <c r="CL2369" s="71"/>
      <c r="CM2369" s="139"/>
      <c r="CN2369" s="138"/>
      <c r="CO2369" s="138"/>
      <c r="CP2369" s="138"/>
      <c r="CQ2369" s="139"/>
      <c r="CR2369" s="138"/>
      <c r="CS2369" s="45"/>
      <c r="CT2369" s="138"/>
      <c r="CU2369" s="45"/>
      <c r="CV2369" s="99">
        <f t="shared" si="231"/>
        <v>0</v>
      </c>
      <c r="CW2369" s="139"/>
      <c r="CX2369" s="138"/>
      <c r="CY2369" s="138"/>
      <c r="CZ2369" s="138"/>
      <c r="DA2369" s="139"/>
      <c r="DB2369" s="138"/>
      <c r="DC2369" s="45"/>
      <c r="DD2369" s="138"/>
      <c r="DE2369" s="45"/>
      <c r="DF2369" s="46"/>
    </row>
    <row r="2370" spans="1:110" s="42" customFormat="1" ht="48" x14ac:dyDescent="0.2">
      <c r="A2370" s="89">
        <v>40836</v>
      </c>
      <c r="B2370" s="151" t="s">
        <v>4326</v>
      </c>
      <c r="C2370" s="203" t="s">
        <v>2451</v>
      </c>
      <c r="D2370" s="90" t="s">
        <v>4264</v>
      </c>
      <c r="E2370" s="90" t="str">
        <f>VLOOKUP(B2370&amp;C2370,Divipola!$C$2:$F$1138,4,FALSE)</f>
        <v>08634</v>
      </c>
      <c r="F2370" s="4"/>
      <c r="G2370" s="204"/>
      <c r="H2370" s="204"/>
      <c r="I2370" s="204"/>
      <c r="J2370" s="204">
        <v>1240</v>
      </c>
      <c r="K2370" s="204">
        <v>248</v>
      </c>
      <c r="L2370" s="204"/>
      <c r="M2370" s="204">
        <v>248</v>
      </c>
      <c r="N2370" s="204"/>
      <c r="O2370" s="204"/>
      <c r="P2370" s="204"/>
      <c r="Q2370" s="204"/>
      <c r="R2370" s="204"/>
      <c r="S2370" s="204"/>
      <c r="T2370" s="204"/>
      <c r="U2370" s="204"/>
      <c r="V2370" s="204"/>
      <c r="W2370" s="19"/>
      <c r="X2370" s="17"/>
      <c r="Y2370" s="5">
        <f t="shared" ref="Y2370:Y2433" si="232">CV2370</f>
        <v>0</v>
      </c>
      <c r="Z2370" s="5">
        <f t="shared" ref="Z2370:Z2433" si="233">CZ2370</f>
        <v>0</v>
      </c>
      <c r="AA2370" s="5">
        <f t="shared" ref="AA2370:AA2433" si="234">DB2370+DD2370</f>
        <v>0</v>
      </c>
      <c r="AB2370" s="5">
        <f t="shared" ref="AB2370:AB2433" si="235">CX2370</f>
        <v>0</v>
      </c>
      <c r="AC2370" s="5"/>
      <c r="AD2370" s="5">
        <v>0</v>
      </c>
      <c r="AE2370" s="5">
        <f t="shared" ref="AE2370:AE2433" si="236">Y2370+Z2370+AA2370+AB2370+AC2370+AD2370</f>
        <v>0</v>
      </c>
      <c r="AF2370" s="70">
        <v>0</v>
      </c>
      <c r="AG2370" s="17"/>
      <c r="AH2370" s="18"/>
      <c r="AI2370" s="47" t="s">
        <v>4346</v>
      </c>
      <c r="AJ2370" s="73" t="s">
        <v>4347</v>
      </c>
      <c r="AK2370" s="45"/>
      <c r="AL2370" s="89" t="s">
        <v>2798</v>
      </c>
      <c r="AM2370" s="121" t="s">
        <v>4747</v>
      </c>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39"/>
      <c r="CE2370" s="138"/>
      <c r="CF2370" s="139"/>
      <c r="CG2370" s="138"/>
      <c r="CH2370" s="139"/>
      <c r="CI2370" s="138"/>
      <c r="CJ2370" s="72"/>
      <c r="CK2370" s="139"/>
      <c r="CL2370" s="71"/>
      <c r="CM2370" s="139"/>
      <c r="CN2370" s="138"/>
      <c r="CO2370" s="138"/>
      <c r="CP2370" s="138"/>
      <c r="CQ2370" s="139"/>
      <c r="CR2370" s="138"/>
      <c r="CS2370" s="45"/>
      <c r="CT2370" s="138"/>
      <c r="CU2370" s="45"/>
      <c r="CV2370" s="99">
        <f t="shared" si="231"/>
        <v>0</v>
      </c>
      <c r="CW2370" s="139"/>
      <c r="CX2370" s="138"/>
      <c r="CY2370" s="138"/>
      <c r="CZ2370" s="138"/>
      <c r="DA2370" s="139"/>
      <c r="DB2370" s="138"/>
      <c r="DC2370" s="45"/>
      <c r="DD2370" s="138"/>
      <c r="DE2370" s="45"/>
      <c r="DF2370" s="46"/>
    </row>
    <row r="2371" spans="1:110" s="42" customFormat="1" x14ac:dyDescent="0.2">
      <c r="A2371" s="89">
        <v>40836</v>
      </c>
      <c r="B2371" s="16" t="s">
        <v>4326</v>
      </c>
      <c r="C2371" s="16" t="s">
        <v>2467</v>
      </c>
      <c r="D2371" s="90" t="s">
        <v>2362</v>
      </c>
      <c r="E2371" s="90" t="str">
        <f>VLOOKUP(B2371&amp;C2371,Divipola!$C$2:$F$1138,4,FALSE)</f>
        <v>08832</v>
      </c>
      <c r="F2371" s="4"/>
      <c r="G2371" s="208"/>
      <c r="H2371" s="208"/>
      <c r="I2371" s="208"/>
      <c r="J2371" s="208">
        <f>60*5</f>
        <v>300</v>
      </c>
      <c r="K2371" s="208">
        <v>60</v>
      </c>
      <c r="L2371" s="208"/>
      <c r="M2371" s="208">
        <v>60</v>
      </c>
      <c r="N2371" s="208"/>
      <c r="O2371" s="208"/>
      <c r="P2371" s="208"/>
      <c r="Q2371" s="208"/>
      <c r="R2371" s="208"/>
      <c r="S2371" s="208"/>
      <c r="T2371" s="208"/>
      <c r="U2371" s="208"/>
      <c r="V2371" s="208"/>
      <c r="W2371" s="19"/>
      <c r="X2371" s="17"/>
      <c r="Y2371" s="5">
        <f t="shared" si="232"/>
        <v>0</v>
      </c>
      <c r="Z2371" s="5">
        <f t="shared" si="233"/>
        <v>0</v>
      </c>
      <c r="AA2371" s="5">
        <f t="shared" si="234"/>
        <v>0</v>
      </c>
      <c r="AB2371" s="5">
        <f t="shared" si="235"/>
        <v>0</v>
      </c>
      <c r="AC2371" s="5"/>
      <c r="AD2371" s="5">
        <v>0</v>
      </c>
      <c r="AE2371" s="5">
        <f t="shared" si="236"/>
        <v>0</v>
      </c>
      <c r="AF2371" s="70">
        <v>0</v>
      </c>
      <c r="AG2371" s="17"/>
      <c r="AH2371" s="18"/>
      <c r="AI2371" s="47" t="s">
        <v>4346</v>
      </c>
      <c r="AJ2371" s="73" t="s">
        <v>4347</v>
      </c>
      <c r="AK2371" s="45"/>
      <c r="AL2371" s="89" t="s">
        <v>2798</v>
      </c>
      <c r="AM2371" s="20" t="s">
        <v>4759</v>
      </c>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39"/>
      <c r="CE2371" s="138"/>
      <c r="CF2371" s="139"/>
      <c r="CG2371" s="138"/>
      <c r="CH2371" s="139"/>
      <c r="CI2371" s="138"/>
      <c r="CJ2371" s="72"/>
      <c r="CK2371" s="139"/>
      <c r="CL2371" s="71"/>
      <c r="CM2371" s="139"/>
      <c r="CN2371" s="138"/>
      <c r="CO2371" s="138"/>
      <c r="CP2371" s="138"/>
      <c r="CQ2371" s="139"/>
      <c r="CR2371" s="138"/>
      <c r="CS2371" s="45"/>
      <c r="CT2371" s="138"/>
      <c r="CU2371" s="45"/>
      <c r="CV2371" s="99">
        <f t="shared" ref="CV2371:CV2434" si="237">AO2371+AQ2371+AS2371+AU2371+AW2371+AY2371+BA2371+BC2371+BE2371+BG2371+BI2371+BK2371+BM2371+BO2371+BQ2371+BS2371+BU2371+BW2371+BY2371+CA2371+CC2371+CE2371+CG2371+CI2371+CK2371+CM2371+CO2371+CQ2371+CS2371+CU2371</f>
        <v>0</v>
      </c>
      <c r="CW2371" s="139"/>
      <c r="CX2371" s="138"/>
      <c r="CY2371" s="138"/>
      <c r="CZ2371" s="138"/>
      <c r="DA2371" s="139"/>
      <c r="DB2371" s="138"/>
      <c r="DC2371" s="45"/>
      <c r="DD2371" s="138"/>
      <c r="DE2371" s="45"/>
      <c r="DF2371" s="46"/>
    </row>
    <row r="2372" spans="1:110" s="42" customFormat="1" ht="72" x14ac:dyDescent="0.2">
      <c r="A2372" s="89">
        <v>40836</v>
      </c>
      <c r="B2372" s="151" t="s">
        <v>4261</v>
      </c>
      <c r="C2372" s="90" t="s">
        <v>3379</v>
      </c>
      <c r="D2372" s="90" t="s">
        <v>4264</v>
      </c>
      <c r="E2372" s="90" t="str">
        <f>VLOOKUP(B2372&amp;C2372,Divipola!$C$2:$F$1138,4,FALSE)</f>
        <v>15804</v>
      </c>
      <c r="F2372" s="4"/>
      <c r="G2372" s="101"/>
      <c r="H2372" s="101"/>
      <c r="I2372" s="101"/>
      <c r="J2372" s="101">
        <v>30</v>
      </c>
      <c r="K2372" s="101">
        <v>6</v>
      </c>
      <c r="L2372" s="101"/>
      <c r="M2372" s="101">
        <v>3</v>
      </c>
      <c r="N2372" s="101"/>
      <c r="O2372" s="101"/>
      <c r="P2372" s="101"/>
      <c r="Q2372" s="101"/>
      <c r="R2372" s="101"/>
      <c r="S2372" s="101"/>
      <c r="T2372" s="101"/>
      <c r="U2372" s="101"/>
      <c r="V2372" s="101"/>
      <c r="W2372" s="19"/>
      <c r="X2372" s="17"/>
      <c r="Y2372" s="5">
        <f t="shared" si="232"/>
        <v>0</v>
      </c>
      <c r="Z2372" s="5">
        <f t="shared" si="233"/>
        <v>0</v>
      </c>
      <c r="AA2372" s="5">
        <f t="shared" si="234"/>
        <v>0</v>
      </c>
      <c r="AB2372" s="5">
        <f t="shared" si="235"/>
        <v>0</v>
      </c>
      <c r="AC2372" s="5"/>
      <c r="AD2372" s="5">
        <v>0</v>
      </c>
      <c r="AE2372" s="5">
        <f t="shared" si="236"/>
        <v>0</v>
      </c>
      <c r="AF2372" s="70">
        <v>0</v>
      </c>
      <c r="AG2372" s="17"/>
      <c r="AH2372" s="18"/>
      <c r="AI2372" s="47" t="s">
        <v>4346</v>
      </c>
      <c r="AJ2372" s="73" t="s">
        <v>4347</v>
      </c>
      <c r="AK2372" s="45"/>
      <c r="AL2372" s="89" t="s">
        <v>2798</v>
      </c>
      <c r="AM2372" s="121" t="s">
        <v>4851</v>
      </c>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39"/>
      <c r="CE2372" s="138"/>
      <c r="CF2372" s="139"/>
      <c r="CG2372" s="138"/>
      <c r="CH2372" s="139"/>
      <c r="CI2372" s="138"/>
      <c r="CJ2372" s="72"/>
      <c r="CK2372" s="139"/>
      <c r="CL2372" s="71"/>
      <c r="CM2372" s="139"/>
      <c r="CN2372" s="138"/>
      <c r="CO2372" s="138"/>
      <c r="CP2372" s="138"/>
      <c r="CQ2372" s="139"/>
      <c r="CR2372" s="138"/>
      <c r="CS2372" s="45"/>
      <c r="CT2372" s="138"/>
      <c r="CU2372" s="45"/>
      <c r="CV2372" s="99">
        <f t="shared" si="237"/>
        <v>0</v>
      </c>
      <c r="CW2372" s="139"/>
      <c r="CX2372" s="138"/>
      <c r="CY2372" s="138"/>
      <c r="CZ2372" s="138"/>
      <c r="DA2372" s="139"/>
      <c r="DB2372" s="138"/>
      <c r="DC2372" s="45"/>
      <c r="DD2372" s="138"/>
      <c r="DE2372" s="45"/>
      <c r="DF2372" s="46"/>
    </row>
    <row r="2373" spans="1:110" s="42" customFormat="1" x14ac:dyDescent="0.2">
      <c r="A2373" s="89">
        <v>40836</v>
      </c>
      <c r="B2373" s="16" t="s">
        <v>4386</v>
      </c>
      <c r="C2373" s="16" t="s">
        <v>1533</v>
      </c>
      <c r="D2373" s="90" t="s">
        <v>4264</v>
      </c>
      <c r="E2373" s="90" t="str">
        <f>VLOOKUP(B2373&amp;C2373,Divipola!$C$2:$F$1138,4,FALSE)</f>
        <v>20013</v>
      </c>
      <c r="F2373" s="4"/>
      <c r="G2373" s="208"/>
      <c r="H2373" s="208"/>
      <c r="I2373" s="208"/>
      <c r="J2373" s="208">
        <f>350*5</f>
        <v>1750</v>
      </c>
      <c r="K2373" s="208">
        <v>350</v>
      </c>
      <c r="L2373" s="208"/>
      <c r="M2373" s="208"/>
      <c r="N2373" s="208"/>
      <c r="O2373" s="208"/>
      <c r="P2373" s="208"/>
      <c r="Q2373" s="208"/>
      <c r="R2373" s="208"/>
      <c r="S2373" s="208"/>
      <c r="T2373" s="208"/>
      <c r="U2373" s="208"/>
      <c r="V2373" s="208"/>
      <c r="W2373" s="19"/>
      <c r="X2373" s="17"/>
      <c r="Y2373" s="5">
        <f t="shared" si="232"/>
        <v>0</v>
      </c>
      <c r="Z2373" s="5">
        <f t="shared" si="233"/>
        <v>29750000</v>
      </c>
      <c r="AA2373" s="5">
        <f t="shared" si="234"/>
        <v>0</v>
      </c>
      <c r="AB2373" s="5">
        <f t="shared" si="235"/>
        <v>0</v>
      </c>
      <c r="AC2373" s="5"/>
      <c r="AD2373" s="5">
        <v>0</v>
      </c>
      <c r="AE2373" s="5">
        <f t="shared" si="236"/>
        <v>29750000</v>
      </c>
      <c r="AF2373" s="70">
        <v>0</v>
      </c>
      <c r="AG2373" s="17"/>
      <c r="AH2373" s="18"/>
      <c r="AI2373" s="47" t="s">
        <v>4346</v>
      </c>
      <c r="AJ2373" s="73" t="s">
        <v>4347</v>
      </c>
      <c r="AK2373" s="45"/>
      <c r="AL2373" s="17"/>
      <c r="AM2373" s="20" t="s">
        <v>3452</v>
      </c>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39"/>
      <c r="CE2373" s="138"/>
      <c r="CF2373" s="139"/>
      <c r="CG2373" s="138"/>
      <c r="CH2373" s="139"/>
      <c r="CI2373" s="138"/>
      <c r="CJ2373" s="72"/>
      <c r="CK2373" s="139"/>
      <c r="CL2373" s="71"/>
      <c r="CM2373" s="139"/>
      <c r="CN2373" s="138"/>
      <c r="CO2373" s="138"/>
      <c r="CP2373" s="138"/>
      <c r="CQ2373" s="139"/>
      <c r="CR2373" s="138"/>
      <c r="CS2373" s="45"/>
      <c r="CT2373" s="138"/>
      <c r="CU2373" s="45"/>
      <c r="CV2373" s="99">
        <f t="shared" si="237"/>
        <v>0</v>
      </c>
      <c r="CW2373" s="139"/>
      <c r="CX2373" s="138"/>
      <c r="CY2373" s="138">
        <v>350</v>
      </c>
      <c r="CZ2373" s="138">
        <f>350*85000</f>
        <v>29750000</v>
      </c>
      <c r="DA2373" s="139"/>
      <c r="DB2373" s="138"/>
      <c r="DC2373" s="45"/>
      <c r="DD2373" s="138"/>
      <c r="DE2373" s="45"/>
      <c r="DF2373" s="46"/>
    </row>
    <row r="2374" spans="1:110" s="42" customFormat="1" x14ac:dyDescent="0.2">
      <c r="A2374" s="89">
        <v>40836</v>
      </c>
      <c r="B2374" s="16" t="s">
        <v>4386</v>
      </c>
      <c r="C2374" s="16" t="s">
        <v>1538</v>
      </c>
      <c r="D2374" s="90" t="s">
        <v>4264</v>
      </c>
      <c r="E2374" s="90" t="str">
        <f>VLOOKUP(B2374&amp;C2374,Divipola!$C$2:$F$1138,4,FALSE)</f>
        <v>20045</v>
      </c>
      <c r="F2374" s="4"/>
      <c r="G2374" s="208"/>
      <c r="H2374" s="208"/>
      <c r="I2374" s="208"/>
      <c r="J2374" s="208">
        <f>220*5</f>
        <v>1100</v>
      </c>
      <c r="K2374" s="208">
        <v>220</v>
      </c>
      <c r="L2374" s="208"/>
      <c r="M2374" s="208"/>
      <c r="N2374" s="208"/>
      <c r="O2374" s="208"/>
      <c r="P2374" s="208"/>
      <c r="Q2374" s="208"/>
      <c r="R2374" s="208"/>
      <c r="S2374" s="208"/>
      <c r="T2374" s="208"/>
      <c r="U2374" s="208"/>
      <c r="V2374" s="208"/>
      <c r="W2374" s="19"/>
      <c r="X2374" s="17"/>
      <c r="Y2374" s="5">
        <f t="shared" si="232"/>
        <v>0</v>
      </c>
      <c r="Z2374" s="5">
        <f t="shared" si="233"/>
        <v>18700000</v>
      </c>
      <c r="AA2374" s="5">
        <f t="shared" si="234"/>
        <v>0</v>
      </c>
      <c r="AB2374" s="5">
        <f t="shared" si="235"/>
        <v>0</v>
      </c>
      <c r="AC2374" s="5"/>
      <c r="AD2374" s="5">
        <v>0</v>
      </c>
      <c r="AE2374" s="5">
        <f t="shared" si="236"/>
        <v>18700000</v>
      </c>
      <c r="AF2374" s="70">
        <v>0</v>
      </c>
      <c r="AG2374" s="17"/>
      <c r="AH2374" s="18"/>
      <c r="AI2374" s="47" t="s">
        <v>4346</v>
      </c>
      <c r="AJ2374" s="73" t="s">
        <v>4347</v>
      </c>
      <c r="AK2374" s="45"/>
      <c r="AL2374" s="17"/>
      <c r="AM2374" s="20" t="s">
        <v>3452</v>
      </c>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39"/>
      <c r="CE2374" s="138"/>
      <c r="CF2374" s="139"/>
      <c r="CG2374" s="138"/>
      <c r="CH2374" s="139"/>
      <c r="CI2374" s="138"/>
      <c r="CJ2374" s="72"/>
      <c r="CK2374" s="139"/>
      <c r="CL2374" s="71"/>
      <c r="CM2374" s="139"/>
      <c r="CN2374" s="138"/>
      <c r="CO2374" s="138"/>
      <c r="CP2374" s="138"/>
      <c r="CQ2374" s="139"/>
      <c r="CR2374" s="138"/>
      <c r="CS2374" s="45"/>
      <c r="CT2374" s="138"/>
      <c r="CU2374" s="45"/>
      <c r="CV2374" s="99">
        <f t="shared" si="237"/>
        <v>0</v>
      </c>
      <c r="CW2374" s="139"/>
      <c r="CX2374" s="138"/>
      <c r="CY2374" s="138">
        <v>220</v>
      </c>
      <c r="CZ2374" s="138">
        <f>220*85000</f>
        <v>18700000</v>
      </c>
      <c r="DA2374" s="139"/>
      <c r="DB2374" s="138"/>
      <c r="DC2374" s="45"/>
      <c r="DD2374" s="138"/>
      <c r="DE2374" s="45"/>
      <c r="DF2374" s="46"/>
    </row>
    <row r="2375" spans="1:110" s="42" customFormat="1" x14ac:dyDescent="0.2">
      <c r="A2375" s="89">
        <v>40836</v>
      </c>
      <c r="B2375" s="16" t="s">
        <v>4386</v>
      </c>
      <c r="C2375" s="16" t="s">
        <v>1541</v>
      </c>
      <c r="D2375" s="90" t="s">
        <v>4264</v>
      </c>
      <c r="E2375" s="90" t="str">
        <f>VLOOKUP(B2375&amp;C2375,Divipola!$C$2:$F$1138,4,FALSE)</f>
        <v>20060</v>
      </c>
      <c r="F2375" s="4"/>
      <c r="G2375" s="208"/>
      <c r="H2375" s="208"/>
      <c r="I2375" s="208"/>
      <c r="J2375" s="208">
        <f>300*5</f>
        <v>1500</v>
      </c>
      <c r="K2375" s="208">
        <v>300</v>
      </c>
      <c r="L2375" s="208"/>
      <c r="M2375" s="208"/>
      <c r="N2375" s="208"/>
      <c r="O2375" s="208"/>
      <c r="P2375" s="208"/>
      <c r="Q2375" s="208"/>
      <c r="R2375" s="208"/>
      <c r="S2375" s="208"/>
      <c r="T2375" s="208"/>
      <c r="U2375" s="208"/>
      <c r="V2375" s="208"/>
      <c r="W2375" s="19"/>
      <c r="X2375" s="17"/>
      <c r="Y2375" s="5">
        <f t="shared" si="232"/>
        <v>0</v>
      </c>
      <c r="Z2375" s="5">
        <f t="shared" si="233"/>
        <v>25500000</v>
      </c>
      <c r="AA2375" s="5">
        <f t="shared" si="234"/>
        <v>0</v>
      </c>
      <c r="AB2375" s="5">
        <f t="shared" si="235"/>
        <v>0</v>
      </c>
      <c r="AC2375" s="5"/>
      <c r="AD2375" s="5">
        <v>0</v>
      </c>
      <c r="AE2375" s="5">
        <f t="shared" si="236"/>
        <v>25500000</v>
      </c>
      <c r="AF2375" s="70">
        <v>0</v>
      </c>
      <c r="AG2375" s="17"/>
      <c r="AH2375" s="18"/>
      <c r="AI2375" s="47" t="s">
        <v>4346</v>
      </c>
      <c r="AJ2375" s="73" t="s">
        <v>4347</v>
      </c>
      <c r="AK2375" s="45"/>
      <c r="AL2375" s="17"/>
      <c r="AM2375" s="20" t="s">
        <v>3452</v>
      </c>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39"/>
      <c r="CE2375" s="138"/>
      <c r="CF2375" s="139"/>
      <c r="CG2375" s="138"/>
      <c r="CH2375" s="139"/>
      <c r="CI2375" s="138"/>
      <c r="CJ2375" s="72"/>
      <c r="CK2375" s="139"/>
      <c r="CL2375" s="71"/>
      <c r="CM2375" s="139"/>
      <c r="CN2375" s="138"/>
      <c r="CO2375" s="138"/>
      <c r="CP2375" s="138"/>
      <c r="CQ2375" s="139"/>
      <c r="CR2375" s="138"/>
      <c r="CS2375" s="45"/>
      <c r="CT2375" s="138"/>
      <c r="CU2375" s="45"/>
      <c r="CV2375" s="99">
        <f t="shared" si="237"/>
        <v>0</v>
      </c>
      <c r="CW2375" s="139"/>
      <c r="CX2375" s="138"/>
      <c r="CY2375" s="138">
        <v>300</v>
      </c>
      <c r="CZ2375" s="138">
        <f>300*85000</f>
        <v>25500000</v>
      </c>
      <c r="DA2375" s="139"/>
      <c r="DB2375" s="138"/>
      <c r="DC2375" s="45"/>
      <c r="DD2375" s="138"/>
      <c r="DE2375" s="45"/>
      <c r="DF2375" s="46"/>
    </row>
    <row r="2376" spans="1:110" s="42" customFormat="1" x14ac:dyDescent="0.2">
      <c r="A2376" s="89">
        <v>40836</v>
      </c>
      <c r="B2376" s="16" t="s">
        <v>4386</v>
      </c>
      <c r="C2376" s="16" t="s">
        <v>857</v>
      </c>
      <c r="D2376" s="90" t="s">
        <v>4264</v>
      </c>
      <c r="E2376" s="90" t="str">
        <f>VLOOKUP(B2376&amp;C2376,Divipola!$C$2:$F$1138,4,FALSE)</f>
        <v>20175</v>
      </c>
      <c r="F2376" s="4"/>
      <c r="G2376" s="208"/>
      <c r="H2376" s="208"/>
      <c r="I2376" s="208"/>
      <c r="J2376" s="208">
        <f>1200*5</f>
        <v>6000</v>
      </c>
      <c r="K2376" s="208">
        <v>1200</v>
      </c>
      <c r="L2376" s="208"/>
      <c r="M2376" s="208"/>
      <c r="N2376" s="208"/>
      <c r="O2376" s="208"/>
      <c r="P2376" s="208"/>
      <c r="Q2376" s="208"/>
      <c r="R2376" s="208"/>
      <c r="S2376" s="208"/>
      <c r="T2376" s="208"/>
      <c r="U2376" s="208"/>
      <c r="V2376" s="208"/>
      <c r="W2376" s="19"/>
      <c r="X2376" s="17"/>
      <c r="Y2376" s="5">
        <f t="shared" si="232"/>
        <v>0</v>
      </c>
      <c r="Z2376" s="5">
        <f t="shared" si="233"/>
        <v>102000000</v>
      </c>
      <c r="AA2376" s="5">
        <f t="shared" si="234"/>
        <v>0</v>
      </c>
      <c r="AB2376" s="5">
        <f t="shared" si="235"/>
        <v>0</v>
      </c>
      <c r="AC2376" s="5"/>
      <c r="AD2376" s="5">
        <v>0</v>
      </c>
      <c r="AE2376" s="5">
        <f t="shared" si="236"/>
        <v>102000000</v>
      </c>
      <c r="AF2376" s="70">
        <v>0</v>
      </c>
      <c r="AG2376" s="17"/>
      <c r="AH2376" s="18"/>
      <c r="AI2376" s="47" t="s">
        <v>4346</v>
      </c>
      <c r="AJ2376" s="73" t="s">
        <v>4347</v>
      </c>
      <c r="AK2376" s="45"/>
      <c r="AL2376" s="17"/>
      <c r="AM2376" s="20" t="s">
        <v>3452</v>
      </c>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39"/>
      <c r="CE2376" s="138"/>
      <c r="CF2376" s="139"/>
      <c r="CG2376" s="138"/>
      <c r="CH2376" s="139"/>
      <c r="CI2376" s="138"/>
      <c r="CJ2376" s="72"/>
      <c r="CK2376" s="139"/>
      <c r="CL2376" s="71"/>
      <c r="CM2376" s="139"/>
      <c r="CN2376" s="138"/>
      <c r="CO2376" s="138"/>
      <c r="CP2376" s="138"/>
      <c r="CQ2376" s="139"/>
      <c r="CR2376" s="138"/>
      <c r="CS2376" s="45"/>
      <c r="CT2376" s="138"/>
      <c r="CU2376" s="45"/>
      <c r="CV2376" s="99">
        <f t="shared" si="237"/>
        <v>0</v>
      </c>
      <c r="CW2376" s="139"/>
      <c r="CX2376" s="138"/>
      <c r="CY2376" s="138">
        <v>1200</v>
      </c>
      <c r="CZ2376" s="138">
        <f>1200*85000</f>
        <v>102000000</v>
      </c>
      <c r="DA2376" s="139"/>
      <c r="DB2376" s="138"/>
      <c r="DC2376" s="45"/>
      <c r="DD2376" s="138"/>
      <c r="DE2376" s="45"/>
      <c r="DF2376" s="46"/>
    </row>
    <row r="2377" spans="1:110" s="42" customFormat="1" x14ac:dyDescent="0.2">
      <c r="A2377" s="89">
        <v>40836</v>
      </c>
      <c r="B2377" s="16" t="s">
        <v>4386</v>
      </c>
      <c r="C2377" s="16" t="s">
        <v>1545</v>
      </c>
      <c r="D2377" s="90" t="s">
        <v>4264</v>
      </c>
      <c r="E2377" s="90" t="str">
        <f>VLOOKUP(B2377&amp;C2377,Divipola!$C$2:$F$1138,4,FALSE)</f>
        <v>20178</v>
      </c>
      <c r="F2377" s="4"/>
      <c r="G2377" s="208"/>
      <c r="H2377" s="208"/>
      <c r="I2377" s="208"/>
      <c r="J2377" s="208">
        <f>400*5</f>
        <v>2000</v>
      </c>
      <c r="K2377" s="208">
        <v>400</v>
      </c>
      <c r="L2377" s="208"/>
      <c r="M2377" s="208"/>
      <c r="N2377" s="208"/>
      <c r="O2377" s="208"/>
      <c r="P2377" s="208"/>
      <c r="Q2377" s="208"/>
      <c r="R2377" s="208"/>
      <c r="S2377" s="208"/>
      <c r="T2377" s="208"/>
      <c r="U2377" s="208"/>
      <c r="V2377" s="208"/>
      <c r="W2377" s="19"/>
      <c r="X2377" s="17"/>
      <c r="Y2377" s="5">
        <f t="shared" si="232"/>
        <v>0</v>
      </c>
      <c r="Z2377" s="5">
        <f t="shared" si="233"/>
        <v>34000000</v>
      </c>
      <c r="AA2377" s="5">
        <f t="shared" si="234"/>
        <v>0</v>
      </c>
      <c r="AB2377" s="5">
        <f t="shared" si="235"/>
        <v>0</v>
      </c>
      <c r="AC2377" s="5"/>
      <c r="AD2377" s="5">
        <v>0</v>
      </c>
      <c r="AE2377" s="5">
        <f t="shared" si="236"/>
        <v>34000000</v>
      </c>
      <c r="AF2377" s="70">
        <v>0</v>
      </c>
      <c r="AG2377" s="17"/>
      <c r="AH2377" s="18"/>
      <c r="AI2377" s="47" t="s">
        <v>4346</v>
      </c>
      <c r="AJ2377" s="73" t="s">
        <v>4347</v>
      </c>
      <c r="AK2377" s="45"/>
      <c r="AL2377" s="17"/>
      <c r="AM2377" s="20" t="s">
        <v>3452</v>
      </c>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39"/>
      <c r="CE2377" s="138"/>
      <c r="CF2377" s="139"/>
      <c r="CG2377" s="138"/>
      <c r="CH2377" s="139"/>
      <c r="CI2377" s="138"/>
      <c r="CJ2377" s="72"/>
      <c r="CK2377" s="139"/>
      <c r="CL2377" s="71"/>
      <c r="CM2377" s="139"/>
      <c r="CN2377" s="138"/>
      <c r="CO2377" s="138"/>
      <c r="CP2377" s="138"/>
      <c r="CQ2377" s="139"/>
      <c r="CR2377" s="138"/>
      <c r="CS2377" s="45"/>
      <c r="CT2377" s="138"/>
      <c r="CU2377" s="45"/>
      <c r="CV2377" s="99">
        <f t="shared" si="237"/>
        <v>0</v>
      </c>
      <c r="CW2377" s="139"/>
      <c r="CX2377" s="138"/>
      <c r="CY2377" s="138">
        <v>400</v>
      </c>
      <c r="CZ2377" s="138">
        <f>400*85000</f>
        <v>34000000</v>
      </c>
      <c r="DA2377" s="139"/>
      <c r="DB2377" s="138"/>
      <c r="DC2377" s="45"/>
      <c r="DD2377" s="138"/>
      <c r="DE2377" s="45"/>
      <c r="DF2377" s="46"/>
    </row>
    <row r="2378" spans="1:110" s="42" customFormat="1" ht="24" x14ac:dyDescent="0.2">
      <c r="A2378" s="89">
        <v>40836</v>
      </c>
      <c r="B2378" s="151" t="s">
        <v>4386</v>
      </c>
      <c r="C2378" s="90" t="s">
        <v>4345</v>
      </c>
      <c r="D2378" s="90" t="s">
        <v>4264</v>
      </c>
      <c r="E2378" s="90">
        <f>VLOOKUP(B2378&amp;C2378,Divipola!$C$2:$F$1138,4,FALSE)</f>
        <v>20</v>
      </c>
      <c r="F2378" s="4"/>
      <c r="G2378" s="208"/>
      <c r="H2378" s="208"/>
      <c r="I2378" s="208"/>
      <c r="J2378" s="208"/>
      <c r="K2378" s="208"/>
      <c r="L2378" s="208"/>
      <c r="M2378" s="208"/>
      <c r="N2378" s="208"/>
      <c r="O2378" s="208"/>
      <c r="P2378" s="208"/>
      <c r="Q2378" s="208"/>
      <c r="R2378" s="208"/>
      <c r="S2378" s="208"/>
      <c r="T2378" s="208"/>
      <c r="U2378" s="208"/>
      <c r="V2378" s="208"/>
      <c r="W2378" s="19"/>
      <c r="X2378" s="17"/>
      <c r="Y2378" s="5">
        <f t="shared" si="232"/>
        <v>49999944</v>
      </c>
      <c r="Z2378" s="5">
        <f t="shared" si="233"/>
        <v>0</v>
      </c>
      <c r="AA2378" s="5">
        <f t="shared" si="234"/>
        <v>0</v>
      </c>
      <c r="AB2378" s="5">
        <f t="shared" si="235"/>
        <v>91060000</v>
      </c>
      <c r="AC2378" s="159">
        <f>1000*25999.08+1000*35999.44+1000*23999.24</f>
        <v>85997760</v>
      </c>
      <c r="AD2378" s="5">
        <v>0</v>
      </c>
      <c r="AE2378" s="5">
        <f t="shared" si="236"/>
        <v>227057704</v>
      </c>
      <c r="AF2378" s="70">
        <v>0</v>
      </c>
      <c r="AG2378" s="17"/>
      <c r="AH2378" s="18"/>
      <c r="AI2378" s="47" t="s">
        <v>4346</v>
      </c>
      <c r="AJ2378" s="73" t="s">
        <v>4347</v>
      </c>
      <c r="AK2378" s="45"/>
      <c r="AL2378" s="17"/>
      <c r="AM2378" s="20" t="s">
        <v>4825</v>
      </c>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v>100</v>
      </c>
      <c r="CA2378" s="19">
        <f>100*499999.44</f>
        <v>49999944</v>
      </c>
      <c r="CB2378" s="19"/>
      <c r="CC2378" s="19"/>
      <c r="CD2378" s="139"/>
      <c r="CE2378" s="138"/>
      <c r="CF2378" s="139"/>
      <c r="CG2378" s="138"/>
      <c r="CH2378" s="139"/>
      <c r="CI2378" s="138"/>
      <c r="CJ2378" s="72"/>
      <c r="CK2378" s="139"/>
      <c r="CL2378" s="71"/>
      <c r="CM2378" s="139"/>
      <c r="CN2378" s="138"/>
      <c r="CO2378" s="138"/>
      <c r="CP2378" s="138"/>
      <c r="CQ2378" s="139"/>
      <c r="CR2378" s="138"/>
      <c r="CS2378" s="45"/>
      <c r="CT2378" s="138"/>
      <c r="CU2378" s="45"/>
      <c r="CV2378" s="99">
        <f t="shared" si="237"/>
        <v>49999944</v>
      </c>
      <c r="CW2378" s="139">
        <v>100000</v>
      </c>
      <c r="CX2378" s="138">
        <f>100000*910.6</f>
        <v>91060000</v>
      </c>
      <c r="CY2378" s="138"/>
      <c r="CZ2378" s="138"/>
      <c r="DA2378" s="139"/>
      <c r="DB2378" s="138"/>
      <c r="DC2378" s="45"/>
      <c r="DD2378" s="138"/>
      <c r="DE2378" s="45"/>
      <c r="DF2378" s="46"/>
    </row>
    <row r="2379" spans="1:110" s="42" customFormat="1" x14ac:dyDescent="0.2">
      <c r="A2379" s="89">
        <v>40836</v>
      </c>
      <c r="B2379" s="16" t="s">
        <v>4386</v>
      </c>
      <c r="C2379" s="16" t="s">
        <v>1550</v>
      </c>
      <c r="D2379" s="90" t="s">
        <v>4264</v>
      </c>
      <c r="E2379" s="90" t="str">
        <f>VLOOKUP(B2379&amp;C2379,Divipola!$C$2:$F$1138,4,FALSE)</f>
        <v>20238</v>
      </c>
      <c r="F2379" s="4"/>
      <c r="G2379" s="208"/>
      <c r="H2379" s="208"/>
      <c r="I2379" s="208"/>
      <c r="J2379" s="208">
        <f>170*5</f>
        <v>850</v>
      </c>
      <c r="K2379" s="208">
        <v>170</v>
      </c>
      <c r="L2379" s="208"/>
      <c r="M2379" s="208"/>
      <c r="N2379" s="208"/>
      <c r="O2379" s="208"/>
      <c r="P2379" s="208"/>
      <c r="Q2379" s="208"/>
      <c r="R2379" s="208"/>
      <c r="S2379" s="208"/>
      <c r="T2379" s="208"/>
      <c r="U2379" s="208"/>
      <c r="V2379" s="208"/>
      <c r="W2379" s="19"/>
      <c r="X2379" s="17"/>
      <c r="Y2379" s="5">
        <f t="shared" si="232"/>
        <v>0</v>
      </c>
      <c r="Z2379" s="5">
        <f t="shared" si="233"/>
        <v>14450000</v>
      </c>
      <c r="AA2379" s="5">
        <f t="shared" si="234"/>
        <v>0</v>
      </c>
      <c r="AB2379" s="5">
        <f t="shared" si="235"/>
        <v>0</v>
      </c>
      <c r="AC2379" s="5"/>
      <c r="AD2379" s="5">
        <v>0</v>
      </c>
      <c r="AE2379" s="5">
        <f t="shared" si="236"/>
        <v>14450000</v>
      </c>
      <c r="AF2379" s="70">
        <v>0</v>
      </c>
      <c r="AG2379" s="17"/>
      <c r="AH2379" s="18"/>
      <c r="AI2379" s="47" t="s">
        <v>4346</v>
      </c>
      <c r="AJ2379" s="73" t="s">
        <v>4347</v>
      </c>
      <c r="AK2379" s="45"/>
      <c r="AL2379" s="17"/>
      <c r="AM2379" s="20" t="s">
        <v>3452</v>
      </c>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39"/>
      <c r="CE2379" s="138"/>
      <c r="CF2379" s="139"/>
      <c r="CG2379" s="138"/>
      <c r="CH2379" s="139"/>
      <c r="CI2379" s="138"/>
      <c r="CJ2379" s="72"/>
      <c r="CK2379" s="139"/>
      <c r="CL2379" s="71"/>
      <c r="CM2379" s="139"/>
      <c r="CN2379" s="138"/>
      <c r="CO2379" s="138"/>
      <c r="CP2379" s="138"/>
      <c r="CQ2379" s="139"/>
      <c r="CR2379" s="138"/>
      <c r="CS2379" s="45"/>
      <c r="CT2379" s="138"/>
      <c r="CU2379" s="45"/>
      <c r="CV2379" s="99">
        <f t="shared" si="237"/>
        <v>0</v>
      </c>
      <c r="CW2379" s="139"/>
      <c r="CX2379" s="138"/>
      <c r="CY2379" s="138">
        <v>170</v>
      </c>
      <c r="CZ2379" s="138">
        <f>170*85000</f>
        <v>14450000</v>
      </c>
      <c r="DA2379" s="139"/>
      <c r="DB2379" s="138"/>
      <c r="DC2379" s="45"/>
      <c r="DD2379" s="138"/>
      <c r="DE2379" s="45"/>
      <c r="DF2379" s="46"/>
    </row>
    <row r="2380" spans="1:110" s="42" customFormat="1" x14ac:dyDescent="0.2">
      <c r="A2380" s="89">
        <v>40836</v>
      </c>
      <c r="B2380" s="16" t="s">
        <v>4386</v>
      </c>
      <c r="C2380" s="16" t="s">
        <v>1552</v>
      </c>
      <c r="D2380" s="90" t="s">
        <v>4264</v>
      </c>
      <c r="E2380" s="90" t="str">
        <f>VLOOKUP(B2380&amp;C2380,Divipola!$C$2:$F$1138,4,FALSE)</f>
        <v>20250</v>
      </c>
      <c r="F2380" s="4"/>
      <c r="G2380" s="208"/>
      <c r="H2380" s="208"/>
      <c r="I2380" s="208"/>
      <c r="J2380" s="208">
        <f>300*5</f>
        <v>1500</v>
      </c>
      <c r="K2380" s="208">
        <v>300</v>
      </c>
      <c r="L2380" s="208"/>
      <c r="M2380" s="208"/>
      <c r="N2380" s="208"/>
      <c r="O2380" s="208"/>
      <c r="P2380" s="208"/>
      <c r="Q2380" s="208"/>
      <c r="R2380" s="208"/>
      <c r="S2380" s="208"/>
      <c r="T2380" s="208"/>
      <c r="U2380" s="208"/>
      <c r="V2380" s="208"/>
      <c r="W2380" s="19"/>
      <c r="X2380" s="17"/>
      <c r="Y2380" s="5">
        <f t="shared" si="232"/>
        <v>0</v>
      </c>
      <c r="Z2380" s="5">
        <f t="shared" si="233"/>
        <v>25500000</v>
      </c>
      <c r="AA2380" s="5">
        <f t="shared" si="234"/>
        <v>0</v>
      </c>
      <c r="AB2380" s="5">
        <f t="shared" si="235"/>
        <v>0</v>
      </c>
      <c r="AC2380" s="5"/>
      <c r="AD2380" s="5">
        <v>0</v>
      </c>
      <c r="AE2380" s="5">
        <f t="shared" si="236"/>
        <v>25500000</v>
      </c>
      <c r="AF2380" s="70">
        <v>0</v>
      </c>
      <c r="AG2380" s="17"/>
      <c r="AH2380" s="18"/>
      <c r="AI2380" s="47" t="s">
        <v>4346</v>
      </c>
      <c r="AJ2380" s="73" t="s">
        <v>4347</v>
      </c>
      <c r="AK2380" s="45"/>
      <c r="AL2380" s="17"/>
      <c r="AM2380" s="20" t="s">
        <v>3452</v>
      </c>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39"/>
      <c r="CE2380" s="138"/>
      <c r="CF2380" s="139"/>
      <c r="CG2380" s="138"/>
      <c r="CH2380" s="139"/>
      <c r="CI2380" s="138"/>
      <c r="CJ2380" s="72"/>
      <c r="CK2380" s="139"/>
      <c r="CL2380" s="71"/>
      <c r="CM2380" s="139"/>
      <c r="CN2380" s="138"/>
      <c r="CO2380" s="138"/>
      <c r="CP2380" s="138"/>
      <c r="CQ2380" s="139"/>
      <c r="CR2380" s="138"/>
      <c r="CS2380" s="45"/>
      <c r="CT2380" s="138"/>
      <c r="CU2380" s="45"/>
      <c r="CV2380" s="99">
        <f t="shared" si="237"/>
        <v>0</v>
      </c>
      <c r="CW2380" s="139"/>
      <c r="CX2380" s="138"/>
      <c r="CY2380" s="138">
        <v>300</v>
      </c>
      <c r="CZ2380" s="138">
        <f>300*85000</f>
        <v>25500000</v>
      </c>
      <c r="DA2380" s="139"/>
      <c r="DB2380" s="138"/>
      <c r="DC2380" s="45"/>
      <c r="DD2380" s="138"/>
      <c r="DE2380" s="45"/>
      <c r="DF2380" s="46"/>
    </row>
    <row r="2381" spans="1:110" s="42" customFormat="1" ht="22.5" x14ac:dyDescent="0.2">
      <c r="A2381" s="89">
        <v>40836</v>
      </c>
      <c r="B2381" s="16" t="s">
        <v>4386</v>
      </c>
      <c r="C2381" s="16" t="s">
        <v>1560</v>
      </c>
      <c r="D2381" s="90" t="s">
        <v>4264</v>
      </c>
      <c r="E2381" s="90" t="str">
        <f>VLOOKUP(B2381&amp;C2381,Divipola!$C$2:$F$1138,4,FALSE)</f>
        <v>20400</v>
      </c>
      <c r="F2381" s="4"/>
      <c r="G2381" s="208"/>
      <c r="H2381" s="208"/>
      <c r="I2381" s="208"/>
      <c r="J2381" s="208">
        <f>300*5</f>
        <v>1500</v>
      </c>
      <c r="K2381" s="208">
        <v>300</v>
      </c>
      <c r="L2381" s="208"/>
      <c r="M2381" s="208"/>
      <c r="N2381" s="208"/>
      <c r="O2381" s="208"/>
      <c r="P2381" s="208"/>
      <c r="Q2381" s="208"/>
      <c r="R2381" s="208"/>
      <c r="S2381" s="208"/>
      <c r="T2381" s="208"/>
      <c r="U2381" s="208"/>
      <c r="V2381" s="208"/>
      <c r="W2381" s="19"/>
      <c r="X2381" s="17"/>
      <c r="Y2381" s="5">
        <f t="shared" si="232"/>
        <v>0</v>
      </c>
      <c r="Z2381" s="5">
        <f t="shared" si="233"/>
        <v>25500000</v>
      </c>
      <c r="AA2381" s="5">
        <f t="shared" si="234"/>
        <v>0</v>
      </c>
      <c r="AB2381" s="5">
        <f t="shared" si="235"/>
        <v>0</v>
      </c>
      <c r="AC2381" s="5"/>
      <c r="AD2381" s="5">
        <v>0</v>
      </c>
      <c r="AE2381" s="5">
        <f t="shared" si="236"/>
        <v>25500000</v>
      </c>
      <c r="AF2381" s="70">
        <v>0</v>
      </c>
      <c r="AG2381" s="17"/>
      <c r="AH2381" s="18"/>
      <c r="AI2381" s="47" t="s">
        <v>4346</v>
      </c>
      <c r="AJ2381" s="73" t="s">
        <v>4347</v>
      </c>
      <c r="AK2381" s="45"/>
      <c r="AL2381" s="17"/>
      <c r="AM2381" s="20" t="s">
        <v>3452</v>
      </c>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39"/>
      <c r="CE2381" s="138"/>
      <c r="CF2381" s="139"/>
      <c r="CG2381" s="138"/>
      <c r="CH2381" s="139"/>
      <c r="CI2381" s="138"/>
      <c r="CJ2381" s="72"/>
      <c r="CK2381" s="139"/>
      <c r="CL2381" s="71"/>
      <c r="CM2381" s="139"/>
      <c r="CN2381" s="138"/>
      <c r="CO2381" s="138"/>
      <c r="CP2381" s="138"/>
      <c r="CQ2381" s="139"/>
      <c r="CR2381" s="138"/>
      <c r="CS2381" s="45"/>
      <c r="CT2381" s="138"/>
      <c r="CU2381" s="45"/>
      <c r="CV2381" s="99">
        <f t="shared" si="237"/>
        <v>0</v>
      </c>
      <c r="CW2381" s="139"/>
      <c r="CX2381" s="138"/>
      <c r="CY2381" s="138">
        <v>300</v>
      </c>
      <c r="CZ2381" s="138">
        <f>300*85000</f>
        <v>25500000</v>
      </c>
      <c r="DA2381" s="139"/>
      <c r="DB2381" s="138"/>
      <c r="DC2381" s="45"/>
      <c r="DD2381" s="138"/>
      <c r="DE2381" s="45"/>
      <c r="DF2381" s="46"/>
    </row>
    <row r="2382" spans="1:110" s="42" customFormat="1" x14ac:dyDescent="0.2">
      <c r="A2382" s="89">
        <v>40836</v>
      </c>
      <c r="B2382" s="16" t="s">
        <v>4386</v>
      </c>
      <c r="C2382" s="16" t="s">
        <v>1563</v>
      </c>
      <c r="D2382" s="90" t="s">
        <v>4264</v>
      </c>
      <c r="E2382" s="90" t="str">
        <f>VLOOKUP(B2382&amp;C2382,Divipola!$C$2:$F$1138,4,FALSE)</f>
        <v>20443</v>
      </c>
      <c r="F2382" s="4"/>
      <c r="G2382" s="208"/>
      <c r="H2382" s="208"/>
      <c r="I2382" s="208"/>
      <c r="J2382" s="208">
        <f>350*5</f>
        <v>1750</v>
      </c>
      <c r="K2382" s="208">
        <v>350</v>
      </c>
      <c r="L2382" s="208"/>
      <c r="M2382" s="208"/>
      <c r="N2382" s="208"/>
      <c r="O2382" s="208"/>
      <c r="P2382" s="208"/>
      <c r="Q2382" s="208"/>
      <c r="R2382" s="208"/>
      <c r="S2382" s="208"/>
      <c r="T2382" s="208"/>
      <c r="U2382" s="208"/>
      <c r="V2382" s="208"/>
      <c r="W2382" s="19"/>
      <c r="X2382" s="17"/>
      <c r="Y2382" s="5">
        <f t="shared" si="232"/>
        <v>0</v>
      </c>
      <c r="Z2382" s="5">
        <f t="shared" si="233"/>
        <v>29750000</v>
      </c>
      <c r="AA2382" s="5">
        <f t="shared" si="234"/>
        <v>0</v>
      </c>
      <c r="AB2382" s="5">
        <f t="shared" si="235"/>
        <v>0</v>
      </c>
      <c r="AC2382" s="5"/>
      <c r="AD2382" s="5">
        <v>0</v>
      </c>
      <c r="AE2382" s="5">
        <f t="shared" si="236"/>
        <v>29750000</v>
      </c>
      <c r="AF2382" s="70">
        <v>0</v>
      </c>
      <c r="AG2382" s="17"/>
      <c r="AH2382" s="18"/>
      <c r="AI2382" s="47" t="s">
        <v>4346</v>
      </c>
      <c r="AJ2382" s="73" t="s">
        <v>4347</v>
      </c>
      <c r="AK2382" s="45"/>
      <c r="AL2382" s="17"/>
      <c r="AM2382" s="20" t="s">
        <v>3452</v>
      </c>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39"/>
      <c r="CE2382" s="138"/>
      <c r="CF2382" s="139"/>
      <c r="CG2382" s="138"/>
      <c r="CH2382" s="139"/>
      <c r="CI2382" s="138"/>
      <c r="CJ2382" s="72"/>
      <c r="CK2382" s="139"/>
      <c r="CL2382" s="71"/>
      <c r="CM2382" s="139"/>
      <c r="CN2382" s="138"/>
      <c r="CO2382" s="138"/>
      <c r="CP2382" s="138"/>
      <c r="CQ2382" s="139"/>
      <c r="CR2382" s="138"/>
      <c r="CS2382" s="45"/>
      <c r="CT2382" s="138"/>
      <c r="CU2382" s="45"/>
      <c r="CV2382" s="99">
        <f t="shared" si="237"/>
        <v>0</v>
      </c>
      <c r="CW2382" s="139"/>
      <c r="CX2382" s="138"/>
      <c r="CY2382" s="138">
        <v>350</v>
      </c>
      <c r="CZ2382" s="138">
        <f>350*85000</f>
        <v>29750000</v>
      </c>
      <c r="DA2382" s="139"/>
      <c r="DB2382" s="138"/>
      <c r="DC2382" s="45"/>
      <c r="DD2382" s="138"/>
      <c r="DE2382" s="45"/>
      <c r="DF2382" s="46"/>
    </row>
    <row r="2383" spans="1:110" s="42" customFormat="1" x14ac:dyDescent="0.2">
      <c r="A2383" s="89">
        <v>40836</v>
      </c>
      <c r="B2383" s="16" t="s">
        <v>4386</v>
      </c>
      <c r="C2383" s="16" t="s">
        <v>1565</v>
      </c>
      <c r="D2383" s="90" t="s">
        <v>4264</v>
      </c>
      <c r="E2383" s="90" t="str">
        <f>VLOOKUP(B2383&amp;C2383,Divipola!$C$2:$F$1138,4,FALSE)</f>
        <v>20517</v>
      </c>
      <c r="F2383" s="4"/>
      <c r="G2383" s="208"/>
      <c r="H2383" s="208"/>
      <c r="I2383" s="208"/>
      <c r="J2383" s="208">
        <f>300*5</f>
        <v>1500</v>
      </c>
      <c r="K2383" s="208">
        <v>300</v>
      </c>
      <c r="L2383" s="208"/>
      <c r="M2383" s="208"/>
      <c r="N2383" s="208"/>
      <c r="O2383" s="208"/>
      <c r="P2383" s="208"/>
      <c r="Q2383" s="208"/>
      <c r="R2383" s="208"/>
      <c r="S2383" s="208"/>
      <c r="T2383" s="208"/>
      <c r="U2383" s="208"/>
      <c r="V2383" s="208"/>
      <c r="W2383" s="19"/>
      <c r="X2383" s="17"/>
      <c r="Y2383" s="5">
        <f t="shared" si="232"/>
        <v>0</v>
      </c>
      <c r="Z2383" s="5">
        <f t="shared" si="233"/>
        <v>25500000</v>
      </c>
      <c r="AA2383" s="5">
        <f t="shared" si="234"/>
        <v>0</v>
      </c>
      <c r="AB2383" s="5">
        <f t="shared" si="235"/>
        <v>0</v>
      </c>
      <c r="AC2383" s="5"/>
      <c r="AD2383" s="5">
        <v>0</v>
      </c>
      <c r="AE2383" s="5">
        <f t="shared" si="236"/>
        <v>25500000</v>
      </c>
      <c r="AF2383" s="70">
        <v>0</v>
      </c>
      <c r="AG2383" s="17"/>
      <c r="AH2383" s="18"/>
      <c r="AI2383" s="47" t="s">
        <v>4346</v>
      </c>
      <c r="AJ2383" s="73" t="s">
        <v>4347</v>
      </c>
      <c r="AK2383" s="45"/>
      <c r="AL2383" s="17"/>
      <c r="AM2383" s="20" t="s">
        <v>3452</v>
      </c>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39"/>
      <c r="CE2383" s="138"/>
      <c r="CF2383" s="139"/>
      <c r="CG2383" s="138"/>
      <c r="CH2383" s="139"/>
      <c r="CI2383" s="138"/>
      <c r="CJ2383" s="72"/>
      <c r="CK2383" s="139"/>
      <c r="CL2383" s="71"/>
      <c r="CM2383" s="139"/>
      <c r="CN2383" s="138"/>
      <c r="CO2383" s="138"/>
      <c r="CP2383" s="138"/>
      <c r="CQ2383" s="139"/>
      <c r="CR2383" s="138"/>
      <c r="CS2383" s="45"/>
      <c r="CT2383" s="138"/>
      <c r="CU2383" s="45"/>
      <c r="CV2383" s="99">
        <f t="shared" si="237"/>
        <v>0</v>
      </c>
      <c r="CW2383" s="139"/>
      <c r="CX2383" s="138"/>
      <c r="CY2383" s="138">
        <v>300</v>
      </c>
      <c r="CZ2383" s="138">
        <f>300*85000</f>
        <v>25500000</v>
      </c>
      <c r="DA2383" s="139"/>
      <c r="DB2383" s="138"/>
      <c r="DC2383" s="45"/>
      <c r="DD2383" s="138"/>
      <c r="DE2383" s="45"/>
      <c r="DF2383" s="46"/>
    </row>
    <row r="2384" spans="1:110" s="42" customFormat="1" x14ac:dyDescent="0.2">
      <c r="A2384" s="89">
        <v>40836</v>
      </c>
      <c r="B2384" s="16" t="s">
        <v>4386</v>
      </c>
      <c r="C2384" s="16" t="s">
        <v>4281</v>
      </c>
      <c r="D2384" s="90" t="s">
        <v>4264</v>
      </c>
      <c r="E2384" s="90" t="str">
        <f>VLOOKUP(B2384&amp;C2384,Divipola!$C$2:$F$1138,4,FALSE)</f>
        <v>20750</v>
      </c>
      <c r="F2384" s="4"/>
      <c r="G2384" s="208"/>
      <c r="H2384" s="208"/>
      <c r="I2384" s="208"/>
      <c r="J2384" s="208">
        <f>280*5</f>
        <v>1400</v>
      </c>
      <c r="K2384" s="208">
        <v>280</v>
      </c>
      <c r="L2384" s="208"/>
      <c r="M2384" s="208"/>
      <c r="N2384" s="208"/>
      <c r="O2384" s="208"/>
      <c r="P2384" s="208"/>
      <c r="Q2384" s="208"/>
      <c r="R2384" s="208"/>
      <c r="S2384" s="208"/>
      <c r="T2384" s="208"/>
      <c r="U2384" s="208"/>
      <c r="V2384" s="208"/>
      <c r="W2384" s="19"/>
      <c r="X2384" s="17"/>
      <c r="Y2384" s="5">
        <f t="shared" si="232"/>
        <v>0</v>
      </c>
      <c r="Z2384" s="5">
        <f t="shared" si="233"/>
        <v>23800000</v>
      </c>
      <c r="AA2384" s="5">
        <f t="shared" si="234"/>
        <v>0</v>
      </c>
      <c r="AB2384" s="5">
        <f t="shared" si="235"/>
        <v>0</v>
      </c>
      <c r="AC2384" s="5"/>
      <c r="AD2384" s="5">
        <v>0</v>
      </c>
      <c r="AE2384" s="5">
        <f t="shared" si="236"/>
        <v>23800000</v>
      </c>
      <c r="AF2384" s="70">
        <v>0</v>
      </c>
      <c r="AG2384" s="17"/>
      <c r="AH2384" s="18"/>
      <c r="AI2384" s="47" t="s">
        <v>4346</v>
      </c>
      <c r="AJ2384" s="73" t="s">
        <v>4347</v>
      </c>
      <c r="AK2384" s="45"/>
      <c r="AL2384" s="17"/>
      <c r="AM2384" s="20" t="s">
        <v>3452</v>
      </c>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39"/>
      <c r="CE2384" s="138"/>
      <c r="CF2384" s="139"/>
      <c r="CG2384" s="138"/>
      <c r="CH2384" s="139"/>
      <c r="CI2384" s="138"/>
      <c r="CJ2384" s="72"/>
      <c r="CK2384" s="139"/>
      <c r="CL2384" s="71"/>
      <c r="CM2384" s="139"/>
      <c r="CN2384" s="138"/>
      <c r="CO2384" s="138"/>
      <c r="CP2384" s="138"/>
      <c r="CQ2384" s="139"/>
      <c r="CR2384" s="138"/>
      <c r="CS2384" s="45"/>
      <c r="CT2384" s="138"/>
      <c r="CU2384" s="45"/>
      <c r="CV2384" s="99">
        <f t="shared" si="237"/>
        <v>0</v>
      </c>
      <c r="CW2384" s="139"/>
      <c r="CX2384" s="138"/>
      <c r="CY2384" s="138">
        <v>280</v>
      </c>
      <c r="CZ2384" s="138">
        <f>280*85000</f>
        <v>23800000</v>
      </c>
      <c r="DA2384" s="139"/>
      <c r="DB2384" s="138"/>
      <c r="DC2384" s="45"/>
      <c r="DD2384" s="138"/>
      <c r="DE2384" s="45"/>
      <c r="DF2384" s="46"/>
    </row>
    <row r="2385" spans="1:110" s="42" customFormat="1" ht="48" x14ac:dyDescent="0.2">
      <c r="A2385" s="89">
        <v>40836</v>
      </c>
      <c r="B2385" s="151" t="s">
        <v>2225</v>
      </c>
      <c r="C2385" s="90" t="s">
        <v>3365</v>
      </c>
      <c r="D2385" s="90" t="s">
        <v>3346</v>
      </c>
      <c r="E2385" s="90" t="str">
        <f>VLOOKUP(B2385&amp;C2385,Divipola!$C$2:$F$1138,4,FALSE)</f>
        <v>27413</v>
      </c>
      <c r="F2385" s="4"/>
      <c r="G2385" s="194"/>
      <c r="H2385" s="194"/>
      <c r="I2385" s="194"/>
      <c r="J2385" s="194">
        <v>800</v>
      </c>
      <c r="K2385" s="194">
        <v>160</v>
      </c>
      <c r="L2385" s="194"/>
      <c r="M2385" s="194">
        <v>160</v>
      </c>
      <c r="N2385" s="194"/>
      <c r="O2385" s="194"/>
      <c r="P2385" s="194"/>
      <c r="Q2385" s="194"/>
      <c r="R2385" s="194"/>
      <c r="S2385" s="194"/>
      <c r="T2385" s="194"/>
      <c r="U2385" s="194"/>
      <c r="V2385" s="194"/>
      <c r="W2385" s="19"/>
      <c r="X2385" s="17"/>
      <c r="Y2385" s="5">
        <f t="shared" si="232"/>
        <v>0</v>
      </c>
      <c r="Z2385" s="5">
        <f t="shared" si="233"/>
        <v>0</v>
      </c>
      <c r="AA2385" s="5">
        <f t="shared" si="234"/>
        <v>0</v>
      </c>
      <c r="AB2385" s="5">
        <f t="shared" si="235"/>
        <v>0</v>
      </c>
      <c r="AC2385" s="5"/>
      <c r="AD2385" s="5">
        <v>0</v>
      </c>
      <c r="AE2385" s="5">
        <f t="shared" si="236"/>
        <v>0</v>
      </c>
      <c r="AF2385" s="70">
        <v>0</v>
      </c>
      <c r="AG2385" s="17"/>
      <c r="AH2385" s="18"/>
      <c r="AI2385" s="47" t="s">
        <v>4346</v>
      </c>
      <c r="AJ2385" s="73" t="s">
        <v>4347</v>
      </c>
      <c r="AK2385" s="45"/>
      <c r="AL2385" s="17" t="s">
        <v>5007</v>
      </c>
      <c r="AM2385" s="195" t="s">
        <v>4764</v>
      </c>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39"/>
      <c r="CE2385" s="138"/>
      <c r="CF2385" s="139"/>
      <c r="CG2385" s="138"/>
      <c r="CH2385" s="139"/>
      <c r="CI2385" s="138"/>
      <c r="CJ2385" s="72"/>
      <c r="CK2385" s="139"/>
      <c r="CL2385" s="71"/>
      <c r="CM2385" s="139"/>
      <c r="CN2385" s="138"/>
      <c r="CO2385" s="138"/>
      <c r="CP2385" s="138"/>
      <c r="CQ2385" s="139"/>
      <c r="CR2385" s="138"/>
      <c r="CS2385" s="45"/>
      <c r="CT2385" s="138"/>
      <c r="CU2385" s="45"/>
      <c r="CV2385" s="99">
        <f t="shared" si="237"/>
        <v>0</v>
      </c>
      <c r="CW2385" s="139"/>
      <c r="CX2385" s="138"/>
      <c r="CY2385" s="138"/>
      <c r="CZ2385" s="138"/>
      <c r="DA2385" s="139"/>
      <c r="DB2385" s="138"/>
      <c r="DC2385" s="45"/>
      <c r="DD2385" s="138"/>
      <c r="DE2385" s="45"/>
      <c r="DF2385" s="46"/>
    </row>
    <row r="2386" spans="1:110" s="42" customFormat="1" ht="48" x14ac:dyDescent="0.2">
      <c r="A2386" s="89">
        <v>40836</v>
      </c>
      <c r="B2386" s="151" t="s">
        <v>4344</v>
      </c>
      <c r="C2386" s="90" t="s">
        <v>2215</v>
      </c>
      <c r="D2386" s="90" t="s">
        <v>4264</v>
      </c>
      <c r="E2386" s="90" t="str">
        <f>VLOOKUP(B2386&amp;C2386,Divipola!$C$2:$F$1138,4,FALSE)</f>
        <v>25407</v>
      </c>
      <c r="F2386" s="4"/>
      <c r="G2386" s="101"/>
      <c r="H2386" s="101"/>
      <c r="I2386" s="101"/>
      <c r="J2386" s="101">
        <v>20</v>
      </c>
      <c r="K2386" s="101">
        <v>5</v>
      </c>
      <c r="L2386" s="101"/>
      <c r="M2386" s="101">
        <v>5</v>
      </c>
      <c r="N2386" s="101"/>
      <c r="O2386" s="101"/>
      <c r="P2386" s="101"/>
      <c r="Q2386" s="101"/>
      <c r="R2386" s="101"/>
      <c r="S2386" s="101"/>
      <c r="T2386" s="101"/>
      <c r="U2386" s="101"/>
      <c r="V2386" s="101"/>
      <c r="W2386" s="19"/>
      <c r="X2386" s="17"/>
      <c r="Y2386" s="5">
        <f t="shared" si="232"/>
        <v>0</v>
      </c>
      <c r="Z2386" s="5">
        <f t="shared" si="233"/>
        <v>0</v>
      </c>
      <c r="AA2386" s="5">
        <f t="shared" si="234"/>
        <v>0</v>
      </c>
      <c r="AB2386" s="5">
        <f t="shared" si="235"/>
        <v>0</v>
      </c>
      <c r="AC2386" s="5"/>
      <c r="AD2386" s="5">
        <v>0</v>
      </c>
      <c r="AE2386" s="5">
        <f t="shared" si="236"/>
        <v>0</v>
      </c>
      <c r="AF2386" s="70">
        <v>0</v>
      </c>
      <c r="AG2386" s="17"/>
      <c r="AH2386" s="18"/>
      <c r="AI2386" s="47" t="s">
        <v>4336</v>
      </c>
      <c r="AJ2386" s="73" t="s">
        <v>4337</v>
      </c>
      <c r="AK2386" s="45"/>
      <c r="AL2386" s="17"/>
      <c r="AM2386" s="121" t="s">
        <v>4742</v>
      </c>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39"/>
      <c r="CE2386" s="138"/>
      <c r="CF2386" s="139"/>
      <c r="CG2386" s="138"/>
      <c r="CH2386" s="139"/>
      <c r="CI2386" s="138"/>
      <c r="CJ2386" s="72"/>
      <c r="CK2386" s="139"/>
      <c r="CL2386" s="71"/>
      <c r="CM2386" s="139"/>
      <c r="CN2386" s="138"/>
      <c r="CO2386" s="138"/>
      <c r="CP2386" s="138"/>
      <c r="CQ2386" s="139"/>
      <c r="CR2386" s="138"/>
      <c r="CS2386" s="45"/>
      <c r="CT2386" s="138"/>
      <c r="CU2386" s="45"/>
      <c r="CV2386" s="99">
        <f t="shared" si="237"/>
        <v>0</v>
      </c>
      <c r="CW2386" s="139"/>
      <c r="CX2386" s="138"/>
      <c r="CY2386" s="138"/>
      <c r="CZ2386" s="138"/>
      <c r="DA2386" s="139"/>
      <c r="DB2386" s="138"/>
      <c r="DC2386" s="45"/>
      <c r="DD2386" s="138"/>
      <c r="DE2386" s="45"/>
      <c r="DF2386" s="46"/>
    </row>
    <row r="2387" spans="1:110" s="42" customFormat="1" ht="60" x14ac:dyDescent="0.2">
      <c r="A2387" s="89">
        <v>40836</v>
      </c>
      <c r="B2387" s="151" t="s">
        <v>4344</v>
      </c>
      <c r="C2387" s="90" t="s">
        <v>1784</v>
      </c>
      <c r="D2387" s="90" t="s">
        <v>2362</v>
      </c>
      <c r="E2387" s="90" t="str">
        <f>VLOOKUP(B2387&amp;C2387,Divipola!$C$2:$F$1138,4,FALSE)</f>
        <v>25596</v>
      </c>
      <c r="F2387" s="4"/>
      <c r="G2387" s="101"/>
      <c r="H2387" s="101"/>
      <c r="I2387" s="101"/>
      <c r="J2387" s="101">
        <v>6</v>
      </c>
      <c r="K2387" s="101">
        <v>1</v>
      </c>
      <c r="L2387" s="101"/>
      <c r="M2387" s="101"/>
      <c r="N2387" s="101">
        <v>1</v>
      </c>
      <c r="O2387" s="101"/>
      <c r="P2387" s="101"/>
      <c r="Q2387" s="101"/>
      <c r="R2387" s="101"/>
      <c r="S2387" s="101"/>
      <c r="T2387" s="101"/>
      <c r="U2387" s="101"/>
      <c r="V2387" s="101"/>
      <c r="W2387" s="19"/>
      <c r="X2387" s="17"/>
      <c r="Y2387" s="5">
        <f t="shared" si="232"/>
        <v>0</v>
      </c>
      <c r="Z2387" s="5">
        <f t="shared" si="233"/>
        <v>0</v>
      </c>
      <c r="AA2387" s="5">
        <f t="shared" si="234"/>
        <v>0</v>
      </c>
      <c r="AB2387" s="5">
        <f t="shared" si="235"/>
        <v>0</v>
      </c>
      <c r="AC2387" s="5"/>
      <c r="AD2387" s="5">
        <v>0</v>
      </c>
      <c r="AE2387" s="5">
        <f t="shared" si="236"/>
        <v>0</v>
      </c>
      <c r="AF2387" s="70">
        <v>0</v>
      </c>
      <c r="AG2387" s="17"/>
      <c r="AH2387" s="18"/>
      <c r="AI2387" s="47" t="s">
        <v>4336</v>
      </c>
      <c r="AJ2387" s="73" t="s">
        <v>4337</v>
      </c>
      <c r="AK2387" s="45"/>
      <c r="AL2387" s="17"/>
      <c r="AM2387" s="121" t="s">
        <v>4741</v>
      </c>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39"/>
      <c r="CE2387" s="138"/>
      <c r="CF2387" s="139"/>
      <c r="CG2387" s="138"/>
      <c r="CH2387" s="139"/>
      <c r="CI2387" s="138"/>
      <c r="CJ2387" s="72"/>
      <c r="CK2387" s="139"/>
      <c r="CL2387" s="71"/>
      <c r="CM2387" s="139"/>
      <c r="CN2387" s="138"/>
      <c r="CO2387" s="138"/>
      <c r="CP2387" s="138"/>
      <c r="CQ2387" s="139"/>
      <c r="CR2387" s="138"/>
      <c r="CS2387" s="45"/>
      <c r="CT2387" s="138"/>
      <c r="CU2387" s="45"/>
      <c r="CV2387" s="99">
        <f t="shared" si="237"/>
        <v>0</v>
      </c>
      <c r="CW2387" s="139"/>
      <c r="CX2387" s="138"/>
      <c r="CY2387" s="138"/>
      <c r="CZ2387" s="138"/>
      <c r="DA2387" s="139"/>
      <c r="DB2387" s="138"/>
      <c r="DC2387" s="45"/>
      <c r="DD2387" s="138"/>
      <c r="DE2387" s="45"/>
      <c r="DF2387" s="46"/>
    </row>
    <row r="2388" spans="1:110" s="42" customFormat="1" ht="84" x14ac:dyDescent="0.2">
      <c r="A2388" s="89">
        <v>40836</v>
      </c>
      <c r="B2388" s="151" t="s">
        <v>4350</v>
      </c>
      <c r="C2388" s="90" t="s">
        <v>3535</v>
      </c>
      <c r="D2388" s="90" t="s">
        <v>2362</v>
      </c>
      <c r="E2388" s="90" t="str">
        <f>VLOOKUP(B2388&amp;C2388,Divipola!$C$2:$F$1138,4,FALSE)</f>
        <v>63130</v>
      </c>
      <c r="F2388" s="4"/>
      <c r="G2388" s="101"/>
      <c r="H2388" s="101"/>
      <c r="I2388" s="101"/>
      <c r="J2388" s="101"/>
      <c r="K2388" s="101"/>
      <c r="L2388" s="101"/>
      <c r="M2388" s="101"/>
      <c r="N2388" s="101">
        <v>1</v>
      </c>
      <c r="O2388" s="101"/>
      <c r="P2388" s="101"/>
      <c r="Q2388" s="101">
        <v>1</v>
      </c>
      <c r="R2388" s="101"/>
      <c r="S2388" s="101"/>
      <c r="T2388" s="101"/>
      <c r="U2388" s="101"/>
      <c r="V2388" s="101"/>
      <c r="W2388" s="19"/>
      <c r="X2388" s="17"/>
      <c r="Y2388" s="5">
        <f t="shared" si="232"/>
        <v>0</v>
      </c>
      <c r="Z2388" s="5">
        <f t="shared" si="233"/>
        <v>0</v>
      </c>
      <c r="AA2388" s="5">
        <f t="shared" si="234"/>
        <v>0</v>
      </c>
      <c r="AB2388" s="5">
        <f t="shared" si="235"/>
        <v>0</v>
      </c>
      <c r="AC2388" s="5"/>
      <c r="AD2388" s="5">
        <v>0</v>
      </c>
      <c r="AE2388" s="5">
        <f t="shared" si="236"/>
        <v>0</v>
      </c>
      <c r="AF2388" s="70">
        <v>0</v>
      </c>
      <c r="AG2388" s="17"/>
      <c r="AH2388" s="18"/>
      <c r="AI2388" s="47" t="s">
        <v>4336</v>
      </c>
      <c r="AJ2388" s="73" t="s">
        <v>4337</v>
      </c>
      <c r="AK2388" s="45"/>
      <c r="AL2388" s="17"/>
      <c r="AM2388" s="121" t="s">
        <v>4752</v>
      </c>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39"/>
      <c r="CE2388" s="138"/>
      <c r="CF2388" s="139"/>
      <c r="CG2388" s="138"/>
      <c r="CH2388" s="139"/>
      <c r="CI2388" s="138"/>
      <c r="CJ2388" s="72"/>
      <c r="CK2388" s="139"/>
      <c r="CL2388" s="71"/>
      <c r="CM2388" s="139"/>
      <c r="CN2388" s="138"/>
      <c r="CO2388" s="138"/>
      <c r="CP2388" s="138"/>
      <c r="CQ2388" s="139"/>
      <c r="CR2388" s="138"/>
      <c r="CS2388" s="45"/>
      <c r="CT2388" s="138"/>
      <c r="CU2388" s="45"/>
      <c r="CV2388" s="99">
        <f t="shared" si="237"/>
        <v>0</v>
      </c>
      <c r="CW2388" s="139"/>
      <c r="CX2388" s="138"/>
      <c r="CY2388" s="138"/>
      <c r="CZ2388" s="138"/>
      <c r="DA2388" s="139"/>
      <c r="DB2388" s="138"/>
      <c r="DC2388" s="45"/>
      <c r="DD2388" s="138"/>
      <c r="DE2388" s="45"/>
      <c r="DF2388" s="46"/>
    </row>
    <row r="2389" spans="1:110" s="42" customFormat="1" ht="36" x14ac:dyDescent="0.2">
      <c r="A2389" s="89">
        <v>40836</v>
      </c>
      <c r="B2389" s="196" t="s">
        <v>4348</v>
      </c>
      <c r="C2389" s="197" t="s">
        <v>3304</v>
      </c>
      <c r="D2389" s="90" t="s">
        <v>2362</v>
      </c>
      <c r="E2389" s="90" t="str">
        <f>VLOOKUP(B2389&amp;C2389,Divipola!$C$2:$F$1138,4,FALSE)</f>
        <v>66440</v>
      </c>
      <c r="F2389" s="4"/>
      <c r="G2389" s="194"/>
      <c r="H2389" s="194"/>
      <c r="I2389" s="194"/>
      <c r="J2389" s="194"/>
      <c r="K2389" s="194"/>
      <c r="L2389" s="194"/>
      <c r="M2389" s="194"/>
      <c r="N2389" s="194">
        <v>3</v>
      </c>
      <c r="O2389" s="194"/>
      <c r="P2389" s="194"/>
      <c r="Q2389" s="194"/>
      <c r="R2389" s="194"/>
      <c r="S2389" s="194"/>
      <c r="T2389" s="194"/>
      <c r="U2389" s="194"/>
      <c r="V2389" s="194"/>
      <c r="W2389" s="19"/>
      <c r="X2389" s="17"/>
      <c r="Y2389" s="5">
        <f t="shared" si="232"/>
        <v>0</v>
      </c>
      <c r="Z2389" s="5">
        <f t="shared" si="233"/>
        <v>0</v>
      </c>
      <c r="AA2389" s="5">
        <f t="shared" si="234"/>
        <v>0</v>
      </c>
      <c r="AB2389" s="5">
        <f t="shared" si="235"/>
        <v>0</v>
      </c>
      <c r="AC2389" s="5"/>
      <c r="AD2389" s="5">
        <v>0</v>
      </c>
      <c r="AE2389" s="5">
        <f t="shared" si="236"/>
        <v>0</v>
      </c>
      <c r="AF2389" s="70">
        <v>0</v>
      </c>
      <c r="AG2389" s="17"/>
      <c r="AH2389" s="18"/>
      <c r="AI2389" s="47" t="s">
        <v>4336</v>
      </c>
      <c r="AJ2389" s="73" t="s">
        <v>4337</v>
      </c>
      <c r="AK2389" s="45"/>
      <c r="AL2389" s="17"/>
      <c r="AM2389" s="195" t="s">
        <v>4890</v>
      </c>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39"/>
      <c r="CE2389" s="138"/>
      <c r="CF2389" s="139"/>
      <c r="CG2389" s="138"/>
      <c r="CH2389" s="139"/>
      <c r="CI2389" s="138"/>
      <c r="CJ2389" s="72"/>
      <c r="CK2389" s="139"/>
      <c r="CL2389" s="71"/>
      <c r="CM2389" s="139"/>
      <c r="CN2389" s="138"/>
      <c r="CO2389" s="138"/>
      <c r="CP2389" s="138"/>
      <c r="CQ2389" s="139"/>
      <c r="CR2389" s="138"/>
      <c r="CS2389" s="45"/>
      <c r="CT2389" s="138"/>
      <c r="CU2389" s="45"/>
      <c r="CV2389" s="99">
        <f t="shared" si="237"/>
        <v>0</v>
      </c>
      <c r="CW2389" s="139"/>
      <c r="CX2389" s="138"/>
      <c r="CY2389" s="138"/>
      <c r="CZ2389" s="138"/>
      <c r="DA2389" s="139"/>
      <c r="DB2389" s="138"/>
      <c r="DC2389" s="45"/>
      <c r="DD2389" s="138"/>
      <c r="DE2389" s="45"/>
      <c r="DF2389" s="46"/>
    </row>
    <row r="2390" spans="1:110" s="42" customFormat="1" ht="36" x14ac:dyDescent="0.2">
      <c r="A2390" s="89">
        <v>40836</v>
      </c>
      <c r="B2390" s="196" t="s">
        <v>4348</v>
      </c>
      <c r="C2390" s="197" t="s">
        <v>3304</v>
      </c>
      <c r="D2390" s="90" t="s">
        <v>2362</v>
      </c>
      <c r="E2390" s="90" t="str">
        <f>VLOOKUP(B2390&amp;C2390,Divipola!$C$2:$F$1138,4,FALSE)</f>
        <v>66440</v>
      </c>
      <c r="F2390" s="4"/>
      <c r="G2390" s="194"/>
      <c r="H2390" s="194"/>
      <c r="I2390" s="194"/>
      <c r="J2390" s="194"/>
      <c r="K2390" s="194"/>
      <c r="L2390" s="194"/>
      <c r="M2390" s="194"/>
      <c r="N2390" s="194">
        <v>1</v>
      </c>
      <c r="O2390" s="194"/>
      <c r="P2390" s="194"/>
      <c r="Q2390" s="194"/>
      <c r="R2390" s="194"/>
      <c r="S2390" s="194"/>
      <c r="T2390" s="194"/>
      <c r="U2390" s="194"/>
      <c r="V2390" s="194"/>
      <c r="W2390" s="19"/>
      <c r="X2390" s="17"/>
      <c r="Y2390" s="5">
        <f t="shared" si="232"/>
        <v>0</v>
      </c>
      <c r="Z2390" s="5">
        <f t="shared" si="233"/>
        <v>0</v>
      </c>
      <c r="AA2390" s="5">
        <f t="shared" si="234"/>
        <v>0</v>
      </c>
      <c r="AB2390" s="5">
        <f t="shared" si="235"/>
        <v>0</v>
      </c>
      <c r="AC2390" s="5"/>
      <c r="AD2390" s="5">
        <v>0</v>
      </c>
      <c r="AE2390" s="5">
        <f t="shared" si="236"/>
        <v>0</v>
      </c>
      <c r="AF2390" s="70">
        <v>0</v>
      </c>
      <c r="AG2390" s="17"/>
      <c r="AH2390" s="18"/>
      <c r="AI2390" s="47" t="s">
        <v>4336</v>
      </c>
      <c r="AJ2390" s="73" t="s">
        <v>4337</v>
      </c>
      <c r="AK2390" s="45"/>
      <c r="AL2390" s="17"/>
      <c r="AM2390" s="195" t="s">
        <v>4891</v>
      </c>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39"/>
      <c r="CE2390" s="138"/>
      <c r="CF2390" s="139"/>
      <c r="CG2390" s="138"/>
      <c r="CH2390" s="139"/>
      <c r="CI2390" s="138"/>
      <c r="CJ2390" s="72"/>
      <c r="CK2390" s="139"/>
      <c r="CL2390" s="71"/>
      <c r="CM2390" s="139"/>
      <c r="CN2390" s="138"/>
      <c r="CO2390" s="138"/>
      <c r="CP2390" s="138"/>
      <c r="CQ2390" s="139"/>
      <c r="CR2390" s="138"/>
      <c r="CS2390" s="45"/>
      <c r="CT2390" s="138"/>
      <c r="CU2390" s="45"/>
      <c r="CV2390" s="99">
        <f t="shared" si="237"/>
        <v>0</v>
      </c>
      <c r="CW2390" s="139"/>
      <c r="CX2390" s="138"/>
      <c r="CY2390" s="138"/>
      <c r="CZ2390" s="138"/>
      <c r="DA2390" s="139"/>
      <c r="DB2390" s="138"/>
      <c r="DC2390" s="45"/>
      <c r="DD2390" s="138"/>
      <c r="DE2390" s="45"/>
      <c r="DF2390" s="46"/>
    </row>
    <row r="2391" spans="1:110" s="42" customFormat="1" ht="48" x14ac:dyDescent="0.2">
      <c r="A2391" s="89">
        <v>40836</v>
      </c>
      <c r="B2391" s="151" t="s">
        <v>2226</v>
      </c>
      <c r="C2391" s="90" t="s">
        <v>4232</v>
      </c>
      <c r="D2391" s="90" t="s">
        <v>2362</v>
      </c>
      <c r="E2391" s="90" t="str">
        <f>VLOOKUP(B2391&amp;C2391,Divipola!$C$2:$F$1138,4,FALSE)</f>
        <v>68001</v>
      </c>
      <c r="F2391" s="4"/>
      <c r="G2391" s="101"/>
      <c r="H2391" s="101"/>
      <c r="I2391" s="101"/>
      <c r="J2391" s="101"/>
      <c r="K2391" s="101"/>
      <c r="L2391" s="101"/>
      <c r="M2391" s="101"/>
      <c r="N2391" s="101">
        <v>1</v>
      </c>
      <c r="O2391" s="101"/>
      <c r="P2391" s="101"/>
      <c r="Q2391" s="101"/>
      <c r="R2391" s="101"/>
      <c r="S2391" s="101"/>
      <c r="T2391" s="101"/>
      <c r="U2391" s="101"/>
      <c r="V2391" s="101"/>
      <c r="W2391" s="19"/>
      <c r="X2391" s="17"/>
      <c r="Y2391" s="5">
        <f t="shared" si="232"/>
        <v>0</v>
      </c>
      <c r="Z2391" s="5">
        <f t="shared" si="233"/>
        <v>0</v>
      </c>
      <c r="AA2391" s="5">
        <f t="shared" si="234"/>
        <v>0</v>
      </c>
      <c r="AB2391" s="5">
        <f t="shared" si="235"/>
        <v>0</v>
      </c>
      <c r="AC2391" s="5"/>
      <c r="AD2391" s="5">
        <v>0</v>
      </c>
      <c r="AE2391" s="5">
        <f t="shared" si="236"/>
        <v>0</v>
      </c>
      <c r="AF2391" s="70">
        <v>0</v>
      </c>
      <c r="AG2391" s="17"/>
      <c r="AH2391" s="18"/>
      <c r="AI2391" s="47" t="s">
        <v>4346</v>
      </c>
      <c r="AJ2391" s="73" t="s">
        <v>4347</v>
      </c>
      <c r="AK2391" s="45"/>
      <c r="AL2391" s="89" t="s">
        <v>2798</v>
      </c>
      <c r="AM2391" s="121" t="s">
        <v>4797</v>
      </c>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39"/>
      <c r="CE2391" s="138"/>
      <c r="CF2391" s="139"/>
      <c r="CG2391" s="138"/>
      <c r="CH2391" s="139"/>
      <c r="CI2391" s="138"/>
      <c r="CJ2391" s="72"/>
      <c r="CK2391" s="139"/>
      <c r="CL2391" s="71"/>
      <c r="CM2391" s="139"/>
      <c r="CN2391" s="138"/>
      <c r="CO2391" s="138"/>
      <c r="CP2391" s="138"/>
      <c r="CQ2391" s="139"/>
      <c r="CR2391" s="138"/>
      <c r="CS2391" s="45"/>
      <c r="CT2391" s="138"/>
      <c r="CU2391" s="45"/>
      <c r="CV2391" s="99">
        <f t="shared" si="237"/>
        <v>0</v>
      </c>
      <c r="CW2391" s="139"/>
      <c r="CX2391" s="138"/>
      <c r="CY2391" s="138"/>
      <c r="CZ2391" s="138"/>
      <c r="DA2391" s="139"/>
      <c r="DB2391" s="138"/>
      <c r="DC2391" s="45"/>
      <c r="DD2391" s="138"/>
      <c r="DE2391" s="45"/>
      <c r="DF2391" s="46"/>
    </row>
    <row r="2392" spans="1:110" s="42" customFormat="1" x14ac:dyDescent="0.2">
      <c r="A2392" s="89">
        <v>40836</v>
      </c>
      <c r="B2392" s="153" t="s">
        <v>2226</v>
      </c>
      <c r="C2392" s="4" t="s">
        <v>4345</v>
      </c>
      <c r="D2392" s="90" t="s">
        <v>4264</v>
      </c>
      <c r="E2392" s="90">
        <f>VLOOKUP(B2392&amp;C2392,Divipola!$C$2:$F$1138,4,FALSE)</f>
        <v>68</v>
      </c>
      <c r="F2392" s="4"/>
      <c r="G2392" s="208"/>
      <c r="H2392" s="208"/>
      <c r="I2392" s="208"/>
      <c r="J2392" s="208"/>
      <c r="K2392" s="208"/>
      <c r="L2392" s="208"/>
      <c r="M2392" s="208"/>
      <c r="N2392" s="208"/>
      <c r="O2392" s="208"/>
      <c r="P2392" s="208"/>
      <c r="Q2392" s="208"/>
      <c r="R2392" s="208"/>
      <c r="S2392" s="208"/>
      <c r="T2392" s="208"/>
      <c r="U2392" s="208"/>
      <c r="V2392" s="208"/>
      <c r="W2392" s="19"/>
      <c r="X2392" s="17"/>
      <c r="Y2392" s="5">
        <f t="shared" si="232"/>
        <v>92999636</v>
      </c>
      <c r="Z2392" s="5">
        <f t="shared" si="233"/>
        <v>255000000</v>
      </c>
      <c r="AA2392" s="5">
        <f t="shared" si="234"/>
        <v>0</v>
      </c>
      <c r="AB2392" s="5">
        <f t="shared" si="235"/>
        <v>63336000</v>
      </c>
      <c r="AC2392" s="159">
        <f>500*70000</f>
        <v>35000000</v>
      </c>
      <c r="AD2392" s="5">
        <v>0</v>
      </c>
      <c r="AE2392" s="5">
        <f t="shared" si="236"/>
        <v>446335636</v>
      </c>
      <c r="AF2392" s="70">
        <v>0</v>
      </c>
      <c r="AG2392" s="17"/>
      <c r="AH2392" s="18"/>
      <c r="AI2392" s="47" t="s">
        <v>4346</v>
      </c>
      <c r="AJ2392" s="73" t="s">
        <v>4347</v>
      </c>
      <c r="AK2392" s="45"/>
      <c r="AL2392" s="17"/>
      <c r="AM2392" s="20" t="s">
        <v>4770</v>
      </c>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v>150</v>
      </c>
      <c r="CA2392" s="19">
        <f>150*499999.44</f>
        <v>74999916</v>
      </c>
      <c r="CB2392" s="19"/>
      <c r="CC2392" s="19"/>
      <c r="CD2392" s="139"/>
      <c r="CE2392" s="138"/>
      <c r="CF2392" s="139"/>
      <c r="CG2392" s="138"/>
      <c r="CH2392" s="139"/>
      <c r="CI2392" s="138"/>
      <c r="CJ2392" s="72"/>
      <c r="CK2392" s="139"/>
      <c r="CL2392" s="71"/>
      <c r="CM2392" s="139"/>
      <c r="CN2392" s="138">
        <v>1000</v>
      </c>
      <c r="CO2392" s="138">
        <f>1000*17999.72</f>
        <v>17999720</v>
      </c>
      <c r="CP2392" s="138"/>
      <c r="CQ2392" s="139"/>
      <c r="CR2392" s="138"/>
      <c r="CS2392" s="45"/>
      <c r="CT2392" s="138"/>
      <c r="CU2392" s="45"/>
      <c r="CV2392" s="99">
        <f t="shared" si="237"/>
        <v>92999636</v>
      </c>
      <c r="CW2392" s="139">
        <v>70000</v>
      </c>
      <c r="CX2392" s="138">
        <f>70000*904.8</f>
        <v>63336000</v>
      </c>
      <c r="CY2392" s="138">
        <v>3000</v>
      </c>
      <c r="CZ2392" s="138">
        <f>3000*85000</f>
        <v>255000000</v>
      </c>
      <c r="DA2392" s="139"/>
      <c r="DB2392" s="138"/>
      <c r="DC2392" s="45"/>
      <c r="DD2392" s="138"/>
      <c r="DE2392" s="45"/>
      <c r="DF2392" s="46"/>
    </row>
    <row r="2393" spans="1:110" s="42" customFormat="1" ht="48" x14ac:dyDescent="0.2">
      <c r="A2393" s="89">
        <v>40836</v>
      </c>
      <c r="B2393" s="151" t="s">
        <v>2226</v>
      </c>
      <c r="C2393" s="90" t="s">
        <v>2951</v>
      </c>
      <c r="D2393" s="90" t="s">
        <v>2362</v>
      </c>
      <c r="E2393" s="90" t="str">
        <f>VLOOKUP(B2393&amp;C2393,Divipola!$C$2:$F$1138,4,FALSE)</f>
        <v>68425</v>
      </c>
      <c r="F2393" s="4"/>
      <c r="G2393" s="101"/>
      <c r="H2393" s="101"/>
      <c r="I2393" s="101"/>
      <c r="J2393" s="101"/>
      <c r="K2393" s="101"/>
      <c r="L2393" s="101"/>
      <c r="M2393" s="101"/>
      <c r="N2393" s="101">
        <v>3</v>
      </c>
      <c r="O2393" s="101"/>
      <c r="P2393" s="101"/>
      <c r="Q2393" s="101"/>
      <c r="R2393" s="101"/>
      <c r="S2393" s="101"/>
      <c r="T2393" s="101"/>
      <c r="U2393" s="101"/>
      <c r="V2393" s="101"/>
      <c r="W2393" s="19"/>
      <c r="X2393" s="17"/>
      <c r="Y2393" s="5">
        <f t="shared" si="232"/>
        <v>0</v>
      </c>
      <c r="Z2393" s="5">
        <f t="shared" si="233"/>
        <v>0</v>
      </c>
      <c r="AA2393" s="5">
        <f t="shared" si="234"/>
        <v>0</v>
      </c>
      <c r="AB2393" s="5">
        <f t="shared" si="235"/>
        <v>0</v>
      </c>
      <c r="AC2393" s="5"/>
      <c r="AD2393" s="5">
        <v>0</v>
      </c>
      <c r="AE2393" s="5">
        <f t="shared" si="236"/>
        <v>0</v>
      </c>
      <c r="AF2393" s="70">
        <v>0</v>
      </c>
      <c r="AG2393" s="17"/>
      <c r="AH2393" s="18"/>
      <c r="AI2393" s="47" t="s">
        <v>4346</v>
      </c>
      <c r="AJ2393" s="73" t="s">
        <v>4347</v>
      </c>
      <c r="AK2393" s="45"/>
      <c r="AL2393" s="89" t="s">
        <v>2798</v>
      </c>
      <c r="AM2393" s="121" t="s">
        <v>4796</v>
      </c>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39"/>
      <c r="CE2393" s="138"/>
      <c r="CF2393" s="139"/>
      <c r="CG2393" s="138"/>
      <c r="CH2393" s="139"/>
      <c r="CI2393" s="138"/>
      <c r="CJ2393" s="72"/>
      <c r="CK2393" s="139"/>
      <c r="CL2393" s="71"/>
      <c r="CM2393" s="139"/>
      <c r="CN2393" s="138"/>
      <c r="CO2393" s="138"/>
      <c r="CP2393" s="138"/>
      <c r="CQ2393" s="139"/>
      <c r="CR2393" s="138"/>
      <c r="CS2393" s="45"/>
      <c r="CT2393" s="138"/>
      <c r="CU2393" s="45"/>
      <c r="CV2393" s="99">
        <f t="shared" si="237"/>
        <v>0</v>
      </c>
      <c r="CW2393" s="139"/>
      <c r="CX2393" s="138"/>
      <c r="CY2393" s="138"/>
      <c r="CZ2393" s="138"/>
      <c r="DA2393" s="139"/>
      <c r="DB2393" s="138"/>
      <c r="DC2393" s="45"/>
      <c r="DD2393" s="138"/>
      <c r="DE2393" s="45"/>
      <c r="DF2393" s="46"/>
    </row>
    <row r="2394" spans="1:110" s="42" customFormat="1" ht="84" x14ac:dyDescent="0.2">
      <c r="A2394" s="89">
        <v>40836</v>
      </c>
      <c r="B2394" s="16" t="s">
        <v>4349</v>
      </c>
      <c r="C2394" s="16" t="s">
        <v>4349</v>
      </c>
      <c r="D2394" s="90" t="s">
        <v>4264</v>
      </c>
      <c r="E2394" s="90" t="str">
        <f>VLOOKUP(B2394&amp;C2394,Divipola!$C$2:$F$1138,4,FALSE)</f>
        <v>00000</v>
      </c>
      <c r="F2394" s="4"/>
      <c r="G2394" s="208"/>
      <c r="H2394" s="208"/>
      <c r="I2394" s="208"/>
      <c r="J2394" s="208"/>
      <c r="K2394" s="208"/>
      <c r="L2394" s="208"/>
      <c r="M2394" s="208"/>
      <c r="N2394" s="208"/>
      <c r="O2394" s="208"/>
      <c r="P2394" s="208"/>
      <c r="Q2394" s="208"/>
      <c r="R2394" s="208"/>
      <c r="S2394" s="208"/>
      <c r="T2394" s="208"/>
      <c r="U2394" s="208"/>
      <c r="V2394" s="208"/>
      <c r="W2394" s="19"/>
      <c r="X2394" s="17"/>
      <c r="Y2394" s="5">
        <f t="shared" si="232"/>
        <v>0</v>
      </c>
      <c r="Z2394" s="5">
        <f t="shared" si="233"/>
        <v>0</v>
      </c>
      <c r="AA2394" s="5">
        <f t="shared" si="234"/>
        <v>0</v>
      </c>
      <c r="AB2394" s="5">
        <f t="shared" si="235"/>
        <v>0</v>
      </c>
      <c r="AC2394" s="5">
        <v>117614720</v>
      </c>
      <c r="AD2394" s="5">
        <v>0</v>
      </c>
      <c r="AE2394" s="5">
        <f t="shared" si="236"/>
        <v>117614720</v>
      </c>
      <c r="AF2394" s="70">
        <v>0</v>
      </c>
      <c r="AG2394" s="17"/>
      <c r="AH2394" s="18"/>
      <c r="AI2394" s="47" t="s">
        <v>4346</v>
      </c>
      <c r="AJ2394" s="73" t="s">
        <v>4347</v>
      </c>
      <c r="AK2394" s="45"/>
      <c r="AL2394" s="17"/>
      <c r="AM2394" s="20" t="s">
        <v>5211</v>
      </c>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39"/>
      <c r="CE2394" s="138"/>
      <c r="CF2394" s="139"/>
      <c r="CG2394" s="138"/>
      <c r="CH2394" s="139"/>
      <c r="CI2394" s="138"/>
      <c r="CJ2394" s="72"/>
      <c r="CK2394" s="139"/>
      <c r="CL2394" s="71"/>
      <c r="CM2394" s="139"/>
      <c r="CN2394" s="138"/>
      <c r="CO2394" s="138"/>
      <c r="CP2394" s="138"/>
      <c r="CQ2394" s="139"/>
      <c r="CR2394" s="138"/>
      <c r="CS2394" s="45"/>
      <c r="CT2394" s="138"/>
      <c r="CU2394" s="45"/>
      <c r="CV2394" s="99">
        <f t="shared" si="237"/>
        <v>0</v>
      </c>
      <c r="CW2394" s="139"/>
      <c r="CX2394" s="138"/>
      <c r="CY2394" s="138"/>
      <c r="CZ2394" s="138"/>
      <c r="DA2394" s="139"/>
      <c r="DB2394" s="138"/>
      <c r="DC2394" s="45"/>
      <c r="DD2394" s="138"/>
      <c r="DE2394" s="45"/>
      <c r="DF2394" s="46"/>
    </row>
    <row r="2395" spans="1:110" s="42" customFormat="1" ht="96" x14ac:dyDescent="0.2">
      <c r="A2395" s="89">
        <v>40837</v>
      </c>
      <c r="B2395" s="151" t="s">
        <v>4344</v>
      </c>
      <c r="C2395" s="90" t="s">
        <v>3355</v>
      </c>
      <c r="D2395" s="90" t="s">
        <v>4264</v>
      </c>
      <c r="E2395" s="90" t="str">
        <f>VLOOKUP(B2395&amp;C2395,Divipola!$C$2:$F$1138,4,FALSE)</f>
        <v>25269</v>
      </c>
      <c r="F2395" s="4"/>
      <c r="G2395" s="194"/>
      <c r="H2395" s="194"/>
      <c r="I2395" s="194"/>
      <c r="J2395" s="194">
        <v>30</v>
      </c>
      <c r="K2395" s="194">
        <v>6</v>
      </c>
      <c r="L2395" s="194"/>
      <c r="M2395" s="194">
        <v>6</v>
      </c>
      <c r="N2395" s="194"/>
      <c r="O2395" s="194"/>
      <c r="P2395" s="194"/>
      <c r="Q2395" s="194"/>
      <c r="R2395" s="194"/>
      <c r="S2395" s="194"/>
      <c r="T2395" s="194"/>
      <c r="U2395" s="194"/>
      <c r="V2395" s="194">
        <v>60</v>
      </c>
      <c r="W2395" s="19"/>
      <c r="X2395" s="17"/>
      <c r="Y2395" s="5">
        <f t="shared" si="232"/>
        <v>0</v>
      </c>
      <c r="Z2395" s="5">
        <f t="shared" si="233"/>
        <v>0</v>
      </c>
      <c r="AA2395" s="5">
        <f t="shared" si="234"/>
        <v>0</v>
      </c>
      <c r="AB2395" s="5">
        <f t="shared" si="235"/>
        <v>0</v>
      </c>
      <c r="AC2395" s="5"/>
      <c r="AD2395" s="5">
        <v>0</v>
      </c>
      <c r="AE2395" s="5">
        <f t="shared" si="236"/>
        <v>0</v>
      </c>
      <c r="AF2395" s="70">
        <v>0</v>
      </c>
      <c r="AG2395" s="17"/>
      <c r="AH2395" s="18"/>
      <c r="AI2395" s="47" t="s">
        <v>4336</v>
      </c>
      <c r="AJ2395" s="73" t="s">
        <v>4337</v>
      </c>
      <c r="AK2395" s="45"/>
      <c r="AL2395" s="17"/>
      <c r="AM2395" s="195" t="s">
        <v>4766</v>
      </c>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39"/>
      <c r="CE2395" s="138"/>
      <c r="CF2395" s="139"/>
      <c r="CG2395" s="138"/>
      <c r="CH2395" s="139"/>
      <c r="CI2395" s="138"/>
      <c r="CJ2395" s="72"/>
      <c r="CK2395" s="139"/>
      <c r="CL2395" s="71"/>
      <c r="CM2395" s="139"/>
      <c r="CN2395" s="138"/>
      <c r="CO2395" s="138"/>
      <c r="CP2395" s="138"/>
      <c r="CQ2395" s="139"/>
      <c r="CR2395" s="138"/>
      <c r="CS2395" s="45"/>
      <c r="CT2395" s="138"/>
      <c r="CU2395" s="45"/>
      <c r="CV2395" s="99">
        <f t="shared" si="237"/>
        <v>0</v>
      </c>
      <c r="CW2395" s="139"/>
      <c r="CX2395" s="138"/>
      <c r="CY2395" s="138"/>
      <c r="CZ2395" s="138"/>
      <c r="DA2395" s="139"/>
      <c r="DB2395" s="138"/>
      <c r="DC2395" s="45"/>
      <c r="DD2395" s="138"/>
      <c r="DE2395" s="45"/>
      <c r="DF2395" s="46"/>
    </row>
    <row r="2396" spans="1:110" s="42" customFormat="1" ht="36" x14ac:dyDescent="0.2">
      <c r="A2396" s="89">
        <v>40837</v>
      </c>
      <c r="B2396" s="196" t="s">
        <v>4348</v>
      </c>
      <c r="C2396" s="197" t="s">
        <v>3303</v>
      </c>
      <c r="D2396" s="90" t="s">
        <v>2362</v>
      </c>
      <c r="E2396" s="90" t="str">
        <f>VLOOKUP(B2396&amp;C2396,Divipola!$C$2:$F$1138,4,FALSE)</f>
        <v>66456</v>
      </c>
      <c r="F2396" s="4"/>
      <c r="G2396" s="194"/>
      <c r="H2396" s="194"/>
      <c r="I2396" s="194"/>
      <c r="J2396" s="194">
        <v>5</v>
      </c>
      <c r="K2396" s="194">
        <v>1</v>
      </c>
      <c r="L2396" s="194">
        <v>1</v>
      </c>
      <c r="M2396" s="194"/>
      <c r="N2396" s="194"/>
      <c r="O2396" s="194"/>
      <c r="P2396" s="194"/>
      <c r="Q2396" s="194"/>
      <c r="R2396" s="194"/>
      <c r="S2396" s="194"/>
      <c r="T2396" s="194"/>
      <c r="U2396" s="194"/>
      <c r="V2396" s="194"/>
      <c r="W2396" s="19"/>
      <c r="X2396" s="17"/>
      <c r="Y2396" s="5">
        <f t="shared" si="232"/>
        <v>0</v>
      </c>
      <c r="Z2396" s="5">
        <f t="shared" si="233"/>
        <v>0</v>
      </c>
      <c r="AA2396" s="5">
        <f t="shared" si="234"/>
        <v>0</v>
      </c>
      <c r="AB2396" s="5">
        <f t="shared" si="235"/>
        <v>0</v>
      </c>
      <c r="AC2396" s="5"/>
      <c r="AD2396" s="5">
        <v>0</v>
      </c>
      <c r="AE2396" s="5">
        <f t="shared" si="236"/>
        <v>0</v>
      </c>
      <c r="AF2396" s="70">
        <v>0</v>
      </c>
      <c r="AG2396" s="17"/>
      <c r="AH2396" s="18"/>
      <c r="AI2396" s="47" t="s">
        <v>4336</v>
      </c>
      <c r="AJ2396" s="73" t="s">
        <v>4337</v>
      </c>
      <c r="AK2396" s="45"/>
      <c r="AL2396" s="17"/>
      <c r="AM2396" s="195" t="s">
        <v>4893</v>
      </c>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39"/>
      <c r="CE2396" s="138"/>
      <c r="CF2396" s="139"/>
      <c r="CG2396" s="138"/>
      <c r="CH2396" s="139"/>
      <c r="CI2396" s="138"/>
      <c r="CJ2396" s="72"/>
      <c r="CK2396" s="139"/>
      <c r="CL2396" s="71"/>
      <c r="CM2396" s="139"/>
      <c r="CN2396" s="138"/>
      <c r="CO2396" s="138"/>
      <c r="CP2396" s="138"/>
      <c r="CQ2396" s="139"/>
      <c r="CR2396" s="138"/>
      <c r="CS2396" s="45"/>
      <c r="CT2396" s="138"/>
      <c r="CU2396" s="45"/>
      <c r="CV2396" s="99">
        <f t="shared" si="237"/>
        <v>0</v>
      </c>
      <c r="CW2396" s="139"/>
      <c r="CX2396" s="138"/>
      <c r="CY2396" s="138"/>
      <c r="CZ2396" s="138"/>
      <c r="DA2396" s="139"/>
      <c r="DB2396" s="138"/>
      <c r="DC2396" s="45"/>
      <c r="DD2396" s="138"/>
      <c r="DE2396" s="45"/>
      <c r="DF2396" s="46"/>
    </row>
    <row r="2397" spans="1:110" s="42" customFormat="1" ht="120" x14ac:dyDescent="0.2">
      <c r="A2397" s="89">
        <v>40837</v>
      </c>
      <c r="B2397" s="151" t="s">
        <v>2204</v>
      </c>
      <c r="C2397" s="90" t="s">
        <v>4274</v>
      </c>
      <c r="D2397" s="90" t="s">
        <v>4264</v>
      </c>
      <c r="E2397" s="90" t="str">
        <f>VLOOKUP(B2397&amp;C2397,Divipola!$C$2:$F$1138,4,FALSE)</f>
        <v>70124</v>
      </c>
      <c r="F2397" s="4"/>
      <c r="G2397" s="101"/>
      <c r="H2397" s="101"/>
      <c r="I2397" s="101"/>
      <c r="J2397" s="101">
        <v>7240</v>
      </c>
      <c r="K2397" s="101">
        <v>1448</v>
      </c>
      <c r="L2397" s="101"/>
      <c r="M2397" s="101">
        <v>1448</v>
      </c>
      <c r="N2397" s="101"/>
      <c r="O2397" s="101"/>
      <c r="P2397" s="101"/>
      <c r="Q2397" s="101"/>
      <c r="R2397" s="101"/>
      <c r="S2397" s="101"/>
      <c r="T2397" s="101"/>
      <c r="U2397" s="101"/>
      <c r="V2397" s="101"/>
      <c r="W2397" s="19"/>
      <c r="X2397" s="17"/>
      <c r="Y2397" s="5">
        <f t="shared" si="232"/>
        <v>131443600</v>
      </c>
      <c r="Z2397" s="5">
        <f t="shared" si="233"/>
        <v>117980000</v>
      </c>
      <c r="AA2397" s="5">
        <f t="shared" si="234"/>
        <v>0</v>
      </c>
      <c r="AB2397" s="5">
        <f t="shared" si="235"/>
        <v>0</v>
      </c>
      <c r="AC2397" s="5"/>
      <c r="AD2397" s="5">
        <v>0</v>
      </c>
      <c r="AE2397" s="5">
        <f t="shared" si="236"/>
        <v>249423600</v>
      </c>
      <c r="AF2397" s="70">
        <v>0</v>
      </c>
      <c r="AG2397" s="17"/>
      <c r="AH2397" s="18"/>
      <c r="AI2397" s="47" t="s">
        <v>4346</v>
      </c>
      <c r="AJ2397" s="73" t="s">
        <v>4347</v>
      </c>
      <c r="AK2397" s="45"/>
      <c r="AL2397" s="17"/>
      <c r="AM2397" s="121" t="s">
        <v>4781</v>
      </c>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39"/>
      <c r="CE2397" s="138"/>
      <c r="CF2397" s="139"/>
      <c r="CG2397" s="138"/>
      <c r="CH2397" s="139">
        <v>1388</v>
      </c>
      <c r="CI2397" s="138">
        <f>1388*18000</f>
        <v>24984000</v>
      </c>
      <c r="CJ2397" s="72"/>
      <c r="CK2397" s="139"/>
      <c r="CL2397" s="71"/>
      <c r="CM2397" s="139"/>
      <c r="CN2397" s="138"/>
      <c r="CO2397" s="138"/>
      <c r="CP2397" s="138">
        <v>1388</v>
      </c>
      <c r="CQ2397" s="139">
        <f>1388*37000</f>
        <v>51356000</v>
      </c>
      <c r="CR2397" s="138">
        <v>1388</v>
      </c>
      <c r="CS2397" s="45">
        <f>1388*39700</f>
        <v>55103600</v>
      </c>
      <c r="CT2397" s="138"/>
      <c r="CU2397" s="45"/>
      <c r="CV2397" s="99">
        <f t="shared" si="237"/>
        <v>131443600</v>
      </c>
      <c r="CW2397" s="139"/>
      <c r="CX2397" s="138"/>
      <c r="CY2397" s="138">
        <v>1388</v>
      </c>
      <c r="CZ2397" s="138">
        <f>1000*85000+388*85000</f>
        <v>117980000</v>
      </c>
      <c r="DA2397" s="139"/>
      <c r="DB2397" s="138"/>
      <c r="DC2397" s="45"/>
      <c r="DD2397" s="138"/>
      <c r="DE2397" s="45"/>
      <c r="DF2397" s="46"/>
    </row>
    <row r="2398" spans="1:110" s="42" customFormat="1" ht="72" x14ac:dyDescent="0.2">
      <c r="A2398" s="89">
        <v>40837</v>
      </c>
      <c r="B2398" s="151" t="s">
        <v>2204</v>
      </c>
      <c r="C2398" s="90" t="s">
        <v>3043</v>
      </c>
      <c r="D2398" s="90" t="s">
        <v>4264</v>
      </c>
      <c r="E2398" s="90" t="str">
        <f>VLOOKUP(B2398&amp;C2398,Divipola!$C$2:$F$1138,4,FALSE)</f>
        <v>70429</v>
      </c>
      <c r="F2398" s="4"/>
      <c r="G2398" s="101"/>
      <c r="H2398" s="101"/>
      <c r="I2398" s="101"/>
      <c r="J2398" s="101"/>
      <c r="K2398" s="101"/>
      <c r="L2398" s="101"/>
      <c r="M2398" s="101"/>
      <c r="N2398" s="101"/>
      <c r="O2398" s="101"/>
      <c r="P2398" s="101"/>
      <c r="Q2398" s="101"/>
      <c r="R2398" s="101"/>
      <c r="S2398" s="101"/>
      <c r="T2398" s="101"/>
      <c r="U2398" s="101"/>
      <c r="V2398" s="101"/>
      <c r="W2398" s="19"/>
      <c r="X2398" s="17"/>
      <c r="Y2398" s="5">
        <f t="shared" si="232"/>
        <v>38353500</v>
      </c>
      <c r="Z2398" s="5">
        <f t="shared" si="233"/>
        <v>34425000</v>
      </c>
      <c r="AA2398" s="5">
        <f t="shared" si="234"/>
        <v>9000000</v>
      </c>
      <c r="AB2398" s="5">
        <f t="shared" si="235"/>
        <v>0</v>
      </c>
      <c r="AC2398" s="5"/>
      <c r="AD2398" s="5">
        <v>0</v>
      </c>
      <c r="AE2398" s="5">
        <f t="shared" si="236"/>
        <v>81778500</v>
      </c>
      <c r="AF2398" s="70">
        <v>0</v>
      </c>
      <c r="AG2398" s="17"/>
      <c r="AH2398" s="18"/>
      <c r="AI2398" s="47" t="s">
        <v>4346</v>
      </c>
      <c r="AJ2398" s="73" t="s">
        <v>4347</v>
      </c>
      <c r="AK2398" s="45"/>
      <c r="AL2398" s="17"/>
      <c r="AM2398" s="121" t="s">
        <v>4777</v>
      </c>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39"/>
      <c r="CE2398" s="138"/>
      <c r="CF2398" s="139"/>
      <c r="CG2398" s="138"/>
      <c r="CH2398" s="139">
        <v>405</v>
      </c>
      <c r="CI2398" s="138">
        <f>405*18000</f>
        <v>7290000</v>
      </c>
      <c r="CJ2398" s="72"/>
      <c r="CK2398" s="139"/>
      <c r="CL2398" s="71"/>
      <c r="CM2398" s="139"/>
      <c r="CN2398" s="138"/>
      <c r="CO2398" s="138"/>
      <c r="CP2398" s="138">
        <v>405</v>
      </c>
      <c r="CQ2398" s="139">
        <f>405*37000</f>
        <v>14985000</v>
      </c>
      <c r="CR2398" s="138">
        <v>405</v>
      </c>
      <c r="CS2398" s="45">
        <f>405*39700</f>
        <v>16078500</v>
      </c>
      <c r="CT2398" s="138"/>
      <c r="CU2398" s="45"/>
      <c r="CV2398" s="99">
        <f t="shared" si="237"/>
        <v>38353500</v>
      </c>
      <c r="CW2398" s="139"/>
      <c r="CX2398" s="138"/>
      <c r="CY2398" s="138">
        <v>405</v>
      </c>
      <c r="CZ2398" s="138">
        <f>405*85000</f>
        <v>34425000</v>
      </c>
      <c r="DA2398" s="139"/>
      <c r="DB2398" s="138"/>
      <c r="DC2398" s="45">
        <v>400</v>
      </c>
      <c r="DD2398" s="138">
        <f>400*22500</f>
        <v>9000000</v>
      </c>
      <c r="DE2398" s="45"/>
      <c r="DF2398" s="46"/>
    </row>
    <row r="2399" spans="1:110" s="42" customFormat="1" ht="156" x14ac:dyDescent="0.2">
      <c r="A2399" s="89">
        <v>40837</v>
      </c>
      <c r="B2399" s="151" t="s">
        <v>2204</v>
      </c>
      <c r="C2399" s="90" t="s">
        <v>4275</v>
      </c>
      <c r="D2399" s="90" t="s">
        <v>4264</v>
      </c>
      <c r="E2399" s="90" t="str">
        <f>VLOOKUP(B2399&amp;C2399,Divipola!$C$2:$F$1138,4,FALSE)</f>
        <v>70678</v>
      </c>
      <c r="F2399" s="4"/>
      <c r="G2399" s="101"/>
      <c r="H2399" s="101"/>
      <c r="I2399" s="101"/>
      <c r="J2399" s="101">
        <v>14635</v>
      </c>
      <c r="K2399" s="101">
        <v>2927</v>
      </c>
      <c r="L2399" s="101"/>
      <c r="M2399" s="101">
        <v>2927</v>
      </c>
      <c r="N2399" s="101"/>
      <c r="O2399" s="101"/>
      <c r="P2399" s="101"/>
      <c r="Q2399" s="101"/>
      <c r="R2399" s="101"/>
      <c r="S2399" s="101"/>
      <c r="T2399" s="101"/>
      <c r="U2399" s="101"/>
      <c r="V2399" s="101"/>
      <c r="W2399" s="19"/>
      <c r="X2399" s="17"/>
      <c r="Y2399" s="5">
        <f t="shared" si="232"/>
        <v>182486900</v>
      </c>
      <c r="Z2399" s="5">
        <f t="shared" si="233"/>
        <v>163795000</v>
      </c>
      <c r="AA2399" s="5">
        <f t="shared" si="234"/>
        <v>0</v>
      </c>
      <c r="AB2399" s="5">
        <f t="shared" si="235"/>
        <v>0</v>
      </c>
      <c r="AC2399" s="5"/>
      <c r="AD2399" s="5">
        <v>0</v>
      </c>
      <c r="AE2399" s="5">
        <f t="shared" si="236"/>
        <v>346281900</v>
      </c>
      <c r="AF2399" s="70">
        <v>0</v>
      </c>
      <c r="AG2399" s="17"/>
      <c r="AH2399" s="18"/>
      <c r="AI2399" s="47" t="s">
        <v>4346</v>
      </c>
      <c r="AJ2399" s="73" t="s">
        <v>4347</v>
      </c>
      <c r="AK2399" s="45"/>
      <c r="AL2399" s="17"/>
      <c r="AM2399" s="121" t="s">
        <v>4778</v>
      </c>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39"/>
      <c r="CE2399" s="138"/>
      <c r="CF2399" s="139"/>
      <c r="CG2399" s="138"/>
      <c r="CH2399" s="139">
        <v>1927</v>
      </c>
      <c r="CI2399" s="138">
        <f>1927*18000</f>
        <v>34686000</v>
      </c>
      <c r="CJ2399" s="72"/>
      <c r="CK2399" s="139"/>
      <c r="CL2399" s="71"/>
      <c r="CM2399" s="139"/>
      <c r="CN2399" s="138"/>
      <c r="CO2399" s="138"/>
      <c r="CP2399" s="138">
        <v>1927</v>
      </c>
      <c r="CQ2399" s="139">
        <f>1927*37000</f>
        <v>71299000</v>
      </c>
      <c r="CR2399" s="138">
        <v>1927</v>
      </c>
      <c r="CS2399" s="45">
        <f>1927*39700</f>
        <v>76501900</v>
      </c>
      <c r="CT2399" s="138"/>
      <c r="CU2399" s="45"/>
      <c r="CV2399" s="99">
        <f t="shared" si="237"/>
        <v>182486900</v>
      </c>
      <c r="CW2399" s="139"/>
      <c r="CX2399" s="138"/>
      <c r="CY2399" s="138">
        <v>1927</v>
      </c>
      <c r="CZ2399" s="138">
        <f>1927*85000</f>
        <v>163795000</v>
      </c>
      <c r="DA2399" s="139"/>
      <c r="DB2399" s="138"/>
      <c r="DC2399" s="45"/>
      <c r="DD2399" s="138"/>
      <c r="DE2399" s="45"/>
      <c r="DF2399" s="46"/>
    </row>
    <row r="2400" spans="1:110" s="42" customFormat="1" ht="60" x14ac:dyDescent="0.2">
      <c r="A2400" s="89">
        <v>40837</v>
      </c>
      <c r="B2400" s="151" t="s">
        <v>2204</v>
      </c>
      <c r="C2400" s="90" t="s">
        <v>3060</v>
      </c>
      <c r="D2400" s="90" t="s">
        <v>4264</v>
      </c>
      <c r="E2400" s="90" t="str">
        <f>VLOOKUP(B2400&amp;C2400,Divipola!$C$2:$F$1138,4,FALSE)</f>
        <v>70708</v>
      </c>
      <c r="F2400" s="4"/>
      <c r="G2400" s="101"/>
      <c r="H2400" s="101"/>
      <c r="I2400" s="101"/>
      <c r="J2400" s="101">
        <v>1680</v>
      </c>
      <c r="K2400" s="101">
        <v>336</v>
      </c>
      <c r="L2400" s="101"/>
      <c r="M2400" s="101">
        <v>336</v>
      </c>
      <c r="N2400" s="101"/>
      <c r="O2400" s="101"/>
      <c r="P2400" s="101"/>
      <c r="Q2400" s="101"/>
      <c r="R2400" s="101"/>
      <c r="S2400" s="101"/>
      <c r="T2400" s="101"/>
      <c r="U2400" s="101"/>
      <c r="V2400" s="101"/>
      <c r="W2400" s="19"/>
      <c r="X2400" s="17"/>
      <c r="Y2400" s="5">
        <f t="shared" si="232"/>
        <v>31819200</v>
      </c>
      <c r="Z2400" s="5">
        <f t="shared" si="233"/>
        <v>28560000</v>
      </c>
      <c r="AA2400" s="5">
        <f t="shared" si="234"/>
        <v>0</v>
      </c>
      <c r="AB2400" s="5">
        <f t="shared" si="235"/>
        <v>0</v>
      </c>
      <c r="AC2400" s="5"/>
      <c r="AD2400" s="5">
        <v>0</v>
      </c>
      <c r="AE2400" s="5">
        <f t="shared" si="236"/>
        <v>60379200</v>
      </c>
      <c r="AF2400" s="70">
        <v>0</v>
      </c>
      <c r="AG2400" s="17"/>
      <c r="AH2400" s="18"/>
      <c r="AI2400" s="47" t="s">
        <v>4346</v>
      </c>
      <c r="AJ2400" s="73" t="s">
        <v>4347</v>
      </c>
      <c r="AK2400" s="45"/>
      <c r="AL2400" s="17"/>
      <c r="AM2400" s="121" t="s">
        <v>4780</v>
      </c>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39"/>
      <c r="CE2400" s="138"/>
      <c r="CF2400" s="139"/>
      <c r="CG2400" s="138"/>
      <c r="CH2400" s="139">
        <v>336</v>
      </c>
      <c r="CI2400" s="138">
        <f>336*18000</f>
        <v>6048000</v>
      </c>
      <c r="CJ2400" s="72"/>
      <c r="CK2400" s="139"/>
      <c r="CL2400" s="71"/>
      <c r="CM2400" s="139"/>
      <c r="CN2400" s="138"/>
      <c r="CO2400" s="138"/>
      <c r="CP2400" s="138">
        <v>336</v>
      </c>
      <c r="CQ2400" s="139">
        <f>336*37000</f>
        <v>12432000</v>
      </c>
      <c r="CR2400" s="138">
        <v>336</v>
      </c>
      <c r="CS2400" s="45">
        <f>336*39700</f>
        <v>13339200</v>
      </c>
      <c r="CT2400" s="138"/>
      <c r="CU2400" s="45"/>
      <c r="CV2400" s="99">
        <f t="shared" si="237"/>
        <v>31819200</v>
      </c>
      <c r="CW2400" s="139"/>
      <c r="CX2400" s="138"/>
      <c r="CY2400" s="138">
        <v>336</v>
      </c>
      <c r="CZ2400" s="138">
        <f>336*85000</f>
        <v>28560000</v>
      </c>
      <c r="DA2400" s="139"/>
      <c r="DB2400" s="138"/>
      <c r="DC2400" s="45"/>
      <c r="DD2400" s="138"/>
      <c r="DE2400" s="45"/>
      <c r="DF2400" s="46"/>
    </row>
    <row r="2401" spans="1:110" s="42" customFormat="1" ht="324" x14ac:dyDescent="0.2">
      <c r="A2401" s="89">
        <v>40837</v>
      </c>
      <c r="B2401" s="151" t="s">
        <v>2204</v>
      </c>
      <c r="C2401" s="90" t="s">
        <v>2204</v>
      </c>
      <c r="D2401" s="90" t="s">
        <v>4264</v>
      </c>
      <c r="E2401" s="90" t="str">
        <f>VLOOKUP(B2401&amp;C2401,Divipola!$C$2:$F$1138,4,FALSE)</f>
        <v>70771</v>
      </c>
      <c r="F2401" s="4"/>
      <c r="G2401" s="101"/>
      <c r="H2401" s="101"/>
      <c r="I2401" s="101"/>
      <c r="J2401" s="101">
        <f>7553*5</f>
        <v>37765</v>
      </c>
      <c r="K2401" s="101">
        <v>7553</v>
      </c>
      <c r="L2401" s="101"/>
      <c r="M2401" s="101">
        <v>7553</v>
      </c>
      <c r="N2401" s="101"/>
      <c r="O2401" s="101"/>
      <c r="P2401" s="101"/>
      <c r="Q2401" s="101"/>
      <c r="R2401" s="101"/>
      <c r="S2401" s="101"/>
      <c r="T2401" s="101"/>
      <c r="U2401" s="101"/>
      <c r="V2401" s="101"/>
      <c r="W2401" s="19"/>
      <c r="X2401" s="17"/>
      <c r="Y2401" s="5">
        <f t="shared" si="232"/>
        <v>473497300</v>
      </c>
      <c r="Z2401" s="5">
        <f t="shared" si="233"/>
        <v>425000000</v>
      </c>
      <c r="AA2401" s="5">
        <f t="shared" si="234"/>
        <v>0</v>
      </c>
      <c r="AB2401" s="5">
        <f t="shared" si="235"/>
        <v>0</v>
      </c>
      <c r="AC2401" s="5"/>
      <c r="AD2401" s="5">
        <v>0</v>
      </c>
      <c r="AE2401" s="5">
        <f t="shared" si="236"/>
        <v>898497300</v>
      </c>
      <c r="AF2401" s="70">
        <v>0</v>
      </c>
      <c r="AG2401" s="17"/>
      <c r="AH2401" s="18"/>
      <c r="AI2401" s="47" t="s">
        <v>4346</v>
      </c>
      <c r="AJ2401" s="73" t="s">
        <v>4347</v>
      </c>
      <c r="AK2401" s="45"/>
      <c r="AL2401" s="17"/>
      <c r="AM2401" s="121" t="s">
        <v>4779</v>
      </c>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c r="BW2401" s="19"/>
      <c r="BX2401" s="19"/>
      <c r="BY2401" s="19"/>
      <c r="BZ2401" s="19"/>
      <c r="CA2401" s="19"/>
      <c r="CB2401" s="19"/>
      <c r="CC2401" s="19"/>
      <c r="CD2401" s="139"/>
      <c r="CE2401" s="138"/>
      <c r="CF2401" s="139"/>
      <c r="CG2401" s="138"/>
      <c r="CH2401" s="139">
        <v>5000</v>
      </c>
      <c r="CI2401" s="138">
        <f>2500*18000+2500*17999.72</f>
        <v>89999300</v>
      </c>
      <c r="CJ2401" s="72"/>
      <c r="CK2401" s="139"/>
      <c r="CL2401" s="71"/>
      <c r="CM2401" s="139"/>
      <c r="CN2401" s="138"/>
      <c r="CO2401" s="138"/>
      <c r="CP2401" s="138">
        <v>5000</v>
      </c>
      <c r="CQ2401" s="139">
        <f>2500*37000+2500*36999.36</f>
        <v>184998400</v>
      </c>
      <c r="CR2401" s="138">
        <v>5000</v>
      </c>
      <c r="CS2401" s="45">
        <f>2500*39700+2500*39699.84</f>
        <v>198499600</v>
      </c>
      <c r="CT2401" s="138"/>
      <c r="CU2401" s="45"/>
      <c r="CV2401" s="99">
        <f t="shared" si="237"/>
        <v>473497300</v>
      </c>
      <c r="CW2401" s="139"/>
      <c r="CX2401" s="138"/>
      <c r="CY2401" s="138">
        <v>5000</v>
      </c>
      <c r="CZ2401" s="138">
        <f>500*85000+2000*85000+2500*85000</f>
        <v>425000000</v>
      </c>
      <c r="DA2401" s="139"/>
      <c r="DB2401" s="138"/>
      <c r="DC2401" s="45"/>
      <c r="DD2401" s="138"/>
      <c r="DE2401" s="45"/>
      <c r="DF2401" s="46"/>
    </row>
    <row r="2402" spans="1:110" s="42" customFormat="1" ht="48" x14ac:dyDescent="0.2">
      <c r="A2402" s="89">
        <v>40838</v>
      </c>
      <c r="B2402" s="196" t="s">
        <v>4261</v>
      </c>
      <c r="C2402" s="197" t="s">
        <v>2612</v>
      </c>
      <c r="D2402" s="90" t="s">
        <v>2362</v>
      </c>
      <c r="E2402" s="90" t="str">
        <f>VLOOKUP(B2402&amp;C2402,Divipola!$C$2:$F$1138,4,FALSE)</f>
        <v>15172</v>
      </c>
      <c r="F2402" s="4"/>
      <c r="G2402" s="194"/>
      <c r="H2402" s="194"/>
      <c r="I2402" s="194"/>
      <c r="J2402" s="194">
        <v>125</v>
      </c>
      <c r="K2402" s="194">
        <v>25</v>
      </c>
      <c r="L2402" s="194"/>
      <c r="M2402" s="194">
        <v>13</v>
      </c>
      <c r="N2402" s="194">
        <v>1</v>
      </c>
      <c r="O2402" s="194"/>
      <c r="P2402" s="194"/>
      <c r="Q2402" s="194">
        <v>1</v>
      </c>
      <c r="R2402" s="194"/>
      <c r="S2402" s="194"/>
      <c r="T2402" s="194"/>
      <c r="U2402" s="194"/>
      <c r="V2402" s="194"/>
      <c r="W2402" s="19"/>
      <c r="X2402" s="17"/>
      <c r="Y2402" s="5">
        <f t="shared" si="232"/>
        <v>0</v>
      </c>
      <c r="Z2402" s="5">
        <f t="shared" si="233"/>
        <v>0</v>
      </c>
      <c r="AA2402" s="5">
        <f t="shared" si="234"/>
        <v>0</v>
      </c>
      <c r="AB2402" s="5">
        <f t="shared" si="235"/>
        <v>0</v>
      </c>
      <c r="AC2402" s="5"/>
      <c r="AD2402" s="5">
        <v>0</v>
      </c>
      <c r="AE2402" s="5">
        <f t="shared" si="236"/>
        <v>0</v>
      </c>
      <c r="AF2402" s="70">
        <v>0</v>
      </c>
      <c r="AG2402" s="17"/>
      <c r="AH2402" s="18"/>
      <c r="AI2402" s="47" t="s">
        <v>4346</v>
      </c>
      <c r="AJ2402" s="73" t="s">
        <v>4347</v>
      </c>
      <c r="AK2402" s="45"/>
      <c r="AL2402" s="89" t="s">
        <v>2798</v>
      </c>
      <c r="AM2402" s="195" t="s">
        <v>4944</v>
      </c>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c r="BW2402" s="19"/>
      <c r="BX2402" s="19"/>
      <c r="BY2402" s="19"/>
      <c r="BZ2402" s="19"/>
      <c r="CA2402" s="19"/>
      <c r="CB2402" s="19"/>
      <c r="CC2402" s="19"/>
      <c r="CD2402" s="139"/>
      <c r="CE2402" s="138"/>
      <c r="CF2402" s="139"/>
      <c r="CG2402" s="138"/>
      <c r="CH2402" s="139"/>
      <c r="CI2402" s="138"/>
      <c r="CJ2402" s="72"/>
      <c r="CK2402" s="139"/>
      <c r="CL2402" s="71"/>
      <c r="CM2402" s="139"/>
      <c r="CN2402" s="138"/>
      <c r="CO2402" s="138"/>
      <c r="CP2402" s="138"/>
      <c r="CQ2402" s="139"/>
      <c r="CR2402" s="138"/>
      <c r="CS2402" s="45"/>
      <c r="CT2402" s="138"/>
      <c r="CU2402" s="45"/>
      <c r="CV2402" s="99">
        <f t="shared" si="237"/>
        <v>0</v>
      </c>
      <c r="CW2402" s="139"/>
      <c r="CX2402" s="138"/>
      <c r="CY2402" s="138"/>
      <c r="CZ2402" s="138"/>
      <c r="DA2402" s="139"/>
      <c r="DB2402" s="138"/>
      <c r="DC2402" s="45"/>
      <c r="DD2402" s="138"/>
      <c r="DE2402" s="45"/>
      <c r="DF2402" s="46"/>
    </row>
    <row r="2403" spans="1:110" s="42" customFormat="1" ht="96" x14ac:dyDescent="0.2">
      <c r="A2403" s="89">
        <v>40838</v>
      </c>
      <c r="B2403" s="151" t="s">
        <v>4344</v>
      </c>
      <c r="C2403" s="90" t="s">
        <v>4516</v>
      </c>
      <c r="D2403" s="90" t="s">
        <v>3514</v>
      </c>
      <c r="E2403" s="90" t="str">
        <f>VLOOKUP(B2403&amp;C2403,Divipola!$C$2:$F$1138,4,FALSE)</f>
        <v>25772</v>
      </c>
      <c r="F2403" s="4"/>
      <c r="G2403" s="101"/>
      <c r="H2403" s="101"/>
      <c r="I2403" s="101"/>
      <c r="J2403" s="101">
        <v>215</v>
      </c>
      <c r="K2403" s="101">
        <v>43</v>
      </c>
      <c r="L2403" s="101"/>
      <c r="M2403" s="101">
        <v>43</v>
      </c>
      <c r="N2403" s="101"/>
      <c r="O2403" s="101"/>
      <c r="P2403" s="101"/>
      <c r="Q2403" s="101"/>
      <c r="R2403" s="101"/>
      <c r="S2403" s="101"/>
      <c r="T2403" s="101"/>
      <c r="U2403" s="101"/>
      <c r="V2403" s="101"/>
      <c r="W2403" s="19"/>
      <c r="X2403" s="17"/>
      <c r="Y2403" s="5">
        <f t="shared" si="232"/>
        <v>0</v>
      </c>
      <c r="Z2403" s="5">
        <f t="shared" si="233"/>
        <v>0</v>
      </c>
      <c r="AA2403" s="5">
        <f t="shared" si="234"/>
        <v>0</v>
      </c>
      <c r="AB2403" s="5">
        <f t="shared" si="235"/>
        <v>0</v>
      </c>
      <c r="AC2403" s="5"/>
      <c r="AD2403" s="5">
        <v>0</v>
      </c>
      <c r="AE2403" s="5">
        <f t="shared" si="236"/>
        <v>0</v>
      </c>
      <c r="AF2403" s="70">
        <v>0</v>
      </c>
      <c r="AG2403" s="17"/>
      <c r="AH2403" s="18"/>
      <c r="AI2403" s="47" t="s">
        <v>4336</v>
      </c>
      <c r="AJ2403" s="73" t="s">
        <v>4337</v>
      </c>
      <c r="AK2403" s="45"/>
      <c r="AL2403" s="17"/>
      <c r="AM2403" s="121" t="s">
        <v>4773</v>
      </c>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c r="BW2403" s="19"/>
      <c r="BX2403" s="19"/>
      <c r="BY2403" s="19"/>
      <c r="BZ2403" s="19"/>
      <c r="CA2403" s="19"/>
      <c r="CB2403" s="19"/>
      <c r="CC2403" s="19"/>
      <c r="CD2403" s="139"/>
      <c r="CE2403" s="138"/>
      <c r="CF2403" s="139"/>
      <c r="CG2403" s="138"/>
      <c r="CH2403" s="139"/>
      <c r="CI2403" s="138"/>
      <c r="CJ2403" s="72"/>
      <c r="CK2403" s="139"/>
      <c r="CL2403" s="71"/>
      <c r="CM2403" s="139"/>
      <c r="CN2403" s="138"/>
      <c r="CO2403" s="138"/>
      <c r="CP2403" s="138"/>
      <c r="CQ2403" s="139"/>
      <c r="CR2403" s="138"/>
      <c r="CS2403" s="45"/>
      <c r="CT2403" s="138"/>
      <c r="CU2403" s="45"/>
      <c r="CV2403" s="99">
        <f t="shared" si="237"/>
        <v>0</v>
      </c>
      <c r="CW2403" s="139"/>
      <c r="CX2403" s="138"/>
      <c r="CY2403" s="138"/>
      <c r="CZ2403" s="138"/>
      <c r="DA2403" s="139"/>
      <c r="DB2403" s="138"/>
      <c r="DC2403" s="45"/>
      <c r="DD2403" s="138"/>
      <c r="DE2403" s="45"/>
      <c r="DF2403" s="46"/>
    </row>
    <row r="2404" spans="1:110" s="42" customFormat="1" ht="108" x14ac:dyDescent="0.2">
      <c r="A2404" s="89">
        <v>40838</v>
      </c>
      <c r="B2404" s="151" t="s">
        <v>4350</v>
      </c>
      <c r="C2404" s="90" t="s">
        <v>4282</v>
      </c>
      <c r="D2404" s="90" t="s">
        <v>2362</v>
      </c>
      <c r="E2404" s="90" t="str">
        <f>VLOOKUP(B2404&amp;C2404,Divipola!$C$2:$F$1138,4,FALSE)</f>
        <v>63212</v>
      </c>
      <c r="F2404" s="4"/>
      <c r="G2404" s="101"/>
      <c r="H2404" s="101"/>
      <c r="I2404" s="101">
        <v>1</v>
      </c>
      <c r="J2404" s="101"/>
      <c r="K2404" s="101"/>
      <c r="L2404" s="101"/>
      <c r="M2404" s="101"/>
      <c r="N2404" s="101"/>
      <c r="O2404" s="101"/>
      <c r="P2404" s="101"/>
      <c r="Q2404" s="101"/>
      <c r="R2404" s="101"/>
      <c r="S2404" s="101"/>
      <c r="T2404" s="101"/>
      <c r="U2404" s="101"/>
      <c r="V2404" s="101"/>
      <c r="W2404" s="19"/>
      <c r="X2404" s="17"/>
      <c r="Y2404" s="5">
        <f t="shared" si="232"/>
        <v>0</v>
      </c>
      <c r="Z2404" s="5">
        <f t="shared" si="233"/>
        <v>0</v>
      </c>
      <c r="AA2404" s="5">
        <f t="shared" si="234"/>
        <v>0</v>
      </c>
      <c r="AB2404" s="5">
        <f t="shared" si="235"/>
        <v>0</v>
      </c>
      <c r="AC2404" s="5"/>
      <c r="AD2404" s="5">
        <v>0</v>
      </c>
      <c r="AE2404" s="5">
        <f t="shared" si="236"/>
        <v>0</v>
      </c>
      <c r="AF2404" s="70">
        <v>0</v>
      </c>
      <c r="AG2404" s="17"/>
      <c r="AH2404" s="18"/>
      <c r="AI2404" s="47" t="s">
        <v>4336</v>
      </c>
      <c r="AJ2404" s="73" t="s">
        <v>4337</v>
      </c>
      <c r="AK2404" s="45"/>
      <c r="AL2404" s="17"/>
      <c r="AM2404" s="121" t="s">
        <v>4783</v>
      </c>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c r="BW2404" s="19"/>
      <c r="BX2404" s="19"/>
      <c r="BY2404" s="19"/>
      <c r="BZ2404" s="19"/>
      <c r="CA2404" s="19"/>
      <c r="CB2404" s="19"/>
      <c r="CC2404" s="19"/>
      <c r="CD2404" s="139"/>
      <c r="CE2404" s="138"/>
      <c r="CF2404" s="139"/>
      <c r="CG2404" s="138"/>
      <c r="CH2404" s="139"/>
      <c r="CI2404" s="138"/>
      <c r="CJ2404" s="72"/>
      <c r="CK2404" s="139"/>
      <c r="CL2404" s="71"/>
      <c r="CM2404" s="139"/>
      <c r="CN2404" s="138"/>
      <c r="CO2404" s="138"/>
      <c r="CP2404" s="138"/>
      <c r="CQ2404" s="139"/>
      <c r="CR2404" s="138"/>
      <c r="CS2404" s="45"/>
      <c r="CT2404" s="138"/>
      <c r="CU2404" s="45"/>
      <c r="CV2404" s="99">
        <f t="shared" si="237"/>
        <v>0</v>
      </c>
      <c r="CW2404" s="139"/>
      <c r="CX2404" s="138"/>
      <c r="CY2404" s="138"/>
      <c r="CZ2404" s="138"/>
      <c r="DA2404" s="139"/>
      <c r="DB2404" s="138"/>
      <c r="DC2404" s="45"/>
      <c r="DD2404" s="138"/>
      <c r="DE2404" s="45"/>
      <c r="DF2404" s="46"/>
    </row>
    <row r="2405" spans="1:110" s="42" customFormat="1" ht="409.5" x14ac:dyDescent="0.2">
      <c r="A2405" s="89">
        <v>40838</v>
      </c>
      <c r="B2405" s="196" t="s">
        <v>2984</v>
      </c>
      <c r="C2405" s="197" t="s">
        <v>2224</v>
      </c>
      <c r="D2405" s="90" t="s">
        <v>4264</v>
      </c>
      <c r="E2405" s="90" t="str">
        <f>VLOOKUP(B2405&amp;C2405,Divipola!$C$2:$F$1138,4,FALSE)</f>
        <v>88564</v>
      </c>
      <c r="F2405" s="4"/>
      <c r="G2405" s="194"/>
      <c r="H2405" s="194"/>
      <c r="I2405" s="194"/>
      <c r="J2405" s="194">
        <v>200</v>
      </c>
      <c r="K2405" s="194">
        <v>40</v>
      </c>
      <c r="L2405" s="194"/>
      <c r="M2405" s="194">
        <v>40</v>
      </c>
      <c r="N2405" s="194"/>
      <c r="O2405" s="194"/>
      <c r="P2405" s="194"/>
      <c r="Q2405" s="194"/>
      <c r="R2405" s="194"/>
      <c r="S2405" s="194"/>
      <c r="T2405" s="194"/>
      <c r="U2405" s="194"/>
      <c r="V2405" s="194"/>
      <c r="W2405" s="19"/>
      <c r="X2405" s="17"/>
      <c r="Y2405" s="5">
        <f t="shared" si="232"/>
        <v>0</v>
      </c>
      <c r="Z2405" s="5">
        <f t="shared" si="233"/>
        <v>0</v>
      </c>
      <c r="AA2405" s="5">
        <f t="shared" si="234"/>
        <v>0</v>
      </c>
      <c r="AB2405" s="5">
        <f t="shared" si="235"/>
        <v>0</v>
      </c>
      <c r="AC2405" s="5"/>
      <c r="AD2405" s="5">
        <v>0</v>
      </c>
      <c r="AE2405" s="5">
        <f t="shared" si="236"/>
        <v>0</v>
      </c>
      <c r="AF2405" s="70">
        <v>0</v>
      </c>
      <c r="AG2405" s="17"/>
      <c r="AH2405" s="18"/>
      <c r="AI2405" s="47" t="s">
        <v>4336</v>
      </c>
      <c r="AJ2405" s="73" t="s">
        <v>4337</v>
      </c>
      <c r="AK2405" s="45"/>
      <c r="AL2405" s="17"/>
      <c r="AM2405" s="121" t="s">
        <v>4771</v>
      </c>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39"/>
      <c r="CE2405" s="138"/>
      <c r="CF2405" s="139"/>
      <c r="CG2405" s="138"/>
      <c r="CH2405" s="139"/>
      <c r="CI2405" s="138"/>
      <c r="CJ2405" s="72"/>
      <c r="CK2405" s="139"/>
      <c r="CL2405" s="71"/>
      <c r="CM2405" s="139"/>
      <c r="CN2405" s="138"/>
      <c r="CO2405" s="138"/>
      <c r="CP2405" s="138"/>
      <c r="CQ2405" s="139"/>
      <c r="CR2405" s="138"/>
      <c r="CS2405" s="45"/>
      <c r="CT2405" s="138"/>
      <c r="CU2405" s="45"/>
      <c r="CV2405" s="99">
        <f t="shared" si="237"/>
        <v>0</v>
      </c>
      <c r="CW2405" s="139"/>
      <c r="CX2405" s="138"/>
      <c r="CY2405" s="138"/>
      <c r="CZ2405" s="138"/>
      <c r="DA2405" s="139"/>
      <c r="DB2405" s="138"/>
      <c r="DC2405" s="45"/>
      <c r="DD2405" s="138"/>
      <c r="DE2405" s="45"/>
      <c r="DF2405" s="46"/>
    </row>
    <row r="2406" spans="1:110" s="42" customFormat="1" ht="156" x14ac:dyDescent="0.2">
      <c r="A2406" s="89">
        <v>40838</v>
      </c>
      <c r="B2406" s="151" t="s">
        <v>2984</v>
      </c>
      <c r="C2406" s="90" t="s">
        <v>2984</v>
      </c>
      <c r="D2406" s="90" t="s">
        <v>4264</v>
      </c>
      <c r="E2406" s="90" t="str">
        <f>VLOOKUP(B2406&amp;C2406,Divipola!$C$2:$F$1138,4,FALSE)</f>
        <v>88001</v>
      </c>
      <c r="F2406" s="4"/>
      <c r="G2406" s="101">
        <v>1</v>
      </c>
      <c r="H2406" s="101"/>
      <c r="I2406" s="101"/>
      <c r="J2406" s="101">
        <v>1000</v>
      </c>
      <c r="K2406" s="101">
        <v>200</v>
      </c>
      <c r="L2406" s="101"/>
      <c r="M2406" s="101">
        <v>200</v>
      </c>
      <c r="N2406" s="101"/>
      <c r="O2406" s="101"/>
      <c r="P2406" s="101"/>
      <c r="Q2406" s="101"/>
      <c r="R2406" s="101"/>
      <c r="S2406" s="101"/>
      <c r="T2406" s="101"/>
      <c r="U2406" s="101"/>
      <c r="V2406" s="101"/>
      <c r="W2406" s="19"/>
      <c r="X2406" s="17"/>
      <c r="Y2406" s="5">
        <f t="shared" si="232"/>
        <v>0</v>
      </c>
      <c r="Z2406" s="5">
        <f t="shared" si="233"/>
        <v>0</v>
      </c>
      <c r="AA2406" s="5">
        <f t="shared" si="234"/>
        <v>0</v>
      </c>
      <c r="AB2406" s="5">
        <f t="shared" si="235"/>
        <v>0</v>
      </c>
      <c r="AC2406" s="5"/>
      <c r="AD2406" s="5">
        <v>0</v>
      </c>
      <c r="AE2406" s="5">
        <f t="shared" si="236"/>
        <v>0</v>
      </c>
      <c r="AF2406" s="70">
        <v>0</v>
      </c>
      <c r="AG2406" s="17"/>
      <c r="AH2406" s="18"/>
      <c r="AI2406" s="47" t="s">
        <v>4336</v>
      </c>
      <c r="AJ2406" s="73" t="s">
        <v>4337</v>
      </c>
      <c r="AK2406" s="45"/>
      <c r="AL2406" s="17"/>
      <c r="AM2406" s="121" t="s">
        <v>4785</v>
      </c>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39"/>
      <c r="CE2406" s="138"/>
      <c r="CF2406" s="139"/>
      <c r="CG2406" s="138"/>
      <c r="CH2406" s="139"/>
      <c r="CI2406" s="138"/>
      <c r="CJ2406" s="72"/>
      <c r="CK2406" s="139"/>
      <c r="CL2406" s="71"/>
      <c r="CM2406" s="139"/>
      <c r="CN2406" s="138"/>
      <c r="CO2406" s="138"/>
      <c r="CP2406" s="138"/>
      <c r="CQ2406" s="139"/>
      <c r="CR2406" s="138"/>
      <c r="CS2406" s="45"/>
      <c r="CT2406" s="138"/>
      <c r="CU2406" s="45"/>
      <c r="CV2406" s="99">
        <f t="shared" si="237"/>
        <v>0</v>
      </c>
      <c r="CW2406" s="139"/>
      <c r="CX2406" s="138"/>
      <c r="CY2406" s="138"/>
      <c r="CZ2406" s="138"/>
      <c r="DA2406" s="139"/>
      <c r="DB2406" s="138"/>
      <c r="DC2406" s="45"/>
      <c r="DD2406" s="138"/>
      <c r="DE2406" s="45"/>
      <c r="DF2406" s="46"/>
    </row>
    <row r="2407" spans="1:110" s="42" customFormat="1" ht="48" x14ac:dyDescent="0.2">
      <c r="A2407" s="89">
        <v>40839</v>
      </c>
      <c r="B2407" s="197" t="s">
        <v>1116</v>
      </c>
      <c r="C2407" s="197" t="s">
        <v>1116</v>
      </c>
      <c r="D2407" s="90" t="s">
        <v>2362</v>
      </c>
      <c r="E2407" s="90" t="str">
        <f>VLOOKUP(B2407&amp;C2407,Divipola!$C$2:$F$1138,4,FALSE)</f>
        <v>11001</v>
      </c>
      <c r="F2407" s="4"/>
      <c r="G2407" s="101"/>
      <c r="H2407" s="101"/>
      <c r="I2407" s="101"/>
      <c r="J2407" s="101">
        <v>15</v>
      </c>
      <c r="K2407" s="101">
        <v>3</v>
      </c>
      <c r="L2407" s="101"/>
      <c r="M2407" s="101">
        <v>3</v>
      </c>
      <c r="N2407" s="101"/>
      <c r="O2407" s="101"/>
      <c r="P2407" s="101"/>
      <c r="Q2407" s="101"/>
      <c r="R2407" s="101"/>
      <c r="S2407" s="101"/>
      <c r="T2407" s="101"/>
      <c r="U2407" s="101"/>
      <c r="V2407" s="101"/>
      <c r="W2407" s="19"/>
      <c r="X2407" s="17"/>
      <c r="Y2407" s="5">
        <f t="shared" si="232"/>
        <v>0</v>
      </c>
      <c r="Z2407" s="5">
        <f t="shared" si="233"/>
        <v>0</v>
      </c>
      <c r="AA2407" s="5">
        <f t="shared" si="234"/>
        <v>0</v>
      </c>
      <c r="AB2407" s="5">
        <f t="shared" si="235"/>
        <v>0</v>
      </c>
      <c r="AC2407" s="5"/>
      <c r="AD2407" s="5">
        <v>0</v>
      </c>
      <c r="AE2407" s="5">
        <f t="shared" si="236"/>
        <v>0</v>
      </c>
      <c r="AF2407" s="70">
        <v>0</v>
      </c>
      <c r="AG2407" s="17"/>
      <c r="AH2407" s="18"/>
      <c r="AI2407" s="47" t="s">
        <v>4336</v>
      </c>
      <c r="AJ2407" s="73" t="s">
        <v>4337</v>
      </c>
      <c r="AK2407" s="45"/>
      <c r="AL2407" s="17"/>
      <c r="AM2407" s="121" t="s">
        <v>4784</v>
      </c>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39"/>
      <c r="CE2407" s="138"/>
      <c r="CF2407" s="139"/>
      <c r="CG2407" s="138"/>
      <c r="CH2407" s="139"/>
      <c r="CI2407" s="138"/>
      <c r="CJ2407" s="72"/>
      <c r="CK2407" s="139"/>
      <c r="CL2407" s="71"/>
      <c r="CM2407" s="139"/>
      <c r="CN2407" s="138"/>
      <c r="CO2407" s="138"/>
      <c r="CP2407" s="138"/>
      <c r="CQ2407" s="139"/>
      <c r="CR2407" s="138"/>
      <c r="CS2407" s="45"/>
      <c r="CT2407" s="138"/>
      <c r="CU2407" s="45"/>
      <c r="CV2407" s="99">
        <f t="shared" si="237"/>
        <v>0</v>
      </c>
      <c r="CW2407" s="139"/>
      <c r="CX2407" s="138"/>
      <c r="CY2407" s="138"/>
      <c r="CZ2407" s="138"/>
      <c r="DA2407" s="139"/>
      <c r="DB2407" s="138"/>
      <c r="DC2407" s="45"/>
      <c r="DD2407" s="138"/>
      <c r="DE2407" s="45"/>
      <c r="DF2407" s="46"/>
    </row>
    <row r="2408" spans="1:110" s="42" customFormat="1" ht="72" x14ac:dyDescent="0.2">
      <c r="A2408" s="89">
        <v>40839</v>
      </c>
      <c r="B2408" s="151" t="s">
        <v>4261</v>
      </c>
      <c r="C2408" s="90" t="s">
        <v>1314</v>
      </c>
      <c r="D2408" s="90" t="s">
        <v>2362</v>
      </c>
      <c r="E2408" s="90" t="str">
        <f>VLOOKUP(B2408&amp;C2408,Divipola!$C$2:$F$1138,4,FALSE)</f>
        <v>15761</v>
      </c>
      <c r="F2408" s="4"/>
      <c r="G2408" s="101">
        <v>1</v>
      </c>
      <c r="H2408" s="101"/>
      <c r="I2408" s="101"/>
      <c r="J2408" s="101">
        <v>40</v>
      </c>
      <c r="K2408" s="101">
        <v>5</v>
      </c>
      <c r="L2408" s="101">
        <v>1</v>
      </c>
      <c r="M2408" s="101">
        <v>4</v>
      </c>
      <c r="N2408" s="101"/>
      <c r="O2408" s="101"/>
      <c r="P2408" s="101"/>
      <c r="Q2408" s="101"/>
      <c r="R2408" s="101"/>
      <c r="S2408" s="101"/>
      <c r="T2408" s="101"/>
      <c r="U2408" s="101"/>
      <c r="V2408" s="101"/>
      <c r="W2408" s="19"/>
      <c r="X2408" s="17"/>
      <c r="Y2408" s="5">
        <f t="shared" si="232"/>
        <v>0</v>
      </c>
      <c r="Z2408" s="5">
        <f t="shared" si="233"/>
        <v>0</v>
      </c>
      <c r="AA2408" s="5">
        <f t="shared" si="234"/>
        <v>0</v>
      </c>
      <c r="AB2408" s="5">
        <f t="shared" si="235"/>
        <v>0</v>
      </c>
      <c r="AC2408" s="5"/>
      <c r="AD2408" s="5">
        <v>0</v>
      </c>
      <c r="AE2408" s="5">
        <f t="shared" si="236"/>
        <v>0</v>
      </c>
      <c r="AF2408" s="70">
        <v>0</v>
      </c>
      <c r="AG2408" s="17"/>
      <c r="AH2408" s="18"/>
      <c r="AI2408" s="47" t="s">
        <v>4346</v>
      </c>
      <c r="AJ2408" s="73" t="s">
        <v>4347</v>
      </c>
      <c r="AK2408" s="45"/>
      <c r="AL2408" s="89" t="s">
        <v>2798</v>
      </c>
      <c r="AM2408" s="121" t="s">
        <v>4776</v>
      </c>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39"/>
      <c r="CE2408" s="138"/>
      <c r="CF2408" s="139"/>
      <c r="CG2408" s="138"/>
      <c r="CH2408" s="139"/>
      <c r="CI2408" s="138"/>
      <c r="CJ2408" s="72"/>
      <c r="CK2408" s="139"/>
      <c r="CL2408" s="71"/>
      <c r="CM2408" s="139"/>
      <c r="CN2408" s="138"/>
      <c r="CO2408" s="138"/>
      <c r="CP2408" s="138"/>
      <c r="CQ2408" s="139"/>
      <c r="CR2408" s="138"/>
      <c r="CS2408" s="45"/>
      <c r="CT2408" s="138"/>
      <c r="CU2408" s="45"/>
      <c r="CV2408" s="99">
        <f t="shared" si="237"/>
        <v>0</v>
      </c>
      <c r="CW2408" s="139"/>
      <c r="CX2408" s="138"/>
      <c r="CY2408" s="138"/>
      <c r="CZ2408" s="138"/>
      <c r="DA2408" s="139"/>
      <c r="DB2408" s="138"/>
      <c r="DC2408" s="45"/>
      <c r="DD2408" s="138"/>
      <c r="DE2408" s="45"/>
      <c r="DF2408" s="46"/>
    </row>
    <row r="2409" spans="1:110" s="42" customFormat="1" ht="204" x14ac:dyDescent="0.2">
      <c r="A2409" s="89">
        <v>40839</v>
      </c>
      <c r="B2409" s="151" t="s">
        <v>4344</v>
      </c>
      <c r="C2409" s="90" t="s">
        <v>4513</v>
      </c>
      <c r="D2409" s="90" t="s">
        <v>4264</v>
      </c>
      <c r="E2409" s="90" t="str">
        <f>VLOOKUP(B2409&amp;C2409,Divipola!$C$2:$F$1138,4,FALSE)</f>
        <v>25486</v>
      </c>
      <c r="F2409" s="4"/>
      <c r="G2409" s="101"/>
      <c r="H2409" s="101">
        <v>2</v>
      </c>
      <c r="I2409" s="101"/>
      <c r="J2409" s="101">
        <v>410</v>
      </c>
      <c r="K2409" s="101">
        <v>82</v>
      </c>
      <c r="L2409" s="101">
        <v>4</v>
      </c>
      <c r="M2409" s="101">
        <v>78</v>
      </c>
      <c r="N2409" s="101">
        <v>2</v>
      </c>
      <c r="O2409" s="101"/>
      <c r="P2409" s="101"/>
      <c r="Q2409" s="101"/>
      <c r="R2409" s="101"/>
      <c r="S2409" s="101"/>
      <c r="T2409" s="101"/>
      <c r="U2409" s="101"/>
      <c r="V2409" s="101"/>
      <c r="W2409" s="19"/>
      <c r="X2409" s="17"/>
      <c r="Y2409" s="5">
        <f t="shared" si="232"/>
        <v>0</v>
      </c>
      <c r="Z2409" s="5">
        <f t="shared" si="233"/>
        <v>0</v>
      </c>
      <c r="AA2409" s="5">
        <f t="shared" si="234"/>
        <v>0</v>
      </c>
      <c r="AB2409" s="5">
        <f t="shared" si="235"/>
        <v>0</v>
      </c>
      <c r="AC2409" s="5"/>
      <c r="AD2409" s="5">
        <v>0</v>
      </c>
      <c r="AE2409" s="5">
        <f t="shared" si="236"/>
        <v>0</v>
      </c>
      <c r="AF2409" s="70">
        <v>0</v>
      </c>
      <c r="AG2409" s="17"/>
      <c r="AH2409" s="18"/>
      <c r="AI2409" s="47" t="s">
        <v>4336</v>
      </c>
      <c r="AJ2409" s="73" t="s">
        <v>4337</v>
      </c>
      <c r="AK2409" s="45"/>
      <c r="AL2409" s="17"/>
      <c r="AM2409" s="121" t="s">
        <v>4786</v>
      </c>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39"/>
      <c r="CE2409" s="138"/>
      <c r="CF2409" s="139"/>
      <c r="CG2409" s="138"/>
      <c r="CH2409" s="139"/>
      <c r="CI2409" s="138"/>
      <c r="CJ2409" s="72"/>
      <c r="CK2409" s="139"/>
      <c r="CL2409" s="71"/>
      <c r="CM2409" s="139"/>
      <c r="CN2409" s="138"/>
      <c r="CO2409" s="138"/>
      <c r="CP2409" s="138"/>
      <c r="CQ2409" s="139"/>
      <c r="CR2409" s="138"/>
      <c r="CS2409" s="45"/>
      <c r="CT2409" s="138"/>
      <c r="CU2409" s="45"/>
      <c r="CV2409" s="99">
        <f t="shared" si="237"/>
        <v>0</v>
      </c>
      <c r="CW2409" s="139"/>
      <c r="CX2409" s="138"/>
      <c r="CY2409" s="138"/>
      <c r="CZ2409" s="138"/>
      <c r="DA2409" s="139"/>
      <c r="DB2409" s="138"/>
      <c r="DC2409" s="45"/>
      <c r="DD2409" s="138"/>
      <c r="DE2409" s="45"/>
      <c r="DF2409" s="46"/>
    </row>
    <row r="2410" spans="1:110" s="42" customFormat="1" ht="84" x14ac:dyDescent="0.2">
      <c r="A2410" s="89">
        <v>40839</v>
      </c>
      <c r="B2410" s="151" t="s">
        <v>4344</v>
      </c>
      <c r="C2410" s="90" t="s">
        <v>3295</v>
      </c>
      <c r="D2410" s="90" t="s">
        <v>4264</v>
      </c>
      <c r="E2410" s="90" t="str">
        <f>VLOOKUP(B2410&amp;C2410,Divipola!$C$2:$F$1138,4,FALSE)</f>
        <v>25754</v>
      </c>
      <c r="F2410" s="4"/>
      <c r="G2410" s="101"/>
      <c r="H2410" s="101"/>
      <c r="I2410" s="101"/>
      <c r="J2410" s="101"/>
      <c r="K2410" s="101"/>
      <c r="L2410" s="101"/>
      <c r="M2410" s="101"/>
      <c r="N2410" s="101"/>
      <c r="O2410" s="101"/>
      <c r="P2410" s="101"/>
      <c r="Q2410" s="101"/>
      <c r="R2410" s="101"/>
      <c r="S2410" s="101"/>
      <c r="T2410" s="101"/>
      <c r="U2410" s="101"/>
      <c r="V2410" s="101"/>
      <c r="W2410" s="19"/>
      <c r="X2410" s="17"/>
      <c r="Y2410" s="5">
        <f t="shared" si="232"/>
        <v>0</v>
      </c>
      <c r="Z2410" s="5">
        <f t="shared" si="233"/>
        <v>0</v>
      </c>
      <c r="AA2410" s="5">
        <f t="shared" si="234"/>
        <v>0</v>
      </c>
      <c r="AB2410" s="5">
        <f t="shared" si="235"/>
        <v>0</v>
      </c>
      <c r="AC2410" s="5"/>
      <c r="AD2410" s="5">
        <v>0</v>
      </c>
      <c r="AE2410" s="5">
        <f t="shared" si="236"/>
        <v>0</v>
      </c>
      <c r="AF2410" s="70">
        <v>0</v>
      </c>
      <c r="AG2410" s="17"/>
      <c r="AH2410" s="18"/>
      <c r="AI2410" s="47" t="s">
        <v>4336</v>
      </c>
      <c r="AJ2410" s="73" t="s">
        <v>4337</v>
      </c>
      <c r="AK2410" s="45"/>
      <c r="AL2410" s="17"/>
      <c r="AM2410" s="121" t="s">
        <v>4774</v>
      </c>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39"/>
      <c r="CE2410" s="138"/>
      <c r="CF2410" s="139"/>
      <c r="CG2410" s="138"/>
      <c r="CH2410" s="139"/>
      <c r="CI2410" s="138"/>
      <c r="CJ2410" s="72"/>
      <c r="CK2410" s="139"/>
      <c r="CL2410" s="71"/>
      <c r="CM2410" s="139"/>
      <c r="CN2410" s="138"/>
      <c r="CO2410" s="138"/>
      <c r="CP2410" s="138"/>
      <c r="CQ2410" s="139"/>
      <c r="CR2410" s="138"/>
      <c r="CS2410" s="45"/>
      <c r="CT2410" s="138"/>
      <c r="CU2410" s="45"/>
      <c r="CV2410" s="99">
        <f t="shared" si="237"/>
        <v>0</v>
      </c>
      <c r="CW2410" s="139"/>
      <c r="CX2410" s="138"/>
      <c r="CY2410" s="138"/>
      <c r="CZ2410" s="138"/>
      <c r="DA2410" s="139"/>
      <c r="DB2410" s="138"/>
      <c r="DC2410" s="45"/>
      <c r="DD2410" s="138"/>
      <c r="DE2410" s="45"/>
      <c r="DF2410" s="46"/>
    </row>
    <row r="2411" spans="1:110" s="42" customFormat="1" ht="24" x14ac:dyDescent="0.2">
      <c r="A2411" s="89">
        <v>40839</v>
      </c>
      <c r="B2411" s="16" t="s">
        <v>4308</v>
      </c>
      <c r="C2411" s="16" t="s">
        <v>739</v>
      </c>
      <c r="D2411" s="90" t="s">
        <v>4264</v>
      </c>
      <c r="E2411" s="90" t="str">
        <f>VLOOKUP(B2411&amp;C2411,Divipola!$C$2:$F$1138,4,FALSE)</f>
        <v>47053</v>
      </c>
      <c r="F2411" s="4"/>
      <c r="G2411" s="208"/>
      <c r="H2411" s="208"/>
      <c r="I2411" s="208"/>
      <c r="J2411" s="208">
        <v>14625</v>
      </c>
      <c r="K2411" s="208">
        <v>2935</v>
      </c>
      <c r="L2411" s="208"/>
      <c r="M2411" s="208">
        <v>2935</v>
      </c>
      <c r="N2411" s="208"/>
      <c r="O2411" s="208"/>
      <c r="P2411" s="208"/>
      <c r="Q2411" s="208"/>
      <c r="R2411" s="208"/>
      <c r="S2411" s="208"/>
      <c r="T2411" s="208"/>
      <c r="U2411" s="208"/>
      <c r="V2411" s="208"/>
      <c r="W2411" s="19"/>
      <c r="X2411" s="17"/>
      <c r="Y2411" s="5">
        <f t="shared" si="232"/>
        <v>0</v>
      </c>
      <c r="Z2411" s="5">
        <f t="shared" si="233"/>
        <v>0</v>
      </c>
      <c r="AA2411" s="5">
        <f t="shared" si="234"/>
        <v>0</v>
      </c>
      <c r="AB2411" s="5">
        <f t="shared" si="235"/>
        <v>0</v>
      </c>
      <c r="AC2411" s="5"/>
      <c r="AD2411" s="5">
        <v>0</v>
      </c>
      <c r="AE2411" s="5">
        <f t="shared" si="236"/>
        <v>0</v>
      </c>
      <c r="AF2411" s="70">
        <v>0</v>
      </c>
      <c r="AG2411" s="17"/>
      <c r="AH2411" s="18"/>
      <c r="AI2411" s="47" t="s">
        <v>4346</v>
      </c>
      <c r="AJ2411" s="73" t="s">
        <v>4347</v>
      </c>
      <c r="AK2411" s="45"/>
      <c r="AL2411" s="89" t="s">
        <v>2798</v>
      </c>
      <c r="AM2411" s="121" t="s">
        <v>5357</v>
      </c>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39"/>
      <c r="CE2411" s="138"/>
      <c r="CF2411" s="139"/>
      <c r="CG2411" s="138"/>
      <c r="CH2411" s="139"/>
      <c r="CI2411" s="138"/>
      <c r="CJ2411" s="72"/>
      <c r="CK2411" s="139"/>
      <c r="CL2411" s="71"/>
      <c r="CM2411" s="139"/>
      <c r="CN2411" s="138"/>
      <c r="CO2411" s="138"/>
      <c r="CP2411" s="138"/>
      <c r="CQ2411" s="139"/>
      <c r="CR2411" s="138"/>
      <c r="CS2411" s="45"/>
      <c r="CT2411" s="138"/>
      <c r="CU2411" s="45"/>
      <c r="CV2411" s="99">
        <f t="shared" si="237"/>
        <v>0</v>
      </c>
      <c r="CW2411" s="139"/>
      <c r="CX2411" s="138"/>
      <c r="CY2411" s="138"/>
      <c r="CZ2411" s="138"/>
      <c r="DA2411" s="139"/>
      <c r="DB2411" s="138"/>
      <c r="DC2411" s="45"/>
      <c r="DD2411" s="138"/>
      <c r="DE2411" s="45"/>
      <c r="DF2411" s="46"/>
    </row>
    <row r="2412" spans="1:110" s="42" customFormat="1" ht="36" x14ac:dyDescent="0.2">
      <c r="A2412" s="89">
        <v>40839</v>
      </c>
      <c r="B2412" s="16" t="s">
        <v>4308</v>
      </c>
      <c r="C2412" s="16" t="s">
        <v>756</v>
      </c>
      <c r="D2412" s="90" t="s">
        <v>4264</v>
      </c>
      <c r="E2412" s="90" t="str">
        <f>VLOOKUP(B2412&amp;C2412,Divipola!$C$2:$F$1138,4,FALSE)</f>
        <v>47268</v>
      </c>
      <c r="F2412" s="4"/>
      <c r="G2412" s="208"/>
      <c r="H2412" s="208"/>
      <c r="I2412" s="208"/>
      <c r="J2412" s="208">
        <f>220*5</f>
        <v>1100</v>
      </c>
      <c r="K2412" s="208">
        <v>220</v>
      </c>
      <c r="L2412" s="208"/>
      <c r="M2412" s="208"/>
      <c r="N2412" s="208"/>
      <c r="O2412" s="208"/>
      <c r="P2412" s="208"/>
      <c r="Q2412" s="208"/>
      <c r="R2412" s="208"/>
      <c r="S2412" s="208"/>
      <c r="T2412" s="208"/>
      <c r="U2412" s="208"/>
      <c r="V2412" s="208"/>
      <c r="W2412" s="19"/>
      <c r="X2412" s="17"/>
      <c r="Y2412" s="5">
        <f t="shared" si="232"/>
        <v>0</v>
      </c>
      <c r="Z2412" s="5">
        <f t="shared" si="233"/>
        <v>0</v>
      </c>
      <c r="AA2412" s="5">
        <f t="shared" si="234"/>
        <v>0</v>
      </c>
      <c r="AB2412" s="5">
        <f t="shared" si="235"/>
        <v>0</v>
      </c>
      <c r="AC2412" s="5"/>
      <c r="AD2412" s="5">
        <v>0</v>
      </c>
      <c r="AE2412" s="5">
        <f t="shared" si="236"/>
        <v>0</v>
      </c>
      <c r="AF2412" s="70">
        <v>0</v>
      </c>
      <c r="AG2412" s="17"/>
      <c r="AH2412" s="18"/>
      <c r="AI2412" s="47" t="s">
        <v>4346</v>
      </c>
      <c r="AJ2412" s="73" t="s">
        <v>4347</v>
      </c>
      <c r="AK2412" s="45"/>
      <c r="AL2412" s="89" t="s">
        <v>2798</v>
      </c>
      <c r="AM2412" s="20" t="s">
        <v>4827</v>
      </c>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39"/>
      <c r="CE2412" s="138"/>
      <c r="CF2412" s="139"/>
      <c r="CG2412" s="138"/>
      <c r="CH2412" s="139"/>
      <c r="CI2412" s="138"/>
      <c r="CJ2412" s="72"/>
      <c r="CK2412" s="139"/>
      <c r="CL2412" s="71"/>
      <c r="CM2412" s="139"/>
      <c r="CN2412" s="138"/>
      <c r="CO2412" s="138"/>
      <c r="CP2412" s="138"/>
      <c r="CQ2412" s="139"/>
      <c r="CR2412" s="138"/>
      <c r="CS2412" s="45"/>
      <c r="CT2412" s="138"/>
      <c r="CU2412" s="45"/>
      <c r="CV2412" s="99">
        <f t="shared" si="237"/>
        <v>0</v>
      </c>
      <c r="CW2412" s="139"/>
      <c r="CX2412" s="138"/>
      <c r="CY2412" s="138"/>
      <c r="CZ2412" s="138"/>
      <c r="DA2412" s="139"/>
      <c r="DB2412" s="138"/>
      <c r="DC2412" s="45"/>
      <c r="DD2412" s="138"/>
      <c r="DE2412" s="45"/>
      <c r="DF2412" s="46"/>
    </row>
    <row r="2413" spans="1:110" s="42" customFormat="1" ht="24" x14ac:dyDescent="0.2">
      <c r="A2413" s="89">
        <v>40839</v>
      </c>
      <c r="B2413" s="16" t="s">
        <v>4308</v>
      </c>
      <c r="C2413" s="16" t="s">
        <v>769</v>
      </c>
      <c r="D2413" s="90" t="s">
        <v>4264</v>
      </c>
      <c r="E2413" s="90" t="str">
        <f>VLOOKUP(B2413&amp;C2413,Divipola!$C$2:$F$1138,4,FALSE)</f>
        <v>47551</v>
      </c>
      <c r="F2413" s="4"/>
      <c r="G2413" s="208"/>
      <c r="H2413" s="208"/>
      <c r="I2413" s="208"/>
      <c r="J2413" s="208">
        <f>120*5</f>
        <v>600</v>
      </c>
      <c r="K2413" s="208">
        <v>120</v>
      </c>
      <c r="L2413" s="208"/>
      <c r="M2413" s="208"/>
      <c r="N2413" s="208"/>
      <c r="O2413" s="208"/>
      <c r="P2413" s="208"/>
      <c r="Q2413" s="208"/>
      <c r="R2413" s="208"/>
      <c r="S2413" s="208"/>
      <c r="T2413" s="208"/>
      <c r="U2413" s="208"/>
      <c r="V2413" s="208"/>
      <c r="W2413" s="19"/>
      <c r="X2413" s="17"/>
      <c r="Y2413" s="5">
        <f t="shared" si="232"/>
        <v>0</v>
      </c>
      <c r="Z2413" s="5">
        <f t="shared" si="233"/>
        <v>0</v>
      </c>
      <c r="AA2413" s="5">
        <f t="shared" si="234"/>
        <v>0</v>
      </c>
      <c r="AB2413" s="5">
        <f t="shared" si="235"/>
        <v>0</v>
      </c>
      <c r="AC2413" s="5"/>
      <c r="AD2413" s="5">
        <v>0</v>
      </c>
      <c r="AE2413" s="5">
        <f t="shared" si="236"/>
        <v>0</v>
      </c>
      <c r="AF2413" s="70">
        <v>0</v>
      </c>
      <c r="AG2413" s="17"/>
      <c r="AH2413" s="18"/>
      <c r="AI2413" s="47" t="s">
        <v>4346</v>
      </c>
      <c r="AJ2413" s="73" t="s">
        <v>4347</v>
      </c>
      <c r="AK2413" s="45"/>
      <c r="AL2413" s="89" t="s">
        <v>2798</v>
      </c>
      <c r="AM2413" s="20" t="s">
        <v>4828</v>
      </c>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39"/>
      <c r="CE2413" s="138"/>
      <c r="CF2413" s="139"/>
      <c r="CG2413" s="138"/>
      <c r="CH2413" s="139"/>
      <c r="CI2413" s="138"/>
      <c r="CJ2413" s="72"/>
      <c r="CK2413" s="139"/>
      <c r="CL2413" s="71"/>
      <c r="CM2413" s="139"/>
      <c r="CN2413" s="138"/>
      <c r="CO2413" s="138"/>
      <c r="CP2413" s="138"/>
      <c r="CQ2413" s="139"/>
      <c r="CR2413" s="138"/>
      <c r="CS2413" s="45"/>
      <c r="CT2413" s="138"/>
      <c r="CU2413" s="45"/>
      <c r="CV2413" s="99">
        <f t="shared" si="237"/>
        <v>0</v>
      </c>
      <c r="CW2413" s="139"/>
      <c r="CX2413" s="138"/>
      <c r="CY2413" s="138"/>
      <c r="CZ2413" s="138"/>
      <c r="DA2413" s="139"/>
      <c r="DB2413" s="138"/>
      <c r="DC2413" s="45"/>
      <c r="DD2413" s="138"/>
      <c r="DE2413" s="45"/>
      <c r="DF2413" s="46"/>
    </row>
    <row r="2414" spans="1:110" s="42" customFormat="1" ht="72" x14ac:dyDescent="0.2">
      <c r="A2414" s="89">
        <v>40839</v>
      </c>
      <c r="B2414" s="151" t="s">
        <v>860</v>
      </c>
      <c r="C2414" s="90" t="s">
        <v>3389</v>
      </c>
      <c r="D2414" s="90" t="s">
        <v>3346</v>
      </c>
      <c r="E2414" s="90" t="str">
        <f>VLOOKUP(B2414&amp;C2414,Divipola!$C$2:$F$1138,4,FALSE)</f>
        <v>50711</v>
      </c>
      <c r="F2414" s="4"/>
      <c r="G2414" s="101"/>
      <c r="H2414" s="101"/>
      <c r="I2414" s="101"/>
      <c r="J2414" s="101">
        <v>40</v>
      </c>
      <c r="K2414" s="101">
        <v>8</v>
      </c>
      <c r="L2414" s="101"/>
      <c r="M2414" s="101">
        <v>8</v>
      </c>
      <c r="N2414" s="101"/>
      <c r="O2414" s="101"/>
      <c r="P2414" s="101"/>
      <c r="Q2414" s="101"/>
      <c r="R2414" s="101"/>
      <c r="S2414" s="101"/>
      <c r="T2414" s="101"/>
      <c r="U2414" s="101"/>
      <c r="V2414" s="101"/>
      <c r="W2414" s="19"/>
      <c r="X2414" s="17"/>
      <c r="Y2414" s="5">
        <f t="shared" si="232"/>
        <v>0</v>
      </c>
      <c r="Z2414" s="5">
        <f t="shared" si="233"/>
        <v>0</v>
      </c>
      <c r="AA2414" s="5">
        <f t="shared" si="234"/>
        <v>0</v>
      </c>
      <c r="AB2414" s="5">
        <f t="shared" si="235"/>
        <v>0</v>
      </c>
      <c r="AC2414" s="5"/>
      <c r="AD2414" s="5">
        <v>0</v>
      </c>
      <c r="AE2414" s="5">
        <f t="shared" si="236"/>
        <v>0</v>
      </c>
      <c r="AF2414" s="70">
        <v>0</v>
      </c>
      <c r="AG2414" s="17"/>
      <c r="AH2414" s="18"/>
      <c r="AI2414" s="47" t="s">
        <v>4336</v>
      </c>
      <c r="AJ2414" s="73" t="s">
        <v>4337</v>
      </c>
      <c r="AK2414" s="45"/>
      <c r="AL2414" s="17"/>
      <c r="AM2414" s="121" t="s">
        <v>4772</v>
      </c>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39"/>
      <c r="CE2414" s="138"/>
      <c r="CF2414" s="139"/>
      <c r="CG2414" s="138"/>
      <c r="CH2414" s="139"/>
      <c r="CI2414" s="138"/>
      <c r="CJ2414" s="72"/>
      <c r="CK2414" s="139"/>
      <c r="CL2414" s="71"/>
      <c r="CM2414" s="139"/>
      <c r="CN2414" s="138"/>
      <c r="CO2414" s="138"/>
      <c r="CP2414" s="138"/>
      <c r="CQ2414" s="139"/>
      <c r="CR2414" s="138"/>
      <c r="CS2414" s="45"/>
      <c r="CT2414" s="138"/>
      <c r="CU2414" s="45"/>
      <c r="CV2414" s="99">
        <f t="shared" si="237"/>
        <v>0</v>
      </c>
      <c r="CW2414" s="139"/>
      <c r="CX2414" s="138"/>
      <c r="CY2414" s="138"/>
      <c r="CZ2414" s="138"/>
      <c r="DA2414" s="139"/>
      <c r="DB2414" s="138"/>
      <c r="DC2414" s="45"/>
      <c r="DD2414" s="138"/>
      <c r="DE2414" s="45"/>
      <c r="DF2414" s="46"/>
    </row>
    <row r="2415" spans="1:110" s="42" customFormat="1" ht="48" x14ac:dyDescent="0.2">
      <c r="A2415" s="89">
        <v>40840</v>
      </c>
      <c r="B2415" s="16" t="s">
        <v>4261</v>
      </c>
      <c r="C2415" s="16" t="s">
        <v>1252</v>
      </c>
      <c r="D2415" s="90" t="s">
        <v>2362</v>
      </c>
      <c r="E2415" s="90" t="str">
        <f>VLOOKUP(B2415&amp;C2415,Divipola!$C$2:$F$1138,4,FALSE)</f>
        <v>15537</v>
      </c>
      <c r="F2415" s="4"/>
      <c r="G2415" s="208"/>
      <c r="H2415" s="208"/>
      <c r="I2415" s="208"/>
      <c r="J2415" s="208">
        <f>108*5</f>
        <v>540</v>
      </c>
      <c r="K2415" s="208">
        <v>108</v>
      </c>
      <c r="L2415" s="208"/>
      <c r="M2415" s="208"/>
      <c r="N2415" s="208"/>
      <c r="O2415" s="208"/>
      <c r="P2415" s="208"/>
      <c r="Q2415" s="208"/>
      <c r="R2415" s="208"/>
      <c r="S2415" s="208"/>
      <c r="T2415" s="208"/>
      <c r="U2415" s="208"/>
      <c r="V2415" s="208"/>
      <c r="W2415" s="19"/>
      <c r="X2415" s="17"/>
      <c r="Y2415" s="5">
        <f t="shared" si="232"/>
        <v>62337000</v>
      </c>
      <c r="Z2415" s="5">
        <f t="shared" si="233"/>
        <v>9350000</v>
      </c>
      <c r="AA2415" s="5">
        <f t="shared" si="234"/>
        <v>0</v>
      </c>
      <c r="AB2415" s="5">
        <f t="shared" si="235"/>
        <v>0</v>
      </c>
      <c r="AC2415" s="5"/>
      <c r="AD2415" s="5">
        <v>0</v>
      </c>
      <c r="AE2415" s="5">
        <f t="shared" si="236"/>
        <v>71687000</v>
      </c>
      <c r="AF2415" s="70">
        <v>0</v>
      </c>
      <c r="AG2415" s="17"/>
      <c r="AH2415" s="18"/>
      <c r="AI2415" s="47" t="s">
        <v>4346</v>
      </c>
      <c r="AJ2415" s="73" t="s">
        <v>4347</v>
      </c>
      <c r="AK2415" s="45"/>
      <c r="AL2415" s="17"/>
      <c r="AM2415" s="121" t="s">
        <v>4814</v>
      </c>
      <c r="AN2415" s="19"/>
      <c r="AO2415" s="19"/>
      <c r="AP2415" s="19"/>
      <c r="AQ2415" s="19"/>
      <c r="AR2415" s="19"/>
      <c r="AS2415" s="19"/>
      <c r="AT2415" s="19"/>
      <c r="AU2415" s="19"/>
      <c r="AV2415" s="19">
        <v>1100</v>
      </c>
      <c r="AW2415" s="19">
        <f>1100*21000</f>
        <v>23100000</v>
      </c>
      <c r="AX2415" s="19"/>
      <c r="AY2415" s="19"/>
      <c r="AZ2415" s="19">
        <v>550</v>
      </c>
      <c r="BA2415" s="19">
        <f>550*56000</f>
        <v>30800000</v>
      </c>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39"/>
      <c r="CE2415" s="138"/>
      <c r="CF2415" s="139"/>
      <c r="CG2415" s="138"/>
      <c r="CH2415" s="139"/>
      <c r="CI2415" s="138"/>
      <c r="CJ2415" s="72"/>
      <c r="CK2415" s="139"/>
      <c r="CL2415" s="71"/>
      <c r="CM2415" s="139"/>
      <c r="CN2415" s="138"/>
      <c r="CO2415" s="138"/>
      <c r="CP2415" s="138">
        <v>110</v>
      </c>
      <c r="CQ2415" s="139">
        <f>110*37000</f>
        <v>4070000</v>
      </c>
      <c r="CR2415" s="138">
        <v>110</v>
      </c>
      <c r="CS2415" s="45">
        <f>110*39700</f>
        <v>4367000</v>
      </c>
      <c r="CT2415" s="138"/>
      <c r="CU2415" s="45"/>
      <c r="CV2415" s="99">
        <f t="shared" si="237"/>
        <v>62337000</v>
      </c>
      <c r="CW2415" s="139"/>
      <c r="CX2415" s="138"/>
      <c r="CY2415" s="138">
        <v>110</v>
      </c>
      <c r="CZ2415" s="138">
        <f>110*85000</f>
        <v>9350000</v>
      </c>
      <c r="DA2415" s="139"/>
      <c r="DB2415" s="138"/>
      <c r="DC2415" s="45"/>
      <c r="DD2415" s="138"/>
      <c r="DE2415" s="45"/>
      <c r="DF2415" s="46"/>
    </row>
    <row r="2416" spans="1:110" s="42" customFormat="1" ht="132" x14ac:dyDescent="0.2">
      <c r="A2416" s="89">
        <v>40840</v>
      </c>
      <c r="B2416" s="151" t="s">
        <v>4261</v>
      </c>
      <c r="C2416" s="90" t="s">
        <v>4230</v>
      </c>
      <c r="D2416" s="90" t="s">
        <v>4264</v>
      </c>
      <c r="E2416" s="90" t="str">
        <f>VLOOKUP(B2416&amp;C2416,Divipola!$C$2:$F$1138,4,FALSE)</f>
        <v>15001</v>
      </c>
      <c r="F2416" s="4"/>
      <c r="G2416" s="101"/>
      <c r="H2416" s="101"/>
      <c r="I2416" s="101"/>
      <c r="J2416" s="101">
        <v>25</v>
      </c>
      <c r="K2416" s="101">
        <v>5</v>
      </c>
      <c r="L2416" s="101"/>
      <c r="M2416" s="101">
        <v>5</v>
      </c>
      <c r="N2416" s="101"/>
      <c r="O2416" s="101"/>
      <c r="P2416" s="101"/>
      <c r="Q2416" s="101"/>
      <c r="R2416" s="101"/>
      <c r="S2416" s="101"/>
      <c r="T2416" s="101"/>
      <c r="U2416" s="101"/>
      <c r="V2416" s="101"/>
      <c r="W2416" s="19"/>
      <c r="X2416" s="17"/>
      <c r="Y2416" s="5">
        <f t="shared" si="232"/>
        <v>0</v>
      </c>
      <c r="Z2416" s="5">
        <f t="shared" si="233"/>
        <v>0</v>
      </c>
      <c r="AA2416" s="5">
        <f t="shared" si="234"/>
        <v>0</v>
      </c>
      <c r="AB2416" s="5">
        <f t="shared" si="235"/>
        <v>0</v>
      </c>
      <c r="AC2416" s="5"/>
      <c r="AD2416" s="5">
        <v>0</v>
      </c>
      <c r="AE2416" s="5">
        <f t="shared" si="236"/>
        <v>0</v>
      </c>
      <c r="AF2416" s="70">
        <v>0</v>
      </c>
      <c r="AG2416" s="17"/>
      <c r="AH2416" s="18"/>
      <c r="AI2416" s="47" t="s">
        <v>4346</v>
      </c>
      <c r="AJ2416" s="73" t="s">
        <v>4347</v>
      </c>
      <c r="AK2416" s="45"/>
      <c r="AL2416" s="89" t="s">
        <v>2798</v>
      </c>
      <c r="AM2416" s="121" t="s">
        <v>4801</v>
      </c>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39"/>
      <c r="CE2416" s="138"/>
      <c r="CF2416" s="139"/>
      <c r="CG2416" s="138"/>
      <c r="CH2416" s="139"/>
      <c r="CI2416" s="138"/>
      <c r="CJ2416" s="72"/>
      <c r="CK2416" s="139"/>
      <c r="CL2416" s="71"/>
      <c r="CM2416" s="139"/>
      <c r="CN2416" s="138"/>
      <c r="CO2416" s="138"/>
      <c r="CP2416" s="138"/>
      <c r="CQ2416" s="139"/>
      <c r="CR2416" s="138"/>
      <c r="CS2416" s="45"/>
      <c r="CT2416" s="138"/>
      <c r="CU2416" s="45"/>
      <c r="CV2416" s="99">
        <f t="shared" si="237"/>
        <v>0</v>
      </c>
      <c r="CW2416" s="139"/>
      <c r="CX2416" s="138"/>
      <c r="CY2416" s="138"/>
      <c r="CZ2416" s="138"/>
      <c r="DA2416" s="139"/>
      <c r="DB2416" s="138"/>
      <c r="DC2416" s="45"/>
      <c r="DD2416" s="138"/>
      <c r="DE2416" s="45"/>
      <c r="DF2416" s="46"/>
    </row>
    <row r="2417" spans="1:110" s="42" customFormat="1" ht="72" x14ac:dyDescent="0.2">
      <c r="A2417" s="89">
        <v>40840</v>
      </c>
      <c r="B2417" s="16" t="s">
        <v>3533</v>
      </c>
      <c r="C2417" s="16" t="s">
        <v>1405</v>
      </c>
      <c r="D2417" s="90" t="s">
        <v>4264</v>
      </c>
      <c r="E2417" s="90" t="str">
        <f>VLOOKUP(B2417&amp;C2417,Divipola!$C$2:$F$1138,4,FALSE)</f>
        <v>17541</v>
      </c>
      <c r="F2417" s="4"/>
      <c r="G2417" s="208"/>
      <c r="H2417" s="208"/>
      <c r="I2417" s="208"/>
      <c r="J2417" s="208">
        <f>103*5</f>
        <v>515</v>
      </c>
      <c r="K2417" s="208">
        <v>103</v>
      </c>
      <c r="L2417" s="208"/>
      <c r="M2417" s="208"/>
      <c r="N2417" s="208"/>
      <c r="O2417" s="208"/>
      <c r="P2417" s="208"/>
      <c r="Q2417" s="208"/>
      <c r="R2417" s="208"/>
      <c r="S2417" s="208"/>
      <c r="T2417" s="208"/>
      <c r="U2417" s="208"/>
      <c r="V2417" s="208"/>
      <c r="W2417" s="19"/>
      <c r="X2417" s="17"/>
      <c r="Y2417" s="5">
        <f t="shared" si="232"/>
        <v>0</v>
      </c>
      <c r="Z2417" s="5">
        <f t="shared" si="233"/>
        <v>0</v>
      </c>
      <c r="AA2417" s="5">
        <f t="shared" si="234"/>
        <v>0</v>
      </c>
      <c r="AB2417" s="5">
        <f t="shared" si="235"/>
        <v>0</v>
      </c>
      <c r="AC2417" s="5"/>
      <c r="AD2417" s="5">
        <v>56180000</v>
      </c>
      <c r="AE2417" s="5">
        <f t="shared" si="236"/>
        <v>56180000</v>
      </c>
      <c r="AF2417" s="70">
        <v>0</v>
      </c>
      <c r="AG2417" s="17"/>
      <c r="AH2417" s="18"/>
      <c r="AI2417" s="47" t="s">
        <v>4346</v>
      </c>
      <c r="AJ2417" s="73" t="s">
        <v>4347</v>
      </c>
      <c r="AK2417" s="45"/>
      <c r="AL2417" s="17"/>
      <c r="AM2417" s="20" t="s">
        <v>4823</v>
      </c>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39"/>
      <c r="CE2417" s="138"/>
      <c r="CF2417" s="139"/>
      <c r="CG2417" s="138"/>
      <c r="CH2417" s="139"/>
      <c r="CI2417" s="138"/>
      <c r="CJ2417" s="72"/>
      <c r="CK2417" s="139"/>
      <c r="CL2417" s="71"/>
      <c r="CM2417" s="139"/>
      <c r="CN2417" s="138"/>
      <c r="CO2417" s="138"/>
      <c r="CP2417" s="138"/>
      <c r="CQ2417" s="139"/>
      <c r="CR2417" s="138"/>
      <c r="CS2417" s="45"/>
      <c r="CT2417" s="138"/>
      <c r="CU2417" s="45"/>
      <c r="CV2417" s="99">
        <f t="shared" si="237"/>
        <v>0</v>
      </c>
      <c r="CW2417" s="139"/>
      <c r="CX2417" s="138"/>
      <c r="CY2417" s="138"/>
      <c r="CZ2417" s="138"/>
      <c r="DA2417" s="139"/>
      <c r="DB2417" s="138"/>
      <c r="DC2417" s="45"/>
      <c r="DD2417" s="138"/>
      <c r="DE2417" s="45"/>
      <c r="DF2417" s="46"/>
    </row>
    <row r="2418" spans="1:110" s="42" customFormat="1" ht="60" x14ac:dyDescent="0.2">
      <c r="A2418" s="89">
        <v>40840</v>
      </c>
      <c r="B2418" s="151" t="s">
        <v>4296</v>
      </c>
      <c r="C2418" s="90" t="s">
        <v>4267</v>
      </c>
      <c r="D2418" s="90" t="s">
        <v>4803</v>
      </c>
      <c r="E2418" s="90" t="str">
        <f>VLOOKUP(B2418&amp;C2418,Divipola!$C$2:$F$1138,4,FALSE)</f>
        <v>19743</v>
      </c>
      <c r="F2418" s="4"/>
      <c r="G2418" s="101"/>
      <c r="H2418" s="101"/>
      <c r="I2418" s="101"/>
      <c r="J2418" s="101">
        <v>595</v>
      </c>
      <c r="K2418" s="101">
        <v>119</v>
      </c>
      <c r="L2418" s="101"/>
      <c r="M2418" s="101"/>
      <c r="N2418" s="101"/>
      <c r="O2418" s="101"/>
      <c r="P2418" s="101"/>
      <c r="Q2418" s="101"/>
      <c r="R2418" s="101"/>
      <c r="S2418" s="101"/>
      <c r="T2418" s="101"/>
      <c r="U2418" s="101"/>
      <c r="V2418" s="101">
        <v>407</v>
      </c>
      <c r="W2418" s="19"/>
      <c r="X2418" s="17"/>
      <c r="Y2418" s="5">
        <f t="shared" si="232"/>
        <v>0</v>
      </c>
      <c r="Z2418" s="5">
        <f t="shared" si="233"/>
        <v>0</v>
      </c>
      <c r="AA2418" s="5">
        <f t="shared" si="234"/>
        <v>0</v>
      </c>
      <c r="AB2418" s="5">
        <f t="shared" si="235"/>
        <v>0</v>
      </c>
      <c r="AC2418" s="5"/>
      <c r="AD2418" s="5">
        <v>0</v>
      </c>
      <c r="AE2418" s="5">
        <f t="shared" si="236"/>
        <v>0</v>
      </c>
      <c r="AF2418" s="70">
        <v>0</v>
      </c>
      <c r="AG2418" s="17"/>
      <c r="AH2418" s="18"/>
      <c r="AI2418" s="47" t="s">
        <v>4336</v>
      </c>
      <c r="AJ2418" s="73" t="s">
        <v>4337</v>
      </c>
      <c r="AK2418" s="45"/>
      <c r="AL2418" s="17"/>
      <c r="AM2418" s="121" t="s">
        <v>4812</v>
      </c>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39"/>
      <c r="CE2418" s="138"/>
      <c r="CF2418" s="139"/>
      <c r="CG2418" s="138"/>
      <c r="CH2418" s="139"/>
      <c r="CI2418" s="138"/>
      <c r="CJ2418" s="72"/>
      <c r="CK2418" s="139"/>
      <c r="CL2418" s="71"/>
      <c r="CM2418" s="139"/>
      <c r="CN2418" s="138"/>
      <c r="CO2418" s="138"/>
      <c r="CP2418" s="138"/>
      <c r="CQ2418" s="139"/>
      <c r="CR2418" s="138"/>
      <c r="CS2418" s="45"/>
      <c r="CT2418" s="138"/>
      <c r="CU2418" s="45"/>
      <c r="CV2418" s="99">
        <f t="shared" si="237"/>
        <v>0</v>
      </c>
      <c r="CW2418" s="139"/>
      <c r="CX2418" s="138"/>
      <c r="CY2418" s="138"/>
      <c r="CZ2418" s="138"/>
      <c r="DA2418" s="139"/>
      <c r="DB2418" s="138"/>
      <c r="DC2418" s="45"/>
      <c r="DD2418" s="138"/>
      <c r="DE2418" s="45"/>
      <c r="DF2418" s="46"/>
    </row>
    <row r="2419" spans="1:110" s="42" customFormat="1" ht="36" x14ac:dyDescent="0.2">
      <c r="A2419" s="89">
        <v>40840</v>
      </c>
      <c r="B2419" s="151" t="s">
        <v>4344</v>
      </c>
      <c r="C2419" s="90" t="s">
        <v>2211</v>
      </c>
      <c r="D2419" s="90" t="s">
        <v>4264</v>
      </c>
      <c r="E2419" s="90" t="str">
        <f>VLOOKUP(B2419&amp;C2419,Divipola!$C$2:$F$1138,4,FALSE)</f>
        <v>25312</v>
      </c>
      <c r="F2419" s="4"/>
      <c r="G2419" s="101"/>
      <c r="H2419" s="101"/>
      <c r="I2419" s="101"/>
      <c r="J2419" s="101">
        <v>185</v>
      </c>
      <c r="K2419" s="101">
        <v>47</v>
      </c>
      <c r="L2419" s="101"/>
      <c r="M2419" s="101">
        <v>47</v>
      </c>
      <c r="N2419" s="101"/>
      <c r="O2419" s="101"/>
      <c r="P2419" s="101"/>
      <c r="Q2419" s="101"/>
      <c r="R2419" s="101"/>
      <c r="S2419" s="101"/>
      <c r="T2419" s="101"/>
      <c r="U2419" s="101"/>
      <c r="V2419" s="101"/>
      <c r="W2419" s="19"/>
      <c r="X2419" s="17"/>
      <c r="Y2419" s="5">
        <f t="shared" si="232"/>
        <v>0</v>
      </c>
      <c r="Z2419" s="5">
        <f t="shared" si="233"/>
        <v>0</v>
      </c>
      <c r="AA2419" s="5">
        <f t="shared" si="234"/>
        <v>0</v>
      </c>
      <c r="AB2419" s="5">
        <f t="shared" si="235"/>
        <v>0</v>
      </c>
      <c r="AC2419" s="5"/>
      <c r="AD2419" s="5">
        <v>0</v>
      </c>
      <c r="AE2419" s="5">
        <f t="shared" si="236"/>
        <v>0</v>
      </c>
      <c r="AF2419" s="70">
        <v>0</v>
      </c>
      <c r="AG2419" s="17"/>
      <c r="AH2419" s="18"/>
      <c r="AI2419" s="47" t="s">
        <v>4336</v>
      </c>
      <c r="AJ2419" s="73" t="s">
        <v>4337</v>
      </c>
      <c r="AK2419" s="45"/>
      <c r="AL2419" s="17"/>
      <c r="AM2419" s="121" t="s">
        <v>4782</v>
      </c>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39"/>
      <c r="CE2419" s="138"/>
      <c r="CF2419" s="139"/>
      <c r="CG2419" s="138"/>
      <c r="CH2419" s="139"/>
      <c r="CI2419" s="138"/>
      <c r="CJ2419" s="72"/>
      <c r="CK2419" s="139"/>
      <c r="CL2419" s="71"/>
      <c r="CM2419" s="139"/>
      <c r="CN2419" s="138"/>
      <c r="CO2419" s="138"/>
      <c r="CP2419" s="138"/>
      <c r="CQ2419" s="139"/>
      <c r="CR2419" s="138"/>
      <c r="CS2419" s="45"/>
      <c r="CT2419" s="138"/>
      <c r="CU2419" s="45"/>
      <c r="CV2419" s="99">
        <f t="shared" si="237"/>
        <v>0</v>
      </c>
      <c r="CW2419" s="139"/>
      <c r="CX2419" s="138"/>
      <c r="CY2419" s="138"/>
      <c r="CZ2419" s="138"/>
      <c r="DA2419" s="139"/>
      <c r="DB2419" s="138"/>
      <c r="DC2419" s="45"/>
      <c r="DD2419" s="138"/>
      <c r="DE2419" s="45"/>
      <c r="DF2419" s="46"/>
    </row>
    <row r="2420" spans="1:110" s="42" customFormat="1" ht="84" x14ac:dyDescent="0.2">
      <c r="A2420" s="89">
        <v>40840</v>
      </c>
      <c r="B2420" s="151" t="s">
        <v>4344</v>
      </c>
      <c r="C2420" s="90" t="s">
        <v>2213</v>
      </c>
      <c r="D2420" s="90" t="s">
        <v>4264</v>
      </c>
      <c r="E2420" s="90" t="str">
        <f>VLOOKUP(B2420&amp;C2420,Divipola!$C$2:$F$1138,4,FALSE)</f>
        <v>25322</v>
      </c>
      <c r="F2420" s="4"/>
      <c r="G2420" s="101"/>
      <c r="H2420" s="101"/>
      <c r="I2420" s="101"/>
      <c r="J2420" s="101">
        <v>45</v>
      </c>
      <c r="K2420" s="101">
        <v>9</v>
      </c>
      <c r="L2420" s="101"/>
      <c r="M2420" s="101">
        <v>9</v>
      </c>
      <c r="N2420" s="101"/>
      <c r="O2420" s="101"/>
      <c r="P2420" s="101"/>
      <c r="Q2420" s="101"/>
      <c r="R2420" s="101"/>
      <c r="S2420" s="101"/>
      <c r="T2420" s="101"/>
      <c r="U2420" s="101"/>
      <c r="V2420" s="101"/>
      <c r="W2420" s="19"/>
      <c r="X2420" s="17"/>
      <c r="Y2420" s="5">
        <f t="shared" si="232"/>
        <v>0</v>
      </c>
      <c r="Z2420" s="5">
        <f t="shared" si="233"/>
        <v>0</v>
      </c>
      <c r="AA2420" s="5">
        <f t="shared" si="234"/>
        <v>0</v>
      </c>
      <c r="AB2420" s="5">
        <f t="shared" si="235"/>
        <v>0</v>
      </c>
      <c r="AC2420" s="5"/>
      <c r="AD2420" s="5">
        <v>0</v>
      </c>
      <c r="AE2420" s="5">
        <f t="shared" si="236"/>
        <v>0</v>
      </c>
      <c r="AF2420" s="70">
        <v>0</v>
      </c>
      <c r="AG2420" s="17"/>
      <c r="AH2420" s="18"/>
      <c r="AI2420" s="47" t="s">
        <v>4336</v>
      </c>
      <c r="AJ2420" s="73" t="s">
        <v>4337</v>
      </c>
      <c r="AK2420" s="45"/>
      <c r="AL2420" s="17"/>
      <c r="AM2420" s="121" t="s">
        <v>4799</v>
      </c>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39"/>
      <c r="CE2420" s="138"/>
      <c r="CF2420" s="139"/>
      <c r="CG2420" s="138"/>
      <c r="CH2420" s="139"/>
      <c r="CI2420" s="138"/>
      <c r="CJ2420" s="72"/>
      <c r="CK2420" s="139"/>
      <c r="CL2420" s="71"/>
      <c r="CM2420" s="139"/>
      <c r="CN2420" s="138"/>
      <c r="CO2420" s="138"/>
      <c r="CP2420" s="138"/>
      <c r="CQ2420" s="139"/>
      <c r="CR2420" s="138"/>
      <c r="CS2420" s="45"/>
      <c r="CT2420" s="138"/>
      <c r="CU2420" s="45"/>
      <c r="CV2420" s="99">
        <f t="shared" si="237"/>
        <v>0</v>
      </c>
      <c r="CW2420" s="139"/>
      <c r="CX2420" s="138"/>
      <c r="CY2420" s="138"/>
      <c r="CZ2420" s="138"/>
      <c r="DA2420" s="139"/>
      <c r="DB2420" s="138"/>
      <c r="DC2420" s="45"/>
      <c r="DD2420" s="138"/>
      <c r="DE2420" s="45"/>
      <c r="DF2420" s="46"/>
    </row>
    <row r="2421" spans="1:110" s="42" customFormat="1" ht="132" x14ac:dyDescent="0.2">
      <c r="A2421" s="89">
        <v>40840</v>
      </c>
      <c r="B2421" s="151" t="s">
        <v>4344</v>
      </c>
      <c r="C2421" s="90" t="s">
        <v>4515</v>
      </c>
      <c r="D2421" s="90" t="s">
        <v>4264</v>
      </c>
      <c r="E2421" s="90" t="str">
        <f>VLOOKUP(B2421&amp;C2421,Divipola!$C$2:$F$1138,4,FALSE)</f>
        <v>25736</v>
      </c>
      <c r="F2421" s="4"/>
      <c r="G2421" s="101"/>
      <c r="H2421" s="101"/>
      <c r="I2421" s="101"/>
      <c r="J2421" s="101">
        <v>35</v>
      </c>
      <c r="K2421" s="101">
        <v>7</v>
      </c>
      <c r="L2421" s="101"/>
      <c r="M2421" s="101">
        <v>7</v>
      </c>
      <c r="N2421" s="101"/>
      <c r="O2421" s="101"/>
      <c r="P2421" s="101"/>
      <c r="Q2421" s="101"/>
      <c r="R2421" s="101"/>
      <c r="S2421" s="101"/>
      <c r="T2421" s="101"/>
      <c r="U2421" s="101"/>
      <c r="V2421" s="101"/>
      <c r="W2421" s="19"/>
      <c r="X2421" s="17"/>
      <c r="Y2421" s="5">
        <f t="shared" si="232"/>
        <v>0</v>
      </c>
      <c r="Z2421" s="5">
        <f t="shared" si="233"/>
        <v>0</v>
      </c>
      <c r="AA2421" s="5">
        <f t="shared" si="234"/>
        <v>0</v>
      </c>
      <c r="AB2421" s="5">
        <f t="shared" si="235"/>
        <v>0</v>
      </c>
      <c r="AC2421" s="5"/>
      <c r="AD2421" s="5">
        <v>0</v>
      </c>
      <c r="AE2421" s="5">
        <f t="shared" si="236"/>
        <v>0</v>
      </c>
      <c r="AF2421" s="70">
        <v>0</v>
      </c>
      <c r="AG2421" s="17"/>
      <c r="AH2421" s="18"/>
      <c r="AI2421" s="47" t="s">
        <v>4336</v>
      </c>
      <c r="AJ2421" s="73" t="s">
        <v>4337</v>
      </c>
      <c r="AK2421" s="45"/>
      <c r="AL2421" s="17"/>
      <c r="AM2421" s="121" t="s">
        <v>4815</v>
      </c>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c r="BW2421" s="19"/>
      <c r="BX2421" s="19"/>
      <c r="BY2421" s="19"/>
      <c r="BZ2421" s="19"/>
      <c r="CA2421" s="19"/>
      <c r="CB2421" s="19"/>
      <c r="CC2421" s="19"/>
      <c r="CD2421" s="139"/>
      <c r="CE2421" s="138"/>
      <c r="CF2421" s="139"/>
      <c r="CG2421" s="138"/>
      <c r="CH2421" s="139"/>
      <c r="CI2421" s="138"/>
      <c r="CJ2421" s="72"/>
      <c r="CK2421" s="139"/>
      <c r="CL2421" s="71"/>
      <c r="CM2421" s="139"/>
      <c r="CN2421" s="138"/>
      <c r="CO2421" s="138"/>
      <c r="CP2421" s="138"/>
      <c r="CQ2421" s="139"/>
      <c r="CR2421" s="138"/>
      <c r="CS2421" s="45"/>
      <c r="CT2421" s="138"/>
      <c r="CU2421" s="45"/>
      <c r="CV2421" s="99">
        <f t="shared" si="237"/>
        <v>0</v>
      </c>
      <c r="CW2421" s="139"/>
      <c r="CX2421" s="138"/>
      <c r="CY2421" s="138"/>
      <c r="CZ2421" s="138"/>
      <c r="DA2421" s="139"/>
      <c r="DB2421" s="138"/>
      <c r="DC2421" s="45"/>
      <c r="DD2421" s="138"/>
      <c r="DE2421" s="45"/>
      <c r="DF2421" s="46"/>
    </row>
    <row r="2422" spans="1:110" s="42" customFormat="1" ht="36" x14ac:dyDescent="0.2">
      <c r="A2422" s="89">
        <v>40840</v>
      </c>
      <c r="B2422" s="153" t="s">
        <v>4308</v>
      </c>
      <c r="C2422" s="4" t="s">
        <v>4345</v>
      </c>
      <c r="D2422" s="90" t="s">
        <v>4264</v>
      </c>
      <c r="E2422" s="90">
        <f>VLOOKUP(B2422&amp;C2422,Divipola!$C$2:$F$1138,4,FALSE)</f>
        <v>47</v>
      </c>
      <c r="F2422" s="4"/>
      <c r="G2422" s="208"/>
      <c r="H2422" s="208"/>
      <c r="I2422" s="208"/>
      <c r="J2422" s="208"/>
      <c r="K2422" s="208"/>
      <c r="L2422" s="208"/>
      <c r="M2422" s="208"/>
      <c r="N2422" s="208"/>
      <c r="O2422" s="208"/>
      <c r="P2422" s="208"/>
      <c r="Q2422" s="208"/>
      <c r="R2422" s="208"/>
      <c r="S2422" s="208"/>
      <c r="T2422" s="208"/>
      <c r="U2422" s="208"/>
      <c r="V2422" s="208"/>
      <c r="W2422" s="19"/>
      <c r="X2422" s="17"/>
      <c r="Y2422" s="5">
        <f t="shared" si="232"/>
        <v>479998400</v>
      </c>
      <c r="Z2422" s="5">
        <f t="shared" si="233"/>
        <v>425000000</v>
      </c>
      <c r="AA2422" s="5">
        <f t="shared" si="234"/>
        <v>0</v>
      </c>
      <c r="AB2422" s="5">
        <f t="shared" si="235"/>
        <v>180960000</v>
      </c>
      <c r="AC2422" s="5"/>
      <c r="AD2422" s="5">
        <v>0</v>
      </c>
      <c r="AE2422" s="5">
        <f t="shared" si="236"/>
        <v>1085958400</v>
      </c>
      <c r="AF2422" s="70">
        <v>0</v>
      </c>
      <c r="AG2422" s="17"/>
      <c r="AH2422" s="18"/>
      <c r="AI2422" s="47" t="s">
        <v>4346</v>
      </c>
      <c r="AJ2422" s="73" t="s">
        <v>4347</v>
      </c>
      <c r="AK2422" s="45"/>
      <c r="AL2422" s="17"/>
      <c r="AM2422" s="20" t="s">
        <v>4831</v>
      </c>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v>3000</v>
      </c>
      <c r="BM2422" s="19">
        <f>3000*25500</f>
        <v>76500000</v>
      </c>
      <c r="BN2422" s="19"/>
      <c r="BO2422" s="19"/>
      <c r="BP2422" s="19"/>
      <c r="BQ2422" s="19"/>
      <c r="BR2422" s="19"/>
      <c r="BS2422" s="19"/>
      <c r="BT2422" s="19"/>
      <c r="BU2422" s="19"/>
      <c r="BV2422" s="19"/>
      <c r="BW2422" s="19"/>
      <c r="BX2422" s="19"/>
      <c r="BY2422" s="19"/>
      <c r="BZ2422" s="19">
        <v>200</v>
      </c>
      <c r="CA2422" s="19">
        <f>200*500000</f>
        <v>100000000</v>
      </c>
      <c r="CB2422" s="19"/>
      <c r="CC2422" s="19"/>
      <c r="CD2422" s="139"/>
      <c r="CE2422" s="138"/>
      <c r="CF2422" s="139"/>
      <c r="CG2422" s="138"/>
      <c r="CH2422" s="139"/>
      <c r="CI2422" s="138"/>
      <c r="CJ2422" s="72">
        <v>3000</v>
      </c>
      <c r="CK2422" s="139">
        <f>3000*21500</f>
        <v>64500000</v>
      </c>
      <c r="CL2422" s="71"/>
      <c r="CM2422" s="139"/>
      <c r="CN2422" s="138">
        <v>3000</v>
      </c>
      <c r="CO2422" s="138">
        <f>3000*18000</f>
        <v>54000000</v>
      </c>
      <c r="CP2422" s="138">
        <v>5000</v>
      </c>
      <c r="CQ2422" s="139">
        <f>1200*36999.36+1250*37000+1300*36999.36+1250*37000</f>
        <v>184998400</v>
      </c>
      <c r="CR2422" s="138"/>
      <c r="CS2422" s="45"/>
      <c r="CT2422" s="138"/>
      <c r="CU2422" s="45"/>
      <c r="CV2422" s="99">
        <f t="shared" si="237"/>
        <v>479998400</v>
      </c>
      <c r="CW2422" s="139">
        <v>200000</v>
      </c>
      <c r="CX2422" s="138">
        <f>200000*904.8</f>
        <v>180960000</v>
      </c>
      <c r="CY2422" s="138">
        <v>5000</v>
      </c>
      <c r="CZ2422" s="138">
        <f>1900*85000+1250*85000+600*85000+1250*85000</f>
        <v>425000000</v>
      </c>
      <c r="DA2422" s="139"/>
      <c r="DB2422" s="138"/>
      <c r="DC2422" s="45"/>
      <c r="DD2422" s="138"/>
      <c r="DE2422" s="45"/>
      <c r="DF2422" s="46"/>
    </row>
    <row r="2423" spans="1:110" s="42" customFormat="1" ht="96" x14ac:dyDescent="0.2">
      <c r="A2423" s="89">
        <v>40840</v>
      </c>
      <c r="B2423" s="16" t="s">
        <v>4221</v>
      </c>
      <c r="C2423" s="16" t="s">
        <v>3545</v>
      </c>
      <c r="D2423" s="90" t="s">
        <v>4264</v>
      </c>
      <c r="E2423" s="90" t="str">
        <f>VLOOKUP(B2423&amp;C2423,Divipola!$C$2:$F$1138,4,FALSE)</f>
        <v>54418</v>
      </c>
      <c r="F2423" s="4"/>
      <c r="G2423" s="208"/>
      <c r="H2423" s="208"/>
      <c r="I2423" s="208"/>
      <c r="J2423" s="208"/>
      <c r="K2423" s="208"/>
      <c r="L2423" s="208"/>
      <c r="M2423" s="208"/>
      <c r="N2423" s="208">
        <v>5</v>
      </c>
      <c r="O2423" s="208"/>
      <c r="P2423" s="208"/>
      <c r="Q2423" s="208"/>
      <c r="R2423" s="208"/>
      <c r="S2423" s="208"/>
      <c r="T2423" s="208"/>
      <c r="U2423" s="208"/>
      <c r="V2423" s="208"/>
      <c r="W2423" s="19"/>
      <c r="X2423" s="17"/>
      <c r="Y2423" s="5">
        <f t="shared" si="232"/>
        <v>0</v>
      </c>
      <c r="Z2423" s="5">
        <f t="shared" si="233"/>
        <v>0</v>
      </c>
      <c r="AA2423" s="5">
        <f t="shared" si="234"/>
        <v>0</v>
      </c>
      <c r="AB2423" s="5">
        <f t="shared" si="235"/>
        <v>0</v>
      </c>
      <c r="AC2423" s="5"/>
      <c r="AD2423" s="5">
        <v>250000000</v>
      </c>
      <c r="AE2423" s="5">
        <f t="shared" si="236"/>
        <v>250000000</v>
      </c>
      <c r="AF2423" s="70">
        <v>0</v>
      </c>
      <c r="AG2423" s="17"/>
      <c r="AH2423" s="18"/>
      <c r="AI2423" s="47" t="s">
        <v>4346</v>
      </c>
      <c r="AJ2423" s="73" t="s">
        <v>4347</v>
      </c>
      <c r="AK2423" s="45"/>
      <c r="AL2423" s="17"/>
      <c r="AM2423" s="20" t="s">
        <v>4855</v>
      </c>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c r="BW2423" s="19"/>
      <c r="BX2423" s="19"/>
      <c r="BY2423" s="19"/>
      <c r="BZ2423" s="19"/>
      <c r="CA2423" s="19"/>
      <c r="CB2423" s="19"/>
      <c r="CC2423" s="19"/>
      <c r="CD2423" s="139"/>
      <c r="CE2423" s="138"/>
      <c r="CF2423" s="139"/>
      <c r="CG2423" s="138"/>
      <c r="CH2423" s="139"/>
      <c r="CI2423" s="138"/>
      <c r="CJ2423" s="72"/>
      <c r="CK2423" s="139"/>
      <c r="CL2423" s="71"/>
      <c r="CM2423" s="139"/>
      <c r="CN2423" s="138"/>
      <c r="CO2423" s="138"/>
      <c r="CP2423" s="138"/>
      <c r="CQ2423" s="139"/>
      <c r="CR2423" s="138"/>
      <c r="CS2423" s="45"/>
      <c r="CT2423" s="138"/>
      <c r="CU2423" s="45"/>
      <c r="CV2423" s="99">
        <f t="shared" si="237"/>
        <v>0</v>
      </c>
      <c r="CW2423" s="139"/>
      <c r="CX2423" s="138"/>
      <c r="CY2423" s="138"/>
      <c r="CZ2423" s="138"/>
      <c r="DA2423" s="139"/>
      <c r="DB2423" s="138"/>
      <c r="DC2423" s="45"/>
      <c r="DD2423" s="138"/>
      <c r="DE2423" s="45"/>
      <c r="DF2423" s="46"/>
    </row>
    <row r="2424" spans="1:110" s="42" customFormat="1" ht="48" x14ac:dyDescent="0.2">
      <c r="A2424" s="89">
        <v>40840</v>
      </c>
      <c r="B2424" s="151" t="s">
        <v>4244</v>
      </c>
      <c r="C2424" s="90" t="s">
        <v>4319</v>
      </c>
      <c r="D2424" s="90" t="s">
        <v>2362</v>
      </c>
      <c r="E2424" s="90" t="str">
        <f>VLOOKUP(B2424&amp;C2424,Divipola!$C$2:$F$1138,4,FALSE)</f>
        <v>76828</v>
      </c>
      <c r="F2424" s="4"/>
      <c r="G2424" s="101"/>
      <c r="H2424" s="101"/>
      <c r="I2424" s="101"/>
      <c r="J2424" s="101">
        <v>11</v>
      </c>
      <c r="K2424" s="101">
        <v>3</v>
      </c>
      <c r="L2424" s="101"/>
      <c r="M2424" s="101">
        <v>3</v>
      </c>
      <c r="N2424" s="101"/>
      <c r="O2424" s="101"/>
      <c r="P2424" s="101"/>
      <c r="Q2424" s="101"/>
      <c r="R2424" s="101"/>
      <c r="S2424" s="101"/>
      <c r="T2424" s="101"/>
      <c r="U2424" s="101"/>
      <c r="V2424" s="101"/>
      <c r="W2424" s="19"/>
      <c r="X2424" s="17"/>
      <c r="Y2424" s="5">
        <f t="shared" si="232"/>
        <v>0</v>
      </c>
      <c r="Z2424" s="5">
        <f t="shared" si="233"/>
        <v>0</v>
      </c>
      <c r="AA2424" s="5">
        <f t="shared" si="234"/>
        <v>0</v>
      </c>
      <c r="AB2424" s="5">
        <f t="shared" si="235"/>
        <v>0</v>
      </c>
      <c r="AC2424" s="5"/>
      <c r="AD2424" s="5">
        <v>0</v>
      </c>
      <c r="AE2424" s="5">
        <f t="shared" si="236"/>
        <v>0</v>
      </c>
      <c r="AF2424" s="70">
        <v>0</v>
      </c>
      <c r="AG2424" s="17"/>
      <c r="AH2424" s="18"/>
      <c r="AI2424" s="47" t="s">
        <v>4346</v>
      </c>
      <c r="AJ2424" s="73" t="s">
        <v>4347</v>
      </c>
      <c r="AK2424" s="45"/>
      <c r="AL2424" s="89" t="s">
        <v>2798</v>
      </c>
      <c r="AM2424" s="121" t="s">
        <v>4800</v>
      </c>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c r="BW2424" s="19"/>
      <c r="BX2424" s="19"/>
      <c r="BY2424" s="19"/>
      <c r="BZ2424" s="19"/>
      <c r="CA2424" s="19"/>
      <c r="CB2424" s="19"/>
      <c r="CC2424" s="19"/>
      <c r="CD2424" s="139"/>
      <c r="CE2424" s="138"/>
      <c r="CF2424" s="139"/>
      <c r="CG2424" s="138"/>
      <c r="CH2424" s="139"/>
      <c r="CI2424" s="138"/>
      <c r="CJ2424" s="72"/>
      <c r="CK2424" s="139"/>
      <c r="CL2424" s="71"/>
      <c r="CM2424" s="139"/>
      <c r="CN2424" s="138"/>
      <c r="CO2424" s="138"/>
      <c r="CP2424" s="138"/>
      <c r="CQ2424" s="139"/>
      <c r="CR2424" s="138"/>
      <c r="CS2424" s="45"/>
      <c r="CT2424" s="138"/>
      <c r="CU2424" s="45"/>
      <c r="CV2424" s="99">
        <f t="shared" si="237"/>
        <v>0</v>
      </c>
      <c r="CW2424" s="139"/>
      <c r="CX2424" s="138"/>
      <c r="CY2424" s="138"/>
      <c r="CZ2424" s="138"/>
      <c r="DA2424" s="139"/>
      <c r="DB2424" s="138"/>
      <c r="DC2424" s="45"/>
      <c r="DD2424" s="138"/>
      <c r="DE2424" s="45"/>
      <c r="DF2424" s="46"/>
    </row>
    <row r="2425" spans="1:110" s="42" customFormat="1" ht="36" x14ac:dyDescent="0.2">
      <c r="A2425" s="89">
        <v>40841</v>
      </c>
      <c r="B2425" s="151" t="s">
        <v>2218</v>
      </c>
      <c r="C2425" s="90" t="s">
        <v>4254</v>
      </c>
      <c r="D2425" s="90" t="s">
        <v>4298</v>
      </c>
      <c r="E2425" s="90" t="str">
        <f>VLOOKUP(B2425&amp;C2425,Divipola!$C$2:$F$1138,4,FALSE)</f>
        <v>05679</v>
      </c>
      <c r="F2425" s="4"/>
      <c r="G2425" s="101"/>
      <c r="H2425" s="101">
        <v>1</v>
      </c>
      <c r="I2425" s="101"/>
      <c r="J2425" s="101">
        <v>3</v>
      </c>
      <c r="K2425" s="101">
        <v>1</v>
      </c>
      <c r="L2425" s="101"/>
      <c r="M2425" s="101">
        <v>1</v>
      </c>
      <c r="N2425" s="101"/>
      <c r="O2425" s="101"/>
      <c r="P2425" s="101"/>
      <c r="Q2425" s="101"/>
      <c r="R2425" s="101"/>
      <c r="S2425" s="101"/>
      <c r="T2425" s="101"/>
      <c r="U2425" s="101"/>
      <c r="V2425" s="101"/>
      <c r="W2425" s="19"/>
      <c r="X2425" s="17"/>
      <c r="Y2425" s="5">
        <f t="shared" si="232"/>
        <v>0</v>
      </c>
      <c r="Z2425" s="5">
        <f t="shared" si="233"/>
        <v>0</v>
      </c>
      <c r="AA2425" s="5">
        <f t="shared" si="234"/>
        <v>0</v>
      </c>
      <c r="AB2425" s="5">
        <f t="shared" si="235"/>
        <v>0</v>
      </c>
      <c r="AC2425" s="5"/>
      <c r="AD2425" s="5">
        <v>0</v>
      </c>
      <c r="AE2425" s="5">
        <f t="shared" si="236"/>
        <v>0</v>
      </c>
      <c r="AF2425" s="70">
        <v>0</v>
      </c>
      <c r="AG2425" s="17"/>
      <c r="AH2425" s="18"/>
      <c r="AI2425" s="47" t="s">
        <v>4336</v>
      </c>
      <c r="AJ2425" s="73" t="s">
        <v>4337</v>
      </c>
      <c r="AK2425" s="45"/>
      <c r="AL2425" s="17"/>
      <c r="AM2425" s="121" t="s">
        <v>4813</v>
      </c>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c r="BW2425" s="19"/>
      <c r="BX2425" s="19"/>
      <c r="BY2425" s="19"/>
      <c r="BZ2425" s="19"/>
      <c r="CA2425" s="19"/>
      <c r="CB2425" s="19"/>
      <c r="CC2425" s="19"/>
      <c r="CD2425" s="139"/>
      <c r="CE2425" s="138"/>
      <c r="CF2425" s="139"/>
      <c r="CG2425" s="138"/>
      <c r="CH2425" s="139"/>
      <c r="CI2425" s="138"/>
      <c r="CJ2425" s="72"/>
      <c r="CK2425" s="139"/>
      <c r="CL2425" s="71"/>
      <c r="CM2425" s="139"/>
      <c r="CN2425" s="138"/>
      <c r="CO2425" s="138"/>
      <c r="CP2425" s="138"/>
      <c r="CQ2425" s="139"/>
      <c r="CR2425" s="138"/>
      <c r="CS2425" s="45"/>
      <c r="CT2425" s="138"/>
      <c r="CU2425" s="45"/>
      <c r="CV2425" s="99">
        <f t="shared" si="237"/>
        <v>0</v>
      </c>
      <c r="CW2425" s="139"/>
      <c r="CX2425" s="138"/>
      <c r="CY2425" s="138"/>
      <c r="CZ2425" s="138"/>
      <c r="DA2425" s="139"/>
      <c r="DB2425" s="138"/>
      <c r="DC2425" s="45"/>
      <c r="DD2425" s="138"/>
      <c r="DE2425" s="45"/>
      <c r="DF2425" s="46"/>
    </row>
    <row r="2426" spans="1:110" s="42" customFormat="1" ht="36" x14ac:dyDescent="0.2">
      <c r="A2426" s="89">
        <v>40841</v>
      </c>
      <c r="B2426" s="151" t="s">
        <v>4344</v>
      </c>
      <c r="C2426" s="90" t="s">
        <v>4231</v>
      </c>
      <c r="D2426" s="90" t="s">
        <v>3346</v>
      </c>
      <c r="E2426" s="90" t="str">
        <f>VLOOKUP(B2426&amp;C2426,Divipola!$C$2:$F$1138,4,FALSE)</f>
        <v>25290</v>
      </c>
      <c r="F2426" s="4"/>
      <c r="G2426" s="101"/>
      <c r="H2426" s="101"/>
      <c r="I2426" s="101"/>
      <c r="J2426" s="101">
        <v>25</v>
      </c>
      <c r="K2426" s="101">
        <v>7</v>
      </c>
      <c r="L2426" s="101"/>
      <c r="M2426" s="101">
        <v>7</v>
      </c>
      <c r="N2426" s="101"/>
      <c r="O2426" s="101"/>
      <c r="P2426" s="101"/>
      <c r="Q2426" s="101"/>
      <c r="R2426" s="101"/>
      <c r="S2426" s="101"/>
      <c r="T2426" s="101"/>
      <c r="U2426" s="101"/>
      <c r="V2426" s="101"/>
      <c r="W2426" s="19"/>
      <c r="X2426" s="17"/>
      <c r="Y2426" s="5">
        <f t="shared" si="232"/>
        <v>0</v>
      </c>
      <c r="Z2426" s="5">
        <f t="shared" si="233"/>
        <v>0</v>
      </c>
      <c r="AA2426" s="5">
        <f t="shared" si="234"/>
        <v>0</v>
      </c>
      <c r="AB2426" s="5">
        <f t="shared" si="235"/>
        <v>0</v>
      </c>
      <c r="AC2426" s="5"/>
      <c r="AD2426" s="5">
        <v>0</v>
      </c>
      <c r="AE2426" s="5">
        <f t="shared" si="236"/>
        <v>0</v>
      </c>
      <c r="AF2426" s="70">
        <v>0</v>
      </c>
      <c r="AG2426" s="17"/>
      <c r="AH2426" s="18"/>
      <c r="AI2426" s="47" t="s">
        <v>4336</v>
      </c>
      <c r="AJ2426" s="73" t="s">
        <v>4337</v>
      </c>
      <c r="AK2426" s="45"/>
      <c r="AL2426" s="17"/>
      <c r="AM2426" s="121" t="s">
        <v>4806</v>
      </c>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c r="BW2426" s="19"/>
      <c r="BX2426" s="19"/>
      <c r="BY2426" s="19"/>
      <c r="BZ2426" s="19"/>
      <c r="CA2426" s="19"/>
      <c r="CB2426" s="19"/>
      <c r="CC2426" s="19"/>
      <c r="CD2426" s="139"/>
      <c r="CE2426" s="138"/>
      <c r="CF2426" s="139"/>
      <c r="CG2426" s="138"/>
      <c r="CH2426" s="139"/>
      <c r="CI2426" s="138"/>
      <c r="CJ2426" s="72"/>
      <c r="CK2426" s="139"/>
      <c r="CL2426" s="71"/>
      <c r="CM2426" s="139"/>
      <c r="CN2426" s="138"/>
      <c r="CO2426" s="138"/>
      <c r="CP2426" s="138"/>
      <c r="CQ2426" s="139"/>
      <c r="CR2426" s="138"/>
      <c r="CS2426" s="45"/>
      <c r="CT2426" s="138"/>
      <c r="CU2426" s="45"/>
      <c r="CV2426" s="99">
        <f t="shared" si="237"/>
        <v>0</v>
      </c>
      <c r="CW2426" s="139"/>
      <c r="CX2426" s="138"/>
      <c r="CY2426" s="138"/>
      <c r="CZ2426" s="138"/>
      <c r="DA2426" s="139"/>
      <c r="DB2426" s="138"/>
      <c r="DC2426" s="45"/>
      <c r="DD2426" s="138"/>
      <c r="DE2426" s="45"/>
      <c r="DF2426" s="46"/>
    </row>
    <row r="2427" spans="1:110" s="42" customFormat="1" ht="84" x14ac:dyDescent="0.2">
      <c r="A2427" s="89">
        <v>40841</v>
      </c>
      <c r="B2427" s="151" t="s">
        <v>4344</v>
      </c>
      <c r="C2427" s="90" t="s">
        <v>1705</v>
      </c>
      <c r="D2427" s="90" t="s">
        <v>4264</v>
      </c>
      <c r="E2427" s="90" t="str">
        <f>VLOOKUP(B2427&amp;C2427,Divipola!$C$2:$F$1138,4,FALSE)</f>
        <v>25295</v>
      </c>
      <c r="F2427" s="4"/>
      <c r="G2427" s="101"/>
      <c r="H2427" s="101"/>
      <c r="I2427" s="101"/>
      <c r="J2427" s="101">
        <v>125</v>
      </c>
      <c r="K2427" s="101">
        <v>30</v>
      </c>
      <c r="L2427" s="101"/>
      <c r="M2427" s="101">
        <v>30</v>
      </c>
      <c r="N2427" s="101"/>
      <c r="O2427" s="101"/>
      <c r="P2427" s="101"/>
      <c r="Q2427" s="101"/>
      <c r="R2427" s="101"/>
      <c r="S2427" s="101"/>
      <c r="T2427" s="101"/>
      <c r="U2427" s="101"/>
      <c r="V2427" s="101"/>
      <c r="W2427" s="19"/>
      <c r="X2427" s="17"/>
      <c r="Y2427" s="5">
        <f t="shared" si="232"/>
        <v>0</v>
      </c>
      <c r="Z2427" s="5">
        <f t="shared" si="233"/>
        <v>0</v>
      </c>
      <c r="AA2427" s="5">
        <f t="shared" si="234"/>
        <v>0</v>
      </c>
      <c r="AB2427" s="5">
        <f t="shared" si="235"/>
        <v>0</v>
      </c>
      <c r="AC2427" s="5"/>
      <c r="AD2427" s="5">
        <v>0</v>
      </c>
      <c r="AE2427" s="5">
        <f t="shared" si="236"/>
        <v>0</v>
      </c>
      <c r="AF2427" s="70">
        <v>0</v>
      </c>
      <c r="AG2427" s="17"/>
      <c r="AH2427" s="18"/>
      <c r="AI2427" s="47" t="s">
        <v>4336</v>
      </c>
      <c r="AJ2427" s="73" t="s">
        <v>4337</v>
      </c>
      <c r="AK2427" s="45"/>
      <c r="AL2427" s="17"/>
      <c r="AM2427" s="121" t="s">
        <v>4804</v>
      </c>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c r="BW2427" s="19"/>
      <c r="BX2427" s="19"/>
      <c r="BY2427" s="19"/>
      <c r="BZ2427" s="19"/>
      <c r="CA2427" s="19"/>
      <c r="CB2427" s="19"/>
      <c r="CC2427" s="19"/>
      <c r="CD2427" s="139"/>
      <c r="CE2427" s="138"/>
      <c r="CF2427" s="139"/>
      <c r="CG2427" s="138"/>
      <c r="CH2427" s="139"/>
      <c r="CI2427" s="138"/>
      <c r="CJ2427" s="72"/>
      <c r="CK2427" s="139"/>
      <c r="CL2427" s="71"/>
      <c r="CM2427" s="139"/>
      <c r="CN2427" s="138"/>
      <c r="CO2427" s="138"/>
      <c r="CP2427" s="138"/>
      <c r="CQ2427" s="139"/>
      <c r="CR2427" s="138"/>
      <c r="CS2427" s="45"/>
      <c r="CT2427" s="138"/>
      <c r="CU2427" s="45"/>
      <c r="CV2427" s="99">
        <f t="shared" si="237"/>
        <v>0</v>
      </c>
      <c r="CW2427" s="139"/>
      <c r="CX2427" s="138"/>
      <c r="CY2427" s="138"/>
      <c r="CZ2427" s="138"/>
      <c r="DA2427" s="139"/>
      <c r="DB2427" s="138"/>
      <c r="DC2427" s="45"/>
      <c r="DD2427" s="138"/>
      <c r="DE2427" s="45"/>
      <c r="DF2427" s="46"/>
    </row>
    <row r="2428" spans="1:110" s="42" customFormat="1" ht="96" x14ac:dyDescent="0.2">
      <c r="A2428" s="89">
        <v>40841</v>
      </c>
      <c r="B2428" s="151" t="s">
        <v>4344</v>
      </c>
      <c r="C2428" s="90" t="s">
        <v>2213</v>
      </c>
      <c r="D2428" s="90" t="s">
        <v>4264</v>
      </c>
      <c r="E2428" s="90" t="str">
        <f>VLOOKUP(B2428&amp;C2428,Divipola!$C$2:$F$1138,4,FALSE)</f>
        <v>25322</v>
      </c>
      <c r="F2428" s="4"/>
      <c r="G2428" s="101"/>
      <c r="H2428" s="101"/>
      <c r="I2428" s="101"/>
      <c r="J2428" s="101">
        <v>73</v>
      </c>
      <c r="K2428" s="101">
        <v>17</v>
      </c>
      <c r="L2428" s="101"/>
      <c r="M2428" s="101">
        <v>17</v>
      </c>
      <c r="N2428" s="101"/>
      <c r="O2428" s="101"/>
      <c r="P2428" s="101"/>
      <c r="Q2428" s="101"/>
      <c r="R2428" s="101"/>
      <c r="S2428" s="101"/>
      <c r="T2428" s="101"/>
      <c r="U2428" s="101"/>
      <c r="V2428" s="101"/>
      <c r="W2428" s="19"/>
      <c r="X2428" s="17"/>
      <c r="Y2428" s="5">
        <f t="shared" si="232"/>
        <v>0</v>
      </c>
      <c r="Z2428" s="5">
        <f t="shared" si="233"/>
        <v>0</v>
      </c>
      <c r="AA2428" s="5">
        <f t="shared" si="234"/>
        <v>0</v>
      </c>
      <c r="AB2428" s="5">
        <f t="shared" si="235"/>
        <v>0</v>
      </c>
      <c r="AC2428" s="5"/>
      <c r="AD2428" s="5">
        <v>0</v>
      </c>
      <c r="AE2428" s="5">
        <f t="shared" si="236"/>
        <v>0</v>
      </c>
      <c r="AF2428" s="70">
        <v>0</v>
      </c>
      <c r="AG2428" s="17"/>
      <c r="AH2428" s="18"/>
      <c r="AI2428" s="47" t="s">
        <v>4336</v>
      </c>
      <c r="AJ2428" s="73" t="s">
        <v>4337</v>
      </c>
      <c r="AK2428" s="45"/>
      <c r="AL2428" s="17"/>
      <c r="AM2428" s="121" t="s">
        <v>4837</v>
      </c>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c r="BW2428" s="19"/>
      <c r="BX2428" s="19"/>
      <c r="BY2428" s="19"/>
      <c r="BZ2428" s="19"/>
      <c r="CA2428" s="19"/>
      <c r="CB2428" s="19"/>
      <c r="CC2428" s="19"/>
      <c r="CD2428" s="139"/>
      <c r="CE2428" s="138"/>
      <c r="CF2428" s="139"/>
      <c r="CG2428" s="138"/>
      <c r="CH2428" s="139"/>
      <c r="CI2428" s="138"/>
      <c r="CJ2428" s="72"/>
      <c r="CK2428" s="139"/>
      <c r="CL2428" s="71"/>
      <c r="CM2428" s="139"/>
      <c r="CN2428" s="138"/>
      <c r="CO2428" s="138"/>
      <c r="CP2428" s="138"/>
      <c r="CQ2428" s="139"/>
      <c r="CR2428" s="138"/>
      <c r="CS2428" s="45"/>
      <c r="CT2428" s="138"/>
      <c r="CU2428" s="45"/>
      <c r="CV2428" s="99">
        <f t="shared" si="237"/>
        <v>0</v>
      </c>
      <c r="CW2428" s="139"/>
      <c r="CX2428" s="138"/>
      <c r="CY2428" s="138"/>
      <c r="CZ2428" s="138"/>
      <c r="DA2428" s="139"/>
      <c r="DB2428" s="138"/>
      <c r="DC2428" s="45"/>
      <c r="DD2428" s="138"/>
      <c r="DE2428" s="45"/>
      <c r="DF2428" s="46"/>
    </row>
    <row r="2429" spans="1:110" s="42" customFormat="1" ht="48" x14ac:dyDescent="0.2">
      <c r="A2429" s="89">
        <v>40841</v>
      </c>
      <c r="B2429" s="151" t="s">
        <v>4344</v>
      </c>
      <c r="C2429" s="90" t="s">
        <v>3327</v>
      </c>
      <c r="D2429" s="90" t="s">
        <v>4264</v>
      </c>
      <c r="E2429" s="90" t="str">
        <f>VLOOKUP(B2429&amp;C2429,Divipola!$C$2:$F$1138,4,FALSE)</f>
        <v>25758</v>
      </c>
      <c r="F2429" s="4"/>
      <c r="G2429" s="101"/>
      <c r="H2429" s="101"/>
      <c r="I2429" s="101"/>
      <c r="J2429" s="101">
        <v>5</v>
      </c>
      <c r="K2429" s="101">
        <v>1</v>
      </c>
      <c r="L2429" s="101"/>
      <c r="M2429" s="101">
        <v>1</v>
      </c>
      <c r="N2429" s="101"/>
      <c r="O2429" s="101"/>
      <c r="P2429" s="101"/>
      <c r="Q2429" s="101"/>
      <c r="R2429" s="101"/>
      <c r="S2429" s="101"/>
      <c r="T2429" s="101"/>
      <c r="U2429" s="101"/>
      <c r="V2429" s="101"/>
      <c r="W2429" s="19"/>
      <c r="X2429" s="17"/>
      <c r="Y2429" s="5">
        <f t="shared" si="232"/>
        <v>0</v>
      </c>
      <c r="Z2429" s="5">
        <f t="shared" si="233"/>
        <v>0</v>
      </c>
      <c r="AA2429" s="5">
        <f t="shared" si="234"/>
        <v>0</v>
      </c>
      <c r="AB2429" s="5">
        <f t="shared" si="235"/>
        <v>0</v>
      </c>
      <c r="AC2429" s="5"/>
      <c r="AD2429" s="5">
        <v>0</v>
      </c>
      <c r="AE2429" s="5">
        <f t="shared" si="236"/>
        <v>0</v>
      </c>
      <c r="AF2429" s="70">
        <v>0</v>
      </c>
      <c r="AG2429" s="17"/>
      <c r="AH2429" s="18"/>
      <c r="AI2429" s="47" t="s">
        <v>4336</v>
      </c>
      <c r="AJ2429" s="73" t="s">
        <v>4337</v>
      </c>
      <c r="AK2429" s="45"/>
      <c r="AL2429" s="17"/>
      <c r="AM2429" s="121" t="s">
        <v>4808</v>
      </c>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c r="BW2429" s="19"/>
      <c r="BX2429" s="19"/>
      <c r="BY2429" s="19"/>
      <c r="BZ2429" s="19"/>
      <c r="CA2429" s="19"/>
      <c r="CB2429" s="19"/>
      <c r="CC2429" s="19"/>
      <c r="CD2429" s="139"/>
      <c r="CE2429" s="138"/>
      <c r="CF2429" s="139"/>
      <c r="CG2429" s="138"/>
      <c r="CH2429" s="139"/>
      <c r="CI2429" s="138"/>
      <c r="CJ2429" s="72"/>
      <c r="CK2429" s="139"/>
      <c r="CL2429" s="71"/>
      <c r="CM2429" s="139"/>
      <c r="CN2429" s="138"/>
      <c r="CO2429" s="138"/>
      <c r="CP2429" s="138"/>
      <c r="CQ2429" s="139"/>
      <c r="CR2429" s="138"/>
      <c r="CS2429" s="45"/>
      <c r="CT2429" s="138"/>
      <c r="CU2429" s="45"/>
      <c r="CV2429" s="99">
        <f t="shared" si="237"/>
        <v>0</v>
      </c>
      <c r="CW2429" s="139"/>
      <c r="CX2429" s="138"/>
      <c r="CY2429" s="138"/>
      <c r="CZ2429" s="138"/>
      <c r="DA2429" s="139"/>
      <c r="DB2429" s="138"/>
      <c r="DC2429" s="45"/>
      <c r="DD2429" s="138"/>
      <c r="DE2429" s="45"/>
      <c r="DF2429" s="46"/>
    </row>
    <row r="2430" spans="1:110" s="42" customFormat="1" ht="36" x14ac:dyDescent="0.2">
      <c r="A2430" s="89">
        <v>40841</v>
      </c>
      <c r="B2430" s="151" t="s">
        <v>4344</v>
      </c>
      <c r="C2430" s="90" t="s">
        <v>2253</v>
      </c>
      <c r="D2430" s="90" t="s">
        <v>4264</v>
      </c>
      <c r="E2430" s="90" t="str">
        <f>VLOOKUP(B2430&amp;C2430,Divipola!$C$2:$F$1138,4,FALSE)</f>
        <v>25817</v>
      </c>
      <c r="F2430" s="4"/>
      <c r="G2430" s="101"/>
      <c r="H2430" s="101"/>
      <c r="I2430" s="101"/>
      <c r="J2430" s="101">
        <v>25</v>
      </c>
      <c r="K2430" s="101">
        <v>6</v>
      </c>
      <c r="L2430" s="101"/>
      <c r="M2430" s="101">
        <v>6</v>
      </c>
      <c r="N2430" s="101"/>
      <c r="O2430" s="101"/>
      <c r="P2430" s="101"/>
      <c r="Q2430" s="101"/>
      <c r="R2430" s="101"/>
      <c r="S2430" s="101"/>
      <c r="T2430" s="101"/>
      <c r="U2430" s="101"/>
      <c r="V2430" s="101"/>
      <c r="W2430" s="19"/>
      <c r="X2430" s="17"/>
      <c r="Y2430" s="5">
        <f t="shared" si="232"/>
        <v>0</v>
      </c>
      <c r="Z2430" s="5">
        <f t="shared" si="233"/>
        <v>0</v>
      </c>
      <c r="AA2430" s="5">
        <f t="shared" si="234"/>
        <v>0</v>
      </c>
      <c r="AB2430" s="5">
        <f t="shared" si="235"/>
        <v>0</v>
      </c>
      <c r="AC2430" s="5"/>
      <c r="AD2430" s="5">
        <v>0</v>
      </c>
      <c r="AE2430" s="5">
        <f t="shared" si="236"/>
        <v>0</v>
      </c>
      <c r="AF2430" s="70">
        <v>0</v>
      </c>
      <c r="AG2430" s="17"/>
      <c r="AH2430" s="18"/>
      <c r="AI2430" s="47" t="s">
        <v>4336</v>
      </c>
      <c r="AJ2430" s="73" t="s">
        <v>4337</v>
      </c>
      <c r="AK2430" s="45"/>
      <c r="AL2430" s="17"/>
      <c r="AM2430" s="121" t="s">
        <v>4807</v>
      </c>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39"/>
      <c r="CE2430" s="138"/>
      <c r="CF2430" s="139"/>
      <c r="CG2430" s="138"/>
      <c r="CH2430" s="139"/>
      <c r="CI2430" s="138"/>
      <c r="CJ2430" s="72"/>
      <c r="CK2430" s="139"/>
      <c r="CL2430" s="71"/>
      <c r="CM2430" s="139"/>
      <c r="CN2430" s="138"/>
      <c r="CO2430" s="138"/>
      <c r="CP2430" s="138"/>
      <c r="CQ2430" s="139"/>
      <c r="CR2430" s="138"/>
      <c r="CS2430" s="45"/>
      <c r="CT2430" s="138"/>
      <c r="CU2430" s="45"/>
      <c r="CV2430" s="99">
        <f t="shared" si="237"/>
        <v>0</v>
      </c>
      <c r="CW2430" s="139"/>
      <c r="CX2430" s="138"/>
      <c r="CY2430" s="138"/>
      <c r="CZ2430" s="138"/>
      <c r="DA2430" s="139"/>
      <c r="DB2430" s="138"/>
      <c r="DC2430" s="45"/>
      <c r="DD2430" s="138"/>
      <c r="DE2430" s="45"/>
      <c r="DF2430" s="46"/>
    </row>
    <row r="2431" spans="1:110" s="42" customFormat="1" ht="72" x14ac:dyDescent="0.2">
      <c r="A2431" s="89">
        <v>40841</v>
      </c>
      <c r="B2431" s="151" t="s">
        <v>4344</v>
      </c>
      <c r="C2431" s="90" t="s">
        <v>3475</v>
      </c>
      <c r="D2431" s="90" t="s">
        <v>4264</v>
      </c>
      <c r="E2431" s="90" t="str">
        <f>VLOOKUP(B2431&amp;C2431,Divipola!$C$2:$F$1138,4,FALSE)</f>
        <v>25899</v>
      </c>
      <c r="F2431" s="4"/>
      <c r="G2431" s="101"/>
      <c r="H2431" s="101"/>
      <c r="I2431" s="101"/>
      <c r="J2431" s="101">
        <v>5</v>
      </c>
      <c r="K2431" s="101">
        <v>1</v>
      </c>
      <c r="L2431" s="101"/>
      <c r="M2431" s="101">
        <v>1</v>
      </c>
      <c r="N2431" s="101"/>
      <c r="O2431" s="101"/>
      <c r="P2431" s="101"/>
      <c r="Q2431" s="101"/>
      <c r="R2431" s="101"/>
      <c r="S2431" s="101"/>
      <c r="T2431" s="101"/>
      <c r="U2431" s="101"/>
      <c r="V2431" s="101"/>
      <c r="W2431" s="19"/>
      <c r="X2431" s="17"/>
      <c r="Y2431" s="5">
        <f t="shared" si="232"/>
        <v>0</v>
      </c>
      <c r="Z2431" s="5">
        <f t="shared" si="233"/>
        <v>0</v>
      </c>
      <c r="AA2431" s="5">
        <f t="shared" si="234"/>
        <v>0</v>
      </c>
      <c r="AB2431" s="5">
        <f t="shared" si="235"/>
        <v>0</v>
      </c>
      <c r="AC2431" s="5"/>
      <c r="AD2431" s="5">
        <v>0</v>
      </c>
      <c r="AE2431" s="5">
        <f t="shared" si="236"/>
        <v>0</v>
      </c>
      <c r="AF2431" s="70">
        <v>0</v>
      </c>
      <c r="AG2431" s="17"/>
      <c r="AH2431" s="18"/>
      <c r="AI2431" s="47" t="s">
        <v>4336</v>
      </c>
      <c r="AJ2431" s="73" t="s">
        <v>4337</v>
      </c>
      <c r="AK2431" s="45"/>
      <c r="AL2431" s="17"/>
      <c r="AM2431" s="121" t="s">
        <v>4805</v>
      </c>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19"/>
      <c r="BX2431" s="19"/>
      <c r="BY2431" s="19"/>
      <c r="BZ2431" s="19"/>
      <c r="CA2431" s="19"/>
      <c r="CB2431" s="19"/>
      <c r="CC2431" s="19"/>
      <c r="CD2431" s="139"/>
      <c r="CE2431" s="138"/>
      <c r="CF2431" s="139"/>
      <c r="CG2431" s="138"/>
      <c r="CH2431" s="139"/>
      <c r="CI2431" s="138"/>
      <c r="CJ2431" s="72"/>
      <c r="CK2431" s="139"/>
      <c r="CL2431" s="71"/>
      <c r="CM2431" s="139"/>
      <c r="CN2431" s="138"/>
      <c r="CO2431" s="138"/>
      <c r="CP2431" s="138"/>
      <c r="CQ2431" s="139"/>
      <c r="CR2431" s="138"/>
      <c r="CS2431" s="45"/>
      <c r="CT2431" s="138"/>
      <c r="CU2431" s="45"/>
      <c r="CV2431" s="99">
        <f t="shared" si="237"/>
        <v>0</v>
      </c>
      <c r="CW2431" s="139"/>
      <c r="CX2431" s="138"/>
      <c r="CY2431" s="138"/>
      <c r="CZ2431" s="138"/>
      <c r="DA2431" s="139"/>
      <c r="DB2431" s="138"/>
      <c r="DC2431" s="45"/>
      <c r="DD2431" s="138"/>
      <c r="DE2431" s="45"/>
      <c r="DF2431" s="46"/>
    </row>
    <row r="2432" spans="1:110" s="42" customFormat="1" ht="228" x14ac:dyDescent="0.2">
      <c r="A2432" s="89">
        <v>40841</v>
      </c>
      <c r="B2432" s="151" t="s">
        <v>4244</v>
      </c>
      <c r="C2432" s="90" t="s">
        <v>4352</v>
      </c>
      <c r="D2432" s="90" t="s">
        <v>4802</v>
      </c>
      <c r="E2432" s="90" t="str">
        <f>VLOOKUP(B2432&amp;C2432,Divipola!$C$2:$F$1138,4,FALSE)</f>
        <v>76100</v>
      </c>
      <c r="F2432" s="4"/>
      <c r="G2432" s="101"/>
      <c r="H2432" s="101"/>
      <c r="I2432" s="101"/>
      <c r="J2432" s="101">
        <v>15</v>
      </c>
      <c r="K2432" s="101">
        <v>3</v>
      </c>
      <c r="L2432" s="101"/>
      <c r="M2432" s="101">
        <v>3</v>
      </c>
      <c r="N2432" s="101"/>
      <c r="O2432" s="101"/>
      <c r="P2432" s="101"/>
      <c r="Q2432" s="101"/>
      <c r="R2432" s="101"/>
      <c r="S2432" s="101"/>
      <c r="T2432" s="101"/>
      <c r="U2432" s="101"/>
      <c r="V2432" s="101"/>
      <c r="W2432" s="19"/>
      <c r="X2432" s="17"/>
      <c r="Y2432" s="5">
        <f t="shared" si="232"/>
        <v>0</v>
      </c>
      <c r="Z2432" s="5">
        <f t="shared" si="233"/>
        <v>0</v>
      </c>
      <c r="AA2432" s="5">
        <f t="shared" si="234"/>
        <v>0</v>
      </c>
      <c r="AB2432" s="5">
        <f t="shared" si="235"/>
        <v>0</v>
      </c>
      <c r="AC2432" s="5"/>
      <c r="AD2432" s="5">
        <v>0</v>
      </c>
      <c r="AE2432" s="5">
        <f t="shared" si="236"/>
        <v>0</v>
      </c>
      <c r="AF2432" s="70">
        <v>0</v>
      </c>
      <c r="AG2432" s="17"/>
      <c r="AH2432" s="18"/>
      <c r="AI2432" s="47" t="s">
        <v>4336</v>
      </c>
      <c r="AJ2432" s="73" t="s">
        <v>4337</v>
      </c>
      <c r="AK2432" s="45"/>
      <c r="AL2432" s="17"/>
      <c r="AM2432" s="121" t="s">
        <v>4811</v>
      </c>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c r="BW2432" s="19"/>
      <c r="BX2432" s="19"/>
      <c r="BY2432" s="19"/>
      <c r="BZ2432" s="19"/>
      <c r="CA2432" s="19"/>
      <c r="CB2432" s="19"/>
      <c r="CC2432" s="19"/>
      <c r="CD2432" s="139"/>
      <c r="CE2432" s="138"/>
      <c r="CF2432" s="139"/>
      <c r="CG2432" s="138"/>
      <c r="CH2432" s="139"/>
      <c r="CI2432" s="138"/>
      <c r="CJ2432" s="72"/>
      <c r="CK2432" s="139"/>
      <c r="CL2432" s="71"/>
      <c r="CM2432" s="139"/>
      <c r="CN2432" s="138"/>
      <c r="CO2432" s="138"/>
      <c r="CP2432" s="138"/>
      <c r="CQ2432" s="139"/>
      <c r="CR2432" s="138"/>
      <c r="CS2432" s="45"/>
      <c r="CT2432" s="138"/>
      <c r="CU2432" s="45"/>
      <c r="CV2432" s="99">
        <f t="shared" si="237"/>
        <v>0</v>
      </c>
      <c r="CW2432" s="139"/>
      <c r="CX2432" s="138"/>
      <c r="CY2432" s="138"/>
      <c r="CZ2432" s="138"/>
      <c r="DA2432" s="139"/>
      <c r="DB2432" s="138"/>
      <c r="DC2432" s="45"/>
      <c r="DD2432" s="138"/>
      <c r="DE2432" s="45"/>
      <c r="DF2432" s="46"/>
    </row>
    <row r="2433" spans="1:110" s="42" customFormat="1" ht="36" x14ac:dyDescent="0.2">
      <c r="A2433" s="255">
        <v>40841</v>
      </c>
      <c r="B2433" s="247" t="s">
        <v>4219</v>
      </c>
      <c r="C2433" s="248" t="s">
        <v>209</v>
      </c>
      <c r="D2433" s="249" t="s">
        <v>4264</v>
      </c>
      <c r="E2433" s="90" t="str">
        <f>VLOOKUP(B2433&amp;C2433,Divipola!$C$2:$F$1138,4,FALSE)</f>
        <v>41206</v>
      </c>
      <c r="F2433" s="4"/>
      <c r="G2433" s="330"/>
      <c r="H2433" s="330"/>
      <c r="I2433" s="331"/>
      <c r="J2433" s="332">
        <v>320</v>
      </c>
      <c r="K2433" s="332">
        <v>64</v>
      </c>
      <c r="L2433" s="246"/>
      <c r="M2433" s="246">
        <v>4</v>
      </c>
      <c r="N2433" s="246">
        <v>3</v>
      </c>
      <c r="O2433" s="246"/>
      <c r="P2433" s="246"/>
      <c r="Q2433" s="246">
        <v>1</v>
      </c>
      <c r="R2433" s="246"/>
      <c r="S2433" s="245"/>
      <c r="T2433" s="245"/>
      <c r="U2433" s="245"/>
      <c r="V2433" s="246">
        <v>128.75</v>
      </c>
      <c r="W2433" s="19"/>
      <c r="X2433" s="17"/>
      <c r="Y2433" s="5">
        <f t="shared" si="232"/>
        <v>0</v>
      </c>
      <c r="Z2433" s="5">
        <f t="shared" si="233"/>
        <v>0</v>
      </c>
      <c r="AA2433" s="5">
        <f t="shared" si="234"/>
        <v>0</v>
      </c>
      <c r="AB2433" s="5">
        <f t="shared" si="235"/>
        <v>0</v>
      </c>
      <c r="AC2433" s="5"/>
      <c r="AD2433" s="5">
        <v>0</v>
      </c>
      <c r="AE2433" s="5">
        <f t="shared" si="236"/>
        <v>0</v>
      </c>
      <c r="AF2433" s="70">
        <v>0</v>
      </c>
      <c r="AG2433" s="17"/>
      <c r="AH2433" s="18"/>
      <c r="AI2433" s="47" t="s">
        <v>4346</v>
      </c>
      <c r="AJ2433" s="73" t="s">
        <v>4347</v>
      </c>
      <c r="AK2433" s="45"/>
      <c r="AL2433" s="89" t="s">
        <v>2798</v>
      </c>
      <c r="AM2433" s="121" t="s">
        <v>5553</v>
      </c>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19"/>
      <c r="BX2433" s="19"/>
      <c r="BY2433" s="19"/>
      <c r="BZ2433" s="19"/>
      <c r="CA2433" s="19"/>
      <c r="CB2433" s="19"/>
      <c r="CC2433" s="19"/>
      <c r="CD2433" s="139"/>
      <c r="CE2433" s="138"/>
      <c r="CF2433" s="139"/>
      <c r="CG2433" s="138"/>
      <c r="CH2433" s="139"/>
      <c r="CI2433" s="138"/>
      <c r="CJ2433" s="72"/>
      <c r="CK2433" s="139"/>
      <c r="CL2433" s="71"/>
      <c r="CM2433" s="139"/>
      <c r="CN2433" s="138"/>
      <c r="CO2433" s="138"/>
      <c r="CP2433" s="138"/>
      <c r="CQ2433" s="139"/>
      <c r="CR2433" s="138"/>
      <c r="CS2433" s="45"/>
      <c r="CT2433" s="138"/>
      <c r="CU2433" s="45"/>
      <c r="CV2433" s="99">
        <f t="shared" si="237"/>
        <v>0</v>
      </c>
      <c r="CW2433" s="139"/>
      <c r="CX2433" s="138"/>
      <c r="CY2433" s="138"/>
      <c r="CZ2433" s="138"/>
      <c r="DA2433" s="139"/>
      <c r="DB2433" s="138"/>
      <c r="DC2433" s="45"/>
      <c r="DD2433" s="138"/>
      <c r="DE2433" s="45"/>
      <c r="DF2433" s="46"/>
    </row>
    <row r="2434" spans="1:110" s="42" customFormat="1" ht="72" x14ac:dyDescent="0.2">
      <c r="A2434" s="89">
        <v>40842</v>
      </c>
      <c r="B2434" s="151" t="s">
        <v>4326</v>
      </c>
      <c r="C2434" s="90" t="s">
        <v>2436</v>
      </c>
      <c r="D2434" s="90" t="s">
        <v>4264</v>
      </c>
      <c r="E2434" s="90" t="str">
        <f>VLOOKUP(B2434&amp;C2434,Divipola!$C$2:$F$1138,4,FALSE)</f>
        <v>08520</v>
      </c>
      <c r="F2434" s="4"/>
      <c r="G2434" s="101"/>
      <c r="H2434" s="101"/>
      <c r="I2434" s="101"/>
      <c r="J2434" s="101"/>
      <c r="K2434" s="101"/>
      <c r="L2434" s="101"/>
      <c r="M2434" s="101"/>
      <c r="N2434" s="101"/>
      <c r="O2434" s="101"/>
      <c r="P2434" s="101"/>
      <c r="Q2434" s="101"/>
      <c r="R2434" s="101"/>
      <c r="S2434" s="101"/>
      <c r="T2434" s="101"/>
      <c r="U2434" s="101"/>
      <c r="V2434" s="101"/>
      <c r="W2434" s="19"/>
      <c r="X2434" s="17"/>
      <c r="Y2434" s="5">
        <f t="shared" ref="Y2434:Y2497" si="238">CV2434</f>
        <v>0</v>
      </c>
      <c r="Z2434" s="5">
        <f t="shared" ref="Z2434:Z2497" si="239">CZ2434</f>
        <v>0</v>
      </c>
      <c r="AA2434" s="5">
        <f t="shared" ref="AA2434:AA2497" si="240">DB2434+DD2434</f>
        <v>0</v>
      </c>
      <c r="AB2434" s="5">
        <f t="shared" ref="AB2434:AB2497" si="241">CX2434</f>
        <v>0</v>
      </c>
      <c r="AC2434" s="5"/>
      <c r="AD2434" s="5">
        <v>50000000</v>
      </c>
      <c r="AE2434" s="5">
        <f t="shared" ref="AE2434:AE2497" si="242">Y2434+Z2434+AA2434+AB2434+AC2434+AD2434</f>
        <v>50000000</v>
      </c>
      <c r="AF2434" s="70">
        <v>0</v>
      </c>
      <c r="AG2434" s="17"/>
      <c r="AH2434" s="18"/>
      <c r="AI2434" s="47" t="s">
        <v>4346</v>
      </c>
      <c r="AJ2434" s="73" t="s">
        <v>4347</v>
      </c>
      <c r="AK2434" s="45"/>
      <c r="AL2434" s="17"/>
      <c r="AM2434" s="121" t="s">
        <v>4841</v>
      </c>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c r="BW2434" s="19"/>
      <c r="BX2434" s="19"/>
      <c r="BY2434" s="19"/>
      <c r="BZ2434" s="19"/>
      <c r="CA2434" s="19"/>
      <c r="CB2434" s="19"/>
      <c r="CC2434" s="19"/>
      <c r="CD2434" s="139"/>
      <c r="CE2434" s="138"/>
      <c r="CF2434" s="139"/>
      <c r="CG2434" s="138"/>
      <c r="CH2434" s="139"/>
      <c r="CI2434" s="138"/>
      <c r="CJ2434" s="72"/>
      <c r="CK2434" s="139"/>
      <c r="CL2434" s="71"/>
      <c r="CM2434" s="139"/>
      <c r="CN2434" s="138"/>
      <c r="CO2434" s="138"/>
      <c r="CP2434" s="138"/>
      <c r="CQ2434" s="139"/>
      <c r="CR2434" s="138"/>
      <c r="CS2434" s="45"/>
      <c r="CT2434" s="138"/>
      <c r="CU2434" s="45"/>
      <c r="CV2434" s="99">
        <f t="shared" si="237"/>
        <v>0</v>
      </c>
      <c r="CW2434" s="139"/>
      <c r="CX2434" s="138"/>
      <c r="CY2434" s="138"/>
      <c r="CZ2434" s="138"/>
      <c r="DA2434" s="139"/>
      <c r="DB2434" s="138"/>
      <c r="DC2434" s="45"/>
      <c r="DD2434" s="138"/>
      <c r="DE2434" s="45"/>
      <c r="DF2434" s="46"/>
    </row>
    <row r="2435" spans="1:110" s="42" customFormat="1" ht="60" x14ac:dyDescent="0.2">
      <c r="A2435" s="89">
        <v>40842</v>
      </c>
      <c r="B2435" s="151" t="s">
        <v>3358</v>
      </c>
      <c r="C2435" s="90" t="s">
        <v>1428</v>
      </c>
      <c r="D2435" s="90" t="s">
        <v>3346</v>
      </c>
      <c r="E2435" s="90" t="str">
        <f>VLOOKUP(B2435&amp;C2435,Divipola!$C$2:$F$1138,4,FALSE)</f>
        <v>18029</v>
      </c>
      <c r="F2435" s="4"/>
      <c r="G2435" s="101"/>
      <c r="H2435" s="101"/>
      <c r="I2435" s="101"/>
      <c r="J2435" s="101">
        <v>236</v>
      </c>
      <c r="K2435" s="101">
        <v>65</v>
      </c>
      <c r="L2435" s="101"/>
      <c r="M2435" s="101">
        <v>65</v>
      </c>
      <c r="N2435" s="101"/>
      <c r="O2435" s="101"/>
      <c r="P2435" s="101"/>
      <c r="Q2435" s="101"/>
      <c r="R2435" s="101"/>
      <c r="S2435" s="101"/>
      <c r="T2435" s="101"/>
      <c r="U2435" s="101"/>
      <c r="V2435" s="101"/>
      <c r="W2435" s="19"/>
      <c r="X2435" s="17"/>
      <c r="Y2435" s="5">
        <f t="shared" si="238"/>
        <v>7616090.2000000002</v>
      </c>
      <c r="Z2435" s="5">
        <f t="shared" si="239"/>
        <v>3399939.1999999997</v>
      </c>
      <c r="AA2435" s="5">
        <f t="shared" si="240"/>
        <v>35083894.920000002</v>
      </c>
      <c r="AB2435" s="5">
        <f t="shared" si="241"/>
        <v>0</v>
      </c>
      <c r="AC2435" s="5"/>
      <c r="AD2435" s="5">
        <v>0</v>
      </c>
      <c r="AE2435" s="5">
        <f t="shared" si="242"/>
        <v>46099924.32</v>
      </c>
      <c r="AF2435" s="70">
        <v>0</v>
      </c>
      <c r="AG2435" s="17"/>
      <c r="AH2435" s="18"/>
      <c r="AI2435" s="47" t="s">
        <v>4346</v>
      </c>
      <c r="AJ2435" s="73" t="s">
        <v>4347</v>
      </c>
      <c r="AK2435" s="45"/>
      <c r="AL2435" s="17"/>
      <c r="AM2435" s="121" t="s">
        <v>4864</v>
      </c>
      <c r="AN2435" s="19"/>
      <c r="AO2435" s="19"/>
      <c r="AP2435" s="19"/>
      <c r="AQ2435" s="19"/>
      <c r="AR2435" s="19"/>
      <c r="AS2435" s="19"/>
      <c r="AT2435" s="19"/>
      <c r="AU2435" s="19"/>
      <c r="AV2435" s="19"/>
      <c r="AW2435" s="19"/>
      <c r="AX2435" s="19"/>
      <c r="AY2435" s="19"/>
      <c r="AZ2435" s="19">
        <v>73</v>
      </c>
      <c r="BA2435" s="19">
        <f>73*55999</f>
        <v>4087927</v>
      </c>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19"/>
      <c r="BX2435" s="19"/>
      <c r="BY2435" s="19"/>
      <c r="BZ2435" s="19"/>
      <c r="CA2435" s="19"/>
      <c r="CB2435" s="19"/>
      <c r="CC2435" s="19"/>
      <c r="CD2435" s="139"/>
      <c r="CE2435" s="138"/>
      <c r="CF2435" s="139"/>
      <c r="CG2435" s="138"/>
      <c r="CH2435" s="139"/>
      <c r="CI2435" s="138"/>
      <c r="CJ2435" s="72"/>
      <c r="CK2435" s="139"/>
      <c r="CL2435" s="71"/>
      <c r="CM2435" s="139"/>
      <c r="CN2435" s="138"/>
      <c r="CO2435" s="138"/>
      <c r="CP2435" s="138">
        <v>46</v>
      </c>
      <c r="CQ2435" s="139">
        <f>46*36999.36</f>
        <v>1701970.56</v>
      </c>
      <c r="CR2435" s="138">
        <v>46</v>
      </c>
      <c r="CS2435" s="45">
        <f>46*39699.84</f>
        <v>1826192.64</v>
      </c>
      <c r="CT2435" s="138"/>
      <c r="CU2435" s="45"/>
      <c r="CV2435" s="99">
        <f t="shared" ref="CV2435:CV2498" si="243">AO2435+AQ2435+AS2435+AU2435+AW2435+AY2435+BA2435+BC2435+BE2435+BG2435+BI2435+BK2435+BM2435+BO2435+BQ2435+BS2435+BU2435+BW2435+BY2435+CA2435+CC2435+CE2435+CG2435+CI2435+CK2435+CM2435+CO2435+CQ2435+CS2435+CU2435</f>
        <v>7616090.2000000002</v>
      </c>
      <c r="CW2435" s="139"/>
      <c r="CX2435" s="138"/>
      <c r="CY2435" s="138">
        <v>40</v>
      </c>
      <c r="CZ2435" s="138">
        <f>40*84998.48</f>
        <v>3399939.1999999997</v>
      </c>
      <c r="DA2435" s="139">
        <v>336</v>
      </c>
      <c r="DB2435" s="138">
        <f>336*26999</f>
        <v>9071664</v>
      </c>
      <c r="DC2435" s="45">
        <v>1131</v>
      </c>
      <c r="DD2435" s="138">
        <f>1131*22999.32</f>
        <v>26012230.919999998</v>
      </c>
      <c r="DE2435" s="45"/>
      <c r="DF2435" s="46"/>
    </row>
    <row r="2436" spans="1:110" s="42" customFormat="1" ht="60" x14ac:dyDescent="0.2">
      <c r="A2436" s="89">
        <v>40842</v>
      </c>
      <c r="B2436" s="151" t="s">
        <v>4344</v>
      </c>
      <c r="C2436" s="90" t="s">
        <v>4231</v>
      </c>
      <c r="D2436" s="90" t="s">
        <v>2362</v>
      </c>
      <c r="E2436" s="90" t="str">
        <f>VLOOKUP(B2436&amp;C2436,Divipola!$C$2:$F$1138,4,FALSE)</f>
        <v>25290</v>
      </c>
      <c r="F2436" s="4"/>
      <c r="G2436" s="101"/>
      <c r="H2436" s="101"/>
      <c r="I2436" s="101"/>
      <c r="J2436" s="101">
        <v>9</v>
      </c>
      <c r="K2436" s="101">
        <v>2</v>
      </c>
      <c r="L2436" s="101">
        <v>2</v>
      </c>
      <c r="M2436" s="101"/>
      <c r="N2436" s="101"/>
      <c r="O2436" s="101"/>
      <c r="P2436" s="101"/>
      <c r="Q2436" s="101"/>
      <c r="R2436" s="101"/>
      <c r="S2436" s="101"/>
      <c r="T2436" s="101"/>
      <c r="U2436" s="101"/>
      <c r="V2436" s="101"/>
      <c r="W2436" s="19"/>
      <c r="X2436" s="17"/>
      <c r="Y2436" s="5">
        <f t="shared" si="238"/>
        <v>0</v>
      </c>
      <c r="Z2436" s="5">
        <f t="shared" si="239"/>
        <v>0</v>
      </c>
      <c r="AA2436" s="5">
        <f t="shared" si="240"/>
        <v>0</v>
      </c>
      <c r="AB2436" s="5">
        <f t="shared" si="241"/>
        <v>0</v>
      </c>
      <c r="AC2436" s="5"/>
      <c r="AD2436" s="5">
        <v>0</v>
      </c>
      <c r="AE2436" s="5">
        <f t="shared" si="242"/>
        <v>0</v>
      </c>
      <c r="AF2436" s="70">
        <v>0</v>
      </c>
      <c r="AG2436" s="17"/>
      <c r="AH2436" s="18"/>
      <c r="AI2436" s="47" t="s">
        <v>4336</v>
      </c>
      <c r="AJ2436" s="73" t="s">
        <v>4337</v>
      </c>
      <c r="AK2436" s="45"/>
      <c r="AL2436" s="17"/>
      <c r="AM2436" s="121" t="s">
        <v>4819</v>
      </c>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c r="BW2436" s="19"/>
      <c r="BX2436" s="19"/>
      <c r="BY2436" s="19"/>
      <c r="BZ2436" s="19"/>
      <c r="CA2436" s="19"/>
      <c r="CB2436" s="19"/>
      <c r="CC2436" s="19"/>
      <c r="CD2436" s="139"/>
      <c r="CE2436" s="138"/>
      <c r="CF2436" s="139"/>
      <c r="CG2436" s="138"/>
      <c r="CH2436" s="139"/>
      <c r="CI2436" s="138"/>
      <c r="CJ2436" s="72"/>
      <c r="CK2436" s="139"/>
      <c r="CL2436" s="71"/>
      <c r="CM2436" s="139"/>
      <c r="CN2436" s="138"/>
      <c r="CO2436" s="138"/>
      <c r="CP2436" s="138"/>
      <c r="CQ2436" s="139"/>
      <c r="CR2436" s="138"/>
      <c r="CS2436" s="45"/>
      <c r="CT2436" s="138"/>
      <c r="CU2436" s="45"/>
      <c r="CV2436" s="99">
        <f t="shared" si="243"/>
        <v>0</v>
      </c>
      <c r="CW2436" s="139"/>
      <c r="CX2436" s="138"/>
      <c r="CY2436" s="138"/>
      <c r="CZ2436" s="138"/>
      <c r="DA2436" s="139"/>
      <c r="DB2436" s="138"/>
      <c r="DC2436" s="45"/>
      <c r="DD2436" s="138"/>
      <c r="DE2436" s="45"/>
      <c r="DF2436" s="46"/>
    </row>
    <row r="2437" spans="1:110" s="42" customFormat="1" ht="48" x14ac:dyDescent="0.2">
      <c r="A2437" s="89">
        <v>40842</v>
      </c>
      <c r="B2437" s="151" t="s">
        <v>4344</v>
      </c>
      <c r="C2437" s="90" t="s">
        <v>1709</v>
      </c>
      <c r="D2437" s="90" t="s">
        <v>2362</v>
      </c>
      <c r="E2437" s="90" t="str">
        <f>VLOOKUP(B2437&amp;C2437,Divipola!$C$2:$F$1138,4,FALSE)</f>
        <v>25299</v>
      </c>
      <c r="F2437" s="4"/>
      <c r="G2437" s="101"/>
      <c r="H2437" s="101"/>
      <c r="I2437" s="101"/>
      <c r="J2437" s="101"/>
      <c r="K2437" s="101"/>
      <c r="L2437" s="101"/>
      <c r="M2437" s="101"/>
      <c r="N2437" s="101">
        <v>1</v>
      </c>
      <c r="O2437" s="101"/>
      <c r="P2437" s="101"/>
      <c r="Q2437" s="101"/>
      <c r="R2437" s="101"/>
      <c r="S2437" s="101"/>
      <c r="T2437" s="101"/>
      <c r="U2437" s="101"/>
      <c r="V2437" s="101"/>
      <c r="W2437" s="19"/>
      <c r="X2437" s="17"/>
      <c r="Y2437" s="5">
        <f t="shared" si="238"/>
        <v>0</v>
      </c>
      <c r="Z2437" s="5">
        <f t="shared" si="239"/>
        <v>0</v>
      </c>
      <c r="AA2437" s="5">
        <f t="shared" si="240"/>
        <v>0</v>
      </c>
      <c r="AB2437" s="5">
        <f t="shared" si="241"/>
        <v>0</v>
      </c>
      <c r="AC2437" s="5"/>
      <c r="AD2437" s="5">
        <v>0</v>
      </c>
      <c r="AE2437" s="5">
        <f t="shared" si="242"/>
        <v>0</v>
      </c>
      <c r="AF2437" s="70">
        <v>0</v>
      </c>
      <c r="AG2437" s="17"/>
      <c r="AH2437" s="18"/>
      <c r="AI2437" s="47" t="s">
        <v>4336</v>
      </c>
      <c r="AJ2437" s="73" t="s">
        <v>4337</v>
      </c>
      <c r="AK2437" s="45"/>
      <c r="AL2437" s="17"/>
      <c r="AM2437" s="121" t="s">
        <v>4820</v>
      </c>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19"/>
      <c r="BW2437" s="19"/>
      <c r="BX2437" s="19"/>
      <c r="BY2437" s="19"/>
      <c r="BZ2437" s="19"/>
      <c r="CA2437" s="19"/>
      <c r="CB2437" s="19"/>
      <c r="CC2437" s="19"/>
      <c r="CD2437" s="139"/>
      <c r="CE2437" s="138"/>
      <c r="CF2437" s="139"/>
      <c r="CG2437" s="138"/>
      <c r="CH2437" s="139"/>
      <c r="CI2437" s="138"/>
      <c r="CJ2437" s="72"/>
      <c r="CK2437" s="139"/>
      <c r="CL2437" s="71"/>
      <c r="CM2437" s="139"/>
      <c r="CN2437" s="138"/>
      <c r="CO2437" s="138"/>
      <c r="CP2437" s="138"/>
      <c r="CQ2437" s="139"/>
      <c r="CR2437" s="138"/>
      <c r="CS2437" s="45"/>
      <c r="CT2437" s="138"/>
      <c r="CU2437" s="45"/>
      <c r="CV2437" s="99">
        <f t="shared" si="243"/>
        <v>0</v>
      </c>
      <c r="CW2437" s="139"/>
      <c r="CX2437" s="138"/>
      <c r="CY2437" s="138"/>
      <c r="CZ2437" s="138"/>
      <c r="DA2437" s="139"/>
      <c r="DB2437" s="138"/>
      <c r="DC2437" s="45"/>
      <c r="DD2437" s="138"/>
      <c r="DE2437" s="45"/>
      <c r="DF2437" s="46"/>
    </row>
    <row r="2438" spans="1:110" s="42" customFormat="1" x14ac:dyDescent="0.2">
      <c r="A2438" s="89">
        <v>40843</v>
      </c>
      <c r="B2438" s="153" t="s">
        <v>4326</v>
      </c>
      <c r="C2438" s="4" t="s">
        <v>4345</v>
      </c>
      <c r="D2438" s="90" t="s">
        <v>4264</v>
      </c>
      <c r="E2438" s="90">
        <f>VLOOKUP(B2438&amp;C2438,Divipola!$C$2:$F$1138,4,FALSE)</f>
        <v>8</v>
      </c>
      <c r="F2438" s="4"/>
      <c r="G2438" s="208"/>
      <c r="H2438" s="208"/>
      <c r="I2438" s="208"/>
      <c r="J2438" s="208"/>
      <c r="K2438" s="208"/>
      <c r="L2438" s="208"/>
      <c r="M2438" s="208"/>
      <c r="N2438" s="208"/>
      <c r="O2438" s="208"/>
      <c r="P2438" s="208"/>
      <c r="Q2438" s="208"/>
      <c r="R2438" s="208"/>
      <c r="S2438" s="208"/>
      <c r="T2438" s="208"/>
      <c r="U2438" s="208"/>
      <c r="V2438" s="208"/>
      <c r="W2438" s="19"/>
      <c r="X2438" s="17"/>
      <c r="Y2438" s="5">
        <f t="shared" si="238"/>
        <v>293132064</v>
      </c>
      <c r="Z2438" s="5">
        <f t="shared" si="239"/>
        <v>256700000</v>
      </c>
      <c r="AA2438" s="5">
        <f t="shared" si="240"/>
        <v>0</v>
      </c>
      <c r="AB2438" s="5">
        <f t="shared" si="241"/>
        <v>0</v>
      </c>
      <c r="AC2438" s="5"/>
      <c r="AD2438" s="5">
        <v>0</v>
      </c>
      <c r="AE2438" s="5">
        <f t="shared" si="242"/>
        <v>549832064</v>
      </c>
      <c r="AF2438" s="70">
        <v>0</v>
      </c>
      <c r="AG2438" s="17"/>
      <c r="AH2438" s="18"/>
      <c r="AI2438" s="47" t="s">
        <v>4346</v>
      </c>
      <c r="AJ2438" s="73" t="s">
        <v>4347</v>
      </c>
      <c r="AK2438" s="45"/>
      <c r="AL2438" s="17"/>
      <c r="AM2438" s="20"/>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v>1000</v>
      </c>
      <c r="BM2438" s="19">
        <f>500*25499.12+500*25500</f>
        <v>25499560</v>
      </c>
      <c r="BN2438" s="19"/>
      <c r="BO2438" s="19"/>
      <c r="BP2438" s="19"/>
      <c r="BQ2438" s="19"/>
      <c r="BR2438" s="19"/>
      <c r="BS2438" s="19"/>
      <c r="BT2438" s="19"/>
      <c r="BU2438" s="19"/>
      <c r="BV2438" s="19"/>
      <c r="BW2438" s="19"/>
      <c r="BX2438" s="19"/>
      <c r="BY2438" s="19"/>
      <c r="BZ2438" s="19"/>
      <c r="CA2438" s="19"/>
      <c r="CB2438" s="19"/>
      <c r="CC2438" s="19"/>
      <c r="CD2438" s="139"/>
      <c r="CE2438" s="138"/>
      <c r="CF2438" s="139"/>
      <c r="CG2438" s="138"/>
      <c r="CH2438" s="139">
        <v>1000</v>
      </c>
      <c r="CI2438" s="138">
        <f>500*17999.72+500*18000</f>
        <v>17999860</v>
      </c>
      <c r="CJ2438" s="72"/>
      <c r="CK2438" s="139"/>
      <c r="CL2438" s="71"/>
      <c r="CM2438" s="139"/>
      <c r="CN2438" s="138">
        <v>1000</v>
      </c>
      <c r="CO2438" s="138">
        <f>500*17999.72+500*18000</f>
        <v>17999860</v>
      </c>
      <c r="CP2438" s="138">
        <v>3020</v>
      </c>
      <c r="CQ2438" s="139">
        <f>1520*36999.36+1500*37000</f>
        <v>111739027.2</v>
      </c>
      <c r="CR2438" s="138">
        <v>3020</v>
      </c>
      <c r="CS2438" s="45">
        <f>1520*39699.84+1500*39700</f>
        <v>119893756.8</v>
      </c>
      <c r="CT2438" s="138"/>
      <c r="CU2438" s="45"/>
      <c r="CV2438" s="99">
        <f t="shared" si="243"/>
        <v>293132064</v>
      </c>
      <c r="CW2438" s="139"/>
      <c r="CX2438" s="138"/>
      <c r="CY2438" s="138">
        <v>3020</v>
      </c>
      <c r="CZ2438" s="138">
        <f>1520*85000+1500*85000</f>
        <v>256700000</v>
      </c>
      <c r="DA2438" s="139"/>
      <c r="DB2438" s="138"/>
      <c r="DC2438" s="45"/>
      <c r="DD2438" s="138"/>
      <c r="DE2438" s="45"/>
      <c r="DF2438" s="46"/>
    </row>
    <row r="2439" spans="1:110" s="42" customFormat="1" ht="24" x14ac:dyDescent="0.2">
      <c r="A2439" s="89">
        <v>40843</v>
      </c>
      <c r="B2439" s="196" t="s">
        <v>4263</v>
      </c>
      <c r="C2439" s="197" t="s">
        <v>3661</v>
      </c>
      <c r="D2439" s="197" t="s">
        <v>3346</v>
      </c>
      <c r="E2439" s="90" t="str">
        <f>VLOOKUP(B2439&amp;C2439,Divipola!$C$2:$F$1138,4,FALSE)</f>
        <v>86568</v>
      </c>
      <c r="F2439" s="4"/>
      <c r="G2439" s="194"/>
      <c r="H2439" s="194"/>
      <c r="I2439" s="194"/>
      <c r="J2439" s="194">
        <v>24</v>
      </c>
      <c r="K2439" s="194">
        <v>4</v>
      </c>
      <c r="L2439" s="194">
        <v>1</v>
      </c>
      <c r="M2439" s="194">
        <v>3</v>
      </c>
      <c r="N2439" s="194"/>
      <c r="O2439" s="194"/>
      <c r="P2439" s="194"/>
      <c r="Q2439" s="194"/>
      <c r="R2439" s="194"/>
      <c r="S2439" s="194"/>
      <c r="T2439" s="194"/>
      <c r="U2439" s="194"/>
      <c r="V2439" s="194"/>
      <c r="W2439" s="19"/>
      <c r="X2439" s="17"/>
      <c r="Y2439" s="5">
        <f t="shared" si="238"/>
        <v>0</v>
      </c>
      <c r="Z2439" s="5">
        <f t="shared" si="239"/>
        <v>0</v>
      </c>
      <c r="AA2439" s="5">
        <f t="shared" si="240"/>
        <v>0</v>
      </c>
      <c r="AB2439" s="5">
        <f t="shared" si="241"/>
        <v>0</v>
      </c>
      <c r="AC2439" s="5"/>
      <c r="AD2439" s="5">
        <v>0</v>
      </c>
      <c r="AE2439" s="5">
        <f t="shared" si="242"/>
        <v>0</v>
      </c>
      <c r="AF2439" s="70">
        <v>0</v>
      </c>
      <c r="AG2439" s="17"/>
      <c r="AH2439" s="18"/>
      <c r="AI2439" s="47" t="s">
        <v>4336</v>
      </c>
      <c r="AJ2439" s="73" t="s">
        <v>4337</v>
      </c>
      <c r="AK2439" s="45"/>
      <c r="AL2439" s="17"/>
      <c r="AM2439" s="195" t="s">
        <v>4834</v>
      </c>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9"/>
      <c r="BW2439" s="19"/>
      <c r="BX2439" s="19"/>
      <c r="BY2439" s="19"/>
      <c r="BZ2439" s="19"/>
      <c r="CA2439" s="19"/>
      <c r="CB2439" s="19"/>
      <c r="CC2439" s="19"/>
      <c r="CD2439" s="139"/>
      <c r="CE2439" s="138"/>
      <c r="CF2439" s="139"/>
      <c r="CG2439" s="138"/>
      <c r="CH2439" s="139"/>
      <c r="CI2439" s="138"/>
      <c r="CJ2439" s="72"/>
      <c r="CK2439" s="139"/>
      <c r="CL2439" s="71"/>
      <c r="CM2439" s="139"/>
      <c r="CN2439" s="138"/>
      <c r="CO2439" s="138"/>
      <c r="CP2439" s="138"/>
      <c r="CQ2439" s="139"/>
      <c r="CR2439" s="138"/>
      <c r="CS2439" s="45"/>
      <c r="CT2439" s="138"/>
      <c r="CU2439" s="45"/>
      <c r="CV2439" s="99">
        <f t="shared" si="243"/>
        <v>0</v>
      </c>
      <c r="CW2439" s="139"/>
      <c r="CX2439" s="138"/>
      <c r="CY2439" s="138"/>
      <c r="CZ2439" s="138"/>
      <c r="DA2439" s="139"/>
      <c r="DB2439" s="138"/>
      <c r="DC2439" s="45"/>
      <c r="DD2439" s="138"/>
      <c r="DE2439" s="45"/>
      <c r="DF2439" s="46"/>
    </row>
    <row r="2440" spans="1:110" s="42" customFormat="1" ht="72" x14ac:dyDescent="0.2">
      <c r="A2440" s="89">
        <v>40844</v>
      </c>
      <c r="B2440" s="196" t="s">
        <v>2218</v>
      </c>
      <c r="C2440" s="197" t="s">
        <v>3882</v>
      </c>
      <c r="D2440" s="90" t="s">
        <v>4264</v>
      </c>
      <c r="E2440" s="90" t="str">
        <f>VLOOKUP(B2440&amp;C2440,Divipola!$C$2:$F$1138,4,FALSE)</f>
        <v>05190</v>
      </c>
      <c r="F2440" s="4"/>
      <c r="G2440" s="194"/>
      <c r="H2440" s="194"/>
      <c r="I2440" s="194"/>
      <c r="J2440" s="194"/>
      <c r="K2440" s="194"/>
      <c r="L2440" s="194"/>
      <c r="M2440" s="194"/>
      <c r="N2440" s="194">
        <v>1</v>
      </c>
      <c r="O2440" s="194">
        <v>1</v>
      </c>
      <c r="P2440" s="194"/>
      <c r="Q2440" s="194"/>
      <c r="R2440" s="194"/>
      <c r="S2440" s="194"/>
      <c r="T2440" s="194"/>
      <c r="U2440" s="194"/>
      <c r="V2440" s="194"/>
      <c r="W2440" s="19"/>
      <c r="X2440" s="17"/>
      <c r="Y2440" s="5">
        <f t="shared" si="238"/>
        <v>0</v>
      </c>
      <c r="Z2440" s="5">
        <f t="shared" si="239"/>
        <v>0</v>
      </c>
      <c r="AA2440" s="5">
        <f t="shared" si="240"/>
        <v>0</v>
      </c>
      <c r="AB2440" s="5">
        <f t="shared" si="241"/>
        <v>0</v>
      </c>
      <c r="AC2440" s="5"/>
      <c r="AD2440" s="5">
        <v>0</v>
      </c>
      <c r="AE2440" s="5">
        <f t="shared" si="242"/>
        <v>0</v>
      </c>
      <c r="AF2440" s="70">
        <v>0</v>
      </c>
      <c r="AG2440" s="17"/>
      <c r="AH2440" s="18"/>
      <c r="AI2440" s="47" t="s">
        <v>4336</v>
      </c>
      <c r="AJ2440" s="73" t="s">
        <v>4337</v>
      </c>
      <c r="AK2440" s="45"/>
      <c r="AL2440" s="89" t="s">
        <v>2798</v>
      </c>
      <c r="AM2440" s="195" t="s">
        <v>4835</v>
      </c>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19"/>
      <c r="BX2440" s="19"/>
      <c r="BY2440" s="19"/>
      <c r="BZ2440" s="19"/>
      <c r="CA2440" s="19"/>
      <c r="CB2440" s="19"/>
      <c r="CC2440" s="19"/>
      <c r="CD2440" s="139"/>
      <c r="CE2440" s="138"/>
      <c r="CF2440" s="139"/>
      <c r="CG2440" s="138"/>
      <c r="CH2440" s="139"/>
      <c r="CI2440" s="138"/>
      <c r="CJ2440" s="72"/>
      <c r="CK2440" s="139"/>
      <c r="CL2440" s="71"/>
      <c r="CM2440" s="139"/>
      <c r="CN2440" s="138"/>
      <c r="CO2440" s="138"/>
      <c r="CP2440" s="138"/>
      <c r="CQ2440" s="139"/>
      <c r="CR2440" s="138"/>
      <c r="CS2440" s="45"/>
      <c r="CT2440" s="138"/>
      <c r="CU2440" s="45"/>
      <c r="CV2440" s="99">
        <f t="shared" si="243"/>
        <v>0</v>
      </c>
      <c r="CW2440" s="139"/>
      <c r="CX2440" s="138"/>
      <c r="CY2440" s="138"/>
      <c r="CZ2440" s="138"/>
      <c r="DA2440" s="139"/>
      <c r="DB2440" s="138"/>
      <c r="DC2440" s="45"/>
      <c r="DD2440" s="138"/>
      <c r="DE2440" s="45"/>
      <c r="DF2440" s="46"/>
    </row>
    <row r="2441" spans="1:110" s="42" customFormat="1" ht="36" x14ac:dyDescent="0.2">
      <c r="A2441" s="89">
        <v>40844</v>
      </c>
      <c r="B2441" s="151" t="s">
        <v>4261</v>
      </c>
      <c r="C2441" s="90" t="s">
        <v>1207</v>
      </c>
      <c r="D2441" s="90" t="s">
        <v>2362</v>
      </c>
      <c r="E2441" s="90" t="str">
        <f>VLOOKUP(B2441&amp;C2441,Divipola!$C$2:$F$1138,4,FALSE)</f>
        <v>15455</v>
      </c>
      <c r="F2441" s="4"/>
      <c r="G2441" s="101"/>
      <c r="H2441" s="101"/>
      <c r="I2441" s="101"/>
      <c r="J2441" s="101">
        <v>75</v>
      </c>
      <c r="K2441" s="101">
        <v>15</v>
      </c>
      <c r="L2441" s="101">
        <v>15</v>
      </c>
      <c r="M2441" s="101"/>
      <c r="N2441" s="101"/>
      <c r="O2441" s="101"/>
      <c r="P2441" s="101"/>
      <c r="Q2441" s="101"/>
      <c r="R2441" s="101"/>
      <c r="S2441" s="101"/>
      <c r="T2441" s="101"/>
      <c r="U2441" s="101"/>
      <c r="V2441" s="101"/>
      <c r="W2441" s="19"/>
      <c r="X2441" s="17"/>
      <c r="Y2441" s="5">
        <f t="shared" si="238"/>
        <v>0</v>
      </c>
      <c r="Z2441" s="5">
        <f t="shared" si="239"/>
        <v>0</v>
      </c>
      <c r="AA2441" s="5">
        <f t="shared" si="240"/>
        <v>0</v>
      </c>
      <c r="AB2441" s="5">
        <f t="shared" si="241"/>
        <v>0</v>
      </c>
      <c r="AC2441" s="5"/>
      <c r="AD2441" s="5">
        <v>0</v>
      </c>
      <c r="AE2441" s="5">
        <f t="shared" si="242"/>
        <v>0</v>
      </c>
      <c r="AF2441" s="70">
        <v>0</v>
      </c>
      <c r="AG2441" s="17"/>
      <c r="AH2441" s="18"/>
      <c r="AI2441" s="47" t="s">
        <v>4346</v>
      </c>
      <c r="AJ2441" s="73" t="s">
        <v>4347</v>
      </c>
      <c r="AK2441" s="45"/>
      <c r="AL2441" s="89" t="s">
        <v>2798</v>
      </c>
      <c r="AM2441" s="121" t="s">
        <v>4850</v>
      </c>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c r="BW2441" s="19"/>
      <c r="BX2441" s="19"/>
      <c r="BY2441" s="19"/>
      <c r="BZ2441" s="19"/>
      <c r="CA2441" s="19"/>
      <c r="CB2441" s="19"/>
      <c r="CC2441" s="19"/>
      <c r="CD2441" s="139"/>
      <c r="CE2441" s="138"/>
      <c r="CF2441" s="139"/>
      <c r="CG2441" s="138"/>
      <c r="CH2441" s="139"/>
      <c r="CI2441" s="138"/>
      <c r="CJ2441" s="72"/>
      <c r="CK2441" s="139"/>
      <c r="CL2441" s="71"/>
      <c r="CM2441" s="139"/>
      <c r="CN2441" s="138"/>
      <c r="CO2441" s="138"/>
      <c r="CP2441" s="138"/>
      <c r="CQ2441" s="139"/>
      <c r="CR2441" s="138"/>
      <c r="CS2441" s="45"/>
      <c r="CT2441" s="138"/>
      <c r="CU2441" s="45"/>
      <c r="CV2441" s="99">
        <f t="shared" si="243"/>
        <v>0</v>
      </c>
      <c r="CW2441" s="139"/>
      <c r="CX2441" s="138"/>
      <c r="CY2441" s="138"/>
      <c r="CZ2441" s="138"/>
      <c r="DA2441" s="139"/>
      <c r="DB2441" s="138"/>
      <c r="DC2441" s="45"/>
      <c r="DD2441" s="138"/>
      <c r="DE2441" s="45"/>
      <c r="DF2441" s="46"/>
    </row>
    <row r="2442" spans="1:110" s="42" customFormat="1" ht="84" x14ac:dyDescent="0.2">
      <c r="A2442" s="89">
        <v>40844</v>
      </c>
      <c r="B2442" s="196" t="s">
        <v>4344</v>
      </c>
      <c r="C2442" s="197" t="s">
        <v>3526</v>
      </c>
      <c r="D2442" s="90" t="s">
        <v>2362</v>
      </c>
      <c r="E2442" s="90" t="str">
        <f>VLOOKUP(B2442&amp;C2442,Divipola!$C$2:$F$1138,4,FALSE)</f>
        <v>25148</v>
      </c>
      <c r="F2442" s="4"/>
      <c r="G2442" s="194"/>
      <c r="H2442" s="194"/>
      <c r="I2442" s="194"/>
      <c r="J2442" s="194"/>
      <c r="K2442" s="194"/>
      <c r="L2442" s="194"/>
      <c r="M2442" s="194"/>
      <c r="N2442" s="194"/>
      <c r="O2442" s="194"/>
      <c r="P2442" s="194"/>
      <c r="Q2442" s="194">
        <v>1</v>
      </c>
      <c r="R2442" s="194"/>
      <c r="S2442" s="194"/>
      <c r="T2442" s="194"/>
      <c r="U2442" s="194"/>
      <c r="V2442" s="194"/>
      <c r="W2442" s="19"/>
      <c r="X2442" s="17"/>
      <c r="Y2442" s="5">
        <f t="shared" si="238"/>
        <v>0</v>
      </c>
      <c r="Z2442" s="5">
        <f t="shared" si="239"/>
        <v>0</v>
      </c>
      <c r="AA2442" s="5">
        <f t="shared" si="240"/>
        <v>0</v>
      </c>
      <c r="AB2442" s="5">
        <f t="shared" si="241"/>
        <v>0</v>
      </c>
      <c r="AC2442" s="5"/>
      <c r="AD2442" s="5">
        <v>0</v>
      </c>
      <c r="AE2442" s="5">
        <f t="shared" si="242"/>
        <v>0</v>
      </c>
      <c r="AF2442" s="70">
        <v>0</v>
      </c>
      <c r="AG2442" s="17"/>
      <c r="AH2442" s="18"/>
      <c r="AI2442" s="47" t="s">
        <v>4336</v>
      </c>
      <c r="AJ2442" s="73" t="s">
        <v>4337</v>
      </c>
      <c r="AK2442" s="45"/>
      <c r="AL2442" s="17"/>
      <c r="AM2442" s="195" t="s">
        <v>4833</v>
      </c>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19"/>
      <c r="BX2442" s="19"/>
      <c r="BY2442" s="19"/>
      <c r="BZ2442" s="19"/>
      <c r="CA2442" s="19"/>
      <c r="CB2442" s="19"/>
      <c r="CC2442" s="19"/>
      <c r="CD2442" s="139"/>
      <c r="CE2442" s="138"/>
      <c r="CF2442" s="139"/>
      <c r="CG2442" s="138"/>
      <c r="CH2442" s="139"/>
      <c r="CI2442" s="138"/>
      <c r="CJ2442" s="72"/>
      <c r="CK2442" s="139"/>
      <c r="CL2442" s="71"/>
      <c r="CM2442" s="139"/>
      <c r="CN2442" s="138"/>
      <c r="CO2442" s="138"/>
      <c r="CP2442" s="138"/>
      <c r="CQ2442" s="139"/>
      <c r="CR2442" s="138"/>
      <c r="CS2442" s="45"/>
      <c r="CT2442" s="138"/>
      <c r="CU2442" s="45"/>
      <c r="CV2442" s="99">
        <f t="shared" si="243"/>
        <v>0</v>
      </c>
      <c r="CW2442" s="139"/>
      <c r="CX2442" s="138"/>
      <c r="CY2442" s="138"/>
      <c r="CZ2442" s="138"/>
      <c r="DA2442" s="139"/>
      <c r="DB2442" s="138"/>
      <c r="DC2442" s="45"/>
      <c r="DD2442" s="138"/>
      <c r="DE2442" s="45"/>
      <c r="DF2442" s="46"/>
    </row>
    <row r="2443" spans="1:110" s="42" customFormat="1" ht="96" x14ac:dyDescent="0.2">
      <c r="A2443" s="89">
        <v>40844</v>
      </c>
      <c r="B2443" s="196" t="s">
        <v>4263</v>
      </c>
      <c r="C2443" s="197" t="s">
        <v>4315</v>
      </c>
      <c r="D2443" s="90" t="s">
        <v>4264</v>
      </c>
      <c r="E2443" s="90" t="str">
        <f>VLOOKUP(B2443&amp;C2443,Divipola!$C$2:$F$1138,4,FALSE)</f>
        <v>86001</v>
      </c>
      <c r="F2443" s="4"/>
      <c r="G2443" s="194">
        <v>1</v>
      </c>
      <c r="H2443" s="194">
        <v>1</v>
      </c>
      <c r="I2443" s="194"/>
      <c r="J2443" s="194"/>
      <c r="K2443" s="194"/>
      <c r="L2443" s="194"/>
      <c r="M2443" s="194"/>
      <c r="N2443" s="194"/>
      <c r="O2443" s="194">
        <v>1</v>
      </c>
      <c r="P2443" s="194"/>
      <c r="Q2443" s="194"/>
      <c r="R2443" s="194"/>
      <c r="S2443" s="194"/>
      <c r="T2443" s="194"/>
      <c r="U2443" s="194"/>
      <c r="V2443" s="194"/>
      <c r="W2443" s="19"/>
      <c r="X2443" s="17"/>
      <c r="Y2443" s="5">
        <f t="shared" si="238"/>
        <v>0</v>
      </c>
      <c r="Z2443" s="5">
        <f t="shared" si="239"/>
        <v>0</v>
      </c>
      <c r="AA2443" s="5">
        <f t="shared" si="240"/>
        <v>0</v>
      </c>
      <c r="AB2443" s="5">
        <f t="shared" si="241"/>
        <v>0</v>
      </c>
      <c r="AC2443" s="5"/>
      <c r="AD2443" s="5">
        <v>0</v>
      </c>
      <c r="AE2443" s="5">
        <f t="shared" si="242"/>
        <v>0</v>
      </c>
      <c r="AF2443" s="70">
        <v>0</v>
      </c>
      <c r="AG2443" s="17"/>
      <c r="AH2443" s="18"/>
      <c r="AI2443" s="47" t="s">
        <v>4336</v>
      </c>
      <c r="AJ2443" s="73" t="s">
        <v>4337</v>
      </c>
      <c r="AK2443" s="45"/>
      <c r="AL2443" s="17"/>
      <c r="AM2443" s="195" t="s">
        <v>4836</v>
      </c>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19"/>
      <c r="BX2443" s="19"/>
      <c r="BY2443" s="19"/>
      <c r="BZ2443" s="19"/>
      <c r="CA2443" s="19"/>
      <c r="CB2443" s="19"/>
      <c r="CC2443" s="19"/>
      <c r="CD2443" s="139"/>
      <c r="CE2443" s="138"/>
      <c r="CF2443" s="139"/>
      <c r="CG2443" s="138"/>
      <c r="CH2443" s="139"/>
      <c r="CI2443" s="138"/>
      <c r="CJ2443" s="72"/>
      <c r="CK2443" s="139"/>
      <c r="CL2443" s="71"/>
      <c r="CM2443" s="139"/>
      <c r="CN2443" s="138"/>
      <c r="CO2443" s="138"/>
      <c r="CP2443" s="138"/>
      <c r="CQ2443" s="139"/>
      <c r="CR2443" s="138"/>
      <c r="CS2443" s="45"/>
      <c r="CT2443" s="138"/>
      <c r="CU2443" s="45"/>
      <c r="CV2443" s="99">
        <f t="shared" si="243"/>
        <v>0</v>
      </c>
      <c r="CW2443" s="139"/>
      <c r="CX2443" s="138"/>
      <c r="CY2443" s="138"/>
      <c r="CZ2443" s="138"/>
      <c r="DA2443" s="139"/>
      <c r="DB2443" s="138"/>
      <c r="DC2443" s="45"/>
      <c r="DD2443" s="138"/>
      <c r="DE2443" s="45"/>
      <c r="DF2443" s="46"/>
    </row>
    <row r="2444" spans="1:110" s="42" customFormat="1" ht="48" x14ac:dyDescent="0.2">
      <c r="A2444" s="89">
        <v>40845</v>
      </c>
      <c r="B2444" s="151" t="s">
        <v>3533</v>
      </c>
      <c r="C2444" s="90" t="s">
        <v>1424</v>
      </c>
      <c r="D2444" s="90" t="s">
        <v>4264</v>
      </c>
      <c r="E2444" s="90" t="str">
        <f>VLOOKUP(B2444&amp;C2444,Divipola!$C$2:$F$1138,4,FALSE)</f>
        <v>17877</v>
      </c>
      <c r="F2444" s="4"/>
      <c r="G2444" s="101"/>
      <c r="H2444" s="101"/>
      <c r="I2444" s="101"/>
      <c r="J2444" s="101">
        <v>675</v>
      </c>
      <c r="K2444" s="101">
        <v>150</v>
      </c>
      <c r="L2444" s="101"/>
      <c r="M2444" s="101">
        <v>150</v>
      </c>
      <c r="N2444" s="101"/>
      <c r="O2444" s="101"/>
      <c r="P2444" s="101"/>
      <c r="Q2444" s="101"/>
      <c r="R2444" s="101"/>
      <c r="S2444" s="101"/>
      <c r="T2444" s="101"/>
      <c r="U2444" s="101"/>
      <c r="V2444" s="101"/>
      <c r="W2444" s="19"/>
      <c r="X2444" s="17"/>
      <c r="Y2444" s="5">
        <f t="shared" si="238"/>
        <v>0</v>
      </c>
      <c r="Z2444" s="5">
        <f t="shared" si="239"/>
        <v>0</v>
      </c>
      <c r="AA2444" s="5">
        <f t="shared" si="240"/>
        <v>0</v>
      </c>
      <c r="AB2444" s="5">
        <f t="shared" si="241"/>
        <v>0</v>
      </c>
      <c r="AC2444" s="5"/>
      <c r="AD2444" s="5">
        <v>0</v>
      </c>
      <c r="AE2444" s="5">
        <f t="shared" si="242"/>
        <v>0</v>
      </c>
      <c r="AF2444" s="70">
        <v>0</v>
      </c>
      <c r="AG2444" s="17"/>
      <c r="AH2444" s="18"/>
      <c r="AI2444" s="47" t="s">
        <v>4336</v>
      </c>
      <c r="AJ2444" s="73" t="s">
        <v>4337</v>
      </c>
      <c r="AK2444" s="45"/>
      <c r="AL2444" s="17"/>
      <c r="AM2444" s="121" t="s">
        <v>4848</v>
      </c>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19"/>
      <c r="BX2444" s="19"/>
      <c r="BY2444" s="19"/>
      <c r="BZ2444" s="19"/>
      <c r="CA2444" s="19"/>
      <c r="CB2444" s="19"/>
      <c r="CC2444" s="19"/>
      <c r="CD2444" s="139"/>
      <c r="CE2444" s="138"/>
      <c r="CF2444" s="139"/>
      <c r="CG2444" s="138"/>
      <c r="CH2444" s="139"/>
      <c r="CI2444" s="138"/>
      <c r="CJ2444" s="72"/>
      <c r="CK2444" s="139"/>
      <c r="CL2444" s="71"/>
      <c r="CM2444" s="139"/>
      <c r="CN2444" s="138"/>
      <c r="CO2444" s="138"/>
      <c r="CP2444" s="138"/>
      <c r="CQ2444" s="139"/>
      <c r="CR2444" s="138"/>
      <c r="CS2444" s="45"/>
      <c r="CT2444" s="138"/>
      <c r="CU2444" s="45"/>
      <c r="CV2444" s="99">
        <f t="shared" si="243"/>
        <v>0</v>
      </c>
      <c r="CW2444" s="139"/>
      <c r="CX2444" s="138"/>
      <c r="CY2444" s="138"/>
      <c r="CZ2444" s="138"/>
      <c r="DA2444" s="139"/>
      <c r="DB2444" s="138"/>
      <c r="DC2444" s="45"/>
      <c r="DD2444" s="138"/>
      <c r="DE2444" s="45"/>
      <c r="DF2444" s="46"/>
    </row>
    <row r="2445" spans="1:110" s="42" customFormat="1" ht="48" x14ac:dyDescent="0.2">
      <c r="A2445" s="89">
        <v>40845</v>
      </c>
      <c r="B2445" s="151" t="s">
        <v>3316</v>
      </c>
      <c r="C2445" s="90" t="s">
        <v>2276</v>
      </c>
      <c r="D2445" s="90" t="s">
        <v>4264</v>
      </c>
      <c r="E2445" s="90" t="str">
        <f>VLOOKUP(B2445&amp;C2445,Divipola!$C$2:$F$1138,4,FALSE)</f>
        <v>73678</v>
      </c>
      <c r="F2445" s="4"/>
      <c r="G2445" s="101"/>
      <c r="H2445" s="101"/>
      <c r="I2445" s="101"/>
      <c r="J2445" s="101">
        <v>35</v>
      </c>
      <c r="K2445" s="101">
        <v>7</v>
      </c>
      <c r="L2445" s="101"/>
      <c r="M2445" s="101">
        <v>7</v>
      </c>
      <c r="N2445" s="101"/>
      <c r="O2445" s="101"/>
      <c r="P2445" s="101"/>
      <c r="Q2445" s="101"/>
      <c r="R2445" s="101"/>
      <c r="S2445" s="101"/>
      <c r="T2445" s="101"/>
      <c r="U2445" s="101"/>
      <c r="V2445" s="101"/>
      <c r="W2445" s="19"/>
      <c r="X2445" s="17"/>
      <c r="Y2445" s="5">
        <f t="shared" si="238"/>
        <v>0</v>
      </c>
      <c r="Z2445" s="5">
        <f t="shared" si="239"/>
        <v>0</v>
      </c>
      <c r="AA2445" s="5">
        <f t="shared" si="240"/>
        <v>0</v>
      </c>
      <c r="AB2445" s="5">
        <f t="shared" si="241"/>
        <v>0</v>
      </c>
      <c r="AC2445" s="5"/>
      <c r="AD2445" s="5">
        <v>0</v>
      </c>
      <c r="AE2445" s="5">
        <f t="shared" si="242"/>
        <v>0</v>
      </c>
      <c r="AF2445" s="70">
        <v>0</v>
      </c>
      <c r="AG2445" s="17"/>
      <c r="AH2445" s="18"/>
      <c r="AI2445" s="47" t="s">
        <v>4346</v>
      </c>
      <c r="AJ2445" s="73" t="s">
        <v>4347</v>
      </c>
      <c r="AK2445" s="45"/>
      <c r="AL2445" s="89" t="s">
        <v>2798</v>
      </c>
      <c r="AM2445" s="121" t="s">
        <v>4847</v>
      </c>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c r="BW2445" s="19"/>
      <c r="BX2445" s="19"/>
      <c r="BY2445" s="19"/>
      <c r="BZ2445" s="19"/>
      <c r="CA2445" s="19"/>
      <c r="CB2445" s="19"/>
      <c r="CC2445" s="19"/>
      <c r="CD2445" s="139"/>
      <c r="CE2445" s="138"/>
      <c r="CF2445" s="139"/>
      <c r="CG2445" s="138"/>
      <c r="CH2445" s="139"/>
      <c r="CI2445" s="138"/>
      <c r="CJ2445" s="72"/>
      <c r="CK2445" s="139"/>
      <c r="CL2445" s="71"/>
      <c r="CM2445" s="139"/>
      <c r="CN2445" s="138"/>
      <c r="CO2445" s="138"/>
      <c r="CP2445" s="138"/>
      <c r="CQ2445" s="139"/>
      <c r="CR2445" s="138"/>
      <c r="CS2445" s="45"/>
      <c r="CT2445" s="138"/>
      <c r="CU2445" s="45"/>
      <c r="CV2445" s="99">
        <f t="shared" si="243"/>
        <v>0</v>
      </c>
      <c r="CW2445" s="139"/>
      <c r="CX2445" s="138"/>
      <c r="CY2445" s="138"/>
      <c r="CZ2445" s="138"/>
      <c r="DA2445" s="139"/>
      <c r="DB2445" s="138"/>
      <c r="DC2445" s="45"/>
      <c r="DD2445" s="138"/>
      <c r="DE2445" s="45"/>
      <c r="DF2445" s="46"/>
    </row>
    <row r="2446" spans="1:110" s="42" customFormat="1" ht="84" x14ac:dyDescent="0.2">
      <c r="A2446" s="89">
        <v>40845</v>
      </c>
      <c r="B2446" s="196" t="s">
        <v>4244</v>
      </c>
      <c r="C2446" s="197" t="s">
        <v>3493</v>
      </c>
      <c r="D2446" s="90" t="s">
        <v>4264</v>
      </c>
      <c r="E2446" s="90" t="str">
        <f>VLOOKUP(B2446&amp;C2446,Divipola!$C$2:$F$1138,4,FALSE)</f>
        <v>76400</v>
      </c>
      <c r="F2446" s="4"/>
      <c r="G2446" s="194"/>
      <c r="H2446" s="194"/>
      <c r="I2446" s="194"/>
      <c r="J2446" s="194">
        <v>75</v>
      </c>
      <c r="K2446" s="194">
        <v>15</v>
      </c>
      <c r="L2446" s="194"/>
      <c r="M2446" s="194">
        <v>15</v>
      </c>
      <c r="N2446" s="194"/>
      <c r="O2446" s="194"/>
      <c r="P2446" s="194"/>
      <c r="Q2446" s="194"/>
      <c r="R2446" s="194"/>
      <c r="S2446" s="194"/>
      <c r="T2446" s="194"/>
      <c r="U2446" s="194"/>
      <c r="V2446" s="194"/>
      <c r="W2446" s="19"/>
      <c r="X2446" s="17"/>
      <c r="Y2446" s="5">
        <f t="shared" si="238"/>
        <v>0</v>
      </c>
      <c r="Z2446" s="5">
        <f t="shared" si="239"/>
        <v>0</v>
      </c>
      <c r="AA2446" s="5">
        <f t="shared" si="240"/>
        <v>0</v>
      </c>
      <c r="AB2446" s="5">
        <f t="shared" si="241"/>
        <v>0</v>
      </c>
      <c r="AC2446" s="5"/>
      <c r="AD2446" s="5">
        <v>0</v>
      </c>
      <c r="AE2446" s="5">
        <f t="shared" si="242"/>
        <v>0</v>
      </c>
      <c r="AF2446" s="70">
        <v>0</v>
      </c>
      <c r="AG2446" s="17"/>
      <c r="AH2446" s="18"/>
      <c r="AI2446" s="47" t="s">
        <v>4346</v>
      </c>
      <c r="AJ2446" s="73" t="s">
        <v>4347</v>
      </c>
      <c r="AK2446" s="45"/>
      <c r="AL2446" s="89" t="s">
        <v>2798</v>
      </c>
      <c r="AM2446" s="195" t="s">
        <v>4832</v>
      </c>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39"/>
      <c r="CE2446" s="138"/>
      <c r="CF2446" s="139"/>
      <c r="CG2446" s="138"/>
      <c r="CH2446" s="139"/>
      <c r="CI2446" s="138"/>
      <c r="CJ2446" s="72"/>
      <c r="CK2446" s="139"/>
      <c r="CL2446" s="71"/>
      <c r="CM2446" s="139"/>
      <c r="CN2446" s="138"/>
      <c r="CO2446" s="138"/>
      <c r="CP2446" s="138"/>
      <c r="CQ2446" s="139"/>
      <c r="CR2446" s="138"/>
      <c r="CS2446" s="45"/>
      <c r="CT2446" s="138"/>
      <c r="CU2446" s="45"/>
      <c r="CV2446" s="99">
        <f t="shared" si="243"/>
        <v>0</v>
      </c>
      <c r="CW2446" s="139"/>
      <c r="CX2446" s="138"/>
      <c r="CY2446" s="138"/>
      <c r="CZ2446" s="138"/>
      <c r="DA2446" s="139"/>
      <c r="DB2446" s="138"/>
      <c r="DC2446" s="45"/>
      <c r="DD2446" s="138"/>
      <c r="DE2446" s="45"/>
      <c r="DF2446" s="46"/>
    </row>
    <row r="2447" spans="1:110" s="42" customFormat="1" ht="60" x14ac:dyDescent="0.2">
      <c r="A2447" s="89">
        <v>40846</v>
      </c>
      <c r="B2447" s="151" t="s">
        <v>4308</v>
      </c>
      <c r="C2447" s="90" t="s">
        <v>771</v>
      </c>
      <c r="D2447" s="90" t="s">
        <v>4264</v>
      </c>
      <c r="E2447" s="90" t="str">
        <f>VLOOKUP(B2447&amp;C2447,Divipola!$C$2:$F$1138,4,FALSE)</f>
        <v>47555</v>
      </c>
      <c r="F2447" s="4"/>
      <c r="G2447" s="101"/>
      <c r="H2447" s="101"/>
      <c r="I2447" s="101"/>
      <c r="J2447" s="101">
        <v>6080</v>
      </c>
      <c r="K2447" s="101">
        <v>1219</v>
      </c>
      <c r="L2447" s="101"/>
      <c r="M2447" s="101">
        <v>1219</v>
      </c>
      <c r="N2447" s="101">
        <v>2</v>
      </c>
      <c r="O2447" s="101"/>
      <c r="P2447" s="101"/>
      <c r="Q2447" s="101"/>
      <c r="R2447" s="101"/>
      <c r="S2447" s="101"/>
      <c r="T2447" s="101"/>
      <c r="U2447" s="101"/>
      <c r="V2447" s="101"/>
      <c r="W2447" s="19"/>
      <c r="X2447" s="17"/>
      <c r="Y2447" s="5">
        <f t="shared" si="238"/>
        <v>0</v>
      </c>
      <c r="Z2447" s="5">
        <f t="shared" si="239"/>
        <v>0</v>
      </c>
      <c r="AA2447" s="5">
        <f t="shared" si="240"/>
        <v>0</v>
      </c>
      <c r="AB2447" s="5">
        <f t="shared" si="241"/>
        <v>0</v>
      </c>
      <c r="AC2447" s="5"/>
      <c r="AD2447" s="5">
        <v>0</v>
      </c>
      <c r="AE2447" s="5">
        <f t="shared" si="242"/>
        <v>0</v>
      </c>
      <c r="AF2447" s="70">
        <v>0</v>
      </c>
      <c r="AG2447" s="17"/>
      <c r="AH2447" s="18"/>
      <c r="AI2447" s="47" t="s">
        <v>4346</v>
      </c>
      <c r="AJ2447" s="73" t="s">
        <v>4347</v>
      </c>
      <c r="AK2447" s="45"/>
      <c r="AL2447" s="89" t="s">
        <v>2798</v>
      </c>
      <c r="AM2447" s="121" t="s">
        <v>4846</v>
      </c>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c r="BW2447" s="19"/>
      <c r="BX2447" s="19"/>
      <c r="BY2447" s="19"/>
      <c r="BZ2447" s="19"/>
      <c r="CA2447" s="19"/>
      <c r="CB2447" s="19"/>
      <c r="CC2447" s="19"/>
      <c r="CD2447" s="139"/>
      <c r="CE2447" s="138"/>
      <c r="CF2447" s="139"/>
      <c r="CG2447" s="138"/>
      <c r="CH2447" s="139"/>
      <c r="CI2447" s="138"/>
      <c r="CJ2447" s="72"/>
      <c r="CK2447" s="139"/>
      <c r="CL2447" s="71"/>
      <c r="CM2447" s="139"/>
      <c r="CN2447" s="138"/>
      <c r="CO2447" s="138"/>
      <c r="CP2447" s="138"/>
      <c r="CQ2447" s="139"/>
      <c r="CR2447" s="138"/>
      <c r="CS2447" s="45"/>
      <c r="CT2447" s="138"/>
      <c r="CU2447" s="45"/>
      <c r="CV2447" s="99">
        <f t="shared" si="243"/>
        <v>0</v>
      </c>
      <c r="CW2447" s="139"/>
      <c r="CX2447" s="138"/>
      <c r="CY2447" s="138"/>
      <c r="CZ2447" s="138"/>
      <c r="DA2447" s="139"/>
      <c r="DB2447" s="138"/>
      <c r="DC2447" s="45"/>
      <c r="DD2447" s="138"/>
      <c r="DE2447" s="45"/>
      <c r="DF2447" s="46"/>
    </row>
    <row r="2448" spans="1:110" s="42" customFormat="1" ht="192" x14ac:dyDescent="0.2">
      <c r="A2448" s="89">
        <v>40846</v>
      </c>
      <c r="B2448" s="151" t="s">
        <v>4308</v>
      </c>
      <c r="C2448" s="90" t="s">
        <v>2039</v>
      </c>
      <c r="D2448" s="90" t="s">
        <v>4264</v>
      </c>
      <c r="E2448" s="90" t="str">
        <f>VLOOKUP(B2448&amp;C2448,Divipola!$C$2:$F$1138,4,FALSE)</f>
        <v>47980</v>
      </c>
      <c r="F2448" s="4"/>
      <c r="G2448" s="101"/>
      <c r="H2448" s="101"/>
      <c r="I2448" s="101"/>
      <c r="J2448" s="101">
        <f>2512*5</f>
        <v>12560</v>
      </c>
      <c r="K2448" s="101">
        <v>2512</v>
      </c>
      <c r="L2448" s="101"/>
      <c r="M2448" s="101">
        <v>2512</v>
      </c>
      <c r="N2448" s="101"/>
      <c r="O2448" s="101"/>
      <c r="P2448" s="101"/>
      <c r="Q2448" s="101"/>
      <c r="R2448" s="101"/>
      <c r="S2448" s="101"/>
      <c r="T2448" s="101"/>
      <c r="U2448" s="101"/>
      <c r="V2448" s="101"/>
      <c r="W2448" s="19"/>
      <c r="X2448" s="17"/>
      <c r="Y2448" s="5">
        <f t="shared" si="238"/>
        <v>0</v>
      </c>
      <c r="Z2448" s="5">
        <f t="shared" si="239"/>
        <v>0</v>
      </c>
      <c r="AA2448" s="5">
        <f t="shared" si="240"/>
        <v>122936800</v>
      </c>
      <c r="AB2448" s="5">
        <f t="shared" si="241"/>
        <v>0</v>
      </c>
      <c r="AC2448" s="5"/>
      <c r="AD2448" s="5">
        <v>0</v>
      </c>
      <c r="AE2448" s="5">
        <f t="shared" si="242"/>
        <v>122936800</v>
      </c>
      <c r="AF2448" s="70">
        <v>0</v>
      </c>
      <c r="AG2448" s="17"/>
      <c r="AH2448" s="18"/>
      <c r="AI2448" s="47" t="s">
        <v>4346</v>
      </c>
      <c r="AJ2448" s="73" t="s">
        <v>4347</v>
      </c>
      <c r="AK2448" s="45"/>
      <c r="AL2448" s="89" t="s">
        <v>2798</v>
      </c>
      <c r="AM2448" s="121" t="s">
        <v>5469</v>
      </c>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c r="BW2448" s="19"/>
      <c r="BX2448" s="19"/>
      <c r="BY2448" s="19"/>
      <c r="BZ2448" s="19"/>
      <c r="CA2448" s="19"/>
      <c r="CB2448" s="19"/>
      <c r="CC2448" s="19"/>
      <c r="CD2448" s="139"/>
      <c r="CE2448" s="138"/>
      <c r="CF2448" s="139"/>
      <c r="CG2448" s="138"/>
      <c r="CH2448" s="139"/>
      <c r="CI2448" s="138"/>
      <c r="CJ2448" s="72"/>
      <c r="CK2448" s="139"/>
      <c r="CL2448" s="71"/>
      <c r="CM2448" s="139"/>
      <c r="CN2448" s="138"/>
      <c r="CO2448" s="138"/>
      <c r="CP2448" s="138"/>
      <c r="CQ2448" s="139"/>
      <c r="CR2448" s="138"/>
      <c r="CS2448" s="45"/>
      <c r="CT2448" s="138"/>
      <c r="CU2448" s="45"/>
      <c r="CV2448" s="99">
        <f t="shared" si="243"/>
        <v>0</v>
      </c>
      <c r="CW2448" s="139"/>
      <c r="CX2448" s="138"/>
      <c r="CY2448" s="138"/>
      <c r="CZ2448" s="138"/>
      <c r="DA2448" s="139"/>
      <c r="DB2448" s="138"/>
      <c r="DC2448" s="45">
        <v>5000</v>
      </c>
      <c r="DD2448" s="138">
        <f>5000*22499.36+30000*348</f>
        <v>122936800</v>
      </c>
      <c r="DE2448" s="45"/>
      <c r="DF2448" s="46"/>
    </row>
    <row r="2449" spans="1:110" s="42" customFormat="1" ht="84" x14ac:dyDescent="0.2">
      <c r="A2449" s="89">
        <v>40846</v>
      </c>
      <c r="B2449" s="151" t="s">
        <v>4244</v>
      </c>
      <c r="C2449" s="90" t="s">
        <v>4226</v>
      </c>
      <c r="D2449" s="90" t="s">
        <v>4264</v>
      </c>
      <c r="E2449" s="90" t="str">
        <f>VLOOKUP(B2449&amp;C2449,Divipola!$C$2:$F$1138,4,FALSE)</f>
        <v>76364</v>
      </c>
      <c r="F2449" s="4"/>
      <c r="G2449" s="101"/>
      <c r="H2449" s="101"/>
      <c r="I2449" s="101"/>
      <c r="J2449" s="101">
        <v>300</v>
      </c>
      <c r="K2449" s="101">
        <v>60</v>
      </c>
      <c r="L2449" s="101"/>
      <c r="M2449" s="101">
        <v>60</v>
      </c>
      <c r="N2449" s="101"/>
      <c r="O2449" s="101"/>
      <c r="P2449" s="101"/>
      <c r="Q2449" s="101"/>
      <c r="R2449" s="101"/>
      <c r="S2449" s="101"/>
      <c r="T2449" s="101"/>
      <c r="U2449" s="101"/>
      <c r="V2449" s="101"/>
      <c r="W2449" s="19"/>
      <c r="X2449" s="17"/>
      <c r="Y2449" s="5">
        <f t="shared" si="238"/>
        <v>0</v>
      </c>
      <c r="Z2449" s="5">
        <f t="shared" si="239"/>
        <v>0</v>
      </c>
      <c r="AA2449" s="5">
        <f t="shared" si="240"/>
        <v>0</v>
      </c>
      <c r="AB2449" s="5">
        <f t="shared" si="241"/>
        <v>0</v>
      </c>
      <c r="AC2449" s="5"/>
      <c r="AD2449" s="5">
        <v>0</v>
      </c>
      <c r="AE2449" s="5">
        <f t="shared" si="242"/>
        <v>0</v>
      </c>
      <c r="AF2449" s="70">
        <v>0</v>
      </c>
      <c r="AG2449" s="17"/>
      <c r="AH2449" s="18"/>
      <c r="AI2449" s="47" t="s">
        <v>4346</v>
      </c>
      <c r="AJ2449" s="73" t="s">
        <v>4347</v>
      </c>
      <c r="AK2449" s="45"/>
      <c r="AL2449" s="89" t="s">
        <v>2798</v>
      </c>
      <c r="AM2449" s="121" t="s">
        <v>4849</v>
      </c>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c r="BW2449" s="19"/>
      <c r="BX2449" s="19"/>
      <c r="BY2449" s="19"/>
      <c r="BZ2449" s="19"/>
      <c r="CA2449" s="19"/>
      <c r="CB2449" s="19"/>
      <c r="CC2449" s="19"/>
      <c r="CD2449" s="139"/>
      <c r="CE2449" s="138"/>
      <c r="CF2449" s="139"/>
      <c r="CG2449" s="138"/>
      <c r="CH2449" s="139"/>
      <c r="CI2449" s="138"/>
      <c r="CJ2449" s="72"/>
      <c r="CK2449" s="139"/>
      <c r="CL2449" s="71"/>
      <c r="CM2449" s="139"/>
      <c r="CN2449" s="138"/>
      <c r="CO2449" s="138"/>
      <c r="CP2449" s="138"/>
      <c r="CQ2449" s="139"/>
      <c r="CR2449" s="138"/>
      <c r="CS2449" s="45"/>
      <c r="CT2449" s="138"/>
      <c r="CU2449" s="45"/>
      <c r="CV2449" s="99">
        <f t="shared" si="243"/>
        <v>0</v>
      </c>
      <c r="CW2449" s="139"/>
      <c r="CX2449" s="138"/>
      <c r="CY2449" s="138"/>
      <c r="CZ2449" s="138"/>
      <c r="DA2449" s="139"/>
      <c r="DB2449" s="138"/>
      <c r="DC2449" s="45"/>
      <c r="DD2449" s="138"/>
      <c r="DE2449" s="45"/>
      <c r="DF2449" s="46"/>
    </row>
    <row r="2450" spans="1:110" s="42" customFormat="1" ht="48" x14ac:dyDescent="0.2">
      <c r="A2450" s="89">
        <v>40847</v>
      </c>
      <c r="B2450" s="16" t="s">
        <v>2218</v>
      </c>
      <c r="C2450" s="16" t="s">
        <v>3789</v>
      </c>
      <c r="D2450" s="90" t="s">
        <v>4264</v>
      </c>
      <c r="E2450" s="90" t="str">
        <f>VLOOKUP(B2450&amp;C2450,Divipola!$C$2:$F$1138,4,FALSE)</f>
        <v>05002</v>
      </c>
      <c r="F2450" s="4"/>
      <c r="G2450" s="208"/>
      <c r="H2450" s="208"/>
      <c r="I2450" s="208"/>
      <c r="J2450" s="208"/>
      <c r="K2450" s="208"/>
      <c r="L2450" s="208"/>
      <c r="M2450" s="208"/>
      <c r="N2450" s="208"/>
      <c r="O2450" s="208"/>
      <c r="P2450" s="208"/>
      <c r="Q2450" s="208"/>
      <c r="R2450" s="208"/>
      <c r="S2450" s="208"/>
      <c r="T2450" s="208"/>
      <c r="U2450" s="208"/>
      <c r="V2450" s="208"/>
      <c r="W2450" s="19"/>
      <c r="X2450" s="17"/>
      <c r="Y2450" s="5">
        <f t="shared" si="238"/>
        <v>0</v>
      </c>
      <c r="Z2450" s="5">
        <f t="shared" si="239"/>
        <v>0</v>
      </c>
      <c r="AA2450" s="5">
        <f t="shared" si="240"/>
        <v>0</v>
      </c>
      <c r="AB2450" s="5">
        <f t="shared" si="241"/>
        <v>0</v>
      </c>
      <c r="AC2450" s="5"/>
      <c r="AD2450" s="5">
        <v>15000000</v>
      </c>
      <c r="AE2450" s="5">
        <f t="shared" si="242"/>
        <v>15000000</v>
      </c>
      <c r="AF2450" s="70">
        <v>0</v>
      </c>
      <c r="AG2450" s="17"/>
      <c r="AH2450" s="18"/>
      <c r="AI2450" s="47" t="s">
        <v>4346</v>
      </c>
      <c r="AJ2450" s="73" t="s">
        <v>4347</v>
      </c>
      <c r="AK2450" s="45"/>
      <c r="AL2450" s="89" t="s">
        <v>2798</v>
      </c>
      <c r="AM2450" s="20" t="s">
        <v>4839</v>
      </c>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c r="BW2450" s="19"/>
      <c r="BX2450" s="19"/>
      <c r="BY2450" s="19"/>
      <c r="BZ2450" s="19"/>
      <c r="CA2450" s="19"/>
      <c r="CB2450" s="19"/>
      <c r="CC2450" s="19"/>
      <c r="CD2450" s="139"/>
      <c r="CE2450" s="138"/>
      <c r="CF2450" s="139"/>
      <c r="CG2450" s="138"/>
      <c r="CH2450" s="139"/>
      <c r="CI2450" s="138"/>
      <c r="CJ2450" s="72"/>
      <c r="CK2450" s="139"/>
      <c r="CL2450" s="71"/>
      <c r="CM2450" s="139"/>
      <c r="CN2450" s="138"/>
      <c r="CO2450" s="138"/>
      <c r="CP2450" s="138"/>
      <c r="CQ2450" s="139"/>
      <c r="CR2450" s="138"/>
      <c r="CS2450" s="45"/>
      <c r="CT2450" s="138"/>
      <c r="CU2450" s="45"/>
      <c r="CV2450" s="99">
        <f t="shared" si="243"/>
        <v>0</v>
      </c>
      <c r="CW2450" s="139"/>
      <c r="CX2450" s="138"/>
      <c r="CY2450" s="138"/>
      <c r="CZ2450" s="138"/>
      <c r="DA2450" s="139"/>
      <c r="DB2450" s="138"/>
      <c r="DC2450" s="45"/>
      <c r="DD2450" s="138"/>
      <c r="DE2450" s="45"/>
      <c r="DF2450" s="46"/>
    </row>
    <row r="2451" spans="1:110" s="42" customFormat="1" ht="84" x14ac:dyDescent="0.2">
      <c r="A2451" s="89">
        <v>40847</v>
      </c>
      <c r="B2451" s="16" t="s">
        <v>4296</v>
      </c>
      <c r="C2451" s="16" t="s">
        <v>1508</v>
      </c>
      <c r="D2451" s="90" t="s">
        <v>4264</v>
      </c>
      <c r="E2451" s="90" t="str">
        <f>VLOOKUP(B2451&amp;C2451,Divipola!$C$2:$F$1138,4,FALSE)</f>
        <v>19693</v>
      </c>
      <c r="F2451" s="4"/>
      <c r="G2451" s="208"/>
      <c r="H2451" s="208"/>
      <c r="I2451" s="208"/>
      <c r="J2451" s="208"/>
      <c r="K2451" s="208"/>
      <c r="L2451" s="208"/>
      <c r="M2451" s="208"/>
      <c r="N2451" s="208">
        <v>1</v>
      </c>
      <c r="O2451" s="208"/>
      <c r="P2451" s="208"/>
      <c r="Q2451" s="208"/>
      <c r="R2451" s="208"/>
      <c r="S2451" s="208"/>
      <c r="T2451" s="208"/>
      <c r="U2451" s="208">
        <v>1</v>
      </c>
      <c r="V2451" s="208"/>
      <c r="W2451" s="19"/>
      <c r="X2451" s="17"/>
      <c r="Y2451" s="5">
        <f t="shared" si="238"/>
        <v>0</v>
      </c>
      <c r="Z2451" s="5">
        <f t="shared" si="239"/>
        <v>0</v>
      </c>
      <c r="AA2451" s="5">
        <f t="shared" si="240"/>
        <v>0</v>
      </c>
      <c r="AB2451" s="5">
        <f t="shared" si="241"/>
        <v>0</v>
      </c>
      <c r="AC2451" s="5"/>
      <c r="AD2451" s="5">
        <v>20000000</v>
      </c>
      <c r="AE2451" s="5">
        <f t="shared" si="242"/>
        <v>20000000</v>
      </c>
      <c r="AF2451" s="70">
        <v>0</v>
      </c>
      <c r="AG2451" s="17"/>
      <c r="AH2451" s="18"/>
      <c r="AI2451" s="47" t="s">
        <v>4346</v>
      </c>
      <c r="AJ2451" s="73" t="s">
        <v>4347</v>
      </c>
      <c r="AK2451" s="45"/>
      <c r="AL2451" s="17"/>
      <c r="AM2451" s="20" t="s">
        <v>4844</v>
      </c>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c r="BW2451" s="19"/>
      <c r="BX2451" s="19"/>
      <c r="BY2451" s="19"/>
      <c r="BZ2451" s="19"/>
      <c r="CA2451" s="19"/>
      <c r="CB2451" s="19"/>
      <c r="CC2451" s="19"/>
      <c r="CD2451" s="139"/>
      <c r="CE2451" s="138"/>
      <c r="CF2451" s="139"/>
      <c r="CG2451" s="138"/>
      <c r="CH2451" s="139"/>
      <c r="CI2451" s="138"/>
      <c r="CJ2451" s="72"/>
      <c r="CK2451" s="139"/>
      <c r="CL2451" s="71"/>
      <c r="CM2451" s="139"/>
      <c r="CN2451" s="138"/>
      <c r="CO2451" s="138"/>
      <c r="CP2451" s="138"/>
      <c r="CQ2451" s="139"/>
      <c r="CR2451" s="138"/>
      <c r="CS2451" s="45"/>
      <c r="CT2451" s="138"/>
      <c r="CU2451" s="45"/>
      <c r="CV2451" s="99">
        <f t="shared" si="243"/>
        <v>0</v>
      </c>
      <c r="CW2451" s="139"/>
      <c r="CX2451" s="138"/>
      <c r="CY2451" s="138"/>
      <c r="CZ2451" s="138"/>
      <c r="DA2451" s="139"/>
      <c r="DB2451" s="138"/>
      <c r="DC2451" s="45"/>
      <c r="DD2451" s="138"/>
      <c r="DE2451" s="45"/>
      <c r="DF2451" s="46"/>
    </row>
    <row r="2452" spans="1:110" s="42" customFormat="1" ht="48" x14ac:dyDescent="0.2">
      <c r="A2452" s="89">
        <v>40847</v>
      </c>
      <c r="B2452" s="16" t="s">
        <v>4344</v>
      </c>
      <c r="C2452" s="16" t="s">
        <v>4367</v>
      </c>
      <c r="D2452" s="90" t="s">
        <v>4264</v>
      </c>
      <c r="E2452" s="90" t="str">
        <f>VLOOKUP(B2452&amp;C2452,Divipola!$C$2:$F$1138,4,FALSE)</f>
        <v>25154</v>
      </c>
      <c r="F2452" s="4"/>
      <c r="G2452" s="208"/>
      <c r="H2452" s="208"/>
      <c r="I2452" s="208"/>
      <c r="J2452" s="208"/>
      <c r="K2452" s="208"/>
      <c r="L2452" s="208"/>
      <c r="M2452" s="208"/>
      <c r="N2452" s="208"/>
      <c r="O2452" s="208"/>
      <c r="P2452" s="208"/>
      <c r="Q2452" s="208"/>
      <c r="R2452" s="208"/>
      <c r="S2452" s="208"/>
      <c r="T2452" s="208"/>
      <c r="U2452" s="208"/>
      <c r="V2452" s="208"/>
      <c r="W2452" s="19"/>
      <c r="X2452" s="17"/>
      <c r="Y2452" s="5">
        <f t="shared" si="238"/>
        <v>0</v>
      </c>
      <c r="Z2452" s="5">
        <f t="shared" si="239"/>
        <v>0</v>
      </c>
      <c r="AA2452" s="5">
        <f t="shared" si="240"/>
        <v>0</v>
      </c>
      <c r="AB2452" s="5">
        <f t="shared" si="241"/>
        <v>0</v>
      </c>
      <c r="AC2452" s="5"/>
      <c r="AD2452" s="5">
        <v>10000000</v>
      </c>
      <c r="AE2452" s="5">
        <f t="shared" si="242"/>
        <v>10000000</v>
      </c>
      <c r="AF2452" s="70">
        <v>0</v>
      </c>
      <c r="AG2452" s="17"/>
      <c r="AH2452" s="18"/>
      <c r="AI2452" s="47" t="s">
        <v>4346</v>
      </c>
      <c r="AJ2452" s="73" t="s">
        <v>4347</v>
      </c>
      <c r="AK2452" s="45"/>
      <c r="AL2452" s="17"/>
      <c r="AM2452" s="20" t="s">
        <v>4840</v>
      </c>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c r="BW2452" s="19"/>
      <c r="BX2452" s="19"/>
      <c r="BY2452" s="19"/>
      <c r="BZ2452" s="19"/>
      <c r="CA2452" s="19"/>
      <c r="CB2452" s="19"/>
      <c r="CC2452" s="19"/>
      <c r="CD2452" s="139"/>
      <c r="CE2452" s="138"/>
      <c r="CF2452" s="139"/>
      <c r="CG2452" s="138"/>
      <c r="CH2452" s="139"/>
      <c r="CI2452" s="138"/>
      <c r="CJ2452" s="72"/>
      <c r="CK2452" s="139"/>
      <c r="CL2452" s="71"/>
      <c r="CM2452" s="139"/>
      <c r="CN2452" s="138"/>
      <c r="CO2452" s="138"/>
      <c r="CP2452" s="138"/>
      <c r="CQ2452" s="139"/>
      <c r="CR2452" s="138"/>
      <c r="CS2452" s="45"/>
      <c r="CT2452" s="138"/>
      <c r="CU2452" s="45"/>
      <c r="CV2452" s="99">
        <f t="shared" si="243"/>
        <v>0</v>
      </c>
      <c r="CW2452" s="139"/>
      <c r="CX2452" s="138"/>
      <c r="CY2452" s="138"/>
      <c r="CZ2452" s="138"/>
      <c r="DA2452" s="139"/>
      <c r="DB2452" s="138"/>
      <c r="DC2452" s="45"/>
      <c r="DD2452" s="138"/>
      <c r="DE2452" s="45"/>
      <c r="DF2452" s="46"/>
    </row>
    <row r="2453" spans="1:110" s="42" customFormat="1" ht="48" x14ac:dyDescent="0.2">
      <c r="A2453" s="89">
        <v>40847</v>
      </c>
      <c r="B2453" s="151" t="s">
        <v>4219</v>
      </c>
      <c r="C2453" s="90" t="s">
        <v>63</v>
      </c>
      <c r="D2453" s="90" t="s">
        <v>4298</v>
      </c>
      <c r="E2453" s="90" t="str">
        <f>VLOOKUP(B2453&amp;C2453,Divipola!$C$2:$F$1138,4,FALSE)</f>
        <v>41524</v>
      </c>
      <c r="F2453" s="4"/>
      <c r="G2453" s="101"/>
      <c r="H2453" s="101"/>
      <c r="I2453" s="101"/>
      <c r="J2453" s="101">
        <v>5</v>
      </c>
      <c r="K2453" s="101">
        <v>1</v>
      </c>
      <c r="L2453" s="101">
        <v>1</v>
      </c>
      <c r="M2453" s="101"/>
      <c r="N2453" s="101"/>
      <c r="O2453" s="101"/>
      <c r="P2453" s="101"/>
      <c r="Q2453" s="101"/>
      <c r="R2453" s="101"/>
      <c r="S2453" s="101"/>
      <c r="T2453" s="101"/>
      <c r="U2453" s="101"/>
      <c r="V2453" s="101"/>
      <c r="W2453" s="19"/>
      <c r="X2453" s="17"/>
      <c r="Y2453" s="5">
        <f t="shared" si="238"/>
        <v>0</v>
      </c>
      <c r="Z2453" s="5">
        <f t="shared" si="239"/>
        <v>0</v>
      </c>
      <c r="AA2453" s="5">
        <f t="shared" si="240"/>
        <v>0</v>
      </c>
      <c r="AB2453" s="5">
        <f t="shared" si="241"/>
        <v>0</v>
      </c>
      <c r="AC2453" s="5"/>
      <c r="AD2453" s="5">
        <v>0</v>
      </c>
      <c r="AE2453" s="5">
        <f t="shared" si="242"/>
        <v>0</v>
      </c>
      <c r="AF2453" s="70">
        <v>0</v>
      </c>
      <c r="AG2453" s="17"/>
      <c r="AH2453" s="18"/>
      <c r="AI2453" s="47" t="s">
        <v>4336</v>
      </c>
      <c r="AJ2453" s="73" t="s">
        <v>4337</v>
      </c>
      <c r="AK2453" s="45"/>
      <c r="AL2453" s="17"/>
      <c r="AM2453" s="121" t="s">
        <v>4854</v>
      </c>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c r="BW2453" s="19"/>
      <c r="BX2453" s="19"/>
      <c r="BY2453" s="19"/>
      <c r="BZ2453" s="19"/>
      <c r="CA2453" s="19"/>
      <c r="CB2453" s="19"/>
      <c r="CC2453" s="19"/>
      <c r="CD2453" s="139"/>
      <c r="CE2453" s="138"/>
      <c r="CF2453" s="139"/>
      <c r="CG2453" s="138"/>
      <c r="CH2453" s="139"/>
      <c r="CI2453" s="138"/>
      <c r="CJ2453" s="72"/>
      <c r="CK2453" s="139"/>
      <c r="CL2453" s="71"/>
      <c r="CM2453" s="139"/>
      <c r="CN2453" s="138"/>
      <c r="CO2453" s="138"/>
      <c r="CP2453" s="138"/>
      <c r="CQ2453" s="139"/>
      <c r="CR2453" s="138"/>
      <c r="CS2453" s="45"/>
      <c r="CT2453" s="138"/>
      <c r="CU2453" s="45"/>
      <c r="CV2453" s="99">
        <f t="shared" si="243"/>
        <v>0</v>
      </c>
      <c r="CW2453" s="139"/>
      <c r="CX2453" s="138"/>
      <c r="CY2453" s="138"/>
      <c r="CZ2453" s="138"/>
      <c r="DA2453" s="139"/>
      <c r="DB2453" s="138"/>
      <c r="DC2453" s="45"/>
      <c r="DD2453" s="138"/>
      <c r="DE2453" s="45"/>
      <c r="DF2453" s="46"/>
    </row>
    <row r="2454" spans="1:110" s="42" customFormat="1" ht="132" x14ac:dyDescent="0.2">
      <c r="A2454" s="89">
        <v>40847</v>
      </c>
      <c r="B2454" s="151" t="s">
        <v>4263</v>
      </c>
      <c r="C2454" s="90" t="s">
        <v>4315</v>
      </c>
      <c r="D2454" s="90" t="s">
        <v>2362</v>
      </c>
      <c r="E2454" s="90" t="str">
        <f>VLOOKUP(B2454&amp;C2454,Divipola!$C$2:$F$1138,4,FALSE)</f>
        <v>86001</v>
      </c>
      <c r="F2454" s="4"/>
      <c r="G2454" s="101"/>
      <c r="H2454" s="101"/>
      <c r="I2454" s="101"/>
      <c r="J2454" s="101">
        <v>35</v>
      </c>
      <c r="K2454" s="101">
        <v>7</v>
      </c>
      <c r="L2454" s="101">
        <v>3</v>
      </c>
      <c r="M2454" s="101"/>
      <c r="N2454" s="101"/>
      <c r="O2454" s="101"/>
      <c r="P2454" s="101"/>
      <c r="Q2454" s="101"/>
      <c r="R2454" s="101"/>
      <c r="S2454" s="101"/>
      <c r="T2454" s="101"/>
      <c r="U2454" s="101"/>
      <c r="V2454" s="101"/>
      <c r="W2454" s="19"/>
      <c r="X2454" s="17"/>
      <c r="Y2454" s="5">
        <f t="shared" si="238"/>
        <v>0</v>
      </c>
      <c r="Z2454" s="5">
        <f t="shared" si="239"/>
        <v>0</v>
      </c>
      <c r="AA2454" s="5">
        <f t="shared" si="240"/>
        <v>0</v>
      </c>
      <c r="AB2454" s="5">
        <f t="shared" si="241"/>
        <v>0</v>
      </c>
      <c r="AC2454" s="5"/>
      <c r="AD2454" s="5">
        <v>0</v>
      </c>
      <c r="AE2454" s="5">
        <f t="shared" si="242"/>
        <v>0</v>
      </c>
      <c r="AF2454" s="70">
        <v>0</v>
      </c>
      <c r="AG2454" s="17"/>
      <c r="AH2454" s="18"/>
      <c r="AI2454" s="47" t="s">
        <v>4336</v>
      </c>
      <c r="AJ2454" s="73" t="s">
        <v>4337</v>
      </c>
      <c r="AK2454" s="45"/>
      <c r="AL2454" s="17"/>
      <c r="AM2454" s="121" t="s">
        <v>4862</v>
      </c>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39"/>
      <c r="CE2454" s="138"/>
      <c r="CF2454" s="139"/>
      <c r="CG2454" s="138"/>
      <c r="CH2454" s="139"/>
      <c r="CI2454" s="138"/>
      <c r="CJ2454" s="72"/>
      <c r="CK2454" s="139"/>
      <c r="CL2454" s="71"/>
      <c r="CM2454" s="139"/>
      <c r="CN2454" s="138"/>
      <c r="CO2454" s="138"/>
      <c r="CP2454" s="138"/>
      <c r="CQ2454" s="139"/>
      <c r="CR2454" s="138"/>
      <c r="CS2454" s="45"/>
      <c r="CT2454" s="138"/>
      <c r="CU2454" s="45"/>
      <c r="CV2454" s="99">
        <f t="shared" si="243"/>
        <v>0</v>
      </c>
      <c r="CW2454" s="139"/>
      <c r="CX2454" s="138"/>
      <c r="CY2454" s="138"/>
      <c r="CZ2454" s="138"/>
      <c r="DA2454" s="139"/>
      <c r="DB2454" s="138"/>
      <c r="DC2454" s="45"/>
      <c r="DD2454" s="138"/>
      <c r="DE2454" s="45"/>
      <c r="DF2454" s="46"/>
    </row>
    <row r="2455" spans="1:110" s="42" customFormat="1" ht="60" x14ac:dyDescent="0.2">
      <c r="A2455" s="89">
        <v>40847</v>
      </c>
      <c r="B2455" s="16" t="s">
        <v>2226</v>
      </c>
      <c r="C2455" s="16" t="s">
        <v>4254</v>
      </c>
      <c r="D2455" s="90" t="s">
        <v>4264</v>
      </c>
      <c r="E2455" s="90" t="str">
        <f>VLOOKUP(B2455&amp;C2455,Divipola!$C$2:$F$1138,4,FALSE)</f>
        <v>68705</v>
      </c>
      <c r="F2455" s="4"/>
      <c r="G2455" s="208"/>
      <c r="H2455" s="208"/>
      <c r="I2455" s="208"/>
      <c r="J2455" s="208"/>
      <c r="K2455" s="208"/>
      <c r="L2455" s="208"/>
      <c r="M2455" s="208"/>
      <c r="N2455" s="208">
        <v>1</v>
      </c>
      <c r="O2455" s="208"/>
      <c r="P2455" s="208"/>
      <c r="Q2455" s="208"/>
      <c r="R2455" s="208"/>
      <c r="S2455" s="208"/>
      <c r="T2455" s="208"/>
      <c r="U2455" s="208"/>
      <c r="V2455" s="208"/>
      <c r="W2455" s="19"/>
      <c r="X2455" s="17"/>
      <c r="Y2455" s="5">
        <f t="shared" si="238"/>
        <v>0</v>
      </c>
      <c r="Z2455" s="5">
        <f t="shared" si="239"/>
        <v>0</v>
      </c>
      <c r="AA2455" s="5">
        <f t="shared" si="240"/>
        <v>0</v>
      </c>
      <c r="AB2455" s="5">
        <f t="shared" si="241"/>
        <v>0</v>
      </c>
      <c r="AC2455" s="5"/>
      <c r="AD2455" s="5">
        <v>20000000</v>
      </c>
      <c r="AE2455" s="5">
        <f t="shared" si="242"/>
        <v>20000000</v>
      </c>
      <c r="AF2455" s="70">
        <v>0</v>
      </c>
      <c r="AG2455" s="17"/>
      <c r="AH2455" s="18"/>
      <c r="AI2455" s="47" t="s">
        <v>4346</v>
      </c>
      <c r="AJ2455" s="73" t="s">
        <v>4347</v>
      </c>
      <c r="AK2455" s="45"/>
      <c r="AL2455" s="17"/>
      <c r="AM2455" s="20" t="s">
        <v>4838</v>
      </c>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c r="BW2455" s="19"/>
      <c r="BX2455" s="19"/>
      <c r="BY2455" s="19"/>
      <c r="BZ2455" s="19"/>
      <c r="CA2455" s="19"/>
      <c r="CB2455" s="19"/>
      <c r="CC2455" s="19"/>
      <c r="CD2455" s="139"/>
      <c r="CE2455" s="138"/>
      <c r="CF2455" s="139"/>
      <c r="CG2455" s="138"/>
      <c r="CH2455" s="139"/>
      <c r="CI2455" s="138"/>
      <c r="CJ2455" s="72"/>
      <c r="CK2455" s="139"/>
      <c r="CL2455" s="71"/>
      <c r="CM2455" s="139"/>
      <c r="CN2455" s="138"/>
      <c r="CO2455" s="138"/>
      <c r="CP2455" s="138"/>
      <c r="CQ2455" s="139"/>
      <c r="CR2455" s="138"/>
      <c r="CS2455" s="45"/>
      <c r="CT2455" s="138"/>
      <c r="CU2455" s="45"/>
      <c r="CV2455" s="99">
        <f t="shared" si="243"/>
        <v>0</v>
      </c>
      <c r="CW2455" s="139"/>
      <c r="CX2455" s="138"/>
      <c r="CY2455" s="138"/>
      <c r="CZ2455" s="138"/>
      <c r="DA2455" s="139"/>
      <c r="DB2455" s="138"/>
      <c r="DC2455" s="45"/>
      <c r="DD2455" s="138"/>
      <c r="DE2455" s="45"/>
      <c r="DF2455" s="46"/>
    </row>
    <row r="2456" spans="1:110" s="42" customFormat="1" ht="48" x14ac:dyDescent="0.2">
      <c r="A2456" s="89">
        <v>40848</v>
      </c>
      <c r="B2456" s="16" t="s">
        <v>4344</v>
      </c>
      <c r="C2456" s="16" t="s">
        <v>1792</v>
      </c>
      <c r="D2456" s="90" t="s">
        <v>4264</v>
      </c>
      <c r="E2456" s="90" t="str">
        <f>VLOOKUP(B2456&amp;C2456,Divipola!$C$2:$F$1138,4,FALSE)</f>
        <v>25662</v>
      </c>
      <c r="F2456" s="4"/>
      <c r="G2456" s="208"/>
      <c r="H2456" s="208"/>
      <c r="I2456" s="208"/>
      <c r="J2456" s="208"/>
      <c r="K2456" s="208"/>
      <c r="L2456" s="208"/>
      <c r="M2456" s="208"/>
      <c r="N2456" s="208"/>
      <c r="O2456" s="208"/>
      <c r="P2456" s="208"/>
      <c r="Q2456" s="208"/>
      <c r="R2456" s="208"/>
      <c r="S2456" s="208"/>
      <c r="T2456" s="208"/>
      <c r="U2456" s="208"/>
      <c r="V2456" s="208"/>
      <c r="W2456" s="19"/>
      <c r="X2456" s="17"/>
      <c r="Y2456" s="5">
        <f t="shared" si="238"/>
        <v>0</v>
      </c>
      <c r="Z2456" s="5">
        <f t="shared" si="239"/>
        <v>0</v>
      </c>
      <c r="AA2456" s="5">
        <f t="shared" si="240"/>
        <v>0</v>
      </c>
      <c r="AB2456" s="5">
        <f t="shared" si="241"/>
        <v>0</v>
      </c>
      <c r="AC2456" s="5"/>
      <c r="AD2456" s="5">
        <v>50000000</v>
      </c>
      <c r="AE2456" s="5">
        <f t="shared" si="242"/>
        <v>50000000</v>
      </c>
      <c r="AF2456" s="70">
        <v>0</v>
      </c>
      <c r="AG2456" s="17"/>
      <c r="AH2456" s="18"/>
      <c r="AI2456" s="47" t="s">
        <v>4346</v>
      </c>
      <c r="AJ2456" s="73" t="s">
        <v>4347</v>
      </c>
      <c r="AK2456" s="45"/>
      <c r="AL2456" s="17"/>
      <c r="AM2456" s="20" t="s">
        <v>4859</v>
      </c>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c r="BW2456" s="19"/>
      <c r="BX2456" s="19"/>
      <c r="BY2456" s="19"/>
      <c r="BZ2456" s="19"/>
      <c r="CA2456" s="19"/>
      <c r="CB2456" s="19"/>
      <c r="CC2456" s="19"/>
      <c r="CD2456" s="139"/>
      <c r="CE2456" s="138"/>
      <c r="CF2456" s="139"/>
      <c r="CG2456" s="138"/>
      <c r="CH2456" s="139"/>
      <c r="CI2456" s="138"/>
      <c r="CJ2456" s="72"/>
      <c r="CK2456" s="139"/>
      <c r="CL2456" s="71"/>
      <c r="CM2456" s="139"/>
      <c r="CN2456" s="138"/>
      <c r="CO2456" s="138"/>
      <c r="CP2456" s="138"/>
      <c r="CQ2456" s="139"/>
      <c r="CR2456" s="138"/>
      <c r="CS2456" s="45"/>
      <c r="CT2456" s="138"/>
      <c r="CU2456" s="45"/>
      <c r="CV2456" s="99">
        <f t="shared" si="243"/>
        <v>0</v>
      </c>
      <c r="CW2456" s="139"/>
      <c r="CX2456" s="138"/>
      <c r="CY2456" s="138"/>
      <c r="CZ2456" s="138"/>
      <c r="DA2456" s="139"/>
      <c r="DB2456" s="138"/>
      <c r="DC2456" s="45"/>
      <c r="DD2456" s="138"/>
      <c r="DE2456" s="45"/>
      <c r="DF2456" s="46"/>
    </row>
    <row r="2457" spans="1:110" s="42" customFormat="1" ht="48" x14ac:dyDescent="0.2">
      <c r="A2457" s="89">
        <v>40848</v>
      </c>
      <c r="B2457" s="151" t="s">
        <v>860</v>
      </c>
      <c r="C2457" s="90" t="s">
        <v>2859</v>
      </c>
      <c r="D2457" s="90" t="s">
        <v>4298</v>
      </c>
      <c r="E2457" s="90" t="str">
        <f>VLOOKUP(B2457&amp;C2457,Divipola!$C$2:$F$1138,4,FALSE)</f>
        <v>50001</v>
      </c>
      <c r="F2457" s="4"/>
      <c r="G2457" s="101"/>
      <c r="H2457" s="101"/>
      <c r="I2457" s="101"/>
      <c r="J2457" s="101"/>
      <c r="K2457" s="101"/>
      <c r="L2457" s="101"/>
      <c r="M2457" s="101">
        <v>1</v>
      </c>
      <c r="N2457" s="101"/>
      <c r="O2457" s="101"/>
      <c r="P2457" s="101"/>
      <c r="Q2457" s="101"/>
      <c r="R2457" s="101"/>
      <c r="S2457" s="101"/>
      <c r="T2457" s="101"/>
      <c r="U2457" s="101"/>
      <c r="V2457" s="101"/>
      <c r="W2457" s="19"/>
      <c r="X2457" s="17"/>
      <c r="Y2457" s="5">
        <f t="shared" si="238"/>
        <v>0</v>
      </c>
      <c r="Z2457" s="5">
        <f t="shared" si="239"/>
        <v>0</v>
      </c>
      <c r="AA2457" s="5">
        <f t="shared" si="240"/>
        <v>0</v>
      </c>
      <c r="AB2457" s="5">
        <f t="shared" si="241"/>
        <v>0</v>
      </c>
      <c r="AC2457" s="5"/>
      <c r="AD2457" s="5">
        <v>0</v>
      </c>
      <c r="AE2457" s="5">
        <f t="shared" si="242"/>
        <v>0</v>
      </c>
      <c r="AF2457" s="70">
        <v>0</v>
      </c>
      <c r="AG2457" s="17"/>
      <c r="AH2457" s="18"/>
      <c r="AI2457" s="47" t="s">
        <v>4336</v>
      </c>
      <c r="AJ2457" s="73" t="s">
        <v>4337</v>
      </c>
      <c r="AK2457" s="45"/>
      <c r="AL2457" s="17"/>
      <c r="AM2457" s="121" t="s">
        <v>4860</v>
      </c>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19"/>
      <c r="BW2457" s="19"/>
      <c r="BX2457" s="19"/>
      <c r="BY2457" s="19"/>
      <c r="BZ2457" s="19"/>
      <c r="CA2457" s="19"/>
      <c r="CB2457" s="19"/>
      <c r="CC2457" s="19"/>
      <c r="CD2457" s="139"/>
      <c r="CE2457" s="138"/>
      <c r="CF2457" s="139"/>
      <c r="CG2457" s="138"/>
      <c r="CH2457" s="139"/>
      <c r="CI2457" s="138"/>
      <c r="CJ2457" s="72"/>
      <c r="CK2457" s="139"/>
      <c r="CL2457" s="71"/>
      <c r="CM2457" s="139"/>
      <c r="CN2457" s="138"/>
      <c r="CO2457" s="138"/>
      <c r="CP2457" s="138"/>
      <c r="CQ2457" s="139"/>
      <c r="CR2457" s="138"/>
      <c r="CS2457" s="45"/>
      <c r="CT2457" s="138"/>
      <c r="CU2457" s="45"/>
      <c r="CV2457" s="99">
        <f t="shared" si="243"/>
        <v>0</v>
      </c>
      <c r="CW2457" s="139"/>
      <c r="CX2457" s="138"/>
      <c r="CY2457" s="138"/>
      <c r="CZ2457" s="138"/>
      <c r="DA2457" s="139"/>
      <c r="DB2457" s="138"/>
      <c r="DC2457" s="45"/>
      <c r="DD2457" s="138"/>
      <c r="DE2457" s="45"/>
      <c r="DF2457" s="46"/>
    </row>
    <row r="2458" spans="1:110" s="42" customFormat="1" ht="36" x14ac:dyDescent="0.2">
      <c r="A2458" s="89">
        <v>40848</v>
      </c>
      <c r="B2458" s="151" t="s">
        <v>4263</v>
      </c>
      <c r="C2458" s="90" t="s">
        <v>4315</v>
      </c>
      <c r="D2458" s="90" t="s">
        <v>3346</v>
      </c>
      <c r="E2458" s="90" t="str">
        <f>VLOOKUP(B2458&amp;C2458,Divipola!$C$2:$F$1138,4,FALSE)</f>
        <v>86001</v>
      </c>
      <c r="F2458" s="4"/>
      <c r="G2458" s="101"/>
      <c r="H2458" s="101"/>
      <c r="I2458" s="101"/>
      <c r="J2458" s="101">
        <v>20</v>
      </c>
      <c r="K2458" s="101">
        <v>4</v>
      </c>
      <c r="L2458" s="101"/>
      <c r="M2458" s="101">
        <v>4</v>
      </c>
      <c r="N2458" s="101"/>
      <c r="O2458" s="101"/>
      <c r="P2458" s="101"/>
      <c r="Q2458" s="101"/>
      <c r="R2458" s="101"/>
      <c r="S2458" s="101"/>
      <c r="T2458" s="101"/>
      <c r="U2458" s="101"/>
      <c r="V2458" s="101"/>
      <c r="W2458" s="19"/>
      <c r="X2458" s="17"/>
      <c r="Y2458" s="5">
        <f t="shared" si="238"/>
        <v>0</v>
      </c>
      <c r="Z2458" s="5">
        <f t="shared" si="239"/>
        <v>0</v>
      </c>
      <c r="AA2458" s="5">
        <f t="shared" si="240"/>
        <v>0</v>
      </c>
      <c r="AB2458" s="5">
        <f t="shared" si="241"/>
        <v>0</v>
      </c>
      <c r="AC2458" s="5"/>
      <c r="AD2458" s="5">
        <v>0</v>
      </c>
      <c r="AE2458" s="5">
        <f t="shared" si="242"/>
        <v>0</v>
      </c>
      <c r="AF2458" s="70">
        <v>0</v>
      </c>
      <c r="AG2458" s="17"/>
      <c r="AH2458" s="18"/>
      <c r="AI2458" s="47" t="s">
        <v>4336</v>
      </c>
      <c r="AJ2458" s="73" t="s">
        <v>4337</v>
      </c>
      <c r="AK2458" s="45"/>
      <c r="AL2458" s="17"/>
      <c r="AM2458" s="121" t="s">
        <v>4861</v>
      </c>
      <c r="AN2458" s="19"/>
      <c r="AO2458" s="19"/>
      <c r="AP2458" s="19"/>
      <c r="AQ2458" s="19"/>
      <c r="AR2458" s="19"/>
      <c r="AS2458" s="19"/>
      <c r="AT2458" s="19"/>
      <c r="AU2458" s="19"/>
      <c r="AV2458" s="19"/>
      <c r="AW2458" s="19"/>
      <c r="AX2458" s="19"/>
      <c r="AY2458" s="19"/>
      <c r="AZ2458" s="19"/>
      <c r="BA2458" s="19"/>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19"/>
      <c r="BW2458" s="19"/>
      <c r="BX2458" s="19"/>
      <c r="BY2458" s="19"/>
      <c r="BZ2458" s="19"/>
      <c r="CA2458" s="19"/>
      <c r="CB2458" s="19"/>
      <c r="CC2458" s="19"/>
      <c r="CD2458" s="139"/>
      <c r="CE2458" s="138"/>
      <c r="CF2458" s="139"/>
      <c r="CG2458" s="138"/>
      <c r="CH2458" s="139"/>
      <c r="CI2458" s="138"/>
      <c r="CJ2458" s="72"/>
      <c r="CK2458" s="139"/>
      <c r="CL2458" s="71"/>
      <c r="CM2458" s="139"/>
      <c r="CN2458" s="138"/>
      <c r="CO2458" s="138"/>
      <c r="CP2458" s="138"/>
      <c r="CQ2458" s="139"/>
      <c r="CR2458" s="138"/>
      <c r="CS2458" s="45"/>
      <c r="CT2458" s="138"/>
      <c r="CU2458" s="45"/>
      <c r="CV2458" s="99">
        <f t="shared" si="243"/>
        <v>0</v>
      </c>
      <c r="CW2458" s="139"/>
      <c r="CX2458" s="138"/>
      <c r="CY2458" s="138"/>
      <c r="CZ2458" s="138"/>
      <c r="DA2458" s="139"/>
      <c r="DB2458" s="138"/>
      <c r="DC2458" s="45"/>
      <c r="DD2458" s="138"/>
      <c r="DE2458" s="45"/>
      <c r="DF2458" s="46"/>
    </row>
    <row r="2459" spans="1:110" s="42" customFormat="1" x14ac:dyDescent="0.2">
      <c r="A2459" s="89">
        <v>40848</v>
      </c>
      <c r="B2459" s="16" t="s">
        <v>3316</v>
      </c>
      <c r="C2459" s="16" t="s">
        <v>4345</v>
      </c>
      <c r="D2459" s="90" t="s">
        <v>4264</v>
      </c>
      <c r="E2459" s="90">
        <f>VLOOKUP(B2459&amp;C2459,Divipola!$C$2:$F$1138,4,FALSE)</f>
        <v>73</v>
      </c>
      <c r="F2459" s="4"/>
      <c r="G2459" s="208"/>
      <c r="H2459" s="208"/>
      <c r="I2459" s="208"/>
      <c r="J2459" s="208"/>
      <c r="K2459" s="208"/>
      <c r="L2459" s="208"/>
      <c r="M2459" s="208"/>
      <c r="N2459" s="208"/>
      <c r="O2459" s="208"/>
      <c r="P2459" s="208"/>
      <c r="Q2459" s="208"/>
      <c r="R2459" s="208"/>
      <c r="S2459" s="208"/>
      <c r="T2459" s="208"/>
      <c r="U2459" s="208"/>
      <c r="V2459" s="208"/>
      <c r="W2459" s="19"/>
      <c r="X2459" s="17"/>
      <c r="Y2459" s="5">
        <f t="shared" si="238"/>
        <v>154200000</v>
      </c>
      <c r="Z2459" s="5">
        <f t="shared" si="239"/>
        <v>85000000</v>
      </c>
      <c r="AA2459" s="5">
        <f t="shared" si="240"/>
        <v>33750000</v>
      </c>
      <c r="AB2459" s="5">
        <f t="shared" si="241"/>
        <v>0</v>
      </c>
      <c r="AC2459" s="5"/>
      <c r="AD2459" s="5">
        <v>0</v>
      </c>
      <c r="AE2459" s="5">
        <f t="shared" si="242"/>
        <v>272950000</v>
      </c>
      <c r="AF2459" s="70">
        <v>0</v>
      </c>
      <c r="AG2459" s="17"/>
      <c r="AH2459" s="18"/>
      <c r="AI2459" s="47" t="s">
        <v>4346</v>
      </c>
      <c r="AJ2459" s="73" t="s">
        <v>4347</v>
      </c>
      <c r="AK2459" s="45"/>
      <c r="AL2459" s="17"/>
      <c r="AM2459" s="20" t="s">
        <v>2823</v>
      </c>
      <c r="AN2459" s="19"/>
      <c r="AO2459" s="19"/>
      <c r="AP2459" s="19"/>
      <c r="AQ2459" s="19"/>
      <c r="AR2459" s="19"/>
      <c r="AS2459" s="19"/>
      <c r="AT2459" s="19"/>
      <c r="AU2459" s="19"/>
      <c r="AV2459" s="19"/>
      <c r="AW2459" s="19"/>
      <c r="AX2459" s="19"/>
      <c r="AY2459" s="19"/>
      <c r="AZ2459" s="19">
        <v>1000</v>
      </c>
      <c r="BA2459" s="19">
        <f>1000*56000</f>
        <v>56000000</v>
      </c>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19"/>
      <c r="BW2459" s="19"/>
      <c r="BX2459" s="19"/>
      <c r="BY2459" s="19"/>
      <c r="BZ2459" s="19"/>
      <c r="CA2459" s="19"/>
      <c r="CB2459" s="19"/>
      <c r="CC2459" s="19"/>
      <c r="CD2459" s="139"/>
      <c r="CE2459" s="138"/>
      <c r="CF2459" s="139"/>
      <c r="CG2459" s="138"/>
      <c r="CH2459" s="139"/>
      <c r="CI2459" s="138"/>
      <c r="CJ2459" s="72">
        <v>1000</v>
      </c>
      <c r="CK2459" s="139">
        <f>1000*21500</f>
        <v>21500000</v>
      </c>
      <c r="CL2459" s="71"/>
      <c r="CM2459" s="139"/>
      <c r="CN2459" s="138"/>
      <c r="CO2459" s="138"/>
      <c r="CP2459" s="138">
        <v>1000</v>
      </c>
      <c r="CQ2459" s="139">
        <f>1000*37000</f>
        <v>37000000</v>
      </c>
      <c r="CR2459" s="138">
        <v>1000</v>
      </c>
      <c r="CS2459" s="45">
        <f>1000*39700</f>
        <v>39700000</v>
      </c>
      <c r="CT2459" s="138"/>
      <c r="CU2459" s="45"/>
      <c r="CV2459" s="99">
        <f t="shared" si="243"/>
        <v>154200000</v>
      </c>
      <c r="CW2459" s="139"/>
      <c r="CX2459" s="138"/>
      <c r="CY2459" s="138">
        <v>1000</v>
      </c>
      <c r="CZ2459" s="138">
        <f>1000*85000</f>
        <v>85000000</v>
      </c>
      <c r="DA2459" s="139"/>
      <c r="DB2459" s="138"/>
      <c r="DC2459" s="45">
        <v>1500</v>
      </c>
      <c r="DD2459" s="138">
        <f>1500*22500</f>
        <v>33750000</v>
      </c>
      <c r="DE2459" s="45"/>
      <c r="DF2459" s="46"/>
    </row>
    <row r="2460" spans="1:110" s="42" customFormat="1" ht="48" x14ac:dyDescent="0.2">
      <c r="A2460" s="89">
        <v>40848</v>
      </c>
      <c r="B2460" s="151" t="s">
        <v>4348</v>
      </c>
      <c r="C2460" s="90" t="s">
        <v>3303</v>
      </c>
      <c r="D2460" s="90" t="s">
        <v>2362</v>
      </c>
      <c r="E2460" s="90" t="str">
        <f>VLOOKUP(B2460&amp;C2460,Divipola!$C$2:$F$1138,4,FALSE)</f>
        <v>66456</v>
      </c>
      <c r="F2460" s="4"/>
      <c r="G2460" s="101"/>
      <c r="H2460" s="101"/>
      <c r="I2460" s="101"/>
      <c r="J2460" s="101">
        <v>10</v>
      </c>
      <c r="K2460" s="101">
        <v>2</v>
      </c>
      <c r="L2460" s="101"/>
      <c r="M2460" s="101">
        <v>2</v>
      </c>
      <c r="N2460" s="101">
        <v>3</v>
      </c>
      <c r="O2460" s="101"/>
      <c r="P2460" s="101"/>
      <c r="Q2460" s="101"/>
      <c r="R2460" s="101"/>
      <c r="S2460" s="101"/>
      <c r="T2460" s="101"/>
      <c r="U2460" s="101"/>
      <c r="V2460" s="101"/>
      <c r="W2460" s="19"/>
      <c r="X2460" s="17"/>
      <c r="Y2460" s="5">
        <f t="shared" si="238"/>
        <v>0</v>
      </c>
      <c r="Z2460" s="5">
        <f t="shared" si="239"/>
        <v>0</v>
      </c>
      <c r="AA2460" s="5">
        <f t="shared" si="240"/>
        <v>0</v>
      </c>
      <c r="AB2460" s="5">
        <f t="shared" si="241"/>
        <v>0</v>
      </c>
      <c r="AC2460" s="5"/>
      <c r="AD2460" s="5">
        <v>0</v>
      </c>
      <c r="AE2460" s="5">
        <f t="shared" si="242"/>
        <v>0</v>
      </c>
      <c r="AF2460" s="70">
        <v>0</v>
      </c>
      <c r="AG2460" s="17"/>
      <c r="AH2460" s="18"/>
      <c r="AI2460" s="47" t="s">
        <v>4346</v>
      </c>
      <c r="AJ2460" s="73" t="s">
        <v>4347</v>
      </c>
      <c r="AK2460" s="45"/>
      <c r="AL2460" s="89" t="s">
        <v>2798</v>
      </c>
      <c r="AM2460" s="121" t="s">
        <v>5362</v>
      </c>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c r="BW2460" s="19"/>
      <c r="BX2460" s="19"/>
      <c r="BY2460" s="19"/>
      <c r="BZ2460" s="19"/>
      <c r="CA2460" s="19"/>
      <c r="CB2460" s="19"/>
      <c r="CC2460" s="19"/>
      <c r="CD2460" s="139"/>
      <c r="CE2460" s="138"/>
      <c r="CF2460" s="139"/>
      <c r="CG2460" s="138"/>
      <c r="CH2460" s="139"/>
      <c r="CI2460" s="138"/>
      <c r="CJ2460" s="72"/>
      <c r="CK2460" s="139"/>
      <c r="CL2460" s="71"/>
      <c r="CM2460" s="139"/>
      <c r="CN2460" s="138"/>
      <c r="CO2460" s="138"/>
      <c r="CP2460" s="138"/>
      <c r="CQ2460" s="139"/>
      <c r="CR2460" s="138"/>
      <c r="CS2460" s="45"/>
      <c r="CT2460" s="138"/>
      <c r="CU2460" s="45"/>
      <c r="CV2460" s="99">
        <f t="shared" si="243"/>
        <v>0</v>
      </c>
      <c r="CW2460" s="139"/>
      <c r="CX2460" s="138"/>
      <c r="CY2460" s="138"/>
      <c r="CZ2460" s="138"/>
      <c r="DA2460" s="139"/>
      <c r="DB2460" s="138"/>
      <c r="DC2460" s="45"/>
      <c r="DD2460" s="138"/>
      <c r="DE2460" s="45"/>
      <c r="DF2460" s="46"/>
    </row>
    <row r="2461" spans="1:110" s="42" customFormat="1" ht="36" x14ac:dyDescent="0.2">
      <c r="A2461" s="89">
        <v>40849</v>
      </c>
      <c r="B2461" s="16" t="s">
        <v>2218</v>
      </c>
      <c r="C2461" s="16" t="s">
        <v>3386</v>
      </c>
      <c r="D2461" s="90" t="s">
        <v>4264</v>
      </c>
      <c r="E2461" s="90" t="str">
        <f>VLOOKUP(B2461&amp;C2461,Divipola!$C$2:$F$1138,4,FALSE)</f>
        <v>05034</v>
      </c>
      <c r="F2461" s="4"/>
      <c r="G2461" s="208"/>
      <c r="H2461" s="208"/>
      <c r="I2461" s="208"/>
      <c r="J2461" s="208"/>
      <c r="K2461" s="208"/>
      <c r="L2461" s="208"/>
      <c r="M2461" s="208"/>
      <c r="N2461" s="208"/>
      <c r="O2461" s="208"/>
      <c r="P2461" s="208"/>
      <c r="Q2461" s="208"/>
      <c r="R2461" s="208"/>
      <c r="S2461" s="208"/>
      <c r="T2461" s="208"/>
      <c r="U2461" s="208"/>
      <c r="V2461" s="208"/>
      <c r="W2461" s="19"/>
      <c r="X2461" s="17"/>
      <c r="Y2461" s="5">
        <f t="shared" si="238"/>
        <v>0</v>
      </c>
      <c r="Z2461" s="5">
        <f t="shared" si="239"/>
        <v>0</v>
      </c>
      <c r="AA2461" s="5">
        <f t="shared" si="240"/>
        <v>0</v>
      </c>
      <c r="AB2461" s="5">
        <f t="shared" si="241"/>
        <v>0</v>
      </c>
      <c r="AC2461" s="5"/>
      <c r="AD2461" s="5">
        <v>20000000</v>
      </c>
      <c r="AE2461" s="5">
        <f t="shared" si="242"/>
        <v>20000000</v>
      </c>
      <c r="AF2461" s="70">
        <v>0</v>
      </c>
      <c r="AG2461" s="17"/>
      <c r="AH2461" s="18"/>
      <c r="AI2461" s="47" t="s">
        <v>4346</v>
      </c>
      <c r="AJ2461" s="73" t="s">
        <v>4347</v>
      </c>
      <c r="AK2461" s="45"/>
      <c r="AL2461" s="17"/>
      <c r="AM2461" s="20" t="s">
        <v>4858</v>
      </c>
      <c r="AN2461" s="19"/>
      <c r="AO2461" s="19"/>
      <c r="AP2461" s="19"/>
      <c r="AQ2461" s="19"/>
      <c r="AR2461" s="19"/>
      <c r="AS2461" s="19"/>
      <c r="AT2461" s="19"/>
      <c r="AU2461" s="19"/>
      <c r="AV2461" s="19"/>
      <c r="AW2461" s="19"/>
      <c r="AX2461" s="19"/>
      <c r="AY2461" s="19"/>
      <c r="AZ2461" s="19"/>
      <c r="BA2461" s="19"/>
      <c r="BB2461" s="19"/>
      <c r="BC2461" s="19"/>
      <c r="BD2461" s="19"/>
      <c r="BE2461" s="19"/>
      <c r="BF2461" s="19"/>
      <c r="BG2461" s="19"/>
      <c r="BH2461" s="19"/>
      <c r="BI2461" s="19"/>
      <c r="BJ2461" s="19"/>
      <c r="BK2461" s="19"/>
      <c r="BL2461" s="19"/>
      <c r="BM2461" s="19"/>
      <c r="BN2461" s="19"/>
      <c r="BO2461" s="19"/>
      <c r="BP2461" s="19"/>
      <c r="BQ2461" s="19"/>
      <c r="BR2461" s="19"/>
      <c r="BS2461" s="19"/>
      <c r="BT2461" s="19"/>
      <c r="BU2461" s="19"/>
      <c r="BV2461" s="19"/>
      <c r="BW2461" s="19"/>
      <c r="BX2461" s="19"/>
      <c r="BY2461" s="19"/>
      <c r="BZ2461" s="19"/>
      <c r="CA2461" s="19"/>
      <c r="CB2461" s="19"/>
      <c r="CC2461" s="19"/>
      <c r="CD2461" s="139"/>
      <c r="CE2461" s="138"/>
      <c r="CF2461" s="139"/>
      <c r="CG2461" s="138"/>
      <c r="CH2461" s="139"/>
      <c r="CI2461" s="138"/>
      <c r="CJ2461" s="72"/>
      <c r="CK2461" s="139"/>
      <c r="CL2461" s="71"/>
      <c r="CM2461" s="139"/>
      <c r="CN2461" s="138"/>
      <c r="CO2461" s="138"/>
      <c r="CP2461" s="138"/>
      <c r="CQ2461" s="139"/>
      <c r="CR2461" s="138"/>
      <c r="CS2461" s="45"/>
      <c r="CT2461" s="138"/>
      <c r="CU2461" s="45"/>
      <c r="CV2461" s="99">
        <f t="shared" si="243"/>
        <v>0</v>
      </c>
      <c r="CW2461" s="139"/>
      <c r="CX2461" s="138"/>
      <c r="CY2461" s="138"/>
      <c r="CZ2461" s="138"/>
      <c r="DA2461" s="139"/>
      <c r="DB2461" s="138"/>
      <c r="DC2461" s="45"/>
      <c r="DD2461" s="138"/>
      <c r="DE2461" s="45"/>
      <c r="DF2461" s="46"/>
    </row>
    <row r="2462" spans="1:110" s="42" customFormat="1" ht="36" x14ac:dyDescent="0.2">
      <c r="A2462" s="89">
        <v>40849</v>
      </c>
      <c r="B2462" s="16" t="s">
        <v>4326</v>
      </c>
      <c r="C2462" s="16" t="s">
        <v>4345</v>
      </c>
      <c r="D2462" s="90" t="s">
        <v>4264</v>
      </c>
      <c r="E2462" s="90">
        <f>VLOOKUP(B2462&amp;C2462,Divipola!$C$2:$F$1138,4,FALSE)</f>
        <v>8</v>
      </c>
      <c r="F2462" s="4"/>
      <c r="G2462" s="208"/>
      <c r="H2462" s="208"/>
      <c r="I2462" s="208"/>
      <c r="J2462" s="208"/>
      <c r="K2462" s="208"/>
      <c r="L2462" s="208"/>
      <c r="M2462" s="208"/>
      <c r="N2462" s="208"/>
      <c r="O2462" s="208"/>
      <c r="P2462" s="208"/>
      <c r="Q2462" s="208"/>
      <c r="R2462" s="208"/>
      <c r="S2462" s="208"/>
      <c r="T2462" s="208"/>
      <c r="U2462" s="208"/>
      <c r="V2462" s="208"/>
      <c r="W2462" s="19"/>
      <c r="X2462" s="17"/>
      <c r="Y2462" s="5">
        <f t="shared" si="238"/>
        <v>111190000</v>
      </c>
      <c r="Z2462" s="5">
        <f t="shared" si="239"/>
        <v>59500000</v>
      </c>
      <c r="AA2462" s="5">
        <f t="shared" si="240"/>
        <v>0</v>
      </c>
      <c r="AB2462" s="5">
        <f t="shared" si="241"/>
        <v>0</v>
      </c>
      <c r="AC2462" s="5"/>
      <c r="AD2462" s="5">
        <v>0</v>
      </c>
      <c r="AE2462" s="5">
        <f t="shared" si="242"/>
        <v>170690000</v>
      </c>
      <c r="AF2462" s="70">
        <v>0</v>
      </c>
      <c r="AG2462" s="17"/>
      <c r="AH2462" s="18"/>
      <c r="AI2462" s="47" t="s">
        <v>4346</v>
      </c>
      <c r="AJ2462" s="73" t="s">
        <v>4347</v>
      </c>
      <c r="AK2462" s="45"/>
      <c r="AL2462" s="17"/>
      <c r="AM2462" s="20" t="s">
        <v>4880</v>
      </c>
      <c r="AN2462" s="19"/>
      <c r="AO2462" s="19"/>
      <c r="AP2462" s="19"/>
      <c r="AQ2462" s="19"/>
      <c r="AR2462" s="19"/>
      <c r="AS2462" s="19"/>
      <c r="AT2462" s="19"/>
      <c r="AU2462" s="19"/>
      <c r="AV2462" s="19"/>
      <c r="AW2462" s="19"/>
      <c r="AX2462" s="19"/>
      <c r="AY2462" s="19"/>
      <c r="AZ2462" s="19">
        <v>400</v>
      </c>
      <c r="BA2462" s="19">
        <f>400*56000</f>
        <v>22400000</v>
      </c>
      <c r="BB2462" s="19">
        <v>300</v>
      </c>
      <c r="BC2462" s="19">
        <f>300*75000</f>
        <v>22500000</v>
      </c>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39"/>
      <c r="CE2462" s="138"/>
      <c r="CF2462" s="139"/>
      <c r="CG2462" s="138"/>
      <c r="CH2462" s="139">
        <v>700</v>
      </c>
      <c r="CI2462" s="138">
        <f>700*18000</f>
        <v>12600000</v>
      </c>
      <c r="CJ2462" s="72"/>
      <c r="CK2462" s="139"/>
      <c r="CL2462" s="71"/>
      <c r="CM2462" s="139"/>
      <c r="CN2462" s="138"/>
      <c r="CO2462" s="138"/>
      <c r="CP2462" s="138">
        <v>700</v>
      </c>
      <c r="CQ2462" s="139">
        <f>700*37000</f>
        <v>25900000</v>
      </c>
      <c r="CR2462" s="138">
        <v>700</v>
      </c>
      <c r="CS2462" s="45">
        <f>700*39700</f>
        <v>27790000</v>
      </c>
      <c r="CT2462" s="138"/>
      <c r="CU2462" s="45"/>
      <c r="CV2462" s="99">
        <f t="shared" si="243"/>
        <v>111190000</v>
      </c>
      <c r="CW2462" s="139"/>
      <c r="CX2462" s="138"/>
      <c r="CY2462" s="138">
        <v>700</v>
      </c>
      <c r="CZ2462" s="138">
        <f>700*85000</f>
        <v>59500000</v>
      </c>
      <c r="DA2462" s="139"/>
      <c r="DB2462" s="138"/>
      <c r="DC2462" s="45"/>
      <c r="DD2462" s="138"/>
      <c r="DE2462" s="45"/>
      <c r="DF2462" s="46"/>
    </row>
    <row r="2463" spans="1:110" s="42" customFormat="1" ht="72" x14ac:dyDescent="0.2">
      <c r="A2463" s="89">
        <v>40849</v>
      </c>
      <c r="B2463" s="196" t="s">
        <v>4261</v>
      </c>
      <c r="C2463" s="197" t="s">
        <v>2863</v>
      </c>
      <c r="D2463" s="90" t="s">
        <v>4264</v>
      </c>
      <c r="E2463" s="90" t="str">
        <f>VLOOKUP(B2463&amp;C2463,Divipola!$C$2:$F$1138,4,FALSE)</f>
        <v>15238</v>
      </c>
      <c r="F2463" s="4"/>
      <c r="G2463" s="194"/>
      <c r="H2463" s="194"/>
      <c r="I2463" s="194"/>
      <c r="J2463" s="194">
        <v>225</v>
      </c>
      <c r="K2463" s="194">
        <v>45</v>
      </c>
      <c r="L2463" s="194"/>
      <c r="M2463" s="194">
        <v>45</v>
      </c>
      <c r="N2463" s="194"/>
      <c r="O2463" s="194"/>
      <c r="P2463" s="194"/>
      <c r="Q2463" s="194"/>
      <c r="R2463" s="194">
        <v>1</v>
      </c>
      <c r="S2463" s="194"/>
      <c r="T2463" s="194"/>
      <c r="U2463" s="194"/>
      <c r="V2463" s="194"/>
      <c r="W2463" s="19"/>
      <c r="X2463" s="17"/>
      <c r="Y2463" s="5">
        <f t="shared" si="238"/>
        <v>0</v>
      </c>
      <c r="Z2463" s="5">
        <f t="shared" si="239"/>
        <v>0</v>
      </c>
      <c r="AA2463" s="5">
        <f t="shared" si="240"/>
        <v>0</v>
      </c>
      <c r="AB2463" s="5">
        <f t="shared" si="241"/>
        <v>0</v>
      </c>
      <c r="AC2463" s="5"/>
      <c r="AD2463" s="5">
        <v>0</v>
      </c>
      <c r="AE2463" s="5">
        <f t="shared" si="242"/>
        <v>0</v>
      </c>
      <c r="AF2463" s="70">
        <v>0</v>
      </c>
      <c r="AG2463" s="17"/>
      <c r="AH2463" s="18"/>
      <c r="AI2463" s="47" t="s">
        <v>4346</v>
      </c>
      <c r="AJ2463" s="73" t="s">
        <v>4347</v>
      </c>
      <c r="AK2463" s="45"/>
      <c r="AL2463" s="89" t="s">
        <v>2798</v>
      </c>
      <c r="AM2463" s="195" t="s">
        <v>4945</v>
      </c>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c r="BW2463" s="19"/>
      <c r="BX2463" s="19"/>
      <c r="BY2463" s="19"/>
      <c r="BZ2463" s="19"/>
      <c r="CA2463" s="19"/>
      <c r="CB2463" s="19"/>
      <c r="CC2463" s="19"/>
      <c r="CD2463" s="139"/>
      <c r="CE2463" s="138"/>
      <c r="CF2463" s="139"/>
      <c r="CG2463" s="138"/>
      <c r="CH2463" s="139"/>
      <c r="CI2463" s="138"/>
      <c r="CJ2463" s="72"/>
      <c r="CK2463" s="139"/>
      <c r="CL2463" s="71"/>
      <c r="CM2463" s="139"/>
      <c r="CN2463" s="138"/>
      <c r="CO2463" s="138"/>
      <c r="CP2463" s="138"/>
      <c r="CQ2463" s="139"/>
      <c r="CR2463" s="138"/>
      <c r="CS2463" s="45"/>
      <c r="CT2463" s="138"/>
      <c r="CU2463" s="45"/>
      <c r="CV2463" s="99">
        <f t="shared" si="243"/>
        <v>0</v>
      </c>
      <c r="CW2463" s="139"/>
      <c r="CX2463" s="138"/>
      <c r="CY2463" s="138"/>
      <c r="CZ2463" s="138"/>
      <c r="DA2463" s="139"/>
      <c r="DB2463" s="138"/>
      <c r="DC2463" s="45"/>
      <c r="DD2463" s="138"/>
      <c r="DE2463" s="45"/>
      <c r="DF2463" s="46"/>
    </row>
    <row r="2464" spans="1:110" s="42" customFormat="1" ht="84" x14ac:dyDescent="0.2">
      <c r="A2464" s="89">
        <v>40849</v>
      </c>
      <c r="B2464" s="151" t="s">
        <v>3358</v>
      </c>
      <c r="C2464" s="90" t="s">
        <v>1431</v>
      </c>
      <c r="D2464" s="90" t="s">
        <v>4298</v>
      </c>
      <c r="E2464" s="90" t="str">
        <f>VLOOKUP(B2464&amp;C2464,Divipola!$C$2:$F$1138,4,FALSE)</f>
        <v>18150</v>
      </c>
      <c r="F2464" s="4"/>
      <c r="G2464" s="101">
        <v>1</v>
      </c>
      <c r="H2464" s="101"/>
      <c r="I2464" s="101"/>
      <c r="J2464" s="101">
        <v>7</v>
      </c>
      <c r="K2464" s="101">
        <v>2</v>
      </c>
      <c r="L2464" s="101">
        <v>2</v>
      </c>
      <c r="M2464" s="101">
        <v>2</v>
      </c>
      <c r="N2464" s="101"/>
      <c r="O2464" s="101"/>
      <c r="P2464" s="101"/>
      <c r="Q2464" s="101"/>
      <c r="R2464" s="101"/>
      <c r="S2464" s="101"/>
      <c r="T2464" s="101"/>
      <c r="U2464" s="101"/>
      <c r="V2464" s="101"/>
      <c r="W2464" s="19"/>
      <c r="X2464" s="17"/>
      <c r="Y2464" s="5">
        <f t="shared" si="238"/>
        <v>0</v>
      </c>
      <c r="Z2464" s="5">
        <f t="shared" si="239"/>
        <v>0</v>
      </c>
      <c r="AA2464" s="5">
        <f t="shared" si="240"/>
        <v>0</v>
      </c>
      <c r="AB2464" s="5">
        <f t="shared" si="241"/>
        <v>0</v>
      </c>
      <c r="AC2464" s="5"/>
      <c r="AD2464" s="5">
        <v>0</v>
      </c>
      <c r="AE2464" s="5">
        <f t="shared" si="242"/>
        <v>0</v>
      </c>
      <c r="AF2464" s="70">
        <v>0</v>
      </c>
      <c r="AG2464" s="17"/>
      <c r="AH2464" s="18"/>
      <c r="AI2464" s="47" t="s">
        <v>4336</v>
      </c>
      <c r="AJ2464" s="73" t="s">
        <v>4337</v>
      </c>
      <c r="AK2464" s="45"/>
      <c r="AL2464" s="17"/>
      <c r="AM2464" s="121" t="s">
        <v>4865</v>
      </c>
      <c r="AN2464" s="19"/>
      <c r="AO2464" s="19"/>
      <c r="AP2464" s="19"/>
      <c r="AQ2464" s="19"/>
      <c r="AR2464" s="19"/>
      <c r="AS2464" s="19"/>
      <c r="AT2464" s="19"/>
      <c r="AU2464" s="19"/>
      <c r="AV2464" s="19"/>
      <c r="AW2464" s="19"/>
      <c r="AX2464" s="19"/>
      <c r="AY2464" s="19"/>
      <c r="AZ2464" s="19"/>
      <c r="BA2464" s="19"/>
      <c r="BB2464" s="19"/>
      <c r="BC2464" s="19"/>
      <c r="BD2464" s="19"/>
      <c r="BE2464" s="19"/>
      <c r="BF2464" s="19"/>
      <c r="BG2464" s="19"/>
      <c r="BH2464" s="19"/>
      <c r="BI2464" s="19"/>
      <c r="BJ2464" s="19"/>
      <c r="BK2464" s="19"/>
      <c r="BL2464" s="19"/>
      <c r="BM2464" s="19"/>
      <c r="BN2464" s="19"/>
      <c r="BO2464" s="19"/>
      <c r="BP2464" s="19"/>
      <c r="BQ2464" s="19"/>
      <c r="BR2464" s="19"/>
      <c r="BS2464" s="19"/>
      <c r="BT2464" s="19"/>
      <c r="BU2464" s="19"/>
      <c r="BV2464" s="19"/>
      <c r="BW2464" s="19"/>
      <c r="BX2464" s="19"/>
      <c r="BY2464" s="19"/>
      <c r="BZ2464" s="19"/>
      <c r="CA2464" s="19"/>
      <c r="CB2464" s="19"/>
      <c r="CC2464" s="19"/>
      <c r="CD2464" s="139"/>
      <c r="CE2464" s="138"/>
      <c r="CF2464" s="139"/>
      <c r="CG2464" s="138"/>
      <c r="CH2464" s="139"/>
      <c r="CI2464" s="138"/>
      <c r="CJ2464" s="72"/>
      <c r="CK2464" s="139"/>
      <c r="CL2464" s="71"/>
      <c r="CM2464" s="139"/>
      <c r="CN2464" s="138"/>
      <c r="CO2464" s="138"/>
      <c r="CP2464" s="138"/>
      <c r="CQ2464" s="139"/>
      <c r="CR2464" s="138"/>
      <c r="CS2464" s="45"/>
      <c r="CT2464" s="138"/>
      <c r="CU2464" s="45"/>
      <c r="CV2464" s="99">
        <f t="shared" si="243"/>
        <v>0</v>
      </c>
      <c r="CW2464" s="139"/>
      <c r="CX2464" s="138"/>
      <c r="CY2464" s="138"/>
      <c r="CZ2464" s="138"/>
      <c r="DA2464" s="139"/>
      <c r="DB2464" s="138"/>
      <c r="DC2464" s="45"/>
      <c r="DD2464" s="138"/>
      <c r="DE2464" s="45"/>
      <c r="DF2464" s="46"/>
    </row>
    <row r="2465" spans="1:110" s="42" customFormat="1" x14ac:dyDescent="0.2">
      <c r="A2465" s="89">
        <v>40849</v>
      </c>
      <c r="B2465" s="16" t="s">
        <v>2204</v>
      </c>
      <c r="C2465" s="16" t="s">
        <v>4345</v>
      </c>
      <c r="D2465" s="90" t="s">
        <v>4264</v>
      </c>
      <c r="E2465" s="90">
        <f>VLOOKUP(B2465&amp;C2465,Divipola!$C$2:$F$1138,4,FALSE)</f>
        <v>70</v>
      </c>
      <c r="F2465" s="4"/>
      <c r="G2465" s="208"/>
      <c r="H2465" s="208"/>
      <c r="I2465" s="208"/>
      <c r="J2465" s="208"/>
      <c r="K2465" s="208"/>
      <c r="L2465" s="208"/>
      <c r="M2465" s="208"/>
      <c r="N2465" s="208"/>
      <c r="O2465" s="208"/>
      <c r="P2465" s="208"/>
      <c r="Q2465" s="208"/>
      <c r="R2465" s="208"/>
      <c r="S2465" s="208"/>
      <c r="T2465" s="208"/>
      <c r="U2465" s="208"/>
      <c r="V2465" s="208"/>
      <c r="W2465" s="19"/>
      <c r="X2465" s="17"/>
      <c r="Y2465" s="5">
        <f t="shared" si="238"/>
        <v>0</v>
      </c>
      <c r="Z2465" s="5">
        <f t="shared" si="239"/>
        <v>0</v>
      </c>
      <c r="AA2465" s="5">
        <f t="shared" si="240"/>
        <v>0</v>
      </c>
      <c r="AB2465" s="5">
        <f t="shared" si="241"/>
        <v>182120000</v>
      </c>
      <c r="AC2465" s="5"/>
      <c r="AD2465" s="5">
        <v>0</v>
      </c>
      <c r="AE2465" s="5">
        <f t="shared" si="242"/>
        <v>182120000</v>
      </c>
      <c r="AF2465" s="70">
        <v>0</v>
      </c>
      <c r="AG2465" s="17"/>
      <c r="AH2465" s="18"/>
      <c r="AI2465" s="47" t="s">
        <v>4346</v>
      </c>
      <c r="AJ2465" s="73" t="s">
        <v>4347</v>
      </c>
      <c r="AK2465" s="45"/>
      <c r="AL2465" s="17"/>
      <c r="AM2465" s="20"/>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19"/>
      <c r="BW2465" s="19"/>
      <c r="BX2465" s="19"/>
      <c r="BY2465" s="19"/>
      <c r="BZ2465" s="19"/>
      <c r="CA2465" s="19"/>
      <c r="CB2465" s="19"/>
      <c r="CC2465" s="19"/>
      <c r="CD2465" s="139"/>
      <c r="CE2465" s="138"/>
      <c r="CF2465" s="139"/>
      <c r="CG2465" s="138"/>
      <c r="CH2465" s="139"/>
      <c r="CI2465" s="138"/>
      <c r="CJ2465" s="72"/>
      <c r="CK2465" s="139"/>
      <c r="CL2465" s="71"/>
      <c r="CM2465" s="139"/>
      <c r="CN2465" s="138"/>
      <c r="CO2465" s="138"/>
      <c r="CP2465" s="138"/>
      <c r="CQ2465" s="139"/>
      <c r="CR2465" s="138"/>
      <c r="CS2465" s="45"/>
      <c r="CT2465" s="138"/>
      <c r="CU2465" s="45"/>
      <c r="CV2465" s="99">
        <f t="shared" si="243"/>
        <v>0</v>
      </c>
      <c r="CW2465" s="139">
        <v>200000</v>
      </c>
      <c r="CX2465" s="138">
        <f>200000*910.6</f>
        <v>182120000</v>
      </c>
      <c r="CY2465" s="138"/>
      <c r="CZ2465" s="138"/>
      <c r="DA2465" s="139"/>
      <c r="DB2465" s="138"/>
      <c r="DC2465" s="45"/>
      <c r="DD2465" s="138"/>
      <c r="DE2465" s="45"/>
      <c r="DF2465" s="46"/>
    </row>
    <row r="2466" spans="1:110" s="42" customFormat="1" ht="36" x14ac:dyDescent="0.2">
      <c r="A2466" s="89">
        <v>40850</v>
      </c>
      <c r="B2466" s="151" t="s">
        <v>4352</v>
      </c>
      <c r="C2466" s="90" t="s">
        <v>4358</v>
      </c>
      <c r="D2466" s="90" t="s">
        <v>4298</v>
      </c>
      <c r="E2466" s="90" t="str">
        <f>VLOOKUP(B2466&amp;C2466,Divipola!$C$2:$F$1138,4,FALSE)</f>
        <v>13001</v>
      </c>
      <c r="F2466" s="4"/>
      <c r="G2466" s="101"/>
      <c r="H2466" s="101"/>
      <c r="I2466" s="101"/>
      <c r="J2466" s="101">
        <v>8</v>
      </c>
      <c r="K2466" s="101">
        <v>3</v>
      </c>
      <c r="L2466" s="101">
        <v>3</v>
      </c>
      <c r="M2466" s="101"/>
      <c r="N2466" s="101"/>
      <c r="O2466" s="101"/>
      <c r="P2466" s="101"/>
      <c r="Q2466" s="101"/>
      <c r="R2466" s="101"/>
      <c r="S2466" s="101"/>
      <c r="T2466" s="101"/>
      <c r="U2466" s="101"/>
      <c r="V2466" s="101"/>
      <c r="W2466" s="19"/>
      <c r="X2466" s="17"/>
      <c r="Y2466" s="5">
        <f t="shared" si="238"/>
        <v>0</v>
      </c>
      <c r="Z2466" s="5">
        <f t="shared" si="239"/>
        <v>0</v>
      </c>
      <c r="AA2466" s="5">
        <f t="shared" si="240"/>
        <v>0</v>
      </c>
      <c r="AB2466" s="5">
        <f t="shared" si="241"/>
        <v>0</v>
      </c>
      <c r="AC2466" s="5"/>
      <c r="AD2466" s="5">
        <v>0</v>
      </c>
      <c r="AE2466" s="5">
        <f t="shared" si="242"/>
        <v>0</v>
      </c>
      <c r="AF2466" s="70">
        <v>0</v>
      </c>
      <c r="AG2466" s="17"/>
      <c r="AH2466" s="18"/>
      <c r="AI2466" s="47" t="s">
        <v>4336</v>
      </c>
      <c r="AJ2466" s="73" t="s">
        <v>4337</v>
      </c>
      <c r="AK2466" s="45"/>
      <c r="AL2466" s="17"/>
      <c r="AM2466" s="121" t="s">
        <v>4874</v>
      </c>
      <c r="AN2466" s="19"/>
      <c r="AO2466" s="19"/>
      <c r="AP2466" s="19"/>
      <c r="AQ2466" s="19"/>
      <c r="AR2466" s="19"/>
      <c r="AS2466" s="19"/>
      <c r="AT2466" s="19"/>
      <c r="AU2466" s="19"/>
      <c r="AV2466" s="19"/>
      <c r="AW2466" s="19"/>
      <c r="AX2466" s="19"/>
      <c r="AY2466" s="19"/>
      <c r="AZ2466" s="19"/>
      <c r="BA2466" s="19"/>
      <c r="BB2466" s="19"/>
      <c r="BC2466" s="19"/>
      <c r="BD2466" s="19"/>
      <c r="BE2466" s="19"/>
      <c r="BF2466" s="19"/>
      <c r="BG2466" s="19"/>
      <c r="BH2466" s="19"/>
      <c r="BI2466" s="19"/>
      <c r="BJ2466" s="19"/>
      <c r="BK2466" s="19"/>
      <c r="BL2466" s="19"/>
      <c r="BM2466" s="19"/>
      <c r="BN2466" s="19"/>
      <c r="BO2466" s="19"/>
      <c r="BP2466" s="19"/>
      <c r="BQ2466" s="19"/>
      <c r="BR2466" s="19"/>
      <c r="BS2466" s="19"/>
      <c r="BT2466" s="19"/>
      <c r="BU2466" s="19"/>
      <c r="BV2466" s="19"/>
      <c r="BW2466" s="19"/>
      <c r="BX2466" s="19"/>
      <c r="BY2466" s="19"/>
      <c r="BZ2466" s="19"/>
      <c r="CA2466" s="19"/>
      <c r="CB2466" s="19"/>
      <c r="CC2466" s="19"/>
      <c r="CD2466" s="139"/>
      <c r="CE2466" s="138"/>
      <c r="CF2466" s="139"/>
      <c r="CG2466" s="138"/>
      <c r="CH2466" s="139"/>
      <c r="CI2466" s="138"/>
      <c r="CJ2466" s="72"/>
      <c r="CK2466" s="139"/>
      <c r="CL2466" s="71"/>
      <c r="CM2466" s="139"/>
      <c r="CN2466" s="138"/>
      <c r="CO2466" s="138"/>
      <c r="CP2466" s="138"/>
      <c r="CQ2466" s="139"/>
      <c r="CR2466" s="138"/>
      <c r="CS2466" s="45"/>
      <c r="CT2466" s="138"/>
      <c r="CU2466" s="45"/>
      <c r="CV2466" s="99">
        <f t="shared" si="243"/>
        <v>0</v>
      </c>
      <c r="CW2466" s="139"/>
      <c r="CX2466" s="138"/>
      <c r="CY2466" s="138"/>
      <c r="CZ2466" s="138"/>
      <c r="DA2466" s="139"/>
      <c r="DB2466" s="138"/>
      <c r="DC2466" s="45"/>
      <c r="DD2466" s="138"/>
      <c r="DE2466" s="45"/>
      <c r="DF2466" s="46"/>
    </row>
    <row r="2467" spans="1:110" s="42" customFormat="1" ht="60" x14ac:dyDescent="0.2">
      <c r="A2467" s="89">
        <v>40850</v>
      </c>
      <c r="B2467" s="151" t="s">
        <v>4296</v>
      </c>
      <c r="C2467" s="90" t="s">
        <v>1508</v>
      </c>
      <c r="D2467" s="90" t="s">
        <v>2362</v>
      </c>
      <c r="E2467" s="90" t="str">
        <f>VLOOKUP(B2467&amp;C2467,Divipola!$C$2:$F$1138,4,FALSE)</f>
        <v>19693</v>
      </c>
      <c r="F2467" s="4"/>
      <c r="G2467" s="101"/>
      <c r="H2467" s="101"/>
      <c r="I2467" s="101"/>
      <c r="J2467" s="101">
        <v>5</v>
      </c>
      <c r="K2467" s="101">
        <v>1</v>
      </c>
      <c r="L2467" s="101">
        <v>1</v>
      </c>
      <c r="M2467" s="101"/>
      <c r="N2467" s="101">
        <v>1</v>
      </c>
      <c r="O2467" s="101"/>
      <c r="P2467" s="101"/>
      <c r="Q2467" s="101"/>
      <c r="R2467" s="101"/>
      <c r="S2467" s="101"/>
      <c r="T2467" s="101"/>
      <c r="U2467" s="101"/>
      <c r="V2467" s="101"/>
      <c r="W2467" s="19"/>
      <c r="X2467" s="17"/>
      <c r="Y2467" s="5">
        <f t="shared" si="238"/>
        <v>0</v>
      </c>
      <c r="Z2467" s="5">
        <f t="shared" si="239"/>
        <v>0</v>
      </c>
      <c r="AA2467" s="5">
        <f t="shared" si="240"/>
        <v>0</v>
      </c>
      <c r="AB2467" s="5">
        <f t="shared" si="241"/>
        <v>0</v>
      </c>
      <c r="AC2467" s="5"/>
      <c r="AD2467" s="5">
        <v>0</v>
      </c>
      <c r="AE2467" s="5">
        <f t="shared" si="242"/>
        <v>0</v>
      </c>
      <c r="AF2467" s="70">
        <v>0</v>
      </c>
      <c r="AG2467" s="17"/>
      <c r="AH2467" s="18"/>
      <c r="AI2467" s="47" t="s">
        <v>4336</v>
      </c>
      <c r="AJ2467" s="73" t="s">
        <v>4337</v>
      </c>
      <c r="AK2467" s="45"/>
      <c r="AL2467" s="17"/>
      <c r="AM2467" s="121" t="s">
        <v>4878</v>
      </c>
      <c r="AN2467" s="19"/>
      <c r="AO2467" s="19"/>
      <c r="AP2467" s="19"/>
      <c r="AQ2467" s="19"/>
      <c r="AR2467" s="19"/>
      <c r="AS2467" s="19"/>
      <c r="AT2467" s="19"/>
      <c r="AU2467" s="19"/>
      <c r="AV2467" s="19"/>
      <c r="AW2467" s="19"/>
      <c r="AX2467" s="19"/>
      <c r="AY2467" s="19"/>
      <c r="AZ2467" s="19"/>
      <c r="BA2467" s="19"/>
      <c r="BB2467" s="19"/>
      <c r="BC2467" s="19"/>
      <c r="BD2467" s="19"/>
      <c r="BE2467" s="19"/>
      <c r="BF2467" s="19"/>
      <c r="BG2467" s="19"/>
      <c r="BH2467" s="19"/>
      <c r="BI2467" s="19"/>
      <c r="BJ2467" s="19"/>
      <c r="BK2467" s="19"/>
      <c r="BL2467" s="19"/>
      <c r="BM2467" s="19"/>
      <c r="BN2467" s="19"/>
      <c r="BO2467" s="19"/>
      <c r="BP2467" s="19"/>
      <c r="BQ2467" s="19"/>
      <c r="BR2467" s="19"/>
      <c r="BS2467" s="19"/>
      <c r="BT2467" s="19"/>
      <c r="BU2467" s="19"/>
      <c r="BV2467" s="19"/>
      <c r="BW2467" s="19"/>
      <c r="BX2467" s="19"/>
      <c r="BY2467" s="19"/>
      <c r="BZ2467" s="19"/>
      <c r="CA2467" s="19"/>
      <c r="CB2467" s="19"/>
      <c r="CC2467" s="19"/>
      <c r="CD2467" s="139"/>
      <c r="CE2467" s="138"/>
      <c r="CF2467" s="139"/>
      <c r="CG2467" s="138"/>
      <c r="CH2467" s="139"/>
      <c r="CI2467" s="138"/>
      <c r="CJ2467" s="72"/>
      <c r="CK2467" s="139"/>
      <c r="CL2467" s="71"/>
      <c r="CM2467" s="139"/>
      <c r="CN2467" s="138"/>
      <c r="CO2467" s="138"/>
      <c r="CP2467" s="138"/>
      <c r="CQ2467" s="139"/>
      <c r="CR2467" s="138"/>
      <c r="CS2467" s="45"/>
      <c r="CT2467" s="138"/>
      <c r="CU2467" s="45"/>
      <c r="CV2467" s="99">
        <f t="shared" si="243"/>
        <v>0</v>
      </c>
      <c r="CW2467" s="139"/>
      <c r="CX2467" s="138"/>
      <c r="CY2467" s="138"/>
      <c r="CZ2467" s="138"/>
      <c r="DA2467" s="139"/>
      <c r="DB2467" s="138"/>
      <c r="DC2467" s="45"/>
      <c r="DD2467" s="138"/>
      <c r="DE2467" s="45"/>
      <c r="DF2467" s="46"/>
    </row>
    <row r="2468" spans="1:110" s="42" customFormat="1" ht="24" x14ac:dyDescent="0.2">
      <c r="A2468" s="89">
        <v>40850</v>
      </c>
      <c r="B2468" s="151" t="s">
        <v>4296</v>
      </c>
      <c r="C2468" s="90" t="s">
        <v>1485</v>
      </c>
      <c r="D2468" s="90" t="s">
        <v>3346</v>
      </c>
      <c r="E2468" s="90" t="str">
        <f>VLOOKUP(B2468&amp;C2468,Divipola!$C$2:$F$1138,4,FALSE)</f>
        <v>19392</v>
      </c>
      <c r="F2468" s="4"/>
      <c r="G2468" s="101"/>
      <c r="H2468" s="101"/>
      <c r="I2468" s="101"/>
      <c r="J2468" s="101">
        <v>210</v>
      </c>
      <c r="K2468" s="101">
        <v>42</v>
      </c>
      <c r="L2468" s="101"/>
      <c r="M2468" s="101">
        <v>42</v>
      </c>
      <c r="N2468" s="101"/>
      <c r="O2468" s="101"/>
      <c r="P2468" s="101"/>
      <c r="Q2468" s="101"/>
      <c r="R2468" s="101"/>
      <c r="S2468" s="101"/>
      <c r="T2468" s="101"/>
      <c r="U2468" s="101"/>
      <c r="V2468" s="101"/>
      <c r="W2468" s="19"/>
      <c r="X2468" s="17"/>
      <c r="Y2468" s="5">
        <f t="shared" si="238"/>
        <v>0</v>
      </c>
      <c r="Z2468" s="5">
        <f t="shared" si="239"/>
        <v>0</v>
      </c>
      <c r="AA2468" s="5">
        <f t="shared" si="240"/>
        <v>0</v>
      </c>
      <c r="AB2468" s="5">
        <f t="shared" si="241"/>
        <v>0</v>
      </c>
      <c r="AC2468" s="5"/>
      <c r="AD2468" s="5">
        <v>0</v>
      </c>
      <c r="AE2468" s="5">
        <f t="shared" si="242"/>
        <v>0</v>
      </c>
      <c r="AF2468" s="70">
        <v>0</v>
      </c>
      <c r="AG2468" s="17"/>
      <c r="AH2468" s="18"/>
      <c r="AI2468" s="47" t="s">
        <v>4336</v>
      </c>
      <c r="AJ2468" s="73" t="s">
        <v>4337</v>
      </c>
      <c r="AK2468" s="45"/>
      <c r="AL2468" s="17"/>
      <c r="AM2468" s="121" t="s">
        <v>4879</v>
      </c>
      <c r="AN2468" s="19"/>
      <c r="AO2468" s="19"/>
      <c r="AP2468" s="19"/>
      <c r="AQ2468" s="19"/>
      <c r="AR2468" s="19"/>
      <c r="AS2468" s="19"/>
      <c r="AT2468" s="19"/>
      <c r="AU2468" s="19"/>
      <c r="AV2468" s="19"/>
      <c r="AW2468" s="19"/>
      <c r="AX2468" s="19"/>
      <c r="AY2468" s="19"/>
      <c r="AZ2468" s="19"/>
      <c r="BA2468" s="19"/>
      <c r="BB2468" s="19"/>
      <c r="BC2468" s="19"/>
      <c r="BD2468" s="19"/>
      <c r="BE2468" s="19"/>
      <c r="BF2468" s="19"/>
      <c r="BG2468" s="19"/>
      <c r="BH2468" s="19"/>
      <c r="BI2468" s="19"/>
      <c r="BJ2468" s="19"/>
      <c r="BK2468" s="19"/>
      <c r="BL2468" s="19"/>
      <c r="BM2468" s="19"/>
      <c r="BN2468" s="19"/>
      <c r="BO2468" s="19"/>
      <c r="BP2468" s="19"/>
      <c r="BQ2468" s="19"/>
      <c r="BR2468" s="19"/>
      <c r="BS2468" s="19"/>
      <c r="BT2468" s="19"/>
      <c r="BU2468" s="19"/>
      <c r="BV2468" s="19"/>
      <c r="BW2468" s="19"/>
      <c r="BX2468" s="19"/>
      <c r="BY2468" s="19"/>
      <c r="BZ2468" s="19"/>
      <c r="CA2468" s="19"/>
      <c r="CB2468" s="19"/>
      <c r="CC2468" s="19"/>
      <c r="CD2468" s="139"/>
      <c r="CE2468" s="138"/>
      <c r="CF2468" s="139"/>
      <c r="CG2468" s="138"/>
      <c r="CH2468" s="139"/>
      <c r="CI2468" s="138"/>
      <c r="CJ2468" s="72"/>
      <c r="CK2468" s="139"/>
      <c r="CL2468" s="71"/>
      <c r="CM2468" s="139"/>
      <c r="CN2468" s="138"/>
      <c r="CO2468" s="138"/>
      <c r="CP2468" s="138"/>
      <c r="CQ2468" s="139"/>
      <c r="CR2468" s="138"/>
      <c r="CS2468" s="45"/>
      <c r="CT2468" s="138"/>
      <c r="CU2468" s="45"/>
      <c r="CV2468" s="99">
        <f t="shared" si="243"/>
        <v>0</v>
      </c>
      <c r="CW2468" s="139"/>
      <c r="CX2468" s="138"/>
      <c r="CY2468" s="138"/>
      <c r="CZ2468" s="138"/>
      <c r="DA2468" s="139"/>
      <c r="DB2468" s="138"/>
      <c r="DC2468" s="45"/>
      <c r="DD2468" s="138"/>
      <c r="DE2468" s="45"/>
      <c r="DF2468" s="46"/>
    </row>
    <row r="2469" spans="1:110" s="42" customFormat="1" ht="24" x14ac:dyDescent="0.2">
      <c r="A2469" s="89">
        <v>40850</v>
      </c>
      <c r="B2469" s="16" t="s">
        <v>2225</v>
      </c>
      <c r="C2469" s="16" t="s">
        <v>1884</v>
      </c>
      <c r="D2469" s="90" t="s">
        <v>4264</v>
      </c>
      <c r="E2469" s="90" t="str">
        <f>VLOOKUP(B2469&amp;C2469,Divipola!$C$2:$F$1138,4,FALSE)</f>
        <v>27430</v>
      </c>
      <c r="F2469" s="4"/>
      <c r="G2469" s="208"/>
      <c r="H2469" s="208"/>
      <c r="I2469" s="208"/>
      <c r="J2469" s="208">
        <v>13450</v>
      </c>
      <c r="K2469" s="208">
        <v>3128</v>
      </c>
      <c r="L2469" s="208"/>
      <c r="M2469" s="208"/>
      <c r="N2469" s="208"/>
      <c r="O2469" s="208"/>
      <c r="P2469" s="208"/>
      <c r="Q2469" s="208"/>
      <c r="R2469" s="208"/>
      <c r="S2469" s="208"/>
      <c r="T2469" s="208"/>
      <c r="U2469" s="208"/>
      <c r="V2469" s="208"/>
      <c r="W2469" s="19"/>
      <c r="X2469" s="17"/>
      <c r="Y2469" s="5">
        <f t="shared" si="238"/>
        <v>0</v>
      </c>
      <c r="Z2469" s="5">
        <f t="shared" si="239"/>
        <v>378800000</v>
      </c>
      <c r="AA2469" s="5">
        <f t="shared" si="240"/>
        <v>0</v>
      </c>
      <c r="AB2469" s="5">
        <f t="shared" si="241"/>
        <v>0</v>
      </c>
      <c r="AC2469" s="5"/>
      <c r="AD2469" s="5">
        <v>0</v>
      </c>
      <c r="AE2469" s="5">
        <f t="shared" si="242"/>
        <v>378800000</v>
      </c>
      <c r="AF2469" s="70">
        <v>0</v>
      </c>
      <c r="AG2469" s="17"/>
      <c r="AH2469" s="18"/>
      <c r="AI2469" s="47" t="s">
        <v>4346</v>
      </c>
      <c r="AJ2469" s="73" t="s">
        <v>4347</v>
      </c>
      <c r="AK2469" s="45"/>
      <c r="AL2469" s="17"/>
      <c r="AM2469" s="195" t="s">
        <v>5570</v>
      </c>
      <c r="AN2469" s="19"/>
      <c r="AO2469" s="19"/>
      <c r="AP2469" s="19"/>
      <c r="AQ2469" s="19"/>
      <c r="AR2469" s="19"/>
      <c r="AS2469" s="19"/>
      <c r="AT2469" s="19"/>
      <c r="AU2469" s="19"/>
      <c r="AV2469" s="19"/>
      <c r="AW2469" s="19"/>
      <c r="AX2469" s="19"/>
      <c r="AY2469" s="19"/>
      <c r="AZ2469" s="19"/>
      <c r="BA2469" s="19"/>
      <c r="BB2469" s="19"/>
      <c r="BC2469" s="19"/>
      <c r="BD2469" s="19"/>
      <c r="BE2469" s="19"/>
      <c r="BF2469" s="19"/>
      <c r="BG2469" s="19"/>
      <c r="BH2469" s="19"/>
      <c r="BI2469" s="19"/>
      <c r="BJ2469" s="19"/>
      <c r="BK2469" s="19"/>
      <c r="BL2469" s="19"/>
      <c r="BM2469" s="19"/>
      <c r="BN2469" s="19"/>
      <c r="BO2469" s="19"/>
      <c r="BP2469" s="19"/>
      <c r="BQ2469" s="19"/>
      <c r="BR2469" s="19"/>
      <c r="BS2469" s="19"/>
      <c r="BT2469" s="19"/>
      <c r="BU2469" s="19"/>
      <c r="BV2469" s="19"/>
      <c r="BW2469" s="19"/>
      <c r="BX2469" s="19"/>
      <c r="BY2469" s="19"/>
      <c r="BZ2469" s="19"/>
      <c r="CA2469" s="19"/>
      <c r="CB2469" s="19"/>
      <c r="CC2469" s="19"/>
      <c r="CD2469" s="139"/>
      <c r="CE2469" s="138"/>
      <c r="CF2469" s="139"/>
      <c r="CG2469" s="138"/>
      <c r="CH2469" s="139"/>
      <c r="CI2469" s="138"/>
      <c r="CJ2469" s="72"/>
      <c r="CK2469" s="139"/>
      <c r="CL2469" s="71"/>
      <c r="CM2469" s="139"/>
      <c r="CN2469" s="138"/>
      <c r="CO2469" s="138"/>
      <c r="CP2469" s="138"/>
      <c r="CQ2469" s="139"/>
      <c r="CR2469" s="138"/>
      <c r="CS2469" s="45"/>
      <c r="CT2469" s="138"/>
      <c r="CU2469" s="45"/>
      <c r="CV2469" s="99">
        <f t="shared" si="243"/>
        <v>0</v>
      </c>
      <c r="CW2469" s="139"/>
      <c r="CX2469" s="138"/>
      <c r="CY2469" s="138">
        <f>2400+2000</f>
        <v>4400</v>
      </c>
      <c r="CZ2469" s="138">
        <f>2400*87000+2000*85000</f>
        <v>378800000</v>
      </c>
      <c r="DA2469" s="139"/>
      <c r="DB2469" s="138"/>
      <c r="DC2469" s="45"/>
      <c r="DD2469" s="138"/>
      <c r="DE2469" s="45"/>
      <c r="DF2469" s="46"/>
    </row>
    <row r="2470" spans="1:110" s="42" customFormat="1" ht="48" x14ac:dyDescent="0.2">
      <c r="A2470" s="89">
        <v>40850</v>
      </c>
      <c r="B2470" s="151" t="s">
        <v>4344</v>
      </c>
      <c r="C2470" s="90" t="s">
        <v>1804</v>
      </c>
      <c r="D2470" s="90" t="s">
        <v>4264</v>
      </c>
      <c r="E2470" s="90" t="str">
        <f>VLOOKUP(B2470&amp;C2470,Divipola!$C$2:$F$1138,4,FALSE)</f>
        <v>25769</v>
      </c>
      <c r="F2470" s="4"/>
      <c r="G2470" s="101"/>
      <c r="H2470" s="101"/>
      <c r="I2470" s="101"/>
      <c r="J2470" s="101">
        <v>5</v>
      </c>
      <c r="K2470" s="101">
        <v>1</v>
      </c>
      <c r="L2470" s="101"/>
      <c r="M2470" s="101">
        <v>1</v>
      </c>
      <c r="N2470" s="101"/>
      <c r="O2470" s="101"/>
      <c r="P2470" s="101"/>
      <c r="Q2470" s="101"/>
      <c r="R2470" s="101"/>
      <c r="S2470" s="101"/>
      <c r="T2470" s="101">
        <v>1</v>
      </c>
      <c r="U2470" s="101"/>
      <c r="V2470" s="101"/>
      <c r="W2470" s="19"/>
      <c r="X2470" s="17"/>
      <c r="Y2470" s="5">
        <f t="shared" si="238"/>
        <v>0</v>
      </c>
      <c r="Z2470" s="5">
        <f t="shared" si="239"/>
        <v>0</v>
      </c>
      <c r="AA2470" s="5">
        <f t="shared" si="240"/>
        <v>0</v>
      </c>
      <c r="AB2470" s="5">
        <f t="shared" si="241"/>
        <v>0</v>
      </c>
      <c r="AC2470" s="5"/>
      <c r="AD2470" s="5">
        <v>0</v>
      </c>
      <c r="AE2470" s="5">
        <f t="shared" si="242"/>
        <v>0</v>
      </c>
      <c r="AF2470" s="70">
        <v>0</v>
      </c>
      <c r="AG2470" s="17"/>
      <c r="AH2470" s="18"/>
      <c r="AI2470" s="47" t="s">
        <v>4336</v>
      </c>
      <c r="AJ2470" s="73" t="s">
        <v>4337</v>
      </c>
      <c r="AK2470" s="45"/>
      <c r="AL2470" s="17"/>
      <c r="AM2470" s="121" t="s">
        <v>4871</v>
      </c>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39"/>
      <c r="CE2470" s="138"/>
      <c r="CF2470" s="139"/>
      <c r="CG2470" s="138"/>
      <c r="CH2470" s="139"/>
      <c r="CI2470" s="138"/>
      <c r="CJ2470" s="72"/>
      <c r="CK2470" s="139"/>
      <c r="CL2470" s="71"/>
      <c r="CM2470" s="139"/>
      <c r="CN2470" s="138"/>
      <c r="CO2470" s="138"/>
      <c r="CP2470" s="138"/>
      <c r="CQ2470" s="139"/>
      <c r="CR2470" s="138"/>
      <c r="CS2470" s="45"/>
      <c r="CT2470" s="138"/>
      <c r="CU2470" s="45"/>
      <c r="CV2470" s="99">
        <f t="shared" si="243"/>
        <v>0</v>
      </c>
      <c r="CW2470" s="139"/>
      <c r="CX2470" s="138"/>
      <c r="CY2470" s="138"/>
      <c r="CZ2470" s="138"/>
      <c r="DA2470" s="139"/>
      <c r="DB2470" s="138"/>
      <c r="DC2470" s="45"/>
      <c r="DD2470" s="138"/>
      <c r="DE2470" s="45"/>
      <c r="DF2470" s="46"/>
    </row>
    <row r="2471" spans="1:110" s="42" customFormat="1" ht="60" x14ac:dyDescent="0.2">
      <c r="A2471" s="89">
        <v>40850</v>
      </c>
      <c r="B2471" s="151" t="s">
        <v>4387</v>
      </c>
      <c r="C2471" s="90" t="s">
        <v>492</v>
      </c>
      <c r="D2471" s="90" t="s">
        <v>2362</v>
      </c>
      <c r="E2471" s="90" t="str">
        <f>VLOOKUP(B2471&amp;C2471,Divipola!$C$2:$F$1138,4,FALSE)</f>
        <v>52385</v>
      </c>
      <c r="F2471" s="4"/>
      <c r="G2471" s="212"/>
      <c r="H2471" s="212"/>
      <c r="I2471" s="212"/>
      <c r="J2471" s="212">
        <v>143</v>
      </c>
      <c r="K2471" s="212">
        <v>38</v>
      </c>
      <c r="L2471" s="212"/>
      <c r="M2471" s="212">
        <v>38</v>
      </c>
      <c r="N2471" s="212"/>
      <c r="O2471" s="212"/>
      <c r="P2471" s="212"/>
      <c r="Q2471" s="212"/>
      <c r="R2471" s="212"/>
      <c r="S2471" s="212"/>
      <c r="T2471" s="212"/>
      <c r="U2471" s="212"/>
      <c r="V2471" s="212"/>
      <c r="W2471" s="19"/>
      <c r="X2471" s="17"/>
      <c r="Y2471" s="5">
        <f t="shared" si="238"/>
        <v>0</v>
      </c>
      <c r="Z2471" s="5">
        <f t="shared" si="239"/>
        <v>0</v>
      </c>
      <c r="AA2471" s="5">
        <f t="shared" si="240"/>
        <v>0</v>
      </c>
      <c r="AB2471" s="5">
        <f t="shared" si="241"/>
        <v>0</v>
      </c>
      <c r="AC2471" s="5"/>
      <c r="AD2471" s="5">
        <v>0</v>
      </c>
      <c r="AE2471" s="5">
        <f t="shared" si="242"/>
        <v>0</v>
      </c>
      <c r="AF2471" s="70">
        <v>0</v>
      </c>
      <c r="AG2471" s="17"/>
      <c r="AH2471" s="18"/>
      <c r="AI2471" s="47" t="s">
        <v>4336</v>
      </c>
      <c r="AJ2471" s="73" t="s">
        <v>4337</v>
      </c>
      <c r="AK2471" s="45"/>
      <c r="AL2471" s="17"/>
      <c r="AM2471" s="213" t="s">
        <v>4881</v>
      </c>
      <c r="AN2471" s="19"/>
      <c r="AO2471" s="19"/>
      <c r="AP2471" s="19"/>
      <c r="AQ2471" s="19"/>
      <c r="AR2471" s="19"/>
      <c r="AS2471" s="19"/>
      <c r="AT2471" s="19"/>
      <c r="AU2471" s="19"/>
      <c r="AV2471" s="19"/>
      <c r="AW2471" s="19"/>
      <c r="AX2471" s="19"/>
      <c r="AY2471" s="19"/>
      <c r="AZ2471" s="19"/>
      <c r="BA2471" s="19"/>
      <c r="BB2471" s="19"/>
      <c r="BC2471" s="19"/>
      <c r="BD2471" s="19"/>
      <c r="BE2471" s="19"/>
      <c r="BF2471" s="19"/>
      <c r="BG2471" s="19"/>
      <c r="BH2471" s="19"/>
      <c r="BI2471" s="19"/>
      <c r="BJ2471" s="19"/>
      <c r="BK2471" s="19"/>
      <c r="BL2471" s="19"/>
      <c r="BM2471" s="19"/>
      <c r="BN2471" s="19"/>
      <c r="BO2471" s="19"/>
      <c r="BP2471" s="19"/>
      <c r="BQ2471" s="19"/>
      <c r="BR2471" s="19"/>
      <c r="BS2471" s="19"/>
      <c r="BT2471" s="19"/>
      <c r="BU2471" s="19"/>
      <c r="BV2471" s="19"/>
      <c r="BW2471" s="19"/>
      <c r="BX2471" s="19"/>
      <c r="BY2471" s="19"/>
      <c r="BZ2471" s="19"/>
      <c r="CA2471" s="19"/>
      <c r="CB2471" s="19"/>
      <c r="CC2471" s="19"/>
      <c r="CD2471" s="139"/>
      <c r="CE2471" s="138"/>
      <c r="CF2471" s="139"/>
      <c r="CG2471" s="138"/>
      <c r="CH2471" s="139"/>
      <c r="CI2471" s="138"/>
      <c r="CJ2471" s="72"/>
      <c r="CK2471" s="139"/>
      <c r="CL2471" s="71"/>
      <c r="CM2471" s="139"/>
      <c r="CN2471" s="138"/>
      <c r="CO2471" s="138"/>
      <c r="CP2471" s="138"/>
      <c r="CQ2471" s="139"/>
      <c r="CR2471" s="138"/>
      <c r="CS2471" s="45"/>
      <c r="CT2471" s="138"/>
      <c r="CU2471" s="45"/>
      <c r="CV2471" s="99">
        <f t="shared" si="243"/>
        <v>0</v>
      </c>
      <c r="CW2471" s="139"/>
      <c r="CX2471" s="138"/>
      <c r="CY2471" s="138"/>
      <c r="CZ2471" s="138"/>
      <c r="DA2471" s="139"/>
      <c r="DB2471" s="138"/>
      <c r="DC2471" s="45"/>
      <c r="DD2471" s="138"/>
      <c r="DE2471" s="45"/>
      <c r="DF2471" s="46"/>
    </row>
    <row r="2472" spans="1:110" s="42" customFormat="1" ht="48" x14ac:dyDescent="0.2">
      <c r="A2472" s="89">
        <v>40850</v>
      </c>
      <c r="B2472" s="151" t="s">
        <v>4348</v>
      </c>
      <c r="C2472" s="90" t="s">
        <v>3342</v>
      </c>
      <c r="D2472" s="90" t="s">
        <v>3346</v>
      </c>
      <c r="E2472" s="90" t="str">
        <f>VLOOKUP(B2472&amp;C2472,Divipola!$C$2:$F$1138,4,FALSE)</f>
        <v>66383</v>
      </c>
      <c r="F2472" s="4"/>
      <c r="G2472" s="101"/>
      <c r="H2472" s="101"/>
      <c r="I2472" s="101"/>
      <c r="J2472" s="101">
        <v>162</v>
      </c>
      <c r="K2472" s="101">
        <v>41</v>
      </c>
      <c r="L2472" s="101"/>
      <c r="M2472" s="101">
        <v>41</v>
      </c>
      <c r="N2472" s="101"/>
      <c r="O2472" s="101"/>
      <c r="P2472" s="101"/>
      <c r="Q2472" s="101"/>
      <c r="R2472" s="101"/>
      <c r="S2472" s="101"/>
      <c r="T2472" s="101"/>
      <c r="U2472" s="101"/>
      <c r="V2472" s="101"/>
      <c r="W2472" s="19"/>
      <c r="X2472" s="17"/>
      <c r="Y2472" s="5">
        <f t="shared" si="238"/>
        <v>0</v>
      </c>
      <c r="Z2472" s="5">
        <f t="shared" si="239"/>
        <v>0</v>
      </c>
      <c r="AA2472" s="5">
        <f t="shared" si="240"/>
        <v>0</v>
      </c>
      <c r="AB2472" s="5">
        <f t="shared" si="241"/>
        <v>0</v>
      </c>
      <c r="AC2472" s="5"/>
      <c r="AD2472" s="5">
        <v>0</v>
      </c>
      <c r="AE2472" s="5">
        <f t="shared" si="242"/>
        <v>0</v>
      </c>
      <c r="AF2472" s="70">
        <v>0</v>
      </c>
      <c r="AG2472" s="17"/>
      <c r="AH2472" s="18"/>
      <c r="AI2472" s="47" t="s">
        <v>4346</v>
      </c>
      <c r="AJ2472" s="73" t="s">
        <v>4347</v>
      </c>
      <c r="AK2472" s="45"/>
      <c r="AL2472" s="17" t="s">
        <v>5534</v>
      </c>
      <c r="AM2472" s="121" t="s">
        <v>4872</v>
      </c>
      <c r="AN2472" s="19"/>
      <c r="AO2472" s="19"/>
      <c r="AP2472" s="19"/>
      <c r="AQ2472" s="19"/>
      <c r="AR2472" s="19"/>
      <c r="AS2472" s="19"/>
      <c r="AT2472" s="19"/>
      <c r="AU2472" s="19"/>
      <c r="AV2472" s="19"/>
      <c r="AW2472" s="19"/>
      <c r="AX2472" s="19"/>
      <c r="AY2472" s="19"/>
      <c r="AZ2472" s="19"/>
      <c r="BA2472" s="19"/>
      <c r="BB2472" s="19"/>
      <c r="BC2472" s="19"/>
      <c r="BD2472" s="19"/>
      <c r="BE2472" s="19"/>
      <c r="BF2472" s="19"/>
      <c r="BG2472" s="19"/>
      <c r="BH2472" s="19"/>
      <c r="BI2472" s="19"/>
      <c r="BJ2472" s="19"/>
      <c r="BK2472" s="19"/>
      <c r="BL2472" s="19"/>
      <c r="BM2472" s="19"/>
      <c r="BN2472" s="19"/>
      <c r="BO2472" s="19"/>
      <c r="BP2472" s="19"/>
      <c r="BQ2472" s="19"/>
      <c r="BR2472" s="19"/>
      <c r="BS2472" s="19"/>
      <c r="BT2472" s="19"/>
      <c r="BU2472" s="19"/>
      <c r="BV2472" s="19"/>
      <c r="BW2472" s="19"/>
      <c r="BX2472" s="19"/>
      <c r="BY2472" s="19"/>
      <c r="BZ2472" s="19"/>
      <c r="CA2472" s="19"/>
      <c r="CB2472" s="19"/>
      <c r="CC2472" s="19"/>
      <c r="CD2472" s="139"/>
      <c r="CE2472" s="138"/>
      <c r="CF2472" s="139"/>
      <c r="CG2472" s="138"/>
      <c r="CH2472" s="139"/>
      <c r="CI2472" s="138"/>
      <c r="CJ2472" s="72"/>
      <c r="CK2472" s="139"/>
      <c r="CL2472" s="71"/>
      <c r="CM2472" s="139"/>
      <c r="CN2472" s="138"/>
      <c r="CO2472" s="138"/>
      <c r="CP2472" s="138"/>
      <c r="CQ2472" s="139"/>
      <c r="CR2472" s="138"/>
      <c r="CS2472" s="45"/>
      <c r="CT2472" s="138"/>
      <c r="CU2472" s="45"/>
      <c r="CV2472" s="99">
        <f t="shared" si="243"/>
        <v>0</v>
      </c>
      <c r="CW2472" s="139"/>
      <c r="CX2472" s="138"/>
      <c r="CY2472" s="138"/>
      <c r="CZ2472" s="138"/>
      <c r="DA2472" s="139"/>
      <c r="DB2472" s="138"/>
      <c r="DC2472" s="45"/>
      <c r="DD2472" s="138"/>
      <c r="DE2472" s="45"/>
      <c r="DF2472" s="46"/>
    </row>
    <row r="2473" spans="1:110" s="42" customFormat="1" ht="36" x14ac:dyDescent="0.2">
      <c r="A2473" s="89">
        <v>40850</v>
      </c>
      <c r="B2473" s="151" t="s">
        <v>4348</v>
      </c>
      <c r="C2473" s="90" t="s">
        <v>601</v>
      </c>
      <c r="D2473" s="90" t="s">
        <v>4298</v>
      </c>
      <c r="E2473" s="90" t="str">
        <f>VLOOKUP(B2473&amp;C2473,Divipola!$C$2:$F$1138,4,FALSE)</f>
        <v>66170</v>
      </c>
      <c r="F2473" s="4"/>
      <c r="G2473" s="101"/>
      <c r="H2473" s="101"/>
      <c r="I2473" s="101"/>
      <c r="J2473" s="101">
        <v>11</v>
      </c>
      <c r="K2473" s="101">
        <v>1</v>
      </c>
      <c r="L2473" s="101">
        <v>1</v>
      </c>
      <c r="M2473" s="101"/>
      <c r="N2473" s="101"/>
      <c r="O2473" s="101"/>
      <c r="P2473" s="101"/>
      <c r="Q2473" s="101"/>
      <c r="R2473" s="101"/>
      <c r="S2473" s="101"/>
      <c r="T2473" s="101"/>
      <c r="U2473" s="101"/>
      <c r="V2473" s="101"/>
      <c r="W2473" s="19"/>
      <c r="X2473" s="17"/>
      <c r="Y2473" s="5">
        <f t="shared" si="238"/>
        <v>0</v>
      </c>
      <c r="Z2473" s="5">
        <f t="shared" si="239"/>
        <v>0</v>
      </c>
      <c r="AA2473" s="5">
        <f t="shared" si="240"/>
        <v>0</v>
      </c>
      <c r="AB2473" s="5">
        <f t="shared" si="241"/>
        <v>0</v>
      </c>
      <c r="AC2473" s="5"/>
      <c r="AD2473" s="5">
        <v>0</v>
      </c>
      <c r="AE2473" s="5">
        <f t="shared" si="242"/>
        <v>0</v>
      </c>
      <c r="AF2473" s="70">
        <v>0</v>
      </c>
      <c r="AG2473" s="17"/>
      <c r="AH2473" s="18"/>
      <c r="AI2473" s="47" t="s">
        <v>4336</v>
      </c>
      <c r="AJ2473" s="73" t="s">
        <v>4337</v>
      </c>
      <c r="AK2473" s="45"/>
      <c r="AL2473" s="17"/>
      <c r="AM2473" s="121" t="s">
        <v>4873</v>
      </c>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c r="BW2473" s="19"/>
      <c r="BX2473" s="19"/>
      <c r="BY2473" s="19"/>
      <c r="BZ2473" s="19"/>
      <c r="CA2473" s="19"/>
      <c r="CB2473" s="19"/>
      <c r="CC2473" s="19"/>
      <c r="CD2473" s="139"/>
      <c r="CE2473" s="138"/>
      <c r="CF2473" s="139"/>
      <c r="CG2473" s="138"/>
      <c r="CH2473" s="139"/>
      <c r="CI2473" s="138"/>
      <c r="CJ2473" s="72"/>
      <c r="CK2473" s="139"/>
      <c r="CL2473" s="71"/>
      <c r="CM2473" s="139"/>
      <c r="CN2473" s="138"/>
      <c r="CO2473" s="138"/>
      <c r="CP2473" s="138"/>
      <c r="CQ2473" s="139"/>
      <c r="CR2473" s="138"/>
      <c r="CS2473" s="45"/>
      <c r="CT2473" s="138"/>
      <c r="CU2473" s="45"/>
      <c r="CV2473" s="99">
        <f t="shared" si="243"/>
        <v>0</v>
      </c>
      <c r="CW2473" s="139"/>
      <c r="CX2473" s="138"/>
      <c r="CY2473" s="138"/>
      <c r="CZ2473" s="138"/>
      <c r="DA2473" s="139"/>
      <c r="DB2473" s="138"/>
      <c r="DC2473" s="45"/>
      <c r="DD2473" s="138"/>
      <c r="DE2473" s="45"/>
      <c r="DF2473" s="46"/>
    </row>
    <row r="2474" spans="1:110" s="42" customFormat="1" ht="48" x14ac:dyDescent="0.2">
      <c r="A2474" s="89">
        <v>40850</v>
      </c>
      <c r="B2474" s="16" t="s">
        <v>3358</v>
      </c>
      <c r="C2474" s="16" t="s">
        <v>4090</v>
      </c>
      <c r="D2474" s="16" t="s">
        <v>3346</v>
      </c>
      <c r="E2474" s="90" t="str">
        <f>VLOOKUP(B2474&amp;C2474,Divipola!$C$2:$F$1138,4,FALSE)</f>
        <v>18860</v>
      </c>
      <c r="F2474" s="4"/>
      <c r="G2474" s="208"/>
      <c r="H2474" s="208"/>
      <c r="I2474" s="208"/>
      <c r="J2474" s="208">
        <v>500</v>
      </c>
      <c r="K2474" s="208">
        <v>100</v>
      </c>
      <c r="L2474" s="208"/>
      <c r="M2474" s="208">
        <v>100</v>
      </c>
      <c r="N2474" s="208"/>
      <c r="O2474" s="208"/>
      <c r="P2474" s="208"/>
      <c r="Q2474" s="208"/>
      <c r="R2474" s="208"/>
      <c r="S2474" s="208"/>
      <c r="T2474" s="208"/>
      <c r="U2474" s="208"/>
      <c r="V2474" s="208"/>
      <c r="W2474" s="19"/>
      <c r="X2474" s="17"/>
      <c r="Y2474" s="5">
        <f t="shared" si="238"/>
        <v>18869720</v>
      </c>
      <c r="Z2474" s="5">
        <f t="shared" si="239"/>
        <v>8499848</v>
      </c>
      <c r="AA2474" s="5">
        <f t="shared" si="240"/>
        <v>28399120</v>
      </c>
      <c r="AB2474" s="5">
        <f t="shared" si="241"/>
        <v>0</v>
      </c>
      <c r="AC2474" s="159">
        <f>50*149640</f>
        <v>7482000</v>
      </c>
      <c r="AD2474" s="5">
        <v>0</v>
      </c>
      <c r="AE2474" s="5">
        <f t="shared" si="242"/>
        <v>63250688</v>
      </c>
      <c r="AF2474" s="70">
        <v>0</v>
      </c>
      <c r="AG2474" s="17"/>
      <c r="AH2474" s="18"/>
      <c r="AI2474" s="47" t="s">
        <v>4346</v>
      </c>
      <c r="AJ2474" s="73" t="s">
        <v>4347</v>
      </c>
      <c r="AK2474" s="45"/>
      <c r="AL2474" s="17"/>
      <c r="AM2474" s="20" t="s">
        <v>5325</v>
      </c>
      <c r="AN2474" s="19"/>
      <c r="AO2474" s="19"/>
      <c r="AP2474" s="19"/>
      <c r="AQ2474" s="19"/>
      <c r="AR2474" s="19"/>
      <c r="AS2474" s="19"/>
      <c r="AT2474" s="19"/>
      <c r="AU2474" s="19"/>
      <c r="AV2474" s="19"/>
      <c r="AW2474" s="19"/>
      <c r="AX2474" s="19"/>
      <c r="AY2474" s="19"/>
      <c r="AZ2474" s="19">
        <v>200</v>
      </c>
      <c r="BA2474" s="19">
        <f>200*55999</f>
        <v>11199800</v>
      </c>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c r="BV2474" s="19"/>
      <c r="BW2474" s="19"/>
      <c r="BX2474" s="19"/>
      <c r="BY2474" s="19"/>
      <c r="BZ2474" s="19"/>
      <c r="CA2474" s="19"/>
      <c r="CB2474" s="19"/>
      <c r="CC2474" s="19"/>
      <c r="CD2474" s="139"/>
      <c r="CE2474" s="138"/>
      <c r="CF2474" s="139"/>
      <c r="CG2474" s="138"/>
      <c r="CH2474" s="139"/>
      <c r="CI2474" s="138"/>
      <c r="CJ2474" s="72"/>
      <c r="CK2474" s="139"/>
      <c r="CL2474" s="71"/>
      <c r="CM2474" s="139"/>
      <c r="CN2474" s="138"/>
      <c r="CO2474" s="138"/>
      <c r="CP2474" s="138">
        <v>100</v>
      </c>
      <c r="CQ2474" s="139">
        <f>100*36999.36</f>
        <v>3699936</v>
      </c>
      <c r="CR2474" s="138">
        <v>100</v>
      </c>
      <c r="CS2474" s="45">
        <f>100*39699.84</f>
        <v>3969983.9999999995</v>
      </c>
      <c r="CT2474" s="138"/>
      <c r="CU2474" s="45"/>
      <c r="CV2474" s="99">
        <f t="shared" si="243"/>
        <v>18869720</v>
      </c>
      <c r="CW2474" s="139"/>
      <c r="CX2474" s="138"/>
      <c r="CY2474" s="138">
        <v>100</v>
      </c>
      <c r="CZ2474" s="138">
        <f>100*84998.48</f>
        <v>8499848</v>
      </c>
      <c r="DA2474" s="139">
        <v>200</v>
      </c>
      <c r="DB2474" s="138">
        <f>200*26999</f>
        <v>5399800</v>
      </c>
      <c r="DC2474" s="45">
        <v>1000</v>
      </c>
      <c r="DD2474" s="138">
        <f>1000*22999.32</f>
        <v>22999320</v>
      </c>
      <c r="DE2474" s="45"/>
      <c r="DF2474" s="46"/>
    </row>
    <row r="2475" spans="1:110" s="42" customFormat="1" ht="60" x14ac:dyDescent="0.2">
      <c r="A2475" s="89">
        <v>40851</v>
      </c>
      <c r="B2475" s="196" t="s">
        <v>4261</v>
      </c>
      <c r="C2475" s="197" t="s">
        <v>2863</v>
      </c>
      <c r="D2475" s="90" t="s">
        <v>4264</v>
      </c>
      <c r="E2475" s="90" t="str">
        <f>VLOOKUP(B2475&amp;C2475,Divipola!$C$2:$F$1138,4,FALSE)</f>
        <v>15238</v>
      </c>
      <c r="F2475" s="4"/>
      <c r="G2475" s="194"/>
      <c r="H2475" s="194"/>
      <c r="I2475" s="194"/>
      <c r="J2475" s="194">
        <v>75</v>
      </c>
      <c r="K2475" s="194">
        <v>15</v>
      </c>
      <c r="L2475" s="194"/>
      <c r="M2475" s="194">
        <v>15</v>
      </c>
      <c r="N2475" s="194"/>
      <c r="O2475" s="194"/>
      <c r="P2475" s="194"/>
      <c r="Q2475" s="194"/>
      <c r="R2475" s="194">
        <v>1</v>
      </c>
      <c r="S2475" s="194"/>
      <c r="T2475" s="194"/>
      <c r="U2475" s="194"/>
      <c r="V2475" s="194"/>
      <c r="W2475" s="19"/>
      <c r="X2475" s="17"/>
      <c r="Y2475" s="5">
        <f t="shared" si="238"/>
        <v>0</v>
      </c>
      <c r="Z2475" s="5">
        <f t="shared" si="239"/>
        <v>0</v>
      </c>
      <c r="AA2475" s="5">
        <f t="shared" si="240"/>
        <v>0</v>
      </c>
      <c r="AB2475" s="5">
        <f t="shared" si="241"/>
        <v>0</v>
      </c>
      <c r="AC2475" s="5"/>
      <c r="AD2475" s="5">
        <v>0</v>
      </c>
      <c r="AE2475" s="5">
        <f t="shared" si="242"/>
        <v>0</v>
      </c>
      <c r="AF2475" s="70">
        <v>0</v>
      </c>
      <c r="AG2475" s="17"/>
      <c r="AH2475" s="18"/>
      <c r="AI2475" s="47" t="s">
        <v>4346</v>
      </c>
      <c r="AJ2475" s="73" t="s">
        <v>4347</v>
      </c>
      <c r="AK2475" s="45"/>
      <c r="AL2475" s="17" t="s">
        <v>5531</v>
      </c>
      <c r="AM2475" s="195" t="s">
        <v>4946</v>
      </c>
      <c r="AN2475" s="19"/>
      <c r="AO2475" s="19"/>
      <c r="AP2475" s="19"/>
      <c r="AQ2475" s="19"/>
      <c r="AR2475" s="19"/>
      <c r="AS2475" s="19"/>
      <c r="AT2475" s="19"/>
      <c r="AU2475" s="19"/>
      <c r="AV2475" s="19"/>
      <c r="AW2475" s="19"/>
      <c r="AX2475" s="19"/>
      <c r="AY2475" s="19"/>
      <c r="AZ2475" s="19"/>
      <c r="BA2475" s="19"/>
      <c r="BB2475" s="19"/>
      <c r="BC2475" s="19"/>
      <c r="BD2475" s="19"/>
      <c r="BE2475" s="19"/>
      <c r="BF2475" s="19"/>
      <c r="BG2475" s="19"/>
      <c r="BH2475" s="19"/>
      <c r="BI2475" s="19"/>
      <c r="BJ2475" s="19"/>
      <c r="BK2475" s="19"/>
      <c r="BL2475" s="19"/>
      <c r="BM2475" s="19"/>
      <c r="BN2475" s="19"/>
      <c r="BO2475" s="19"/>
      <c r="BP2475" s="19"/>
      <c r="BQ2475" s="19"/>
      <c r="BR2475" s="19"/>
      <c r="BS2475" s="19"/>
      <c r="BT2475" s="19"/>
      <c r="BU2475" s="19"/>
      <c r="BV2475" s="19"/>
      <c r="BW2475" s="19"/>
      <c r="BX2475" s="19"/>
      <c r="BY2475" s="19"/>
      <c r="BZ2475" s="19"/>
      <c r="CA2475" s="19"/>
      <c r="CB2475" s="19"/>
      <c r="CC2475" s="19"/>
      <c r="CD2475" s="139"/>
      <c r="CE2475" s="138"/>
      <c r="CF2475" s="139"/>
      <c r="CG2475" s="138"/>
      <c r="CH2475" s="139"/>
      <c r="CI2475" s="138"/>
      <c r="CJ2475" s="72"/>
      <c r="CK2475" s="139"/>
      <c r="CL2475" s="71"/>
      <c r="CM2475" s="139"/>
      <c r="CN2475" s="138"/>
      <c r="CO2475" s="138"/>
      <c r="CP2475" s="138"/>
      <c r="CQ2475" s="139"/>
      <c r="CR2475" s="138"/>
      <c r="CS2475" s="45"/>
      <c r="CT2475" s="138"/>
      <c r="CU2475" s="45"/>
      <c r="CV2475" s="99">
        <f t="shared" si="243"/>
        <v>0</v>
      </c>
      <c r="CW2475" s="139"/>
      <c r="CX2475" s="138"/>
      <c r="CY2475" s="138"/>
      <c r="CZ2475" s="138"/>
      <c r="DA2475" s="139"/>
      <c r="DB2475" s="138"/>
      <c r="DC2475" s="45"/>
      <c r="DD2475" s="138"/>
      <c r="DE2475" s="45"/>
      <c r="DF2475" s="46"/>
    </row>
    <row r="2476" spans="1:110" s="42" customFormat="1" ht="84" x14ac:dyDescent="0.2">
      <c r="A2476" s="89">
        <v>40851</v>
      </c>
      <c r="B2476" s="16" t="s">
        <v>4282</v>
      </c>
      <c r="C2476" s="16" t="s">
        <v>4262</v>
      </c>
      <c r="D2476" s="90" t="s">
        <v>4264</v>
      </c>
      <c r="E2476" s="90" t="str">
        <f>VLOOKUP(B2476&amp;C2476,Divipola!$C$2:$F$1138,4,FALSE)</f>
        <v>23580</v>
      </c>
      <c r="F2476" s="4"/>
      <c r="G2476" s="208"/>
      <c r="H2476" s="208"/>
      <c r="I2476" s="208"/>
      <c r="J2476" s="208"/>
      <c r="K2476" s="208"/>
      <c r="L2476" s="208"/>
      <c r="M2476" s="208"/>
      <c r="N2476" s="208"/>
      <c r="O2476" s="208"/>
      <c r="P2476" s="208"/>
      <c r="Q2476" s="208"/>
      <c r="R2476" s="208"/>
      <c r="S2476" s="208"/>
      <c r="T2476" s="208"/>
      <c r="U2476" s="208"/>
      <c r="V2476" s="208"/>
      <c r="W2476" s="19"/>
      <c r="X2476" s="17"/>
      <c r="Y2476" s="5">
        <f t="shared" si="238"/>
        <v>0</v>
      </c>
      <c r="Z2476" s="5">
        <f t="shared" si="239"/>
        <v>0</v>
      </c>
      <c r="AA2476" s="5">
        <f t="shared" si="240"/>
        <v>0</v>
      </c>
      <c r="AB2476" s="5">
        <f t="shared" si="241"/>
        <v>0</v>
      </c>
      <c r="AC2476" s="5"/>
      <c r="AD2476" s="5">
        <v>20000000</v>
      </c>
      <c r="AE2476" s="5">
        <f t="shared" si="242"/>
        <v>20000000</v>
      </c>
      <c r="AF2476" s="70">
        <v>0</v>
      </c>
      <c r="AG2476" s="17"/>
      <c r="AH2476" s="18"/>
      <c r="AI2476" s="47" t="s">
        <v>4346</v>
      </c>
      <c r="AJ2476" s="73" t="s">
        <v>4347</v>
      </c>
      <c r="AK2476" s="45"/>
      <c r="AL2476" s="17"/>
      <c r="AM2476" s="20" t="s">
        <v>4877</v>
      </c>
      <c r="AN2476" s="19"/>
      <c r="AO2476" s="19"/>
      <c r="AP2476" s="19"/>
      <c r="AQ2476" s="19"/>
      <c r="AR2476" s="19"/>
      <c r="AS2476" s="19"/>
      <c r="AT2476" s="19"/>
      <c r="AU2476" s="19"/>
      <c r="AV2476" s="19"/>
      <c r="AW2476" s="19"/>
      <c r="AX2476" s="19"/>
      <c r="AY2476" s="19"/>
      <c r="AZ2476" s="19"/>
      <c r="BA2476" s="19"/>
      <c r="BB2476" s="19"/>
      <c r="BC2476" s="19"/>
      <c r="BD2476" s="19"/>
      <c r="BE2476" s="19"/>
      <c r="BF2476" s="19"/>
      <c r="BG2476" s="19"/>
      <c r="BH2476" s="19"/>
      <c r="BI2476" s="19"/>
      <c r="BJ2476" s="19"/>
      <c r="BK2476" s="19"/>
      <c r="BL2476" s="19"/>
      <c r="BM2476" s="19"/>
      <c r="BN2476" s="19"/>
      <c r="BO2476" s="19"/>
      <c r="BP2476" s="19"/>
      <c r="BQ2476" s="19"/>
      <c r="BR2476" s="19"/>
      <c r="BS2476" s="19"/>
      <c r="BT2476" s="19"/>
      <c r="BU2476" s="19"/>
      <c r="BV2476" s="19"/>
      <c r="BW2476" s="19"/>
      <c r="BX2476" s="19"/>
      <c r="BY2476" s="19"/>
      <c r="BZ2476" s="19"/>
      <c r="CA2476" s="19"/>
      <c r="CB2476" s="19"/>
      <c r="CC2476" s="19"/>
      <c r="CD2476" s="139"/>
      <c r="CE2476" s="138"/>
      <c r="CF2476" s="139"/>
      <c r="CG2476" s="138"/>
      <c r="CH2476" s="139"/>
      <c r="CI2476" s="138"/>
      <c r="CJ2476" s="72"/>
      <c r="CK2476" s="139"/>
      <c r="CL2476" s="71"/>
      <c r="CM2476" s="139"/>
      <c r="CN2476" s="138"/>
      <c r="CO2476" s="138"/>
      <c r="CP2476" s="138"/>
      <c r="CQ2476" s="139"/>
      <c r="CR2476" s="138"/>
      <c r="CS2476" s="45"/>
      <c r="CT2476" s="138"/>
      <c r="CU2476" s="45"/>
      <c r="CV2476" s="99">
        <f t="shared" si="243"/>
        <v>0</v>
      </c>
      <c r="CW2476" s="139"/>
      <c r="CX2476" s="138"/>
      <c r="CY2476" s="138"/>
      <c r="CZ2476" s="138"/>
      <c r="DA2476" s="139"/>
      <c r="DB2476" s="138"/>
      <c r="DC2476" s="45"/>
      <c r="DD2476" s="138"/>
      <c r="DE2476" s="45"/>
      <c r="DF2476" s="46"/>
    </row>
    <row r="2477" spans="1:110" s="42" customFormat="1" ht="96" x14ac:dyDescent="0.2">
      <c r="A2477" s="89">
        <v>40851</v>
      </c>
      <c r="B2477" s="151" t="s">
        <v>4344</v>
      </c>
      <c r="C2477" s="90" t="s">
        <v>3501</v>
      </c>
      <c r="D2477" s="90" t="s">
        <v>4264</v>
      </c>
      <c r="E2477" s="90" t="str">
        <f>VLOOKUP(B2477&amp;C2477,Divipola!$C$2:$F$1138,4,FALSE)</f>
        <v>25377</v>
      </c>
      <c r="F2477" s="4"/>
      <c r="G2477" s="101"/>
      <c r="H2477" s="101"/>
      <c r="I2477" s="101"/>
      <c r="J2477" s="101">
        <v>6</v>
      </c>
      <c r="K2477" s="101">
        <v>1</v>
      </c>
      <c r="L2477" s="101"/>
      <c r="M2477" s="101">
        <v>1</v>
      </c>
      <c r="N2477" s="101">
        <v>1</v>
      </c>
      <c r="O2477" s="101"/>
      <c r="P2477" s="101"/>
      <c r="Q2477" s="101"/>
      <c r="R2477" s="101"/>
      <c r="S2477" s="101"/>
      <c r="T2477" s="101"/>
      <c r="U2477" s="101"/>
      <c r="V2477" s="101"/>
      <c r="W2477" s="19"/>
      <c r="X2477" s="17"/>
      <c r="Y2477" s="5">
        <f t="shared" si="238"/>
        <v>0</v>
      </c>
      <c r="Z2477" s="5">
        <f t="shared" si="239"/>
        <v>0</v>
      </c>
      <c r="AA2477" s="5">
        <f t="shared" si="240"/>
        <v>0</v>
      </c>
      <c r="AB2477" s="5">
        <f t="shared" si="241"/>
        <v>0</v>
      </c>
      <c r="AC2477" s="5"/>
      <c r="AD2477" s="5">
        <v>0</v>
      </c>
      <c r="AE2477" s="5">
        <f t="shared" si="242"/>
        <v>0</v>
      </c>
      <c r="AF2477" s="70">
        <v>0</v>
      </c>
      <c r="AG2477" s="17"/>
      <c r="AH2477" s="18"/>
      <c r="AI2477" s="47" t="s">
        <v>4336</v>
      </c>
      <c r="AJ2477" s="73" t="s">
        <v>4337</v>
      </c>
      <c r="AK2477" s="45"/>
      <c r="AL2477" s="17"/>
      <c r="AM2477" s="121" t="s">
        <v>4906</v>
      </c>
      <c r="AN2477" s="19"/>
      <c r="AO2477" s="19"/>
      <c r="AP2477" s="19"/>
      <c r="AQ2477" s="19"/>
      <c r="AR2477" s="19"/>
      <c r="AS2477" s="19"/>
      <c r="AT2477" s="19"/>
      <c r="AU2477" s="19"/>
      <c r="AV2477" s="19"/>
      <c r="AW2477" s="19"/>
      <c r="AX2477" s="19"/>
      <c r="AY2477" s="19"/>
      <c r="AZ2477" s="19"/>
      <c r="BA2477" s="19"/>
      <c r="BB2477" s="19"/>
      <c r="BC2477" s="19"/>
      <c r="BD2477" s="19"/>
      <c r="BE2477" s="19"/>
      <c r="BF2477" s="19"/>
      <c r="BG2477" s="19"/>
      <c r="BH2477" s="19"/>
      <c r="BI2477" s="19"/>
      <c r="BJ2477" s="19"/>
      <c r="BK2477" s="19"/>
      <c r="BL2477" s="19"/>
      <c r="BM2477" s="19"/>
      <c r="BN2477" s="19"/>
      <c r="BO2477" s="19"/>
      <c r="BP2477" s="19"/>
      <c r="BQ2477" s="19"/>
      <c r="BR2477" s="19"/>
      <c r="BS2477" s="19"/>
      <c r="BT2477" s="19"/>
      <c r="BU2477" s="19"/>
      <c r="BV2477" s="19"/>
      <c r="BW2477" s="19"/>
      <c r="BX2477" s="19"/>
      <c r="BY2477" s="19"/>
      <c r="BZ2477" s="19"/>
      <c r="CA2477" s="19"/>
      <c r="CB2477" s="19"/>
      <c r="CC2477" s="19"/>
      <c r="CD2477" s="139"/>
      <c r="CE2477" s="138"/>
      <c r="CF2477" s="139"/>
      <c r="CG2477" s="138"/>
      <c r="CH2477" s="139"/>
      <c r="CI2477" s="138"/>
      <c r="CJ2477" s="72"/>
      <c r="CK2477" s="139"/>
      <c r="CL2477" s="71"/>
      <c r="CM2477" s="139"/>
      <c r="CN2477" s="138"/>
      <c r="CO2477" s="138"/>
      <c r="CP2477" s="138"/>
      <c r="CQ2477" s="139"/>
      <c r="CR2477" s="138"/>
      <c r="CS2477" s="45"/>
      <c r="CT2477" s="138"/>
      <c r="CU2477" s="45"/>
      <c r="CV2477" s="99">
        <f t="shared" si="243"/>
        <v>0</v>
      </c>
      <c r="CW2477" s="139"/>
      <c r="CX2477" s="138"/>
      <c r="CY2477" s="138"/>
      <c r="CZ2477" s="138"/>
      <c r="DA2477" s="139"/>
      <c r="DB2477" s="138"/>
      <c r="DC2477" s="45"/>
      <c r="DD2477" s="138"/>
      <c r="DE2477" s="45"/>
      <c r="DF2477" s="46"/>
    </row>
    <row r="2478" spans="1:110" s="42" customFormat="1" ht="60" x14ac:dyDescent="0.2">
      <c r="A2478" s="89">
        <v>40851</v>
      </c>
      <c r="B2478" s="151" t="s">
        <v>4344</v>
      </c>
      <c r="C2478" s="90" t="s">
        <v>3324</v>
      </c>
      <c r="D2478" s="90" t="s">
        <v>4264</v>
      </c>
      <c r="E2478" s="90" t="str">
        <f>VLOOKUP(B2478&amp;C2478,Divipola!$C$2:$F$1138,4,FALSE)</f>
        <v>25843</v>
      </c>
      <c r="F2478" s="4"/>
      <c r="G2478" s="101"/>
      <c r="H2478" s="101"/>
      <c r="I2478" s="101"/>
      <c r="J2478" s="101">
        <v>49</v>
      </c>
      <c r="K2478" s="101">
        <v>12</v>
      </c>
      <c r="L2478" s="101"/>
      <c r="M2478" s="101">
        <v>6</v>
      </c>
      <c r="N2478" s="101"/>
      <c r="O2478" s="101"/>
      <c r="P2478" s="101"/>
      <c r="Q2478" s="101"/>
      <c r="R2478" s="101"/>
      <c r="S2478" s="101"/>
      <c r="T2478" s="101"/>
      <c r="U2478" s="101"/>
      <c r="V2478" s="101"/>
      <c r="W2478" s="19"/>
      <c r="X2478" s="17"/>
      <c r="Y2478" s="5">
        <f t="shared" si="238"/>
        <v>0</v>
      </c>
      <c r="Z2478" s="5">
        <f t="shared" si="239"/>
        <v>0</v>
      </c>
      <c r="AA2478" s="5">
        <f t="shared" si="240"/>
        <v>0</v>
      </c>
      <c r="AB2478" s="5">
        <f t="shared" si="241"/>
        <v>0</v>
      </c>
      <c r="AC2478" s="5"/>
      <c r="AD2478" s="5">
        <v>0</v>
      </c>
      <c r="AE2478" s="5">
        <f t="shared" si="242"/>
        <v>0</v>
      </c>
      <c r="AF2478" s="70">
        <v>0</v>
      </c>
      <c r="AG2478" s="17"/>
      <c r="AH2478" s="18"/>
      <c r="AI2478" s="47" t="s">
        <v>4336</v>
      </c>
      <c r="AJ2478" s="73" t="s">
        <v>4337</v>
      </c>
      <c r="AK2478" s="45"/>
      <c r="AL2478" s="17"/>
      <c r="AM2478" s="121" t="s">
        <v>4907</v>
      </c>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39"/>
      <c r="CE2478" s="138"/>
      <c r="CF2478" s="139"/>
      <c r="CG2478" s="138"/>
      <c r="CH2478" s="139"/>
      <c r="CI2478" s="138"/>
      <c r="CJ2478" s="72"/>
      <c r="CK2478" s="139"/>
      <c r="CL2478" s="71"/>
      <c r="CM2478" s="139"/>
      <c r="CN2478" s="138"/>
      <c r="CO2478" s="138"/>
      <c r="CP2478" s="138"/>
      <c r="CQ2478" s="139"/>
      <c r="CR2478" s="138"/>
      <c r="CS2478" s="45"/>
      <c r="CT2478" s="138"/>
      <c r="CU2478" s="45"/>
      <c r="CV2478" s="99">
        <f t="shared" si="243"/>
        <v>0</v>
      </c>
      <c r="CW2478" s="139"/>
      <c r="CX2478" s="138"/>
      <c r="CY2478" s="138"/>
      <c r="CZ2478" s="138"/>
      <c r="DA2478" s="139"/>
      <c r="DB2478" s="138"/>
      <c r="DC2478" s="45"/>
      <c r="DD2478" s="138"/>
      <c r="DE2478" s="45"/>
      <c r="DF2478" s="46"/>
    </row>
    <row r="2479" spans="1:110" s="42" customFormat="1" ht="24" x14ac:dyDescent="0.2">
      <c r="A2479" s="89">
        <v>40851</v>
      </c>
      <c r="B2479" s="151" t="s">
        <v>4221</v>
      </c>
      <c r="C2479" s="90" t="s">
        <v>4373</v>
      </c>
      <c r="D2479" s="90" t="s">
        <v>4264</v>
      </c>
      <c r="E2479" s="90" t="str">
        <f>VLOOKUP(B2479&amp;C2479,Divipola!$C$2:$F$1138,4,FALSE)</f>
        <v>54174</v>
      </c>
      <c r="F2479" s="4"/>
      <c r="G2479" s="208"/>
      <c r="H2479" s="208"/>
      <c r="I2479" s="208"/>
      <c r="J2479" s="208"/>
      <c r="K2479" s="208"/>
      <c r="L2479" s="208"/>
      <c r="M2479" s="208"/>
      <c r="N2479" s="208"/>
      <c r="O2479" s="208"/>
      <c r="P2479" s="208"/>
      <c r="Q2479" s="208"/>
      <c r="R2479" s="208"/>
      <c r="S2479" s="208"/>
      <c r="T2479" s="208"/>
      <c r="U2479" s="208"/>
      <c r="V2479" s="208"/>
      <c r="W2479" s="19"/>
      <c r="X2479" s="17"/>
      <c r="Y2479" s="5">
        <f t="shared" si="238"/>
        <v>0</v>
      </c>
      <c r="Z2479" s="5">
        <f t="shared" si="239"/>
        <v>0</v>
      </c>
      <c r="AA2479" s="5">
        <f t="shared" si="240"/>
        <v>96962660</v>
      </c>
      <c r="AB2479" s="5">
        <f t="shared" si="241"/>
        <v>0</v>
      </c>
      <c r="AC2479" s="159">
        <f>5000*1500+2000*98000</f>
        <v>203500000</v>
      </c>
      <c r="AD2479" s="5">
        <v>0</v>
      </c>
      <c r="AE2479" s="5">
        <f t="shared" si="242"/>
        <v>300462660</v>
      </c>
      <c r="AF2479" s="70">
        <v>0</v>
      </c>
      <c r="AG2479" s="17"/>
      <c r="AH2479" s="18"/>
      <c r="AI2479" s="47" t="s">
        <v>4346</v>
      </c>
      <c r="AJ2479" s="73" t="s">
        <v>4347</v>
      </c>
      <c r="AK2479" s="45"/>
      <c r="AL2479" s="17"/>
      <c r="AM2479" s="20" t="s">
        <v>5212</v>
      </c>
      <c r="AN2479" s="19"/>
      <c r="AO2479" s="19"/>
      <c r="AP2479" s="19"/>
      <c r="AQ2479" s="19"/>
      <c r="AR2479" s="19"/>
      <c r="AS2479" s="19"/>
      <c r="AT2479" s="19"/>
      <c r="AU2479" s="19"/>
      <c r="AV2479" s="19"/>
      <c r="AW2479" s="19"/>
      <c r="AX2479" s="19"/>
      <c r="AY2479" s="19"/>
      <c r="AZ2479" s="19"/>
      <c r="BA2479" s="19"/>
      <c r="BB2479" s="19"/>
      <c r="BC2479" s="19"/>
      <c r="BD2479" s="19"/>
      <c r="BE2479" s="19"/>
      <c r="BF2479" s="19"/>
      <c r="BG2479" s="19"/>
      <c r="BH2479" s="19"/>
      <c r="BI2479" s="19"/>
      <c r="BJ2479" s="19"/>
      <c r="BK2479" s="19"/>
      <c r="BL2479" s="19"/>
      <c r="BM2479" s="19"/>
      <c r="BN2479" s="19"/>
      <c r="BO2479" s="19"/>
      <c r="BP2479" s="19"/>
      <c r="BQ2479" s="19"/>
      <c r="BR2479" s="19"/>
      <c r="BS2479" s="19"/>
      <c r="BT2479" s="19"/>
      <c r="BU2479" s="19"/>
      <c r="BV2479" s="19"/>
      <c r="BW2479" s="19"/>
      <c r="BX2479" s="19"/>
      <c r="BY2479" s="19"/>
      <c r="BZ2479" s="19"/>
      <c r="CA2479" s="19"/>
      <c r="CB2479" s="19"/>
      <c r="CC2479" s="19"/>
      <c r="CD2479" s="139"/>
      <c r="CE2479" s="138"/>
      <c r="CF2479" s="139"/>
      <c r="CG2479" s="138"/>
      <c r="CH2479" s="139"/>
      <c r="CI2479" s="138"/>
      <c r="CJ2479" s="72"/>
      <c r="CK2479" s="139"/>
      <c r="CL2479" s="71"/>
      <c r="CM2479" s="139"/>
      <c r="CN2479" s="138"/>
      <c r="CO2479" s="138"/>
      <c r="CP2479" s="138"/>
      <c r="CQ2479" s="139"/>
      <c r="CR2479" s="138"/>
      <c r="CS2479" s="45"/>
      <c r="CT2479" s="138"/>
      <c r="CU2479" s="45"/>
      <c r="CV2479" s="99">
        <f t="shared" si="243"/>
        <v>0</v>
      </c>
      <c r="CW2479" s="139"/>
      <c r="CX2479" s="138"/>
      <c r="CY2479" s="138"/>
      <c r="CZ2479" s="138"/>
      <c r="DA2479" s="139">
        <v>2000</v>
      </c>
      <c r="DB2479" s="138">
        <f>2000*29738.92</f>
        <v>59477840</v>
      </c>
      <c r="DC2479" s="45">
        <v>1500</v>
      </c>
      <c r="DD2479" s="138">
        <f>1500*24989.88</f>
        <v>37484820</v>
      </c>
      <c r="DE2479" s="45"/>
      <c r="DF2479" s="46"/>
    </row>
    <row r="2480" spans="1:110" s="42" customFormat="1" ht="36" x14ac:dyDescent="0.2">
      <c r="A2480" s="89">
        <v>40851</v>
      </c>
      <c r="B2480" s="16" t="s">
        <v>2226</v>
      </c>
      <c r="C2480" s="16" t="s">
        <v>4390</v>
      </c>
      <c r="D2480" s="90" t="s">
        <v>4264</v>
      </c>
      <c r="E2480" s="90" t="str">
        <f>VLOOKUP(B2480&amp;C2480,Divipola!$C$2:$F$1138,4,FALSE)</f>
        <v>68307</v>
      </c>
      <c r="F2480" s="4"/>
      <c r="G2480" s="208"/>
      <c r="H2480" s="208"/>
      <c r="I2480" s="208"/>
      <c r="J2480" s="208"/>
      <c r="K2480" s="208"/>
      <c r="L2480" s="208"/>
      <c r="M2480" s="208"/>
      <c r="N2480" s="208"/>
      <c r="O2480" s="208"/>
      <c r="P2480" s="208"/>
      <c r="Q2480" s="208"/>
      <c r="R2480" s="208"/>
      <c r="S2480" s="208"/>
      <c r="T2480" s="208"/>
      <c r="U2480" s="208"/>
      <c r="V2480" s="208"/>
      <c r="W2480" s="19"/>
      <c r="X2480" s="17"/>
      <c r="Y2480" s="5">
        <f t="shared" si="238"/>
        <v>0</v>
      </c>
      <c r="Z2480" s="5">
        <f t="shared" si="239"/>
        <v>0</v>
      </c>
      <c r="AA2480" s="5">
        <f t="shared" si="240"/>
        <v>0</v>
      </c>
      <c r="AB2480" s="5">
        <f t="shared" si="241"/>
        <v>0</v>
      </c>
      <c r="AC2480" s="5"/>
      <c r="AD2480" s="5">
        <v>20000000</v>
      </c>
      <c r="AE2480" s="5">
        <f t="shared" si="242"/>
        <v>20000000</v>
      </c>
      <c r="AF2480" s="70">
        <v>0</v>
      </c>
      <c r="AG2480" s="17"/>
      <c r="AH2480" s="18"/>
      <c r="AI2480" s="47" t="s">
        <v>4346</v>
      </c>
      <c r="AJ2480" s="73" t="s">
        <v>4347</v>
      </c>
      <c r="AK2480" s="45"/>
      <c r="AL2480" s="17"/>
      <c r="AM2480" s="20" t="s">
        <v>4875</v>
      </c>
      <c r="AN2480" s="19"/>
      <c r="AO2480" s="19"/>
      <c r="AP2480" s="19"/>
      <c r="AQ2480" s="19"/>
      <c r="AR2480" s="19"/>
      <c r="AS2480" s="19"/>
      <c r="AT2480" s="19"/>
      <c r="AU2480" s="19"/>
      <c r="AV2480" s="19"/>
      <c r="AW2480" s="19"/>
      <c r="AX2480" s="19"/>
      <c r="AY2480" s="19"/>
      <c r="AZ2480" s="19"/>
      <c r="BA2480" s="19"/>
      <c r="BB2480" s="19"/>
      <c r="BC2480" s="19"/>
      <c r="BD2480" s="19"/>
      <c r="BE2480" s="19"/>
      <c r="BF2480" s="19"/>
      <c r="BG2480" s="19"/>
      <c r="BH2480" s="19"/>
      <c r="BI2480" s="19"/>
      <c r="BJ2480" s="19"/>
      <c r="BK2480" s="19"/>
      <c r="BL2480" s="19"/>
      <c r="BM2480" s="19"/>
      <c r="BN2480" s="19"/>
      <c r="BO2480" s="19"/>
      <c r="BP2480" s="19"/>
      <c r="BQ2480" s="19"/>
      <c r="BR2480" s="19"/>
      <c r="BS2480" s="19"/>
      <c r="BT2480" s="19"/>
      <c r="BU2480" s="19"/>
      <c r="BV2480" s="19"/>
      <c r="BW2480" s="19"/>
      <c r="BX2480" s="19"/>
      <c r="BY2480" s="19"/>
      <c r="BZ2480" s="19"/>
      <c r="CA2480" s="19"/>
      <c r="CB2480" s="19"/>
      <c r="CC2480" s="19"/>
      <c r="CD2480" s="139"/>
      <c r="CE2480" s="138"/>
      <c r="CF2480" s="139"/>
      <c r="CG2480" s="138"/>
      <c r="CH2480" s="139"/>
      <c r="CI2480" s="138"/>
      <c r="CJ2480" s="72"/>
      <c r="CK2480" s="139"/>
      <c r="CL2480" s="71"/>
      <c r="CM2480" s="139"/>
      <c r="CN2480" s="138"/>
      <c r="CO2480" s="138"/>
      <c r="CP2480" s="138"/>
      <c r="CQ2480" s="139"/>
      <c r="CR2480" s="138"/>
      <c r="CS2480" s="45"/>
      <c r="CT2480" s="138"/>
      <c r="CU2480" s="45"/>
      <c r="CV2480" s="99">
        <f t="shared" si="243"/>
        <v>0</v>
      </c>
      <c r="CW2480" s="139"/>
      <c r="CX2480" s="138"/>
      <c r="CY2480" s="138"/>
      <c r="CZ2480" s="138"/>
      <c r="DA2480" s="139"/>
      <c r="DB2480" s="138"/>
      <c r="DC2480" s="45"/>
      <c r="DD2480" s="138"/>
      <c r="DE2480" s="45"/>
      <c r="DF2480" s="46"/>
    </row>
    <row r="2481" spans="1:110" s="42" customFormat="1" ht="36" x14ac:dyDescent="0.2">
      <c r="A2481" s="89">
        <v>40851</v>
      </c>
      <c r="B2481" s="16" t="s">
        <v>3316</v>
      </c>
      <c r="C2481" s="16" t="s">
        <v>3124</v>
      </c>
      <c r="D2481" s="90" t="s">
        <v>4264</v>
      </c>
      <c r="E2481" s="90" t="str">
        <f>VLOOKUP(B2481&amp;C2481,Divipola!$C$2:$F$1138,4,FALSE)</f>
        <v>73622</v>
      </c>
      <c r="F2481" s="4"/>
      <c r="G2481" s="208"/>
      <c r="H2481" s="208"/>
      <c r="I2481" s="208"/>
      <c r="J2481" s="208"/>
      <c r="K2481" s="208"/>
      <c r="L2481" s="208"/>
      <c r="M2481" s="208"/>
      <c r="N2481" s="208"/>
      <c r="O2481" s="208"/>
      <c r="P2481" s="208"/>
      <c r="Q2481" s="208"/>
      <c r="R2481" s="208"/>
      <c r="S2481" s="208"/>
      <c r="T2481" s="208"/>
      <c r="U2481" s="208"/>
      <c r="V2481" s="208"/>
      <c r="W2481" s="19"/>
      <c r="X2481" s="17"/>
      <c r="Y2481" s="5">
        <f t="shared" si="238"/>
        <v>0</v>
      </c>
      <c r="Z2481" s="5">
        <f t="shared" si="239"/>
        <v>0</v>
      </c>
      <c r="AA2481" s="5">
        <f t="shared" si="240"/>
        <v>0</v>
      </c>
      <c r="AB2481" s="5">
        <f t="shared" si="241"/>
        <v>0</v>
      </c>
      <c r="AC2481" s="5"/>
      <c r="AD2481" s="5">
        <v>15000000</v>
      </c>
      <c r="AE2481" s="5">
        <f t="shared" si="242"/>
        <v>15000000</v>
      </c>
      <c r="AF2481" s="70">
        <v>0</v>
      </c>
      <c r="AG2481" s="17"/>
      <c r="AH2481" s="18"/>
      <c r="AI2481" s="47" t="s">
        <v>4346</v>
      </c>
      <c r="AJ2481" s="73" t="s">
        <v>4347</v>
      </c>
      <c r="AK2481" s="45"/>
      <c r="AL2481" s="17"/>
      <c r="AM2481" s="20" t="s">
        <v>4876</v>
      </c>
      <c r="AN2481" s="19"/>
      <c r="AO2481" s="19"/>
      <c r="AP2481" s="19"/>
      <c r="AQ2481" s="19"/>
      <c r="AR2481" s="19"/>
      <c r="AS2481" s="19"/>
      <c r="AT2481" s="19"/>
      <c r="AU2481" s="19"/>
      <c r="AV2481" s="19"/>
      <c r="AW2481" s="19"/>
      <c r="AX2481" s="19"/>
      <c r="AY2481" s="19"/>
      <c r="AZ2481" s="19"/>
      <c r="BA2481" s="19"/>
      <c r="BB2481" s="19"/>
      <c r="BC2481" s="19"/>
      <c r="BD2481" s="19"/>
      <c r="BE2481" s="19"/>
      <c r="BF2481" s="19"/>
      <c r="BG2481" s="19"/>
      <c r="BH2481" s="19"/>
      <c r="BI2481" s="19"/>
      <c r="BJ2481" s="19"/>
      <c r="BK2481" s="19"/>
      <c r="BL2481" s="19"/>
      <c r="BM2481" s="19"/>
      <c r="BN2481" s="19"/>
      <c r="BO2481" s="19"/>
      <c r="BP2481" s="19"/>
      <c r="BQ2481" s="19"/>
      <c r="BR2481" s="19"/>
      <c r="BS2481" s="19"/>
      <c r="BT2481" s="19"/>
      <c r="BU2481" s="19"/>
      <c r="BV2481" s="19"/>
      <c r="BW2481" s="19"/>
      <c r="BX2481" s="19"/>
      <c r="BY2481" s="19"/>
      <c r="BZ2481" s="19"/>
      <c r="CA2481" s="19"/>
      <c r="CB2481" s="19"/>
      <c r="CC2481" s="19"/>
      <c r="CD2481" s="139"/>
      <c r="CE2481" s="138"/>
      <c r="CF2481" s="139"/>
      <c r="CG2481" s="138"/>
      <c r="CH2481" s="139"/>
      <c r="CI2481" s="138"/>
      <c r="CJ2481" s="72"/>
      <c r="CK2481" s="139"/>
      <c r="CL2481" s="71"/>
      <c r="CM2481" s="139"/>
      <c r="CN2481" s="138"/>
      <c r="CO2481" s="138"/>
      <c r="CP2481" s="138"/>
      <c r="CQ2481" s="139"/>
      <c r="CR2481" s="138"/>
      <c r="CS2481" s="45"/>
      <c r="CT2481" s="138"/>
      <c r="CU2481" s="45"/>
      <c r="CV2481" s="99">
        <f t="shared" si="243"/>
        <v>0</v>
      </c>
      <c r="CW2481" s="139"/>
      <c r="CX2481" s="138"/>
      <c r="CY2481" s="138"/>
      <c r="CZ2481" s="138"/>
      <c r="DA2481" s="139"/>
      <c r="DB2481" s="138"/>
      <c r="DC2481" s="45"/>
      <c r="DD2481" s="138"/>
      <c r="DE2481" s="45"/>
      <c r="DF2481" s="46"/>
    </row>
    <row r="2482" spans="1:110" s="42" customFormat="1" ht="240" x14ac:dyDescent="0.2">
      <c r="A2482" s="89">
        <v>40852</v>
      </c>
      <c r="B2482" s="215" t="s">
        <v>3533</v>
      </c>
      <c r="C2482" s="214" t="s">
        <v>862</v>
      </c>
      <c r="D2482" s="90" t="s">
        <v>2362</v>
      </c>
      <c r="E2482" s="90" t="str">
        <f>VLOOKUP(B2482&amp;C2482,Divipola!$C$2:$F$1138,4,FALSE)</f>
        <v>17001</v>
      </c>
      <c r="F2482" s="4"/>
      <c r="G2482" s="218">
        <v>48</v>
      </c>
      <c r="H2482" s="218">
        <v>14</v>
      </c>
      <c r="I2482" s="218"/>
      <c r="J2482" s="218">
        <v>83</v>
      </c>
      <c r="K2482" s="218">
        <v>35</v>
      </c>
      <c r="L2482" s="218">
        <v>14</v>
      </c>
      <c r="M2482" s="218">
        <v>3</v>
      </c>
      <c r="N2482" s="218">
        <v>1</v>
      </c>
      <c r="O2482" s="218"/>
      <c r="P2482" s="218"/>
      <c r="Q2482" s="218">
        <v>1</v>
      </c>
      <c r="R2482" s="218"/>
      <c r="S2482" s="218"/>
      <c r="T2482" s="218">
        <v>1</v>
      </c>
      <c r="U2482" s="218"/>
      <c r="V2482" s="218"/>
      <c r="W2482" s="19"/>
      <c r="X2482" s="17"/>
      <c r="Y2482" s="5">
        <f t="shared" si="238"/>
        <v>0</v>
      </c>
      <c r="Z2482" s="5">
        <f t="shared" si="239"/>
        <v>0</v>
      </c>
      <c r="AA2482" s="5">
        <f t="shared" si="240"/>
        <v>0</v>
      </c>
      <c r="AB2482" s="5">
        <f t="shared" si="241"/>
        <v>0</v>
      </c>
      <c r="AC2482" s="159">
        <f>2000*599.72+1000*14999.96+2000*2900</f>
        <v>21999400</v>
      </c>
      <c r="AD2482" s="5">
        <v>0</v>
      </c>
      <c r="AE2482" s="5">
        <f t="shared" si="242"/>
        <v>21999400</v>
      </c>
      <c r="AF2482" s="70">
        <v>0</v>
      </c>
      <c r="AG2482" s="17"/>
      <c r="AH2482" s="18"/>
      <c r="AI2482" s="47" t="s">
        <v>4346</v>
      </c>
      <c r="AJ2482" s="73" t="s">
        <v>4347</v>
      </c>
      <c r="AK2482" s="45"/>
      <c r="AL2482" s="17"/>
      <c r="AM2482" s="217" t="s">
        <v>4932</v>
      </c>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c r="BW2482" s="19"/>
      <c r="BX2482" s="19"/>
      <c r="BY2482" s="19"/>
      <c r="BZ2482" s="19"/>
      <c r="CA2482" s="19"/>
      <c r="CB2482" s="19"/>
      <c r="CC2482" s="19"/>
      <c r="CD2482" s="139"/>
      <c r="CE2482" s="138"/>
      <c r="CF2482" s="139"/>
      <c r="CG2482" s="138"/>
      <c r="CH2482" s="139"/>
      <c r="CI2482" s="138"/>
      <c r="CJ2482" s="72"/>
      <c r="CK2482" s="139"/>
      <c r="CL2482" s="71"/>
      <c r="CM2482" s="139"/>
      <c r="CN2482" s="138"/>
      <c r="CO2482" s="138"/>
      <c r="CP2482" s="138"/>
      <c r="CQ2482" s="139"/>
      <c r="CR2482" s="138"/>
      <c r="CS2482" s="45"/>
      <c r="CT2482" s="138"/>
      <c r="CU2482" s="45"/>
      <c r="CV2482" s="99">
        <f t="shared" si="243"/>
        <v>0</v>
      </c>
      <c r="CW2482" s="139"/>
      <c r="CX2482" s="138"/>
      <c r="CY2482" s="138"/>
      <c r="CZ2482" s="138"/>
      <c r="DA2482" s="139"/>
      <c r="DB2482" s="138"/>
      <c r="DC2482" s="45"/>
      <c r="DD2482" s="138"/>
      <c r="DE2482" s="45"/>
      <c r="DF2482" s="46"/>
    </row>
    <row r="2483" spans="1:110" s="42" customFormat="1" ht="408" x14ac:dyDescent="0.2">
      <c r="A2483" s="89">
        <v>40852</v>
      </c>
      <c r="B2483" s="215" t="s">
        <v>4350</v>
      </c>
      <c r="C2483" s="214" t="s">
        <v>3535</v>
      </c>
      <c r="D2483" s="90" t="s">
        <v>2362</v>
      </c>
      <c r="E2483" s="90" t="str">
        <f>VLOOKUP(B2483&amp;C2483,Divipola!$C$2:$F$1138,4,FALSE)</f>
        <v>63130</v>
      </c>
      <c r="F2483" s="4"/>
      <c r="G2483" s="216">
        <v>4</v>
      </c>
      <c r="H2483" s="216">
        <v>5</v>
      </c>
      <c r="I2483" s="216"/>
      <c r="J2483" s="216">
        <v>9</v>
      </c>
      <c r="K2483" s="216">
        <v>2</v>
      </c>
      <c r="L2483" s="216">
        <v>2</v>
      </c>
      <c r="M2483" s="216"/>
      <c r="N2483" s="216"/>
      <c r="O2483" s="216"/>
      <c r="P2483" s="216"/>
      <c r="Q2483" s="216"/>
      <c r="R2483" s="216"/>
      <c r="S2483" s="216"/>
      <c r="T2483" s="216"/>
      <c r="U2483" s="216"/>
      <c r="V2483" s="216"/>
      <c r="W2483" s="19"/>
      <c r="X2483" s="17"/>
      <c r="Y2483" s="5">
        <f t="shared" si="238"/>
        <v>0</v>
      </c>
      <c r="Z2483" s="5">
        <f t="shared" si="239"/>
        <v>0</v>
      </c>
      <c r="AA2483" s="5">
        <f t="shared" si="240"/>
        <v>0</v>
      </c>
      <c r="AB2483" s="5">
        <f t="shared" si="241"/>
        <v>0</v>
      </c>
      <c r="AC2483" s="5"/>
      <c r="AD2483" s="5">
        <v>0</v>
      </c>
      <c r="AE2483" s="5">
        <f t="shared" si="242"/>
        <v>0</v>
      </c>
      <c r="AF2483" s="70">
        <v>0</v>
      </c>
      <c r="AG2483" s="17"/>
      <c r="AH2483" s="18"/>
      <c r="AI2483" s="47" t="s">
        <v>4346</v>
      </c>
      <c r="AJ2483" s="73" t="s">
        <v>4347</v>
      </c>
      <c r="AK2483" s="45"/>
      <c r="AL2483" s="17" t="s">
        <v>5051</v>
      </c>
      <c r="AM2483" s="217" t="s">
        <v>4882</v>
      </c>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c r="BW2483" s="19"/>
      <c r="BX2483" s="19"/>
      <c r="BY2483" s="19"/>
      <c r="BZ2483" s="19"/>
      <c r="CA2483" s="19"/>
      <c r="CB2483" s="19"/>
      <c r="CC2483" s="19"/>
      <c r="CD2483" s="139"/>
      <c r="CE2483" s="138"/>
      <c r="CF2483" s="139"/>
      <c r="CG2483" s="138"/>
      <c r="CH2483" s="139"/>
      <c r="CI2483" s="138"/>
      <c r="CJ2483" s="72"/>
      <c r="CK2483" s="139"/>
      <c r="CL2483" s="71"/>
      <c r="CM2483" s="139"/>
      <c r="CN2483" s="138"/>
      <c r="CO2483" s="138"/>
      <c r="CP2483" s="138"/>
      <c r="CQ2483" s="139"/>
      <c r="CR2483" s="138"/>
      <c r="CS2483" s="45"/>
      <c r="CT2483" s="138"/>
      <c r="CU2483" s="45"/>
      <c r="CV2483" s="99">
        <f t="shared" si="243"/>
        <v>0</v>
      </c>
      <c r="CW2483" s="139"/>
      <c r="CX2483" s="138"/>
      <c r="CY2483" s="138"/>
      <c r="CZ2483" s="138"/>
      <c r="DA2483" s="139"/>
      <c r="DB2483" s="138"/>
      <c r="DC2483" s="45"/>
      <c r="DD2483" s="138"/>
      <c r="DE2483" s="45"/>
      <c r="DF2483" s="46"/>
    </row>
    <row r="2484" spans="1:110" s="42" customFormat="1" ht="84" x14ac:dyDescent="0.2">
      <c r="A2484" s="89">
        <v>40852</v>
      </c>
      <c r="B2484" s="151" t="s">
        <v>4344</v>
      </c>
      <c r="C2484" s="90" t="s">
        <v>2209</v>
      </c>
      <c r="D2484" s="90" t="s">
        <v>2362</v>
      </c>
      <c r="E2484" s="90" t="str">
        <f>VLOOKUP(B2484&amp;C2484,Divipola!$C$2:$F$1138,4,FALSE)</f>
        <v>25214</v>
      </c>
      <c r="F2484" s="4"/>
      <c r="G2484" s="101"/>
      <c r="H2484" s="101"/>
      <c r="I2484" s="101"/>
      <c r="J2484" s="101">
        <v>15</v>
      </c>
      <c r="K2484" s="101">
        <v>4</v>
      </c>
      <c r="L2484" s="101"/>
      <c r="M2484" s="101">
        <v>4</v>
      </c>
      <c r="N2484" s="101">
        <v>1</v>
      </c>
      <c r="O2484" s="101"/>
      <c r="P2484" s="101"/>
      <c r="Q2484" s="101"/>
      <c r="R2484" s="101"/>
      <c r="S2484" s="101"/>
      <c r="T2484" s="101"/>
      <c r="U2484" s="101"/>
      <c r="V2484" s="101"/>
      <c r="W2484" s="19"/>
      <c r="X2484" s="17"/>
      <c r="Y2484" s="5">
        <f t="shared" si="238"/>
        <v>0</v>
      </c>
      <c r="Z2484" s="5">
        <f t="shared" si="239"/>
        <v>0</v>
      </c>
      <c r="AA2484" s="5">
        <f t="shared" si="240"/>
        <v>0</v>
      </c>
      <c r="AB2484" s="5">
        <f t="shared" si="241"/>
        <v>0</v>
      </c>
      <c r="AC2484" s="5"/>
      <c r="AD2484" s="5">
        <v>0</v>
      </c>
      <c r="AE2484" s="5">
        <f t="shared" si="242"/>
        <v>0</v>
      </c>
      <c r="AF2484" s="70">
        <v>0</v>
      </c>
      <c r="AG2484" s="17"/>
      <c r="AH2484" s="18"/>
      <c r="AI2484" s="47" t="s">
        <v>4336</v>
      </c>
      <c r="AJ2484" s="73" t="s">
        <v>4337</v>
      </c>
      <c r="AK2484" s="45"/>
      <c r="AL2484" s="17"/>
      <c r="AM2484" s="121" t="s">
        <v>5274</v>
      </c>
      <c r="AN2484" s="19"/>
      <c r="AO2484" s="19"/>
      <c r="AP2484" s="19"/>
      <c r="AQ2484" s="19"/>
      <c r="AR2484" s="19"/>
      <c r="AS2484" s="19"/>
      <c r="AT2484" s="19"/>
      <c r="AU2484" s="19"/>
      <c r="AV2484" s="19"/>
      <c r="AW2484" s="19"/>
      <c r="AX2484" s="19"/>
      <c r="AY2484" s="19"/>
      <c r="AZ2484" s="19"/>
      <c r="BA2484" s="19"/>
      <c r="BB2484" s="19"/>
      <c r="BC2484" s="19"/>
      <c r="BD2484" s="19"/>
      <c r="BE2484" s="19"/>
      <c r="BF2484" s="19"/>
      <c r="BG2484" s="19"/>
      <c r="BH2484" s="19"/>
      <c r="BI2484" s="19"/>
      <c r="BJ2484" s="19"/>
      <c r="BK2484" s="19"/>
      <c r="BL2484" s="19"/>
      <c r="BM2484" s="19"/>
      <c r="BN2484" s="19"/>
      <c r="BO2484" s="19"/>
      <c r="BP2484" s="19"/>
      <c r="BQ2484" s="19"/>
      <c r="BR2484" s="19"/>
      <c r="BS2484" s="19"/>
      <c r="BT2484" s="19"/>
      <c r="BU2484" s="19"/>
      <c r="BV2484" s="19"/>
      <c r="BW2484" s="19"/>
      <c r="BX2484" s="19"/>
      <c r="BY2484" s="19"/>
      <c r="BZ2484" s="19"/>
      <c r="CA2484" s="19"/>
      <c r="CB2484" s="19"/>
      <c r="CC2484" s="19"/>
      <c r="CD2484" s="139"/>
      <c r="CE2484" s="138"/>
      <c r="CF2484" s="139"/>
      <c r="CG2484" s="138"/>
      <c r="CH2484" s="139"/>
      <c r="CI2484" s="138"/>
      <c r="CJ2484" s="72"/>
      <c r="CK2484" s="139"/>
      <c r="CL2484" s="71"/>
      <c r="CM2484" s="139"/>
      <c r="CN2484" s="138"/>
      <c r="CO2484" s="138"/>
      <c r="CP2484" s="138"/>
      <c r="CQ2484" s="139"/>
      <c r="CR2484" s="138"/>
      <c r="CS2484" s="45"/>
      <c r="CT2484" s="138"/>
      <c r="CU2484" s="45"/>
      <c r="CV2484" s="99">
        <f t="shared" si="243"/>
        <v>0</v>
      </c>
      <c r="CW2484" s="139"/>
      <c r="CX2484" s="138"/>
      <c r="CY2484" s="138"/>
      <c r="CZ2484" s="138"/>
      <c r="DA2484" s="139"/>
      <c r="DB2484" s="138"/>
      <c r="DC2484" s="45"/>
      <c r="DD2484" s="138"/>
      <c r="DE2484" s="45"/>
      <c r="DF2484" s="46"/>
    </row>
    <row r="2485" spans="1:110" s="42" customFormat="1" ht="120" x14ac:dyDescent="0.2">
      <c r="A2485" s="89">
        <v>40853</v>
      </c>
      <c r="B2485" s="151" t="s">
        <v>3358</v>
      </c>
      <c r="C2485" s="90" t="s">
        <v>4253</v>
      </c>
      <c r="D2485" s="90" t="s">
        <v>2362</v>
      </c>
      <c r="E2485" s="90" t="str">
        <f>VLOOKUP(B2485&amp;C2485,Divipola!$C$2:$F$1138,4,FALSE)</f>
        <v>18001</v>
      </c>
      <c r="F2485" s="4"/>
      <c r="G2485" s="219"/>
      <c r="H2485" s="219"/>
      <c r="I2485" s="219"/>
      <c r="J2485" s="219"/>
      <c r="K2485" s="219"/>
      <c r="L2485" s="219"/>
      <c r="M2485" s="219"/>
      <c r="N2485" s="219"/>
      <c r="O2485" s="219"/>
      <c r="P2485" s="219"/>
      <c r="Q2485" s="219">
        <v>1</v>
      </c>
      <c r="R2485" s="219"/>
      <c r="S2485" s="219"/>
      <c r="T2485" s="219"/>
      <c r="U2485" s="219"/>
      <c r="V2485" s="219"/>
      <c r="W2485" s="19"/>
      <c r="X2485" s="17"/>
      <c r="Y2485" s="5">
        <f t="shared" si="238"/>
        <v>0</v>
      </c>
      <c r="Z2485" s="5">
        <f t="shared" si="239"/>
        <v>0</v>
      </c>
      <c r="AA2485" s="5">
        <f t="shared" si="240"/>
        <v>0</v>
      </c>
      <c r="AB2485" s="5">
        <f t="shared" si="241"/>
        <v>0</v>
      </c>
      <c r="AC2485" s="5"/>
      <c r="AD2485" s="5">
        <v>0</v>
      </c>
      <c r="AE2485" s="5">
        <f t="shared" si="242"/>
        <v>0</v>
      </c>
      <c r="AF2485" s="70">
        <v>0</v>
      </c>
      <c r="AG2485" s="17"/>
      <c r="AH2485" s="18"/>
      <c r="AI2485" s="47" t="s">
        <v>4336</v>
      </c>
      <c r="AJ2485" s="73" t="s">
        <v>4337</v>
      </c>
      <c r="AK2485" s="45"/>
      <c r="AL2485" s="17"/>
      <c r="AM2485" s="220" t="s">
        <v>4883</v>
      </c>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9"/>
      <c r="BW2485" s="19"/>
      <c r="BX2485" s="19"/>
      <c r="BY2485" s="19"/>
      <c r="BZ2485" s="19"/>
      <c r="CA2485" s="19"/>
      <c r="CB2485" s="19"/>
      <c r="CC2485" s="19"/>
      <c r="CD2485" s="139"/>
      <c r="CE2485" s="138"/>
      <c r="CF2485" s="139"/>
      <c r="CG2485" s="138"/>
      <c r="CH2485" s="139"/>
      <c r="CI2485" s="138"/>
      <c r="CJ2485" s="72"/>
      <c r="CK2485" s="139"/>
      <c r="CL2485" s="71"/>
      <c r="CM2485" s="139"/>
      <c r="CN2485" s="138"/>
      <c r="CO2485" s="138"/>
      <c r="CP2485" s="138"/>
      <c r="CQ2485" s="139"/>
      <c r="CR2485" s="138"/>
      <c r="CS2485" s="45"/>
      <c r="CT2485" s="138"/>
      <c r="CU2485" s="45"/>
      <c r="CV2485" s="99">
        <f t="shared" si="243"/>
        <v>0</v>
      </c>
      <c r="CW2485" s="139"/>
      <c r="CX2485" s="138"/>
      <c r="CY2485" s="138"/>
      <c r="CZ2485" s="138"/>
      <c r="DA2485" s="139"/>
      <c r="DB2485" s="138"/>
      <c r="DC2485" s="45"/>
      <c r="DD2485" s="138"/>
      <c r="DE2485" s="45"/>
      <c r="DF2485" s="46"/>
    </row>
    <row r="2486" spans="1:110" s="42" customFormat="1" ht="24" x14ac:dyDescent="0.2">
      <c r="A2486" s="89">
        <v>40853</v>
      </c>
      <c r="B2486" s="16" t="s">
        <v>4221</v>
      </c>
      <c r="C2486" s="16" t="s">
        <v>4299</v>
      </c>
      <c r="D2486" s="90" t="s">
        <v>2362</v>
      </c>
      <c r="E2486" s="90" t="str">
        <f>VLOOKUP(B2486&amp;C2486,Divipola!$C$2:$F$1138,4,FALSE)</f>
        <v>54001</v>
      </c>
      <c r="F2486" s="4"/>
      <c r="G2486" s="208"/>
      <c r="H2486" s="208"/>
      <c r="I2486" s="208"/>
      <c r="J2486" s="208"/>
      <c r="K2486" s="208"/>
      <c r="L2486" s="208"/>
      <c r="M2486" s="208"/>
      <c r="N2486" s="208">
        <v>1</v>
      </c>
      <c r="O2486" s="208"/>
      <c r="P2486" s="208"/>
      <c r="Q2486" s="208"/>
      <c r="R2486" s="208"/>
      <c r="S2486" s="208"/>
      <c r="T2486" s="208"/>
      <c r="U2486" s="208"/>
      <c r="V2486" s="208"/>
      <c r="W2486" s="19"/>
      <c r="X2486" s="17"/>
      <c r="Y2486" s="5">
        <f t="shared" si="238"/>
        <v>0</v>
      </c>
      <c r="Z2486" s="5">
        <f t="shared" si="239"/>
        <v>0</v>
      </c>
      <c r="AA2486" s="5">
        <f t="shared" si="240"/>
        <v>0</v>
      </c>
      <c r="AB2486" s="5">
        <f t="shared" si="241"/>
        <v>0</v>
      </c>
      <c r="AC2486" s="5"/>
      <c r="AD2486" s="5">
        <v>0</v>
      </c>
      <c r="AE2486" s="5">
        <f t="shared" si="242"/>
        <v>0</v>
      </c>
      <c r="AF2486" s="70">
        <v>0</v>
      </c>
      <c r="AG2486" s="17"/>
      <c r="AH2486" s="18"/>
      <c r="AI2486" s="47" t="s">
        <v>4346</v>
      </c>
      <c r="AJ2486" s="73" t="s">
        <v>5262</v>
      </c>
      <c r="AK2486" s="45"/>
      <c r="AL2486" s="17" t="s">
        <v>5263</v>
      </c>
      <c r="AM2486" s="20" t="s">
        <v>4884</v>
      </c>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39"/>
      <c r="CE2486" s="138"/>
      <c r="CF2486" s="139"/>
      <c r="CG2486" s="138"/>
      <c r="CH2486" s="139"/>
      <c r="CI2486" s="138"/>
      <c r="CJ2486" s="72"/>
      <c r="CK2486" s="139"/>
      <c r="CL2486" s="71"/>
      <c r="CM2486" s="139"/>
      <c r="CN2486" s="138"/>
      <c r="CO2486" s="138"/>
      <c r="CP2486" s="138"/>
      <c r="CQ2486" s="139"/>
      <c r="CR2486" s="138"/>
      <c r="CS2486" s="45"/>
      <c r="CT2486" s="138"/>
      <c r="CU2486" s="45"/>
      <c r="CV2486" s="99">
        <f t="shared" si="243"/>
        <v>0</v>
      </c>
      <c r="CW2486" s="139"/>
      <c r="CX2486" s="138"/>
      <c r="CY2486" s="138"/>
      <c r="CZ2486" s="138"/>
      <c r="DA2486" s="139"/>
      <c r="DB2486" s="138"/>
      <c r="DC2486" s="45"/>
      <c r="DD2486" s="138"/>
      <c r="DE2486" s="45"/>
      <c r="DF2486" s="46"/>
    </row>
    <row r="2487" spans="1:110" s="42" customFormat="1" ht="264" x14ac:dyDescent="0.2">
      <c r="A2487" s="89">
        <v>40853</v>
      </c>
      <c r="B2487" s="151" t="s">
        <v>3316</v>
      </c>
      <c r="C2487" s="90" t="s">
        <v>3527</v>
      </c>
      <c r="D2487" s="90" t="s">
        <v>4264</v>
      </c>
      <c r="E2487" s="90" t="str">
        <f>VLOOKUP(B2487&amp;C2487,Divipola!$C$2:$F$1138,4,FALSE)</f>
        <v>73319</v>
      </c>
      <c r="F2487" s="4"/>
      <c r="G2487" s="219"/>
      <c r="H2487" s="219"/>
      <c r="I2487" s="219"/>
      <c r="J2487" s="219"/>
      <c r="K2487" s="219"/>
      <c r="L2487" s="219"/>
      <c r="M2487" s="219"/>
      <c r="N2487" s="219">
        <v>1</v>
      </c>
      <c r="O2487" s="219"/>
      <c r="P2487" s="219"/>
      <c r="Q2487" s="219"/>
      <c r="R2487" s="219">
        <v>1</v>
      </c>
      <c r="S2487" s="219"/>
      <c r="T2487" s="219"/>
      <c r="U2487" s="219"/>
      <c r="V2487" s="219"/>
      <c r="W2487" s="19"/>
      <c r="X2487" s="17"/>
      <c r="Y2487" s="5">
        <f t="shared" si="238"/>
        <v>0</v>
      </c>
      <c r="Z2487" s="5">
        <f t="shared" si="239"/>
        <v>0</v>
      </c>
      <c r="AA2487" s="5">
        <f t="shared" si="240"/>
        <v>0</v>
      </c>
      <c r="AB2487" s="5">
        <f t="shared" si="241"/>
        <v>0</v>
      </c>
      <c r="AC2487" s="5"/>
      <c r="AD2487" s="5">
        <v>0</v>
      </c>
      <c r="AE2487" s="5">
        <f t="shared" si="242"/>
        <v>0</v>
      </c>
      <c r="AF2487" s="70">
        <v>0</v>
      </c>
      <c r="AG2487" s="17"/>
      <c r="AH2487" s="18"/>
      <c r="AI2487" s="47" t="s">
        <v>4346</v>
      </c>
      <c r="AJ2487" s="73" t="s">
        <v>4347</v>
      </c>
      <c r="AK2487" s="45"/>
      <c r="AL2487" s="17" t="s">
        <v>5534</v>
      </c>
      <c r="AM2487" s="220" t="s">
        <v>4898</v>
      </c>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c r="BV2487" s="19"/>
      <c r="BW2487" s="19"/>
      <c r="BX2487" s="19"/>
      <c r="BY2487" s="19"/>
      <c r="BZ2487" s="19"/>
      <c r="CA2487" s="19"/>
      <c r="CB2487" s="19"/>
      <c r="CC2487" s="19"/>
      <c r="CD2487" s="139"/>
      <c r="CE2487" s="138"/>
      <c r="CF2487" s="139"/>
      <c r="CG2487" s="138"/>
      <c r="CH2487" s="139"/>
      <c r="CI2487" s="138"/>
      <c r="CJ2487" s="72"/>
      <c r="CK2487" s="139"/>
      <c r="CL2487" s="71"/>
      <c r="CM2487" s="139"/>
      <c r="CN2487" s="138"/>
      <c r="CO2487" s="138"/>
      <c r="CP2487" s="138"/>
      <c r="CQ2487" s="139"/>
      <c r="CR2487" s="138"/>
      <c r="CS2487" s="45"/>
      <c r="CT2487" s="138"/>
      <c r="CU2487" s="45"/>
      <c r="CV2487" s="99">
        <f t="shared" si="243"/>
        <v>0</v>
      </c>
      <c r="CW2487" s="139"/>
      <c r="CX2487" s="138"/>
      <c r="CY2487" s="138"/>
      <c r="CZ2487" s="138"/>
      <c r="DA2487" s="139"/>
      <c r="DB2487" s="138"/>
      <c r="DC2487" s="45"/>
      <c r="DD2487" s="138"/>
      <c r="DE2487" s="45"/>
      <c r="DF2487" s="46"/>
    </row>
    <row r="2488" spans="1:110" s="42" customFormat="1" ht="84" x14ac:dyDescent="0.2">
      <c r="A2488" s="89">
        <v>40853</v>
      </c>
      <c r="B2488" s="151" t="s">
        <v>4244</v>
      </c>
      <c r="C2488" s="90" t="s">
        <v>2768</v>
      </c>
      <c r="D2488" s="90" t="s">
        <v>4264</v>
      </c>
      <c r="E2488" s="90" t="str">
        <f>VLOOKUP(B2488&amp;C2488,Divipola!$C$2:$F$1138,4,FALSE)</f>
        <v>76001</v>
      </c>
      <c r="F2488" s="4"/>
      <c r="G2488" s="219">
        <v>5</v>
      </c>
      <c r="H2488" s="219">
        <v>2</v>
      </c>
      <c r="I2488" s="219"/>
      <c r="J2488" s="219"/>
      <c r="K2488" s="219"/>
      <c r="L2488" s="219"/>
      <c r="M2488" s="219"/>
      <c r="N2488" s="219"/>
      <c r="O2488" s="219"/>
      <c r="P2488" s="219"/>
      <c r="Q2488" s="219"/>
      <c r="R2488" s="219"/>
      <c r="S2488" s="219"/>
      <c r="T2488" s="219"/>
      <c r="U2488" s="219"/>
      <c r="V2488" s="219"/>
      <c r="W2488" s="19"/>
      <c r="X2488" s="17"/>
      <c r="Y2488" s="5">
        <f t="shared" si="238"/>
        <v>0</v>
      </c>
      <c r="Z2488" s="5">
        <f t="shared" si="239"/>
        <v>0</v>
      </c>
      <c r="AA2488" s="5">
        <f t="shared" si="240"/>
        <v>0</v>
      </c>
      <c r="AB2488" s="5">
        <f t="shared" si="241"/>
        <v>0</v>
      </c>
      <c r="AC2488" s="5"/>
      <c r="AD2488" s="5">
        <v>0</v>
      </c>
      <c r="AE2488" s="5">
        <f t="shared" si="242"/>
        <v>0</v>
      </c>
      <c r="AF2488" s="70">
        <v>0</v>
      </c>
      <c r="AG2488" s="17"/>
      <c r="AH2488" s="18"/>
      <c r="AI2488" s="47" t="s">
        <v>4336</v>
      </c>
      <c r="AJ2488" s="73" t="s">
        <v>4337</v>
      </c>
      <c r="AK2488" s="45"/>
      <c r="AL2488" s="17"/>
      <c r="AM2488" s="220" t="s">
        <v>4899</v>
      </c>
      <c r="AN2488" s="19"/>
      <c r="AO2488" s="19"/>
      <c r="AP2488" s="19"/>
      <c r="AQ2488" s="19"/>
      <c r="AR2488" s="19"/>
      <c r="AS2488" s="19"/>
      <c r="AT2488" s="19"/>
      <c r="AU2488" s="19"/>
      <c r="AV2488" s="19"/>
      <c r="AW2488" s="19"/>
      <c r="AX2488" s="19"/>
      <c r="AY2488" s="19"/>
      <c r="AZ2488" s="19"/>
      <c r="BA2488" s="19"/>
      <c r="BB2488" s="19"/>
      <c r="BC2488" s="19"/>
      <c r="BD2488" s="19"/>
      <c r="BE2488" s="19"/>
      <c r="BF2488" s="19"/>
      <c r="BG2488" s="19"/>
      <c r="BH2488" s="19"/>
      <c r="BI2488" s="19"/>
      <c r="BJ2488" s="19"/>
      <c r="BK2488" s="19"/>
      <c r="BL2488" s="19"/>
      <c r="BM2488" s="19"/>
      <c r="BN2488" s="19"/>
      <c r="BO2488" s="19"/>
      <c r="BP2488" s="19"/>
      <c r="BQ2488" s="19"/>
      <c r="BR2488" s="19"/>
      <c r="BS2488" s="19"/>
      <c r="BT2488" s="19"/>
      <c r="BU2488" s="19"/>
      <c r="BV2488" s="19"/>
      <c r="BW2488" s="19"/>
      <c r="BX2488" s="19"/>
      <c r="BY2488" s="19"/>
      <c r="BZ2488" s="19"/>
      <c r="CA2488" s="19"/>
      <c r="CB2488" s="19"/>
      <c r="CC2488" s="19"/>
      <c r="CD2488" s="139"/>
      <c r="CE2488" s="138"/>
      <c r="CF2488" s="139"/>
      <c r="CG2488" s="138"/>
      <c r="CH2488" s="139"/>
      <c r="CI2488" s="138"/>
      <c r="CJ2488" s="72"/>
      <c r="CK2488" s="139"/>
      <c r="CL2488" s="71"/>
      <c r="CM2488" s="139"/>
      <c r="CN2488" s="138"/>
      <c r="CO2488" s="138"/>
      <c r="CP2488" s="138"/>
      <c r="CQ2488" s="139"/>
      <c r="CR2488" s="138"/>
      <c r="CS2488" s="45"/>
      <c r="CT2488" s="138"/>
      <c r="CU2488" s="45"/>
      <c r="CV2488" s="99">
        <f t="shared" si="243"/>
        <v>0</v>
      </c>
      <c r="CW2488" s="139"/>
      <c r="CX2488" s="138"/>
      <c r="CY2488" s="138"/>
      <c r="CZ2488" s="138"/>
      <c r="DA2488" s="139"/>
      <c r="DB2488" s="138"/>
      <c r="DC2488" s="45"/>
      <c r="DD2488" s="138"/>
      <c r="DE2488" s="45"/>
      <c r="DF2488" s="46"/>
    </row>
    <row r="2489" spans="1:110" s="42" customFormat="1" ht="48" x14ac:dyDescent="0.2">
      <c r="A2489" s="89">
        <v>40854</v>
      </c>
      <c r="B2489" s="151" t="s">
        <v>4326</v>
      </c>
      <c r="C2489" s="90" t="s">
        <v>4338</v>
      </c>
      <c r="D2489" s="90" t="s">
        <v>2362</v>
      </c>
      <c r="E2489" s="90" t="str">
        <f>VLOOKUP(B2489&amp;C2489,Divipola!$C$2:$F$1138,4,FALSE)</f>
        <v>08001</v>
      </c>
      <c r="F2489" s="4"/>
      <c r="G2489" s="101"/>
      <c r="H2489" s="101">
        <v>1</v>
      </c>
      <c r="I2489" s="101"/>
      <c r="J2489" s="101">
        <v>75</v>
      </c>
      <c r="K2489" s="101">
        <v>15</v>
      </c>
      <c r="L2489" s="101">
        <v>3</v>
      </c>
      <c r="M2489" s="101">
        <v>12</v>
      </c>
      <c r="N2489" s="101"/>
      <c r="O2489" s="101"/>
      <c r="P2489" s="101"/>
      <c r="Q2489" s="101"/>
      <c r="R2489" s="101"/>
      <c r="S2489" s="101"/>
      <c r="T2489" s="101"/>
      <c r="U2489" s="101"/>
      <c r="V2489" s="101"/>
      <c r="W2489" s="19"/>
      <c r="X2489" s="17"/>
      <c r="Y2489" s="5">
        <f t="shared" si="238"/>
        <v>0</v>
      </c>
      <c r="Z2489" s="5">
        <f t="shared" si="239"/>
        <v>0</v>
      </c>
      <c r="AA2489" s="5">
        <f t="shared" si="240"/>
        <v>0</v>
      </c>
      <c r="AB2489" s="5">
        <f t="shared" si="241"/>
        <v>0</v>
      </c>
      <c r="AC2489" s="5"/>
      <c r="AD2489" s="5">
        <v>0</v>
      </c>
      <c r="AE2489" s="5">
        <f t="shared" si="242"/>
        <v>0</v>
      </c>
      <c r="AF2489" s="70">
        <v>0</v>
      </c>
      <c r="AG2489" s="17"/>
      <c r="AH2489" s="18"/>
      <c r="AI2489" s="47" t="s">
        <v>4346</v>
      </c>
      <c r="AJ2489" s="73" t="s">
        <v>4347</v>
      </c>
      <c r="AK2489" s="45"/>
      <c r="AL2489" s="17"/>
      <c r="AM2489" s="121" t="s">
        <v>4901</v>
      </c>
      <c r="AN2489" s="19"/>
      <c r="AO2489" s="19"/>
      <c r="AP2489" s="19"/>
      <c r="AQ2489" s="19"/>
      <c r="AR2489" s="19"/>
      <c r="AS2489" s="19"/>
      <c r="AT2489" s="19"/>
      <c r="AU2489" s="19"/>
      <c r="AV2489" s="19"/>
      <c r="AW2489" s="19"/>
      <c r="AX2489" s="19"/>
      <c r="AY2489" s="19"/>
      <c r="AZ2489" s="19"/>
      <c r="BA2489" s="19"/>
      <c r="BB2489" s="19"/>
      <c r="BC2489" s="19"/>
      <c r="BD2489" s="19"/>
      <c r="BE2489" s="19"/>
      <c r="BF2489" s="19"/>
      <c r="BG2489" s="19"/>
      <c r="BH2489" s="19"/>
      <c r="BI2489" s="19"/>
      <c r="BJ2489" s="19"/>
      <c r="BK2489" s="19"/>
      <c r="BL2489" s="19"/>
      <c r="BM2489" s="19"/>
      <c r="BN2489" s="19"/>
      <c r="BO2489" s="19"/>
      <c r="BP2489" s="19"/>
      <c r="BQ2489" s="19"/>
      <c r="BR2489" s="19"/>
      <c r="BS2489" s="19"/>
      <c r="BT2489" s="19"/>
      <c r="BU2489" s="19"/>
      <c r="BV2489" s="19"/>
      <c r="BW2489" s="19"/>
      <c r="BX2489" s="19"/>
      <c r="BY2489" s="19"/>
      <c r="BZ2489" s="19"/>
      <c r="CA2489" s="19"/>
      <c r="CB2489" s="19"/>
      <c r="CC2489" s="19"/>
      <c r="CD2489" s="139"/>
      <c r="CE2489" s="138"/>
      <c r="CF2489" s="139"/>
      <c r="CG2489" s="138"/>
      <c r="CH2489" s="139"/>
      <c r="CI2489" s="138"/>
      <c r="CJ2489" s="72"/>
      <c r="CK2489" s="139"/>
      <c r="CL2489" s="71"/>
      <c r="CM2489" s="139"/>
      <c r="CN2489" s="138"/>
      <c r="CO2489" s="138"/>
      <c r="CP2489" s="138"/>
      <c r="CQ2489" s="139"/>
      <c r="CR2489" s="138"/>
      <c r="CS2489" s="45"/>
      <c r="CT2489" s="138"/>
      <c r="CU2489" s="45"/>
      <c r="CV2489" s="99">
        <f t="shared" si="243"/>
        <v>0</v>
      </c>
      <c r="CW2489" s="139"/>
      <c r="CX2489" s="138"/>
      <c r="CY2489" s="138"/>
      <c r="CZ2489" s="138"/>
      <c r="DA2489" s="139"/>
      <c r="DB2489" s="138"/>
      <c r="DC2489" s="45"/>
      <c r="DD2489" s="138"/>
      <c r="DE2489" s="45"/>
      <c r="DF2489" s="46"/>
    </row>
    <row r="2490" spans="1:110" s="42" customFormat="1" ht="60" x14ac:dyDescent="0.2">
      <c r="A2490" s="89">
        <v>40854</v>
      </c>
      <c r="B2490" s="151" t="s">
        <v>2225</v>
      </c>
      <c r="C2490" s="90" t="s">
        <v>3365</v>
      </c>
      <c r="D2490" s="90" t="s">
        <v>4264</v>
      </c>
      <c r="E2490" s="90" t="str">
        <f>VLOOKUP(B2490&amp;C2490,Divipola!$C$2:$F$1138,4,FALSE)</f>
        <v>27413</v>
      </c>
      <c r="F2490" s="4"/>
      <c r="G2490" s="101"/>
      <c r="H2490" s="101"/>
      <c r="I2490" s="101"/>
      <c r="J2490" s="101">
        <v>3807</v>
      </c>
      <c r="K2490" s="101">
        <v>810</v>
      </c>
      <c r="L2490" s="101">
        <v>2</v>
      </c>
      <c r="M2490" s="101">
        <v>328</v>
      </c>
      <c r="N2490" s="101"/>
      <c r="O2490" s="101"/>
      <c r="P2490" s="101"/>
      <c r="Q2490" s="101"/>
      <c r="R2490" s="101"/>
      <c r="S2490" s="101"/>
      <c r="T2490" s="101"/>
      <c r="U2490" s="101"/>
      <c r="V2490" s="101"/>
      <c r="W2490" s="19"/>
      <c r="X2490" s="17"/>
      <c r="Y2490" s="5">
        <f t="shared" si="238"/>
        <v>38499240</v>
      </c>
      <c r="Z2490" s="5">
        <f t="shared" si="239"/>
        <v>134645000</v>
      </c>
      <c r="AA2490" s="5">
        <f t="shared" si="240"/>
        <v>36881040</v>
      </c>
      <c r="AB2490" s="5">
        <f t="shared" si="241"/>
        <v>0</v>
      </c>
      <c r="AC2490" s="5"/>
      <c r="AD2490" s="5">
        <v>0</v>
      </c>
      <c r="AE2490" s="5">
        <f t="shared" si="242"/>
        <v>210025280</v>
      </c>
      <c r="AF2490" s="70">
        <v>0</v>
      </c>
      <c r="AG2490" s="17"/>
      <c r="AH2490" s="18"/>
      <c r="AI2490" s="47" t="s">
        <v>4346</v>
      </c>
      <c r="AJ2490" s="73" t="s">
        <v>4347</v>
      </c>
      <c r="AK2490" s="45"/>
      <c r="AL2490" s="17"/>
      <c r="AM2490" s="121" t="s">
        <v>4910</v>
      </c>
      <c r="AN2490" s="19"/>
      <c r="AO2490" s="19"/>
      <c r="AP2490" s="19"/>
      <c r="AQ2490" s="19"/>
      <c r="AR2490" s="19"/>
      <c r="AS2490" s="19"/>
      <c r="AT2490" s="19"/>
      <c r="AU2490" s="19"/>
      <c r="AV2490" s="19"/>
      <c r="AW2490" s="19"/>
      <c r="AX2490" s="19"/>
      <c r="AY2490" s="19"/>
      <c r="AZ2490" s="19">
        <v>500</v>
      </c>
      <c r="BA2490" s="19">
        <f>500*55999</f>
        <v>27999500</v>
      </c>
      <c r="BB2490" s="19"/>
      <c r="BC2490" s="19"/>
      <c r="BD2490" s="19"/>
      <c r="BE2490" s="19"/>
      <c r="BF2490" s="19"/>
      <c r="BG2490" s="19"/>
      <c r="BH2490" s="19"/>
      <c r="BI2490" s="19"/>
      <c r="BJ2490" s="19"/>
      <c r="BK2490" s="19"/>
      <c r="BL2490" s="19"/>
      <c r="BM2490" s="19"/>
      <c r="BN2490" s="19"/>
      <c r="BO2490" s="19"/>
      <c r="BP2490" s="19"/>
      <c r="BQ2490" s="19"/>
      <c r="BR2490" s="19"/>
      <c r="BS2490" s="19"/>
      <c r="BT2490" s="19"/>
      <c r="BU2490" s="19"/>
      <c r="BV2490" s="19"/>
      <c r="BW2490" s="19"/>
      <c r="BX2490" s="19"/>
      <c r="BY2490" s="19"/>
      <c r="BZ2490" s="19"/>
      <c r="CA2490" s="19"/>
      <c r="CB2490" s="19"/>
      <c r="CC2490" s="19"/>
      <c r="CD2490" s="139"/>
      <c r="CE2490" s="138"/>
      <c r="CF2490" s="139"/>
      <c r="CG2490" s="138"/>
      <c r="CH2490" s="139"/>
      <c r="CI2490" s="138"/>
      <c r="CJ2490" s="72">
        <v>500</v>
      </c>
      <c r="CK2490" s="139">
        <f>500*20999.48</f>
        <v>10499740</v>
      </c>
      <c r="CL2490" s="71"/>
      <c r="CM2490" s="139"/>
      <c r="CN2490" s="138"/>
      <c r="CO2490" s="138"/>
      <c r="CP2490" s="138"/>
      <c r="CQ2490" s="139"/>
      <c r="CR2490" s="138"/>
      <c r="CS2490" s="45"/>
      <c r="CT2490" s="138"/>
      <c r="CU2490" s="45"/>
      <c r="CV2490" s="99">
        <f t="shared" si="243"/>
        <v>38499240</v>
      </c>
      <c r="CW2490" s="139"/>
      <c r="CX2490" s="138"/>
      <c r="CY2490" s="138">
        <f>755+810</f>
        <v>1565</v>
      </c>
      <c r="CZ2490" s="138">
        <f>755*85000+810*87000</f>
        <v>134645000</v>
      </c>
      <c r="DA2490" s="139"/>
      <c r="DB2490" s="138"/>
      <c r="DC2490" s="45">
        <v>1500</v>
      </c>
      <c r="DD2490" s="138">
        <f>1500*22499.36+9000*348</f>
        <v>36881040</v>
      </c>
      <c r="DE2490" s="45"/>
      <c r="DF2490" s="46"/>
    </row>
    <row r="2491" spans="1:110" s="42" customFormat="1" ht="60" x14ac:dyDescent="0.2">
      <c r="A2491" s="89">
        <v>40854</v>
      </c>
      <c r="B2491" s="151" t="s">
        <v>4344</v>
      </c>
      <c r="C2491" s="90" t="s">
        <v>3526</v>
      </c>
      <c r="D2491" s="90" t="s">
        <v>4264</v>
      </c>
      <c r="E2491" s="90" t="str">
        <f>VLOOKUP(B2491&amp;C2491,Divipola!$C$2:$F$1138,4,FALSE)</f>
        <v>25148</v>
      </c>
      <c r="F2491" s="4"/>
      <c r="G2491" s="101"/>
      <c r="H2491" s="101"/>
      <c r="I2491" s="101"/>
      <c r="J2491" s="101">
        <v>10</v>
      </c>
      <c r="K2491" s="101">
        <v>2</v>
      </c>
      <c r="L2491" s="101">
        <v>2</v>
      </c>
      <c r="M2491" s="101"/>
      <c r="N2491" s="101"/>
      <c r="O2491" s="101"/>
      <c r="P2491" s="101"/>
      <c r="Q2491" s="101"/>
      <c r="R2491" s="101"/>
      <c r="S2491" s="101"/>
      <c r="T2491" s="101"/>
      <c r="U2491" s="101"/>
      <c r="V2491" s="101"/>
      <c r="W2491" s="19"/>
      <c r="X2491" s="17"/>
      <c r="Y2491" s="5">
        <f t="shared" si="238"/>
        <v>0</v>
      </c>
      <c r="Z2491" s="5">
        <f t="shared" si="239"/>
        <v>0</v>
      </c>
      <c r="AA2491" s="5">
        <f t="shared" si="240"/>
        <v>0</v>
      </c>
      <c r="AB2491" s="5">
        <f t="shared" si="241"/>
        <v>0</v>
      </c>
      <c r="AC2491" s="5"/>
      <c r="AD2491" s="5">
        <v>0</v>
      </c>
      <c r="AE2491" s="5">
        <f t="shared" si="242"/>
        <v>0</v>
      </c>
      <c r="AF2491" s="70">
        <v>0</v>
      </c>
      <c r="AG2491" s="17"/>
      <c r="AH2491" s="18"/>
      <c r="AI2491" s="47" t="s">
        <v>4336</v>
      </c>
      <c r="AJ2491" s="73" t="s">
        <v>4337</v>
      </c>
      <c r="AK2491" s="45"/>
      <c r="AL2491" s="17"/>
      <c r="AM2491" s="121" t="s">
        <v>4908</v>
      </c>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39"/>
      <c r="CE2491" s="138"/>
      <c r="CF2491" s="139"/>
      <c r="CG2491" s="138"/>
      <c r="CH2491" s="139"/>
      <c r="CI2491" s="138"/>
      <c r="CJ2491" s="72"/>
      <c r="CK2491" s="139"/>
      <c r="CL2491" s="71"/>
      <c r="CM2491" s="139"/>
      <c r="CN2491" s="138"/>
      <c r="CO2491" s="138"/>
      <c r="CP2491" s="138"/>
      <c r="CQ2491" s="139"/>
      <c r="CR2491" s="138"/>
      <c r="CS2491" s="45"/>
      <c r="CT2491" s="138"/>
      <c r="CU2491" s="45"/>
      <c r="CV2491" s="99">
        <f t="shared" si="243"/>
        <v>0</v>
      </c>
      <c r="CW2491" s="139"/>
      <c r="CX2491" s="138"/>
      <c r="CY2491" s="138"/>
      <c r="CZ2491" s="138"/>
      <c r="DA2491" s="139"/>
      <c r="DB2491" s="138"/>
      <c r="DC2491" s="45"/>
      <c r="DD2491" s="138"/>
      <c r="DE2491" s="45"/>
      <c r="DF2491" s="46"/>
    </row>
    <row r="2492" spans="1:110" s="42" customFormat="1" ht="96" x14ac:dyDescent="0.2">
      <c r="A2492" s="89">
        <v>40854</v>
      </c>
      <c r="B2492" s="151" t="s">
        <v>4344</v>
      </c>
      <c r="C2492" s="90" t="s">
        <v>4517</v>
      </c>
      <c r="D2492" s="90" t="s">
        <v>4264</v>
      </c>
      <c r="E2492" s="90" t="str">
        <f>VLOOKUP(B2492&amp;C2492,Divipola!$C$2:$F$1138,4,FALSE)</f>
        <v>25851</v>
      </c>
      <c r="F2492" s="4"/>
      <c r="G2492" s="101"/>
      <c r="H2492" s="101"/>
      <c r="I2492" s="101"/>
      <c r="J2492" s="101"/>
      <c r="K2492" s="101"/>
      <c r="L2492" s="101"/>
      <c r="M2492" s="101"/>
      <c r="N2492" s="101"/>
      <c r="O2492" s="101"/>
      <c r="P2492" s="101"/>
      <c r="Q2492" s="101"/>
      <c r="R2492" s="101"/>
      <c r="S2492" s="101"/>
      <c r="T2492" s="101"/>
      <c r="U2492" s="101"/>
      <c r="V2492" s="101"/>
      <c r="W2492" s="19"/>
      <c r="X2492" s="17"/>
      <c r="Y2492" s="5">
        <f t="shared" si="238"/>
        <v>0</v>
      </c>
      <c r="Z2492" s="5">
        <f t="shared" si="239"/>
        <v>0</v>
      </c>
      <c r="AA2492" s="5">
        <f t="shared" si="240"/>
        <v>0</v>
      </c>
      <c r="AB2492" s="5">
        <f t="shared" si="241"/>
        <v>0</v>
      </c>
      <c r="AC2492" s="5"/>
      <c r="AD2492" s="5">
        <v>0</v>
      </c>
      <c r="AE2492" s="5">
        <f t="shared" si="242"/>
        <v>0</v>
      </c>
      <c r="AF2492" s="70">
        <v>0</v>
      </c>
      <c r="AG2492" s="17"/>
      <c r="AH2492" s="18"/>
      <c r="AI2492" s="47" t="s">
        <v>4336</v>
      </c>
      <c r="AJ2492" s="73" t="s">
        <v>4337</v>
      </c>
      <c r="AK2492" s="45"/>
      <c r="AL2492" s="17"/>
      <c r="AM2492" s="121" t="s">
        <v>4909</v>
      </c>
      <c r="AN2492" s="19"/>
      <c r="AO2492" s="19"/>
      <c r="AP2492" s="19"/>
      <c r="AQ2492" s="19"/>
      <c r="AR2492" s="19"/>
      <c r="AS2492" s="19"/>
      <c r="AT2492" s="19"/>
      <c r="AU2492" s="19"/>
      <c r="AV2492" s="19"/>
      <c r="AW2492" s="19"/>
      <c r="AX2492" s="19"/>
      <c r="AY2492" s="19"/>
      <c r="AZ2492" s="19"/>
      <c r="BA2492" s="19"/>
      <c r="BB2492" s="19"/>
      <c r="BC2492" s="19"/>
      <c r="BD2492" s="19"/>
      <c r="BE2492" s="19"/>
      <c r="BF2492" s="19"/>
      <c r="BG2492" s="19"/>
      <c r="BH2492" s="19"/>
      <c r="BI2492" s="19"/>
      <c r="BJ2492" s="19"/>
      <c r="BK2492" s="19"/>
      <c r="BL2492" s="19"/>
      <c r="BM2492" s="19"/>
      <c r="BN2492" s="19"/>
      <c r="BO2492" s="19"/>
      <c r="BP2492" s="19"/>
      <c r="BQ2492" s="19"/>
      <c r="BR2492" s="19"/>
      <c r="BS2492" s="19"/>
      <c r="BT2492" s="19"/>
      <c r="BU2492" s="19"/>
      <c r="BV2492" s="19"/>
      <c r="BW2492" s="19"/>
      <c r="BX2492" s="19"/>
      <c r="BY2492" s="19"/>
      <c r="BZ2492" s="19"/>
      <c r="CA2492" s="19"/>
      <c r="CB2492" s="19"/>
      <c r="CC2492" s="19"/>
      <c r="CD2492" s="139"/>
      <c r="CE2492" s="138"/>
      <c r="CF2492" s="139"/>
      <c r="CG2492" s="138"/>
      <c r="CH2492" s="139"/>
      <c r="CI2492" s="138"/>
      <c r="CJ2492" s="72"/>
      <c r="CK2492" s="139"/>
      <c r="CL2492" s="71"/>
      <c r="CM2492" s="139"/>
      <c r="CN2492" s="138"/>
      <c r="CO2492" s="138"/>
      <c r="CP2492" s="138"/>
      <c r="CQ2492" s="139"/>
      <c r="CR2492" s="138"/>
      <c r="CS2492" s="45"/>
      <c r="CT2492" s="138"/>
      <c r="CU2492" s="45"/>
      <c r="CV2492" s="99">
        <f t="shared" si="243"/>
        <v>0</v>
      </c>
      <c r="CW2492" s="139"/>
      <c r="CX2492" s="138"/>
      <c r="CY2492" s="138"/>
      <c r="CZ2492" s="138"/>
      <c r="DA2492" s="139"/>
      <c r="DB2492" s="138"/>
      <c r="DC2492" s="45"/>
      <c r="DD2492" s="138"/>
      <c r="DE2492" s="45"/>
      <c r="DF2492" s="46"/>
    </row>
    <row r="2493" spans="1:110" s="42" customFormat="1" ht="60" x14ac:dyDescent="0.2">
      <c r="A2493" s="89">
        <v>40854</v>
      </c>
      <c r="B2493" s="151" t="s">
        <v>4219</v>
      </c>
      <c r="C2493" s="90" t="s">
        <v>4382</v>
      </c>
      <c r="D2493" s="90" t="s">
        <v>4264</v>
      </c>
      <c r="E2493" s="90" t="str">
        <f>VLOOKUP(B2493&amp;C2493,Divipola!$C$2:$F$1138,4,FALSE)</f>
        <v>41807</v>
      </c>
      <c r="F2493" s="4"/>
      <c r="G2493" s="101"/>
      <c r="H2493" s="101"/>
      <c r="I2493" s="101"/>
      <c r="J2493" s="101">
        <v>20</v>
      </c>
      <c r="K2493" s="101">
        <v>4</v>
      </c>
      <c r="L2493" s="101"/>
      <c r="M2493" s="101">
        <v>4</v>
      </c>
      <c r="N2493" s="101"/>
      <c r="O2493" s="101"/>
      <c r="P2493" s="101"/>
      <c r="Q2493" s="101"/>
      <c r="R2493" s="101"/>
      <c r="S2493" s="101"/>
      <c r="T2493" s="101"/>
      <c r="U2493" s="101"/>
      <c r="V2493" s="101"/>
      <c r="W2493" s="19"/>
      <c r="X2493" s="17"/>
      <c r="Y2493" s="5">
        <f t="shared" si="238"/>
        <v>0</v>
      </c>
      <c r="Z2493" s="5">
        <f t="shared" si="239"/>
        <v>0</v>
      </c>
      <c r="AA2493" s="5">
        <f t="shared" si="240"/>
        <v>0</v>
      </c>
      <c r="AB2493" s="5">
        <f t="shared" si="241"/>
        <v>0</v>
      </c>
      <c r="AC2493" s="5"/>
      <c r="AD2493" s="5">
        <v>0</v>
      </c>
      <c r="AE2493" s="5">
        <f t="shared" si="242"/>
        <v>0</v>
      </c>
      <c r="AF2493" s="70">
        <v>0</v>
      </c>
      <c r="AG2493" s="17"/>
      <c r="AH2493" s="18"/>
      <c r="AI2493" s="47" t="s">
        <v>4346</v>
      </c>
      <c r="AJ2493" s="73" t="s">
        <v>4347</v>
      </c>
      <c r="AK2493" s="45"/>
      <c r="AL2493" s="89" t="s">
        <v>2798</v>
      </c>
      <c r="AM2493" s="121" t="s">
        <v>4916</v>
      </c>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c r="BW2493" s="19"/>
      <c r="BX2493" s="19"/>
      <c r="BY2493" s="19"/>
      <c r="BZ2493" s="19"/>
      <c r="CA2493" s="19"/>
      <c r="CB2493" s="19"/>
      <c r="CC2493" s="19"/>
      <c r="CD2493" s="139"/>
      <c r="CE2493" s="138"/>
      <c r="CF2493" s="139"/>
      <c r="CG2493" s="138"/>
      <c r="CH2493" s="139"/>
      <c r="CI2493" s="138"/>
      <c r="CJ2493" s="72"/>
      <c r="CK2493" s="139"/>
      <c r="CL2493" s="71"/>
      <c r="CM2493" s="139"/>
      <c r="CN2493" s="138"/>
      <c r="CO2493" s="138"/>
      <c r="CP2493" s="138"/>
      <c r="CQ2493" s="139"/>
      <c r="CR2493" s="138"/>
      <c r="CS2493" s="45"/>
      <c r="CT2493" s="138"/>
      <c r="CU2493" s="45"/>
      <c r="CV2493" s="99">
        <f t="shared" si="243"/>
        <v>0</v>
      </c>
      <c r="CW2493" s="139"/>
      <c r="CX2493" s="138"/>
      <c r="CY2493" s="138"/>
      <c r="CZ2493" s="138"/>
      <c r="DA2493" s="139"/>
      <c r="DB2493" s="138"/>
      <c r="DC2493" s="45"/>
      <c r="DD2493" s="138"/>
      <c r="DE2493" s="45"/>
      <c r="DF2493" s="46"/>
    </row>
    <row r="2494" spans="1:110" s="42" customFormat="1" ht="48" x14ac:dyDescent="0.2">
      <c r="A2494" s="89">
        <v>40854</v>
      </c>
      <c r="B2494" s="151" t="s">
        <v>4350</v>
      </c>
      <c r="C2494" s="90" t="s">
        <v>4252</v>
      </c>
      <c r="D2494" s="90" t="s">
        <v>2362</v>
      </c>
      <c r="E2494" s="90" t="str">
        <f>VLOOKUP(B2494&amp;C2494,Divipola!$C$2:$F$1138,4,FALSE)</f>
        <v>63690</v>
      </c>
      <c r="F2494" s="4"/>
      <c r="G2494" s="101"/>
      <c r="H2494" s="101"/>
      <c r="I2494" s="101"/>
      <c r="J2494" s="101">
        <v>5</v>
      </c>
      <c r="K2494" s="101">
        <v>1</v>
      </c>
      <c r="L2494" s="101"/>
      <c r="M2494" s="101">
        <v>1</v>
      </c>
      <c r="N2494" s="101"/>
      <c r="O2494" s="101"/>
      <c r="P2494" s="101"/>
      <c r="Q2494" s="101"/>
      <c r="R2494" s="101"/>
      <c r="S2494" s="101"/>
      <c r="T2494" s="101"/>
      <c r="U2494" s="101"/>
      <c r="V2494" s="101"/>
      <c r="W2494" s="19"/>
      <c r="X2494" s="17"/>
      <c r="Y2494" s="5">
        <f t="shared" si="238"/>
        <v>0</v>
      </c>
      <c r="Z2494" s="5">
        <f t="shared" si="239"/>
        <v>0</v>
      </c>
      <c r="AA2494" s="5">
        <f t="shared" si="240"/>
        <v>0</v>
      </c>
      <c r="AB2494" s="5">
        <f t="shared" si="241"/>
        <v>0</v>
      </c>
      <c r="AC2494" s="5"/>
      <c r="AD2494" s="5">
        <v>0</v>
      </c>
      <c r="AE2494" s="5">
        <f t="shared" si="242"/>
        <v>0</v>
      </c>
      <c r="AF2494" s="70">
        <v>0</v>
      </c>
      <c r="AG2494" s="17"/>
      <c r="AH2494" s="18"/>
      <c r="AI2494" s="47" t="s">
        <v>4346</v>
      </c>
      <c r="AJ2494" s="73" t="s">
        <v>4347</v>
      </c>
      <c r="AK2494" s="45"/>
      <c r="AL2494" s="17" t="s">
        <v>5051</v>
      </c>
      <c r="AM2494" s="121" t="s">
        <v>4904</v>
      </c>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39"/>
      <c r="CE2494" s="138"/>
      <c r="CF2494" s="139"/>
      <c r="CG2494" s="138"/>
      <c r="CH2494" s="139"/>
      <c r="CI2494" s="138"/>
      <c r="CJ2494" s="72"/>
      <c r="CK2494" s="139"/>
      <c r="CL2494" s="71"/>
      <c r="CM2494" s="139"/>
      <c r="CN2494" s="138"/>
      <c r="CO2494" s="138"/>
      <c r="CP2494" s="138"/>
      <c r="CQ2494" s="139"/>
      <c r="CR2494" s="138"/>
      <c r="CS2494" s="45"/>
      <c r="CT2494" s="138"/>
      <c r="CU2494" s="45"/>
      <c r="CV2494" s="99">
        <f t="shared" si="243"/>
        <v>0</v>
      </c>
      <c r="CW2494" s="139"/>
      <c r="CX2494" s="138"/>
      <c r="CY2494" s="138"/>
      <c r="CZ2494" s="138"/>
      <c r="DA2494" s="139"/>
      <c r="DB2494" s="138"/>
      <c r="DC2494" s="45"/>
      <c r="DD2494" s="138"/>
      <c r="DE2494" s="45"/>
      <c r="DF2494" s="46"/>
    </row>
    <row r="2495" spans="1:110" s="42" customFormat="1" ht="120" x14ac:dyDescent="0.2">
      <c r="A2495" s="89">
        <v>40854</v>
      </c>
      <c r="B2495" s="151" t="s">
        <v>4350</v>
      </c>
      <c r="C2495" s="90" t="s">
        <v>858</v>
      </c>
      <c r="D2495" s="90" t="s">
        <v>2362</v>
      </c>
      <c r="E2495" s="90" t="str">
        <f>VLOOKUP(B2495&amp;C2495,Divipola!$C$2:$F$1138,4,FALSE)</f>
        <v>63302</v>
      </c>
      <c r="F2495" s="4"/>
      <c r="G2495" s="101"/>
      <c r="H2495" s="101"/>
      <c r="I2495" s="101"/>
      <c r="J2495" s="101"/>
      <c r="K2495" s="101"/>
      <c r="L2495" s="101"/>
      <c r="M2495" s="101"/>
      <c r="N2495" s="101"/>
      <c r="O2495" s="101"/>
      <c r="P2495" s="101"/>
      <c r="Q2495" s="101"/>
      <c r="R2495" s="101"/>
      <c r="S2495" s="101"/>
      <c r="T2495" s="101"/>
      <c r="U2495" s="101"/>
      <c r="V2495" s="101"/>
      <c r="W2495" s="19"/>
      <c r="X2495" s="17"/>
      <c r="Y2495" s="5">
        <f t="shared" si="238"/>
        <v>0</v>
      </c>
      <c r="Z2495" s="5">
        <f t="shared" si="239"/>
        <v>0</v>
      </c>
      <c r="AA2495" s="5">
        <f t="shared" si="240"/>
        <v>0</v>
      </c>
      <c r="AB2495" s="5">
        <f t="shared" si="241"/>
        <v>0</v>
      </c>
      <c r="AC2495" s="5"/>
      <c r="AD2495" s="5">
        <v>928721601</v>
      </c>
      <c r="AE2495" s="5">
        <f t="shared" si="242"/>
        <v>928721601</v>
      </c>
      <c r="AF2495" s="70">
        <v>0</v>
      </c>
      <c r="AG2495" s="17"/>
      <c r="AH2495" s="18"/>
      <c r="AI2495" s="47" t="s">
        <v>4346</v>
      </c>
      <c r="AJ2495" s="73" t="s">
        <v>4347</v>
      </c>
      <c r="AK2495" s="45"/>
      <c r="AL2495" s="17" t="s">
        <v>5051</v>
      </c>
      <c r="AM2495" s="121" t="s">
        <v>5016</v>
      </c>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c r="BW2495" s="19"/>
      <c r="BX2495" s="19"/>
      <c r="BY2495" s="19"/>
      <c r="BZ2495" s="19"/>
      <c r="CA2495" s="19"/>
      <c r="CB2495" s="19"/>
      <c r="CC2495" s="19"/>
      <c r="CD2495" s="139"/>
      <c r="CE2495" s="138"/>
      <c r="CF2495" s="139"/>
      <c r="CG2495" s="138"/>
      <c r="CH2495" s="139"/>
      <c r="CI2495" s="138"/>
      <c r="CJ2495" s="72"/>
      <c r="CK2495" s="139"/>
      <c r="CL2495" s="71"/>
      <c r="CM2495" s="139"/>
      <c r="CN2495" s="138"/>
      <c r="CO2495" s="138"/>
      <c r="CP2495" s="138"/>
      <c r="CQ2495" s="139"/>
      <c r="CR2495" s="138"/>
      <c r="CS2495" s="45"/>
      <c r="CT2495" s="138"/>
      <c r="CU2495" s="45"/>
      <c r="CV2495" s="99">
        <f t="shared" si="243"/>
        <v>0</v>
      </c>
      <c r="CW2495" s="139"/>
      <c r="CX2495" s="138"/>
      <c r="CY2495" s="138"/>
      <c r="CZ2495" s="138"/>
      <c r="DA2495" s="139"/>
      <c r="DB2495" s="138"/>
      <c r="DC2495" s="45"/>
      <c r="DD2495" s="138"/>
      <c r="DE2495" s="45"/>
      <c r="DF2495" s="46"/>
    </row>
    <row r="2496" spans="1:110" s="42" customFormat="1" ht="72" x14ac:dyDescent="0.2">
      <c r="A2496" s="89">
        <v>40854</v>
      </c>
      <c r="B2496" s="151" t="s">
        <v>4350</v>
      </c>
      <c r="C2496" s="90" t="s">
        <v>3361</v>
      </c>
      <c r="D2496" s="90" t="s">
        <v>2362</v>
      </c>
      <c r="E2496" s="90" t="str">
        <f>VLOOKUP(B2496&amp;C2496,Divipola!$C$2:$F$1138,4,FALSE)</f>
        <v>63548</v>
      </c>
      <c r="F2496" s="4"/>
      <c r="G2496" s="101"/>
      <c r="H2496" s="101"/>
      <c r="I2496" s="101"/>
      <c r="J2496" s="101"/>
      <c r="K2496" s="101"/>
      <c r="L2496" s="101"/>
      <c r="M2496" s="101"/>
      <c r="N2496" s="101">
        <v>2</v>
      </c>
      <c r="O2496" s="101"/>
      <c r="P2496" s="101"/>
      <c r="Q2496" s="101"/>
      <c r="R2496" s="101"/>
      <c r="S2496" s="101"/>
      <c r="T2496" s="101"/>
      <c r="U2496" s="101"/>
      <c r="V2496" s="101"/>
      <c r="W2496" s="19"/>
      <c r="X2496" s="17"/>
      <c r="Y2496" s="5">
        <f t="shared" si="238"/>
        <v>0</v>
      </c>
      <c r="Z2496" s="5">
        <f t="shared" si="239"/>
        <v>0</v>
      </c>
      <c r="AA2496" s="5">
        <f t="shared" si="240"/>
        <v>0</v>
      </c>
      <c r="AB2496" s="5">
        <f t="shared" si="241"/>
        <v>0</v>
      </c>
      <c r="AC2496" s="5"/>
      <c r="AD2496" s="5">
        <v>0</v>
      </c>
      <c r="AE2496" s="5">
        <f t="shared" si="242"/>
        <v>0</v>
      </c>
      <c r="AF2496" s="70">
        <v>0</v>
      </c>
      <c r="AG2496" s="17"/>
      <c r="AH2496" s="18"/>
      <c r="AI2496" s="47" t="s">
        <v>4346</v>
      </c>
      <c r="AJ2496" s="73" t="s">
        <v>4347</v>
      </c>
      <c r="AK2496" s="45"/>
      <c r="AL2496" s="17" t="s">
        <v>5051</v>
      </c>
      <c r="AM2496" s="121" t="s">
        <v>4905</v>
      </c>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39"/>
      <c r="CE2496" s="138"/>
      <c r="CF2496" s="139"/>
      <c r="CG2496" s="138"/>
      <c r="CH2496" s="139"/>
      <c r="CI2496" s="138"/>
      <c r="CJ2496" s="72"/>
      <c r="CK2496" s="139"/>
      <c r="CL2496" s="71"/>
      <c r="CM2496" s="139"/>
      <c r="CN2496" s="138"/>
      <c r="CO2496" s="138"/>
      <c r="CP2496" s="138"/>
      <c r="CQ2496" s="139"/>
      <c r="CR2496" s="138"/>
      <c r="CS2496" s="45"/>
      <c r="CT2496" s="138"/>
      <c r="CU2496" s="45"/>
      <c r="CV2496" s="99">
        <f t="shared" si="243"/>
        <v>0</v>
      </c>
      <c r="CW2496" s="139"/>
      <c r="CX2496" s="138"/>
      <c r="CY2496" s="138"/>
      <c r="CZ2496" s="138"/>
      <c r="DA2496" s="139"/>
      <c r="DB2496" s="138"/>
      <c r="DC2496" s="45"/>
      <c r="DD2496" s="138"/>
      <c r="DE2496" s="45"/>
      <c r="DF2496" s="46"/>
    </row>
    <row r="2497" spans="1:110" s="42" customFormat="1" ht="36" x14ac:dyDescent="0.2">
      <c r="A2497" s="89">
        <v>40854</v>
      </c>
      <c r="B2497" s="151" t="s">
        <v>4348</v>
      </c>
      <c r="C2497" s="90" t="s">
        <v>601</v>
      </c>
      <c r="D2497" s="90" t="s">
        <v>2362</v>
      </c>
      <c r="E2497" s="90" t="str">
        <f>VLOOKUP(B2497&amp;C2497,Divipola!$C$2:$F$1138,4,FALSE)</f>
        <v>66170</v>
      </c>
      <c r="F2497" s="4"/>
      <c r="G2497" s="101"/>
      <c r="H2497" s="101"/>
      <c r="I2497" s="101"/>
      <c r="J2497" s="101">
        <v>20</v>
      </c>
      <c r="K2497" s="101">
        <v>5</v>
      </c>
      <c r="L2497" s="101"/>
      <c r="M2497" s="101">
        <v>4</v>
      </c>
      <c r="N2497" s="101"/>
      <c r="O2497" s="101"/>
      <c r="P2497" s="101"/>
      <c r="Q2497" s="101"/>
      <c r="R2497" s="101"/>
      <c r="S2497" s="101"/>
      <c r="T2497" s="101"/>
      <c r="U2497" s="101"/>
      <c r="V2497" s="101"/>
      <c r="W2497" s="19"/>
      <c r="X2497" s="17"/>
      <c r="Y2497" s="5">
        <f t="shared" si="238"/>
        <v>0</v>
      </c>
      <c r="Z2497" s="5">
        <f t="shared" si="239"/>
        <v>0</v>
      </c>
      <c r="AA2497" s="5">
        <f t="shared" si="240"/>
        <v>0</v>
      </c>
      <c r="AB2497" s="5">
        <f t="shared" si="241"/>
        <v>0</v>
      </c>
      <c r="AC2497" s="5"/>
      <c r="AD2497" s="5">
        <v>0</v>
      </c>
      <c r="AE2497" s="5">
        <f t="shared" si="242"/>
        <v>0</v>
      </c>
      <c r="AF2497" s="70">
        <v>0</v>
      </c>
      <c r="AG2497" s="17"/>
      <c r="AH2497" s="18"/>
      <c r="AI2497" s="47" t="s">
        <v>4346</v>
      </c>
      <c r="AJ2497" s="73" t="s">
        <v>4347</v>
      </c>
      <c r="AK2497" s="45"/>
      <c r="AL2497" s="17" t="s">
        <v>5534</v>
      </c>
      <c r="AM2497" s="121" t="s">
        <v>5069</v>
      </c>
      <c r="AN2497" s="19"/>
      <c r="AO2497" s="19"/>
      <c r="AP2497" s="19"/>
      <c r="AQ2497" s="19"/>
      <c r="AR2497" s="19"/>
      <c r="AS2497" s="19"/>
      <c r="AT2497" s="19"/>
      <c r="AU2497" s="19"/>
      <c r="AV2497" s="19"/>
      <c r="AW2497" s="19"/>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c r="BW2497" s="19"/>
      <c r="BX2497" s="19"/>
      <c r="BY2497" s="19"/>
      <c r="BZ2497" s="19"/>
      <c r="CA2497" s="19"/>
      <c r="CB2497" s="19"/>
      <c r="CC2497" s="19"/>
      <c r="CD2497" s="139"/>
      <c r="CE2497" s="138"/>
      <c r="CF2497" s="139"/>
      <c r="CG2497" s="138"/>
      <c r="CH2497" s="139"/>
      <c r="CI2497" s="138"/>
      <c r="CJ2497" s="72"/>
      <c r="CK2497" s="139"/>
      <c r="CL2497" s="71"/>
      <c r="CM2497" s="139"/>
      <c r="CN2497" s="138"/>
      <c r="CO2497" s="138"/>
      <c r="CP2497" s="138"/>
      <c r="CQ2497" s="139"/>
      <c r="CR2497" s="138"/>
      <c r="CS2497" s="45"/>
      <c r="CT2497" s="138"/>
      <c r="CU2497" s="45"/>
      <c r="CV2497" s="99">
        <f t="shared" si="243"/>
        <v>0</v>
      </c>
      <c r="CW2497" s="139"/>
      <c r="CX2497" s="138"/>
      <c r="CY2497" s="138"/>
      <c r="CZ2497" s="138"/>
      <c r="DA2497" s="139"/>
      <c r="DB2497" s="138"/>
      <c r="DC2497" s="45"/>
      <c r="DD2497" s="138"/>
      <c r="DE2497" s="45"/>
      <c r="DF2497" s="46"/>
    </row>
    <row r="2498" spans="1:110" s="42" customFormat="1" ht="72" x14ac:dyDescent="0.2">
      <c r="A2498" s="89">
        <v>40854</v>
      </c>
      <c r="B2498" s="151" t="s">
        <v>4244</v>
      </c>
      <c r="C2498" s="90" t="s">
        <v>3176</v>
      </c>
      <c r="D2498" s="90" t="s">
        <v>4264</v>
      </c>
      <c r="E2498" s="90" t="str">
        <f>VLOOKUP(B2498&amp;C2498,Divipola!$C$2:$F$1138,4,FALSE)</f>
        <v>76563</v>
      </c>
      <c r="F2498" s="4"/>
      <c r="G2498" s="101"/>
      <c r="H2498" s="101"/>
      <c r="I2498" s="101"/>
      <c r="J2498" s="101">
        <v>110</v>
      </c>
      <c r="K2498" s="101">
        <v>17</v>
      </c>
      <c r="L2498" s="101">
        <v>17</v>
      </c>
      <c r="M2498" s="101"/>
      <c r="N2498" s="101"/>
      <c r="O2498" s="101"/>
      <c r="P2498" s="101"/>
      <c r="Q2498" s="101"/>
      <c r="R2498" s="101"/>
      <c r="S2498" s="101"/>
      <c r="T2498" s="101"/>
      <c r="U2498" s="101"/>
      <c r="V2498" s="101"/>
      <c r="W2498" s="19"/>
      <c r="X2498" s="17"/>
      <c r="Y2498" s="5">
        <f t="shared" ref="Y2498:Y2561" si="244">CV2498</f>
        <v>0</v>
      </c>
      <c r="Z2498" s="5">
        <f t="shared" ref="Z2498:Z2561" si="245">CZ2498</f>
        <v>0</v>
      </c>
      <c r="AA2498" s="5">
        <f t="shared" ref="AA2498:AA2561" si="246">DB2498+DD2498</f>
        <v>0</v>
      </c>
      <c r="AB2498" s="5">
        <f t="shared" ref="AB2498:AB2561" si="247">CX2498</f>
        <v>0</v>
      </c>
      <c r="AC2498" s="5"/>
      <c r="AD2498" s="5">
        <v>299705385</v>
      </c>
      <c r="AE2498" s="5">
        <f t="shared" ref="AE2498:AE2561" si="248">Y2498+Z2498+AA2498+AB2498+AC2498+AD2498</f>
        <v>299705385</v>
      </c>
      <c r="AF2498" s="70">
        <v>0</v>
      </c>
      <c r="AG2498" s="17"/>
      <c r="AH2498" s="18"/>
      <c r="AI2498" s="47" t="s">
        <v>4346</v>
      </c>
      <c r="AJ2498" s="73" t="s">
        <v>4347</v>
      </c>
      <c r="AK2498" s="45"/>
      <c r="AL2498" s="89" t="s">
        <v>2798</v>
      </c>
      <c r="AM2498" s="121" t="s">
        <v>5081</v>
      </c>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c r="BW2498" s="19"/>
      <c r="BX2498" s="19"/>
      <c r="BY2498" s="19"/>
      <c r="BZ2498" s="19"/>
      <c r="CA2498" s="19"/>
      <c r="CB2498" s="19"/>
      <c r="CC2498" s="19"/>
      <c r="CD2498" s="139"/>
      <c r="CE2498" s="138"/>
      <c r="CF2498" s="139"/>
      <c r="CG2498" s="138"/>
      <c r="CH2498" s="139"/>
      <c r="CI2498" s="138"/>
      <c r="CJ2498" s="72"/>
      <c r="CK2498" s="139"/>
      <c r="CL2498" s="71"/>
      <c r="CM2498" s="139"/>
      <c r="CN2498" s="138"/>
      <c r="CO2498" s="138"/>
      <c r="CP2498" s="138"/>
      <c r="CQ2498" s="139"/>
      <c r="CR2498" s="138"/>
      <c r="CS2498" s="45"/>
      <c r="CT2498" s="138"/>
      <c r="CU2498" s="45"/>
      <c r="CV2498" s="99">
        <f t="shared" si="243"/>
        <v>0</v>
      </c>
      <c r="CW2498" s="139"/>
      <c r="CX2498" s="138"/>
      <c r="CY2498" s="138"/>
      <c r="CZ2498" s="138"/>
      <c r="DA2498" s="139"/>
      <c r="DB2498" s="138"/>
      <c r="DC2498" s="45"/>
      <c r="DD2498" s="138"/>
      <c r="DE2498" s="45"/>
      <c r="DF2498" s="46"/>
    </row>
    <row r="2499" spans="1:110" s="42" customFormat="1" ht="60" x14ac:dyDescent="0.2">
      <c r="A2499" s="89">
        <v>40854</v>
      </c>
      <c r="B2499" s="151" t="s">
        <v>4244</v>
      </c>
      <c r="C2499" s="90" t="s">
        <v>2768</v>
      </c>
      <c r="D2499" s="90" t="s">
        <v>4264</v>
      </c>
      <c r="E2499" s="90" t="str">
        <f>VLOOKUP(B2499&amp;C2499,Divipola!$C$2:$F$1138,4,FALSE)</f>
        <v>76001</v>
      </c>
      <c r="F2499" s="4"/>
      <c r="G2499" s="101"/>
      <c r="H2499" s="101"/>
      <c r="I2499" s="101"/>
      <c r="J2499" s="101">
        <v>500</v>
      </c>
      <c r="K2499" s="101">
        <v>100</v>
      </c>
      <c r="L2499" s="101"/>
      <c r="M2499" s="101">
        <v>100</v>
      </c>
      <c r="N2499" s="101"/>
      <c r="O2499" s="101"/>
      <c r="P2499" s="101"/>
      <c r="Q2499" s="101"/>
      <c r="R2499" s="101"/>
      <c r="S2499" s="101"/>
      <c r="T2499" s="101"/>
      <c r="U2499" s="101"/>
      <c r="V2499" s="101"/>
      <c r="W2499" s="19"/>
      <c r="X2499" s="17"/>
      <c r="Y2499" s="5">
        <f t="shared" si="244"/>
        <v>0</v>
      </c>
      <c r="Z2499" s="5">
        <f t="shared" si="245"/>
        <v>0</v>
      </c>
      <c r="AA2499" s="5">
        <f t="shared" si="246"/>
        <v>0</v>
      </c>
      <c r="AB2499" s="5">
        <f t="shared" si="247"/>
        <v>0</v>
      </c>
      <c r="AC2499" s="5"/>
      <c r="AD2499" s="5">
        <v>0</v>
      </c>
      <c r="AE2499" s="5">
        <f t="shared" si="248"/>
        <v>0</v>
      </c>
      <c r="AF2499" s="70">
        <v>0</v>
      </c>
      <c r="AG2499" s="17"/>
      <c r="AH2499" s="18"/>
      <c r="AI2499" s="47" t="s">
        <v>4336</v>
      </c>
      <c r="AJ2499" s="73" t="s">
        <v>4337</v>
      </c>
      <c r="AK2499" s="45"/>
      <c r="AL2499" s="17"/>
      <c r="AM2499" s="121" t="s">
        <v>4902</v>
      </c>
      <c r="AN2499" s="19"/>
      <c r="AO2499" s="19"/>
      <c r="AP2499" s="19"/>
      <c r="AQ2499" s="19"/>
      <c r="AR2499" s="19"/>
      <c r="AS2499" s="19"/>
      <c r="AT2499" s="19"/>
      <c r="AU2499" s="19"/>
      <c r="AV2499" s="19"/>
      <c r="AW2499" s="19"/>
      <c r="AX2499" s="19"/>
      <c r="AY2499" s="19"/>
      <c r="AZ2499" s="19"/>
      <c r="BA2499" s="19"/>
      <c r="BB2499" s="19"/>
      <c r="BC2499" s="19"/>
      <c r="BD2499" s="19"/>
      <c r="BE2499" s="19"/>
      <c r="BF2499" s="19"/>
      <c r="BG2499" s="19"/>
      <c r="BH2499" s="19"/>
      <c r="BI2499" s="19"/>
      <c r="BJ2499" s="19"/>
      <c r="BK2499" s="19"/>
      <c r="BL2499" s="19"/>
      <c r="BM2499" s="19"/>
      <c r="BN2499" s="19"/>
      <c r="BO2499" s="19"/>
      <c r="BP2499" s="19"/>
      <c r="BQ2499" s="19"/>
      <c r="BR2499" s="19"/>
      <c r="BS2499" s="19"/>
      <c r="BT2499" s="19"/>
      <c r="BU2499" s="19"/>
      <c r="BV2499" s="19"/>
      <c r="BW2499" s="19"/>
      <c r="BX2499" s="19"/>
      <c r="BY2499" s="19"/>
      <c r="BZ2499" s="19"/>
      <c r="CA2499" s="19"/>
      <c r="CB2499" s="19"/>
      <c r="CC2499" s="19"/>
      <c r="CD2499" s="139"/>
      <c r="CE2499" s="138"/>
      <c r="CF2499" s="139"/>
      <c r="CG2499" s="138"/>
      <c r="CH2499" s="139"/>
      <c r="CI2499" s="138"/>
      <c r="CJ2499" s="72"/>
      <c r="CK2499" s="139"/>
      <c r="CL2499" s="71"/>
      <c r="CM2499" s="139"/>
      <c r="CN2499" s="138"/>
      <c r="CO2499" s="138"/>
      <c r="CP2499" s="138"/>
      <c r="CQ2499" s="139"/>
      <c r="CR2499" s="138"/>
      <c r="CS2499" s="45"/>
      <c r="CT2499" s="138"/>
      <c r="CU2499" s="45"/>
      <c r="CV2499" s="99">
        <f t="shared" ref="CV2499:CV2562" si="249">AO2499+AQ2499+AS2499+AU2499+AW2499+AY2499+BA2499+BC2499+BE2499+BG2499+BI2499+BK2499+BM2499+BO2499+BQ2499+BS2499+BU2499+BW2499+BY2499+CA2499+CC2499+CE2499+CG2499+CI2499+CK2499+CM2499+CO2499+CQ2499+CS2499+CU2499</f>
        <v>0</v>
      </c>
      <c r="CW2499" s="139"/>
      <c r="CX2499" s="138"/>
      <c r="CY2499" s="138"/>
      <c r="CZ2499" s="138"/>
      <c r="DA2499" s="139"/>
      <c r="DB2499" s="138"/>
      <c r="DC2499" s="45"/>
      <c r="DD2499" s="138"/>
      <c r="DE2499" s="45"/>
      <c r="DF2499" s="46"/>
    </row>
    <row r="2500" spans="1:110" s="42" customFormat="1" ht="48" x14ac:dyDescent="0.2">
      <c r="A2500" s="89">
        <v>40855</v>
      </c>
      <c r="B2500" s="16" t="s">
        <v>2218</v>
      </c>
      <c r="C2500" s="16" t="s">
        <v>3840</v>
      </c>
      <c r="D2500" s="90" t="s">
        <v>4264</v>
      </c>
      <c r="E2500" s="90" t="str">
        <f>VLOOKUP(B2500&amp;C2500,Divipola!$C$2:$F$1138,4,FALSE)</f>
        <v>05101</v>
      </c>
      <c r="F2500" s="4"/>
      <c r="G2500" s="208"/>
      <c r="H2500" s="208"/>
      <c r="I2500" s="208"/>
      <c r="J2500" s="208"/>
      <c r="K2500" s="208"/>
      <c r="L2500" s="208"/>
      <c r="M2500" s="208"/>
      <c r="N2500" s="208"/>
      <c r="O2500" s="208"/>
      <c r="P2500" s="208"/>
      <c r="Q2500" s="208"/>
      <c r="R2500" s="208"/>
      <c r="S2500" s="208"/>
      <c r="T2500" s="208"/>
      <c r="U2500" s="208"/>
      <c r="V2500" s="208"/>
      <c r="W2500" s="19"/>
      <c r="X2500" s="17"/>
      <c r="Y2500" s="5">
        <f t="shared" si="244"/>
        <v>0</v>
      </c>
      <c r="Z2500" s="5">
        <f t="shared" si="245"/>
        <v>0</v>
      </c>
      <c r="AA2500" s="5">
        <f t="shared" si="246"/>
        <v>0</v>
      </c>
      <c r="AB2500" s="5">
        <f t="shared" si="247"/>
        <v>0</v>
      </c>
      <c r="AC2500" s="5"/>
      <c r="AD2500" s="5">
        <v>15000000</v>
      </c>
      <c r="AE2500" s="5">
        <f t="shared" si="248"/>
        <v>15000000</v>
      </c>
      <c r="AF2500" s="70">
        <v>0</v>
      </c>
      <c r="AG2500" s="17"/>
      <c r="AH2500" s="18"/>
      <c r="AI2500" s="47" t="s">
        <v>4346</v>
      </c>
      <c r="AJ2500" s="73" t="s">
        <v>4347</v>
      </c>
      <c r="AK2500" s="45"/>
      <c r="AL2500" s="17"/>
      <c r="AM2500" s="20" t="s">
        <v>4903</v>
      </c>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19"/>
      <c r="BW2500" s="19"/>
      <c r="BX2500" s="19"/>
      <c r="BY2500" s="19"/>
      <c r="BZ2500" s="19"/>
      <c r="CA2500" s="19"/>
      <c r="CB2500" s="19"/>
      <c r="CC2500" s="19"/>
      <c r="CD2500" s="139"/>
      <c r="CE2500" s="138"/>
      <c r="CF2500" s="139"/>
      <c r="CG2500" s="138"/>
      <c r="CH2500" s="139"/>
      <c r="CI2500" s="138"/>
      <c r="CJ2500" s="72"/>
      <c r="CK2500" s="139"/>
      <c r="CL2500" s="71"/>
      <c r="CM2500" s="139"/>
      <c r="CN2500" s="138"/>
      <c r="CO2500" s="138"/>
      <c r="CP2500" s="138"/>
      <c r="CQ2500" s="139"/>
      <c r="CR2500" s="138"/>
      <c r="CS2500" s="45"/>
      <c r="CT2500" s="138"/>
      <c r="CU2500" s="45"/>
      <c r="CV2500" s="99">
        <f t="shared" si="249"/>
        <v>0</v>
      </c>
      <c r="CW2500" s="139"/>
      <c r="CX2500" s="138"/>
      <c r="CY2500" s="138"/>
      <c r="CZ2500" s="138"/>
      <c r="DA2500" s="139"/>
      <c r="DB2500" s="138"/>
      <c r="DC2500" s="45"/>
      <c r="DD2500" s="138"/>
      <c r="DE2500" s="45"/>
      <c r="DF2500" s="46"/>
    </row>
    <row r="2501" spans="1:110" s="42" customFormat="1" ht="60" x14ac:dyDescent="0.2">
      <c r="A2501" s="89">
        <v>40855</v>
      </c>
      <c r="B2501" s="151" t="s">
        <v>4326</v>
      </c>
      <c r="C2501" s="90" t="s">
        <v>4338</v>
      </c>
      <c r="D2501" s="90" t="s">
        <v>2362</v>
      </c>
      <c r="E2501" s="90" t="str">
        <f>VLOOKUP(B2501&amp;C2501,Divipola!$C$2:$F$1138,4,FALSE)</f>
        <v>08001</v>
      </c>
      <c r="F2501" s="4"/>
      <c r="G2501" s="101"/>
      <c r="H2501" s="101"/>
      <c r="I2501" s="101"/>
      <c r="J2501" s="101">
        <v>175</v>
      </c>
      <c r="K2501" s="101">
        <v>35</v>
      </c>
      <c r="L2501" s="101"/>
      <c r="M2501" s="101"/>
      <c r="N2501" s="101"/>
      <c r="O2501" s="101"/>
      <c r="P2501" s="101"/>
      <c r="Q2501" s="101"/>
      <c r="R2501" s="101"/>
      <c r="S2501" s="101"/>
      <c r="T2501" s="101"/>
      <c r="U2501" s="101"/>
      <c r="V2501" s="101"/>
      <c r="W2501" s="19"/>
      <c r="X2501" s="17"/>
      <c r="Y2501" s="5">
        <f t="shared" si="244"/>
        <v>0</v>
      </c>
      <c r="Z2501" s="5">
        <f t="shared" si="245"/>
        <v>0</v>
      </c>
      <c r="AA2501" s="5">
        <f t="shared" si="246"/>
        <v>0</v>
      </c>
      <c r="AB2501" s="5">
        <f t="shared" si="247"/>
        <v>0</v>
      </c>
      <c r="AC2501" s="5"/>
      <c r="AD2501" s="5">
        <v>0</v>
      </c>
      <c r="AE2501" s="5">
        <f t="shared" si="248"/>
        <v>0</v>
      </c>
      <c r="AF2501" s="70">
        <v>0</v>
      </c>
      <c r="AG2501" s="17"/>
      <c r="AH2501" s="18"/>
      <c r="AI2501" s="47" t="s">
        <v>4346</v>
      </c>
      <c r="AJ2501" s="73" t="s">
        <v>4347</v>
      </c>
      <c r="AK2501" s="45"/>
      <c r="AL2501" s="17"/>
      <c r="AM2501" s="121" t="s">
        <v>4900</v>
      </c>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19"/>
      <c r="BW2501" s="19"/>
      <c r="BX2501" s="19"/>
      <c r="BY2501" s="19"/>
      <c r="BZ2501" s="19"/>
      <c r="CA2501" s="19"/>
      <c r="CB2501" s="19"/>
      <c r="CC2501" s="19"/>
      <c r="CD2501" s="139"/>
      <c r="CE2501" s="138"/>
      <c r="CF2501" s="139"/>
      <c r="CG2501" s="138"/>
      <c r="CH2501" s="139"/>
      <c r="CI2501" s="138"/>
      <c r="CJ2501" s="72"/>
      <c r="CK2501" s="139"/>
      <c r="CL2501" s="71"/>
      <c r="CM2501" s="139"/>
      <c r="CN2501" s="138"/>
      <c r="CO2501" s="138"/>
      <c r="CP2501" s="138"/>
      <c r="CQ2501" s="139"/>
      <c r="CR2501" s="138"/>
      <c r="CS2501" s="45"/>
      <c r="CT2501" s="138"/>
      <c r="CU2501" s="45"/>
      <c r="CV2501" s="99">
        <f t="shared" si="249"/>
        <v>0</v>
      </c>
      <c r="CW2501" s="139"/>
      <c r="CX2501" s="138"/>
      <c r="CY2501" s="138"/>
      <c r="CZ2501" s="138"/>
      <c r="DA2501" s="139"/>
      <c r="DB2501" s="138"/>
      <c r="DC2501" s="45"/>
      <c r="DD2501" s="138"/>
      <c r="DE2501" s="45"/>
      <c r="DF2501" s="46"/>
    </row>
    <row r="2502" spans="1:110" s="42" customFormat="1" ht="60" x14ac:dyDescent="0.2">
      <c r="A2502" s="89">
        <v>40855</v>
      </c>
      <c r="B2502" s="16" t="s">
        <v>4352</v>
      </c>
      <c r="C2502" s="16" t="s">
        <v>2530</v>
      </c>
      <c r="D2502" s="90" t="s">
        <v>4264</v>
      </c>
      <c r="E2502" s="90" t="str">
        <f>VLOOKUP(B2502&amp;C2502,Divipola!$C$2:$F$1138,4,FALSE)</f>
        <v>13620</v>
      </c>
      <c r="F2502" s="4"/>
      <c r="G2502" s="208"/>
      <c r="H2502" s="208"/>
      <c r="I2502" s="208"/>
      <c r="J2502" s="208">
        <f>220*5</f>
        <v>1100</v>
      </c>
      <c r="K2502" s="208">
        <v>220</v>
      </c>
      <c r="L2502" s="208"/>
      <c r="M2502" s="208"/>
      <c r="N2502" s="208"/>
      <c r="O2502" s="208"/>
      <c r="P2502" s="208"/>
      <c r="Q2502" s="208"/>
      <c r="R2502" s="208"/>
      <c r="S2502" s="208"/>
      <c r="T2502" s="208"/>
      <c r="U2502" s="208"/>
      <c r="V2502" s="208"/>
      <c r="W2502" s="19"/>
      <c r="X2502" s="17"/>
      <c r="Y2502" s="5">
        <f t="shared" si="244"/>
        <v>0</v>
      </c>
      <c r="Z2502" s="5">
        <f t="shared" si="245"/>
        <v>0</v>
      </c>
      <c r="AA2502" s="5">
        <f t="shared" si="246"/>
        <v>0</v>
      </c>
      <c r="AB2502" s="5">
        <f t="shared" si="247"/>
        <v>0</v>
      </c>
      <c r="AC2502" s="5"/>
      <c r="AD2502" s="5">
        <v>20000000</v>
      </c>
      <c r="AE2502" s="5">
        <f t="shared" si="248"/>
        <v>20000000</v>
      </c>
      <c r="AF2502" s="70">
        <v>0</v>
      </c>
      <c r="AG2502" s="17"/>
      <c r="AH2502" s="18"/>
      <c r="AI2502" s="47" t="s">
        <v>4346</v>
      </c>
      <c r="AJ2502" s="73" t="s">
        <v>4347</v>
      </c>
      <c r="AK2502" s="45"/>
      <c r="AL2502" s="17"/>
      <c r="AM2502" s="20" t="s">
        <v>5601</v>
      </c>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39"/>
      <c r="CE2502" s="138"/>
      <c r="CF2502" s="139"/>
      <c r="CG2502" s="138"/>
      <c r="CH2502" s="139"/>
      <c r="CI2502" s="138"/>
      <c r="CJ2502" s="72"/>
      <c r="CK2502" s="139"/>
      <c r="CL2502" s="71"/>
      <c r="CM2502" s="139"/>
      <c r="CN2502" s="138"/>
      <c r="CO2502" s="138"/>
      <c r="CP2502" s="138"/>
      <c r="CQ2502" s="139"/>
      <c r="CR2502" s="138"/>
      <c r="CS2502" s="45"/>
      <c r="CT2502" s="138"/>
      <c r="CU2502" s="45"/>
      <c r="CV2502" s="99">
        <f t="shared" si="249"/>
        <v>0</v>
      </c>
      <c r="CW2502" s="139"/>
      <c r="CX2502" s="138"/>
      <c r="CY2502" s="138"/>
      <c r="CZ2502" s="138"/>
      <c r="DA2502" s="139"/>
      <c r="DB2502" s="138"/>
      <c r="DC2502" s="45"/>
      <c r="DD2502" s="138"/>
      <c r="DE2502" s="45"/>
      <c r="DF2502" s="46"/>
    </row>
    <row r="2503" spans="1:110" s="42" customFormat="1" ht="48" x14ac:dyDescent="0.2">
      <c r="A2503" s="89">
        <v>40855</v>
      </c>
      <c r="B2503" s="196" t="s">
        <v>4261</v>
      </c>
      <c r="C2503" s="197" t="s">
        <v>2653</v>
      </c>
      <c r="D2503" s="90" t="s">
        <v>4264</v>
      </c>
      <c r="E2503" s="90" t="str">
        <f>VLOOKUP(B2503&amp;C2503,Divipola!$C$2:$F$1138,4,FALSE)</f>
        <v>15236</v>
      </c>
      <c r="F2503" s="4"/>
      <c r="G2503" s="194"/>
      <c r="H2503" s="194"/>
      <c r="I2503" s="194"/>
      <c r="J2503" s="194"/>
      <c r="K2503" s="194"/>
      <c r="L2503" s="194"/>
      <c r="M2503" s="194"/>
      <c r="N2503" s="194">
        <v>10</v>
      </c>
      <c r="O2503" s="194"/>
      <c r="P2503" s="194"/>
      <c r="Q2503" s="194"/>
      <c r="R2503" s="194"/>
      <c r="S2503" s="194"/>
      <c r="T2503" s="194">
        <v>2</v>
      </c>
      <c r="U2503" s="194"/>
      <c r="V2503" s="194"/>
      <c r="W2503" s="19"/>
      <c r="X2503" s="17"/>
      <c r="Y2503" s="5">
        <f t="shared" si="244"/>
        <v>0</v>
      </c>
      <c r="Z2503" s="5">
        <f t="shared" si="245"/>
        <v>0</v>
      </c>
      <c r="AA2503" s="5">
        <f t="shared" si="246"/>
        <v>0</v>
      </c>
      <c r="AB2503" s="5">
        <f t="shared" si="247"/>
        <v>0</v>
      </c>
      <c r="AC2503" s="5"/>
      <c r="AD2503" s="5">
        <v>0</v>
      </c>
      <c r="AE2503" s="5">
        <f t="shared" si="248"/>
        <v>0</v>
      </c>
      <c r="AF2503" s="70">
        <v>0</v>
      </c>
      <c r="AG2503" s="17"/>
      <c r="AH2503" s="18"/>
      <c r="AI2503" s="47" t="s">
        <v>4346</v>
      </c>
      <c r="AJ2503" s="73" t="s">
        <v>4347</v>
      </c>
      <c r="AK2503" s="45"/>
      <c r="AL2503" s="17" t="s">
        <v>5531</v>
      </c>
      <c r="AM2503" s="195" t="s">
        <v>4947</v>
      </c>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39"/>
      <c r="CE2503" s="138"/>
      <c r="CF2503" s="139"/>
      <c r="CG2503" s="138"/>
      <c r="CH2503" s="139"/>
      <c r="CI2503" s="138"/>
      <c r="CJ2503" s="72"/>
      <c r="CK2503" s="139"/>
      <c r="CL2503" s="71"/>
      <c r="CM2503" s="139"/>
      <c r="CN2503" s="138"/>
      <c r="CO2503" s="138"/>
      <c r="CP2503" s="138"/>
      <c r="CQ2503" s="139"/>
      <c r="CR2503" s="138"/>
      <c r="CS2503" s="45"/>
      <c r="CT2503" s="138"/>
      <c r="CU2503" s="45"/>
      <c r="CV2503" s="99">
        <f t="shared" si="249"/>
        <v>0</v>
      </c>
      <c r="CW2503" s="139"/>
      <c r="CX2503" s="138"/>
      <c r="CY2503" s="138"/>
      <c r="CZ2503" s="138"/>
      <c r="DA2503" s="139"/>
      <c r="DB2503" s="138"/>
      <c r="DC2503" s="45"/>
      <c r="DD2503" s="138"/>
      <c r="DE2503" s="45"/>
      <c r="DF2503" s="46"/>
    </row>
    <row r="2504" spans="1:110" s="42" customFormat="1" ht="36" x14ac:dyDescent="0.2">
      <c r="A2504" s="89">
        <v>40855</v>
      </c>
      <c r="B2504" s="151" t="s">
        <v>3533</v>
      </c>
      <c r="C2504" s="90" t="s">
        <v>4235</v>
      </c>
      <c r="D2504" s="90" t="s">
        <v>4264</v>
      </c>
      <c r="E2504" s="90" t="str">
        <f>VLOOKUP(B2504&amp;C2504,Divipola!$C$2:$F$1138,4,FALSE)</f>
        <v>17380</v>
      </c>
      <c r="F2504" s="4"/>
      <c r="G2504" s="194"/>
      <c r="H2504" s="194"/>
      <c r="I2504" s="194"/>
      <c r="J2504" s="194">
        <v>12500</v>
      </c>
      <c r="K2504" s="194">
        <v>2500</v>
      </c>
      <c r="L2504" s="194"/>
      <c r="M2504" s="194">
        <v>2500</v>
      </c>
      <c r="N2504" s="194"/>
      <c r="O2504" s="194"/>
      <c r="P2504" s="194"/>
      <c r="Q2504" s="194"/>
      <c r="R2504" s="194"/>
      <c r="S2504" s="194"/>
      <c r="T2504" s="194"/>
      <c r="U2504" s="194"/>
      <c r="V2504" s="194"/>
      <c r="W2504" s="19"/>
      <c r="X2504" s="17"/>
      <c r="Y2504" s="5">
        <f t="shared" si="244"/>
        <v>111998000</v>
      </c>
      <c r="Z2504" s="5">
        <f t="shared" si="245"/>
        <v>0</v>
      </c>
      <c r="AA2504" s="5">
        <f t="shared" si="246"/>
        <v>34087760</v>
      </c>
      <c r="AB2504" s="5">
        <f t="shared" si="247"/>
        <v>0</v>
      </c>
      <c r="AC2504" s="5"/>
      <c r="AD2504" s="5">
        <v>0</v>
      </c>
      <c r="AE2504" s="5">
        <f t="shared" si="248"/>
        <v>146085760</v>
      </c>
      <c r="AF2504" s="70">
        <v>0</v>
      </c>
      <c r="AG2504" s="17"/>
      <c r="AH2504" s="18"/>
      <c r="AI2504" s="47" t="s">
        <v>4346</v>
      </c>
      <c r="AJ2504" s="73" t="s">
        <v>4347</v>
      </c>
      <c r="AK2504" s="45"/>
      <c r="AL2504" s="17"/>
      <c r="AM2504" s="195" t="s">
        <v>4921</v>
      </c>
      <c r="AN2504" s="19"/>
      <c r="AO2504" s="19"/>
      <c r="AP2504" s="19"/>
      <c r="AQ2504" s="19"/>
      <c r="AR2504" s="19"/>
      <c r="AS2504" s="19"/>
      <c r="AT2504" s="19"/>
      <c r="AU2504" s="19"/>
      <c r="AV2504" s="19"/>
      <c r="AW2504" s="19"/>
      <c r="AX2504" s="19"/>
      <c r="AY2504" s="19"/>
      <c r="AZ2504" s="19">
        <v>2000</v>
      </c>
      <c r="BA2504" s="19">
        <f>2000*55999</f>
        <v>111998000</v>
      </c>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c r="BW2504" s="19"/>
      <c r="BX2504" s="19"/>
      <c r="BY2504" s="19"/>
      <c r="BZ2504" s="19"/>
      <c r="CA2504" s="19"/>
      <c r="CB2504" s="19"/>
      <c r="CC2504" s="19"/>
      <c r="CD2504" s="139"/>
      <c r="CE2504" s="138"/>
      <c r="CF2504" s="139"/>
      <c r="CG2504" s="138"/>
      <c r="CH2504" s="139"/>
      <c r="CI2504" s="138"/>
      <c r="CJ2504" s="72"/>
      <c r="CK2504" s="139"/>
      <c r="CL2504" s="71"/>
      <c r="CM2504" s="139"/>
      <c r="CN2504" s="138"/>
      <c r="CO2504" s="138"/>
      <c r="CP2504" s="138"/>
      <c r="CQ2504" s="139"/>
      <c r="CR2504" s="138"/>
      <c r="CS2504" s="45"/>
      <c r="CT2504" s="138"/>
      <c r="CU2504" s="45"/>
      <c r="CV2504" s="99">
        <f t="shared" si="249"/>
        <v>111998000</v>
      </c>
      <c r="CW2504" s="139"/>
      <c r="CX2504" s="138"/>
      <c r="CY2504" s="138"/>
      <c r="CZ2504" s="138"/>
      <c r="DA2504" s="139"/>
      <c r="DB2504" s="138"/>
      <c r="DC2504" s="45">
        <v>1000</v>
      </c>
      <c r="DD2504" s="138">
        <f>1000*31999.76+6000*348</f>
        <v>34087760</v>
      </c>
      <c r="DE2504" s="45"/>
      <c r="DF2504" s="46"/>
    </row>
    <row r="2505" spans="1:110" s="42" customFormat="1" ht="36" x14ac:dyDescent="0.2">
      <c r="A2505" s="89">
        <v>40855</v>
      </c>
      <c r="B2505" s="151" t="s">
        <v>4348</v>
      </c>
      <c r="C2505" s="90" t="s">
        <v>2228</v>
      </c>
      <c r="D2505" s="90" t="s">
        <v>4264</v>
      </c>
      <c r="E2505" s="90" t="str">
        <f>VLOOKUP(B2505&amp;C2505,Divipola!$C$2:$F$1138,4,FALSE)</f>
        <v>66001</v>
      </c>
      <c r="F2505" s="4"/>
      <c r="G2505" s="101"/>
      <c r="H2505" s="101"/>
      <c r="I2505" s="101"/>
      <c r="J2505" s="101">
        <v>50</v>
      </c>
      <c r="K2505" s="101">
        <v>10</v>
      </c>
      <c r="L2505" s="101"/>
      <c r="M2505" s="101">
        <v>10</v>
      </c>
      <c r="N2505" s="101"/>
      <c r="O2505" s="101"/>
      <c r="P2505" s="101"/>
      <c r="Q2505" s="101"/>
      <c r="R2505" s="101"/>
      <c r="S2505" s="101"/>
      <c r="T2505" s="101"/>
      <c r="U2505" s="101"/>
      <c r="V2505" s="101"/>
      <c r="W2505" s="19"/>
      <c r="X2505" s="17"/>
      <c r="Y2505" s="5">
        <f t="shared" si="244"/>
        <v>0</v>
      </c>
      <c r="Z2505" s="5">
        <f t="shared" si="245"/>
        <v>0</v>
      </c>
      <c r="AA2505" s="5">
        <f t="shared" si="246"/>
        <v>0</v>
      </c>
      <c r="AB2505" s="5">
        <f t="shared" si="247"/>
        <v>0</v>
      </c>
      <c r="AC2505" s="5"/>
      <c r="AD2505" s="5">
        <v>0</v>
      </c>
      <c r="AE2505" s="5">
        <f t="shared" si="248"/>
        <v>0</v>
      </c>
      <c r="AF2505" s="70">
        <v>0</v>
      </c>
      <c r="AG2505" s="17"/>
      <c r="AH2505" s="18"/>
      <c r="AI2505" s="47" t="s">
        <v>4346</v>
      </c>
      <c r="AJ2505" s="73" t="s">
        <v>4347</v>
      </c>
      <c r="AK2505" s="45"/>
      <c r="AL2505" s="17" t="s">
        <v>5534</v>
      </c>
      <c r="AM2505" s="121" t="s">
        <v>5066</v>
      </c>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c r="BW2505" s="19"/>
      <c r="BX2505" s="19"/>
      <c r="BY2505" s="19"/>
      <c r="BZ2505" s="19"/>
      <c r="CA2505" s="19"/>
      <c r="CB2505" s="19"/>
      <c r="CC2505" s="19"/>
      <c r="CD2505" s="139"/>
      <c r="CE2505" s="138"/>
      <c r="CF2505" s="139"/>
      <c r="CG2505" s="138"/>
      <c r="CH2505" s="139"/>
      <c r="CI2505" s="138"/>
      <c r="CJ2505" s="72"/>
      <c r="CK2505" s="139"/>
      <c r="CL2505" s="71"/>
      <c r="CM2505" s="139"/>
      <c r="CN2505" s="138"/>
      <c r="CO2505" s="138"/>
      <c r="CP2505" s="138"/>
      <c r="CQ2505" s="139"/>
      <c r="CR2505" s="138"/>
      <c r="CS2505" s="45"/>
      <c r="CT2505" s="138"/>
      <c r="CU2505" s="45"/>
      <c r="CV2505" s="99">
        <f t="shared" si="249"/>
        <v>0</v>
      </c>
      <c r="CW2505" s="139"/>
      <c r="CX2505" s="138"/>
      <c r="CY2505" s="138"/>
      <c r="CZ2505" s="138"/>
      <c r="DA2505" s="139"/>
      <c r="DB2505" s="138"/>
      <c r="DC2505" s="45"/>
      <c r="DD2505" s="138"/>
      <c r="DE2505" s="45"/>
      <c r="DF2505" s="46"/>
    </row>
    <row r="2506" spans="1:110" s="42" customFormat="1" ht="36" x14ac:dyDescent="0.2">
      <c r="A2506" s="89">
        <v>40855</v>
      </c>
      <c r="B2506" s="151" t="s">
        <v>4348</v>
      </c>
      <c r="C2506" s="90" t="s">
        <v>2228</v>
      </c>
      <c r="D2506" s="90" t="s">
        <v>2362</v>
      </c>
      <c r="E2506" s="90" t="str">
        <f>VLOOKUP(B2506&amp;C2506,Divipola!$C$2:$F$1138,4,FALSE)</f>
        <v>66001</v>
      </c>
      <c r="F2506" s="4"/>
      <c r="G2506" s="101"/>
      <c r="H2506" s="101"/>
      <c r="I2506" s="101"/>
      <c r="J2506" s="101">
        <v>10</v>
      </c>
      <c r="K2506" s="101">
        <v>2</v>
      </c>
      <c r="L2506" s="101"/>
      <c r="M2506" s="101">
        <v>2</v>
      </c>
      <c r="N2506" s="101"/>
      <c r="O2506" s="101"/>
      <c r="P2506" s="101"/>
      <c r="Q2506" s="101"/>
      <c r="R2506" s="101"/>
      <c r="S2506" s="101"/>
      <c r="T2506" s="101"/>
      <c r="U2506" s="101"/>
      <c r="V2506" s="101"/>
      <c r="W2506" s="19"/>
      <c r="X2506" s="17"/>
      <c r="Y2506" s="5">
        <f t="shared" si="244"/>
        <v>0</v>
      </c>
      <c r="Z2506" s="5">
        <f t="shared" si="245"/>
        <v>0</v>
      </c>
      <c r="AA2506" s="5">
        <f t="shared" si="246"/>
        <v>0</v>
      </c>
      <c r="AB2506" s="5">
        <f t="shared" si="247"/>
        <v>0</v>
      </c>
      <c r="AC2506" s="5"/>
      <c r="AD2506" s="5">
        <v>0</v>
      </c>
      <c r="AE2506" s="5">
        <f t="shared" si="248"/>
        <v>0</v>
      </c>
      <c r="AF2506" s="70">
        <v>0</v>
      </c>
      <c r="AG2506" s="17"/>
      <c r="AH2506" s="18"/>
      <c r="AI2506" s="47" t="s">
        <v>4346</v>
      </c>
      <c r="AJ2506" s="73" t="s">
        <v>4347</v>
      </c>
      <c r="AK2506" s="45"/>
      <c r="AL2506" s="17" t="s">
        <v>5534</v>
      </c>
      <c r="AM2506" s="121" t="s">
        <v>5067</v>
      </c>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c r="BW2506" s="19"/>
      <c r="BX2506" s="19"/>
      <c r="BY2506" s="19"/>
      <c r="BZ2506" s="19"/>
      <c r="CA2506" s="19"/>
      <c r="CB2506" s="19"/>
      <c r="CC2506" s="19"/>
      <c r="CD2506" s="139"/>
      <c r="CE2506" s="138"/>
      <c r="CF2506" s="139"/>
      <c r="CG2506" s="138"/>
      <c r="CH2506" s="139"/>
      <c r="CI2506" s="138"/>
      <c r="CJ2506" s="72"/>
      <c r="CK2506" s="139"/>
      <c r="CL2506" s="71"/>
      <c r="CM2506" s="139"/>
      <c r="CN2506" s="138"/>
      <c r="CO2506" s="138"/>
      <c r="CP2506" s="138"/>
      <c r="CQ2506" s="139"/>
      <c r="CR2506" s="138"/>
      <c r="CS2506" s="45"/>
      <c r="CT2506" s="138"/>
      <c r="CU2506" s="45"/>
      <c r="CV2506" s="99">
        <f t="shared" si="249"/>
        <v>0</v>
      </c>
      <c r="CW2506" s="139"/>
      <c r="CX2506" s="138"/>
      <c r="CY2506" s="138"/>
      <c r="CZ2506" s="138"/>
      <c r="DA2506" s="139"/>
      <c r="DB2506" s="138"/>
      <c r="DC2506" s="45"/>
      <c r="DD2506" s="138"/>
      <c r="DE2506" s="45"/>
      <c r="DF2506" s="46"/>
    </row>
    <row r="2507" spans="1:110" s="42" customFormat="1" ht="24" x14ac:dyDescent="0.2">
      <c r="A2507" s="89">
        <v>40855</v>
      </c>
      <c r="B2507" s="151" t="s">
        <v>4387</v>
      </c>
      <c r="C2507" s="90" t="s">
        <v>514</v>
      </c>
      <c r="D2507" s="90" t="s">
        <v>2362</v>
      </c>
      <c r="E2507" s="90" t="str">
        <f>VLOOKUP(B2507&amp;C2507,Divipola!$C$2:$F$1138,4,FALSE)</f>
        <v>52560</v>
      </c>
      <c r="F2507" s="4"/>
      <c r="G2507" s="101"/>
      <c r="H2507" s="101"/>
      <c r="I2507" s="101"/>
      <c r="J2507" s="101">
        <v>148</v>
      </c>
      <c r="K2507" s="101">
        <v>37</v>
      </c>
      <c r="L2507" s="101"/>
      <c r="M2507" s="101">
        <v>37</v>
      </c>
      <c r="N2507" s="101"/>
      <c r="O2507" s="101"/>
      <c r="P2507" s="101"/>
      <c r="Q2507" s="101"/>
      <c r="R2507" s="101"/>
      <c r="S2507" s="101"/>
      <c r="T2507" s="101"/>
      <c r="U2507" s="101"/>
      <c r="V2507" s="264"/>
      <c r="W2507" s="19"/>
      <c r="X2507" s="17"/>
      <c r="Y2507" s="5">
        <f t="shared" si="244"/>
        <v>0</v>
      </c>
      <c r="Z2507" s="5">
        <f t="shared" si="245"/>
        <v>0</v>
      </c>
      <c r="AA2507" s="5">
        <f t="shared" si="246"/>
        <v>0</v>
      </c>
      <c r="AB2507" s="5">
        <f t="shared" si="247"/>
        <v>0</v>
      </c>
      <c r="AC2507" s="5"/>
      <c r="AD2507" s="5">
        <v>0</v>
      </c>
      <c r="AE2507" s="5">
        <f t="shared" si="248"/>
        <v>0</v>
      </c>
      <c r="AF2507" s="70">
        <v>0</v>
      </c>
      <c r="AG2507" s="17"/>
      <c r="AH2507" s="18"/>
      <c r="AI2507" s="47" t="s">
        <v>4336</v>
      </c>
      <c r="AJ2507" s="73" t="s">
        <v>4337</v>
      </c>
      <c r="AK2507" s="45"/>
      <c r="AL2507" s="17"/>
      <c r="AM2507" s="121" t="s">
        <v>5612</v>
      </c>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19"/>
      <c r="BW2507" s="19"/>
      <c r="BX2507" s="19"/>
      <c r="BY2507" s="19"/>
      <c r="BZ2507" s="19"/>
      <c r="CA2507" s="19"/>
      <c r="CB2507" s="19"/>
      <c r="CC2507" s="19"/>
      <c r="CD2507" s="139"/>
      <c r="CE2507" s="138"/>
      <c r="CF2507" s="139"/>
      <c r="CG2507" s="138"/>
      <c r="CH2507" s="139"/>
      <c r="CI2507" s="138"/>
      <c r="CJ2507" s="72"/>
      <c r="CK2507" s="139"/>
      <c r="CL2507" s="71"/>
      <c r="CM2507" s="139"/>
      <c r="CN2507" s="138"/>
      <c r="CO2507" s="138"/>
      <c r="CP2507" s="138"/>
      <c r="CQ2507" s="139"/>
      <c r="CR2507" s="138"/>
      <c r="CS2507" s="45"/>
      <c r="CT2507" s="138"/>
      <c r="CU2507" s="45"/>
      <c r="CV2507" s="99">
        <f t="shared" si="249"/>
        <v>0</v>
      </c>
      <c r="CW2507" s="139"/>
      <c r="CX2507" s="138"/>
      <c r="CY2507" s="138"/>
      <c r="CZ2507" s="138"/>
      <c r="DA2507" s="139"/>
      <c r="DB2507" s="138"/>
      <c r="DC2507" s="45"/>
      <c r="DD2507" s="138"/>
      <c r="DE2507" s="45"/>
      <c r="DF2507" s="46"/>
    </row>
    <row r="2508" spans="1:110" s="42" customFormat="1" ht="36" x14ac:dyDescent="0.2">
      <c r="A2508" s="89">
        <v>40856</v>
      </c>
      <c r="B2508" s="197" t="s">
        <v>1116</v>
      </c>
      <c r="C2508" s="197" t="s">
        <v>1116</v>
      </c>
      <c r="D2508" s="90" t="s">
        <v>4264</v>
      </c>
      <c r="E2508" s="90" t="str">
        <f>VLOOKUP(B2508&amp;C2508,Divipola!$C$2:$F$1138,4,FALSE)</f>
        <v>11001</v>
      </c>
      <c r="F2508" s="4"/>
      <c r="G2508" s="194"/>
      <c r="H2508" s="194"/>
      <c r="I2508" s="194"/>
      <c r="J2508" s="194">
        <v>120</v>
      </c>
      <c r="K2508" s="194">
        <v>30</v>
      </c>
      <c r="L2508" s="194"/>
      <c r="M2508" s="194">
        <v>30</v>
      </c>
      <c r="N2508" s="194"/>
      <c r="O2508" s="194"/>
      <c r="P2508" s="194"/>
      <c r="Q2508" s="194"/>
      <c r="R2508" s="194"/>
      <c r="S2508" s="194"/>
      <c r="T2508" s="194"/>
      <c r="U2508" s="194"/>
      <c r="V2508" s="194"/>
      <c r="W2508" s="19"/>
      <c r="X2508" s="17"/>
      <c r="Y2508" s="5">
        <f t="shared" si="244"/>
        <v>0</v>
      </c>
      <c r="Z2508" s="5">
        <f t="shared" si="245"/>
        <v>0</v>
      </c>
      <c r="AA2508" s="5">
        <f t="shared" si="246"/>
        <v>0</v>
      </c>
      <c r="AB2508" s="5">
        <f t="shared" si="247"/>
        <v>0</v>
      </c>
      <c r="AC2508" s="5"/>
      <c r="AD2508" s="5">
        <v>0</v>
      </c>
      <c r="AE2508" s="5">
        <f t="shared" si="248"/>
        <v>0</v>
      </c>
      <c r="AF2508" s="70">
        <v>0</v>
      </c>
      <c r="AG2508" s="17"/>
      <c r="AH2508" s="18"/>
      <c r="AI2508" s="47" t="s">
        <v>4336</v>
      </c>
      <c r="AJ2508" s="73" t="s">
        <v>4337</v>
      </c>
      <c r="AK2508" s="45"/>
      <c r="AL2508" s="17"/>
      <c r="AM2508" s="195" t="s">
        <v>4918</v>
      </c>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39"/>
      <c r="CE2508" s="138"/>
      <c r="CF2508" s="139"/>
      <c r="CG2508" s="138"/>
      <c r="CH2508" s="139"/>
      <c r="CI2508" s="138"/>
      <c r="CJ2508" s="72"/>
      <c r="CK2508" s="139"/>
      <c r="CL2508" s="71"/>
      <c r="CM2508" s="139"/>
      <c r="CN2508" s="138"/>
      <c r="CO2508" s="138"/>
      <c r="CP2508" s="138"/>
      <c r="CQ2508" s="139"/>
      <c r="CR2508" s="138"/>
      <c r="CS2508" s="45"/>
      <c r="CT2508" s="138"/>
      <c r="CU2508" s="45"/>
      <c r="CV2508" s="99">
        <f t="shared" si="249"/>
        <v>0</v>
      </c>
      <c r="CW2508" s="139"/>
      <c r="CX2508" s="138"/>
      <c r="CY2508" s="138"/>
      <c r="CZ2508" s="138"/>
      <c r="DA2508" s="139"/>
      <c r="DB2508" s="138"/>
      <c r="DC2508" s="45"/>
      <c r="DD2508" s="138"/>
      <c r="DE2508" s="45"/>
      <c r="DF2508" s="46"/>
    </row>
    <row r="2509" spans="1:110" s="42" customFormat="1" ht="48" x14ac:dyDescent="0.2">
      <c r="A2509" s="89">
        <v>40856</v>
      </c>
      <c r="B2509" s="151" t="s">
        <v>4352</v>
      </c>
      <c r="C2509" s="90" t="s">
        <v>4358</v>
      </c>
      <c r="D2509" s="90" t="s">
        <v>2362</v>
      </c>
      <c r="E2509" s="90" t="str">
        <f>VLOOKUP(B2509&amp;C2509,Divipola!$C$2:$F$1138,4,FALSE)</f>
        <v>13001</v>
      </c>
      <c r="F2509" s="4"/>
      <c r="G2509" s="194"/>
      <c r="H2509" s="194"/>
      <c r="I2509" s="194"/>
      <c r="J2509" s="194">
        <v>55</v>
      </c>
      <c r="K2509" s="194">
        <v>11</v>
      </c>
      <c r="L2509" s="194">
        <v>11</v>
      </c>
      <c r="M2509" s="194"/>
      <c r="N2509" s="194"/>
      <c r="O2509" s="194"/>
      <c r="P2509" s="194"/>
      <c r="Q2509" s="194"/>
      <c r="R2509" s="194"/>
      <c r="S2509" s="194"/>
      <c r="T2509" s="194"/>
      <c r="U2509" s="194"/>
      <c r="V2509" s="194"/>
      <c r="W2509" s="19"/>
      <c r="X2509" s="17"/>
      <c r="Y2509" s="5">
        <f t="shared" si="244"/>
        <v>0</v>
      </c>
      <c r="Z2509" s="5">
        <f t="shared" si="245"/>
        <v>0</v>
      </c>
      <c r="AA2509" s="5">
        <f t="shared" si="246"/>
        <v>0</v>
      </c>
      <c r="AB2509" s="5">
        <f t="shared" si="247"/>
        <v>0</v>
      </c>
      <c r="AC2509" s="5"/>
      <c r="AD2509" s="5">
        <v>0</v>
      </c>
      <c r="AE2509" s="5">
        <f t="shared" si="248"/>
        <v>0</v>
      </c>
      <c r="AF2509" s="70">
        <v>0</v>
      </c>
      <c r="AG2509" s="17"/>
      <c r="AH2509" s="18"/>
      <c r="AI2509" s="47" t="s">
        <v>4346</v>
      </c>
      <c r="AJ2509" s="73" t="s">
        <v>4347</v>
      </c>
      <c r="AK2509" s="45"/>
      <c r="AL2509" s="17"/>
      <c r="AM2509" s="195" t="s">
        <v>4914</v>
      </c>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c r="BW2509" s="19"/>
      <c r="BX2509" s="19"/>
      <c r="BY2509" s="19"/>
      <c r="BZ2509" s="19"/>
      <c r="CA2509" s="19"/>
      <c r="CB2509" s="19"/>
      <c r="CC2509" s="19"/>
      <c r="CD2509" s="139"/>
      <c r="CE2509" s="138"/>
      <c r="CF2509" s="139"/>
      <c r="CG2509" s="138"/>
      <c r="CH2509" s="139"/>
      <c r="CI2509" s="138"/>
      <c r="CJ2509" s="72"/>
      <c r="CK2509" s="139"/>
      <c r="CL2509" s="71"/>
      <c r="CM2509" s="139"/>
      <c r="CN2509" s="138"/>
      <c r="CO2509" s="138"/>
      <c r="CP2509" s="138"/>
      <c r="CQ2509" s="139"/>
      <c r="CR2509" s="138"/>
      <c r="CS2509" s="45"/>
      <c r="CT2509" s="138"/>
      <c r="CU2509" s="45"/>
      <c r="CV2509" s="99">
        <f t="shared" si="249"/>
        <v>0</v>
      </c>
      <c r="CW2509" s="139"/>
      <c r="CX2509" s="138"/>
      <c r="CY2509" s="138"/>
      <c r="CZ2509" s="138"/>
      <c r="DA2509" s="139"/>
      <c r="DB2509" s="138"/>
      <c r="DC2509" s="45"/>
      <c r="DD2509" s="138"/>
      <c r="DE2509" s="45"/>
      <c r="DF2509" s="46"/>
    </row>
    <row r="2510" spans="1:110" s="42" customFormat="1" ht="84" x14ac:dyDescent="0.2">
      <c r="A2510" s="89">
        <v>40856</v>
      </c>
      <c r="B2510" s="151" t="s">
        <v>4296</v>
      </c>
      <c r="C2510" s="90" t="s">
        <v>1463</v>
      </c>
      <c r="D2510" s="90" t="s">
        <v>2362</v>
      </c>
      <c r="E2510" s="90" t="str">
        <f>VLOOKUP(B2510&amp;C2510,Divipola!$C$2:$F$1138,4,FALSE)</f>
        <v>19022</v>
      </c>
      <c r="F2510" s="4"/>
      <c r="G2510" s="101"/>
      <c r="H2510" s="101"/>
      <c r="I2510" s="101"/>
      <c r="J2510" s="101">
        <v>15</v>
      </c>
      <c r="K2510" s="101">
        <v>3</v>
      </c>
      <c r="L2510" s="101">
        <v>3</v>
      </c>
      <c r="M2510" s="101"/>
      <c r="N2510" s="101">
        <v>1</v>
      </c>
      <c r="O2510" s="101"/>
      <c r="P2510" s="101"/>
      <c r="Q2510" s="101"/>
      <c r="R2510" s="101"/>
      <c r="S2510" s="101"/>
      <c r="T2510" s="101"/>
      <c r="U2510" s="101"/>
      <c r="V2510" s="101"/>
      <c r="W2510" s="19"/>
      <c r="X2510" s="17"/>
      <c r="Y2510" s="5">
        <f t="shared" si="244"/>
        <v>0</v>
      </c>
      <c r="Z2510" s="5">
        <f t="shared" si="245"/>
        <v>0</v>
      </c>
      <c r="AA2510" s="5">
        <f t="shared" si="246"/>
        <v>0</v>
      </c>
      <c r="AB2510" s="5">
        <f t="shared" si="247"/>
        <v>0</v>
      </c>
      <c r="AC2510" s="5"/>
      <c r="AD2510" s="5">
        <v>0</v>
      </c>
      <c r="AE2510" s="5">
        <f t="shared" si="248"/>
        <v>0</v>
      </c>
      <c r="AF2510" s="70">
        <v>0</v>
      </c>
      <c r="AG2510" s="17"/>
      <c r="AH2510" s="18"/>
      <c r="AI2510" s="47" t="s">
        <v>4336</v>
      </c>
      <c r="AJ2510" s="73" t="s">
        <v>4337</v>
      </c>
      <c r="AK2510" s="45"/>
      <c r="AL2510" s="17"/>
      <c r="AM2510" s="121" t="s">
        <v>4915</v>
      </c>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39"/>
      <c r="CE2510" s="138"/>
      <c r="CF2510" s="139"/>
      <c r="CG2510" s="138"/>
      <c r="CH2510" s="139"/>
      <c r="CI2510" s="138"/>
      <c r="CJ2510" s="72"/>
      <c r="CK2510" s="139"/>
      <c r="CL2510" s="71"/>
      <c r="CM2510" s="139"/>
      <c r="CN2510" s="138"/>
      <c r="CO2510" s="138"/>
      <c r="CP2510" s="138"/>
      <c r="CQ2510" s="139"/>
      <c r="CR2510" s="138"/>
      <c r="CS2510" s="45"/>
      <c r="CT2510" s="138"/>
      <c r="CU2510" s="45"/>
      <c r="CV2510" s="99">
        <f t="shared" si="249"/>
        <v>0</v>
      </c>
      <c r="CW2510" s="139"/>
      <c r="CX2510" s="138"/>
      <c r="CY2510" s="138"/>
      <c r="CZ2510" s="138"/>
      <c r="DA2510" s="139"/>
      <c r="DB2510" s="138"/>
      <c r="DC2510" s="45"/>
      <c r="DD2510" s="138"/>
      <c r="DE2510" s="45"/>
      <c r="DF2510" s="46"/>
    </row>
    <row r="2511" spans="1:110" s="42" customFormat="1" ht="108" x14ac:dyDescent="0.2">
      <c r="A2511" s="89">
        <v>40856</v>
      </c>
      <c r="B2511" s="196" t="s">
        <v>4344</v>
      </c>
      <c r="C2511" s="197" t="s">
        <v>1756</v>
      </c>
      <c r="D2511" s="90" t="s">
        <v>4264</v>
      </c>
      <c r="E2511" s="90" t="str">
        <f>VLOOKUP(B2511&amp;C2511,Divipola!$C$2:$F$1138,4,FALSE)</f>
        <v>25473</v>
      </c>
      <c r="F2511" s="4"/>
      <c r="G2511" s="194"/>
      <c r="H2511" s="194"/>
      <c r="I2511" s="194"/>
      <c r="J2511" s="194">
        <v>600</v>
      </c>
      <c r="K2511" s="194">
        <v>150</v>
      </c>
      <c r="L2511" s="194"/>
      <c r="M2511" s="194">
        <v>150</v>
      </c>
      <c r="N2511" s="194"/>
      <c r="O2511" s="194"/>
      <c r="P2511" s="194"/>
      <c r="Q2511" s="194"/>
      <c r="R2511" s="194"/>
      <c r="S2511" s="194"/>
      <c r="T2511" s="194"/>
      <c r="U2511" s="194"/>
      <c r="V2511" s="194"/>
      <c r="W2511" s="19"/>
      <c r="X2511" s="17"/>
      <c r="Y2511" s="5">
        <f t="shared" si="244"/>
        <v>0</v>
      </c>
      <c r="Z2511" s="5">
        <f t="shared" si="245"/>
        <v>0</v>
      </c>
      <c r="AA2511" s="5">
        <f t="shared" si="246"/>
        <v>0</v>
      </c>
      <c r="AB2511" s="5">
        <f t="shared" si="247"/>
        <v>0</v>
      </c>
      <c r="AC2511" s="5"/>
      <c r="AD2511" s="5">
        <v>0</v>
      </c>
      <c r="AE2511" s="5">
        <f t="shared" si="248"/>
        <v>0</v>
      </c>
      <c r="AF2511" s="70">
        <v>0</v>
      </c>
      <c r="AG2511" s="17"/>
      <c r="AH2511" s="18"/>
      <c r="AI2511" s="47" t="s">
        <v>4336</v>
      </c>
      <c r="AJ2511" s="73" t="s">
        <v>4337</v>
      </c>
      <c r="AK2511" s="45"/>
      <c r="AL2511" s="17"/>
      <c r="AM2511" s="195" t="s">
        <v>4997</v>
      </c>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39"/>
      <c r="CE2511" s="138"/>
      <c r="CF2511" s="139"/>
      <c r="CG2511" s="138"/>
      <c r="CH2511" s="139"/>
      <c r="CI2511" s="138"/>
      <c r="CJ2511" s="72"/>
      <c r="CK2511" s="139"/>
      <c r="CL2511" s="71"/>
      <c r="CM2511" s="139"/>
      <c r="CN2511" s="138"/>
      <c r="CO2511" s="138"/>
      <c r="CP2511" s="138"/>
      <c r="CQ2511" s="139"/>
      <c r="CR2511" s="138"/>
      <c r="CS2511" s="45"/>
      <c r="CT2511" s="138"/>
      <c r="CU2511" s="45"/>
      <c r="CV2511" s="99">
        <f t="shared" si="249"/>
        <v>0</v>
      </c>
      <c r="CW2511" s="139"/>
      <c r="CX2511" s="138"/>
      <c r="CY2511" s="138"/>
      <c r="CZ2511" s="138"/>
      <c r="DA2511" s="139"/>
      <c r="DB2511" s="138"/>
      <c r="DC2511" s="45"/>
      <c r="DD2511" s="138"/>
      <c r="DE2511" s="45"/>
      <c r="DF2511" s="46"/>
    </row>
    <row r="2512" spans="1:110" s="42" customFormat="1" ht="36" x14ac:dyDescent="0.2">
      <c r="A2512" s="89">
        <v>40856</v>
      </c>
      <c r="B2512" s="151" t="s">
        <v>4219</v>
      </c>
      <c r="C2512" s="90" t="s">
        <v>3503</v>
      </c>
      <c r="D2512" s="90" t="s">
        <v>4264</v>
      </c>
      <c r="E2512" s="90" t="str">
        <f>VLOOKUP(B2512&amp;C2512,Divipola!$C$2:$F$1138,4,FALSE)</f>
        <v>41001</v>
      </c>
      <c r="F2512" s="4"/>
      <c r="G2512" s="101"/>
      <c r="H2512" s="101"/>
      <c r="I2512" s="101"/>
      <c r="J2512" s="101">
        <v>6</v>
      </c>
      <c r="K2512" s="101">
        <v>1</v>
      </c>
      <c r="L2512" s="101"/>
      <c r="M2512" s="101">
        <v>1</v>
      </c>
      <c r="N2512" s="101"/>
      <c r="O2512" s="101"/>
      <c r="P2512" s="101"/>
      <c r="Q2512" s="101"/>
      <c r="R2512" s="101"/>
      <c r="S2512" s="101"/>
      <c r="T2512" s="101"/>
      <c r="U2512" s="101"/>
      <c r="V2512" s="101"/>
      <c r="W2512" s="19"/>
      <c r="X2512" s="17"/>
      <c r="Y2512" s="5">
        <f t="shared" si="244"/>
        <v>0</v>
      </c>
      <c r="Z2512" s="5">
        <f t="shared" si="245"/>
        <v>0</v>
      </c>
      <c r="AA2512" s="5">
        <f t="shared" si="246"/>
        <v>0</v>
      </c>
      <c r="AB2512" s="5">
        <f t="shared" si="247"/>
        <v>0</v>
      </c>
      <c r="AC2512" s="5"/>
      <c r="AD2512" s="5">
        <v>0</v>
      </c>
      <c r="AE2512" s="5">
        <f t="shared" si="248"/>
        <v>0</v>
      </c>
      <c r="AF2512" s="70">
        <v>0</v>
      </c>
      <c r="AG2512" s="17"/>
      <c r="AH2512" s="18"/>
      <c r="AI2512" s="47" t="s">
        <v>4346</v>
      </c>
      <c r="AJ2512" s="73" t="s">
        <v>4347</v>
      </c>
      <c r="AK2512" s="45"/>
      <c r="AL2512" s="89" t="s">
        <v>2798</v>
      </c>
      <c r="AM2512" s="121" t="s">
        <v>4923</v>
      </c>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c r="BW2512" s="19"/>
      <c r="BX2512" s="19"/>
      <c r="BY2512" s="19"/>
      <c r="BZ2512" s="19"/>
      <c r="CA2512" s="19"/>
      <c r="CB2512" s="19"/>
      <c r="CC2512" s="19"/>
      <c r="CD2512" s="139"/>
      <c r="CE2512" s="138"/>
      <c r="CF2512" s="139"/>
      <c r="CG2512" s="138"/>
      <c r="CH2512" s="139"/>
      <c r="CI2512" s="138"/>
      <c r="CJ2512" s="72"/>
      <c r="CK2512" s="139"/>
      <c r="CL2512" s="71"/>
      <c r="CM2512" s="139"/>
      <c r="CN2512" s="138"/>
      <c r="CO2512" s="138"/>
      <c r="CP2512" s="138"/>
      <c r="CQ2512" s="139"/>
      <c r="CR2512" s="138"/>
      <c r="CS2512" s="45"/>
      <c r="CT2512" s="138"/>
      <c r="CU2512" s="45"/>
      <c r="CV2512" s="99">
        <f t="shared" si="249"/>
        <v>0</v>
      </c>
      <c r="CW2512" s="139"/>
      <c r="CX2512" s="138"/>
      <c r="CY2512" s="138"/>
      <c r="CZ2512" s="138"/>
      <c r="DA2512" s="139"/>
      <c r="DB2512" s="138"/>
      <c r="DC2512" s="45"/>
      <c r="DD2512" s="138"/>
      <c r="DE2512" s="45"/>
      <c r="DF2512" s="46"/>
    </row>
    <row r="2513" spans="1:110" s="42" customFormat="1" ht="36" x14ac:dyDescent="0.2">
      <c r="A2513" s="89">
        <v>40856</v>
      </c>
      <c r="B2513" s="151" t="s">
        <v>874</v>
      </c>
      <c r="C2513" s="90" t="s">
        <v>3541</v>
      </c>
      <c r="D2513" s="90" t="s">
        <v>4264</v>
      </c>
      <c r="E2513" s="90" t="str">
        <f>VLOOKUP(B2513&amp;C2513,Divipola!$C$2:$F$1138,4,FALSE)</f>
        <v>44001</v>
      </c>
      <c r="F2513" s="4"/>
      <c r="G2513" s="194"/>
      <c r="H2513" s="194"/>
      <c r="I2513" s="194"/>
      <c r="J2513" s="194"/>
      <c r="K2513" s="194"/>
      <c r="L2513" s="194"/>
      <c r="M2513" s="194"/>
      <c r="N2513" s="194"/>
      <c r="O2513" s="194"/>
      <c r="P2513" s="194"/>
      <c r="Q2513" s="194"/>
      <c r="R2513" s="194"/>
      <c r="S2513" s="194"/>
      <c r="T2513" s="194"/>
      <c r="U2513" s="194"/>
      <c r="V2513" s="194"/>
      <c r="W2513" s="19"/>
      <c r="X2513" s="17"/>
      <c r="Y2513" s="5">
        <f t="shared" si="244"/>
        <v>0</v>
      </c>
      <c r="Z2513" s="5">
        <f t="shared" si="245"/>
        <v>0</v>
      </c>
      <c r="AA2513" s="5">
        <f t="shared" si="246"/>
        <v>0</v>
      </c>
      <c r="AB2513" s="5">
        <f t="shared" si="247"/>
        <v>0</v>
      </c>
      <c r="AC2513" s="5"/>
      <c r="AD2513" s="5">
        <v>0</v>
      </c>
      <c r="AE2513" s="5">
        <f t="shared" si="248"/>
        <v>0</v>
      </c>
      <c r="AF2513" s="70">
        <v>0</v>
      </c>
      <c r="AG2513" s="17"/>
      <c r="AH2513" s="18"/>
      <c r="AI2513" s="47" t="s">
        <v>4346</v>
      </c>
      <c r="AJ2513" s="73" t="s">
        <v>4347</v>
      </c>
      <c r="AK2513" s="45"/>
      <c r="AL2513" s="17"/>
      <c r="AM2513" s="195" t="s">
        <v>4919</v>
      </c>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c r="BW2513" s="19"/>
      <c r="BX2513" s="19"/>
      <c r="BY2513" s="19"/>
      <c r="BZ2513" s="19"/>
      <c r="CA2513" s="19"/>
      <c r="CB2513" s="19"/>
      <c r="CC2513" s="19"/>
      <c r="CD2513" s="139"/>
      <c r="CE2513" s="138"/>
      <c r="CF2513" s="139"/>
      <c r="CG2513" s="138"/>
      <c r="CH2513" s="139"/>
      <c r="CI2513" s="138"/>
      <c r="CJ2513" s="72"/>
      <c r="CK2513" s="139"/>
      <c r="CL2513" s="71"/>
      <c r="CM2513" s="139"/>
      <c r="CN2513" s="138"/>
      <c r="CO2513" s="138"/>
      <c r="CP2513" s="138"/>
      <c r="CQ2513" s="139"/>
      <c r="CR2513" s="138"/>
      <c r="CS2513" s="45"/>
      <c r="CT2513" s="138"/>
      <c r="CU2513" s="45"/>
      <c r="CV2513" s="99">
        <f t="shared" si="249"/>
        <v>0</v>
      </c>
      <c r="CW2513" s="139"/>
      <c r="CX2513" s="138"/>
      <c r="CY2513" s="138"/>
      <c r="CZ2513" s="138"/>
      <c r="DA2513" s="139"/>
      <c r="DB2513" s="138"/>
      <c r="DC2513" s="45"/>
      <c r="DD2513" s="138"/>
      <c r="DE2513" s="45"/>
      <c r="DF2513" s="46"/>
    </row>
    <row r="2514" spans="1:110" s="42" customFormat="1" ht="24" x14ac:dyDescent="0.2">
      <c r="A2514" s="89">
        <v>40856</v>
      </c>
      <c r="B2514" s="151" t="s">
        <v>4244</v>
      </c>
      <c r="C2514" s="90" t="s">
        <v>2768</v>
      </c>
      <c r="D2514" s="90" t="s">
        <v>2362</v>
      </c>
      <c r="E2514" s="90" t="str">
        <f>VLOOKUP(B2514&amp;C2514,Divipola!$C$2:$F$1138,4,FALSE)</f>
        <v>76001</v>
      </c>
      <c r="F2514" s="4"/>
      <c r="G2514" s="194"/>
      <c r="H2514" s="194"/>
      <c r="I2514" s="194"/>
      <c r="J2514" s="194">
        <v>1</v>
      </c>
      <c r="K2514" s="194">
        <v>1</v>
      </c>
      <c r="L2514" s="194">
        <v>1</v>
      </c>
      <c r="M2514" s="194"/>
      <c r="N2514" s="194"/>
      <c r="O2514" s="194"/>
      <c r="P2514" s="194"/>
      <c r="Q2514" s="194"/>
      <c r="R2514" s="194"/>
      <c r="S2514" s="194"/>
      <c r="T2514" s="194"/>
      <c r="U2514" s="194"/>
      <c r="V2514" s="194"/>
      <c r="W2514" s="19"/>
      <c r="X2514" s="17"/>
      <c r="Y2514" s="5">
        <f t="shared" si="244"/>
        <v>0</v>
      </c>
      <c r="Z2514" s="5">
        <f t="shared" si="245"/>
        <v>0</v>
      </c>
      <c r="AA2514" s="5">
        <f t="shared" si="246"/>
        <v>0</v>
      </c>
      <c r="AB2514" s="5">
        <f t="shared" si="247"/>
        <v>0</v>
      </c>
      <c r="AC2514" s="5"/>
      <c r="AD2514" s="5">
        <v>0</v>
      </c>
      <c r="AE2514" s="5">
        <f t="shared" si="248"/>
        <v>0</v>
      </c>
      <c r="AF2514" s="70">
        <v>0</v>
      </c>
      <c r="AG2514" s="17"/>
      <c r="AH2514" s="18"/>
      <c r="AI2514" s="47" t="s">
        <v>4336</v>
      </c>
      <c r="AJ2514" s="73" t="s">
        <v>4337</v>
      </c>
      <c r="AK2514" s="45"/>
      <c r="AL2514" s="17"/>
      <c r="AM2514" s="195" t="s">
        <v>4912</v>
      </c>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c r="BW2514" s="19"/>
      <c r="BX2514" s="19"/>
      <c r="BY2514" s="19"/>
      <c r="BZ2514" s="19"/>
      <c r="CA2514" s="19"/>
      <c r="CB2514" s="19"/>
      <c r="CC2514" s="19"/>
      <c r="CD2514" s="139"/>
      <c r="CE2514" s="138"/>
      <c r="CF2514" s="139"/>
      <c r="CG2514" s="138"/>
      <c r="CH2514" s="139"/>
      <c r="CI2514" s="138"/>
      <c r="CJ2514" s="72"/>
      <c r="CK2514" s="139"/>
      <c r="CL2514" s="71"/>
      <c r="CM2514" s="139"/>
      <c r="CN2514" s="138"/>
      <c r="CO2514" s="138"/>
      <c r="CP2514" s="138"/>
      <c r="CQ2514" s="139"/>
      <c r="CR2514" s="138"/>
      <c r="CS2514" s="45"/>
      <c r="CT2514" s="138"/>
      <c r="CU2514" s="45"/>
      <c r="CV2514" s="99">
        <f t="shared" si="249"/>
        <v>0</v>
      </c>
      <c r="CW2514" s="139"/>
      <c r="CX2514" s="138"/>
      <c r="CY2514" s="138"/>
      <c r="CZ2514" s="138"/>
      <c r="DA2514" s="139"/>
      <c r="DB2514" s="138"/>
      <c r="DC2514" s="45"/>
      <c r="DD2514" s="138"/>
      <c r="DE2514" s="45"/>
      <c r="DF2514" s="46"/>
    </row>
    <row r="2515" spans="1:110" s="42" customFormat="1" ht="24" x14ac:dyDescent="0.2">
      <c r="A2515" s="89">
        <v>40856</v>
      </c>
      <c r="B2515" s="151" t="s">
        <v>4244</v>
      </c>
      <c r="C2515" s="90" t="s">
        <v>2768</v>
      </c>
      <c r="D2515" s="90" t="s">
        <v>2362</v>
      </c>
      <c r="E2515" s="90" t="str">
        <f>VLOOKUP(B2515&amp;C2515,Divipola!$C$2:$F$1138,4,FALSE)</f>
        <v>76001</v>
      </c>
      <c r="F2515" s="4"/>
      <c r="G2515" s="194"/>
      <c r="H2515" s="194"/>
      <c r="I2515" s="194"/>
      <c r="J2515" s="194">
        <v>12</v>
      </c>
      <c r="K2515" s="194">
        <v>3</v>
      </c>
      <c r="L2515" s="194">
        <v>1</v>
      </c>
      <c r="M2515" s="194">
        <v>2</v>
      </c>
      <c r="N2515" s="194"/>
      <c r="O2515" s="194"/>
      <c r="P2515" s="194"/>
      <c r="Q2515" s="194"/>
      <c r="R2515" s="194"/>
      <c r="S2515" s="194"/>
      <c r="T2515" s="194"/>
      <c r="U2515" s="194"/>
      <c r="V2515" s="194"/>
      <c r="W2515" s="19"/>
      <c r="X2515" s="17"/>
      <c r="Y2515" s="5">
        <f t="shared" si="244"/>
        <v>0</v>
      </c>
      <c r="Z2515" s="5">
        <f t="shared" si="245"/>
        <v>0</v>
      </c>
      <c r="AA2515" s="5">
        <f t="shared" si="246"/>
        <v>0</v>
      </c>
      <c r="AB2515" s="5">
        <f t="shared" si="247"/>
        <v>0</v>
      </c>
      <c r="AC2515" s="5"/>
      <c r="AD2515" s="5">
        <v>0</v>
      </c>
      <c r="AE2515" s="5">
        <f t="shared" si="248"/>
        <v>0</v>
      </c>
      <c r="AF2515" s="70">
        <v>0</v>
      </c>
      <c r="AG2515" s="17"/>
      <c r="AH2515" s="18"/>
      <c r="AI2515" s="47" t="s">
        <v>4336</v>
      </c>
      <c r="AJ2515" s="73" t="s">
        <v>4337</v>
      </c>
      <c r="AK2515" s="45"/>
      <c r="AL2515" s="17"/>
      <c r="AM2515" s="195" t="s">
        <v>4913</v>
      </c>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c r="BW2515" s="19"/>
      <c r="BX2515" s="19"/>
      <c r="BY2515" s="19"/>
      <c r="BZ2515" s="19"/>
      <c r="CA2515" s="19"/>
      <c r="CB2515" s="19"/>
      <c r="CC2515" s="19"/>
      <c r="CD2515" s="139"/>
      <c r="CE2515" s="138"/>
      <c r="CF2515" s="139"/>
      <c r="CG2515" s="138"/>
      <c r="CH2515" s="139"/>
      <c r="CI2515" s="138"/>
      <c r="CJ2515" s="72"/>
      <c r="CK2515" s="139"/>
      <c r="CL2515" s="71"/>
      <c r="CM2515" s="139"/>
      <c r="CN2515" s="138"/>
      <c r="CO2515" s="138"/>
      <c r="CP2515" s="138"/>
      <c r="CQ2515" s="139"/>
      <c r="CR2515" s="138"/>
      <c r="CS2515" s="45"/>
      <c r="CT2515" s="138"/>
      <c r="CU2515" s="45"/>
      <c r="CV2515" s="99">
        <f t="shared" si="249"/>
        <v>0</v>
      </c>
      <c r="CW2515" s="139"/>
      <c r="CX2515" s="138"/>
      <c r="CY2515" s="138"/>
      <c r="CZ2515" s="138"/>
      <c r="DA2515" s="139"/>
      <c r="DB2515" s="138"/>
      <c r="DC2515" s="45"/>
      <c r="DD2515" s="138"/>
      <c r="DE2515" s="45"/>
      <c r="DF2515" s="46"/>
    </row>
    <row r="2516" spans="1:110" s="42" customFormat="1" ht="96" x14ac:dyDescent="0.2">
      <c r="A2516" s="89">
        <v>40856</v>
      </c>
      <c r="B2516" s="151" t="s">
        <v>4244</v>
      </c>
      <c r="C2516" s="90" t="s">
        <v>3538</v>
      </c>
      <c r="D2516" s="90" t="s">
        <v>4264</v>
      </c>
      <c r="E2516" s="90" t="str">
        <f>VLOOKUP(B2516&amp;C2516,Divipola!$C$2:$F$1138,4,FALSE)</f>
        <v>76863</v>
      </c>
      <c r="F2516" s="4"/>
      <c r="G2516" s="194"/>
      <c r="H2516" s="194"/>
      <c r="I2516" s="194"/>
      <c r="J2516" s="194"/>
      <c r="K2516" s="194"/>
      <c r="L2516" s="194"/>
      <c r="M2516" s="194"/>
      <c r="N2516" s="194"/>
      <c r="O2516" s="194">
        <v>1</v>
      </c>
      <c r="P2516" s="194"/>
      <c r="Q2516" s="194"/>
      <c r="R2516" s="194"/>
      <c r="S2516" s="194"/>
      <c r="T2516" s="194"/>
      <c r="U2516" s="194"/>
      <c r="V2516" s="194"/>
      <c r="W2516" s="19"/>
      <c r="X2516" s="17"/>
      <c r="Y2516" s="5">
        <f t="shared" si="244"/>
        <v>0</v>
      </c>
      <c r="Z2516" s="5">
        <f t="shared" si="245"/>
        <v>0</v>
      </c>
      <c r="AA2516" s="5">
        <f t="shared" si="246"/>
        <v>0</v>
      </c>
      <c r="AB2516" s="5">
        <f t="shared" si="247"/>
        <v>0</v>
      </c>
      <c r="AC2516" s="5"/>
      <c r="AD2516" s="5">
        <v>0</v>
      </c>
      <c r="AE2516" s="5">
        <f t="shared" si="248"/>
        <v>0</v>
      </c>
      <c r="AF2516" s="70">
        <v>0</v>
      </c>
      <c r="AG2516" s="17"/>
      <c r="AH2516" s="18"/>
      <c r="AI2516" s="47" t="s">
        <v>4346</v>
      </c>
      <c r="AJ2516" s="73" t="s">
        <v>4347</v>
      </c>
      <c r="AK2516" s="45"/>
      <c r="AL2516" s="89" t="s">
        <v>2798</v>
      </c>
      <c r="AM2516" s="195" t="s">
        <v>4911</v>
      </c>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39"/>
      <c r="CE2516" s="138"/>
      <c r="CF2516" s="139"/>
      <c r="CG2516" s="138"/>
      <c r="CH2516" s="139"/>
      <c r="CI2516" s="138"/>
      <c r="CJ2516" s="72"/>
      <c r="CK2516" s="139"/>
      <c r="CL2516" s="71"/>
      <c r="CM2516" s="139"/>
      <c r="CN2516" s="138"/>
      <c r="CO2516" s="138"/>
      <c r="CP2516" s="138"/>
      <c r="CQ2516" s="139"/>
      <c r="CR2516" s="138"/>
      <c r="CS2516" s="45"/>
      <c r="CT2516" s="138"/>
      <c r="CU2516" s="45"/>
      <c r="CV2516" s="99">
        <f t="shared" si="249"/>
        <v>0</v>
      </c>
      <c r="CW2516" s="139"/>
      <c r="CX2516" s="138"/>
      <c r="CY2516" s="138"/>
      <c r="CZ2516" s="138"/>
      <c r="DA2516" s="139"/>
      <c r="DB2516" s="138"/>
      <c r="DC2516" s="45"/>
      <c r="DD2516" s="138"/>
      <c r="DE2516" s="45"/>
      <c r="DF2516" s="46"/>
    </row>
    <row r="2517" spans="1:110" s="42" customFormat="1" ht="22.5" x14ac:dyDescent="0.2">
      <c r="A2517" s="89">
        <v>40856</v>
      </c>
      <c r="B2517" s="151" t="s">
        <v>4221</v>
      </c>
      <c r="C2517" s="90" t="s">
        <v>2237</v>
      </c>
      <c r="D2517" s="90" t="s">
        <v>4264</v>
      </c>
      <c r="E2517" s="90" t="str">
        <f>VLOOKUP(B2517&amp;C2517,Divipola!$C$2:$F$1138,4,FALSE)</f>
        <v>54261</v>
      </c>
      <c r="F2517" s="4"/>
      <c r="G2517" s="208"/>
      <c r="H2517" s="208"/>
      <c r="I2517" s="208"/>
      <c r="J2517" s="208"/>
      <c r="K2517" s="208"/>
      <c r="L2517" s="208"/>
      <c r="M2517" s="208"/>
      <c r="N2517" s="208"/>
      <c r="O2517" s="208"/>
      <c r="P2517" s="208"/>
      <c r="Q2517" s="208"/>
      <c r="R2517" s="208"/>
      <c r="S2517" s="208"/>
      <c r="T2517" s="208"/>
      <c r="U2517" s="208"/>
      <c r="V2517" s="208"/>
      <c r="W2517" s="19"/>
      <c r="X2517" s="17"/>
      <c r="Y2517" s="5">
        <f t="shared" si="244"/>
        <v>0</v>
      </c>
      <c r="Z2517" s="5">
        <f t="shared" si="245"/>
        <v>0</v>
      </c>
      <c r="AA2517" s="5">
        <f t="shared" si="246"/>
        <v>0</v>
      </c>
      <c r="AB2517" s="5">
        <f t="shared" si="247"/>
        <v>0</v>
      </c>
      <c r="AC2517" s="159">
        <f>300*90319.92</f>
        <v>27095976</v>
      </c>
      <c r="AD2517" s="5">
        <v>0</v>
      </c>
      <c r="AE2517" s="5">
        <f t="shared" si="248"/>
        <v>27095976</v>
      </c>
      <c r="AF2517" s="70">
        <v>0</v>
      </c>
      <c r="AG2517" s="17"/>
      <c r="AH2517" s="18"/>
      <c r="AI2517" s="47" t="s">
        <v>4346</v>
      </c>
      <c r="AJ2517" s="73" t="s">
        <v>4347</v>
      </c>
      <c r="AK2517" s="45"/>
      <c r="AL2517" s="17"/>
      <c r="AM2517" s="154" t="s">
        <v>5259</v>
      </c>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c r="BW2517" s="19"/>
      <c r="BX2517" s="19"/>
      <c r="BY2517" s="19"/>
      <c r="BZ2517" s="19"/>
      <c r="CA2517" s="19"/>
      <c r="CB2517" s="19"/>
      <c r="CC2517" s="19"/>
      <c r="CD2517" s="139"/>
      <c r="CE2517" s="138"/>
      <c r="CF2517" s="139"/>
      <c r="CG2517" s="138"/>
      <c r="CH2517" s="139"/>
      <c r="CI2517" s="138"/>
      <c r="CJ2517" s="72"/>
      <c r="CK2517" s="139"/>
      <c r="CL2517" s="71"/>
      <c r="CM2517" s="139"/>
      <c r="CN2517" s="138"/>
      <c r="CO2517" s="138"/>
      <c r="CP2517" s="138"/>
      <c r="CQ2517" s="139"/>
      <c r="CR2517" s="138"/>
      <c r="CS2517" s="45"/>
      <c r="CT2517" s="138"/>
      <c r="CU2517" s="45"/>
      <c r="CV2517" s="99">
        <f t="shared" si="249"/>
        <v>0</v>
      </c>
      <c r="CW2517" s="139"/>
      <c r="CX2517" s="138"/>
      <c r="CY2517" s="138"/>
      <c r="CZ2517" s="138"/>
      <c r="DA2517" s="139"/>
      <c r="DB2517" s="138"/>
      <c r="DC2517" s="45"/>
      <c r="DD2517" s="138"/>
      <c r="DE2517" s="45"/>
      <c r="DF2517" s="46"/>
    </row>
    <row r="2518" spans="1:110" s="42" customFormat="1" ht="48" x14ac:dyDescent="0.2">
      <c r="A2518" s="89">
        <v>40856</v>
      </c>
      <c r="B2518" s="151" t="s">
        <v>4387</v>
      </c>
      <c r="C2518" s="90" t="s">
        <v>518</v>
      </c>
      <c r="D2518" s="90" t="s">
        <v>3346</v>
      </c>
      <c r="E2518" s="90" t="str">
        <f>VLOOKUP(B2518&amp;C2518,Divipola!$C$2:$F$1138,4,FALSE)</f>
        <v>52585</v>
      </c>
      <c r="F2518" s="4"/>
      <c r="G2518" s="101"/>
      <c r="H2518" s="101"/>
      <c r="I2518" s="101"/>
      <c r="J2518" s="101"/>
      <c r="K2518" s="101"/>
      <c r="L2518" s="101"/>
      <c r="M2518" s="101"/>
      <c r="N2518" s="101"/>
      <c r="O2518" s="101"/>
      <c r="P2518" s="101"/>
      <c r="Q2518" s="101"/>
      <c r="R2518" s="101"/>
      <c r="S2518" s="101"/>
      <c r="T2518" s="101">
        <v>1</v>
      </c>
      <c r="U2518" s="101"/>
      <c r="V2518" s="264"/>
      <c r="W2518" s="19"/>
      <c r="X2518" s="17"/>
      <c r="Y2518" s="5">
        <f t="shared" si="244"/>
        <v>0</v>
      </c>
      <c r="Z2518" s="5">
        <f t="shared" si="245"/>
        <v>0</v>
      </c>
      <c r="AA2518" s="5">
        <f t="shared" si="246"/>
        <v>0</v>
      </c>
      <c r="AB2518" s="5">
        <f t="shared" si="247"/>
        <v>0</v>
      </c>
      <c r="AC2518" s="5"/>
      <c r="AD2518" s="5">
        <v>0</v>
      </c>
      <c r="AE2518" s="5">
        <f t="shared" si="248"/>
        <v>0</v>
      </c>
      <c r="AF2518" s="70">
        <v>0</v>
      </c>
      <c r="AG2518" s="17"/>
      <c r="AH2518" s="18"/>
      <c r="AI2518" s="47" t="s">
        <v>4336</v>
      </c>
      <c r="AJ2518" s="73" t="s">
        <v>4337</v>
      </c>
      <c r="AK2518" s="45"/>
      <c r="AL2518" s="17"/>
      <c r="AM2518" s="121" t="s">
        <v>5611</v>
      </c>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39"/>
      <c r="CE2518" s="138"/>
      <c r="CF2518" s="139"/>
      <c r="CG2518" s="138"/>
      <c r="CH2518" s="139"/>
      <c r="CI2518" s="138"/>
      <c r="CJ2518" s="72"/>
      <c r="CK2518" s="139"/>
      <c r="CL2518" s="71"/>
      <c r="CM2518" s="139"/>
      <c r="CN2518" s="138"/>
      <c r="CO2518" s="138"/>
      <c r="CP2518" s="138"/>
      <c r="CQ2518" s="139"/>
      <c r="CR2518" s="138"/>
      <c r="CS2518" s="45"/>
      <c r="CT2518" s="138"/>
      <c r="CU2518" s="45"/>
      <c r="CV2518" s="99">
        <f t="shared" si="249"/>
        <v>0</v>
      </c>
      <c r="CW2518" s="139"/>
      <c r="CX2518" s="138"/>
      <c r="CY2518" s="138"/>
      <c r="CZ2518" s="138"/>
      <c r="DA2518" s="139"/>
      <c r="DB2518" s="138"/>
      <c r="DC2518" s="45"/>
      <c r="DD2518" s="138"/>
      <c r="DE2518" s="45"/>
      <c r="DF2518" s="46"/>
    </row>
    <row r="2519" spans="1:110" s="42" customFormat="1" ht="48" x14ac:dyDescent="0.2">
      <c r="A2519" s="89">
        <v>40857</v>
      </c>
      <c r="B2519" s="197" t="s">
        <v>1116</v>
      </c>
      <c r="C2519" s="197" t="s">
        <v>1116</v>
      </c>
      <c r="D2519" s="90" t="s">
        <v>2362</v>
      </c>
      <c r="E2519" s="90" t="str">
        <f>VLOOKUP(B2519&amp;C2519,Divipola!$C$2:$F$1138,4,FALSE)</f>
        <v>11001</v>
      </c>
      <c r="F2519" s="4"/>
      <c r="G2519" s="101"/>
      <c r="H2519" s="101"/>
      <c r="I2519" s="101"/>
      <c r="J2519" s="101">
        <v>12</v>
      </c>
      <c r="K2519" s="101">
        <v>3</v>
      </c>
      <c r="L2519" s="101"/>
      <c r="M2519" s="101">
        <v>3</v>
      </c>
      <c r="N2519" s="101"/>
      <c r="O2519" s="101"/>
      <c r="P2519" s="101"/>
      <c r="Q2519" s="101"/>
      <c r="R2519" s="101"/>
      <c r="S2519" s="101"/>
      <c r="T2519" s="101"/>
      <c r="U2519" s="101"/>
      <c r="V2519" s="101"/>
      <c r="W2519" s="19"/>
      <c r="X2519" s="17"/>
      <c r="Y2519" s="5">
        <f t="shared" si="244"/>
        <v>0</v>
      </c>
      <c r="Z2519" s="5">
        <f t="shared" si="245"/>
        <v>0</v>
      </c>
      <c r="AA2519" s="5">
        <f t="shared" si="246"/>
        <v>0</v>
      </c>
      <c r="AB2519" s="5">
        <f t="shared" si="247"/>
        <v>0</v>
      </c>
      <c r="AC2519" s="5"/>
      <c r="AD2519" s="5">
        <v>0</v>
      </c>
      <c r="AE2519" s="5">
        <f t="shared" si="248"/>
        <v>0</v>
      </c>
      <c r="AF2519" s="70">
        <v>0</v>
      </c>
      <c r="AG2519" s="17"/>
      <c r="AH2519" s="18"/>
      <c r="AI2519" s="47" t="s">
        <v>4336</v>
      </c>
      <c r="AJ2519" s="73" t="s">
        <v>4337</v>
      </c>
      <c r="AK2519" s="45"/>
      <c r="AL2519" s="17"/>
      <c r="AM2519" s="121" t="s">
        <v>4925</v>
      </c>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c r="BW2519" s="19"/>
      <c r="BX2519" s="19"/>
      <c r="BY2519" s="19"/>
      <c r="BZ2519" s="19"/>
      <c r="CA2519" s="19"/>
      <c r="CB2519" s="19"/>
      <c r="CC2519" s="19"/>
      <c r="CD2519" s="139"/>
      <c r="CE2519" s="138"/>
      <c r="CF2519" s="139"/>
      <c r="CG2519" s="138"/>
      <c r="CH2519" s="139"/>
      <c r="CI2519" s="138"/>
      <c r="CJ2519" s="72"/>
      <c r="CK2519" s="139"/>
      <c r="CL2519" s="71"/>
      <c r="CM2519" s="139"/>
      <c r="CN2519" s="138"/>
      <c r="CO2519" s="138"/>
      <c r="CP2519" s="138"/>
      <c r="CQ2519" s="139"/>
      <c r="CR2519" s="138"/>
      <c r="CS2519" s="45"/>
      <c r="CT2519" s="138"/>
      <c r="CU2519" s="45"/>
      <c r="CV2519" s="99">
        <f t="shared" si="249"/>
        <v>0</v>
      </c>
      <c r="CW2519" s="139"/>
      <c r="CX2519" s="138"/>
      <c r="CY2519" s="138"/>
      <c r="CZ2519" s="138"/>
      <c r="DA2519" s="139"/>
      <c r="DB2519" s="138"/>
      <c r="DC2519" s="45"/>
      <c r="DD2519" s="138"/>
      <c r="DE2519" s="45"/>
      <c r="DF2519" s="46"/>
    </row>
    <row r="2520" spans="1:110" s="42" customFormat="1" ht="60" x14ac:dyDescent="0.2">
      <c r="A2520" s="89">
        <v>40857</v>
      </c>
      <c r="B2520" s="151" t="s">
        <v>4261</v>
      </c>
      <c r="C2520" s="90" t="s">
        <v>1231</v>
      </c>
      <c r="D2520" s="90" t="s">
        <v>2362</v>
      </c>
      <c r="E2520" s="90" t="str">
        <f>VLOOKUP(B2520&amp;C2520,Divipola!$C$2:$F$1138,4,FALSE)</f>
        <v>15507</v>
      </c>
      <c r="F2520" s="4"/>
      <c r="G2520" s="101"/>
      <c r="H2520" s="101"/>
      <c r="I2520" s="101"/>
      <c r="J2520" s="101"/>
      <c r="K2520" s="101"/>
      <c r="L2520" s="101"/>
      <c r="M2520" s="101"/>
      <c r="N2520" s="101"/>
      <c r="O2520" s="101">
        <v>1</v>
      </c>
      <c r="P2520" s="101"/>
      <c r="Q2520" s="101"/>
      <c r="R2520" s="101"/>
      <c r="S2520" s="101"/>
      <c r="T2520" s="101"/>
      <c r="U2520" s="101"/>
      <c r="V2520" s="101"/>
      <c r="W2520" s="19"/>
      <c r="X2520" s="17"/>
      <c r="Y2520" s="5">
        <f t="shared" si="244"/>
        <v>0</v>
      </c>
      <c r="Z2520" s="5">
        <f t="shared" si="245"/>
        <v>0</v>
      </c>
      <c r="AA2520" s="5">
        <f t="shared" si="246"/>
        <v>0</v>
      </c>
      <c r="AB2520" s="5">
        <f t="shared" si="247"/>
        <v>0</v>
      </c>
      <c r="AC2520" s="5"/>
      <c r="AD2520" s="5">
        <v>0</v>
      </c>
      <c r="AE2520" s="5">
        <f t="shared" si="248"/>
        <v>0</v>
      </c>
      <c r="AF2520" s="70">
        <v>0</v>
      </c>
      <c r="AG2520" s="17"/>
      <c r="AH2520" s="18"/>
      <c r="AI2520" s="47" t="s">
        <v>4346</v>
      </c>
      <c r="AJ2520" s="73" t="s">
        <v>4347</v>
      </c>
      <c r="AK2520" s="45"/>
      <c r="AL2520" s="17" t="s">
        <v>5531</v>
      </c>
      <c r="AM2520" s="121" t="s">
        <v>4927</v>
      </c>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c r="BW2520" s="19"/>
      <c r="BX2520" s="19"/>
      <c r="BY2520" s="19"/>
      <c r="BZ2520" s="19"/>
      <c r="CA2520" s="19"/>
      <c r="CB2520" s="19"/>
      <c r="CC2520" s="19"/>
      <c r="CD2520" s="139"/>
      <c r="CE2520" s="138"/>
      <c r="CF2520" s="139"/>
      <c r="CG2520" s="138"/>
      <c r="CH2520" s="139"/>
      <c r="CI2520" s="138"/>
      <c r="CJ2520" s="72"/>
      <c r="CK2520" s="139"/>
      <c r="CL2520" s="71"/>
      <c r="CM2520" s="139"/>
      <c r="CN2520" s="138"/>
      <c r="CO2520" s="138"/>
      <c r="CP2520" s="138"/>
      <c r="CQ2520" s="139"/>
      <c r="CR2520" s="138"/>
      <c r="CS2520" s="45"/>
      <c r="CT2520" s="138"/>
      <c r="CU2520" s="45"/>
      <c r="CV2520" s="99">
        <f t="shared" si="249"/>
        <v>0</v>
      </c>
      <c r="CW2520" s="139"/>
      <c r="CX2520" s="138"/>
      <c r="CY2520" s="138"/>
      <c r="CZ2520" s="138"/>
      <c r="DA2520" s="139"/>
      <c r="DB2520" s="138"/>
      <c r="DC2520" s="45"/>
      <c r="DD2520" s="138"/>
      <c r="DE2520" s="45"/>
      <c r="DF2520" s="46"/>
    </row>
    <row r="2521" spans="1:110" s="42" customFormat="1" ht="108" x14ac:dyDescent="0.2">
      <c r="A2521" s="89">
        <v>40857</v>
      </c>
      <c r="B2521" s="151" t="s">
        <v>4261</v>
      </c>
      <c r="C2521" s="90" t="s">
        <v>2869</v>
      </c>
      <c r="D2521" s="90" t="s">
        <v>4264</v>
      </c>
      <c r="E2521" s="90" t="str">
        <f>VLOOKUP(B2521&amp;C2521,Divipola!$C$2:$F$1138,4,FALSE)</f>
        <v>15572</v>
      </c>
      <c r="F2521" s="4"/>
      <c r="G2521" s="101"/>
      <c r="H2521" s="101"/>
      <c r="I2521" s="101"/>
      <c r="J2521" s="101">
        <v>1925</v>
      </c>
      <c r="K2521" s="101">
        <v>385</v>
      </c>
      <c r="L2521" s="101"/>
      <c r="M2521" s="101">
        <v>385</v>
      </c>
      <c r="N2521" s="101"/>
      <c r="O2521" s="101"/>
      <c r="P2521" s="101"/>
      <c r="Q2521" s="101"/>
      <c r="R2521" s="101"/>
      <c r="S2521" s="101"/>
      <c r="T2521" s="101"/>
      <c r="U2521" s="101"/>
      <c r="V2521" s="101"/>
      <c r="W2521" s="19"/>
      <c r="X2521" s="17"/>
      <c r="Y2521" s="5">
        <f t="shared" si="244"/>
        <v>58405118.400000006</v>
      </c>
      <c r="Z2521" s="5">
        <f t="shared" si="245"/>
        <v>32300000</v>
      </c>
      <c r="AA2521" s="5">
        <f t="shared" si="246"/>
        <v>0</v>
      </c>
      <c r="AB2521" s="5">
        <f t="shared" si="247"/>
        <v>0</v>
      </c>
      <c r="AC2521" s="5"/>
      <c r="AD2521" s="5">
        <v>0</v>
      </c>
      <c r="AE2521" s="5">
        <f t="shared" si="248"/>
        <v>90705118.400000006</v>
      </c>
      <c r="AF2521" s="70">
        <v>0</v>
      </c>
      <c r="AG2521" s="17"/>
      <c r="AH2521" s="18"/>
      <c r="AI2521" s="47" t="s">
        <v>4346</v>
      </c>
      <c r="AJ2521" s="73" t="s">
        <v>4347</v>
      </c>
      <c r="AK2521" s="45"/>
      <c r="AL2521" s="17"/>
      <c r="AM2521" s="121" t="s">
        <v>4929</v>
      </c>
      <c r="AN2521" s="19"/>
      <c r="AO2521" s="19"/>
      <c r="AP2521" s="19"/>
      <c r="AQ2521" s="19"/>
      <c r="AR2521" s="19"/>
      <c r="AS2521" s="19"/>
      <c r="AT2521" s="19"/>
      <c r="AU2521" s="19"/>
      <c r="AV2521" s="19"/>
      <c r="AW2521" s="19"/>
      <c r="AX2521" s="19"/>
      <c r="AY2521" s="19"/>
      <c r="AZ2521" s="19">
        <v>380</v>
      </c>
      <c r="BA2521" s="19">
        <f>380*55999</f>
        <v>21279620</v>
      </c>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19"/>
      <c r="BW2521" s="19"/>
      <c r="BX2521" s="19"/>
      <c r="BY2521" s="19"/>
      <c r="BZ2521" s="19"/>
      <c r="CA2521" s="19"/>
      <c r="CB2521" s="19"/>
      <c r="CC2521" s="19"/>
      <c r="CD2521" s="139"/>
      <c r="CE2521" s="138"/>
      <c r="CF2521" s="139"/>
      <c r="CG2521" s="138"/>
      <c r="CH2521" s="139"/>
      <c r="CI2521" s="138"/>
      <c r="CJ2521" s="72">
        <v>380</v>
      </c>
      <c r="CK2521" s="139">
        <f>380*20999.48</f>
        <v>7979802.3999999994</v>
      </c>
      <c r="CL2521" s="71"/>
      <c r="CM2521" s="139"/>
      <c r="CN2521" s="138"/>
      <c r="CO2521" s="138"/>
      <c r="CP2521" s="138">
        <v>380</v>
      </c>
      <c r="CQ2521" s="139">
        <f>380*36999.36</f>
        <v>14059756.800000001</v>
      </c>
      <c r="CR2521" s="138">
        <v>380</v>
      </c>
      <c r="CS2521" s="45">
        <f>380*39699.84</f>
        <v>15085939.199999999</v>
      </c>
      <c r="CT2521" s="138"/>
      <c r="CU2521" s="45"/>
      <c r="CV2521" s="99">
        <f t="shared" si="249"/>
        <v>58405118.400000006</v>
      </c>
      <c r="CW2521" s="139"/>
      <c r="CX2521" s="138"/>
      <c r="CY2521" s="138">
        <v>380</v>
      </c>
      <c r="CZ2521" s="138">
        <f>380*85000</f>
        <v>32300000</v>
      </c>
      <c r="DA2521" s="139"/>
      <c r="DB2521" s="138"/>
      <c r="DC2521" s="45"/>
      <c r="DD2521" s="138"/>
      <c r="DE2521" s="45"/>
      <c r="DF2521" s="46"/>
    </row>
    <row r="2522" spans="1:110" s="42" customFormat="1" ht="96" x14ac:dyDescent="0.2">
      <c r="A2522" s="89">
        <v>40857</v>
      </c>
      <c r="B2522" s="151" t="s">
        <v>3533</v>
      </c>
      <c r="C2522" s="90" t="s">
        <v>862</v>
      </c>
      <c r="D2522" s="90" t="s">
        <v>2362</v>
      </c>
      <c r="E2522" s="90" t="str">
        <f>VLOOKUP(B2522&amp;C2522,Divipola!$C$2:$F$1138,4,FALSE)</f>
        <v>17001</v>
      </c>
      <c r="F2522" s="4"/>
      <c r="G2522" s="101"/>
      <c r="H2522" s="101"/>
      <c r="I2522" s="101"/>
      <c r="J2522" s="101">
        <v>110</v>
      </c>
      <c r="K2522" s="101">
        <v>26</v>
      </c>
      <c r="L2522" s="101"/>
      <c r="M2522" s="101"/>
      <c r="N2522" s="101"/>
      <c r="O2522" s="101"/>
      <c r="P2522" s="101"/>
      <c r="Q2522" s="101"/>
      <c r="R2522" s="101"/>
      <c r="S2522" s="101"/>
      <c r="T2522" s="101"/>
      <c r="U2522" s="101"/>
      <c r="V2522" s="101"/>
      <c r="W2522" s="19"/>
      <c r="X2522" s="17"/>
      <c r="Y2522" s="5">
        <f t="shared" si="244"/>
        <v>0</v>
      </c>
      <c r="Z2522" s="5">
        <f t="shared" si="245"/>
        <v>0</v>
      </c>
      <c r="AA2522" s="5">
        <f t="shared" si="246"/>
        <v>0</v>
      </c>
      <c r="AB2522" s="5">
        <f t="shared" si="247"/>
        <v>0</v>
      </c>
      <c r="AC2522" s="5"/>
      <c r="AD2522" s="5">
        <v>0</v>
      </c>
      <c r="AE2522" s="5">
        <f t="shared" si="248"/>
        <v>0</v>
      </c>
      <c r="AF2522" s="70">
        <v>0</v>
      </c>
      <c r="AG2522" s="17"/>
      <c r="AH2522" s="18"/>
      <c r="AI2522" s="47" t="s">
        <v>4346</v>
      </c>
      <c r="AJ2522" s="73" t="s">
        <v>4347</v>
      </c>
      <c r="AK2522" s="45"/>
      <c r="AL2522" s="17" t="s">
        <v>5265</v>
      </c>
      <c r="AM2522" s="121" t="s">
        <v>4926</v>
      </c>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9"/>
      <c r="BW2522" s="19"/>
      <c r="BX2522" s="19"/>
      <c r="BY2522" s="19"/>
      <c r="BZ2522" s="19"/>
      <c r="CA2522" s="19"/>
      <c r="CB2522" s="19"/>
      <c r="CC2522" s="19"/>
      <c r="CD2522" s="139"/>
      <c r="CE2522" s="138"/>
      <c r="CF2522" s="139"/>
      <c r="CG2522" s="138"/>
      <c r="CH2522" s="139"/>
      <c r="CI2522" s="138"/>
      <c r="CJ2522" s="72"/>
      <c r="CK2522" s="139"/>
      <c r="CL2522" s="71"/>
      <c r="CM2522" s="139"/>
      <c r="CN2522" s="138"/>
      <c r="CO2522" s="138"/>
      <c r="CP2522" s="138"/>
      <c r="CQ2522" s="139"/>
      <c r="CR2522" s="138"/>
      <c r="CS2522" s="45"/>
      <c r="CT2522" s="138"/>
      <c r="CU2522" s="45"/>
      <c r="CV2522" s="99">
        <f t="shared" si="249"/>
        <v>0</v>
      </c>
      <c r="CW2522" s="139"/>
      <c r="CX2522" s="138"/>
      <c r="CY2522" s="138"/>
      <c r="CZ2522" s="138"/>
      <c r="DA2522" s="139"/>
      <c r="DB2522" s="138"/>
      <c r="DC2522" s="45"/>
      <c r="DD2522" s="138"/>
      <c r="DE2522" s="45"/>
      <c r="DF2522" s="46"/>
    </row>
    <row r="2523" spans="1:110" s="42" customFormat="1" ht="36" x14ac:dyDescent="0.2">
      <c r="A2523" s="89">
        <v>40857</v>
      </c>
      <c r="B2523" s="196" t="s">
        <v>4296</v>
      </c>
      <c r="C2523" s="197" t="s">
        <v>1463</v>
      </c>
      <c r="D2523" s="90" t="s">
        <v>2362</v>
      </c>
      <c r="E2523" s="90" t="str">
        <f>VLOOKUP(B2523&amp;C2523,Divipola!$C$2:$F$1138,4,FALSE)</f>
        <v>19022</v>
      </c>
      <c r="F2523" s="4"/>
      <c r="G2523" s="194"/>
      <c r="H2523" s="194"/>
      <c r="I2523" s="194"/>
      <c r="J2523" s="194">
        <v>20</v>
      </c>
      <c r="K2523" s="194">
        <v>3</v>
      </c>
      <c r="L2523" s="194"/>
      <c r="M2523" s="194">
        <v>3</v>
      </c>
      <c r="N2523" s="194"/>
      <c r="O2523" s="194"/>
      <c r="P2523" s="194"/>
      <c r="Q2523" s="194"/>
      <c r="R2523" s="194"/>
      <c r="S2523" s="194"/>
      <c r="T2523" s="194"/>
      <c r="U2523" s="194"/>
      <c r="V2523" s="194"/>
      <c r="W2523" s="19"/>
      <c r="X2523" s="17"/>
      <c r="Y2523" s="5">
        <f t="shared" si="244"/>
        <v>0</v>
      </c>
      <c r="Z2523" s="5">
        <f t="shared" si="245"/>
        <v>0</v>
      </c>
      <c r="AA2523" s="5">
        <f t="shared" si="246"/>
        <v>0</v>
      </c>
      <c r="AB2523" s="5">
        <f t="shared" si="247"/>
        <v>0</v>
      </c>
      <c r="AC2523" s="5"/>
      <c r="AD2523" s="5">
        <v>0</v>
      </c>
      <c r="AE2523" s="5">
        <f t="shared" si="248"/>
        <v>0</v>
      </c>
      <c r="AF2523" s="70">
        <v>0</v>
      </c>
      <c r="AG2523" s="17"/>
      <c r="AH2523" s="18"/>
      <c r="AI2523" s="47" t="s">
        <v>4336</v>
      </c>
      <c r="AJ2523" s="73" t="s">
        <v>4337</v>
      </c>
      <c r="AK2523" s="45"/>
      <c r="AL2523" s="17"/>
      <c r="AM2523" s="195" t="s">
        <v>4937</v>
      </c>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9"/>
      <c r="BW2523" s="19"/>
      <c r="BX2523" s="19"/>
      <c r="BY2523" s="19"/>
      <c r="BZ2523" s="19"/>
      <c r="CA2523" s="19"/>
      <c r="CB2523" s="19"/>
      <c r="CC2523" s="19"/>
      <c r="CD2523" s="139"/>
      <c r="CE2523" s="138"/>
      <c r="CF2523" s="139"/>
      <c r="CG2523" s="138"/>
      <c r="CH2523" s="139"/>
      <c r="CI2523" s="138"/>
      <c r="CJ2523" s="72"/>
      <c r="CK2523" s="139"/>
      <c r="CL2523" s="71"/>
      <c r="CM2523" s="139"/>
      <c r="CN2523" s="138"/>
      <c r="CO2523" s="138"/>
      <c r="CP2523" s="138"/>
      <c r="CQ2523" s="139"/>
      <c r="CR2523" s="138"/>
      <c r="CS2523" s="45"/>
      <c r="CT2523" s="138"/>
      <c r="CU2523" s="45"/>
      <c r="CV2523" s="99">
        <f t="shared" si="249"/>
        <v>0</v>
      </c>
      <c r="CW2523" s="139"/>
      <c r="CX2523" s="138"/>
      <c r="CY2523" s="138"/>
      <c r="CZ2523" s="138"/>
      <c r="DA2523" s="139"/>
      <c r="DB2523" s="138"/>
      <c r="DC2523" s="45"/>
      <c r="DD2523" s="138"/>
      <c r="DE2523" s="45"/>
      <c r="DF2523" s="46"/>
    </row>
    <row r="2524" spans="1:110" s="42" customFormat="1" ht="48" x14ac:dyDescent="0.2">
      <c r="A2524" s="89">
        <v>40857</v>
      </c>
      <c r="B2524" s="151" t="s">
        <v>4344</v>
      </c>
      <c r="C2524" s="90" t="s">
        <v>3552</v>
      </c>
      <c r="D2524" s="90" t="s">
        <v>2362</v>
      </c>
      <c r="E2524" s="90" t="str">
        <f>VLOOKUP(B2524&amp;C2524,Divipola!$C$2:$F$1138,4,FALSE)</f>
        <v>25320</v>
      </c>
      <c r="F2524" s="4"/>
      <c r="G2524" s="194"/>
      <c r="H2524" s="194"/>
      <c r="I2524" s="194"/>
      <c r="J2524" s="194">
        <v>35</v>
      </c>
      <c r="K2524" s="194">
        <v>8</v>
      </c>
      <c r="L2524" s="194"/>
      <c r="M2524" s="194">
        <v>8</v>
      </c>
      <c r="N2524" s="194"/>
      <c r="O2524" s="194"/>
      <c r="P2524" s="194"/>
      <c r="Q2524" s="194"/>
      <c r="R2524" s="194"/>
      <c r="S2524" s="194"/>
      <c r="T2524" s="194"/>
      <c r="U2524" s="194"/>
      <c r="V2524" s="194"/>
      <c r="W2524" s="19"/>
      <c r="X2524" s="17"/>
      <c r="Y2524" s="5">
        <f t="shared" si="244"/>
        <v>0</v>
      </c>
      <c r="Z2524" s="5">
        <f t="shared" si="245"/>
        <v>0</v>
      </c>
      <c r="AA2524" s="5">
        <f t="shared" si="246"/>
        <v>0</v>
      </c>
      <c r="AB2524" s="5">
        <f t="shared" si="247"/>
        <v>0</v>
      </c>
      <c r="AC2524" s="5"/>
      <c r="AD2524" s="5">
        <v>0</v>
      </c>
      <c r="AE2524" s="5">
        <f t="shared" si="248"/>
        <v>0</v>
      </c>
      <c r="AF2524" s="70">
        <v>0</v>
      </c>
      <c r="AG2524" s="17"/>
      <c r="AH2524" s="18"/>
      <c r="AI2524" s="47" t="s">
        <v>4346</v>
      </c>
      <c r="AJ2524" s="73" t="s">
        <v>4347</v>
      </c>
      <c r="AK2524" s="45"/>
      <c r="AL2524" s="17" t="s">
        <v>5051</v>
      </c>
      <c r="AM2524" s="195" t="s">
        <v>4917</v>
      </c>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39"/>
      <c r="CE2524" s="138"/>
      <c r="CF2524" s="139"/>
      <c r="CG2524" s="138"/>
      <c r="CH2524" s="139"/>
      <c r="CI2524" s="138"/>
      <c r="CJ2524" s="72"/>
      <c r="CK2524" s="139"/>
      <c r="CL2524" s="71"/>
      <c r="CM2524" s="139"/>
      <c r="CN2524" s="138"/>
      <c r="CO2524" s="138"/>
      <c r="CP2524" s="138"/>
      <c r="CQ2524" s="139"/>
      <c r="CR2524" s="138"/>
      <c r="CS2524" s="45"/>
      <c r="CT2524" s="138"/>
      <c r="CU2524" s="45"/>
      <c r="CV2524" s="99">
        <f t="shared" si="249"/>
        <v>0</v>
      </c>
      <c r="CW2524" s="139"/>
      <c r="CX2524" s="138"/>
      <c r="CY2524" s="138"/>
      <c r="CZ2524" s="138"/>
      <c r="DA2524" s="139"/>
      <c r="DB2524" s="138"/>
      <c r="DC2524" s="45"/>
      <c r="DD2524" s="138"/>
      <c r="DE2524" s="45"/>
      <c r="DF2524" s="46"/>
    </row>
    <row r="2525" spans="1:110" s="42" customFormat="1" ht="36" x14ac:dyDescent="0.2">
      <c r="A2525" s="89">
        <v>40857</v>
      </c>
      <c r="B2525" s="151" t="s">
        <v>4344</v>
      </c>
      <c r="C2525" s="90" t="s">
        <v>1776</v>
      </c>
      <c r="D2525" s="90" t="s">
        <v>4264</v>
      </c>
      <c r="E2525" s="90" t="str">
        <f>VLOOKUP(B2525&amp;C2525,Divipola!$C$2:$F$1138,4,FALSE)</f>
        <v>25572</v>
      </c>
      <c r="F2525" s="4"/>
      <c r="G2525" s="194"/>
      <c r="H2525" s="194"/>
      <c r="I2525" s="194"/>
      <c r="J2525" s="194">
        <v>1000</v>
      </c>
      <c r="K2525" s="194">
        <v>200</v>
      </c>
      <c r="L2525" s="194"/>
      <c r="M2525" s="194">
        <v>200</v>
      </c>
      <c r="N2525" s="194"/>
      <c r="O2525" s="194"/>
      <c r="P2525" s="194"/>
      <c r="Q2525" s="194"/>
      <c r="R2525" s="194"/>
      <c r="S2525" s="194"/>
      <c r="T2525" s="194"/>
      <c r="U2525" s="194"/>
      <c r="V2525" s="194"/>
      <c r="W2525" s="19"/>
      <c r="X2525" s="17"/>
      <c r="Y2525" s="5">
        <f t="shared" si="244"/>
        <v>0</v>
      </c>
      <c r="Z2525" s="5">
        <f t="shared" si="245"/>
        <v>0</v>
      </c>
      <c r="AA2525" s="5">
        <f t="shared" si="246"/>
        <v>0</v>
      </c>
      <c r="AB2525" s="5">
        <f t="shared" si="247"/>
        <v>0</v>
      </c>
      <c r="AC2525" s="5"/>
      <c r="AD2525" s="5">
        <v>0</v>
      </c>
      <c r="AE2525" s="5">
        <f t="shared" si="248"/>
        <v>0</v>
      </c>
      <c r="AF2525" s="70">
        <v>0</v>
      </c>
      <c r="AG2525" s="17"/>
      <c r="AH2525" s="18"/>
      <c r="AI2525" s="47" t="s">
        <v>4336</v>
      </c>
      <c r="AJ2525" s="73" t="s">
        <v>4337</v>
      </c>
      <c r="AK2525" s="45"/>
      <c r="AL2525" s="17"/>
      <c r="AM2525" s="195" t="s">
        <v>4920</v>
      </c>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39"/>
      <c r="CE2525" s="138"/>
      <c r="CF2525" s="139"/>
      <c r="CG2525" s="138"/>
      <c r="CH2525" s="139"/>
      <c r="CI2525" s="138"/>
      <c r="CJ2525" s="72"/>
      <c r="CK2525" s="139"/>
      <c r="CL2525" s="71"/>
      <c r="CM2525" s="139"/>
      <c r="CN2525" s="138"/>
      <c r="CO2525" s="138"/>
      <c r="CP2525" s="138"/>
      <c r="CQ2525" s="139"/>
      <c r="CR2525" s="138"/>
      <c r="CS2525" s="45"/>
      <c r="CT2525" s="138"/>
      <c r="CU2525" s="45"/>
      <c r="CV2525" s="99">
        <f t="shared" si="249"/>
        <v>0</v>
      </c>
      <c r="CW2525" s="139"/>
      <c r="CX2525" s="138"/>
      <c r="CY2525" s="138"/>
      <c r="CZ2525" s="138"/>
      <c r="DA2525" s="139"/>
      <c r="DB2525" s="138"/>
      <c r="DC2525" s="45"/>
      <c r="DD2525" s="138"/>
      <c r="DE2525" s="45"/>
      <c r="DF2525" s="46"/>
    </row>
    <row r="2526" spans="1:110" s="42" customFormat="1" ht="48" x14ac:dyDescent="0.2">
      <c r="A2526" s="89">
        <v>40857</v>
      </c>
      <c r="B2526" s="151" t="s">
        <v>874</v>
      </c>
      <c r="C2526" s="90" t="s">
        <v>717</v>
      </c>
      <c r="D2526" s="90" t="s">
        <v>4264</v>
      </c>
      <c r="E2526" s="90" t="str">
        <f>VLOOKUP(B2526&amp;C2526,Divipola!$C$2:$F$1138,4,FALSE)</f>
        <v>44279</v>
      </c>
      <c r="F2526" s="4"/>
      <c r="G2526" s="101"/>
      <c r="H2526" s="101"/>
      <c r="I2526" s="101"/>
      <c r="J2526" s="101">
        <v>352</v>
      </c>
      <c r="K2526" s="101">
        <v>90</v>
      </c>
      <c r="L2526" s="101"/>
      <c r="M2526" s="101">
        <v>90</v>
      </c>
      <c r="N2526" s="101"/>
      <c r="O2526" s="101"/>
      <c r="P2526" s="101"/>
      <c r="Q2526" s="101"/>
      <c r="R2526" s="101"/>
      <c r="S2526" s="101"/>
      <c r="T2526" s="101"/>
      <c r="U2526" s="101"/>
      <c r="V2526" s="101"/>
      <c r="W2526" s="19"/>
      <c r="X2526" s="17"/>
      <c r="Y2526" s="5">
        <f t="shared" si="244"/>
        <v>0</v>
      </c>
      <c r="Z2526" s="5">
        <f t="shared" si="245"/>
        <v>0</v>
      </c>
      <c r="AA2526" s="5">
        <f t="shared" si="246"/>
        <v>0</v>
      </c>
      <c r="AB2526" s="5">
        <f t="shared" si="247"/>
        <v>0</v>
      </c>
      <c r="AC2526" s="5"/>
      <c r="AD2526" s="5">
        <v>0</v>
      </c>
      <c r="AE2526" s="5">
        <f t="shared" si="248"/>
        <v>0</v>
      </c>
      <c r="AF2526" s="70">
        <v>0</v>
      </c>
      <c r="AG2526" s="17"/>
      <c r="AH2526" s="18"/>
      <c r="AI2526" s="47" t="s">
        <v>4336</v>
      </c>
      <c r="AJ2526" s="73" t="s">
        <v>4337</v>
      </c>
      <c r="AK2526" s="45"/>
      <c r="AL2526" s="17"/>
      <c r="AM2526" s="121" t="s">
        <v>4928</v>
      </c>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39"/>
      <c r="CE2526" s="138"/>
      <c r="CF2526" s="139"/>
      <c r="CG2526" s="138"/>
      <c r="CH2526" s="139"/>
      <c r="CI2526" s="138"/>
      <c r="CJ2526" s="72"/>
      <c r="CK2526" s="139"/>
      <c r="CL2526" s="71"/>
      <c r="CM2526" s="139"/>
      <c r="CN2526" s="138"/>
      <c r="CO2526" s="138"/>
      <c r="CP2526" s="138"/>
      <c r="CQ2526" s="139"/>
      <c r="CR2526" s="138"/>
      <c r="CS2526" s="45"/>
      <c r="CT2526" s="138"/>
      <c r="CU2526" s="45"/>
      <c r="CV2526" s="99">
        <f t="shared" si="249"/>
        <v>0</v>
      </c>
      <c r="CW2526" s="139"/>
      <c r="CX2526" s="138"/>
      <c r="CY2526" s="138"/>
      <c r="CZ2526" s="138"/>
      <c r="DA2526" s="139"/>
      <c r="DB2526" s="138"/>
      <c r="DC2526" s="45"/>
      <c r="DD2526" s="138"/>
      <c r="DE2526" s="45"/>
      <c r="DF2526" s="46"/>
    </row>
    <row r="2527" spans="1:110" s="42" customFormat="1" ht="36" x14ac:dyDescent="0.2">
      <c r="A2527" s="89">
        <v>40857</v>
      </c>
      <c r="B2527" s="151" t="s">
        <v>4350</v>
      </c>
      <c r="C2527" s="90" t="s">
        <v>4339</v>
      </c>
      <c r="D2527" s="90" t="s">
        <v>2362</v>
      </c>
      <c r="E2527" s="90" t="str">
        <f>VLOOKUP(B2527&amp;C2527,Divipola!$C$2:$F$1138,4,FALSE)</f>
        <v>63401</v>
      </c>
      <c r="F2527" s="4"/>
      <c r="G2527" s="194"/>
      <c r="H2527" s="194"/>
      <c r="I2527" s="194"/>
      <c r="J2527" s="194">
        <v>4</v>
      </c>
      <c r="K2527" s="194">
        <v>2</v>
      </c>
      <c r="L2527" s="194"/>
      <c r="M2527" s="194">
        <v>2</v>
      </c>
      <c r="N2527" s="194"/>
      <c r="O2527" s="194"/>
      <c r="P2527" s="194"/>
      <c r="Q2527" s="194"/>
      <c r="R2527" s="194"/>
      <c r="S2527" s="194"/>
      <c r="T2527" s="194"/>
      <c r="U2527" s="194"/>
      <c r="V2527" s="194"/>
      <c r="W2527" s="19"/>
      <c r="X2527" s="17"/>
      <c r="Y2527" s="5">
        <f t="shared" si="244"/>
        <v>0</v>
      </c>
      <c r="Z2527" s="5">
        <f t="shared" si="245"/>
        <v>0</v>
      </c>
      <c r="AA2527" s="5">
        <f t="shared" si="246"/>
        <v>0</v>
      </c>
      <c r="AB2527" s="5">
        <f t="shared" si="247"/>
        <v>0</v>
      </c>
      <c r="AC2527" s="5"/>
      <c r="AD2527" s="5">
        <v>0</v>
      </c>
      <c r="AE2527" s="5">
        <f t="shared" si="248"/>
        <v>0</v>
      </c>
      <c r="AF2527" s="70">
        <v>0</v>
      </c>
      <c r="AG2527" s="17"/>
      <c r="AH2527" s="18"/>
      <c r="AI2527" s="47" t="s">
        <v>4346</v>
      </c>
      <c r="AJ2527" s="73" t="s">
        <v>4347</v>
      </c>
      <c r="AK2527" s="45"/>
      <c r="AL2527" s="17" t="s">
        <v>5051</v>
      </c>
      <c r="AM2527" s="195" t="s">
        <v>4922</v>
      </c>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39"/>
      <c r="CE2527" s="138"/>
      <c r="CF2527" s="139"/>
      <c r="CG2527" s="138"/>
      <c r="CH2527" s="139"/>
      <c r="CI2527" s="138"/>
      <c r="CJ2527" s="72"/>
      <c r="CK2527" s="139"/>
      <c r="CL2527" s="71"/>
      <c r="CM2527" s="139"/>
      <c r="CN2527" s="138"/>
      <c r="CO2527" s="138"/>
      <c r="CP2527" s="138"/>
      <c r="CQ2527" s="139"/>
      <c r="CR2527" s="138"/>
      <c r="CS2527" s="45"/>
      <c r="CT2527" s="138"/>
      <c r="CU2527" s="45"/>
      <c r="CV2527" s="99">
        <f t="shared" si="249"/>
        <v>0</v>
      </c>
      <c r="CW2527" s="139"/>
      <c r="CX2527" s="138"/>
      <c r="CY2527" s="138"/>
      <c r="CZ2527" s="138"/>
      <c r="DA2527" s="139"/>
      <c r="DB2527" s="138"/>
      <c r="DC2527" s="45"/>
      <c r="DD2527" s="138"/>
      <c r="DE2527" s="45"/>
      <c r="DF2527" s="46"/>
    </row>
    <row r="2528" spans="1:110" s="42" customFormat="1" ht="144" x14ac:dyDescent="0.2">
      <c r="A2528" s="89">
        <v>40857</v>
      </c>
      <c r="B2528" s="151" t="s">
        <v>4244</v>
      </c>
      <c r="C2528" s="90" t="s">
        <v>2282</v>
      </c>
      <c r="D2528" s="90" t="s">
        <v>4264</v>
      </c>
      <c r="E2528" s="90" t="str">
        <f>VLOOKUP(B2528&amp;C2528,Divipola!$C$2:$F$1138,4,FALSE)</f>
        <v>76111</v>
      </c>
      <c r="F2528" s="4"/>
      <c r="G2528" s="101"/>
      <c r="H2528" s="101"/>
      <c r="I2528" s="101"/>
      <c r="J2528" s="101">
        <v>1000</v>
      </c>
      <c r="K2528" s="101">
        <v>200</v>
      </c>
      <c r="L2528" s="101"/>
      <c r="M2528" s="101">
        <v>200</v>
      </c>
      <c r="N2528" s="101"/>
      <c r="O2528" s="101">
        <v>3</v>
      </c>
      <c r="P2528" s="101"/>
      <c r="Q2528" s="101"/>
      <c r="R2528" s="101"/>
      <c r="S2528" s="101"/>
      <c r="T2528" s="101"/>
      <c r="U2528" s="101"/>
      <c r="V2528" s="101"/>
      <c r="W2528" s="19"/>
      <c r="X2528" s="17"/>
      <c r="Y2528" s="5">
        <f t="shared" si="244"/>
        <v>0</v>
      </c>
      <c r="Z2528" s="5">
        <f t="shared" si="245"/>
        <v>0</v>
      </c>
      <c r="AA2528" s="5">
        <f t="shared" si="246"/>
        <v>0</v>
      </c>
      <c r="AB2528" s="5">
        <f t="shared" si="247"/>
        <v>0</v>
      </c>
      <c r="AC2528" s="5"/>
      <c r="AD2528" s="5">
        <v>0</v>
      </c>
      <c r="AE2528" s="5">
        <f t="shared" si="248"/>
        <v>0</v>
      </c>
      <c r="AF2528" s="70">
        <v>0</v>
      </c>
      <c r="AG2528" s="17"/>
      <c r="AH2528" s="18"/>
      <c r="AI2528" s="47" t="s">
        <v>4346</v>
      </c>
      <c r="AJ2528" s="73" t="s">
        <v>4347</v>
      </c>
      <c r="AK2528" s="45"/>
      <c r="AL2528" s="89" t="s">
        <v>2798</v>
      </c>
      <c r="AM2528" s="121" t="s">
        <v>4924</v>
      </c>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9"/>
      <c r="BW2528" s="19"/>
      <c r="BX2528" s="19"/>
      <c r="BY2528" s="19"/>
      <c r="BZ2528" s="19"/>
      <c r="CA2528" s="19"/>
      <c r="CB2528" s="19"/>
      <c r="CC2528" s="19"/>
      <c r="CD2528" s="139"/>
      <c r="CE2528" s="138"/>
      <c r="CF2528" s="139"/>
      <c r="CG2528" s="138"/>
      <c r="CH2528" s="139"/>
      <c r="CI2528" s="138"/>
      <c r="CJ2528" s="72"/>
      <c r="CK2528" s="139"/>
      <c r="CL2528" s="71"/>
      <c r="CM2528" s="139"/>
      <c r="CN2528" s="138"/>
      <c r="CO2528" s="138"/>
      <c r="CP2528" s="138"/>
      <c r="CQ2528" s="139"/>
      <c r="CR2528" s="138"/>
      <c r="CS2528" s="45"/>
      <c r="CT2528" s="138"/>
      <c r="CU2528" s="45"/>
      <c r="CV2528" s="99">
        <f t="shared" si="249"/>
        <v>0</v>
      </c>
      <c r="CW2528" s="139"/>
      <c r="CX2528" s="138"/>
      <c r="CY2528" s="138"/>
      <c r="CZ2528" s="138"/>
      <c r="DA2528" s="139"/>
      <c r="DB2528" s="138"/>
      <c r="DC2528" s="45"/>
      <c r="DD2528" s="138"/>
      <c r="DE2528" s="45"/>
      <c r="DF2528" s="46"/>
    </row>
    <row r="2529" spans="1:110" s="42" customFormat="1" ht="36" x14ac:dyDescent="0.2">
      <c r="A2529" s="89">
        <v>40857</v>
      </c>
      <c r="B2529" s="151" t="s">
        <v>4348</v>
      </c>
      <c r="C2529" s="90" t="s">
        <v>2251</v>
      </c>
      <c r="D2529" s="90" t="s">
        <v>2362</v>
      </c>
      <c r="E2529" s="90" t="str">
        <f>VLOOKUP(B2529&amp;C2529,Divipola!$C$2:$F$1138,4,FALSE)</f>
        <v>66594</v>
      </c>
      <c r="F2529" s="4"/>
      <c r="G2529" s="101"/>
      <c r="H2529" s="101"/>
      <c r="I2529" s="101"/>
      <c r="J2529" s="101">
        <v>10</v>
      </c>
      <c r="K2529" s="101">
        <v>2</v>
      </c>
      <c r="L2529" s="101"/>
      <c r="M2529" s="101">
        <v>2</v>
      </c>
      <c r="N2529" s="101">
        <v>2</v>
      </c>
      <c r="O2529" s="101"/>
      <c r="P2529" s="101"/>
      <c r="Q2529" s="101"/>
      <c r="R2529" s="101"/>
      <c r="S2529" s="101"/>
      <c r="T2529" s="101"/>
      <c r="U2529" s="101"/>
      <c r="V2529" s="101"/>
      <c r="W2529" s="19"/>
      <c r="X2529" s="17"/>
      <c r="Y2529" s="5">
        <f t="shared" si="244"/>
        <v>0</v>
      </c>
      <c r="Z2529" s="5">
        <f t="shared" si="245"/>
        <v>0</v>
      </c>
      <c r="AA2529" s="5">
        <f t="shared" si="246"/>
        <v>0</v>
      </c>
      <c r="AB2529" s="5">
        <f t="shared" si="247"/>
        <v>0</v>
      </c>
      <c r="AC2529" s="5"/>
      <c r="AD2529" s="5">
        <v>0</v>
      </c>
      <c r="AE2529" s="5">
        <f t="shared" si="248"/>
        <v>0</v>
      </c>
      <c r="AF2529" s="70">
        <v>0</v>
      </c>
      <c r="AG2529" s="17"/>
      <c r="AH2529" s="18"/>
      <c r="AI2529" s="47" t="s">
        <v>4346</v>
      </c>
      <c r="AJ2529" s="73" t="s">
        <v>4347</v>
      </c>
      <c r="AK2529" s="45"/>
      <c r="AL2529" s="17" t="s">
        <v>5534</v>
      </c>
      <c r="AM2529" s="121" t="s">
        <v>5366</v>
      </c>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39"/>
      <c r="CE2529" s="138"/>
      <c r="CF2529" s="139"/>
      <c r="CG2529" s="138"/>
      <c r="CH2529" s="139"/>
      <c r="CI2529" s="138"/>
      <c r="CJ2529" s="72"/>
      <c r="CK2529" s="139"/>
      <c r="CL2529" s="71"/>
      <c r="CM2529" s="139"/>
      <c r="CN2529" s="138"/>
      <c r="CO2529" s="138"/>
      <c r="CP2529" s="138"/>
      <c r="CQ2529" s="139"/>
      <c r="CR2529" s="138"/>
      <c r="CS2529" s="45"/>
      <c r="CT2529" s="138"/>
      <c r="CU2529" s="45"/>
      <c r="CV2529" s="99">
        <f t="shared" si="249"/>
        <v>0</v>
      </c>
      <c r="CW2529" s="139"/>
      <c r="CX2529" s="138"/>
      <c r="CY2529" s="138"/>
      <c r="CZ2529" s="138"/>
      <c r="DA2529" s="139"/>
      <c r="DB2529" s="138"/>
      <c r="DC2529" s="45"/>
      <c r="DD2529" s="138"/>
      <c r="DE2529" s="45"/>
      <c r="DF2529" s="46"/>
    </row>
    <row r="2530" spans="1:110" s="42" customFormat="1" x14ac:dyDescent="0.2">
      <c r="A2530" s="89">
        <v>40858</v>
      </c>
      <c r="B2530" s="16" t="s">
        <v>4352</v>
      </c>
      <c r="C2530" s="16" t="s">
        <v>4345</v>
      </c>
      <c r="D2530" s="90" t="s">
        <v>4264</v>
      </c>
      <c r="E2530" s="90">
        <f>VLOOKUP(B2530&amp;C2530,Divipola!$C$2:$F$1138,4,FALSE)</f>
        <v>13</v>
      </c>
      <c r="F2530" s="4"/>
      <c r="G2530" s="208"/>
      <c r="H2530" s="208"/>
      <c r="I2530" s="208"/>
      <c r="J2530" s="208"/>
      <c r="K2530" s="208"/>
      <c r="L2530" s="208"/>
      <c r="M2530" s="208"/>
      <c r="N2530" s="208"/>
      <c r="O2530" s="208"/>
      <c r="P2530" s="208"/>
      <c r="Q2530" s="208"/>
      <c r="R2530" s="208"/>
      <c r="S2530" s="208"/>
      <c r="T2530" s="208"/>
      <c r="U2530" s="208"/>
      <c r="V2530" s="208"/>
      <c r="W2530" s="19"/>
      <c r="X2530" s="17"/>
      <c r="Y2530" s="5">
        <f t="shared" si="244"/>
        <v>0</v>
      </c>
      <c r="Z2530" s="5">
        <f t="shared" si="245"/>
        <v>0</v>
      </c>
      <c r="AA2530" s="5">
        <f t="shared" si="246"/>
        <v>0</v>
      </c>
      <c r="AB2530" s="5">
        <f t="shared" si="247"/>
        <v>273006000</v>
      </c>
      <c r="AC2530" s="5"/>
      <c r="AD2530" s="5">
        <v>0</v>
      </c>
      <c r="AE2530" s="5">
        <f t="shared" si="248"/>
        <v>273006000</v>
      </c>
      <c r="AF2530" s="70">
        <v>0</v>
      </c>
      <c r="AG2530" s="17"/>
      <c r="AH2530" s="18"/>
      <c r="AI2530" s="47" t="s">
        <v>4346</v>
      </c>
      <c r="AJ2530" s="73" t="s">
        <v>4347</v>
      </c>
      <c r="AK2530" s="45"/>
      <c r="AL2530" s="17"/>
      <c r="AM2530" s="20"/>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9"/>
      <c r="BW2530" s="19"/>
      <c r="BX2530" s="19"/>
      <c r="BY2530" s="19"/>
      <c r="BZ2530" s="19"/>
      <c r="CA2530" s="19"/>
      <c r="CB2530" s="19"/>
      <c r="CC2530" s="19"/>
      <c r="CD2530" s="139"/>
      <c r="CE2530" s="138"/>
      <c r="CF2530" s="139"/>
      <c r="CG2530" s="138"/>
      <c r="CH2530" s="139"/>
      <c r="CI2530" s="138"/>
      <c r="CJ2530" s="72"/>
      <c r="CK2530" s="139"/>
      <c r="CL2530" s="71"/>
      <c r="CM2530" s="139"/>
      <c r="CN2530" s="138"/>
      <c r="CO2530" s="138"/>
      <c r="CP2530" s="138"/>
      <c r="CQ2530" s="139"/>
      <c r="CR2530" s="138"/>
      <c r="CS2530" s="45"/>
      <c r="CT2530" s="138"/>
      <c r="CU2530" s="45"/>
      <c r="CV2530" s="99">
        <f t="shared" si="249"/>
        <v>0</v>
      </c>
      <c r="CW2530" s="139">
        <v>300000</v>
      </c>
      <c r="CX2530" s="138">
        <f>150000*910.6+150000*909.44</f>
        <v>273006000</v>
      </c>
      <c r="CY2530" s="138"/>
      <c r="CZ2530" s="138"/>
      <c r="DA2530" s="139"/>
      <c r="DB2530" s="138"/>
      <c r="DC2530" s="45"/>
      <c r="DD2530" s="138"/>
      <c r="DE2530" s="45"/>
      <c r="DF2530" s="46"/>
    </row>
    <row r="2531" spans="1:110" s="42" customFormat="1" ht="96" x14ac:dyDescent="0.2">
      <c r="A2531" s="89">
        <v>40858</v>
      </c>
      <c r="B2531" s="196" t="s">
        <v>4261</v>
      </c>
      <c r="C2531" s="197" t="s">
        <v>3248</v>
      </c>
      <c r="D2531" s="90" t="s">
        <v>2362</v>
      </c>
      <c r="E2531" s="90" t="str">
        <f>VLOOKUP(B2531&amp;C2531,Divipola!$C$2:$F$1138,4,FALSE)</f>
        <v>15646</v>
      </c>
      <c r="F2531" s="4"/>
      <c r="G2531" s="194">
        <v>1</v>
      </c>
      <c r="H2531" s="194">
        <v>2</v>
      </c>
      <c r="I2531" s="194"/>
      <c r="J2531" s="194"/>
      <c r="K2531" s="194"/>
      <c r="L2531" s="194"/>
      <c r="M2531" s="194"/>
      <c r="N2531" s="194"/>
      <c r="O2531" s="194"/>
      <c r="P2531" s="194"/>
      <c r="Q2531" s="194"/>
      <c r="R2531" s="194"/>
      <c r="S2531" s="194"/>
      <c r="T2531" s="194"/>
      <c r="U2531" s="194"/>
      <c r="V2531" s="194"/>
      <c r="W2531" s="19"/>
      <c r="X2531" s="17"/>
      <c r="Y2531" s="5">
        <f t="shared" si="244"/>
        <v>0</v>
      </c>
      <c r="Z2531" s="5">
        <f t="shared" si="245"/>
        <v>0</v>
      </c>
      <c r="AA2531" s="5">
        <f t="shared" si="246"/>
        <v>0</v>
      </c>
      <c r="AB2531" s="5">
        <f t="shared" si="247"/>
        <v>0</v>
      </c>
      <c r="AC2531" s="5"/>
      <c r="AD2531" s="5">
        <v>0</v>
      </c>
      <c r="AE2531" s="5">
        <f t="shared" si="248"/>
        <v>0</v>
      </c>
      <c r="AF2531" s="70">
        <v>0</v>
      </c>
      <c r="AG2531" s="17"/>
      <c r="AH2531" s="18"/>
      <c r="AI2531" s="47" t="s">
        <v>4346</v>
      </c>
      <c r="AJ2531" s="73" t="s">
        <v>4347</v>
      </c>
      <c r="AK2531" s="45"/>
      <c r="AL2531" s="17" t="s">
        <v>5531</v>
      </c>
      <c r="AM2531" s="195" t="s">
        <v>4939</v>
      </c>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9"/>
      <c r="BW2531" s="19"/>
      <c r="BX2531" s="19"/>
      <c r="BY2531" s="19"/>
      <c r="BZ2531" s="19"/>
      <c r="CA2531" s="19"/>
      <c r="CB2531" s="19"/>
      <c r="CC2531" s="19"/>
      <c r="CD2531" s="139"/>
      <c r="CE2531" s="138"/>
      <c r="CF2531" s="139"/>
      <c r="CG2531" s="138"/>
      <c r="CH2531" s="139"/>
      <c r="CI2531" s="138"/>
      <c r="CJ2531" s="72"/>
      <c r="CK2531" s="139"/>
      <c r="CL2531" s="71"/>
      <c r="CM2531" s="139"/>
      <c r="CN2531" s="138"/>
      <c r="CO2531" s="138"/>
      <c r="CP2531" s="138"/>
      <c r="CQ2531" s="139"/>
      <c r="CR2531" s="138"/>
      <c r="CS2531" s="45"/>
      <c r="CT2531" s="138"/>
      <c r="CU2531" s="45"/>
      <c r="CV2531" s="99">
        <f t="shared" si="249"/>
        <v>0</v>
      </c>
      <c r="CW2531" s="139"/>
      <c r="CX2531" s="138"/>
      <c r="CY2531" s="138"/>
      <c r="CZ2531" s="138"/>
      <c r="DA2531" s="139"/>
      <c r="DB2531" s="138"/>
      <c r="DC2531" s="45"/>
      <c r="DD2531" s="138"/>
      <c r="DE2531" s="45"/>
      <c r="DF2531" s="46"/>
    </row>
    <row r="2532" spans="1:110" s="42" customFormat="1" ht="60" x14ac:dyDescent="0.2">
      <c r="A2532" s="89">
        <v>40858</v>
      </c>
      <c r="B2532" s="196" t="s">
        <v>4261</v>
      </c>
      <c r="C2532" s="197" t="s">
        <v>1177</v>
      </c>
      <c r="D2532" s="90" t="s">
        <v>2362</v>
      </c>
      <c r="E2532" s="90" t="str">
        <f>VLOOKUP(B2532&amp;C2532,Divipola!$C$2:$F$1138,4,FALSE)</f>
        <v>15322</v>
      </c>
      <c r="F2532" s="4"/>
      <c r="G2532" s="194"/>
      <c r="H2532" s="194"/>
      <c r="I2532" s="194"/>
      <c r="J2532" s="194"/>
      <c r="K2532" s="194"/>
      <c r="L2532" s="194"/>
      <c r="M2532" s="194"/>
      <c r="N2532" s="194">
        <v>1</v>
      </c>
      <c r="O2532" s="194"/>
      <c r="P2532" s="194"/>
      <c r="Q2532" s="194"/>
      <c r="R2532" s="194"/>
      <c r="S2532" s="194"/>
      <c r="T2532" s="194"/>
      <c r="U2532" s="194"/>
      <c r="V2532" s="194"/>
      <c r="W2532" s="19"/>
      <c r="X2532" s="17"/>
      <c r="Y2532" s="5">
        <f t="shared" si="244"/>
        <v>0</v>
      </c>
      <c r="Z2532" s="5">
        <f t="shared" si="245"/>
        <v>0</v>
      </c>
      <c r="AA2532" s="5">
        <f t="shared" si="246"/>
        <v>0</v>
      </c>
      <c r="AB2532" s="5">
        <f t="shared" si="247"/>
        <v>0</v>
      </c>
      <c r="AC2532" s="5"/>
      <c r="AD2532" s="5">
        <v>0</v>
      </c>
      <c r="AE2532" s="5">
        <f t="shared" si="248"/>
        <v>0</v>
      </c>
      <c r="AF2532" s="70">
        <v>0</v>
      </c>
      <c r="AG2532" s="17"/>
      <c r="AH2532" s="18"/>
      <c r="AI2532" s="47" t="s">
        <v>4346</v>
      </c>
      <c r="AJ2532" s="73" t="s">
        <v>4347</v>
      </c>
      <c r="AK2532" s="45"/>
      <c r="AL2532" s="17" t="s">
        <v>5531</v>
      </c>
      <c r="AM2532" s="195" t="s">
        <v>4938</v>
      </c>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9"/>
      <c r="BW2532" s="19"/>
      <c r="BX2532" s="19"/>
      <c r="BY2532" s="19"/>
      <c r="BZ2532" s="19"/>
      <c r="CA2532" s="19"/>
      <c r="CB2532" s="19"/>
      <c r="CC2532" s="19"/>
      <c r="CD2532" s="139"/>
      <c r="CE2532" s="138"/>
      <c r="CF2532" s="139"/>
      <c r="CG2532" s="138"/>
      <c r="CH2532" s="139"/>
      <c r="CI2532" s="138"/>
      <c r="CJ2532" s="72"/>
      <c r="CK2532" s="139"/>
      <c r="CL2532" s="71"/>
      <c r="CM2532" s="139"/>
      <c r="CN2532" s="138"/>
      <c r="CO2532" s="138"/>
      <c r="CP2532" s="138"/>
      <c r="CQ2532" s="139"/>
      <c r="CR2532" s="138"/>
      <c r="CS2532" s="45"/>
      <c r="CT2532" s="138"/>
      <c r="CU2532" s="45"/>
      <c r="CV2532" s="99">
        <f t="shared" si="249"/>
        <v>0</v>
      </c>
      <c r="CW2532" s="139"/>
      <c r="CX2532" s="138"/>
      <c r="CY2532" s="138"/>
      <c r="CZ2532" s="138"/>
      <c r="DA2532" s="139"/>
      <c r="DB2532" s="138"/>
      <c r="DC2532" s="45"/>
      <c r="DD2532" s="138"/>
      <c r="DE2532" s="45"/>
      <c r="DF2532" s="46"/>
    </row>
    <row r="2533" spans="1:110" s="42" customFormat="1" ht="48" x14ac:dyDescent="0.2">
      <c r="A2533" s="89">
        <v>40858</v>
      </c>
      <c r="B2533" s="196" t="s">
        <v>4261</v>
      </c>
      <c r="C2533" s="197" t="s">
        <v>1268</v>
      </c>
      <c r="D2533" s="90" t="s">
        <v>2362</v>
      </c>
      <c r="E2533" s="90" t="str">
        <f>VLOOKUP(B2533&amp;C2533,Divipola!$C$2:$F$1138,4,FALSE)</f>
        <v>15621</v>
      </c>
      <c r="F2533" s="4"/>
      <c r="G2533" s="194"/>
      <c r="H2533" s="194"/>
      <c r="I2533" s="194"/>
      <c r="J2533" s="194">
        <v>15</v>
      </c>
      <c r="K2533" s="194">
        <v>3</v>
      </c>
      <c r="L2533" s="194">
        <v>1</v>
      </c>
      <c r="M2533" s="194">
        <v>2</v>
      </c>
      <c r="N2533" s="194">
        <v>1</v>
      </c>
      <c r="O2533" s="194"/>
      <c r="P2533" s="194"/>
      <c r="Q2533" s="194"/>
      <c r="R2533" s="194"/>
      <c r="S2533" s="194"/>
      <c r="T2533" s="194"/>
      <c r="U2533" s="194"/>
      <c r="V2533" s="194"/>
      <c r="W2533" s="19"/>
      <c r="X2533" s="17"/>
      <c r="Y2533" s="5">
        <f t="shared" si="244"/>
        <v>0</v>
      </c>
      <c r="Z2533" s="5">
        <f t="shared" si="245"/>
        <v>0</v>
      </c>
      <c r="AA2533" s="5">
        <f t="shared" si="246"/>
        <v>0</v>
      </c>
      <c r="AB2533" s="5">
        <f t="shared" si="247"/>
        <v>0</v>
      </c>
      <c r="AC2533" s="5"/>
      <c r="AD2533" s="5">
        <v>0</v>
      </c>
      <c r="AE2533" s="5">
        <f t="shared" si="248"/>
        <v>0</v>
      </c>
      <c r="AF2533" s="70">
        <v>0</v>
      </c>
      <c r="AG2533" s="17"/>
      <c r="AH2533" s="18"/>
      <c r="AI2533" s="47" t="s">
        <v>4346</v>
      </c>
      <c r="AJ2533" s="73" t="s">
        <v>4347</v>
      </c>
      <c r="AK2533" s="45"/>
      <c r="AL2533" s="17" t="s">
        <v>5531</v>
      </c>
      <c r="AM2533" s="195" t="s">
        <v>4941</v>
      </c>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9"/>
      <c r="BW2533" s="19"/>
      <c r="BX2533" s="19"/>
      <c r="BY2533" s="19"/>
      <c r="BZ2533" s="19"/>
      <c r="CA2533" s="19"/>
      <c r="CB2533" s="19"/>
      <c r="CC2533" s="19"/>
      <c r="CD2533" s="139"/>
      <c r="CE2533" s="138"/>
      <c r="CF2533" s="139"/>
      <c r="CG2533" s="138"/>
      <c r="CH2533" s="139"/>
      <c r="CI2533" s="138"/>
      <c r="CJ2533" s="72"/>
      <c r="CK2533" s="139"/>
      <c r="CL2533" s="71"/>
      <c r="CM2533" s="139"/>
      <c r="CN2533" s="138"/>
      <c r="CO2533" s="138"/>
      <c r="CP2533" s="138"/>
      <c r="CQ2533" s="139"/>
      <c r="CR2533" s="138"/>
      <c r="CS2533" s="45"/>
      <c r="CT2533" s="138"/>
      <c r="CU2533" s="45"/>
      <c r="CV2533" s="99">
        <f t="shared" si="249"/>
        <v>0</v>
      </c>
      <c r="CW2533" s="139"/>
      <c r="CX2533" s="138"/>
      <c r="CY2533" s="138"/>
      <c r="CZ2533" s="138"/>
      <c r="DA2533" s="139"/>
      <c r="DB2533" s="138"/>
      <c r="DC2533" s="45"/>
      <c r="DD2533" s="138"/>
      <c r="DE2533" s="45"/>
      <c r="DF2533" s="46"/>
    </row>
    <row r="2534" spans="1:110" s="42" customFormat="1" ht="96" x14ac:dyDescent="0.2">
      <c r="A2534" s="89">
        <v>40858</v>
      </c>
      <c r="B2534" s="151" t="s">
        <v>4296</v>
      </c>
      <c r="C2534" s="90" t="s">
        <v>855</v>
      </c>
      <c r="D2534" s="90" t="s">
        <v>2362</v>
      </c>
      <c r="E2534" s="90" t="str">
        <f>VLOOKUP(B2534&amp;C2534,Divipola!$C$2:$F$1138,4,FALSE)</f>
        <v>19256</v>
      </c>
      <c r="F2534" s="4"/>
      <c r="G2534" s="194"/>
      <c r="H2534" s="194"/>
      <c r="I2534" s="194"/>
      <c r="J2534" s="194">
        <f>955*5</f>
        <v>4775</v>
      </c>
      <c r="K2534" s="194">
        <v>955</v>
      </c>
      <c r="L2534" s="194"/>
      <c r="M2534" s="194"/>
      <c r="N2534" s="194">
        <v>1</v>
      </c>
      <c r="O2534" s="194"/>
      <c r="P2534" s="194"/>
      <c r="Q2534" s="194"/>
      <c r="R2534" s="194"/>
      <c r="S2534" s="194"/>
      <c r="T2534" s="194"/>
      <c r="U2534" s="194"/>
      <c r="V2534" s="194"/>
      <c r="W2534" s="19"/>
      <c r="X2534" s="17"/>
      <c r="Y2534" s="5">
        <f t="shared" si="244"/>
        <v>35335496.599999994</v>
      </c>
      <c r="Z2534" s="5">
        <f t="shared" si="245"/>
        <v>81175000</v>
      </c>
      <c r="AA2534" s="5">
        <f t="shared" si="246"/>
        <v>0</v>
      </c>
      <c r="AB2534" s="5">
        <f t="shared" si="247"/>
        <v>0</v>
      </c>
      <c r="AC2534" s="5"/>
      <c r="AD2534" s="5">
        <v>0</v>
      </c>
      <c r="AE2534" s="5">
        <f t="shared" si="248"/>
        <v>116510496.59999999</v>
      </c>
      <c r="AF2534" s="70">
        <v>0</v>
      </c>
      <c r="AG2534" s="17"/>
      <c r="AH2534" s="18"/>
      <c r="AI2534" s="47" t="s">
        <v>4346</v>
      </c>
      <c r="AJ2534" s="73" t="s">
        <v>4347</v>
      </c>
      <c r="AK2534" s="45"/>
      <c r="AL2534" s="17"/>
      <c r="AM2534" s="195" t="s">
        <v>4934</v>
      </c>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39"/>
      <c r="CE2534" s="138"/>
      <c r="CF2534" s="139"/>
      <c r="CG2534" s="138"/>
      <c r="CH2534" s="139"/>
      <c r="CI2534" s="138"/>
      <c r="CJ2534" s="72"/>
      <c r="CK2534" s="139"/>
      <c r="CL2534" s="71"/>
      <c r="CM2534" s="139"/>
      <c r="CN2534" s="138"/>
      <c r="CO2534" s="138"/>
      <c r="CP2534" s="138">
        <v>955</v>
      </c>
      <c r="CQ2534" s="139">
        <f>955*37000.52</f>
        <v>35335496.599999994</v>
      </c>
      <c r="CR2534" s="138"/>
      <c r="CS2534" s="45"/>
      <c r="CT2534" s="138"/>
      <c r="CU2534" s="45"/>
      <c r="CV2534" s="99">
        <f t="shared" si="249"/>
        <v>35335496.599999994</v>
      </c>
      <c r="CW2534" s="139"/>
      <c r="CX2534" s="138"/>
      <c r="CY2534" s="138">
        <v>955</v>
      </c>
      <c r="CZ2534" s="138">
        <f>955*85000</f>
        <v>81175000</v>
      </c>
      <c r="DA2534" s="139"/>
      <c r="DB2534" s="138"/>
      <c r="DC2534" s="45"/>
      <c r="DD2534" s="138"/>
      <c r="DE2534" s="45"/>
      <c r="DF2534" s="46"/>
    </row>
    <row r="2535" spans="1:110" s="42" customFormat="1" ht="84" x14ac:dyDescent="0.2">
      <c r="A2535" s="89">
        <v>40858</v>
      </c>
      <c r="B2535" s="151" t="s">
        <v>4296</v>
      </c>
      <c r="C2535" s="90" t="s">
        <v>2227</v>
      </c>
      <c r="D2535" s="90" t="s">
        <v>4264</v>
      </c>
      <c r="E2535" s="90" t="str">
        <f>VLOOKUP(B2535&amp;C2535,Divipola!$C$2:$F$1138,4,FALSE)</f>
        <v>19050</v>
      </c>
      <c r="F2535" s="4"/>
      <c r="G2535" s="194"/>
      <c r="H2535" s="194"/>
      <c r="I2535" s="194"/>
      <c r="J2535" s="194"/>
      <c r="K2535" s="194"/>
      <c r="L2535" s="194"/>
      <c r="M2535" s="194"/>
      <c r="N2535" s="194"/>
      <c r="O2535" s="194">
        <v>1</v>
      </c>
      <c r="P2535" s="194"/>
      <c r="Q2535" s="194"/>
      <c r="R2535" s="194"/>
      <c r="S2535" s="194"/>
      <c r="T2535" s="194"/>
      <c r="U2535" s="194"/>
      <c r="V2535" s="194"/>
      <c r="W2535" s="19"/>
      <c r="X2535" s="17"/>
      <c r="Y2535" s="5">
        <f t="shared" si="244"/>
        <v>0</v>
      </c>
      <c r="Z2535" s="5">
        <f t="shared" si="245"/>
        <v>0</v>
      </c>
      <c r="AA2535" s="5">
        <f t="shared" si="246"/>
        <v>0</v>
      </c>
      <c r="AB2535" s="5">
        <f t="shared" si="247"/>
        <v>0</v>
      </c>
      <c r="AC2535" s="5"/>
      <c r="AD2535" s="5">
        <v>0</v>
      </c>
      <c r="AE2535" s="5">
        <f t="shared" si="248"/>
        <v>0</v>
      </c>
      <c r="AF2535" s="70">
        <v>0</v>
      </c>
      <c r="AG2535" s="17"/>
      <c r="AH2535" s="18"/>
      <c r="AI2535" s="47" t="s">
        <v>4336</v>
      </c>
      <c r="AJ2535" s="73" t="s">
        <v>4337</v>
      </c>
      <c r="AK2535" s="45"/>
      <c r="AL2535" s="17"/>
      <c r="AM2535" s="195" t="s">
        <v>4935</v>
      </c>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9"/>
      <c r="BW2535" s="19"/>
      <c r="BX2535" s="19"/>
      <c r="BY2535" s="19"/>
      <c r="BZ2535" s="19"/>
      <c r="CA2535" s="19"/>
      <c r="CB2535" s="19"/>
      <c r="CC2535" s="19"/>
      <c r="CD2535" s="139"/>
      <c r="CE2535" s="138"/>
      <c r="CF2535" s="139"/>
      <c r="CG2535" s="138"/>
      <c r="CH2535" s="139"/>
      <c r="CI2535" s="138"/>
      <c r="CJ2535" s="72"/>
      <c r="CK2535" s="139"/>
      <c r="CL2535" s="71"/>
      <c r="CM2535" s="139"/>
      <c r="CN2535" s="138"/>
      <c r="CO2535" s="138"/>
      <c r="CP2535" s="138"/>
      <c r="CQ2535" s="139"/>
      <c r="CR2535" s="138"/>
      <c r="CS2535" s="45"/>
      <c r="CT2535" s="138"/>
      <c r="CU2535" s="45"/>
      <c r="CV2535" s="99">
        <f t="shared" si="249"/>
        <v>0</v>
      </c>
      <c r="CW2535" s="139"/>
      <c r="CX2535" s="138"/>
      <c r="CY2535" s="138"/>
      <c r="CZ2535" s="138"/>
      <c r="DA2535" s="139"/>
      <c r="DB2535" s="138"/>
      <c r="DC2535" s="45"/>
      <c r="DD2535" s="138"/>
      <c r="DE2535" s="45"/>
      <c r="DF2535" s="46"/>
    </row>
    <row r="2536" spans="1:110" s="42" customFormat="1" x14ac:dyDescent="0.2">
      <c r="A2536" s="89">
        <v>40858</v>
      </c>
      <c r="B2536" s="16" t="s">
        <v>4282</v>
      </c>
      <c r="C2536" s="16" t="s">
        <v>4345</v>
      </c>
      <c r="D2536" s="90" t="s">
        <v>4264</v>
      </c>
      <c r="E2536" s="90">
        <f>VLOOKUP(B2536&amp;C2536,Divipola!$C$2:$F$1138,4,FALSE)</f>
        <v>23</v>
      </c>
      <c r="F2536" s="4"/>
      <c r="G2536" s="208"/>
      <c r="H2536" s="208"/>
      <c r="I2536" s="208"/>
      <c r="J2536" s="208"/>
      <c r="K2536" s="208"/>
      <c r="L2536" s="208"/>
      <c r="M2536" s="208"/>
      <c r="N2536" s="208"/>
      <c r="O2536" s="208"/>
      <c r="P2536" s="208"/>
      <c r="Q2536" s="208"/>
      <c r="R2536" s="208"/>
      <c r="S2536" s="208"/>
      <c r="T2536" s="208"/>
      <c r="U2536" s="208"/>
      <c r="V2536" s="208"/>
      <c r="W2536" s="19"/>
      <c r="X2536" s="17"/>
      <c r="Y2536" s="5">
        <f t="shared" si="244"/>
        <v>0</v>
      </c>
      <c r="Z2536" s="5">
        <f t="shared" si="245"/>
        <v>0</v>
      </c>
      <c r="AA2536" s="5">
        <f t="shared" si="246"/>
        <v>0</v>
      </c>
      <c r="AB2536" s="5">
        <f t="shared" si="247"/>
        <v>136590000</v>
      </c>
      <c r="AC2536" s="5"/>
      <c r="AD2536" s="5">
        <v>0</v>
      </c>
      <c r="AE2536" s="5">
        <f t="shared" si="248"/>
        <v>136590000</v>
      </c>
      <c r="AF2536" s="70">
        <v>0</v>
      </c>
      <c r="AG2536" s="17"/>
      <c r="AH2536" s="18"/>
      <c r="AI2536" s="47" t="s">
        <v>4346</v>
      </c>
      <c r="AJ2536" s="73" t="s">
        <v>4347</v>
      </c>
      <c r="AK2536" s="45"/>
      <c r="AL2536" s="17"/>
      <c r="AM2536" s="20"/>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39"/>
      <c r="CE2536" s="138"/>
      <c r="CF2536" s="139"/>
      <c r="CG2536" s="138"/>
      <c r="CH2536" s="139"/>
      <c r="CI2536" s="138"/>
      <c r="CJ2536" s="72"/>
      <c r="CK2536" s="139"/>
      <c r="CL2536" s="71"/>
      <c r="CM2536" s="139"/>
      <c r="CN2536" s="138"/>
      <c r="CO2536" s="138"/>
      <c r="CP2536" s="138"/>
      <c r="CQ2536" s="139"/>
      <c r="CR2536" s="138"/>
      <c r="CS2536" s="45"/>
      <c r="CT2536" s="138"/>
      <c r="CU2536" s="45"/>
      <c r="CV2536" s="99">
        <f t="shared" si="249"/>
        <v>0</v>
      </c>
      <c r="CW2536" s="139">
        <v>150000</v>
      </c>
      <c r="CX2536" s="138">
        <f>150000*910.6</f>
        <v>136590000</v>
      </c>
      <c r="CY2536" s="138"/>
      <c r="CZ2536" s="138"/>
      <c r="DA2536" s="139"/>
      <c r="DB2536" s="138"/>
      <c r="DC2536" s="45"/>
      <c r="DD2536" s="138"/>
      <c r="DE2536" s="45"/>
      <c r="DF2536" s="46"/>
    </row>
    <row r="2537" spans="1:110" s="42" customFormat="1" ht="96" x14ac:dyDescent="0.2">
      <c r="A2537" s="89">
        <v>40858</v>
      </c>
      <c r="B2537" s="151" t="s">
        <v>4219</v>
      </c>
      <c r="C2537" s="90" t="s">
        <v>4255</v>
      </c>
      <c r="D2537" s="90" t="s">
        <v>2362</v>
      </c>
      <c r="E2537" s="90" t="str">
        <f>VLOOKUP(B2537&amp;C2537,Divipola!$C$2:$F$1138,4,FALSE)</f>
        <v>41396</v>
      </c>
      <c r="F2537" s="4"/>
      <c r="G2537" s="194"/>
      <c r="H2537" s="194"/>
      <c r="I2537" s="194"/>
      <c r="J2537" s="194"/>
      <c r="K2537" s="194"/>
      <c r="L2537" s="194"/>
      <c r="M2537" s="194"/>
      <c r="N2537" s="194"/>
      <c r="O2537" s="194">
        <v>1</v>
      </c>
      <c r="P2537" s="194"/>
      <c r="Q2537" s="194"/>
      <c r="R2537" s="194"/>
      <c r="S2537" s="194"/>
      <c r="T2537" s="194"/>
      <c r="U2537" s="194"/>
      <c r="V2537" s="194"/>
      <c r="W2537" s="19"/>
      <c r="X2537" s="17"/>
      <c r="Y2537" s="5">
        <f t="shared" si="244"/>
        <v>0</v>
      </c>
      <c r="Z2537" s="5">
        <f t="shared" si="245"/>
        <v>0</v>
      </c>
      <c r="AA2537" s="5">
        <f t="shared" si="246"/>
        <v>0</v>
      </c>
      <c r="AB2537" s="5">
        <f t="shared" si="247"/>
        <v>0</v>
      </c>
      <c r="AC2537" s="5"/>
      <c r="AD2537" s="5">
        <v>0</v>
      </c>
      <c r="AE2537" s="5">
        <f t="shared" si="248"/>
        <v>0</v>
      </c>
      <c r="AF2537" s="70">
        <v>0</v>
      </c>
      <c r="AG2537" s="17"/>
      <c r="AH2537" s="18"/>
      <c r="AI2537" s="47" t="s">
        <v>4346</v>
      </c>
      <c r="AJ2537" s="73" t="s">
        <v>4347</v>
      </c>
      <c r="AK2537" s="45"/>
      <c r="AL2537" s="89" t="s">
        <v>2798</v>
      </c>
      <c r="AM2537" s="195" t="s">
        <v>4936</v>
      </c>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c r="BW2537" s="19"/>
      <c r="BX2537" s="19"/>
      <c r="BY2537" s="19"/>
      <c r="BZ2537" s="19"/>
      <c r="CA2537" s="19"/>
      <c r="CB2537" s="19"/>
      <c r="CC2537" s="19"/>
      <c r="CD2537" s="139"/>
      <c r="CE2537" s="138"/>
      <c r="CF2537" s="139"/>
      <c r="CG2537" s="138"/>
      <c r="CH2537" s="139"/>
      <c r="CI2537" s="138"/>
      <c r="CJ2537" s="72"/>
      <c r="CK2537" s="139"/>
      <c r="CL2537" s="71"/>
      <c r="CM2537" s="139"/>
      <c r="CN2537" s="138"/>
      <c r="CO2537" s="138"/>
      <c r="CP2537" s="138"/>
      <c r="CQ2537" s="139"/>
      <c r="CR2537" s="138"/>
      <c r="CS2537" s="45"/>
      <c r="CT2537" s="138"/>
      <c r="CU2537" s="45"/>
      <c r="CV2537" s="99">
        <f t="shared" si="249"/>
        <v>0</v>
      </c>
      <c r="CW2537" s="139"/>
      <c r="CX2537" s="138"/>
      <c r="CY2537" s="138"/>
      <c r="CZ2537" s="138"/>
      <c r="DA2537" s="139"/>
      <c r="DB2537" s="138"/>
      <c r="DC2537" s="45"/>
      <c r="DD2537" s="138"/>
      <c r="DE2537" s="45"/>
      <c r="DF2537" s="46"/>
    </row>
    <row r="2538" spans="1:110" s="42" customFormat="1" ht="72" x14ac:dyDescent="0.2">
      <c r="A2538" s="89">
        <v>40858</v>
      </c>
      <c r="B2538" s="151" t="s">
        <v>4387</v>
      </c>
      <c r="C2538" s="90" t="s">
        <v>499</v>
      </c>
      <c r="D2538" s="90" t="s">
        <v>4264</v>
      </c>
      <c r="E2538" s="90" t="str">
        <f>VLOOKUP(B2538&amp;C2538,Divipola!$C$2:$F$1138,4,FALSE)</f>
        <v>52405</v>
      </c>
      <c r="F2538" s="4"/>
      <c r="G2538" s="194"/>
      <c r="H2538" s="194"/>
      <c r="I2538" s="194"/>
      <c r="J2538" s="194">
        <v>50</v>
      </c>
      <c r="K2538" s="194">
        <v>11</v>
      </c>
      <c r="L2538" s="194"/>
      <c r="M2538" s="194">
        <v>11</v>
      </c>
      <c r="N2538" s="194"/>
      <c r="O2538" s="194"/>
      <c r="P2538" s="194"/>
      <c r="Q2538" s="194"/>
      <c r="R2538" s="194"/>
      <c r="S2538" s="194"/>
      <c r="T2538" s="194"/>
      <c r="U2538" s="194"/>
      <c r="V2538" s="194"/>
      <c r="W2538" s="19"/>
      <c r="X2538" s="17"/>
      <c r="Y2538" s="5">
        <f t="shared" si="244"/>
        <v>0</v>
      </c>
      <c r="Z2538" s="5">
        <f t="shared" si="245"/>
        <v>0</v>
      </c>
      <c r="AA2538" s="5">
        <f t="shared" si="246"/>
        <v>0</v>
      </c>
      <c r="AB2538" s="5">
        <f t="shared" si="247"/>
        <v>0</v>
      </c>
      <c r="AC2538" s="5"/>
      <c r="AD2538" s="5">
        <v>0</v>
      </c>
      <c r="AE2538" s="5">
        <f t="shared" si="248"/>
        <v>0</v>
      </c>
      <c r="AF2538" s="70">
        <v>0</v>
      </c>
      <c r="AG2538" s="17"/>
      <c r="AH2538" s="18"/>
      <c r="AI2538" s="47" t="s">
        <v>4336</v>
      </c>
      <c r="AJ2538" s="73" t="s">
        <v>4337</v>
      </c>
      <c r="AK2538" s="45"/>
      <c r="AL2538" s="17"/>
      <c r="AM2538" s="195" t="s">
        <v>4933</v>
      </c>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9"/>
      <c r="BW2538" s="19"/>
      <c r="BX2538" s="19"/>
      <c r="BY2538" s="19"/>
      <c r="BZ2538" s="19"/>
      <c r="CA2538" s="19"/>
      <c r="CB2538" s="19"/>
      <c r="CC2538" s="19"/>
      <c r="CD2538" s="139"/>
      <c r="CE2538" s="138"/>
      <c r="CF2538" s="139"/>
      <c r="CG2538" s="138"/>
      <c r="CH2538" s="139"/>
      <c r="CI2538" s="138"/>
      <c r="CJ2538" s="72"/>
      <c r="CK2538" s="139"/>
      <c r="CL2538" s="71"/>
      <c r="CM2538" s="139"/>
      <c r="CN2538" s="138"/>
      <c r="CO2538" s="138"/>
      <c r="CP2538" s="138"/>
      <c r="CQ2538" s="139"/>
      <c r="CR2538" s="138"/>
      <c r="CS2538" s="45"/>
      <c r="CT2538" s="138"/>
      <c r="CU2538" s="45"/>
      <c r="CV2538" s="99">
        <f t="shared" si="249"/>
        <v>0</v>
      </c>
      <c r="CW2538" s="139"/>
      <c r="CX2538" s="138"/>
      <c r="CY2538" s="138"/>
      <c r="CZ2538" s="138"/>
      <c r="DA2538" s="139"/>
      <c r="DB2538" s="138"/>
      <c r="DC2538" s="45"/>
      <c r="DD2538" s="138"/>
      <c r="DE2538" s="45"/>
      <c r="DF2538" s="46"/>
    </row>
    <row r="2539" spans="1:110" s="42" customFormat="1" ht="84" x14ac:dyDescent="0.2">
      <c r="A2539" s="89">
        <v>40858</v>
      </c>
      <c r="B2539" s="196" t="s">
        <v>4348</v>
      </c>
      <c r="C2539" s="197" t="s">
        <v>2228</v>
      </c>
      <c r="D2539" s="197" t="s">
        <v>4298</v>
      </c>
      <c r="E2539" s="90" t="str">
        <f>VLOOKUP(B2539&amp;C2539,Divipola!$C$2:$F$1138,4,FALSE)</f>
        <v>66001</v>
      </c>
      <c r="F2539" s="4"/>
      <c r="G2539" s="194"/>
      <c r="H2539" s="194">
        <v>4</v>
      </c>
      <c r="I2539" s="194"/>
      <c r="J2539" s="194">
        <v>11</v>
      </c>
      <c r="K2539" s="194">
        <v>2</v>
      </c>
      <c r="L2539" s="194">
        <v>1</v>
      </c>
      <c r="M2539" s="194"/>
      <c r="N2539" s="194"/>
      <c r="O2539" s="194"/>
      <c r="P2539" s="194"/>
      <c r="Q2539" s="194"/>
      <c r="R2539" s="194"/>
      <c r="S2539" s="194"/>
      <c r="T2539" s="194"/>
      <c r="U2539" s="194"/>
      <c r="V2539" s="194"/>
      <c r="W2539" s="19"/>
      <c r="X2539" s="17"/>
      <c r="Y2539" s="5">
        <f t="shared" si="244"/>
        <v>0</v>
      </c>
      <c r="Z2539" s="5">
        <f t="shared" si="245"/>
        <v>0</v>
      </c>
      <c r="AA2539" s="5">
        <f t="shared" si="246"/>
        <v>0</v>
      </c>
      <c r="AB2539" s="5">
        <f t="shared" si="247"/>
        <v>0</v>
      </c>
      <c r="AC2539" s="5"/>
      <c r="AD2539" s="5">
        <v>0</v>
      </c>
      <c r="AE2539" s="5">
        <f t="shared" si="248"/>
        <v>0</v>
      </c>
      <c r="AF2539" s="70">
        <v>0</v>
      </c>
      <c r="AG2539" s="17"/>
      <c r="AH2539" s="18"/>
      <c r="AI2539" s="47" t="s">
        <v>4336</v>
      </c>
      <c r="AJ2539" s="73" t="s">
        <v>4337</v>
      </c>
      <c r="AK2539" s="45"/>
      <c r="AL2539" s="17" t="s">
        <v>5534</v>
      </c>
      <c r="AM2539" s="195" t="s">
        <v>4949</v>
      </c>
      <c r="AN2539" s="19"/>
      <c r="AO2539" s="19"/>
      <c r="AP2539" s="19"/>
      <c r="AQ2539" s="19"/>
      <c r="AR2539" s="19"/>
      <c r="AS2539" s="19"/>
      <c r="AT2539" s="19"/>
      <c r="AU2539" s="19"/>
      <c r="AV2539" s="19"/>
      <c r="AW2539" s="19"/>
      <c r="AX2539" s="19"/>
      <c r="AY2539" s="19"/>
      <c r="AZ2539" s="19"/>
      <c r="BA2539" s="19"/>
      <c r="BB2539" s="19"/>
      <c r="BC2539" s="19"/>
      <c r="BD2539" s="19"/>
      <c r="BE2539" s="19"/>
      <c r="BF2539" s="19"/>
      <c r="BG2539" s="19"/>
      <c r="BH2539" s="19"/>
      <c r="BI2539" s="19"/>
      <c r="BJ2539" s="19"/>
      <c r="BK2539" s="19"/>
      <c r="BL2539" s="19"/>
      <c r="BM2539" s="19"/>
      <c r="BN2539" s="19"/>
      <c r="BO2539" s="19"/>
      <c r="BP2539" s="19"/>
      <c r="BQ2539" s="19"/>
      <c r="BR2539" s="19"/>
      <c r="BS2539" s="19"/>
      <c r="BT2539" s="19"/>
      <c r="BU2539" s="19"/>
      <c r="BV2539" s="19"/>
      <c r="BW2539" s="19"/>
      <c r="BX2539" s="19"/>
      <c r="BY2539" s="19"/>
      <c r="BZ2539" s="19"/>
      <c r="CA2539" s="19"/>
      <c r="CB2539" s="19"/>
      <c r="CC2539" s="19"/>
      <c r="CD2539" s="139"/>
      <c r="CE2539" s="138"/>
      <c r="CF2539" s="139"/>
      <c r="CG2539" s="138"/>
      <c r="CH2539" s="139"/>
      <c r="CI2539" s="138"/>
      <c r="CJ2539" s="72"/>
      <c r="CK2539" s="139"/>
      <c r="CL2539" s="71"/>
      <c r="CM2539" s="139"/>
      <c r="CN2539" s="138"/>
      <c r="CO2539" s="138"/>
      <c r="CP2539" s="138"/>
      <c r="CQ2539" s="139"/>
      <c r="CR2539" s="138"/>
      <c r="CS2539" s="45"/>
      <c r="CT2539" s="138"/>
      <c r="CU2539" s="45"/>
      <c r="CV2539" s="99">
        <f t="shared" si="249"/>
        <v>0</v>
      </c>
      <c r="CW2539" s="139"/>
      <c r="CX2539" s="138"/>
      <c r="CY2539" s="138"/>
      <c r="CZ2539" s="138"/>
      <c r="DA2539" s="139"/>
      <c r="DB2539" s="138"/>
      <c r="DC2539" s="45"/>
      <c r="DD2539" s="138"/>
      <c r="DE2539" s="45"/>
      <c r="DF2539" s="46"/>
    </row>
    <row r="2540" spans="1:110" s="42" customFormat="1" ht="36" x14ac:dyDescent="0.2">
      <c r="A2540" s="89">
        <v>40858</v>
      </c>
      <c r="B2540" s="151" t="s">
        <v>4348</v>
      </c>
      <c r="C2540" s="90" t="s">
        <v>2228</v>
      </c>
      <c r="D2540" s="90" t="s">
        <v>2362</v>
      </c>
      <c r="E2540" s="90" t="str">
        <f>VLOOKUP(B2540&amp;C2540,Divipola!$C$2:$F$1138,4,FALSE)</f>
        <v>66001</v>
      </c>
      <c r="F2540" s="4"/>
      <c r="G2540" s="101"/>
      <c r="H2540" s="101"/>
      <c r="I2540" s="101"/>
      <c r="J2540" s="101">
        <v>24</v>
      </c>
      <c r="K2540" s="101">
        <v>5</v>
      </c>
      <c r="L2540" s="101"/>
      <c r="M2540" s="101">
        <v>5</v>
      </c>
      <c r="N2540" s="101"/>
      <c r="O2540" s="101"/>
      <c r="P2540" s="101"/>
      <c r="Q2540" s="101"/>
      <c r="R2540" s="101"/>
      <c r="S2540" s="101"/>
      <c r="T2540" s="101"/>
      <c r="U2540" s="101"/>
      <c r="V2540" s="101"/>
      <c r="W2540" s="19"/>
      <c r="X2540" s="17"/>
      <c r="Y2540" s="5">
        <f t="shared" si="244"/>
        <v>0</v>
      </c>
      <c r="Z2540" s="5">
        <f t="shared" si="245"/>
        <v>0</v>
      </c>
      <c r="AA2540" s="5">
        <f t="shared" si="246"/>
        <v>0</v>
      </c>
      <c r="AB2540" s="5">
        <f t="shared" si="247"/>
        <v>0</v>
      </c>
      <c r="AC2540" s="5"/>
      <c r="AD2540" s="5">
        <v>0</v>
      </c>
      <c r="AE2540" s="5">
        <f t="shared" si="248"/>
        <v>0</v>
      </c>
      <c r="AF2540" s="70">
        <v>0</v>
      </c>
      <c r="AG2540" s="17"/>
      <c r="AH2540" s="18"/>
      <c r="AI2540" s="47" t="s">
        <v>4346</v>
      </c>
      <c r="AJ2540" s="73" t="s">
        <v>4347</v>
      </c>
      <c r="AK2540" s="45"/>
      <c r="AL2540" s="17" t="s">
        <v>5534</v>
      </c>
      <c r="AM2540" s="121" t="s">
        <v>5068</v>
      </c>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19"/>
      <c r="BW2540" s="19"/>
      <c r="BX2540" s="19"/>
      <c r="BY2540" s="19"/>
      <c r="BZ2540" s="19"/>
      <c r="CA2540" s="19"/>
      <c r="CB2540" s="19"/>
      <c r="CC2540" s="19"/>
      <c r="CD2540" s="139"/>
      <c r="CE2540" s="138"/>
      <c r="CF2540" s="139"/>
      <c r="CG2540" s="138"/>
      <c r="CH2540" s="139"/>
      <c r="CI2540" s="138"/>
      <c r="CJ2540" s="72"/>
      <c r="CK2540" s="139"/>
      <c r="CL2540" s="71"/>
      <c r="CM2540" s="139"/>
      <c r="CN2540" s="138"/>
      <c r="CO2540" s="138"/>
      <c r="CP2540" s="138"/>
      <c r="CQ2540" s="139"/>
      <c r="CR2540" s="138"/>
      <c r="CS2540" s="45"/>
      <c r="CT2540" s="138"/>
      <c r="CU2540" s="45"/>
      <c r="CV2540" s="99">
        <f t="shared" si="249"/>
        <v>0</v>
      </c>
      <c r="CW2540" s="139"/>
      <c r="CX2540" s="138"/>
      <c r="CY2540" s="138"/>
      <c r="CZ2540" s="138"/>
      <c r="DA2540" s="139"/>
      <c r="DB2540" s="138"/>
      <c r="DC2540" s="45"/>
      <c r="DD2540" s="138"/>
      <c r="DE2540" s="45"/>
      <c r="DF2540" s="46"/>
    </row>
    <row r="2541" spans="1:110" s="42" customFormat="1" x14ac:dyDescent="0.2">
      <c r="A2541" s="89">
        <v>40858</v>
      </c>
      <c r="B2541" s="153" t="s">
        <v>4219</v>
      </c>
      <c r="C2541" s="4" t="s">
        <v>3503</v>
      </c>
      <c r="D2541" s="90" t="s">
        <v>4264</v>
      </c>
      <c r="E2541" s="90" t="str">
        <f>VLOOKUP(B2541&amp;C2541,Divipola!$C$2:$F$1138,4,FALSE)</f>
        <v>41001</v>
      </c>
      <c r="F2541" s="4"/>
      <c r="G2541" s="208"/>
      <c r="H2541" s="208"/>
      <c r="I2541" s="208"/>
      <c r="J2541" s="208"/>
      <c r="K2541" s="208"/>
      <c r="L2541" s="208"/>
      <c r="M2541" s="208"/>
      <c r="N2541" s="208"/>
      <c r="O2541" s="208"/>
      <c r="P2541" s="208"/>
      <c r="Q2541" s="208"/>
      <c r="R2541" s="208"/>
      <c r="S2541" s="208"/>
      <c r="T2541" s="208"/>
      <c r="U2541" s="208"/>
      <c r="V2541" s="208"/>
      <c r="W2541" s="19"/>
      <c r="X2541" s="17"/>
      <c r="Y2541" s="5">
        <f t="shared" si="244"/>
        <v>53794188</v>
      </c>
      <c r="Z2541" s="5">
        <f t="shared" si="245"/>
        <v>29750000</v>
      </c>
      <c r="AA2541" s="5">
        <f t="shared" si="246"/>
        <v>13499616</v>
      </c>
      <c r="AB2541" s="5">
        <f t="shared" si="247"/>
        <v>0</v>
      </c>
      <c r="AC2541" s="5"/>
      <c r="AD2541" s="5">
        <v>0</v>
      </c>
      <c r="AE2541" s="5">
        <f t="shared" si="248"/>
        <v>97043804</v>
      </c>
      <c r="AF2541" s="70">
        <v>0</v>
      </c>
      <c r="AG2541" s="17"/>
      <c r="AH2541" s="18"/>
      <c r="AI2541" s="47" t="s">
        <v>4346</v>
      </c>
      <c r="AJ2541" s="73" t="s">
        <v>4347</v>
      </c>
      <c r="AK2541" s="45"/>
      <c r="AL2541" s="17"/>
      <c r="AM2541" s="20"/>
      <c r="AN2541" s="19"/>
      <c r="AO2541" s="19"/>
      <c r="AP2541" s="19"/>
      <c r="AQ2541" s="19"/>
      <c r="AR2541" s="19"/>
      <c r="AS2541" s="19"/>
      <c r="AT2541" s="19"/>
      <c r="AU2541" s="19"/>
      <c r="AV2541" s="19"/>
      <c r="AW2541" s="19"/>
      <c r="AX2541" s="19"/>
      <c r="AY2541" s="19"/>
      <c r="AZ2541" s="19">
        <v>350</v>
      </c>
      <c r="BA2541" s="19">
        <f>350*55999</f>
        <v>19599650</v>
      </c>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39"/>
      <c r="CE2541" s="138"/>
      <c r="CF2541" s="139"/>
      <c r="CG2541" s="138"/>
      <c r="CH2541" s="139"/>
      <c r="CI2541" s="138"/>
      <c r="CJ2541" s="72">
        <v>350</v>
      </c>
      <c r="CK2541" s="139">
        <f>350*20999.48</f>
        <v>7349818</v>
      </c>
      <c r="CL2541" s="71"/>
      <c r="CM2541" s="139"/>
      <c r="CN2541" s="138"/>
      <c r="CO2541" s="138"/>
      <c r="CP2541" s="138">
        <v>350</v>
      </c>
      <c r="CQ2541" s="139">
        <f>350*36999.36</f>
        <v>12949776</v>
      </c>
      <c r="CR2541" s="138">
        <v>350</v>
      </c>
      <c r="CS2541" s="45">
        <f>350*39699.84</f>
        <v>13894943.999999998</v>
      </c>
      <c r="CT2541" s="138"/>
      <c r="CU2541" s="45"/>
      <c r="CV2541" s="99">
        <f t="shared" si="249"/>
        <v>53794188</v>
      </c>
      <c r="CW2541" s="139"/>
      <c r="CX2541" s="138"/>
      <c r="CY2541" s="138">
        <v>350</v>
      </c>
      <c r="CZ2541" s="138">
        <f>350*85000</f>
        <v>29750000</v>
      </c>
      <c r="DA2541" s="139"/>
      <c r="DB2541" s="138"/>
      <c r="DC2541" s="45">
        <v>600</v>
      </c>
      <c r="DD2541" s="138">
        <f>600*22499.36</f>
        <v>13499616</v>
      </c>
      <c r="DE2541" s="45"/>
      <c r="DF2541" s="46"/>
    </row>
    <row r="2542" spans="1:110" s="42" customFormat="1" ht="36" x14ac:dyDescent="0.2">
      <c r="A2542" s="89">
        <v>40858</v>
      </c>
      <c r="B2542" s="151" t="s">
        <v>4348</v>
      </c>
      <c r="C2542" s="90" t="s">
        <v>2228</v>
      </c>
      <c r="D2542" s="90" t="s">
        <v>4264</v>
      </c>
      <c r="E2542" s="90" t="str">
        <f>VLOOKUP(B2542&amp;C2542,Divipola!$C$2:$F$1138,4,FALSE)</f>
        <v>66001</v>
      </c>
      <c r="F2542" s="4"/>
      <c r="G2542" s="101"/>
      <c r="H2542" s="101"/>
      <c r="I2542" s="101"/>
      <c r="J2542" s="101">
        <v>3090</v>
      </c>
      <c r="K2542" s="101">
        <v>810</v>
      </c>
      <c r="L2542" s="101"/>
      <c r="M2542" s="101">
        <v>618</v>
      </c>
      <c r="N2542" s="101"/>
      <c r="O2542" s="101"/>
      <c r="P2542" s="101"/>
      <c r="Q2542" s="101"/>
      <c r="R2542" s="101"/>
      <c r="S2542" s="101"/>
      <c r="T2542" s="101"/>
      <c r="U2542" s="101"/>
      <c r="V2542" s="101"/>
      <c r="W2542" s="19"/>
      <c r="X2542" s="17"/>
      <c r="Y2542" s="5">
        <f t="shared" si="244"/>
        <v>0</v>
      </c>
      <c r="Z2542" s="5">
        <f t="shared" si="245"/>
        <v>0</v>
      </c>
      <c r="AA2542" s="5">
        <f t="shared" si="246"/>
        <v>0</v>
      </c>
      <c r="AB2542" s="5">
        <f t="shared" si="247"/>
        <v>0</v>
      </c>
      <c r="AC2542" s="5"/>
      <c r="AD2542" s="5">
        <v>0</v>
      </c>
      <c r="AE2542" s="5">
        <f t="shared" si="248"/>
        <v>0</v>
      </c>
      <c r="AF2542" s="70">
        <v>0</v>
      </c>
      <c r="AG2542" s="17"/>
      <c r="AH2542" s="18"/>
      <c r="AI2542" s="47" t="s">
        <v>4346</v>
      </c>
      <c r="AJ2542" s="73" t="s">
        <v>4347</v>
      </c>
      <c r="AK2542" s="45"/>
      <c r="AL2542" s="17" t="s">
        <v>5534</v>
      </c>
      <c r="AM2542" s="121" t="s">
        <v>5363</v>
      </c>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39"/>
      <c r="CE2542" s="138"/>
      <c r="CF2542" s="139"/>
      <c r="CG2542" s="138"/>
      <c r="CH2542" s="139"/>
      <c r="CI2542" s="138"/>
      <c r="CJ2542" s="72"/>
      <c r="CK2542" s="139"/>
      <c r="CL2542" s="71"/>
      <c r="CM2542" s="139"/>
      <c r="CN2542" s="138"/>
      <c r="CO2542" s="138"/>
      <c r="CP2542" s="138"/>
      <c r="CQ2542" s="139"/>
      <c r="CR2542" s="138"/>
      <c r="CS2542" s="45"/>
      <c r="CT2542" s="138"/>
      <c r="CU2542" s="45"/>
      <c r="CV2542" s="99">
        <f t="shared" si="249"/>
        <v>0</v>
      </c>
      <c r="CW2542" s="139"/>
      <c r="CX2542" s="138"/>
      <c r="CY2542" s="138"/>
      <c r="CZ2542" s="138"/>
      <c r="DA2542" s="139"/>
      <c r="DB2542" s="138"/>
      <c r="DC2542" s="45"/>
      <c r="DD2542" s="138"/>
      <c r="DE2542" s="45"/>
      <c r="DF2542" s="46"/>
    </row>
    <row r="2543" spans="1:110" s="42" customFormat="1" x14ac:dyDescent="0.2">
      <c r="A2543" s="89">
        <v>40858</v>
      </c>
      <c r="B2543" s="153" t="s">
        <v>4261</v>
      </c>
      <c r="C2543" s="4" t="s">
        <v>1314</v>
      </c>
      <c r="D2543" s="16" t="s">
        <v>4264</v>
      </c>
      <c r="E2543" s="90" t="str">
        <f>VLOOKUP(B2543&amp;C2543,Divipola!$C$2:$F$1138,4,FALSE)</f>
        <v>15761</v>
      </c>
      <c r="F2543" s="4"/>
      <c r="G2543" s="208"/>
      <c r="H2543" s="208"/>
      <c r="I2543" s="208"/>
      <c r="J2543" s="208"/>
      <c r="K2543" s="208"/>
      <c r="L2543" s="208"/>
      <c r="M2543" s="208"/>
      <c r="N2543" s="208"/>
      <c r="O2543" s="208"/>
      <c r="P2543" s="208"/>
      <c r="Q2543" s="208"/>
      <c r="R2543" s="208"/>
      <c r="S2543" s="208"/>
      <c r="T2543" s="208"/>
      <c r="U2543" s="208"/>
      <c r="V2543" s="208"/>
      <c r="W2543" s="19"/>
      <c r="X2543" s="17"/>
      <c r="Y2543" s="5">
        <f t="shared" si="244"/>
        <v>34109568</v>
      </c>
      <c r="Z2543" s="5">
        <f t="shared" si="245"/>
        <v>59500000</v>
      </c>
      <c r="AA2543" s="5">
        <f t="shared" si="246"/>
        <v>0</v>
      </c>
      <c r="AB2543" s="5">
        <f t="shared" si="247"/>
        <v>0</v>
      </c>
      <c r="AC2543" s="5"/>
      <c r="AD2543" s="5">
        <v>0</v>
      </c>
      <c r="AE2543" s="5">
        <f t="shared" si="248"/>
        <v>93609568</v>
      </c>
      <c r="AF2543" s="70">
        <v>0</v>
      </c>
      <c r="AG2543" s="17"/>
      <c r="AH2543" s="18"/>
      <c r="AI2543" s="47" t="s">
        <v>4346</v>
      </c>
      <c r="AJ2543" s="73" t="s">
        <v>4347</v>
      </c>
      <c r="AK2543" s="45"/>
      <c r="AL2543" s="17"/>
      <c r="AM2543" s="20"/>
      <c r="AN2543" s="19"/>
      <c r="AO2543" s="19"/>
      <c r="AP2543" s="19"/>
      <c r="AQ2543" s="19"/>
      <c r="AR2543" s="19"/>
      <c r="AS2543" s="19"/>
      <c r="AT2543" s="19"/>
      <c r="AU2543" s="19"/>
      <c r="AV2543" s="19"/>
      <c r="AW2543" s="19"/>
      <c r="AX2543" s="19"/>
      <c r="AY2543" s="19"/>
      <c r="AZ2543" s="19">
        <v>300</v>
      </c>
      <c r="BA2543" s="19">
        <f>300*55999</f>
        <v>16799700</v>
      </c>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19"/>
      <c r="BW2543" s="19"/>
      <c r="BX2543" s="19"/>
      <c r="BY2543" s="19"/>
      <c r="BZ2543" s="19"/>
      <c r="CA2543" s="19"/>
      <c r="CB2543" s="19"/>
      <c r="CC2543" s="19"/>
      <c r="CD2543" s="139"/>
      <c r="CE2543" s="138"/>
      <c r="CF2543" s="139"/>
      <c r="CG2543" s="138"/>
      <c r="CH2543" s="139">
        <v>300</v>
      </c>
      <c r="CI2543" s="138">
        <f>300*17999.72</f>
        <v>5399916</v>
      </c>
      <c r="CJ2543" s="72"/>
      <c r="CK2543" s="139"/>
      <c r="CL2543" s="71"/>
      <c r="CM2543" s="139"/>
      <c r="CN2543" s="138"/>
      <c r="CO2543" s="138"/>
      <c r="CP2543" s="138"/>
      <c r="CQ2543" s="139"/>
      <c r="CR2543" s="138">
        <v>300</v>
      </c>
      <c r="CS2543" s="45">
        <f>300*39699.84</f>
        <v>11909951.999999998</v>
      </c>
      <c r="CT2543" s="138"/>
      <c r="CU2543" s="45"/>
      <c r="CV2543" s="99">
        <f t="shared" si="249"/>
        <v>34109568</v>
      </c>
      <c r="CW2543" s="139"/>
      <c r="CX2543" s="138"/>
      <c r="CY2543" s="138">
        <v>700</v>
      </c>
      <c r="CZ2543" s="138">
        <f>700*85000</f>
        <v>59500000</v>
      </c>
      <c r="DA2543" s="139"/>
      <c r="DB2543" s="138"/>
      <c r="DC2543" s="45"/>
      <c r="DD2543" s="138"/>
      <c r="DE2543" s="45"/>
      <c r="DF2543" s="46"/>
    </row>
    <row r="2544" spans="1:110" s="42" customFormat="1" ht="60" x14ac:dyDescent="0.2">
      <c r="A2544" s="89">
        <v>40858</v>
      </c>
      <c r="B2544" s="151" t="s">
        <v>4387</v>
      </c>
      <c r="C2544" s="90" t="s">
        <v>3470</v>
      </c>
      <c r="D2544" s="90" t="s">
        <v>2362</v>
      </c>
      <c r="E2544" s="90" t="str">
        <f>VLOOKUP(B2544&amp;C2544,Divipola!$C$2:$F$1138,4,FALSE)</f>
        <v>52685</v>
      </c>
      <c r="F2544" s="4"/>
      <c r="G2544" s="101"/>
      <c r="H2544" s="101"/>
      <c r="I2544" s="101"/>
      <c r="J2544" s="101">
        <v>5</v>
      </c>
      <c r="K2544" s="101">
        <v>1</v>
      </c>
      <c r="L2544" s="101"/>
      <c r="M2544" s="101">
        <v>1</v>
      </c>
      <c r="N2544" s="101"/>
      <c r="O2544" s="101"/>
      <c r="P2544" s="101">
        <v>1</v>
      </c>
      <c r="Q2544" s="101"/>
      <c r="R2544" s="101"/>
      <c r="S2544" s="101"/>
      <c r="T2544" s="101">
        <v>1</v>
      </c>
      <c r="U2544" s="101"/>
      <c r="V2544" s="264"/>
      <c r="W2544" s="19"/>
      <c r="X2544" s="17"/>
      <c r="Y2544" s="5">
        <f t="shared" si="244"/>
        <v>0</v>
      </c>
      <c r="Z2544" s="5">
        <f t="shared" si="245"/>
        <v>0</v>
      </c>
      <c r="AA2544" s="5">
        <f t="shared" si="246"/>
        <v>0</v>
      </c>
      <c r="AB2544" s="5">
        <f t="shared" si="247"/>
        <v>0</v>
      </c>
      <c r="AC2544" s="5"/>
      <c r="AD2544" s="5">
        <v>0</v>
      </c>
      <c r="AE2544" s="5">
        <f t="shared" si="248"/>
        <v>0</v>
      </c>
      <c r="AF2544" s="70">
        <v>0</v>
      </c>
      <c r="AG2544" s="17"/>
      <c r="AH2544" s="18"/>
      <c r="AI2544" s="47" t="s">
        <v>4336</v>
      </c>
      <c r="AJ2544" s="73" t="s">
        <v>4337</v>
      </c>
      <c r="AK2544" s="45"/>
      <c r="AL2544" s="17"/>
      <c r="AM2544" s="121" t="s">
        <v>5613</v>
      </c>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39"/>
      <c r="CE2544" s="138"/>
      <c r="CF2544" s="139"/>
      <c r="CG2544" s="138"/>
      <c r="CH2544" s="139"/>
      <c r="CI2544" s="138"/>
      <c r="CJ2544" s="72"/>
      <c r="CK2544" s="139"/>
      <c r="CL2544" s="71"/>
      <c r="CM2544" s="139"/>
      <c r="CN2544" s="138"/>
      <c r="CO2544" s="138"/>
      <c r="CP2544" s="138"/>
      <c r="CQ2544" s="139"/>
      <c r="CR2544" s="138"/>
      <c r="CS2544" s="45"/>
      <c r="CT2544" s="138"/>
      <c r="CU2544" s="45"/>
      <c r="CV2544" s="99">
        <f t="shared" si="249"/>
        <v>0</v>
      </c>
      <c r="CW2544" s="139"/>
      <c r="CX2544" s="138"/>
      <c r="CY2544" s="138"/>
      <c r="CZ2544" s="138"/>
      <c r="DA2544" s="139"/>
      <c r="DB2544" s="138"/>
      <c r="DC2544" s="45"/>
      <c r="DD2544" s="138"/>
      <c r="DE2544" s="45"/>
      <c r="DF2544" s="46"/>
    </row>
    <row r="2545" spans="1:110" s="42" customFormat="1" ht="48" x14ac:dyDescent="0.2">
      <c r="A2545" s="89">
        <v>40859</v>
      </c>
      <c r="B2545" s="196" t="s">
        <v>2218</v>
      </c>
      <c r="C2545" s="197" t="s">
        <v>3441</v>
      </c>
      <c r="D2545" s="90" t="s">
        <v>4264</v>
      </c>
      <c r="E2545" s="90" t="str">
        <f>VLOOKUP(B2545&amp;C2545,Divipola!$C$2:$F$1138,4,FALSE)</f>
        <v>05861</v>
      </c>
      <c r="F2545" s="4"/>
      <c r="G2545" s="194"/>
      <c r="H2545" s="194"/>
      <c r="I2545" s="194"/>
      <c r="J2545" s="194">
        <v>102</v>
      </c>
      <c r="K2545" s="194">
        <v>20</v>
      </c>
      <c r="L2545" s="194"/>
      <c r="M2545" s="194">
        <v>20</v>
      </c>
      <c r="N2545" s="194"/>
      <c r="O2545" s="194"/>
      <c r="P2545" s="194"/>
      <c r="Q2545" s="194"/>
      <c r="R2545" s="194"/>
      <c r="S2545" s="194"/>
      <c r="T2545" s="194"/>
      <c r="U2545" s="194"/>
      <c r="V2545" s="194"/>
      <c r="W2545" s="19"/>
      <c r="X2545" s="17"/>
      <c r="Y2545" s="5">
        <f t="shared" si="244"/>
        <v>0</v>
      </c>
      <c r="Z2545" s="5">
        <f t="shared" si="245"/>
        <v>0</v>
      </c>
      <c r="AA2545" s="5">
        <f t="shared" si="246"/>
        <v>0</v>
      </c>
      <c r="AB2545" s="5">
        <f t="shared" si="247"/>
        <v>0</v>
      </c>
      <c r="AC2545" s="5"/>
      <c r="AD2545" s="5">
        <v>0</v>
      </c>
      <c r="AE2545" s="5">
        <f t="shared" si="248"/>
        <v>0</v>
      </c>
      <c r="AF2545" s="70">
        <v>0</v>
      </c>
      <c r="AG2545" s="17"/>
      <c r="AH2545" s="18"/>
      <c r="AI2545" s="47" t="s">
        <v>4346</v>
      </c>
      <c r="AJ2545" s="73" t="s">
        <v>4347</v>
      </c>
      <c r="AK2545" s="45"/>
      <c r="AL2545" s="89" t="s">
        <v>2798</v>
      </c>
      <c r="AM2545" s="195" t="s">
        <v>4958</v>
      </c>
      <c r="AN2545" s="19"/>
      <c r="AO2545" s="19"/>
      <c r="AP2545" s="19"/>
      <c r="AQ2545" s="19"/>
      <c r="AR2545" s="19"/>
      <c r="AS2545" s="19"/>
      <c r="AT2545" s="19"/>
      <c r="AU2545" s="19"/>
      <c r="AV2545" s="19"/>
      <c r="AW2545" s="19"/>
      <c r="AX2545" s="19"/>
      <c r="AY2545" s="19"/>
      <c r="AZ2545" s="19"/>
      <c r="BA2545" s="19"/>
      <c r="BB2545" s="19"/>
      <c r="BC2545" s="19"/>
      <c r="BD2545" s="19"/>
      <c r="BE2545" s="19"/>
      <c r="BF2545" s="19"/>
      <c r="BG2545" s="19"/>
      <c r="BH2545" s="19"/>
      <c r="BI2545" s="19"/>
      <c r="BJ2545" s="19"/>
      <c r="BK2545" s="19"/>
      <c r="BL2545" s="19"/>
      <c r="BM2545" s="19"/>
      <c r="BN2545" s="19"/>
      <c r="BO2545" s="19"/>
      <c r="BP2545" s="19"/>
      <c r="BQ2545" s="19"/>
      <c r="BR2545" s="19"/>
      <c r="BS2545" s="19"/>
      <c r="BT2545" s="19"/>
      <c r="BU2545" s="19"/>
      <c r="BV2545" s="19"/>
      <c r="BW2545" s="19"/>
      <c r="BX2545" s="19"/>
      <c r="BY2545" s="19"/>
      <c r="BZ2545" s="19"/>
      <c r="CA2545" s="19"/>
      <c r="CB2545" s="19"/>
      <c r="CC2545" s="19"/>
      <c r="CD2545" s="139"/>
      <c r="CE2545" s="138"/>
      <c r="CF2545" s="139"/>
      <c r="CG2545" s="138"/>
      <c r="CH2545" s="139"/>
      <c r="CI2545" s="138"/>
      <c r="CJ2545" s="72"/>
      <c r="CK2545" s="139"/>
      <c r="CL2545" s="71"/>
      <c r="CM2545" s="139"/>
      <c r="CN2545" s="138"/>
      <c r="CO2545" s="138"/>
      <c r="CP2545" s="138"/>
      <c r="CQ2545" s="139"/>
      <c r="CR2545" s="138"/>
      <c r="CS2545" s="45"/>
      <c r="CT2545" s="138"/>
      <c r="CU2545" s="45"/>
      <c r="CV2545" s="99">
        <f t="shared" si="249"/>
        <v>0</v>
      </c>
      <c r="CW2545" s="139"/>
      <c r="CX2545" s="138"/>
      <c r="CY2545" s="138"/>
      <c r="CZ2545" s="138"/>
      <c r="DA2545" s="139"/>
      <c r="DB2545" s="138"/>
      <c r="DC2545" s="45"/>
      <c r="DD2545" s="138"/>
      <c r="DE2545" s="45"/>
      <c r="DF2545" s="46"/>
    </row>
    <row r="2546" spans="1:110" s="42" customFormat="1" ht="72" x14ac:dyDescent="0.2">
      <c r="A2546" s="89">
        <v>40859</v>
      </c>
      <c r="B2546" s="196" t="s">
        <v>4326</v>
      </c>
      <c r="C2546" s="197" t="s">
        <v>2467</v>
      </c>
      <c r="D2546" s="90" t="s">
        <v>2362</v>
      </c>
      <c r="E2546" s="90" t="str">
        <f>VLOOKUP(B2546&amp;C2546,Divipola!$C$2:$F$1138,4,FALSE)</f>
        <v>08832</v>
      </c>
      <c r="F2546" s="4"/>
      <c r="G2546" s="194"/>
      <c r="H2546" s="194"/>
      <c r="I2546" s="194"/>
      <c r="J2546" s="194">
        <v>135</v>
      </c>
      <c r="K2546" s="194">
        <v>27</v>
      </c>
      <c r="L2546" s="194">
        <v>27</v>
      </c>
      <c r="M2546" s="194"/>
      <c r="N2546" s="194"/>
      <c r="O2546" s="194"/>
      <c r="P2546" s="194"/>
      <c r="Q2546" s="194"/>
      <c r="R2546" s="194"/>
      <c r="S2546" s="194"/>
      <c r="T2546" s="194"/>
      <c r="U2546" s="194"/>
      <c r="V2546" s="194"/>
      <c r="W2546" s="19"/>
      <c r="X2546" s="17"/>
      <c r="Y2546" s="5">
        <f t="shared" si="244"/>
        <v>45150000</v>
      </c>
      <c r="Z2546" s="5">
        <f t="shared" si="245"/>
        <v>0</v>
      </c>
      <c r="AA2546" s="5">
        <f t="shared" si="246"/>
        <v>0</v>
      </c>
      <c r="AB2546" s="5">
        <f t="shared" si="247"/>
        <v>0</v>
      </c>
      <c r="AC2546" s="5"/>
      <c r="AD2546" s="5">
        <v>0</v>
      </c>
      <c r="AE2546" s="5">
        <f t="shared" si="248"/>
        <v>45150000</v>
      </c>
      <c r="AF2546" s="70">
        <v>0</v>
      </c>
      <c r="AG2546" s="17"/>
      <c r="AH2546" s="18"/>
      <c r="AI2546" s="47" t="s">
        <v>4346</v>
      </c>
      <c r="AJ2546" s="73" t="s">
        <v>4347</v>
      </c>
      <c r="AK2546" s="45"/>
      <c r="AL2546" s="89" t="s">
        <v>2798</v>
      </c>
      <c r="AM2546" s="195" t="s">
        <v>5048</v>
      </c>
      <c r="AN2546" s="19"/>
      <c r="AO2546" s="19"/>
      <c r="AP2546" s="19"/>
      <c r="AQ2546" s="19"/>
      <c r="AR2546" s="19"/>
      <c r="AS2546" s="19"/>
      <c r="AT2546" s="19"/>
      <c r="AU2546" s="19"/>
      <c r="AV2546" s="19"/>
      <c r="AW2546" s="19"/>
      <c r="AX2546" s="19">
        <v>56</v>
      </c>
      <c r="AY2546" s="19">
        <f>3*450000+25*600000+2*800000+2*5800000+6*800000+18*600000</f>
        <v>45150000</v>
      </c>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c r="BV2546" s="19"/>
      <c r="BW2546" s="19"/>
      <c r="BX2546" s="19"/>
      <c r="BY2546" s="19"/>
      <c r="BZ2546" s="19"/>
      <c r="CA2546" s="19"/>
      <c r="CB2546" s="19"/>
      <c r="CC2546" s="19"/>
      <c r="CD2546" s="139"/>
      <c r="CE2546" s="138"/>
      <c r="CF2546" s="139"/>
      <c r="CG2546" s="138"/>
      <c r="CH2546" s="139"/>
      <c r="CI2546" s="138"/>
      <c r="CJ2546" s="72"/>
      <c r="CK2546" s="139"/>
      <c r="CL2546" s="71"/>
      <c r="CM2546" s="139"/>
      <c r="CN2546" s="138"/>
      <c r="CO2546" s="138"/>
      <c r="CP2546" s="138"/>
      <c r="CQ2546" s="139"/>
      <c r="CR2546" s="138"/>
      <c r="CS2546" s="45"/>
      <c r="CT2546" s="138"/>
      <c r="CU2546" s="45"/>
      <c r="CV2546" s="99">
        <f t="shared" si="249"/>
        <v>45150000</v>
      </c>
      <c r="CW2546" s="139"/>
      <c r="CX2546" s="138"/>
      <c r="CY2546" s="138"/>
      <c r="CZ2546" s="138"/>
      <c r="DA2546" s="139"/>
      <c r="DB2546" s="138"/>
      <c r="DC2546" s="45"/>
      <c r="DD2546" s="138"/>
      <c r="DE2546" s="45"/>
      <c r="DF2546" s="46"/>
    </row>
    <row r="2547" spans="1:110" s="42" customFormat="1" ht="72" x14ac:dyDescent="0.2">
      <c r="A2547" s="89">
        <v>40859</v>
      </c>
      <c r="B2547" s="196" t="s">
        <v>4326</v>
      </c>
      <c r="C2547" s="197" t="s">
        <v>2430</v>
      </c>
      <c r="D2547" s="90" t="s">
        <v>4264</v>
      </c>
      <c r="E2547" s="90" t="str">
        <f>VLOOKUP(B2547&amp;C2547,Divipola!$C$2:$F$1138,4,FALSE)</f>
        <v>08433</v>
      </c>
      <c r="F2547" s="4"/>
      <c r="G2547" s="194"/>
      <c r="H2547" s="194"/>
      <c r="I2547" s="194"/>
      <c r="J2547" s="194">
        <v>400</v>
      </c>
      <c r="K2547" s="194">
        <v>80</v>
      </c>
      <c r="L2547" s="194"/>
      <c r="M2547" s="194">
        <v>80</v>
      </c>
      <c r="N2547" s="194"/>
      <c r="O2547" s="194"/>
      <c r="P2547" s="194"/>
      <c r="Q2547" s="194"/>
      <c r="R2547" s="194"/>
      <c r="S2547" s="194"/>
      <c r="T2547" s="194"/>
      <c r="U2547" s="194"/>
      <c r="V2547" s="194"/>
      <c r="W2547" s="19"/>
      <c r="X2547" s="17"/>
      <c r="Y2547" s="5">
        <f t="shared" si="244"/>
        <v>0</v>
      </c>
      <c r="Z2547" s="5">
        <f t="shared" si="245"/>
        <v>0</v>
      </c>
      <c r="AA2547" s="5">
        <f t="shared" si="246"/>
        <v>0</v>
      </c>
      <c r="AB2547" s="5">
        <f t="shared" si="247"/>
        <v>0</v>
      </c>
      <c r="AC2547" s="5"/>
      <c r="AD2547" s="5">
        <v>0</v>
      </c>
      <c r="AE2547" s="5">
        <f t="shared" si="248"/>
        <v>0</v>
      </c>
      <c r="AF2547" s="70">
        <v>0</v>
      </c>
      <c r="AG2547" s="17"/>
      <c r="AH2547" s="18"/>
      <c r="AI2547" s="47" t="s">
        <v>4346</v>
      </c>
      <c r="AJ2547" s="73" t="s">
        <v>4347</v>
      </c>
      <c r="AK2547" s="45"/>
      <c r="AL2547" s="89" t="s">
        <v>2798</v>
      </c>
      <c r="AM2547" s="121" t="s">
        <v>4968</v>
      </c>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c r="BV2547" s="19"/>
      <c r="BW2547" s="19"/>
      <c r="BX2547" s="19"/>
      <c r="BY2547" s="19"/>
      <c r="BZ2547" s="19"/>
      <c r="CA2547" s="19"/>
      <c r="CB2547" s="19"/>
      <c r="CC2547" s="19"/>
      <c r="CD2547" s="139"/>
      <c r="CE2547" s="138"/>
      <c r="CF2547" s="139"/>
      <c r="CG2547" s="138"/>
      <c r="CH2547" s="139"/>
      <c r="CI2547" s="138"/>
      <c r="CJ2547" s="72"/>
      <c r="CK2547" s="139"/>
      <c r="CL2547" s="71"/>
      <c r="CM2547" s="139"/>
      <c r="CN2547" s="138"/>
      <c r="CO2547" s="138"/>
      <c r="CP2547" s="138"/>
      <c r="CQ2547" s="139"/>
      <c r="CR2547" s="138"/>
      <c r="CS2547" s="45"/>
      <c r="CT2547" s="138"/>
      <c r="CU2547" s="45"/>
      <c r="CV2547" s="99">
        <f t="shared" si="249"/>
        <v>0</v>
      </c>
      <c r="CW2547" s="139"/>
      <c r="CX2547" s="138"/>
      <c r="CY2547" s="138"/>
      <c r="CZ2547" s="138"/>
      <c r="DA2547" s="139"/>
      <c r="DB2547" s="138"/>
      <c r="DC2547" s="45"/>
      <c r="DD2547" s="138"/>
      <c r="DE2547" s="45"/>
      <c r="DF2547" s="46"/>
    </row>
    <row r="2548" spans="1:110" s="42" customFormat="1" ht="72" x14ac:dyDescent="0.2">
      <c r="A2548" s="89">
        <v>40859</v>
      </c>
      <c r="B2548" s="196" t="s">
        <v>4326</v>
      </c>
      <c r="C2548" s="197" t="s">
        <v>4338</v>
      </c>
      <c r="D2548" s="90" t="s">
        <v>2362</v>
      </c>
      <c r="E2548" s="90" t="str">
        <f>VLOOKUP(B2548&amp;C2548,Divipola!$C$2:$F$1138,4,FALSE)</f>
        <v>08001</v>
      </c>
      <c r="F2548" s="4"/>
      <c r="G2548" s="194"/>
      <c r="H2548" s="194"/>
      <c r="I2548" s="194"/>
      <c r="J2548" s="194">
        <v>195</v>
      </c>
      <c r="K2548" s="194">
        <v>39</v>
      </c>
      <c r="L2548" s="194"/>
      <c r="M2548" s="194">
        <v>39</v>
      </c>
      <c r="N2548" s="194"/>
      <c r="O2548" s="194"/>
      <c r="P2548" s="194"/>
      <c r="Q2548" s="194"/>
      <c r="R2548" s="194"/>
      <c r="S2548" s="194"/>
      <c r="T2548" s="194"/>
      <c r="U2548" s="194"/>
      <c r="V2548" s="194"/>
      <c r="W2548" s="19"/>
      <c r="X2548" s="17"/>
      <c r="Y2548" s="5">
        <f t="shared" si="244"/>
        <v>0</v>
      </c>
      <c r="Z2548" s="5">
        <f t="shared" si="245"/>
        <v>0</v>
      </c>
      <c r="AA2548" s="5">
        <f t="shared" si="246"/>
        <v>0</v>
      </c>
      <c r="AB2548" s="5">
        <f t="shared" si="247"/>
        <v>0</v>
      </c>
      <c r="AC2548" s="5"/>
      <c r="AD2548" s="5">
        <v>0</v>
      </c>
      <c r="AE2548" s="5">
        <f t="shared" si="248"/>
        <v>0</v>
      </c>
      <c r="AF2548" s="70">
        <v>0</v>
      </c>
      <c r="AG2548" s="17"/>
      <c r="AH2548" s="18"/>
      <c r="AI2548" s="47" t="s">
        <v>4346</v>
      </c>
      <c r="AJ2548" s="73" t="s">
        <v>4347</v>
      </c>
      <c r="AK2548" s="45"/>
      <c r="AL2548" s="17"/>
      <c r="AM2548" s="195" t="s">
        <v>4948</v>
      </c>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c r="BV2548" s="19"/>
      <c r="BW2548" s="19"/>
      <c r="BX2548" s="19"/>
      <c r="BY2548" s="19"/>
      <c r="BZ2548" s="19"/>
      <c r="CA2548" s="19"/>
      <c r="CB2548" s="19"/>
      <c r="CC2548" s="19"/>
      <c r="CD2548" s="139"/>
      <c r="CE2548" s="138"/>
      <c r="CF2548" s="139"/>
      <c r="CG2548" s="138"/>
      <c r="CH2548" s="139"/>
      <c r="CI2548" s="138"/>
      <c r="CJ2548" s="72"/>
      <c r="CK2548" s="139"/>
      <c r="CL2548" s="71"/>
      <c r="CM2548" s="139"/>
      <c r="CN2548" s="138"/>
      <c r="CO2548" s="138"/>
      <c r="CP2548" s="138"/>
      <c r="CQ2548" s="139"/>
      <c r="CR2548" s="138"/>
      <c r="CS2548" s="45"/>
      <c r="CT2548" s="138"/>
      <c r="CU2548" s="45"/>
      <c r="CV2548" s="99">
        <f t="shared" si="249"/>
        <v>0</v>
      </c>
      <c r="CW2548" s="139"/>
      <c r="CX2548" s="138"/>
      <c r="CY2548" s="138"/>
      <c r="CZ2548" s="138"/>
      <c r="DA2548" s="139"/>
      <c r="DB2548" s="138"/>
      <c r="DC2548" s="45"/>
      <c r="DD2548" s="138"/>
      <c r="DE2548" s="45"/>
      <c r="DF2548" s="46"/>
    </row>
    <row r="2549" spans="1:110" s="42" customFormat="1" ht="96" x14ac:dyDescent="0.2">
      <c r="A2549" s="89">
        <v>40859</v>
      </c>
      <c r="B2549" s="196" t="s">
        <v>4326</v>
      </c>
      <c r="C2549" s="197" t="s">
        <v>2424</v>
      </c>
      <c r="D2549" s="90" t="s">
        <v>4264</v>
      </c>
      <c r="E2549" s="90" t="str">
        <f>VLOOKUP(B2549&amp;C2549,Divipola!$C$2:$F$1138,4,FALSE)</f>
        <v>08372</v>
      </c>
      <c r="F2549" s="4"/>
      <c r="G2549" s="194"/>
      <c r="H2549" s="194"/>
      <c r="I2549" s="194"/>
      <c r="J2549" s="194">
        <v>1000</v>
      </c>
      <c r="K2549" s="194">
        <v>200</v>
      </c>
      <c r="L2549" s="194">
        <v>16</v>
      </c>
      <c r="M2549" s="194">
        <v>184</v>
      </c>
      <c r="N2549" s="194"/>
      <c r="O2549" s="194">
        <v>1</v>
      </c>
      <c r="P2549" s="194"/>
      <c r="Q2549" s="194"/>
      <c r="R2549" s="194"/>
      <c r="S2549" s="194"/>
      <c r="T2549" s="194"/>
      <c r="U2549" s="194"/>
      <c r="V2549" s="194"/>
      <c r="W2549" s="19"/>
      <c r="X2549" s="17"/>
      <c r="Y2549" s="5">
        <f t="shared" si="244"/>
        <v>0</v>
      </c>
      <c r="Z2549" s="5">
        <f t="shared" si="245"/>
        <v>0</v>
      </c>
      <c r="AA2549" s="5">
        <f t="shared" si="246"/>
        <v>0</v>
      </c>
      <c r="AB2549" s="5">
        <f t="shared" si="247"/>
        <v>0</v>
      </c>
      <c r="AC2549" s="5"/>
      <c r="AD2549" s="5">
        <v>0</v>
      </c>
      <c r="AE2549" s="5">
        <f t="shared" si="248"/>
        <v>0</v>
      </c>
      <c r="AF2549" s="70">
        <v>0</v>
      </c>
      <c r="AG2549" s="17"/>
      <c r="AH2549" s="18"/>
      <c r="AI2549" s="47" t="s">
        <v>4346</v>
      </c>
      <c r="AJ2549" s="73" t="s">
        <v>4347</v>
      </c>
      <c r="AK2549" s="45"/>
      <c r="AL2549" s="89" t="s">
        <v>2798</v>
      </c>
      <c r="AM2549" s="121" t="s">
        <v>4969</v>
      </c>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39"/>
      <c r="CE2549" s="138"/>
      <c r="CF2549" s="139"/>
      <c r="CG2549" s="138"/>
      <c r="CH2549" s="139"/>
      <c r="CI2549" s="138"/>
      <c r="CJ2549" s="72"/>
      <c r="CK2549" s="139"/>
      <c r="CL2549" s="71"/>
      <c r="CM2549" s="139"/>
      <c r="CN2549" s="138"/>
      <c r="CO2549" s="138"/>
      <c r="CP2549" s="138"/>
      <c r="CQ2549" s="139"/>
      <c r="CR2549" s="138"/>
      <c r="CS2549" s="45"/>
      <c r="CT2549" s="138"/>
      <c r="CU2549" s="45"/>
      <c r="CV2549" s="99">
        <f t="shared" si="249"/>
        <v>0</v>
      </c>
      <c r="CW2549" s="139"/>
      <c r="CX2549" s="138"/>
      <c r="CY2549" s="138"/>
      <c r="CZ2549" s="138"/>
      <c r="DA2549" s="139"/>
      <c r="DB2549" s="138"/>
      <c r="DC2549" s="45"/>
      <c r="DD2549" s="138"/>
      <c r="DE2549" s="45"/>
      <c r="DF2549" s="46"/>
    </row>
    <row r="2550" spans="1:110" s="42" customFormat="1" x14ac:dyDescent="0.2">
      <c r="A2550" s="89">
        <v>40859</v>
      </c>
      <c r="B2550" s="153" t="s">
        <v>4326</v>
      </c>
      <c r="C2550" s="4" t="s">
        <v>4345</v>
      </c>
      <c r="D2550" s="90" t="s">
        <v>4264</v>
      </c>
      <c r="E2550" s="90">
        <f>VLOOKUP(B2550&amp;C2550,Divipola!$C$2:$F$1138,4,FALSE)</f>
        <v>8</v>
      </c>
      <c r="F2550" s="4"/>
      <c r="G2550" s="208"/>
      <c r="H2550" s="208"/>
      <c r="I2550" s="208"/>
      <c r="J2550" s="208"/>
      <c r="K2550" s="208"/>
      <c r="L2550" s="208"/>
      <c r="M2550" s="208"/>
      <c r="N2550" s="208"/>
      <c r="O2550" s="208"/>
      <c r="P2550" s="208"/>
      <c r="Q2550" s="208"/>
      <c r="R2550" s="208"/>
      <c r="S2550" s="208"/>
      <c r="T2550" s="208"/>
      <c r="U2550" s="208"/>
      <c r="V2550" s="208"/>
      <c r="W2550" s="19"/>
      <c r="X2550" s="17"/>
      <c r="Y2550" s="5">
        <f t="shared" si="244"/>
        <v>0</v>
      </c>
      <c r="Z2550" s="5">
        <f t="shared" si="245"/>
        <v>0</v>
      </c>
      <c r="AA2550" s="5">
        <f t="shared" si="246"/>
        <v>0</v>
      </c>
      <c r="AB2550" s="5">
        <f t="shared" si="247"/>
        <v>189776000</v>
      </c>
      <c r="AC2550" s="5"/>
      <c r="AD2550" s="5">
        <v>0</v>
      </c>
      <c r="AE2550" s="5">
        <f t="shared" si="248"/>
        <v>189776000</v>
      </c>
      <c r="AF2550" s="70">
        <v>0</v>
      </c>
      <c r="AG2550" s="17"/>
      <c r="AH2550" s="18"/>
      <c r="AI2550" s="47" t="s">
        <v>4346</v>
      </c>
      <c r="AJ2550" s="73" t="s">
        <v>4347</v>
      </c>
      <c r="AK2550" s="45"/>
      <c r="AL2550" s="17"/>
      <c r="AM2550" s="20"/>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39"/>
      <c r="CE2550" s="138"/>
      <c r="CF2550" s="139"/>
      <c r="CG2550" s="138"/>
      <c r="CH2550" s="139"/>
      <c r="CI2550" s="138"/>
      <c r="CJ2550" s="72"/>
      <c r="CK2550" s="139"/>
      <c r="CL2550" s="71"/>
      <c r="CM2550" s="139"/>
      <c r="CN2550" s="138"/>
      <c r="CO2550" s="138"/>
      <c r="CP2550" s="138"/>
      <c r="CQ2550" s="139"/>
      <c r="CR2550" s="138"/>
      <c r="CS2550" s="45"/>
      <c r="CT2550" s="138"/>
      <c r="CU2550" s="45"/>
      <c r="CV2550" s="99">
        <f t="shared" si="249"/>
        <v>0</v>
      </c>
      <c r="CW2550" s="139">
        <v>200000</v>
      </c>
      <c r="CX2550" s="138">
        <f>100000*948.88+100000*948.88</f>
        <v>189776000</v>
      </c>
      <c r="CY2550" s="138"/>
      <c r="CZ2550" s="138"/>
      <c r="DA2550" s="139"/>
      <c r="DB2550" s="138"/>
      <c r="DC2550" s="45"/>
      <c r="DD2550" s="138"/>
      <c r="DE2550" s="45"/>
      <c r="DF2550" s="46"/>
    </row>
    <row r="2551" spans="1:110" s="42" customFormat="1" ht="48" x14ac:dyDescent="0.2">
      <c r="A2551" s="89">
        <v>40859</v>
      </c>
      <c r="B2551" s="196" t="s">
        <v>3533</v>
      </c>
      <c r="C2551" s="197" t="s">
        <v>1418</v>
      </c>
      <c r="D2551" s="90" t="s">
        <v>4264</v>
      </c>
      <c r="E2551" s="90" t="str">
        <f>VLOOKUP(B2551&amp;C2551,Divipola!$C$2:$F$1138,4,FALSE)</f>
        <v>17777</v>
      </c>
      <c r="F2551" s="4"/>
      <c r="G2551" s="194"/>
      <c r="H2551" s="194"/>
      <c r="I2551" s="194"/>
      <c r="J2551" s="194">
        <v>30</v>
      </c>
      <c r="K2551" s="194">
        <v>5</v>
      </c>
      <c r="L2551" s="194"/>
      <c r="M2551" s="194">
        <v>5</v>
      </c>
      <c r="N2551" s="194"/>
      <c r="O2551" s="194"/>
      <c r="P2551" s="194"/>
      <c r="Q2551" s="194"/>
      <c r="R2551" s="194"/>
      <c r="S2551" s="194"/>
      <c r="T2551" s="194"/>
      <c r="U2551" s="194"/>
      <c r="V2551" s="194"/>
      <c r="W2551" s="19"/>
      <c r="X2551" s="17"/>
      <c r="Y2551" s="5">
        <f t="shared" si="244"/>
        <v>0</v>
      </c>
      <c r="Z2551" s="5">
        <f t="shared" si="245"/>
        <v>0</v>
      </c>
      <c r="AA2551" s="5">
        <f t="shared" si="246"/>
        <v>0</v>
      </c>
      <c r="AB2551" s="5">
        <f t="shared" si="247"/>
        <v>0</v>
      </c>
      <c r="AC2551" s="5"/>
      <c r="AD2551" s="5">
        <v>0</v>
      </c>
      <c r="AE2551" s="5">
        <f t="shared" si="248"/>
        <v>0</v>
      </c>
      <c r="AF2551" s="70">
        <v>0</v>
      </c>
      <c r="AG2551" s="17"/>
      <c r="AH2551" s="18"/>
      <c r="AI2551" s="47" t="s">
        <v>4336</v>
      </c>
      <c r="AJ2551" s="73" t="s">
        <v>4337</v>
      </c>
      <c r="AK2551" s="45"/>
      <c r="AL2551" s="17"/>
      <c r="AM2551" s="195" t="s">
        <v>4957</v>
      </c>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39"/>
      <c r="CE2551" s="138"/>
      <c r="CF2551" s="139"/>
      <c r="CG2551" s="138"/>
      <c r="CH2551" s="139"/>
      <c r="CI2551" s="138"/>
      <c r="CJ2551" s="72"/>
      <c r="CK2551" s="139"/>
      <c r="CL2551" s="71"/>
      <c r="CM2551" s="139"/>
      <c r="CN2551" s="138"/>
      <c r="CO2551" s="138"/>
      <c r="CP2551" s="138"/>
      <c r="CQ2551" s="139"/>
      <c r="CR2551" s="138"/>
      <c r="CS2551" s="45"/>
      <c r="CT2551" s="138"/>
      <c r="CU2551" s="45"/>
      <c r="CV2551" s="99">
        <f t="shared" si="249"/>
        <v>0</v>
      </c>
      <c r="CW2551" s="139"/>
      <c r="CX2551" s="138"/>
      <c r="CY2551" s="138"/>
      <c r="CZ2551" s="138"/>
      <c r="DA2551" s="139"/>
      <c r="DB2551" s="138"/>
      <c r="DC2551" s="45"/>
      <c r="DD2551" s="138"/>
      <c r="DE2551" s="45"/>
      <c r="DF2551" s="46"/>
    </row>
    <row r="2552" spans="1:110" s="42" customFormat="1" ht="84" x14ac:dyDescent="0.2">
      <c r="A2552" s="89">
        <v>40859</v>
      </c>
      <c r="B2552" s="196" t="s">
        <v>4296</v>
      </c>
      <c r="C2552" s="197" t="s">
        <v>4297</v>
      </c>
      <c r="D2552" s="90" t="s">
        <v>2362</v>
      </c>
      <c r="E2552" s="90" t="str">
        <f>VLOOKUP(B2552&amp;C2552,Divipola!$C$2:$F$1138,4,FALSE)</f>
        <v>19001</v>
      </c>
      <c r="F2552" s="4"/>
      <c r="G2552" s="194"/>
      <c r="H2552" s="194"/>
      <c r="I2552" s="194"/>
      <c r="J2552" s="194">
        <v>32</v>
      </c>
      <c r="K2552" s="194">
        <v>9</v>
      </c>
      <c r="L2552" s="194"/>
      <c r="M2552" s="194">
        <v>9</v>
      </c>
      <c r="N2552" s="194"/>
      <c r="O2552" s="194"/>
      <c r="P2552" s="194"/>
      <c r="Q2552" s="194"/>
      <c r="R2552" s="194"/>
      <c r="S2552" s="194"/>
      <c r="T2552" s="194"/>
      <c r="U2552" s="194"/>
      <c r="V2552" s="194"/>
      <c r="W2552" s="19"/>
      <c r="X2552" s="17"/>
      <c r="Y2552" s="5">
        <f t="shared" si="244"/>
        <v>0</v>
      </c>
      <c r="Z2552" s="5">
        <f t="shared" si="245"/>
        <v>0</v>
      </c>
      <c r="AA2552" s="5">
        <f t="shared" si="246"/>
        <v>0</v>
      </c>
      <c r="AB2552" s="5">
        <f t="shared" si="247"/>
        <v>0</v>
      </c>
      <c r="AC2552" s="5"/>
      <c r="AD2552" s="5">
        <v>0</v>
      </c>
      <c r="AE2552" s="5">
        <f t="shared" si="248"/>
        <v>0</v>
      </c>
      <c r="AF2552" s="70">
        <v>0</v>
      </c>
      <c r="AG2552" s="17"/>
      <c r="AH2552" s="18"/>
      <c r="AI2552" s="47" t="s">
        <v>4336</v>
      </c>
      <c r="AJ2552" s="73" t="s">
        <v>4337</v>
      </c>
      <c r="AK2552" s="45"/>
      <c r="AL2552" s="17"/>
      <c r="AM2552" s="195" t="s">
        <v>4942</v>
      </c>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39"/>
      <c r="CE2552" s="138"/>
      <c r="CF2552" s="139"/>
      <c r="CG2552" s="138"/>
      <c r="CH2552" s="139"/>
      <c r="CI2552" s="138"/>
      <c r="CJ2552" s="72"/>
      <c r="CK2552" s="139"/>
      <c r="CL2552" s="71"/>
      <c r="CM2552" s="139"/>
      <c r="CN2552" s="138"/>
      <c r="CO2552" s="138"/>
      <c r="CP2552" s="138"/>
      <c r="CQ2552" s="139"/>
      <c r="CR2552" s="138"/>
      <c r="CS2552" s="45"/>
      <c r="CT2552" s="138"/>
      <c r="CU2552" s="45"/>
      <c r="CV2552" s="99">
        <f t="shared" si="249"/>
        <v>0</v>
      </c>
      <c r="CW2552" s="139"/>
      <c r="CX2552" s="138"/>
      <c r="CY2552" s="138"/>
      <c r="CZ2552" s="138"/>
      <c r="DA2552" s="139"/>
      <c r="DB2552" s="138"/>
      <c r="DC2552" s="45"/>
      <c r="DD2552" s="138"/>
      <c r="DE2552" s="45"/>
      <c r="DF2552" s="46"/>
    </row>
    <row r="2553" spans="1:110" s="42" customFormat="1" ht="72" x14ac:dyDescent="0.2">
      <c r="A2553" s="89">
        <v>40859</v>
      </c>
      <c r="B2553" s="196" t="s">
        <v>4296</v>
      </c>
      <c r="C2553" s="197" t="s">
        <v>868</v>
      </c>
      <c r="D2553" s="90" t="s">
        <v>2362</v>
      </c>
      <c r="E2553" s="90" t="str">
        <f>VLOOKUP(B2553&amp;C2553,Divipola!$C$2:$F$1138,4,FALSE)</f>
        <v>19821</v>
      </c>
      <c r="F2553" s="4"/>
      <c r="G2553" s="194"/>
      <c r="H2553" s="194"/>
      <c r="I2553" s="194"/>
      <c r="J2553" s="194">
        <v>30</v>
      </c>
      <c r="K2553" s="194">
        <v>6</v>
      </c>
      <c r="L2553" s="194">
        <v>6</v>
      </c>
      <c r="M2553" s="194"/>
      <c r="N2553" s="194"/>
      <c r="O2553" s="194"/>
      <c r="P2553" s="194"/>
      <c r="Q2553" s="194"/>
      <c r="R2553" s="194"/>
      <c r="S2553" s="194"/>
      <c r="T2553" s="194"/>
      <c r="U2553" s="194"/>
      <c r="V2553" s="194"/>
      <c r="W2553" s="19"/>
      <c r="X2553" s="17"/>
      <c r="Y2553" s="5">
        <f t="shared" si="244"/>
        <v>0</v>
      </c>
      <c r="Z2553" s="5">
        <f t="shared" si="245"/>
        <v>0</v>
      </c>
      <c r="AA2553" s="5">
        <f t="shared" si="246"/>
        <v>0</v>
      </c>
      <c r="AB2553" s="5">
        <f t="shared" si="247"/>
        <v>0</v>
      </c>
      <c r="AC2553" s="5"/>
      <c r="AD2553" s="5">
        <v>0</v>
      </c>
      <c r="AE2553" s="5">
        <f t="shared" si="248"/>
        <v>0</v>
      </c>
      <c r="AF2553" s="70">
        <v>0</v>
      </c>
      <c r="AG2553" s="17"/>
      <c r="AH2553" s="18"/>
      <c r="AI2553" s="47" t="s">
        <v>4336</v>
      </c>
      <c r="AJ2553" s="73" t="s">
        <v>4337</v>
      </c>
      <c r="AK2553" s="45"/>
      <c r="AL2553" s="17"/>
      <c r="AM2553" s="195" t="s">
        <v>4943</v>
      </c>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39"/>
      <c r="CE2553" s="138"/>
      <c r="CF2553" s="139"/>
      <c r="CG2553" s="138"/>
      <c r="CH2553" s="139"/>
      <c r="CI2553" s="138"/>
      <c r="CJ2553" s="72"/>
      <c r="CK2553" s="139"/>
      <c r="CL2553" s="71"/>
      <c r="CM2553" s="139"/>
      <c r="CN2553" s="138"/>
      <c r="CO2553" s="138"/>
      <c r="CP2553" s="138"/>
      <c r="CQ2553" s="139"/>
      <c r="CR2553" s="138"/>
      <c r="CS2553" s="45"/>
      <c r="CT2553" s="138"/>
      <c r="CU2553" s="45"/>
      <c r="CV2553" s="99">
        <f t="shared" si="249"/>
        <v>0</v>
      </c>
      <c r="CW2553" s="139"/>
      <c r="CX2553" s="138"/>
      <c r="CY2553" s="138"/>
      <c r="CZ2553" s="138"/>
      <c r="DA2553" s="139"/>
      <c r="DB2553" s="138"/>
      <c r="DC2553" s="45"/>
      <c r="DD2553" s="138"/>
      <c r="DE2553" s="45"/>
      <c r="DF2553" s="46"/>
    </row>
    <row r="2554" spans="1:110" s="42" customFormat="1" ht="120" x14ac:dyDescent="0.2">
      <c r="A2554" s="89">
        <v>40859</v>
      </c>
      <c r="B2554" s="151" t="s">
        <v>4296</v>
      </c>
      <c r="C2554" s="90" t="s">
        <v>4297</v>
      </c>
      <c r="D2554" s="90" t="s">
        <v>2362</v>
      </c>
      <c r="E2554" s="90" t="str">
        <f>VLOOKUP(B2554&amp;C2554,Divipola!$C$2:$F$1138,4,FALSE)</f>
        <v>19001</v>
      </c>
      <c r="F2554" s="4"/>
      <c r="G2554" s="101"/>
      <c r="H2554" s="101"/>
      <c r="I2554" s="101"/>
      <c r="J2554" s="101">
        <v>70</v>
      </c>
      <c r="K2554" s="101">
        <v>14</v>
      </c>
      <c r="L2554" s="101"/>
      <c r="M2554" s="101">
        <v>14</v>
      </c>
      <c r="N2554" s="101"/>
      <c r="O2554" s="101"/>
      <c r="P2554" s="101"/>
      <c r="Q2554" s="101"/>
      <c r="R2554" s="101"/>
      <c r="S2554" s="101"/>
      <c r="T2554" s="101"/>
      <c r="U2554" s="101"/>
      <c r="V2554" s="101"/>
      <c r="W2554" s="19"/>
      <c r="X2554" s="17"/>
      <c r="Y2554" s="5">
        <f t="shared" si="244"/>
        <v>0</v>
      </c>
      <c r="Z2554" s="5">
        <f t="shared" si="245"/>
        <v>0</v>
      </c>
      <c r="AA2554" s="5">
        <f t="shared" si="246"/>
        <v>0</v>
      </c>
      <c r="AB2554" s="5">
        <f t="shared" si="247"/>
        <v>0</v>
      </c>
      <c r="AC2554" s="5"/>
      <c r="AD2554" s="5">
        <v>0</v>
      </c>
      <c r="AE2554" s="5">
        <f t="shared" si="248"/>
        <v>0</v>
      </c>
      <c r="AF2554" s="70">
        <v>0</v>
      </c>
      <c r="AG2554" s="17"/>
      <c r="AH2554" s="18"/>
      <c r="AI2554" s="47" t="s">
        <v>4336</v>
      </c>
      <c r="AJ2554" s="73" t="s">
        <v>4337</v>
      </c>
      <c r="AK2554" s="45"/>
      <c r="AL2554" s="17"/>
      <c r="AM2554" s="121" t="s">
        <v>4967</v>
      </c>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39"/>
      <c r="CE2554" s="138"/>
      <c r="CF2554" s="139"/>
      <c r="CG2554" s="138"/>
      <c r="CH2554" s="139"/>
      <c r="CI2554" s="138"/>
      <c r="CJ2554" s="72"/>
      <c r="CK2554" s="139"/>
      <c r="CL2554" s="71"/>
      <c r="CM2554" s="139"/>
      <c r="CN2554" s="138"/>
      <c r="CO2554" s="138"/>
      <c r="CP2554" s="138"/>
      <c r="CQ2554" s="139"/>
      <c r="CR2554" s="138"/>
      <c r="CS2554" s="45"/>
      <c r="CT2554" s="138"/>
      <c r="CU2554" s="45"/>
      <c r="CV2554" s="99">
        <f t="shared" si="249"/>
        <v>0</v>
      </c>
      <c r="CW2554" s="139"/>
      <c r="CX2554" s="138"/>
      <c r="CY2554" s="138"/>
      <c r="CZ2554" s="138"/>
      <c r="DA2554" s="139"/>
      <c r="DB2554" s="138"/>
      <c r="DC2554" s="45"/>
      <c r="DD2554" s="138"/>
      <c r="DE2554" s="45"/>
      <c r="DF2554" s="46"/>
    </row>
    <row r="2555" spans="1:110" s="42" customFormat="1" ht="276" x14ac:dyDescent="0.2">
      <c r="A2555" s="89">
        <v>40859</v>
      </c>
      <c r="B2555" s="196" t="s">
        <v>2225</v>
      </c>
      <c r="C2555" s="197" t="s">
        <v>1859</v>
      </c>
      <c r="D2555" s="90" t="s">
        <v>4264</v>
      </c>
      <c r="E2555" s="90" t="str">
        <f>VLOOKUP(B2555&amp;C2555,Divipola!$C$2:$F$1138,4,FALSE)</f>
        <v>27075</v>
      </c>
      <c r="F2555" s="4"/>
      <c r="G2555" s="194"/>
      <c r="H2555" s="194"/>
      <c r="I2555" s="194"/>
      <c r="J2555" s="194">
        <v>4089</v>
      </c>
      <c r="K2555" s="194">
        <v>852</v>
      </c>
      <c r="L2555" s="194">
        <v>36</v>
      </c>
      <c r="M2555" s="194">
        <v>444</v>
      </c>
      <c r="N2555" s="194">
        <v>2</v>
      </c>
      <c r="O2555" s="194">
        <v>2</v>
      </c>
      <c r="P2555" s="194">
        <v>2</v>
      </c>
      <c r="Q2555" s="194">
        <v>1</v>
      </c>
      <c r="R2555" s="194"/>
      <c r="S2555" s="194"/>
      <c r="T2555" s="194">
        <v>1</v>
      </c>
      <c r="U2555" s="194"/>
      <c r="V2555" s="194"/>
      <c r="W2555" s="19"/>
      <c r="X2555" s="17"/>
      <c r="Y2555" s="5">
        <f t="shared" si="244"/>
        <v>44769272</v>
      </c>
      <c r="Z2555" s="5">
        <f t="shared" si="245"/>
        <v>68000000</v>
      </c>
      <c r="AA2555" s="5">
        <f t="shared" si="246"/>
        <v>0</v>
      </c>
      <c r="AB2555" s="5">
        <f t="shared" si="247"/>
        <v>0</v>
      </c>
      <c r="AC2555" s="5"/>
      <c r="AD2555" s="5">
        <v>150000000</v>
      </c>
      <c r="AE2555" s="5">
        <f t="shared" si="248"/>
        <v>262769272</v>
      </c>
      <c r="AF2555" s="70">
        <v>0</v>
      </c>
      <c r="AG2555" s="17"/>
      <c r="AH2555" s="18"/>
      <c r="AI2555" s="47" t="s">
        <v>4346</v>
      </c>
      <c r="AJ2555" s="73" t="s">
        <v>4347</v>
      </c>
      <c r="AK2555" s="45"/>
      <c r="AL2555" s="17"/>
      <c r="AM2555" s="195" t="s">
        <v>5127</v>
      </c>
      <c r="AN2555" s="19"/>
      <c r="AO2555" s="19"/>
      <c r="AP2555" s="19"/>
      <c r="AQ2555" s="19"/>
      <c r="AR2555" s="19"/>
      <c r="AS2555" s="19"/>
      <c r="AT2555" s="19"/>
      <c r="AU2555" s="19"/>
      <c r="AV2555" s="19"/>
      <c r="AW2555" s="19"/>
      <c r="AX2555" s="19"/>
      <c r="AY2555" s="19"/>
      <c r="AZ2555" s="19">
        <v>200</v>
      </c>
      <c r="BA2555" s="19">
        <f>200*55999</f>
        <v>11199800</v>
      </c>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9"/>
      <c r="BW2555" s="19"/>
      <c r="BX2555" s="19"/>
      <c r="BY2555" s="19"/>
      <c r="BZ2555" s="19"/>
      <c r="CA2555" s="19"/>
      <c r="CB2555" s="19"/>
      <c r="CC2555" s="19"/>
      <c r="CD2555" s="139"/>
      <c r="CE2555" s="138"/>
      <c r="CF2555" s="139"/>
      <c r="CG2555" s="138"/>
      <c r="CH2555" s="139"/>
      <c r="CI2555" s="138"/>
      <c r="CJ2555" s="72"/>
      <c r="CK2555" s="139"/>
      <c r="CL2555" s="71"/>
      <c r="CM2555" s="139"/>
      <c r="CN2555" s="138"/>
      <c r="CO2555" s="138"/>
      <c r="CP2555" s="138">
        <v>800</v>
      </c>
      <c r="CQ2555" s="139">
        <f>800*36999.36</f>
        <v>29599488</v>
      </c>
      <c r="CR2555" s="138">
        <v>100</v>
      </c>
      <c r="CS2555" s="45">
        <f>100*39699.84</f>
        <v>3969983.9999999995</v>
      </c>
      <c r="CT2555" s="138"/>
      <c r="CU2555" s="45"/>
      <c r="CV2555" s="99">
        <f t="shared" si="249"/>
        <v>44769272</v>
      </c>
      <c r="CW2555" s="139"/>
      <c r="CX2555" s="138"/>
      <c r="CY2555" s="138">
        <v>800</v>
      </c>
      <c r="CZ2555" s="138">
        <f>800*85000</f>
        <v>68000000</v>
      </c>
      <c r="DA2555" s="139"/>
      <c r="DB2555" s="138"/>
      <c r="DC2555" s="45"/>
      <c r="DD2555" s="138"/>
      <c r="DE2555" s="45"/>
      <c r="DF2555" s="46"/>
    </row>
    <row r="2556" spans="1:110" s="42" customFormat="1" ht="144" x14ac:dyDescent="0.2">
      <c r="A2556" s="89">
        <v>40859</v>
      </c>
      <c r="B2556" s="151" t="s">
        <v>2225</v>
      </c>
      <c r="C2556" s="90" t="s">
        <v>1876</v>
      </c>
      <c r="D2556" s="90" t="s">
        <v>4264</v>
      </c>
      <c r="E2556" s="90" t="str">
        <f>VLOOKUP(B2556&amp;C2556,Divipola!$C$2:$F$1138,4,FALSE)</f>
        <v>27250</v>
      </c>
      <c r="F2556" s="4"/>
      <c r="G2556" s="101"/>
      <c r="H2556" s="101"/>
      <c r="I2556" s="101"/>
      <c r="J2556" s="101">
        <v>12195</v>
      </c>
      <c r="K2556" s="101">
        <v>2651</v>
      </c>
      <c r="L2556" s="101">
        <v>4</v>
      </c>
      <c r="M2556" s="101">
        <v>555</v>
      </c>
      <c r="N2556" s="101"/>
      <c r="O2556" s="101"/>
      <c r="P2556" s="101"/>
      <c r="Q2556" s="101">
        <v>1</v>
      </c>
      <c r="R2556" s="101"/>
      <c r="S2556" s="101"/>
      <c r="T2556" s="101"/>
      <c r="U2556" s="101"/>
      <c r="V2556" s="101"/>
      <c r="W2556" s="19"/>
      <c r="X2556" s="17"/>
      <c r="Y2556" s="5">
        <f t="shared" si="244"/>
        <v>0</v>
      </c>
      <c r="Z2556" s="5">
        <f t="shared" si="245"/>
        <v>202670000</v>
      </c>
      <c r="AA2556" s="5">
        <f t="shared" si="246"/>
        <v>0</v>
      </c>
      <c r="AB2556" s="5">
        <f t="shared" si="247"/>
        <v>0</v>
      </c>
      <c r="AC2556" s="159">
        <f>60*32000+30*51000+60*27000+120*5200</f>
        <v>5694000</v>
      </c>
      <c r="AD2556" s="5">
        <v>45000000</v>
      </c>
      <c r="AE2556" s="5">
        <f t="shared" si="248"/>
        <v>253364000</v>
      </c>
      <c r="AF2556" s="70">
        <v>0</v>
      </c>
      <c r="AG2556" s="17"/>
      <c r="AH2556" s="18"/>
      <c r="AI2556" s="47" t="s">
        <v>4346</v>
      </c>
      <c r="AJ2556" s="73" t="s">
        <v>4347</v>
      </c>
      <c r="AK2556" s="45"/>
      <c r="AL2556" s="17"/>
      <c r="AM2556" s="121" t="s">
        <v>5186</v>
      </c>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39"/>
      <c r="CE2556" s="138"/>
      <c r="CF2556" s="139"/>
      <c r="CG2556" s="138"/>
      <c r="CH2556" s="139"/>
      <c r="CI2556" s="138"/>
      <c r="CJ2556" s="72"/>
      <c r="CK2556" s="139"/>
      <c r="CL2556" s="71"/>
      <c r="CM2556" s="139"/>
      <c r="CN2556" s="138"/>
      <c r="CO2556" s="138"/>
      <c r="CP2556" s="138"/>
      <c r="CQ2556" s="139"/>
      <c r="CR2556" s="138"/>
      <c r="CS2556" s="45"/>
      <c r="CT2556" s="138"/>
      <c r="CU2556" s="45"/>
      <c r="CV2556" s="99">
        <f t="shared" si="249"/>
        <v>0</v>
      </c>
      <c r="CW2556" s="139"/>
      <c r="CX2556" s="138"/>
      <c r="CY2556" s="138">
        <f>1460+890</f>
        <v>2350</v>
      </c>
      <c r="CZ2556" s="138">
        <f>1460*87000+890*85000</f>
        <v>202670000</v>
      </c>
      <c r="DA2556" s="139"/>
      <c r="DB2556" s="138"/>
      <c r="DC2556" s="45"/>
      <c r="DD2556" s="138"/>
      <c r="DE2556" s="45"/>
      <c r="DF2556" s="46"/>
    </row>
    <row r="2557" spans="1:110" s="42" customFormat="1" ht="60" x14ac:dyDescent="0.2">
      <c r="A2557" s="89">
        <v>40859</v>
      </c>
      <c r="B2557" s="151" t="s">
        <v>4344</v>
      </c>
      <c r="C2557" s="90" t="s">
        <v>3295</v>
      </c>
      <c r="D2557" s="90" t="s">
        <v>4264</v>
      </c>
      <c r="E2557" s="90" t="str">
        <f>VLOOKUP(B2557&amp;C2557,Divipola!$C$2:$F$1138,4,FALSE)</f>
        <v>25754</v>
      </c>
      <c r="F2557" s="4"/>
      <c r="G2557" s="101"/>
      <c r="H2557" s="101"/>
      <c r="I2557" s="101"/>
      <c r="J2557" s="101">
        <v>500</v>
      </c>
      <c r="K2557" s="101">
        <v>100</v>
      </c>
      <c r="L2557" s="101"/>
      <c r="M2557" s="101">
        <v>100</v>
      </c>
      <c r="N2557" s="101"/>
      <c r="O2557" s="101"/>
      <c r="P2557" s="101"/>
      <c r="Q2557" s="101"/>
      <c r="R2557" s="101"/>
      <c r="S2557" s="101"/>
      <c r="T2557" s="101"/>
      <c r="U2557" s="101"/>
      <c r="V2557" s="101"/>
      <c r="W2557" s="19"/>
      <c r="X2557" s="17"/>
      <c r="Y2557" s="5">
        <f t="shared" si="244"/>
        <v>0</v>
      </c>
      <c r="Z2557" s="5">
        <f t="shared" si="245"/>
        <v>0</v>
      </c>
      <c r="AA2557" s="5">
        <f t="shared" si="246"/>
        <v>0</v>
      </c>
      <c r="AB2557" s="5">
        <f t="shared" si="247"/>
        <v>0</v>
      </c>
      <c r="AC2557" s="5"/>
      <c r="AD2557" s="5">
        <v>0</v>
      </c>
      <c r="AE2557" s="5">
        <f t="shared" si="248"/>
        <v>0</v>
      </c>
      <c r="AF2557" s="70">
        <v>0</v>
      </c>
      <c r="AG2557" s="17"/>
      <c r="AH2557" s="18"/>
      <c r="AI2557" s="47" t="s">
        <v>4336</v>
      </c>
      <c r="AJ2557" s="73" t="s">
        <v>4337</v>
      </c>
      <c r="AK2557" s="45"/>
      <c r="AL2557" s="17"/>
      <c r="AM2557" s="121" t="s">
        <v>4985</v>
      </c>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9"/>
      <c r="BW2557" s="19"/>
      <c r="BX2557" s="19"/>
      <c r="BY2557" s="19"/>
      <c r="BZ2557" s="19"/>
      <c r="CA2557" s="19"/>
      <c r="CB2557" s="19"/>
      <c r="CC2557" s="19"/>
      <c r="CD2557" s="139"/>
      <c r="CE2557" s="138"/>
      <c r="CF2557" s="139"/>
      <c r="CG2557" s="138"/>
      <c r="CH2557" s="139"/>
      <c r="CI2557" s="138"/>
      <c r="CJ2557" s="72"/>
      <c r="CK2557" s="139"/>
      <c r="CL2557" s="71"/>
      <c r="CM2557" s="139"/>
      <c r="CN2557" s="138"/>
      <c r="CO2557" s="138"/>
      <c r="CP2557" s="138"/>
      <c r="CQ2557" s="139"/>
      <c r="CR2557" s="138"/>
      <c r="CS2557" s="45"/>
      <c r="CT2557" s="138"/>
      <c r="CU2557" s="45"/>
      <c r="CV2557" s="99">
        <f t="shared" si="249"/>
        <v>0</v>
      </c>
      <c r="CW2557" s="139"/>
      <c r="CX2557" s="138"/>
      <c r="CY2557" s="138"/>
      <c r="CZ2557" s="138"/>
      <c r="DA2557" s="139"/>
      <c r="DB2557" s="138"/>
      <c r="DC2557" s="45"/>
      <c r="DD2557" s="138"/>
      <c r="DE2557" s="45"/>
      <c r="DF2557" s="46"/>
    </row>
    <row r="2558" spans="1:110" s="42" customFormat="1" ht="72" x14ac:dyDescent="0.2">
      <c r="A2558" s="89">
        <v>40859</v>
      </c>
      <c r="B2558" s="151" t="s">
        <v>4344</v>
      </c>
      <c r="C2558" s="90" t="s">
        <v>1809</v>
      </c>
      <c r="D2558" s="90" t="s">
        <v>4264</v>
      </c>
      <c r="E2558" s="90" t="str">
        <f>VLOOKUP(B2558&amp;C2558,Divipola!$C$2:$F$1138,4,FALSE)</f>
        <v>25779</v>
      </c>
      <c r="F2558" s="4"/>
      <c r="G2558" s="101"/>
      <c r="H2558" s="101"/>
      <c r="I2558" s="101"/>
      <c r="J2558" s="101"/>
      <c r="K2558" s="101"/>
      <c r="L2558" s="101"/>
      <c r="M2558" s="101"/>
      <c r="N2558" s="101"/>
      <c r="O2558" s="101"/>
      <c r="P2558" s="101"/>
      <c r="Q2558" s="101"/>
      <c r="R2558" s="101"/>
      <c r="S2558" s="101"/>
      <c r="T2558" s="101"/>
      <c r="U2558" s="101"/>
      <c r="V2558" s="101"/>
      <c r="W2558" s="19"/>
      <c r="X2558" s="17"/>
      <c r="Y2558" s="5">
        <f t="shared" si="244"/>
        <v>0</v>
      </c>
      <c r="Z2558" s="5">
        <f t="shared" si="245"/>
        <v>0</v>
      </c>
      <c r="AA2558" s="5">
        <f t="shared" si="246"/>
        <v>0</v>
      </c>
      <c r="AB2558" s="5">
        <f t="shared" si="247"/>
        <v>0</v>
      </c>
      <c r="AC2558" s="5"/>
      <c r="AD2558" s="5">
        <v>0</v>
      </c>
      <c r="AE2558" s="5">
        <f t="shared" si="248"/>
        <v>0</v>
      </c>
      <c r="AF2558" s="70">
        <v>0</v>
      </c>
      <c r="AG2558" s="17"/>
      <c r="AH2558" s="18"/>
      <c r="AI2558" s="47" t="s">
        <v>4336</v>
      </c>
      <c r="AJ2558" s="73" t="s">
        <v>4337</v>
      </c>
      <c r="AK2558" s="45"/>
      <c r="AL2558" s="17"/>
      <c r="AM2558" s="121" t="s">
        <v>4987</v>
      </c>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39"/>
      <c r="CE2558" s="138"/>
      <c r="CF2558" s="139"/>
      <c r="CG2558" s="138"/>
      <c r="CH2558" s="139"/>
      <c r="CI2558" s="138"/>
      <c r="CJ2558" s="72"/>
      <c r="CK2558" s="139"/>
      <c r="CL2558" s="71"/>
      <c r="CM2558" s="139"/>
      <c r="CN2558" s="138"/>
      <c r="CO2558" s="138"/>
      <c r="CP2558" s="138"/>
      <c r="CQ2558" s="139"/>
      <c r="CR2558" s="138"/>
      <c r="CS2558" s="45"/>
      <c r="CT2558" s="138"/>
      <c r="CU2558" s="45"/>
      <c r="CV2558" s="99">
        <f t="shared" si="249"/>
        <v>0</v>
      </c>
      <c r="CW2558" s="139"/>
      <c r="CX2558" s="138"/>
      <c r="CY2558" s="138"/>
      <c r="CZ2558" s="138"/>
      <c r="DA2558" s="139"/>
      <c r="DB2558" s="138"/>
      <c r="DC2558" s="45"/>
      <c r="DD2558" s="138"/>
      <c r="DE2558" s="45"/>
      <c r="DF2558" s="46"/>
    </row>
    <row r="2559" spans="1:110" s="42" customFormat="1" ht="48" x14ac:dyDescent="0.2">
      <c r="A2559" s="89">
        <v>40859</v>
      </c>
      <c r="B2559" s="151" t="s">
        <v>4219</v>
      </c>
      <c r="C2559" s="90" t="s">
        <v>4521</v>
      </c>
      <c r="D2559" s="90" t="s">
        <v>2362</v>
      </c>
      <c r="E2559" s="90" t="str">
        <f>VLOOKUP(B2559&amp;C2559,Divipola!$C$2:$F$1138,4,FALSE)</f>
        <v>41132</v>
      </c>
      <c r="F2559" s="4"/>
      <c r="G2559" s="101"/>
      <c r="H2559" s="101"/>
      <c r="I2559" s="101"/>
      <c r="J2559" s="101"/>
      <c r="K2559" s="101"/>
      <c r="L2559" s="101"/>
      <c r="M2559" s="101"/>
      <c r="N2559" s="101">
        <v>1</v>
      </c>
      <c r="O2559" s="101"/>
      <c r="P2559" s="101"/>
      <c r="Q2559" s="101"/>
      <c r="R2559" s="101"/>
      <c r="S2559" s="101"/>
      <c r="T2559" s="101"/>
      <c r="U2559" s="101"/>
      <c r="V2559" s="101"/>
      <c r="W2559" s="19"/>
      <c r="X2559" s="17"/>
      <c r="Y2559" s="5">
        <f t="shared" si="244"/>
        <v>0</v>
      </c>
      <c r="Z2559" s="5">
        <f t="shared" si="245"/>
        <v>0</v>
      </c>
      <c r="AA2559" s="5">
        <f t="shared" si="246"/>
        <v>0</v>
      </c>
      <c r="AB2559" s="5">
        <f t="shared" si="247"/>
        <v>0</v>
      </c>
      <c r="AC2559" s="5"/>
      <c r="AD2559" s="5">
        <v>0</v>
      </c>
      <c r="AE2559" s="5">
        <f t="shared" si="248"/>
        <v>0</v>
      </c>
      <c r="AF2559" s="70">
        <v>0</v>
      </c>
      <c r="AG2559" s="17"/>
      <c r="AH2559" s="18"/>
      <c r="AI2559" s="47" t="s">
        <v>4346</v>
      </c>
      <c r="AJ2559" s="73" t="s">
        <v>4347</v>
      </c>
      <c r="AK2559" s="45"/>
      <c r="AL2559" s="89" t="s">
        <v>2798</v>
      </c>
      <c r="AM2559" s="121" t="s">
        <v>4988</v>
      </c>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39"/>
      <c r="CE2559" s="138"/>
      <c r="CF2559" s="139"/>
      <c r="CG2559" s="138"/>
      <c r="CH2559" s="139"/>
      <c r="CI2559" s="138"/>
      <c r="CJ2559" s="72"/>
      <c r="CK2559" s="139"/>
      <c r="CL2559" s="71"/>
      <c r="CM2559" s="139"/>
      <c r="CN2559" s="138"/>
      <c r="CO2559" s="138"/>
      <c r="CP2559" s="138"/>
      <c r="CQ2559" s="139"/>
      <c r="CR2559" s="138"/>
      <c r="CS2559" s="45"/>
      <c r="CT2559" s="138"/>
      <c r="CU2559" s="45"/>
      <c r="CV2559" s="99">
        <f t="shared" si="249"/>
        <v>0</v>
      </c>
      <c r="CW2559" s="139"/>
      <c r="CX2559" s="138"/>
      <c r="CY2559" s="138"/>
      <c r="CZ2559" s="138"/>
      <c r="DA2559" s="139"/>
      <c r="DB2559" s="138"/>
      <c r="DC2559" s="45"/>
      <c r="DD2559" s="138"/>
      <c r="DE2559" s="45"/>
      <c r="DF2559" s="46"/>
    </row>
    <row r="2560" spans="1:110" s="42" customFormat="1" ht="72" x14ac:dyDescent="0.2">
      <c r="A2560" s="89">
        <v>40859</v>
      </c>
      <c r="B2560" s="196" t="s">
        <v>4350</v>
      </c>
      <c r="C2560" s="197" t="s">
        <v>3349</v>
      </c>
      <c r="D2560" s="90" t="s">
        <v>2362</v>
      </c>
      <c r="E2560" s="90" t="str">
        <f>VLOOKUP(B2560&amp;C2560,Divipola!$C$2:$F$1138,4,FALSE)</f>
        <v>63190</v>
      </c>
      <c r="F2560" s="4"/>
      <c r="G2560" s="194"/>
      <c r="H2560" s="194"/>
      <c r="I2560" s="194"/>
      <c r="J2560" s="194">
        <v>10</v>
      </c>
      <c r="K2560" s="194">
        <v>2</v>
      </c>
      <c r="L2560" s="194"/>
      <c r="M2560" s="194">
        <v>2</v>
      </c>
      <c r="N2560" s="194">
        <v>1</v>
      </c>
      <c r="O2560" s="194"/>
      <c r="P2560" s="194"/>
      <c r="Q2560" s="194"/>
      <c r="R2560" s="194"/>
      <c r="S2560" s="194"/>
      <c r="T2560" s="194"/>
      <c r="U2560" s="194"/>
      <c r="V2560" s="194"/>
      <c r="W2560" s="19"/>
      <c r="X2560" s="17"/>
      <c r="Y2560" s="5">
        <f t="shared" si="244"/>
        <v>0</v>
      </c>
      <c r="Z2560" s="5">
        <f t="shared" si="245"/>
        <v>0</v>
      </c>
      <c r="AA2560" s="5">
        <f t="shared" si="246"/>
        <v>0</v>
      </c>
      <c r="AB2560" s="5">
        <f t="shared" si="247"/>
        <v>0</v>
      </c>
      <c r="AC2560" s="5"/>
      <c r="AD2560" s="5">
        <v>0</v>
      </c>
      <c r="AE2560" s="5">
        <f t="shared" si="248"/>
        <v>0</v>
      </c>
      <c r="AF2560" s="70">
        <v>0</v>
      </c>
      <c r="AG2560" s="17"/>
      <c r="AH2560" s="18"/>
      <c r="AI2560" s="47" t="s">
        <v>4346</v>
      </c>
      <c r="AJ2560" s="73" t="s">
        <v>4347</v>
      </c>
      <c r="AK2560" s="45"/>
      <c r="AL2560" s="17" t="s">
        <v>5051</v>
      </c>
      <c r="AM2560" s="195" t="s">
        <v>4953</v>
      </c>
      <c r="AN2560" s="19"/>
      <c r="AO2560" s="19"/>
      <c r="AP2560" s="19"/>
      <c r="AQ2560" s="19"/>
      <c r="AR2560" s="19"/>
      <c r="AS2560" s="19"/>
      <c r="AT2560" s="19"/>
      <c r="AU2560" s="19"/>
      <c r="AV2560" s="19"/>
      <c r="AW2560" s="19"/>
      <c r="AX2560" s="19"/>
      <c r="AY2560" s="19"/>
      <c r="AZ2560" s="19"/>
      <c r="BA2560" s="19"/>
      <c r="BB2560" s="19"/>
      <c r="BC2560" s="19"/>
      <c r="BD2560" s="19"/>
      <c r="BE2560" s="19"/>
      <c r="BF2560" s="19"/>
      <c r="BG2560" s="19"/>
      <c r="BH2560" s="19"/>
      <c r="BI2560" s="19"/>
      <c r="BJ2560" s="19"/>
      <c r="BK2560" s="19"/>
      <c r="BL2560" s="19"/>
      <c r="BM2560" s="19"/>
      <c r="BN2560" s="19"/>
      <c r="BO2560" s="19"/>
      <c r="BP2560" s="19"/>
      <c r="BQ2560" s="19"/>
      <c r="BR2560" s="19"/>
      <c r="BS2560" s="19"/>
      <c r="BT2560" s="19"/>
      <c r="BU2560" s="19"/>
      <c r="BV2560" s="19"/>
      <c r="BW2560" s="19"/>
      <c r="BX2560" s="19"/>
      <c r="BY2560" s="19"/>
      <c r="BZ2560" s="19"/>
      <c r="CA2560" s="19"/>
      <c r="CB2560" s="19"/>
      <c r="CC2560" s="19"/>
      <c r="CD2560" s="139"/>
      <c r="CE2560" s="138"/>
      <c r="CF2560" s="139"/>
      <c r="CG2560" s="138"/>
      <c r="CH2560" s="139"/>
      <c r="CI2560" s="138"/>
      <c r="CJ2560" s="72"/>
      <c r="CK2560" s="139"/>
      <c r="CL2560" s="71"/>
      <c r="CM2560" s="139"/>
      <c r="CN2560" s="138"/>
      <c r="CO2560" s="138"/>
      <c r="CP2560" s="138"/>
      <c r="CQ2560" s="139"/>
      <c r="CR2560" s="138"/>
      <c r="CS2560" s="45"/>
      <c r="CT2560" s="138"/>
      <c r="CU2560" s="45"/>
      <c r="CV2560" s="99">
        <f t="shared" si="249"/>
        <v>0</v>
      </c>
      <c r="CW2560" s="139"/>
      <c r="CX2560" s="138"/>
      <c r="CY2560" s="138"/>
      <c r="CZ2560" s="138"/>
      <c r="DA2560" s="139"/>
      <c r="DB2560" s="138"/>
      <c r="DC2560" s="45"/>
      <c r="DD2560" s="138"/>
      <c r="DE2560" s="45"/>
      <c r="DF2560" s="46"/>
    </row>
    <row r="2561" spans="1:110" s="42" customFormat="1" ht="48" x14ac:dyDescent="0.2">
      <c r="A2561" s="89">
        <v>40859</v>
      </c>
      <c r="B2561" s="196" t="s">
        <v>4350</v>
      </c>
      <c r="C2561" s="197" t="s">
        <v>3535</v>
      </c>
      <c r="D2561" s="90" t="s">
        <v>2362</v>
      </c>
      <c r="E2561" s="90" t="str">
        <f>VLOOKUP(B2561&amp;C2561,Divipola!$C$2:$F$1138,4,FALSE)</f>
        <v>63130</v>
      </c>
      <c r="F2561" s="4"/>
      <c r="G2561" s="194"/>
      <c r="H2561" s="194"/>
      <c r="I2561" s="194"/>
      <c r="J2561" s="194">
        <v>5</v>
      </c>
      <c r="K2561" s="194">
        <v>2</v>
      </c>
      <c r="L2561" s="194"/>
      <c r="M2561" s="194">
        <v>2</v>
      </c>
      <c r="N2561" s="194"/>
      <c r="O2561" s="194"/>
      <c r="P2561" s="194"/>
      <c r="Q2561" s="194"/>
      <c r="R2561" s="194"/>
      <c r="S2561" s="194"/>
      <c r="T2561" s="194"/>
      <c r="U2561" s="194"/>
      <c r="V2561" s="194"/>
      <c r="W2561" s="19"/>
      <c r="X2561" s="17"/>
      <c r="Y2561" s="5">
        <f t="shared" si="244"/>
        <v>0</v>
      </c>
      <c r="Z2561" s="5">
        <f t="shared" si="245"/>
        <v>0</v>
      </c>
      <c r="AA2561" s="5">
        <f t="shared" si="246"/>
        <v>0</v>
      </c>
      <c r="AB2561" s="5">
        <f t="shared" si="247"/>
        <v>0</v>
      </c>
      <c r="AC2561" s="5"/>
      <c r="AD2561" s="5">
        <v>0</v>
      </c>
      <c r="AE2561" s="5">
        <f t="shared" si="248"/>
        <v>0</v>
      </c>
      <c r="AF2561" s="70">
        <v>0</v>
      </c>
      <c r="AG2561" s="17"/>
      <c r="AH2561" s="18"/>
      <c r="AI2561" s="47" t="s">
        <v>4346</v>
      </c>
      <c r="AJ2561" s="73" t="s">
        <v>4347</v>
      </c>
      <c r="AK2561" s="45"/>
      <c r="AL2561" s="17" t="s">
        <v>5051</v>
      </c>
      <c r="AM2561" s="195" t="s">
        <v>4954</v>
      </c>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c r="BV2561" s="19"/>
      <c r="BW2561" s="19"/>
      <c r="BX2561" s="19"/>
      <c r="BY2561" s="19"/>
      <c r="BZ2561" s="19"/>
      <c r="CA2561" s="19"/>
      <c r="CB2561" s="19"/>
      <c r="CC2561" s="19"/>
      <c r="CD2561" s="139"/>
      <c r="CE2561" s="138"/>
      <c r="CF2561" s="139"/>
      <c r="CG2561" s="138"/>
      <c r="CH2561" s="139"/>
      <c r="CI2561" s="138"/>
      <c r="CJ2561" s="72"/>
      <c r="CK2561" s="139"/>
      <c r="CL2561" s="71"/>
      <c r="CM2561" s="139"/>
      <c r="CN2561" s="138"/>
      <c r="CO2561" s="138"/>
      <c r="CP2561" s="138"/>
      <c r="CQ2561" s="139"/>
      <c r="CR2561" s="138"/>
      <c r="CS2561" s="45"/>
      <c r="CT2561" s="138"/>
      <c r="CU2561" s="45"/>
      <c r="CV2561" s="99">
        <f t="shared" si="249"/>
        <v>0</v>
      </c>
      <c r="CW2561" s="139"/>
      <c r="CX2561" s="138"/>
      <c r="CY2561" s="138"/>
      <c r="CZ2561" s="138"/>
      <c r="DA2561" s="139"/>
      <c r="DB2561" s="138"/>
      <c r="DC2561" s="45"/>
      <c r="DD2561" s="138"/>
      <c r="DE2561" s="45"/>
      <c r="DF2561" s="46"/>
    </row>
    <row r="2562" spans="1:110" s="42" customFormat="1" ht="36" x14ac:dyDescent="0.2">
      <c r="A2562" s="89">
        <v>40859</v>
      </c>
      <c r="B2562" s="196" t="s">
        <v>4350</v>
      </c>
      <c r="C2562" s="197" t="s">
        <v>4252</v>
      </c>
      <c r="D2562" s="90" t="s">
        <v>2362</v>
      </c>
      <c r="E2562" s="90" t="str">
        <f>VLOOKUP(B2562&amp;C2562,Divipola!$C$2:$F$1138,4,FALSE)</f>
        <v>63690</v>
      </c>
      <c r="F2562" s="4"/>
      <c r="G2562" s="194"/>
      <c r="H2562" s="194"/>
      <c r="I2562" s="194"/>
      <c r="J2562" s="194"/>
      <c r="K2562" s="194"/>
      <c r="L2562" s="194"/>
      <c r="M2562" s="194"/>
      <c r="N2562" s="194">
        <v>3</v>
      </c>
      <c r="O2562" s="194"/>
      <c r="P2562" s="194"/>
      <c r="Q2562" s="194"/>
      <c r="R2562" s="194"/>
      <c r="S2562" s="194"/>
      <c r="T2562" s="194"/>
      <c r="U2562" s="194"/>
      <c r="V2562" s="194"/>
      <c r="W2562" s="19"/>
      <c r="X2562" s="17"/>
      <c r="Y2562" s="5">
        <f t="shared" ref="Y2562:Y2625" si="250">CV2562</f>
        <v>0</v>
      </c>
      <c r="Z2562" s="5">
        <f t="shared" ref="Z2562:Z2625" si="251">CZ2562</f>
        <v>0</v>
      </c>
      <c r="AA2562" s="5">
        <f t="shared" ref="AA2562:AA2625" si="252">DB2562+DD2562</f>
        <v>0</v>
      </c>
      <c r="AB2562" s="5">
        <f t="shared" ref="AB2562:AB2625" si="253">CX2562</f>
        <v>0</v>
      </c>
      <c r="AC2562" s="5"/>
      <c r="AD2562" s="5">
        <v>0</v>
      </c>
      <c r="AE2562" s="5">
        <f t="shared" ref="AE2562:AE2625" si="254">Y2562+Z2562+AA2562+AB2562+AC2562+AD2562</f>
        <v>0</v>
      </c>
      <c r="AF2562" s="70">
        <v>0</v>
      </c>
      <c r="AG2562" s="17"/>
      <c r="AH2562" s="18"/>
      <c r="AI2562" s="47" t="s">
        <v>4346</v>
      </c>
      <c r="AJ2562" s="73" t="s">
        <v>4347</v>
      </c>
      <c r="AK2562" s="45"/>
      <c r="AL2562" s="17" t="s">
        <v>5051</v>
      </c>
      <c r="AM2562" s="195" t="s">
        <v>4955</v>
      </c>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c r="BV2562" s="19"/>
      <c r="BW2562" s="19"/>
      <c r="BX2562" s="19"/>
      <c r="BY2562" s="19"/>
      <c r="BZ2562" s="19"/>
      <c r="CA2562" s="19"/>
      <c r="CB2562" s="19"/>
      <c r="CC2562" s="19"/>
      <c r="CD2562" s="139"/>
      <c r="CE2562" s="138"/>
      <c r="CF2562" s="139"/>
      <c r="CG2562" s="138"/>
      <c r="CH2562" s="139"/>
      <c r="CI2562" s="138"/>
      <c r="CJ2562" s="72"/>
      <c r="CK2562" s="139"/>
      <c r="CL2562" s="71"/>
      <c r="CM2562" s="139"/>
      <c r="CN2562" s="138"/>
      <c r="CO2562" s="138"/>
      <c r="CP2562" s="138"/>
      <c r="CQ2562" s="139"/>
      <c r="CR2562" s="138"/>
      <c r="CS2562" s="45"/>
      <c r="CT2562" s="138"/>
      <c r="CU2562" s="45"/>
      <c r="CV2562" s="99">
        <f t="shared" si="249"/>
        <v>0</v>
      </c>
      <c r="CW2562" s="139"/>
      <c r="CX2562" s="138"/>
      <c r="CY2562" s="138"/>
      <c r="CZ2562" s="138"/>
      <c r="DA2562" s="139"/>
      <c r="DB2562" s="138"/>
      <c r="DC2562" s="45"/>
      <c r="DD2562" s="138"/>
      <c r="DE2562" s="45"/>
      <c r="DF2562" s="46"/>
    </row>
    <row r="2563" spans="1:110" s="42" customFormat="1" ht="48" x14ac:dyDescent="0.2">
      <c r="A2563" s="89">
        <v>40859</v>
      </c>
      <c r="B2563" s="196" t="s">
        <v>4350</v>
      </c>
      <c r="C2563" s="197" t="s">
        <v>3507</v>
      </c>
      <c r="D2563" s="90" t="s">
        <v>2362</v>
      </c>
      <c r="E2563" s="90" t="str">
        <f>VLOOKUP(B2563&amp;C2563,Divipola!$C$2:$F$1138,4,FALSE)</f>
        <v>63470</v>
      </c>
      <c r="F2563" s="4"/>
      <c r="G2563" s="194"/>
      <c r="H2563" s="194"/>
      <c r="I2563" s="194"/>
      <c r="J2563" s="194"/>
      <c r="K2563" s="194"/>
      <c r="L2563" s="194"/>
      <c r="M2563" s="194"/>
      <c r="N2563" s="194">
        <v>1</v>
      </c>
      <c r="O2563" s="194"/>
      <c r="P2563" s="194"/>
      <c r="Q2563" s="194"/>
      <c r="R2563" s="194"/>
      <c r="S2563" s="194"/>
      <c r="T2563" s="194"/>
      <c r="U2563" s="194"/>
      <c r="V2563" s="194"/>
      <c r="W2563" s="19"/>
      <c r="X2563" s="17"/>
      <c r="Y2563" s="5">
        <f t="shared" si="250"/>
        <v>0</v>
      </c>
      <c r="Z2563" s="5">
        <f t="shared" si="251"/>
        <v>0</v>
      </c>
      <c r="AA2563" s="5">
        <f t="shared" si="252"/>
        <v>0</v>
      </c>
      <c r="AB2563" s="5">
        <f t="shared" si="253"/>
        <v>0</v>
      </c>
      <c r="AC2563" s="5"/>
      <c r="AD2563" s="5">
        <v>0</v>
      </c>
      <c r="AE2563" s="5">
        <f t="shared" si="254"/>
        <v>0</v>
      </c>
      <c r="AF2563" s="70">
        <v>0</v>
      </c>
      <c r="AG2563" s="17"/>
      <c r="AH2563" s="18"/>
      <c r="AI2563" s="47" t="s">
        <v>4346</v>
      </c>
      <c r="AJ2563" s="73" t="s">
        <v>4347</v>
      </c>
      <c r="AK2563" s="45"/>
      <c r="AL2563" s="17" t="s">
        <v>5051</v>
      </c>
      <c r="AM2563" s="195" t="s">
        <v>4956</v>
      </c>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c r="BV2563" s="19"/>
      <c r="BW2563" s="19"/>
      <c r="BX2563" s="19"/>
      <c r="BY2563" s="19"/>
      <c r="BZ2563" s="19"/>
      <c r="CA2563" s="19"/>
      <c r="CB2563" s="19"/>
      <c r="CC2563" s="19"/>
      <c r="CD2563" s="139"/>
      <c r="CE2563" s="138"/>
      <c r="CF2563" s="139"/>
      <c r="CG2563" s="138"/>
      <c r="CH2563" s="139"/>
      <c r="CI2563" s="138"/>
      <c r="CJ2563" s="72"/>
      <c r="CK2563" s="139"/>
      <c r="CL2563" s="71"/>
      <c r="CM2563" s="139"/>
      <c r="CN2563" s="138"/>
      <c r="CO2563" s="138"/>
      <c r="CP2563" s="138"/>
      <c r="CQ2563" s="139"/>
      <c r="CR2563" s="138"/>
      <c r="CS2563" s="45"/>
      <c r="CT2563" s="138"/>
      <c r="CU2563" s="45"/>
      <c r="CV2563" s="99">
        <f t="shared" ref="CV2563:CV2626" si="255">AO2563+AQ2563+AS2563+AU2563+AW2563+AY2563+BA2563+BC2563+BE2563+BG2563+BI2563+BK2563+BM2563+BO2563+BQ2563+BS2563+BU2563+BW2563+BY2563+CA2563+CC2563+CE2563+CG2563+CI2563+CK2563+CM2563+CO2563+CQ2563+CS2563+CU2563</f>
        <v>0</v>
      </c>
      <c r="CW2563" s="139"/>
      <c r="CX2563" s="138"/>
      <c r="CY2563" s="138"/>
      <c r="CZ2563" s="138"/>
      <c r="DA2563" s="139"/>
      <c r="DB2563" s="138"/>
      <c r="DC2563" s="45"/>
      <c r="DD2563" s="138"/>
      <c r="DE2563" s="45"/>
      <c r="DF2563" s="46"/>
    </row>
    <row r="2564" spans="1:110" s="42" customFormat="1" ht="132" x14ac:dyDescent="0.2">
      <c r="A2564" s="89">
        <v>40859</v>
      </c>
      <c r="B2564" s="196" t="s">
        <v>4348</v>
      </c>
      <c r="C2564" s="197" t="s">
        <v>3377</v>
      </c>
      <c r="D2564" s="90" t="s">
        <v>4264</v>
      </c>
      <c r="E2564" s="90" t="str">
        <f>VLOOKUP(B2564&amp;C2564,Divipola!$C$2:$F$1138,4,FALSE)</f>
        <v>66400</v>
      </c>
      <c r="F2564" s="4"/>
      <c r="G2564" s="101"/>
      <c r="H2564" s="101"/>
      <c r="I2564" s="101"/>
      <c r="J2564" s="101">
        <v>31730</v>
      </c>
      <c r="K2564" s="101">
        <v>6346</v>
      </c>
      <c r="L2564" s="101"/>
      <c r="M2564" s="101">
        <v>6346</v>
      </c>
      <c r="N2564" s="101"/>
      <c r="O2564" s="101"/>
      <c r="P2564" s="101"/>
      <c r="Q2564" s="101"/>
      <c r="R2564" s="101"/>
      <c r="S2564" s="101"/>
      <c r="T2564" s="101"/>
      <c r="U2564" s="101"/>
      <c r="V2564" s="101"/>
      <c r="W2564" s="19"/>
      <c r="X2564" s="17"/>
      <c r="Y2564" s="5">
        <f t="shared" si="250"/>
        <v>0</v>
      </c>
      <c r="Z2564" s="5">
        <f t="shared" si="251"/>
        <v>0</v>
      </c>
      <c r="AA2564" s="5">
        <f t="shared" si="252"/>
        <v>0</v>
      </c>
      <c r="AB2564" s="5">
        <f t="shared" si="253"/>
        <v>0</v>
      </c>
      <c r="AC2564" s="5"/>
      <c r="AD2564" s="5">
        <v>0</v>
      </c>
      <c r="AE2564" s="5">
        <f t="shared" si="254"/>
        <v>0</v>
      </c>
      <c r="AF2564" s="70">
        <v>0</v>
      </c>
      <c r="AG2564" s="17"/>
      <c r="AH2564" s="18"/>
      <c r="AI2564" s="47" t="s">
        <v>4346</v>
      </c>
      <c r="AJ2564" s="73" t="s">
        <v>4347</v>
      </c>
      <c r="AK2564" s="45"/>
      <c r="AL2564" s="17" t="s">
        <v>5534</v>
      </c>
      <c r="AM2564" s="195" t="s">
        <v>4961</v>
      </c>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39"/>
      <c r="CE2564" s="138"/>
      <c r="CF2564" s="139"/>
      <c r="CG2564" s="138"/>
      <c r="CH2564" s="139"/>
      <c r="CI2564" s="138"/>
      <c r="CJ2564" s="72"/>
      <c r="CK2564" s="139"/>
      <c r="CL2564" s="71"/>
      <c r="CM2564" s="139"/>
      <c r="CN2564" s="138"/>
      <c r="CO2564" s="138"/>
      <c r="CP2564" s="138"/>
      <c r="CQ2564" s="139"/>
      <c r="CR2564" s="138"/>
      <c r="CS2564" s="45"/>
      <c r="CT2564" s="138"/>
      <c r="CU2564" s="45"/>
      <c r="CV2564" s="99">
        <f t="shared" si="255"/>
        <v>0</v>
      </c>
      <c r="CW2564" s="139"/>
      <c r="CX2564" s="138"/>
      <c r="CY2564" s="138"/>
      <c r="CZ2564" s="138"/>
      <c r="DA2564" s="139"/>
      <c r="DB2564" s="138"/>
      <c r="DC2564" s="45"/>
      <c r="DD2564" s="138"/>
      <c r="DE2564" s="45"/>
      <c r="DF2564" s="46"/>
    </row>
    <row r="2565" spans="1:110" s="42" customFormat="1" ht="48" x14ac:dyDescent="0.2">
      <c r="A2565" s="89">
        <v>40859</v>
      </c>
      <c r="B2565" s="196" t="s">
        <v>4348</v>
      </c>
      <c r="C2565" s="197" t="s">
        <v>4313</v>
      </c>
      <c r="D2565" s="90" t="s">
        <v>2362</v>
      </c>
      <c r="E2565" s="90" t="str">
        <f>VLOOKUP(B2565&amp;C2565,Divipola!$C$2:$F$1138,4,FALSE)</f>
        <v>66318</v>
      </c>
      <c r="F2565" s="4"/>
      <c r="G2565" s="194"/>
      <c r="H2565" s="194"/>
      <c r="I2565" s="194"/>
      <c r="J2565" s="194"/>
      <c r="K2565" s="194"/>
      <c r="L2565" s="194"/>
      <c r="M2565" s="194"/>
      <c r="N2565" s="194"/>
      <c r="O2565" s="194"/>
      <c r="P2565" s="194"/>
      <c r="Q2565" s="194">
        <v>1</v>
      </c>
      <c r="R2565" s="194"/>
      <c r="S2565" s="194"/>
      <c r="T2565" s="194"/>
      <c r="U2565" s="194"/>
      <c r="V2565" s="194"/>
      <c r="W2565" s="19"/>
      <c r="X2565" s="17"/>
      <c r="Y2565" s="5">
        <f t="shared" si="250"/>
        <v>0</v>
      </c>
      <c r="Z2565" s="5">
        <f t="shared" si="251"/>
        <v>0</v>
      </c>
      <c r="AA2565" s="5">
        <f t="shared" si="252"/>
        <v>0</v>
      </c>
      <c r="AB2565" s="5">
        <f t="shared" si="253"/>
        <v>0</v>
      </c>
      <c r="AC2565" s="5"/>
      <c r="AD2565" s="5">
        <v>0</v>
      </c>
      <c r="AE2565" s="5">
        <f t="shared" si="254"/>
        <v>0</v>
      </c>
      <c r="AF2565" s="70">
        <v>0</v>
      </c>
      <c r="AG2565" s="17"/>
      <c r="AH2565" s="18"/>
      <c r="AI2565" s="47" t="s">
        <v>4346</v>
      </c>
      <c r="AJ2565" s="73" t="s">
        <v>4347</v>
      </c>
      <c r="AK2565" s="45"/>
      <c r="AL2565" s="17" t="s">
        <v>5534</v>
      </c>
      <c r="AM2565" s="195" t="s">
        <v>4963</v>
      </c>
      <c r="AN2565" s="19"/>
      <c r="AO2565" s="19"/>
      <c r="AP2565" s="19"/>
      <c r="AQ2565" s="19"/>
      <c r="AR2565" s="19"/>
      <c r="AS2565" s="19"/>
      <c r="AT2565" s="19"/>
      <c r="AU2565" s="19"/>
      <c r="AV2565" s="19"/>
      <c r="AW2565" s="19"/>
      <c r="AX2565" s="19"/>
      <c r="AY2565" s="19"/>
      <c r="AZ2565" s="19"/>
      <c r="BA2565" s="19"/>
      <c r="BB2565" s="19"/>
      <c r="BC2565" s="19"/>
      <c r="BD2565" s="19"/>
      <c r="BE2565" s="19"/>
      <c r="BF2565" s="19"/>
      <c r="BG2565" s="19"/>
      <c r="BH2565" s="19"/>
      <c r="BI2565" s="19"/>
      <c r="BJ2565" s="19"/>
      <c r="BK2565" s="19"/>
      <c r="BL2565" s="19"/>
      <c r="BM2565" s="19"/>
      <c r="BN2565" s="19"/>
      <c r="BO2565" s="19"/>
      <c r="BP2565" s="19"/>
      <c r="BQ2565" s="19"/>
      <c r="BR2565" s="19"/>
      <c r="BS2565" s="19"/>
      <c r="BT2565" s="19"/>
      <c r="BU2565" s="19"/>
      <c r="BV2565" s="19"/>
      <c r="BW2565" s="19"/>
      <c r="BX2565" s="19"/>
      <c r="BY2565" s="19"/>
      <c r="BZ2565" s="19"/>
      <c r="CA2565" s="19"/>
      <c r="CB2565" s="19"/>
      <c r="CC2565" s="19"/>
      <c r="CD2565" s="139"/>
      <c r="CE2565" s="138"/>
      <c r="CF2565" s="139"/>
      <c r="CG2565" s="138"/>
      <c r="CH2565" s="139"/>
      <c r="CI2565" s="138"/>
      <c r="CJ2565" s="72"/>
      <c r="CK2565" s="139"/>
      <c r="CL2565" s="71"/>
      <c r="CM2565" s="139"/>
      <c r="CN2565" s="138"/>
      <c r="CO2565" s="138"/>
      <c r="CP2565" s="138"/>
      <c r="CQ2565" s="139"/>
      <c r="CR2565" s="138"/>
      <c r="CS2565" s="45"/>
      <c r="CT2565" s="138"/>
      <c r="CU2565" s="45"/>
      <c r="CV2565" s="99">
        <f t="shared" si="255"/>
        <v>0</v>
      </c>
      <c r="CW2565" s="139"/>
      <c r="CX2565" s="138"/>
      <c r="CY2565" s="138"/>
      <c r="CZ2565" s="138"/>
      <c r="DA2565" s="139"/>
      <c r="DB2565" s="138"/>
      <c r="DC2565" s="45"/>
      <c r="DD2565" s="138"/>
      <c r="DE2565" s="45"/>
      <c r="DF2565" s="46"/>
    </row>
    <row r="2566" spans="1:110" s="42" customFormat="1" ht="96" x14ac:dyDescent="0.2">
      <c r="A2566" s="89">
        <v>40859</v>
      </c>
      <c r="B2566" s="196" t="s">
        <v>2226</v>
      </c>
      <c r="C2566" s="197" t="s">
        <v>2988</v>
      </c>
      <c r="D2566" s="197" t="s">
        <v>3346</v>
      </c>
      <c r="E2566" s="90" t="str">
        <f>VLOOKUP(B2566&amp;C2566,Divipola!$C$2:$F$1138,4,FALSE)</f>
        <v>68679</v>
      </c>
      <c r="F2566" s="4"/>
      <c r="G2566" s="194"/>
      <c r="H2566" s="194"/>
      <c r="I2566" s="194"/>
      <c r="J2566" s="194">
        <v>60</v>
      </c>
      <c r="K2566" s="194">
        <v>15</v>
      </c>
      <c r="L2566" s="194"/>
      <c r="M2566" s="194">
        <v>15</v>
      </c>
      <c r="N2566" s="194"/>
      <c r="O2566" s="194"/>
      <c r="P2566" s="194"/>
      <c r="Q2566" s="194"/>
      <c r="R2566" s="194"/>
      <c r="S2566" s="194"/>
      <c r="T2566" s="194"/>
      <c r="U2566" s="194"/>
      <c r="V2566" s="194"/>
      <c r="W2566" s="19"/>
      <c r="X2566" s="17"/>
      <c r="Y2566" s="5">
        <f t="shared" si="250"/>
        <v>0</v>
      </c>
      <c r="Z2566" s="5">
        <f t="shared" si="251"/>
        <v>0</v>
      </c>
      <c r="AA2566" s="5">
        <f t="shared" si="252"/>
        <v>0</v>
      </c>
      <c r="AB2566" s="5">
        <f t="shared" si="253"/>
        <v>0</v>
      </c>
      <c r="AC2566" s="5"/>
      <c r="AD2566" s="5">
        <v>0</v>
      </c>
      <c r="AE2566" s="5">
        <f t="shared" si="254"/>
        <v>0</v>
      </c>
      <c r="AF2566" s="70">
        <v>0</v>
      </c>
      <c r="AG2566" s="17"/>
      <c r="AH2566" s="18"/>
      <c r="AI2566" s="47" t="s">
        <v>4346</v>
      </c>
      <c r="AJ2566" s="73" t="s">
        <v>4347</v>
      </c>
      <c r="AK2566" s="45"/>
      <c r="AL2566" s="17" t="s">
        <v>5534</v>
      </c>
      <c r="AM2566" s="195" t="s">
        <v>4965</v>
      </c>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39"/>
      <c r="CE2566" s="138"/>
      <c r="CF2566" s="139"/>
      <c r="CG2566" s="138"/>
      <c r="CH2566" s="139"/>
      <c r="CI2566" s="138"/>
      <c r="CJ2566" s="72"/>
      <c r="CK2566" s="139"/>
      <c r="CL2566" s="71"/>
      <c r="CM2566" s="139"/>
      <c r="CN2566" s="138"/>
      <c r="CO2566" s="138"/>
      <c r="CP2566" s="138"/>
      <c r="CQ2566" s="139"/>
      <c r="CR2566" s="138"/>
      <c r="CS2566" s="45"/>
      <c r="CT2566" s="138"/>
      <c r="CU2566" s="45"/>
      <c r="CV2566" s="99">
        <f t="shared" si="255"/>
        <v>0</v>
      </c>
      <c r="CW2566" s="139"/>
      <c r="CX2566" s="138"/>
      <c r="CY2566" s="138"/>
      <c r="CZ2566" s="138"/>
      <c r="DA2566" s="139"/>
      <c r="DB2566" s="138"/>
      <c r="DC2566" s="45"/>
      <c r="DD2566" s="138"/>
      <c r="DE2566" s="45"/>
      <c r="DF2566" s="46"/>
    </row>
    <row r="2567" spans="1:110" s="42" customFormat="1" ht="216" x14ac:dyDescent="0.2">
      <c r="A2567" s="89">
        <v>40859</v>
      </c>
      <c r="B2567" s="151" t="s">
        <v>3316</v>
      </c>
      <c r="C2567" s="90" t="s">
        <v>4323</v>
      </c>
      <c r="D2567" s="90" t="s">
        <v>4264</v>
      </c>
      <c r="E2567" s="90" t="str">
        <f>VLOOKUP(B2567&amp;C2567,Divipola!$C$2:$F$1138,4,FALSE)</f>
        <v>73001</v>
      </c>
      <c r="F2567" s="4"/>
      <c r="G2567" s="194"/>
      <c r="H2567" s="194"/>
      <c r="I2567" s="194"/>
      <c r="J2567" s="194">
        <v>500</v>
      </c>
      <c r="K2567" s="194">
        <v>100</v>
      </c>
      <c r="L2567" s="194"/>
      <c r="M2567" s="194">
        <v>100</v>
      </c>
      <c r="N2567" s="194">
        <v>1</v>
      </c>
      <c r="O2567" s="194"/>
      <c r="P2567" s="194"/>
      <c r="Q2567" s="194"/>
      <c r="R2567" s="194"/>
      <c r="S2567" s="194"/>
      <c r="T2567" s="194"/>
      <c r="U2567" s="194"/>
      <c r="V2567" s="194"/>
      <c r="W2567" s="19"/>
      <c r="X2567" s="17"/>
      <c r="Y2567" s="5">
        <f t="shared" si="250"/>
        <v>43317223.439999998</v>
      </c>
      <c r="Z2567" s="5">
        <f t="shared" si="251"/>
        <v>10285000</v>
      </c>
      <c r="AA2567" s="5">
        <f t="shared" si="252"/>
        <v>1349961.6</v>
      </c>
      <c r="AB2567" s="5">
        <f t="shared" si="253"/>
        <v>0</v>
      </c>
      <c r="AC2567" s="5"/>
      <c r="AD2567" s="5">
        <v>0</v>
      </c>
      <c r="AE2567" s="5">
        <f t="shared" si="254"/>
        <v>54952185.039999999</v>
      </c>
      <c r="AF2567" s="70">
        <v>0</v>
      </c>
      <c r="AG2567" s="17"/>
      <c r="AH2567" s="18"/>
      <c r="AI2567" s="47" t="s">
        <v>4346</v>
      </c>
      <c r="AJ2567" s="73" t="s">
        <v>4347</v>
      </c>
      <c r="AK2567" s="45"/>
      <c r="AL2567" s="17"/>
      <c r="AM2567" s="195" t="s">
        <v>4966</v>
      </c>
      <c r="AN2567" s="19"/>
      <c r="AO2567" s="19"/>
      <c r="AP2567" s="19"/>
      <c r="AQ2567" s="19"/>
      <c r="AR2567" s="19"/>
      <c r="AS2567" s="19"/>
      <c r="AT2567" s="19"/>
      <c r="AU2567" s="19"/>
      <c r="AV2567" s="19"/>
      <c r="AW2567" s="19"/>
      <c r="AX2567" s="19"/>
      <c r="AY2567" s="19"/>
      <c r="AZ2567" s="19">
        <v>453</v>
      </c>
      <c r="BA2567" s="19">
        <f>453*55999</f>
        <v>25367547</v>
      </c>
      <c r="BB2567" s="19"/>
      <c r="BC2567" s="19"/>
      <c r="BD2567" s="19"/>
      <c r="BE2567" s="19"/>
      <c r="BF2567" s="19"/>
      <c r="BG2567" s="19"/>
      <c r="BH2567" s="19"/>
      <c r="BI2567" s="19"/>
      <c r="BJ2567" s="19"/>
      <c r="BK2567" s="19"/>
      <c r="BL2567" s="19"/>
      <c r="BM2567" s="19"/>
      <c r="BN2567" s="19"/>
      <c r="BO2567" s="19"/>
      <c r="BP2567" s="19"/>
      <c r="BQ2567" s="19"/>
      <c r="BR2567" s="19"/>
      <c r="BS2567" s="19"/>
      <c r="BT2567" s="19"/>
      <c r="BU2567" s="19"/>
      <c r="BV2567" s="19"/>
      <c r="BW2567" s="19"/>
      <c r="BX2567" s="19"/>
      <c r="BY2567" s="19"/>
      <c r="BZ2567" s="19"/>
      <c r="CA2567" s="19"/>
      <c r="CB2567" s="19"/>
      <c r="CC2567" s="19"/>
      <c r="CD2567" s="139"/>
      <c r="CE2567" s="138"/>
      <c r="CF2567" s="139"/>
      <c r="CG2567" s="138"/>
      <c r="CH2567" s="139"/>
      <c r="CI2567" s="138"/>
      <c r="CJ2567" s="72">
        <v>453</v>
      </c>
      <c r="CK2567" s="139">
        <f>453*20999.48</f>
        <v>9512764.4399999995</v>
      </c>
      <c r="CL2567" s="71"/>
      <c r="CM2567" s="139"/>
      <c r="CN2567" s="138"/>
      <c r="CO2567" s="138"/>
      <c r="CP2567" s="138">
        <v>110</v>
      </c>
      <c r="CQ2567" s="139">
        <f>110*36999.36</f>
        <v>4069929.6</v>
      </c>
      <c r="CR2567" s="138">
        <v>110</v>
      </c>
      <c r="CS2567" s="45">
        <f>110*39699.84</f>
        <v>4366982.3999999994</v>
      </c>
      <c r="CT2567" s="138"/>
      <c r="CU2567" s="45"/>
      <c r="CV2567" s="99">
        <f t="shared" si="255"/>
        <v>43317223.439999998</v>
      </c>
      <c r="CW2567" s="139"/>
      <c r="CX2567" s="138"/>
      <c r="CY2567" s="138">
        <v>121</v>
      </c>
      <c r="CZ2567" s="138">
        <f>121*85000</f>
        <v>10285000</v>
      </c>
      <c r="DA2567" s="139"/>
      <c r="DB2567" s="138"/>
      <c r="DC2567" s="45">
        <v>60</v>
      </c>
      <c r="DD2567" s="138">
        <f>60*22499.36</f>
        <v>1349961.6</v>
      </c>
      <c r="DE2567" s="45"/>
      <c r="DF2567" s="46"/>
    </row>
    <row r="2568" spans="1:110" s="42" customFormat="1" ht="48" x14ac:dyDescent="0.2">
      <c r="A2568" s="89">
        <v>40859</v>
      </c>
      <c r="B2568" s="196" t="s">
        <v>4244</v>
      </c>
      <c r="C2568" s="197" t="s">
        <v>3167</v>
      </c>
      <c r="D2568" s="90" t="s">
        <v>4264</v>
      </c>
      <c r="E2568" s="90" t="str">
        <f>VLOOKUP(B2568&amp;C2568,Divipola!$C$2:$F$1138,4,FALSE)</f>
        <v>76275</v>
      </c>
      <c r="F2568" s="4"/>
      <c r="G2568" s="194"/>
      <c r="H2568" s="194"/>
      <c r="I2568" s="194"/>
      <c r="J2568" s="194">
        <v>200</v>
      </c>
      <c r="K2568" s="194">
        <v>40</v>
      </c>
      <c r="L2568" s="194"/>
      <c r="M2568" s="194">
        <v>40</v>
      </c>
      <c r="N2568" s="194"/>
      <c r="O2568" s="194"/>
      <c r="P2568" s="194"/>
      <c r="Q2568" s="194"/>
      <c r="R2568" s="194"/>
      <c r="S2568" s="194"/>
      <c r="T2568" s="194"/>
      <c r="U2568" s="194"/>
      <c r="V2568" s="194"/>
      <c r="W2568" s="19"/>
      <c r="X2568" s="17"/>
      <c r="Y2568" s="5">
        <f t="shared" si="250"/>
        <v>0</v>
      </c>
      <c r="Z2568" s="5">
        <f t="shared" si="251"/>
        <v>0</v>
      </c>
      <c r="AA2568" s="5">
        <f t="shared" si="252"/>
        <v>0</v>
      </c>
      <c r="AB2568" s="5">
        <f t="shared" si="253"/>
        <v>0</v>
      </c>
      <c r="AC2568" s="5"/>
      <c r="AD2568" s="5">
        <v>0</v>
      </c>
      <c r="AE2568" s="5">
        <f t="shared" si="254"/>
        <v>0</v>
      </c>
      <c r="AF2568" s="70">
        <v>0</v>
      </c>
      <c r="AG2568" s="17"/>
      <c r="AH2568" s="18"/>
      <c r="AI2568" s="47" t="s">
        <v>4346</v>
      </c>
      <c r="AJ2568" s="73" t="s">
        <v>4347</v>
      </c>
      <c r="AK2568" s="45"/>
      <c r="AL2568" s="89" t="s">
        <v>2798</v>
      </c>
      <c r="AM2568" s="195" t="s">
        <v>4940</v>
      </c>
      <c r="AN2568" s="19"/>
      <c r="AO2568" s="19"/>
      <c r="AP2568" s="19"/>
      <c r="AQ2568" s="19"/>
      <c r="AR2568" s="19"/>
      <c r="AS2568" s="19"/>
      <c r="AT2568" s="19"/>
      <c r="AU2568" s="19"/>
      <c r="AV2568" s="19"/>
      <c r="AW2568" s="19"/>
      <c r="AX2568" s="19"/>
      <c r="AY2568" s="19"/>
      <c r="AZ2568" s="19"/>
      <c r="BA2568" s="19"/>
      <c r="BB2568" s="19"/>
      <c r="BC2568" s="19"/>
      <c r="BD2568" s="19"/>
      <c r="BE2568" s="19"/>
      <c r="BF2568" s="19"/>
      <c r="BG2568" s="19"/>
      <c r="BH2568" s="19"/>
      <c r="BI2568" s="19"/>
      <c r="BJ2568" s="19"/>
      <c r="BK2568" s="19"/>
      <c r="BL2568" s="19"/>
      <c r="BM2568" s="19"/>
      <c r="BN2568" s="19"/>
      <c r="BO2568" s="19"/>
      <c r="BP2568" s="19"/>
      <c r="BQ2568" s="19"/>
      <c r="BR2568" s="19"/>
      <c r="BS2568" s="19"/>
      <c r="BT2568" s="19"/>
      <c r="BU2568" s="19"/>
      <c r="BV2568" s="19"/>
      <c r="BW2568" s="19"/>
      <c r="BX2568" s="19"/>
      <c r="BY2568" s="19"/>
      <c r="BZ2568" s="19"/>
      <c r="CA2568" s="19"/>
      <c r="CB2568" s="19"/>
      <c r="CC2568" s="19"/>
      <c r="CD2568" s="139"/>
      <c r="CE2568" s="138"/>
      <c r="CF2568" s="139"/>
      <c r="CG2568" s="138"/>
      <c r="CH2568" s="139"/>
      <c r="CI2568" s="138"/>
      <c r="CJ2568" s="72"/>
      <c r="CK2568" s="139"/>
      <c r="CL2568" s="71"/>
      <c r="CM2568" s="139"/>
      <c r="CN2568" s="138"/>
      <c r="CO2568" s="138"/>
      <c r="CP2568" s="138"/>
      <c r="CQ2568" s="139"/>
      <c r="CR2568" s="138"/>
      <c r="CS2568" s="45"/>
      <c r="CT2568" s="138"/>
      <c r="CU2568" s="45"/>
      <c r="CV2568" s="99">
        <f t="shared" si="255"/>
        <v>0</v>
      </c>
      <c r="CW2568" s="139"/>
      <c r="CX2568" s="138"/>
      <c r="CY2568" s="138"/>
      <c r="CZ2568" s="138"/>
      <c r="DA2568" s="139"/>
      <c r="DB2568" s="138"/>
      <c r="DC2568" s="45"/>
      <c r="DD2568" s="138"/>
      <c r="DE2568" s="45"/>
      <c r="DF2568" s="46"/>
    </row>
    <row r="2569" spans="1:110" s="42" customFormat="1" ht="60" x14ac:dyDescent="0.2">
      <c r="A2569" s="89">
        <v>40859</v>
      </c>
      <c r="B2569" s="196" t="s">
        <v>4244</v>
      </c>
      <c r="C2569" s="197" t="s">
        <v>3157</v>
      </c>
      <c r="D2569" s="90" t="s">
        <v>2362</v>
      </c>
      <c r="E2569" s="90" t="str">
        <f>VLOOKUP(B2569&amp;C2569,Divipola!$C$2:$F$1138,4,FALSE)</f>
        <v>76122</v>
      </c>
      <c r="F2569" s="4"/>
      <c r="G2569" s="194"/>
      <c r="H2569" s="194"/>
      <c r="I2569" s="194"/>
      <c r="J2569" s="194"/>
      <c r="K2569" s="194"/>
      <c r="L2569" s="194"/>
      <c r="M2569" s="194"/>
      <c r="N2569" s="194">
        <v>2</v>
      </c>
      <c r="O2569" s="194"/>
      <c r="P2569" s="194"/>
      <c r="Q2569" s="194"/>
      <c r="R2569" s="194"/>
      <c r="S2569" s="194"/>
      <c r="T2569" s="194"/>
      <c r="U2569" s="194"/>
      <c r="V2569" s="194"/>
      <c r="W2569" s="19"/>
      <c r="X2569" s="17"/>
      <c r="Y2569" s="5">
        <f t="shared" si="250"/>
        <v>0</v>
      </c>
      <c r="Z2569" s="5">
        <f t="shared" si="251"/>
        <v>0</v>
      </c>
      <c r="AA2569" s="5">
        <f t="shared" si="252"/>
        <v>0</v>
      </c>
      <c r="AB2569" s="5">
        <f t="shared" si="253"/>
        <v>0</v>
      </c>
      <c r="AC2569" s="5"/>
      <c r="AD2569" s="5">
        <v>0</v>
      </c>
      <c r="AE2569" s="5">
        <f t="shared" si="254"/>
        <v>0</v>
      </c>
      <c r="AF2569" s="70">
        <v>0</v>
      </c>
      <c r="AG2569" s="17"/>
      <c r="AH2569" s="18"/>
      <c r="AI2569" s="47" t="s">
        <v>4346</v>
      </c>
      <c r="AJ2569" s="73" t="s">
        <v>4347</v>
      </c>
      <c r="AK2569" s="45"/>
      <c r="AL2569" s="89" t="s">
        <v>2798</v>
      </c>
      <c r="AM2569" s="195" t="s">
        <v>4950</v>
      </c>
      <c r="AN2569" s="19"/>
      <c r="AO2569" s="19"/>
      <c r="AP2569" s="19"/>
      <c r="AQ2569" s="19"/>
      <c r="AR2569" s="19"/>
      <c r="AS2569" s="19"/>
      <c r="AT2569" s="19"/>
      <c r="AU2569" s="19"/>
      <c r="AV2569" s="19"/>
      <c r="AW2569" s="19"/>
      <c r="AX2569" s="19"/>
      <c r="AY2569" s="19"/>
      <c r="AZ2569" s="19"/>
      <c r="BA2569" s="19"/>
      <c r="BB2569" s="19"/>
      <c r="BC2569" s="19"/>
      <c r="BD2569" s="19"/>
      <c r="BE2569" s="19"/>
      <c r="BF2569" s="19"/>
      <c r="BG2569" s="19"/>
      <c r="BH2569" s="19"/>
      <c r="BI2569" s="19"/>
      <c r="BJ2569" s="19"/>
      <c r="BK2569" s="19"/>
      <c r="BL2569" s="19"/>
      <c r="BM2569" s="19"/>
      <c r="BN2569" s="19"/>
      <c r="BO2569" s="19"/>
      <c r="BP2569" s="19"/>
      <c r="BQ2569" s="19"/>
      <c r="BR2569" s="19"/>
      <c r="BS2569" s="19"/>
      <c r="BT2569" s="19"/>
      <c r="BU2569" s="19"/>
      <c r="BV2569" s="19"/>
      <c r="BW2569" s="19"/>
      <c r="BX2569" s="19"/>
      <c r="BY2569" s="19"/>
      <c r="BZ2569" s="19"/>
      <c r="CA2569" s="19"/>
      <c r="CB2569" s="19"/>
      <c r="CC2569" s="19"/>
      <c r="CD2569" s="139"/>
      <c r="CE2569" s="138"/>
      <c r="CF2569" s="139"/>
      <c r="CG2569" s="138"/>
      <c r="CH2569" s="139"/>
      <c r="CI2569" s="138"/>
      <c r="CJ2569" s="72"/>
      <c r="CK2569" s="139"/>
      <c r="CL2569" s="71"/>
      <c r="CM2569" s="139"/>
      <c r="CN2569" s="138"/>
      <c r="CO2569" s="138"/>
      <c r="CP2569" s="138"/>
      <c r="CQ2569" s="139"/>
      <c r="CR2569" s="138"/>
      <c r="CS2569" s="45"/>
      <c r="CT2569" s="138"/>
      <c r="CU2569" s="45"/>
      <c r="CV2569" s="99">
        <f t="shared" si="255"/>
        <v>0</v>
      </c>
      <c r="CW2569" s="139"/>
      <c r="CX2569" s="138"/>
      <c r="CY2569" s="138"/>
      <c r="CZ2569" s="138"/>
      <c r="DA2569" s="139"/>
      <c r="DB2569" s="138"/>
      <c r="DC2569" s="45"/>
      <c r="DD2569" s="138"/>
      <c r="DE2569" s="45"/>
      <c r="DF2569" s="46"/>
    </row>
    <row r="2570" spans="1:110" s="42" customFormat="1" ht="84" x14ac:dyDescent="0.2">
      <c r="A2570" s="89">
        <v>40859</v>
      </c>
      <c r="B2570" s="151" t="s">
        <v>4244</v>
      </c>
      <c r="C2570" s="90" t="s">
        <v>3451</v>
      </c>
      <c r="D2570" s="90" t="s">
        <v>4264</v>
      </c>
      <c r="E2570" s="90" t="str">
        <f>VLOOKUP(B2570&amp;C2570,Divipola!$C$2:$F$1138,4,FALSE)</f>
        <v>76834</v>
      </c>
      <c r="F2570" s="4"/>
      <c r="G2570" s="194"/>
      <c r="H2570" s="194"/>
      <c r="I2570" s="194"/>
      <c r="J2570" s="194">
        <v>90</v>
      </c>
      <c r="K2570" s="194">
        <v>18</v>
      </c>
      <c r="L2570" s="194">
        <v>2</v>
      </c>
      <c r="M2570" s="194">
        <v>6</v>
      </c>
      <c r="N2570" s="194"/>
      <c r="O2570" s="194"/>
      <c r="P2570" s="194"/>
      <c r="Q2570" s="194"/>
      <c r="R2570" s="194"/>
      <c r="S2570" s="194"/>
      <c r="T2570" s="194"/>
      <c r="U2570" s="194"/>
      <c r="V2570" s="194"/>
      <c r="W2570" s="19"/>
      <c r="X2570" s="17"/>
      <c r="Y2570" s="5">
        <f t="shared" si="250"/>
        <v>0</v>
      </c>
      <c r="Z2570" s="5">
        <f t="shared" si="251"/>
        <v>0</v>
      </c>
      <c r="AA2570" s="5">
        <f t="shared" si="252"/>
        <v>0</v>
      </c>
      <c r="AB2570" s="5">
        <f t="shared" si="253"/>
        <v>0</v>
      </c>
      <c r="AC2570" s="5"/>
      <c r="AD2570" s="5">
        <v>0</v>
      </c>
      <c r="AE2570" s="5">
        <f t="shared" si="254"/>
        <v>0</v>
      </c>
      <c r="AF2570" s="70">
        <v>0</v>
      </c>
      <c r="AG2570" s="17"/>
      <c r="AH2570" s="18"/>
      <c r="AI2570" s="47" t="s">
        <v>4346</v>
      </c>
      <c r="AJ2570" s="73" t="s">
        <v>4347</v>
      </c>
      <c r="AK2570" s="45"/>
      <c r="AL2570" s="89" t="s">
        <v>2798</v>
      </c>
      <c r="AM2570" s="195" t="s">
        <v>4951</v>
      </c>
      <c r="AN2570" s="19"/>
      <c r="AO2570" s="19"/>
      <c r="AP2570" s="19"/>
      <c r="AQ2570" s="19"/>
      <c r="AR2570" s="19"/>
      <c r="AS2570" s="19"/>
      <c r="AT2570" s="19"/>
      <c r="AU2570" s="19"/>
      <c r="AV2570" s="19"/>
      <c r="AW2570" s="19"/>
      <c r="AX2570" s="19"/>
      <c r="AY2570" s="19"/>
      <c r="AZ2570" s="19"/>
      <c r="BA2570" s="19"/>
      <c r="BB2570" s="19"/>
      <c r="BC2570" s="19"/>
      <c r="BD2570" s="19"/>
      <c r="BE2570" s="19"/>
      <c r="BF2570" s="19"/>
      <c r="BG2570" s="19"/>
      <c r="BH2570" s="19"/>
      <c r="BI2570" s="19"/>
      <c r="BJ2570" s="19"/>
      <c r="BK2570" s="19"/>
      <c r="BL2570" s="19"/>
      <c r="BM2570" s="19"/>
      <c r="BN2570" s="19"/>
      <c r="BO2570" s="19"/>
      <c r="BP2570" s="19"/>
      <c r="BQ2570" s="19"/>
      <c r="BR2570" s="19"/>
      <c r="BS2570" s="19"/>
      <c r="BT2570" s="19"/>
      <c r="BU2570" s="19"/>
      <c r="BV2570" s="19"/>
      <c r="BW2570" s="19"/>
      <c r="BX2570" s="19"/>
      <c r="BY2570" s="19"/>
      <c r="BZ2570" s="19"/>
      <c r="CA2570" s="19"/>
      <c r="CB2570" s="19"/>
      <c r="CC2570" s="19"/>
      <c r="CD2570" s="139"/>
      <c r="CE2570" s="138"/>
      <c r="CF2570" s="139"/>
      <c r="CG2570" s="138"/>
      <c r="CH2570" s="139"/>
      <c r="CI2570" s="138"/>
      <c r="CJ2570" s="72"/>
      <c r="CK2570" s="139"/>
      <c r="CL2570" s="71"/>
      <c r="CM2570" s="139"/>
      <c r="CN2570" s="138"/>
      <c r="CO2570" s="138"/>
      <c r="CP2570" s="138"/>
      <c r="CQ2570" s="139"/>
      <c r="CR2570" s="138"/>
      <c r="CS2570" s="45"/>
      <c r="CT2570" s="138"/>
      <c r="CU2570" s="45"/>
      <c r="CV2570" s="99">
        <f t="shared" si="255"/>
        <v>0</v>
      </c>
      <c r="CW2570" s="139"/>
      <c r="CX2570" s="138"/>
      <c r="CY2570" s="138"/>
      <c r="CZ2570" s="138"/>
      <c r="DA2570" s="139"/>
      <c r="DB2570" s="138"/>
      <c r="DC2570" s="45"/>
      <c r="DD2570" s="138"/>
      <c r="DE2570" s="45"/>
      <c r="DF2570" s="46"/>
    </row>
    <row r="2571" spans="1:110" s="42" customFormat="1" ht="48" x14ac:dyDescent="0.2">
      <c r="A2571" s="89">
        <v>40859</v>
      </c>
      <c r="B2571" s="196" t="s">
        <v>4244</v>
      </c>
      <c r="C2571" s="197" t="s">
        <v>2768</v>
      </c>
      <c r="D2571" s="90" t="s">
        <v>4264</v>
      </c>
      <c r="E2571" s="90" t="str">
        <f>VLOOKUP(B2571&amp;C2571,Divipola!$C$2:$F$1138,4,FALSE)</f>
        <v>76001</v>
      </c>
      <c r="F2571" s="4"/>
      <c r="G2571" s="194"/>
      <c r="H2571" s="194"/>
      <c r="I2571" s="194"/>
      <c r="J2571" s="194">
        <v>225</v>
      </c>
      <c r="K2571" s="194">
        <v>45</v>
      </c>
      <c r="L2571" s="194"/>
      <c r="M2571" s="194">
        <v>45</v>
      </c>
      <c r="N2571" s="194"/>
      <c r="O2571" s="194"/>
      <c r="P2571" s="194"/>
      <c r="Q2571" s="194"/>
      <c r="R2571" s="194"/>
      <c r="S2571" s="194"/>
      <c r="T2571" s="194"/>
      <c r="U2571" s="194"/>
      <c r="V2571" s="194"/>
      <c r="W2571" s="19"/>
      <c r="X2571" s="17"/>
      <c r="Y2571" s="5">
        <f t="shared" si="250"/>
        <v>0</v>
      </c>
      <c r="Z2571" s="5">
        <f t="shared" si="251"/>
        <v>0</v>
      </c>
      <c r="AA2571" s="5">
        <f t="shared" si="252"/>
        <v>0</v>
      </c>
      <c r="AB2571" s="5">
        <f t="shared" si="253"/>
        <v>0</v>
      </c>
      <c r="AC2571" s="5"/>
      <c r="AD2571" s="5">
        <v>0</v>
      </c>
      <c r="AE2571" s="5">
        <f t="shared" si="254"/>
        <v>0</v>
      </c>
      <c r="AF2571" s="70">
        <v>0</v>
      </c>
      <c r="AG2571" s="17"/>
      <c r="AH2571" s="18"/>
      <c r="AI2571" s="47" t="s">
        <v>4336</v>
      </c>
      <c r="AJ2571" s="73" t="s">
        <v>4337</v>
      </c>
      <c r="AK2571" s="45"/>
      <c r="AL2571" s="17"/>
      <c r="AM2571" s="195" t="s">
        <v>4959</v>
      </c>
      <c r="AN2571" s="19"/>
      <c r="AO2571" s="19"/>
      <c r="AP2571" s="19"/>
      <c r="AQ2571" s="19"/>
      <c r="AR2571" s="19"/>
      <c r="AS2571" s="19"/>
      <c r="AT2571" s="19"/>
      <c r="AU2571" s="19"/>
      <c r="AV2571" s="19"/>
      <c r="AW2571" s="19"/>
      <c r="AX2571" s="19"/>
      <c r="AY2571" s="19"/>
      <c r="AZ2571" s="19"/>
      <c r="BA2571" s="19"/>
      <c r="BB2571" s="19"/>
      <c r="BC2571" s="19"/>
      <c r="BD2571" s="19"/>
      <c r="BE2571" s="19"/>
      <c r="BF2571" s="19"/>
      <c r="BG2571" s="19"/>
      <c r="BH2571" s="19"/>
      <c r="BI2571" s="19"/>
      <c r="BJ2571" s="19"/>
      <c r="BK2571" s="19"/>
      <c r="BL2571" s="19"/>
      <c r="BM2571" s="19"/>
      <c r="BN2571" s="19"/>
      <c r="BO2571" s="19"/>
      <c r="BP2571" s="19"/>
      <c r="BQ2571" s="19"/>
      <c r="BR2571" s="19"/>
      <c r="BS2571" s="19"/>
      <c r="BT2571" s="19"/>
      <c r="BU2571" s="19"/>
      <c r="BV2571" s="19"/>
      <c r="BW2571" s="19"/>
      <c r="BX2571" s="19"/>
      <c r="BY2571" s="19"/>
      <c r="BZ2571" s="19"/>
      <c r="CA2571" s="19"/>
      <c r="CB2571" s="19"/>
      <c r="CC2571" s="19"/>
      <c r="CD2571" s="139"/>
      <c r="CE2571" s="138"/>
      <c r="CF2571" s="139"/>
      <c r="CG2571" s="138"/>
      <c r="CH2571" s="139"/>
      <c r="CI2571" s="138"/>
      <c r="CJ2571" s="72"/>
      <c r="CK2571" s="139"/>
      <c r="CL2571" s="71"/>
      <c r="CM2571" s="139"/>
      <c r="CN2571" s="138"/>
      <c r="CO2571" s="138"/>
      <c r="CP2571" s="138"/>
      <c r="CQ2571" s="139"/>
      <c r="CR2571" s="138"/>
      <c r="CS2571" s="45"/>
      <c r="CT2571" s="138"/>
      <c r="CU2571" s="45"/>
      <c r="CV2571" s="99">
        <f t="shared" si="255"/>
        <v>0</v>
      </c>
      <c r="CW2571" s="139"/>
      <c r="CX2571" s="138"/>
      <c r="CY2571" s="138"/>
      <c r="CZ2571" s="138"/>
      <c r="DA2571" s="139"/>
      <c r="DB2571" s="138"/>
      <c r="DC2571" s="45"/>
      <c r="DD2571" s="138"/>
      <c r="DE2571" s="45"/>
      <c r="DF2571" s="46"/>
    </row>
    <row r="2572" spans="1:110" s="42" customFormat="1" ht="60" x14ac:dyDescent="0.2">
      <c r="A2572" s="89">
        <v>40859</v>
      </c>
      <c r="B2572" s="196" t="s">
        <v>4244</v>
      </c>
      <c r="C2572" s="197" t="s">
        <v>3393</v>
      </c>
      <c r="D2572" s="90" t="s">
        <v>4264</v>
      </c>
      <c r="E2572" s="90" t="str">
        <f>VLOOKUP(B2572&amp;C2572,Divipola!$C$2:$F$1138,4,FALSE)</f>
        <v>76147</v>
      </c>
      <c r="F2572" s="4"/>
      <c r="G2572" s="194"/>
      <c r="H2572" s="194"/>
      <c r="I2572" s="194"/>
      <c r="J2572" s="194">
        <v>45</v>
      </c>
      <c r="K2572" s="194">
        <v>15</v>
      </c>
      <c r="L2572" s="194"/>
      <c r="M2572" s="194">
        <v>15</v>
      </c>
      <c r="N2572" s="194"/>
      <c r="O2572" s="194"/>
      <c r="P2572" s="194"/>
      <c r="Q2572" s="194"/>
      <c r="R2572" s="194"/>
      <c r="S2572" s="194"/>
      <c r="T2572" s="194"/>
      <c r="U2572" s="194"/>
      <c r="V2572" s="194"/>
      <c r="W2572" s="19"/>
      <c r="X2572" s="17"/>
      <c r="Y2572" s="5">
        <f t="shared" si="250"/>
        <v>0</v>
      </c>
      <c r="Z2572" s="5">
        <f t="shared" si="251"/>
        <v>0</v>
      </c>
      <c r="AA2572" s="5">
        <f t="shared" si="252"/>
        <v>0</v>
      </c>
      <c r="AB2572" s="5">
        <f t="shared" si="253"/>
        <v>0</v>
      </c>
      <c r="AC2572" s="5"/>
      <c r="AD2572" s="5">
        <v>0</v>
      </c>
      <c r="AE2572" s="5">
        <f t="shared" si="254"/>
        <v>0</v>
      </c>
      <c r="AF2572" s="70">
        <v>0</v>
      </c>
      <c r="AG2572" s="17"/>
      <c r="AH2572" s="18"/>
      <c r="AI2572" s="47" t="s">
        <v>4346</v>
      </c>
      <c r="AJ2572" s="73" t="s">
        <v>4347</v>
      </c>
      <c r="AK2572" s="45"/>
      <c r="AL2572" s="89" t="s">
        <v>2798</v>
      </c>
      <c r="AM2572" s="195" t="s">
        <v>4960</v>
      </c>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c r="BV2572" s="19"/>
      <c r="BW2572" s="19"/>
      <c r="BX2572" s="19"/>
      <c r="BY2572" s="19"/>
      <c r="BZ2572" s="19"/>
      <c r="CA2572" s="19"/>
      <c r="CB2572" s="19"/>
      <c r="CC2572" s="19"/>
      <c r="CD2572" s="139"/>
      <c r="CE2572" s="138"/>
      <c r="CF2572" s="139"/>
      <c r="CG2572" s="138"/>
      <c r="CH2572" s="139"/>
      <c r="CI2572" s="138"/>
      <c r="CJ2572" s="72"/>
      <c r="CK2572" s="139"/>
      <c r="CL2572" s="71"/>
      <c r="CM2572" s="139"/>
      <c r="CN2572" s="138"/>
      <c r="CO2572" s="138"/>
      <c r="CP2572" s="138"/>
      <c r="CQ2572" s="139"/>
      <c r="CR2572" s="138"/>
      <c r="CS2572" s="45"/>
      <c r="CT2572" s="138"/>
      <c r="CU2572" s="45"/>
      <c r="CV2572" s="99">
        <f t="shared" si="255"/>
        <v>0</v>
      </c>
      <c r="CW2572" s="139"/>
      <c r="CX2572" s="138"/>
      <c r="CY2572" s="138"/>
      <c r="CZ2572" s="138"/>
      <c r="DA2572" s="139"/>
      <c r="DB2572" s="138"/>
      <c r="DC2572" s="45"/>
      <c r="DD2572" s="138"/>
      <c r="DE2572" s="45"/>
      <c r="DF2572" s="46"/>
    </row>
    <row r="2573" spans="1:110" s="42" customFormat="1" ht="84" x14ac:dyDescent="0.2">
      <c r="A2573" s="89">
        <v>40859</v>
      </c>
      <c r="B2573" s="151" t="s">
        <v>4244</v>
      </c>
      <c r="C2573" s="90" t="s">
        <v>4226</v>
      </c>
      <c r="D2573" s="90" t="s">
        <v>4264</v>
      </c>
      <c r="E2573" s="90" t="str">
        <f>VLOOKUP(B2573&amp;C2573,Divipola!$C$2:$F$1138,4,FALSE)</f>
        <v>76364</v>
      </c>
      <c r="F2573" s="4"/>
      <c r="G2573" s="101"/>
      <c r="H2573" s="101"/>
      <c r="I2573" s="101"/>
      <c r="J2573" s="101">
        <v>460</v>
      </c>
      <c r="K2573" s="101">
        <v>92</v>
      </c>
      <c r="L2573" s="101"/>
      <c r="M2573" s="101">
        <v>92</v>
      </c>
      <c r="N2573" s="101"/>
      <c r="O2573" s="101"/>
      <c r="P2573" s="101"/>
      <c r="Q2573" s="101"/>
      <c r="R2573" s="101"/>
      <c r="S2573" s="101"/>
      <c r="T2573" s="101"/>
      <c r="U2573" s="101"/>
      <c r="V2573" s="101"/>
      <c r="W2573" s="19"/>
      <c r="X2573" s="17"/>
      <c r="Y2573" s="5">
        <f t="shared" si="250"/>
        <v>0</v>
      </c>
      <c r="Z2573" s="5">
        <f t="shared" si="251"/>
        <v>0</v>
      </c>
      <c r="AA2573" s="5">
        <f t="shared" si="252"/>
        <v>0</v>
      </c>
      <c r="AB2573" s="5">
        <f t="shared" si="253"/>
        <v>0</v>
      </c>
      <c r="AC2573" s="5"/>
      <c r="AD2573" s="5">
        <v>0</v>
      </c>
      <c r="AE2573" s="5">
        <f t="shared" si="254"/>
        <v>0</v>
      </c>
      <c r="AF2573" s="70">
        <v>0</v>
      </c>
      <c r="AG2573" s="17"/>
      <c r="AH2573" s="18"/>
      <c r="AI2573" s="47" t="s">
        <v>4346</v>
      </c>
      <c r="AJ2573" s="73" t="s">
        <v>4347</v>
      </c>
      <c r="AK2573" s="45"/>
      <c r="AL2573" s="89" t="s">
        <v>2798</v>
      </c>
      <c r="AM2573" s="121" t="s">
        <v>4976</v>
      </c>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c r="BV2573" s="19"/>
      <c r="BW2573" s="19"/>
      <c r="BX2573" s="19"/>
      <c r="BY2573" s="19"/>
      <c r="BZ2573" s="19"/>
      <c r="CA2573" s="19"/>
      <c r="CB2573" s="19"/>
      <c r="CC2573" s="19"/>
      <c r="CD2573" s="139"/>
      <c r="CE2573" s="138"/>
      <c r="CF2573" s="139"/>
      <c r="CG2573" s="138"/>
      <c r="CH2573" s="139"/>
      <c r="CI2573" s="138"/>
      <c r="CJ2573" s="72"/>
      <c r="CK2573" s="139"/>
      <c r="CL2573" s="71"/>
      <c r="CM2573" s="139"/>
      <c r="CN2573" s="138"/>
      <c r="CO2573" s="138"/>
      <c r="CP2573" s="138"/>
      <c r="CQ2573" s="139"/>
      <c r="CR2573" s="138"/>
      <c r="CS2573" s="45"/>
      <c r="CT2573" s="138"/>
      <c r="CU2573" s="45"/>
      <c r="CV2573" s="99">
        <f t="shared" si="255"/>
        <v>0</v>
      </c>
      <c r="CW2573" s="139"/>
      <c r="CX2573" s="138"/>
      <c r="CY2573" s="138"/>
      <c r="CZ2573" s="138"/>
      <c r="DA2573" s="139"/>
      <c r="DB2573" s="138"/>
      <c r="DC2573" s="45"/>
      <c r="DD2573" s="138"/>
      <c r="DE2573" s="45"/>
      <c r="DF2573" s="46"/>
    </row>
    <row r="2574" spans="1:110" s="42" customFormat="1" ht="48" x14ac:dyDescent="0.2">
      <c r="A2574" s="89">
        <v>40859</v>
      </c>
      <c r="B2574" s="151" t="s">
        <v>4244</v>
      </c>
      <c r="C2574" s="90" t="s">
        <v>4325</v>
      </c>
      <c r="D2574" s="90" t="s">
        <v>4264</v>
      </c>
      <c r="E2574" s="90" t="str">
        <f>VLOOKUP(B2574&amp;C2574,Divipola!$C$2:$F$1138,4,FALSE)</f>
        <v>76130</v>
      </c>
      <c r="F2574" s="4"/>
      <c r="G2574" s="101"/>
      <c r="H2574" s="101"/>
      <c r="I2574" s="101"/>
      <c r="J2574" s="101">
        <v>90</v>
      </c>
      <c r="K2574" s="101">
        <v>18</v>
      </c>
      <c r="L2574" s="101"/>
      <c r="M2574" s="101">
        <v>18</v>
      </c>
      <c r="N2574" s="101"/>
      <c r="O2574" s="101"/>
      <c r="P2574" s="101"/>
      <c r="Q2574" s="101"/>
      <c r="R2574" s="101"/>
      <c r="S2574" s="101"/>
      <c r="T2574" s="101"/>
      <c r="U2574" s="101"/>
      <c r="V2574" s="101"/>
      <c r="W2574" s="19"/>
      <c r="X2574" s="17"/>
      <c r="Y2574" s="5">
        <f t="shared" si="250"/>
        <v>0</v>
      </c>
      <c r="Z2574" s="5">
        <f t="shared" si="251"/>
        <v>0</v>
      </c>
      <c r="AA2574" s="5">
        <f t="shared" si="252"/>
        <v>0</v>
      </c>
      <c r="AB2574" s="5">
        <f t="shared" si="253"/>
        <v>0</v>
      </c>
      <c r="AC2574" s="5"/>
      <c r="AD2574" s="5">
        <v>0</v>
      </c>
      <c r="AE2574" s="5">
        <f t="shared" si="254"/>
        <v>0</v>
      </c>
      <c r="AF2574" s="70">
        <v>0</v>
      </c>
      <c r="AG2574" s="17"/>
      <c r="AH2574" s="18"/>
      <c r="AI2574" s="47" t="s">
        <v>4346</v>
      </c>
      <c r="AJ2574" s="73" t="s">
        <v>4347</v>
      </c>
      <c r="AK2574" s="45"/>
      <c r="AL2574" s="89" t="s">
        <v>2798</v>
      </c>
      <c r="AM2574" s="121" t="s">
        <v>4977</v>
      </c>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39"/>
      <c r="CE2574" s="138"/>
      <c r="CF2574" s="139"/>
      <c r="CG2574" s="138"/>
      <c r="CH2574" s="139"/>
      <c r="CI2574" s="138"/>
      <c r="CJ2574" s="72"/>
      <c r="CK2574" s="139"/>
      <c r="CL2574" s="71"/>
      <c r="CM2574" s="139"/>
      <c r="CN2574" s="138"/>
      <c r="CO2574" s="138"/>
      <c r="CP2574" s="138"/>
      <c r="CQ2574" s="139"/>
      <c r="CR2574" s="138"/>
      <c r="CS2574" s="45"/>
      <c r="CT2574" s="138"/>
      <c r="CU2574" s="45"/>
      <c r="CV2574" s="99">
        <f t="shared" si="255"/>
        <v>0</v>
      </c>
      <c r="CW2574" s="139"/>
      <c r="CX2574" s="138"/>
      <c r="CY2574" s="138"/>
      <c r="CZ2574" s="138"/>
      <c r="DA2574" s="139"/>
      <c r="DB2574" s="138"/>
      <c r="DC2574" s="45"/>
      <c r="DD2574" s="138"/>
      <c r="DE2574" s="45"/>
      <c r="DF2574" s="46"/>
    </row>
    <row r="2575" spans="1:110" s="42" customFormat="1" ht="60" x14ac:dyDescent="0.2">
      <c r="A2575" s="89">
        <v>40859</v>
      </c>
      <c r="B2575" s="151" t="s">
        <v>4387</v>
      </c>
      <c r="C2575" s="90" t="s">
        <v>459</v>
      </c>
      <c r="D2575" s="90" t="s">
        <v>2362</v>
      </c>
      <c r="E2575" s="90" t="str">
        <f>VLOOKUP(B2575&amp;C2575,Divipola!$C$2:$F$1138,4,FALSE)</f>
        <v>52240</v>
      </c>
      <c r="F2575" s="4"/>
      <c r="G2575" s="194"/>
      <c r="H2575" s="194"/>
      <c r="I2575" s="194"/>
      <c r="J2575" s="194">
        <v>87</v>
      </c>
      <c r="K2575" s="194">
        <v>19</v>
      </c>
      <c r="L2575" s="194">
        <v>1</v>
      </c>
      <c r="M2575" s="194">
        <v>18</v>
      </c>
      <c r="N2575" s="194">
        <v>1</v>
      </c>
      <c r="O2575" s="194"/>
      <c r="P2575" s="194"/>
      <c r="Q2575" s="194">
        <v>1</v>
      </c>
      <c r="R2575" s="194"/>
      <c r="S2575" s="194"/>
      <c r="T2575" s="194"/>
      <c r="U2575" s="194"/>
      <c r="V2575" s="194"/>
      <c r="W2575" s="19"/>
      <c r="X2575" s="17"/>
      <c r="Y2575" s="5">
        <f t="shared" si="250"/>
        <v>0</v>
      </c>
      <c r="Z2575" s="5">
        <f t="shared" si="251"/>
        <v>0</v>
      </c>
      <c r="AA2575" s="5">
        <f t="shared" si="252"/>
        <v>0</v>
      </c>
      <c r="AB2575" s="5">
        <f t="shared" si="253"/>
        <v>0</v>
      </c>
      <c r="AC2575" s="5"/>
      <c r="AD2575" s="5">
        <v>0</v>
      </c>
      <c r="AE2575" s="5">
        <f t="shared" si="254"/>
        <v>0</v>
      </c>
      <c r="AF2575" s="70">
        <v>0</v>
      </c>
      <c r="AG2575" s="17"/>
      <c r="AH2575" s="18"/>
      <c r="AI2575" s="47" t="s">
        <v>4336</v>
      </c>
      <c r="AJ2575" s="73" t="s">
        <v>4337</v>
      </c>
      <c r="AK2575" s="45"/>
      <c r="AL2575" s="17"/>
      <c r="AM2575" s="195" t="s">
        <v>5439</v>
      </c>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c r="BV2575" s="19"/>
      <c r="BW2575" s="19"/>
      <c r="BX2575" s="19"/>
      <c r="BY2575" s="19"/>
      <c r="BZ2575" s="19"/>
      <c r="CA2575" s="19"/>
      <c r="CB2575" s="19"/>
      <c r="CC2575" s="19"/>
      <c r="CD2575" s="139"/>
      <c r="CE2575" s="138"/>
      <c r="CF2575" s="139"/>
      <c r="CG2575" s="138"/>
      <c r="CH2575" s="139"/>
      <c r="CI2575" s="138"/>
      <c r="CJ2575" s="72"/>
      <c r="CK2575" s="139"/>
      <c r="CL2575" s="71"/>
      <c r="CM2575" s="139"/>
      <c r="CN2575" s="138"/>
      <c r="CO2575" s="138"/>
      <c r="CP2575" s="138"/>
      <c r="CQ2575" s="139"/>
      <c r="CR2575" s="138"/>
      <c r="CS2575" s="45"/>
      <c r="CT2575" s="138"/>
      <c r="CU2575" s="45"/>
      <c r="CV2575" s="99">
        <f t="shared" si="255"/>
        <v>0</v>
      </c>
      <c r="CW2575" s="139"/>
      <c r="CX2575" s="138"/>
      <c r="CY2575" s="138"/>
      <c r="CZ2575" s="138"/>
      <c r="DA2575" s="139"/>
      <c r="DB2575" s="138"/>
      <c r="DC2575" s="45"/>
      <c r="DD2575" s="138"/>
      <c r="DE2575" s="45"/>
      <c r="DF2575" s="46"/>
    </row>
    <row r="2576" spans="1:110" s="42" customFormat="1" ht="24" x14ac:dyDescent="0.2">
      <c r="A2576" s="254">
        <v>40859</v>
      </c>
      <c r="B2576" s="250" t="s">
        <v>4219</v>
      </c>
      <c r="C2576" s="251" t="s">
        <v>3351</v>
      </c>
      <c r="D2576" s="252" t="s">
        <v>4264</v>
      </c>
      <c r="E2576" s="90" t="str">
        <f>VLOOKUP(B2576&amp;C2576,Divipola!$C$2:$F$1138,4,FALSE)</f>
        <v>41349</v>
      </c>
      <c r="F2576" s="4"/>
      <c r="G2576" s="327"/>
      <c r="H2576" s="327"/>
      <c r="I2576" s="327"/>
      <c r="J2576" s="328">
        <v>100</v>
      </c>
      <c r="K2576" s="328">
        <v>20</v>
      </c>
      <c r="L2576" s="246">
        <v>11</v>
      </c>
      <c r="M2576" s="246">
        <v>9</v>
      </c>
      <c r="N2576" s="246">
        <v>5</v>
      </c>
      <c r="O2576" s="246"/>
      <c r="P2576" s="246"/>
      <c r="Q2576" s="246"/>
      <c r="R2576" s="246">
        <v>1</v>
      </c>
      <c r="S2576" s="245"/>
      <c r="T2576" s="245"/>
      <c r="U2576" s="245"/>
      <c r="V2576" s="245"/>
      <c r="W2576" s="19"/>
      <c r="X2576" s="17"/>
      <c r="Y2576" s="5">
        <f t="shared" si="250"/>
        <v>0</v>
      </c>
      <c r="Z2576" s="5">
        <f t="shared" si="251"/>
        <v>0</v>
      </c>
      <c r="AA2576" s="5">
        <f t="shared" si="252"/>
        <v>0</v>
      </c>
      <c r="AB2576" s="5">
        <f t="shared" si="253"/>
        <v>0</v>
      </c>
      <c r="AC2576" s="5"/>
      <c r="AD2576" s="5">
        <v>0</v>
      </c>
      <c r="AE2576" s="5">
        <f t="shared" si="254"/>
        <v>0</v>
      </c>
      <c r="AF2576" s="70">
        <v>0</v>
      </c>
      <c r="AG2576" s="17"/>
      <c r="AH2576" s="18"/>
      <c r="AI2576" s="47" t="s">
        <v>4346</v>
      </c>
      <c r="AJ2576" s="73" t="s">
        <v>4347</v>
      </c>
      <c r="AK2576" s="45"/>
      <c r="AL2576" s="89" t="s">
        <v>2798</v>
      </c>
      <c r="AM2576" s="121" t="s">
        <v>5554</v>
      </c>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c r="BV2576" s="19"/>
      <c r="BW2576" s="19"/>
      <c r="BX2576" s="19"/>
      <c r="BY2576" s="19"/>
      <c r="BZ2576" s="19"/>
      <c r="CA2576" s="19"/>
      <c r="CB2576" s="19"/>
      <c r="CC2576" s="19"/>
      <c r="CD2576" s="139"/>
      <c r="CE2576" s="138"/>
      <c r="CF2576" s="139"/>
      <c r="CG2576" s="138"/>
      <c r="CH2576" s="139"/>
      <c r="CI2576" s="138"/>
      <c r="CJ2576" s="72"/>
      <c r="CK2576" s="139"/>
      <c r="CL2576" s="71"/>
      <c r="CM2576" s="139"/>
      <c r="CN2576" s="138"/>
      <c r="CO2576" s="138"/>
      <c r="CP2576" s="138"/>
      <c r="CQ2576" s="139"/>
      <c r="CR2576" s="138"/>
      <c r="CS2576" s="45"/>
      <c r="CT2576" s="138"/>
      <c r="CU2576" s="45"/>
      <c r="CV2576" s="99">
        <f t="shared" si="255"/>
        <v>0</v>
      </c>
      <c r="CW2576" s="139"/>
      <c r="CX2576" s="138"/>
      <c r="CY2576" s="138"/>
      <c r="CZ2576" s="138"/>
      <c r="DA2576" s="139"/>
      <c r="DB2576" s="138"/>
      <c r="DC2576" s="45"/>
      <c r="DD2576" s="138"/>
      <c r="DE2576" s="45"/>
      <c r="DF2576" s="46"/>
    </row>
    <row r="2577" spans="1:110" s="42" customFormat="1" ht="60" x14ac:dyDescent="0.2">
      <c r="A2577" s="89">
        <v>40860</v>
      </c>
      <c r="B2577" s="196" t="s">
        <v>2218</v>
      </c>
      <c r="C2577" s="197" t="s">
        <v>3536</v>
      </c>
      <c r="D2577" s="90" t="s">
        <v>4264</v>
      </c>
      <c r="E2577" s="90" t="str">
        <f>VLOOKUP(B2577&amp;C2577,Divipola!$C$2:$F$1138,4,FALSE)</f>
        <v>05591</v>
      </c>
      <c r="F2577" s="4"/>
      <c r="G2577" s="194"/>
      <c r="H2577" s="194"/>
      <c r="I2577" s="194"/>
      <c r="J2577" s="194">
        <v>400</v>
      </c>
      <c r="K2577" s="194">
        <v>80</v>
      </c>
      <c r="L2577" s="194"/>
      <c r="M2577" s="194">
        <v>80</v>
      </c>
      <c r="N2577" s="194"/>
      <c r="O2577" s="194"/>
      <c r="P2577" s="194"/>
      <c r="Q2577" s="194"/>
      <c r="R2577" s="194"/>
      <c r="S2577" s="194"/>
      <c r="T2577" s="194"/>
      <c r="U2577" s="194"/>
      <c r="V2577" s="194"/>
      <c r="W2577" s="19"/>
      <c r="X2577" s="17"/>
      <c r="Y2577" s="5">
        <f t="shared" si="250"/>
        <v>0</v>
      </c>
      <c r="Z2577" s="5">
        <f t="shared" si="251"/>
        <v>0</v>
      </c>
      <c r="AA2577" s="5">
        <f t="shared" si="252"/>
        <v>0</v>
      </c>
      <c r="AB2577" s="5">
        <f t="shared" si="253"/>
        <v>0</v>
      </c>
      <c r="AC2577" s="5"/>
      <c r="AD2577" s="5">
        <v>0</v>
      </c>
      <c r="AE2577" s="5">
        <f t="shared" si="254"/>
        <v>0</v>
      </c>
      <c r="AF2577" s="70">
        <v>0</v>
      </c>
      <c r="AG2577" s="17"/>
      <c r="AH2577" s="18"/>
      <c r="AI2577" s="47" t="s">
        <v>4346</v>
      </c>
      <c r="AJ2577" s="73" t="s">
        <v>4347</v>
      </c>
      <c r="AK2577" s="45"/>
      <c r="AL2577" s="89" t="s">
        <v>2798</v>
      </c>
      <c r="AM2577" s="195" t="s">
        <v>4964</v>
      </c>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c r="BV2577" s="19"/>
      <c r="BW2577" s="19"/>
      <c r="BX2577" s="19"/>
      <c r="BY2577" s="19"/>
      <c r="BZ2577" s="19"/>
      <c r="CA2577" s="19"/>
      <c r="CB2577" s="19"/>
      <c r="CC2577" s="19"/>
      <c r="CD2577" s="139"/>
      <c r="CE2577" s="138"/>
      <c r="CF2577" s="139"/>
      <c r="CG2577" s="138"/>
      <c r="CH2577" s="139"/>
      <c r="CI2577" s="138"/>
      <c r="CJ2577" s="72"/>
      <c r="CK2577" s="139"/>
      <c r="CL2577" s="71"/>
      <c r="CM2577" s="139"/>
      <c r="CN2577" s="138"/>
      <c r="CO2577" s="138"/>
      <c r="CP2577" s="138"/>
      <c r="CQ2577" s="139"/>
      <c r="CR2577" s="138"/>
      <c r="CS2577" s="45"/>
      <c r="CT2577" s="138"/>
      <c r="CU2577" s="45"/>
      <c r="CV2577" s="99">
        <f t="shared" si="255"/>
        <v>0</v>
      </c>
      <c r="CW2577" s="139"/>
      <c r="CX2577" s="138"/>
      <c r="CY2577" s="138"/>
      <c r="CZ2577" s="138"/>
      <c r="DA2577" s="139"/>
      <c r="DB2577" s="138"/>
      <c r="DC2577" s="45"/>
      <c r="DD2577" s="138"/>
      <c r="DE2577" s="45"/>
      <c r="DF2577" s="46"/>
    </row>
    <row r="2578" spans="1:110" s="42" customFormat="1" ht="144" x14ac:dyDescent="0.2">
      <c r="A2578" s="89">
        <v>40860</v>
      </c>
      <c r="B2578" s="151" t="s">
        <v>3533</v>
      </c>
      <c r="C2578" s="90" t="s">
        <v>862</v>
      </c>
      <c r="D2578" s="90" t="s">
        <v>2362</v>
      </c>
      <c r="E2578" s="90" t="str">
        <f>VLOOKUP(B2578&amp;C2578,Divipola!$C$2:$F$1138,4,FALSE)</f>
        <v>17001</v>
      </c>
      <c r="F2578" s="4"/>
      <c r="G2578" s="101"/>
      <c r="H2578" s="101"/>
      <c r="I2578" s="101"/>
      <c r="J2578" s="101"/>
      <c r="K2578" s="101"/>
      <c r="L2578" s="101"/>
      <c r="M2578" s="101"/>
      <c r="N2578" s="101">
        <v>1</v>
      </c>
      <c r="O2578" s="101"/>
      <c r="P2578" s="101"/>
      <c r="Q2578" s="101"/>
      <c r="R2578" s="101"/>
      <c r="S2578" s="101"/>
      <c r="T2578" s="101"/>
      <c r="U2578" s="101"/>
      <c r="V2578" s="101"/>
      <c r="W2578" s="19"/>
      <c r="X2578" s="17"/>
      <c r="Y2578" s="5">
        <f t="shared" si="250"/>
        <v>0</v>
      </c>
      <c r="Z2578" s="5">
        <f t="shared" si="251"/>
        <v>0</v>
      </c>
      <c r="AA2578" s="5">
        <f t="shared" si="252"/>
        <v>0</v>
      </c>
      <c r="AB2578" s="5">
        <f t="shared" si="253"/>
        <v>0</v>
      </c>
      <c r="AC2578" s="5"/>
      <c r="AD2578" s="5">
        <v>0</v>
      </c>
      <c r="AE2578" s="5">
        <f t="shared" si="254"/>
        <v>0</v>
      </c>
      <c r="AF2578" s="70">
        <v>0</v>
      </c>
      <c r="AG2578" s="17"/>
      <c r="AH2578" s="18"/>
      <c r="AI2578" s="47" t="s">
        <v>4346</v>
      </c>
      <c r="AJ2578" s="73" t="s">
        <v>4347</v>
      </c>
      <c r="AK2578" s="45"/>
      <c r="AL2578" s="17" t="s">
        <v>5265</v>
      </c>
      <c r="AM2578" s="121" t="s">
        <v>4975</v>
      </c>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c r="BV2578" s="19"/>
      <c r="BW2578" s="19"/>
      <c r="BX2578" s="19"/>
      <c r="BY2578" s="19"/>
      <c r="BZ2578" s="19"/>
      <c r="CA2578" s="19"/>
      <c r="CB2578" s="19"/>
      <c r="CC2578" s="19"/>
      <c r="CD2578" s="139"/>
      <c r="CE2578" s="138"/>
      <c r="CF2578" s="139"/>
      <c r="CG2578" s="138"/>
      <c r="CH2578" s="139"/>
      <c r="CI2578" s="138"/>
      <c r="CJ2578" s="72"/>
      <c r="CK2578" s="139"/>
      <c r="CL2578" s="71"/>
      <c r="CM2578" s="139"/>
      <c r="CN2578" s="138"/>
      <c r="CO2578" s="138"/>
      <c r="CP2578" s="138"/>
      <c r="CQ2578" s="139"/>
      <c r="CR2578" s="138"/>
      <c r="CS2578" s="45"/>
      <c r="CT2578" s="138"/>
      <c r="CU2578" s="45"/>
      <c r="CV2578" s="99">
        <f t="shared" si="255"/>
        <v>0</v>
      </c>
      <c r="CW2578" s="139"/>
      <c r="CX2578" s="138"/>
      <c r="CY2578" s="138"/>
      <c r="CZ2578" s="138"/>
      <c r="DA2578" s="139"/>
      <c r="DB2578" s="138"/>
      <c r="DC2578" s="45"/>
      <c r="DD2578" s="138"/>
      <c r="DE2578" s="45"/>
      <c r="DF2578" s="46"/>
    </row>
    <row r="2579" spans="1:110" s="42" customFormat="1" ht="168" x14ac:dyDescent="0.2">
      <c r="A2579" s="89">
        <v>40860</v>
      </c>
      <c r="B2579" s="151" t="s">
        <v>4344</v>
      </c>
      <c r="C2579" s="90" t="s">
        <v>3472</v>
      </c>
      <c r="D2579" s="90" t="s">
        <v>4298</v>
      </c>
      <c r="E2579" s="90" t="str">
        <f>VLOOKUP(B2579&amp;C2579,Divipola!$C$2:$F$1138,4,FALSE)</f>
        <v>25875</v>
      </c>
      <c r="F2579" s="4"/>
      <c r="G2579" s="194"/>
      <c r="H2579" s="194"/>
      <c r="I2579" s="194"/>
      <c r="J2579" s="194">
        <v>10</v>
      </c>
      <c r="K2579" s="194">
        <v>2</v>
      </c>
      <c r="L2579" s="194"/>
      <c r="M2579" s="194">
        <v>1</v>
      </c>
      <c r="N2579" s="194"/>
      <c r="O2579" s="194"/>
      <c r="P2579" s="194"/>
      <c r="Q2579" s="194"/>
      <c r="R2579" s="194"/>
      <c r="S2579" s="194"/>
      <c r="T2579" s="194"/>
      <c r="U2579" s="194"/>
      <c r="V2579" s="194"/>
      <c r="W2579" s="19"/>
      <c r="X2579" s="17"/>
      <c r="Y2579" s="5">
        <f t="shared" si="250"/>
        <v>0</v>
      </c>
      <c r="Z2579" s="5">
        <f t="shared" si="251"/>
        <v>0</v>
      </c>
      <c r="AA2579" s="5">
        <f t="shared" si="252"/>
        <v>0</v>
      </c>
      <c r="AB2579" s="5">
        <f t="shared" si="253"/>
        <v>0</v>
      </c>
      <c r="AC2579" s="5"/>
      <c r="AD2579" s="5">
        <v>0</v>
      </c>
      <c r="AE2579" s="5">
        <f t="shared" si="254"/>
        <v>0</v>
      </c>
      <c r="AF2579" s="70">
        <v>0</v>
      </c>
      <c r="AG2579" s="17"/>
      <c r="AH2579" s="18"/>
      <c r="AI2579" s="47" t="s">
        <v>4336</v>
      </c>
      <c r="AJ2579" s="73" t="s">
        <v>4337</v>
      </c>
      <c r="AK2579" s="45"/>
      <c r="AL2579" s="17"/>
      <c r="AM2579" s="195" t="s">
        <v>4952</v>
      </c>
      <c r="AN2579" s="19"/>
      <c r="AO2579" s="19"/>
      <c r="AP2579" s="19"/>
      <c r="AQ2579" s="19"/>
      <c r="AR2579" s="19"/>
      <c r="AS2579" s="19"/>
      <c r="AT2579" s="19"/>
      <c r="AU2579" s="19"/>
      <c r="AV2579" s="19"/>
      <c r="AW2579" s="19"/>
      <c r="AX2579" s="19"/>
      <c r="AY2579" s="19"/>
      <c r="AZ2579" s="19"/>
      <c r="BA2579" s="19"/>
      <c r="BB2579" s="19"/>
      <c r="BC2579" s="19"/>
      <c r="BD2579" s="19"/>
      <c r="BE2579" s="19"/>
      <c r="BF2579" s="19"/>
      <c r="BG2579" s="19"/>
      <c r="BH2579" s="19"/>
      <c r="BI2579" s="19"/>
      <c r="BJ2579" s="19"/>
      <c r="BK2579" s="19"/>
      <c r="BL2579" s="19"/>
      <c r="BM2579" s="19"/>
      <c r="BN2579" s="19"/>
      <c r="BO2579" s="19"/>
      <c r="BP2579" s="19"/>
      <c r="BQ2579" s="19"/>
      <c r="BR2579" s="19"/>
      <c r="BS2579" s="19"/>
      <c r="BT2579" s="19"/>
      <c r="BU2579" s="19"/>
      <c r="BV2579" s="19"/>
      <c r="BW2579" s="19"/>
      <c r="BX2579" s="19"/>
      <c r="BY2579" s="19"/>
      <c r="BZ2579" s="19"/>
      <c r="CA2579" s="19"/>
      <c r="CB2579" s="19"/>
      <c r="CC2579" s="19"/>
      <c r="CD2579" s="139"/>
      <c r="CE2579" s="138"/>
      <c r="CF2579" s="139"/>
      <c r="CG2579" s="138"/>
      <c r="CH2579" s="139"/>
      <c r="CI2579" s="138"/>
      <c r="CJ2579" s="72"/>
      <c r="CK2579" s="139"/>
      <c r="CL2579" s="71"/>
      <c r="CM2579" s="139"/>
      <c r="CN2579" s="138"/>
      <c r="CO2579" s="138"/>
      <c r="CP2579" s="138"/>
      <c r="CQ2579" s="139"/>
      <c r="CR2579" s="138"/>
      <c r="CS2579" s="45"/>
      <c r="CT2579" s="138"/>
      <c r="CU2579" s="45"/>
      <c r="CV2579" s="99">
        <f t="shared" si="255"/>
        <v>0</v>
      </c>
      <c r="CW2579" s="139"/>
      <c r="CX2579" s="138"/>
      <c r="CY2579" s="138"/>
      <c r="CZ2579" s="138"/>
      <c r="DA2579" s="139"/>
      <c r="DB2579" s="138"/>
      <c r="DC2579" s="45"/>
      <c r="DD2579" s="138"/>
      <c r="DE2579" s="45"/>
      <c r="DF2579" s="46"/>
    </row>
    <row r="2580" spans="1:110" s="42" customFormat="1" ht="36" x14ac:dyDescent="0.2">
      <c r="A2580" s="89">
        <v>40860</v>
      </c>
      <c r="B2580" s="151" t="s">
        <v>4344</v>
      </c>
      <c r="C2580" s="90" t="s">
        <v>3552</v>
      </c>
      <c r="D2580" s="90" t="s">
        <v>4264</v>
      </c>
      <c r="E2580" s="90" t="str">
        <f>VLOOKUP(B2580&amp;C2580,Divipola!$C$2:$F$1138,4,FALSE)</f>
        <v>25320</v>
      </c>
      <c r="F2580" s="4"/>
      <c r="G2580" s="101"/>
      <c r="H2580" s="101"/>
      <c r="I2580" s="101"/>
      <c r="J2580" s="101">
        <v>25</v>
      </c>
      <c r="K2580" s="101">
        <v>6</v>
      </c>
      <c r="L2580" s="101"/>
      <c r="M2580" s="101">
        <v>6</v>
      </c>
      <c r="N2580" s="101"/>
      <c r="O2580" s="101"/>
      <c r="P2580" s="101"/>
      <c r="Q2580" s="101"/>
      <c r="R2580" s="101"/>
      <c r="S2580" s="101"/>
      <c r="T2580" s="101"/>
      <c r="U2580" s="101"/>
      <c r="V2580" s="101"/>
      <c r="W2580" s="19"/>
      <c r="X2580" s="17"/>
      <c r="Y2580" s="5">
        <f t="shared" si="250"/>
        <v>0</v>
      </c>
      <c r="Z2580" s="5">
        <f t="shared" si="251"/>
        <v>8500000</v>
      </c>
      <c r="AA2580" s="5">
        <f t="shared" si="252"/>
        <v>22500000</v>
      </c>
      <c r="AB2580" s="5">
        <f t="shared" si="253"/>
        <v>0</v>
      </c>
      <c r="AC2580" s="5"/>
      <c r="AD2580" s="5">
        <v>0</v>
      </c>
      <c r="AE2580" s="5">
        <f t="shared" si="254"/>
        <v>31000000</v>
      </c>
      <c r="AF2580" s="70">
        <v>0</v>
      </c>
      <c r="AG2580" s="17"/>
      <c r="AH2580" s="18"/>
      <c r="AI2580" s="47" t="s">
        <v>4346</v>
      </c>
      <c r="AJ2580" s="73" t="s">
        <v>4347</v>
      </c>
      <c r="AK2580" s="45"/>
      <c r="AL2580" s="17"/>
      <c r="AM2580" s="121" t="s">
        <v>4970</v>
      </c>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c r="BV2580" s="19"/>
      <c r="BW2580" s="19"/>
      <c r="BX2580" s="19"/>
      <c r="BY2580" s="19"/>
      <c r="BZ2580" s="19"/>
      <c r="CA2580" s="19"/>
      <c r="CB2580" s="19"/>
      <c r="CC2580" s="19"/>
      <c r="CD2580" s="139"/>
      <c r="CE2580" s="138"/>
      <c r="CF2580" s="139"/>
      <c r="CG2580" s="138"/>
      <c r="CH2580" s="139"/>
      <c r="CI2580" s="138"/>
      <c r="CJ2580" s="72"/>
      <c r="CK2580" s="139"/>
      <c r="CL2580" s="71"/>
      <c r="CM2580" s="139"/>
      <c r="CN2580" s="138"/>
      <c r="CO2580" s="138"/>
      <c r="CP2580" s="138"/>
      <c r="CQ2580" s="139"/>
      <c r="CR2580" s="138"/>
      <c r="CS2580" s="45"/>
      <c r="CT2580" s="138"/>
      <c r="CU2580" s="45"/>
      <c r="CV2580" s="99">
        <f t="shared" si="255"/>
        <v>0</v>
      </c>
      <c r="CW2580" s="139"/>
      <c r="CX2580" s="138"/>
      <c r="CY2580" s="138">
        <v>100</v>
      </c>
      <c r="CZ2580" s="138">
        <f>100*85000</f>
        <v>8500000</v>
      </c>
      <c r="DA2580" s="139"/>
      <c r="DB2580" s="138"/>
      <c r="DC2580" s="45">
        <v>1000</v>
      </c>
      <c r="DD2580" s="138">
        <f>1000*22500</f>
        <v>22500000</v>
      </c>
      <c r="DE2580" s="45"/>
      <c r="DF2580" s="46"/>
    </row>
    <row r="2581" spans="1:110" s="42" customFormat="1" ht="60" x14ac:dyDescent="0.2">
      <c r="A2581" s="89">
        <v>40860</v>
      </c>
      <c r="B2581" s="196" t="s">
        <v>4348</v>
      </c>
      <c r="C2581" s="197" t="s">
        <v>3304</v>
      </c>
      <c r="D2581" s="90" t="s">
        <v>2362</v>
      </c>
      <c r="E2581" s="90" t="str">
        <f>VLOOKUP(B2581&amp;C2581,Divipola!$C$2:$F$1138,4,FALSE)</f>
        <v>66440</v>
      </c>
      <c r="F2581" s="4"/>
      <c r="G2581" s="194"/>
      <c r="H2581" s="194"/>
      <c r="I2581" s="194"/>
      <c r="J2581" s="194"/>
      <c r="K2581" s="194"/>
      <c r="L2581" s="194"/>
      <c r="M2581" s="194"/>
      <c r="N2581" s="194">
        <v>1</v>
      </c>
      <c r="O2581" s="194"/>
      <c r="P2581" s="194"/>
      <c r="Q2581" s="194"/>
      <c r="R2581" s="194"/>
      <c r="S2581" s="194"/>
      <c r="T2581" s="194"/>
      <c r="U2581" s="194"/>
      <c r="V2581" s="194"/>
      <c r="W2581" s="19"/>
      <c r="X2581" s="17"/>
      <c r="Y2581" s="5">
        <f t="shared" si="250"/>
        <v>0</v>
      </c>
      <c r="Z2581" s="5">
        <f t="shared" si="251"/>
        <v>0</v>
      </c>
      <c r="AA2581" s="5">
        <f t="shared" si="252"/>
        <v>0</v>
      </c>
      <c r="AB2581" s="5">
        <f t="shared" si="253"/>
        <v>0</v>
      </c>
      <c r="AC2581" s="5"/>
      <c r="AD2581" s="5">
        <v>0</v>
      </c>
      <c r="AE2581" s="5">
        <f t="shared" si="254"/>
        <v>0</v>
      </c>
      <c r="AF2581" s="70">
        <v>0</v>
      </c>
      <c r="AG2581" s="17"/>
      <c r="AH2581" s="18"/>
      <c r="AI2581" s="47" t="s">
        <v>4346</v>
      </c>
      <c r="AJ2581" s="73" t="s">
        <v>4347</v>
      </c>
      <c r="AK2581" s="45"/>
      <c r="AL2581" s="17" t="s">
        <v>5534</v>
      </c>
      <c r="AM2581" s="195" t="s">
        <v>4962</v>
      </c>
      <c r="AN2581" s="19"/>
      <c r="AO2581" s="19"/>
      <c r="AP2581" s="19"/>
      <c r="AQ2581" s="19"/>
      <c r="AR2581" s="19"/>
      <c r="AS2581" s="19"/>
      <c r="AT2581" s="19"/>
      <c r="AU2581" s="19"/>
      <c r="AV2581" s="19"/>
      <c r="AW2581" s="19"/>
      <c r="AX2581" s="19"/>
      <c r="AY2581" s="19"/>
      <c r="AZ2581" s="19"/>
      <c r="BA2581" s="19"/>
      <c r="BB2581" s="19"/>
      <c r="BC2581" s="19"/>
      <c r="BD2581" s="19"/>
      <c r="BE2581" s="19"/>
      <c r="BF2581" s="19"/>
      <c r="BG2581" s="19"/>
      <c r="BH2581" s="19"/>
      <c r="BI2581" s="19"/>
      <c r="BJ2581" s="19"/>
      <c r="BK2581" s="19"/>
      <c r="BL2581" s="19"/>
      <c r="BM2581" s="19"/>
      <c r="BN2581" s="19"/>
      <c r="BO2581" s="19"/>
      <c r="BP2581" s="19"/>
      <c r="BQ2581" s="19"/>
      <c r="BR2581" s="19"/>
      <c r="BS2581" s="19"/>
      <c r="BT2581" s="19"/>
      <c r="BU2581" s="19"/>
      <c r="BV2581" s="19"/>
      <c r="BW2581" s="19"/>
      <c r="BX2581" s="19"/>
      <c r="BY2581" s="19"/>
      <c r="BZ2581" s="19"/>
      <c r="CA2581" s="19"/>
      <c r="CB2581" s="19"/>
      <c r="CC2581" s="19"/>
      <c r="CD2581" s="139"/>
      <c r="CE2581" s="138"/>
      <c r="CF2581" s="139"/>
      <c r="CG2581" s="138"/>
      <c r="CH2581" s="139"/>
      <c r="CI2581" s="138"/>
      <c r="CJ2581" s="72"/>
      <c r="CK2581" s="139"/>
      <c r="CL2581" s="71"/>
      <c r="CM2581" s="139"/>
      <c r="CN2581" s="138"/>
      <c r="CO2581" s="138"/>
      <c r="CP2581" s="138"/>
      <c r="CQ2581" s="139"/>
      <c r="CR2581" s="138"/>
      <c r="CS2581" s="45"/>
      <c r="CT2581" s="138"/>
      <c r="CU2581" s="45"/>
      <c r="CV2581" s="99">
        <f t="shared" si="255"/>
        <v>0</v>
      </c>
      <c r="CW2581" s="139"/>
      <c r="CX2581" s="138"/>
      <c r="CY2581" s="138"/>
      <c r="CZ2581" s="138"/>
      <c r="DA2581" s="139"/>
      <c r="DB2581" s="138"/>
      <c r="DC2581" s="45"/>
      <c r="DD2581" s="138"/>
      <c r="DE2581" s="45"/>
      <c r="DF2581" s="46"/>
    </row>
    <row r="2582" spans="1:110" s="42" customFormat="1" ht="96" x14ac:dyDescent="0.2">
      <c r="A2582" s="89">
        <v>40860</v>
      </c>
      <c r="B2582" s="151" t="s">
        <v>4348</v>
      </c>
      <c r="C2582" s="90" t="s">
        <v>3342</v>
      </c>
      <c r="D2582" s="90" t="s">
        <v>2362</v>
      </c>
      <c r="E2582" s="90" t="str">
        <f>VLOOKUP(B2582&amp;C2582,Divipola!$C$2:$F$1138,4,FALSE)</f>
        <v>66383</v>
      </c>
      <c r="F2582" s="4"/>
      <c r="G2582" s="101"/>
      <c r="H2582" s="101"/>
      <c r="I2582" s="101"/>
      <c r="J2582" s="101">
        <v>90</v>
      </c>
      <c r="K2582" s="101">
        <v>16</v>
      </c>
      <c r="L2582" s="101"/>
      <c r="M2582" s="101">
        <v>16</v>
      </c>
      <c r="N2582" s="101">
        <v>4</v>
      </c>
      <c r="O2582" s="101"/>
      <c r="P2582" s="101"/>
      <c r="Q2582" s="101"/>
      <c r="R2582" s="101"/>
      <c r="S2582" s="101"/>
      <c r="T2582" s="101"/>
      <c r="U2582" s="101"/>
      <c r="V2582" s="101"/>
      <c r="W2582" s="19"/>
      <c r="X2582" s="17"/>
      <c r="Y2582" s="5">
        <f t="shared" si="250"/>
        <v>0</v>
      </c>
      <c r="Z2582" s="5">
        <f t="shared" si="251"/>
        <v>0</v>
      </c>
      <c r="AA2582" s="5">
        <f t="shared" si="252"/>
        <v>0</v>
      </c>
      <c r="AB2582" s="5">
        <f t="shared" si="253"/>
        <v>0</v>
      </c>
      <c r="AC2582" s="5"/>
      <c r="AD2582" s="5">
        <v>0</v>
      </c>
      <c r="AE2582" s="5">
        <f t="shared" si="254"/>
        <v>0</v>
      </c>
      <c r="AF2582" s="70">
        <v>0</v>
      </c>
      <c r="AG2582" s="17"/>
      <c r="AH2582" s="18"/>
      <c r="AI2582" s="47" t="s">
        <v>4346</v>
      </c>
      <c r="AJ2582" s="73" t="s">
        <v>4347</v>
      </c>
      <c r="AK2582" s="45"/>
      <c r="AL2582" s="17" t="s">
        <v>5534</v>
      </c>
      <c r="AM2582" s="121" t="s">
        <v>5368</v>
      </c>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39"/>
      <c r="CE2582" s="138"/>
      <c r="CF2582" s="139"/>
      <c r="CG2582" s="138"/>
      <c r="CH2582" s="139"/>
      <c r="CI2582" s="138"/>
      <c r="CJ2582" s="72"/>
      <c r="CK2582" s="139"/>
      <c r="CL2582" s="71"/>
      <c r="CM2582" s="139"/>
      <c r="CN2582" s="138"/>
      <c r="CO2582" s="138"/>
      <c r="CP2582" s="138"/>
      <c r="CQ2582" s="139"/>
      <c r="CR2582" s="138"/>
      <c r="CS2582" s="45"/>
      <c r="CT2582" s="138"/>
      <c r="CU2582" s="45"/>
      <c r="CV2582" s="99">
        <f t="shared" si="255"/>
        <v>0</v>
      </c>
      <c r="CW2582" s="139"/>
      <c r="CX2582" s="138"/>
      <c r="CY2582" s="138"/>
      <c r="CZ2582" s="138"/>
      <c r="DA2582" s="139"/>
      <c r="DB2582" s="138"/>
      <c r="DC2582" s="45"/>
      <c r="DD2582" s="138"/>
      <c r="DE2582" s="45"/>
      <c r="DF2582" s="46"/>
    </row>
    <row r="2583" spans="1:110" s="42" customFormat="1" ht="36" x14ac:dyDescent="0.2">
      <c r="A2583" s="89">
        <v>40860</v>
      </c>
      <c r="B2583" s="151" t="s">
        <v>4348</v>
      </c>
      <c r="C2583" s="90" t="s">
        <v>3338</v>
      </c>
      <c r="D2583" s="90" t="s">
        <v>4264</v>
      </c>
      <c r="E2583" s="90" t="str">
        <f>VLOOKUP(B2583&amp;C2583,Divipola!$C$2:$F$1138,4,FALSE)</f>
        <v>66088</v>
      </c>
      <c r="F2583" s="4"/>
      <c r="G2583" s="101"/>
      <c r="H2583" s="101"/>
      <c r="I2583" s="101"/>
      <c r="J2583" s="101">
        <v>10</v>
      </c>
      <c r="K2583" s="101">
        <v>2</v>
      </c>
      <c r="L2583" s="101"/>
      <c r="M2583" s="101">
        <v>2</v>
      </c>
      <c r="N2583" s="101"/>
      <c r="O2583" s="101"/>
      <c r="P2583" s="101"/>
      <c r="Q2583" s="101"/>
      <c r="R2583" s="101"/>
      <c r="S2583" s="101"/>
      <c r="T2583" s="101"/>
      <c r="U2583" s="101"/>
      <c r="V2583" s="101"/>
      <c r="W2583" s="19"/>
      <c r="X2583" s="17"/>
      <c r="Y2583" s="5">
        <f t="shared" si="250"/>
        <v>0</v>
      </c>
      <c r="Z2583" s="5">
        <f t="shared" si="251"/>
        <v>0</v>
      </c>
      <c r="AA2583" s="5">
        <f t="shared" si="252"/>
        <v>0</v>
      </c>
      <c r="AB2583" s="5">
        <f t="shared" si="253"/>
        <v>0</v>
      </c>
      <c r="AC2583" s="5"/>
      <c r="AD2583" s="5">
        <v>0</v>
      </c>
      <c r="AE2583" s="5">
        <f t="shared" si="254"/>
        <v>0</v>
      </c>
      <c r="AF2583" s="70">
        <v>0</v>
      </c>
      <c r="AG2583" s="17"/>
      <c r="AH2583" s="18"/>
      <c r="AI2583" s="47" t="s">
        <v>4346</v>
      </c>
      <c r="AJ2583" s="73" t="s">
        <v>4347</v>
      </c>
      <c r="AK2583" s="45"/>
      <c r="AL2583" s="17" t="s">
        <v>5534</v>
      </c>
      <c r="AM2583" s="121" t="s">
        <v>4971</v>
      </c>
      <c r="AN2583" s="19"/>
      <c r="AO2583" s="19"/>
      <c r="AP2583" s="19"/>
      <c r="AQ2583" s="19"/>
      <c r="AR2583" s="19"/>
      <c r="AS2583" s="19"/>
      <c r="AT2583" s="19"/>
      <c r="AU2583" s="19"/>
      <c r="AV2583" s="19"/>
      <c r="AW2583" s="19"/>
      <c r="AX2583" s="19"/>
      <c r="AY2583" s="19"/>
      <c r="AZ2583" s="19"/>
      <c r="BA2583" s="19"/>
      <c r="BB2583" s="19"/>
      <c r="BC2583" s="19"/>
      <c r="BD2583" s="19"/>
      <c r="BE2583" s="19"/>
      <c r="BF2583" s="19"/>
      <c r="BG2583" s="19"/>
      <c r="BH2583" s="19"/>
      <c r="BI2583" s="19"/>
      <c r="BJ2583" s="19"/>
      <c r="BK2583" s="19"/>
      <c r="BL2583" s="19"/>
      <c r="BM2583" s="19"/>
      <c r="BN2583" s="19"/>
      <c r="BO2583" s="19"/>
      <c r="BP2583" s="19"/>
      <c r="BQ2583" s="19"/>
      <c r="BR2583" s="19"/>
      <c r="BS2583" s="19"/>
      <c r="BT2583" s="19"/>
      <c r="BU2583" s="19"/>
      <c r="BV2583" s="19"/>
      <c r="BW2583" s="19"/>
      <c r="BX2583" s="19"/>
      <c r="BY2583" s="19"/>
      <c r="BZ2583" s="19"/>
      <c r="CA2583" s="19"/>
      <c r="CB2583" s="19"/>
      <c r="CC2583" s="19"/>
      <c r="CD2583" s="139"/>
      <c r="CE2583" s="138"/>
      <c r="CF2583" s="139"/>
      <c r="CG2583" s="138"/>
      <c r="CH2583" s="139"/>
      <c r="CI2583" s="138"/>
      <c r="CJ2583" s="72"/>
      <c r="CK2583" s="139"/>
      <c r="CL2583" s="71"/>
      <c r="CM2583" s="139"/>
      <c r="CN2583" s="138"/>
      <c r="CO2583" s="138"/>
      <c r="CP2583" s="138"/>
      <c r="CQ2583" s="139"/>
      <c r="CR2583" s="138"/>
      <c r="CS2583" s="45"/>
      <c r="CT2583" s="138"/>
      <c r="CU2583" s="45"/>
      <c r="CV2583" s="99">
        <f t="shared" si="255"/>
        <v>0</v>
      </c>
      <c r="CW2583" s="139"/>
      <c r="CX2583" s="138"/>
      <c r="CY2583" s="138"/>
      <c r="CZ2583" s="138"/>
      <c r="DA2583" s="139"/>
      <c r="DB2583" s="138"/>
      <c r="DC2583" s="45"/>
      <c r="DD2583" s="138"/>
      <c r="DE2583" s="45"/>
      <c r="DF2583" s="46"/>
    </row>
    <row r="2584" spans="1:110" s="42" customFormat="1" ht="60" x14ac:dyDescent="0.2">
      <c r="A2584" s="89">
        <v>40860</v>
      </c>
      <c r="B2584" s="151" t="s">
        <v>4244</v>
      </c>
      <c r="C2584" s="90" t="s">
        <v>3384</v>
      </c>
      <c r="D2584" s="90" t="s">
        <v>4264</v>
      </c>
      <c r="E2584" s="90" t="str">
        <f>VLOOKUP(B2584&amp;C2584,Divipola!$C$2:$F$1138,4,FALSE)</f>
        <v>76892</v>
      </c>
      <c r="F2584" s="4"/>
      <c r="G2584" s="101"/>
      <c r="H2584" s="101"/>
      <c r="I2584" s="101"/>
      <c r="J2584" s="101">
        <v>15</v>
      </c>
      <c r="K2584" s="101">
        <v>1</v>
      </c>
      <c r="L2584" s="101"/>
      <c r="M2584" s="101">
        <v>1</v>
      </c>
      <c r="N2584" s="101"/>
      <c r="O2584" s="101"/>
      <c r="P2584" s="101"/>
      <c r="Q2584" s="101"/>
      <c r="R2584" s="101"/>
      <c r="S2584" s="101"/>
      <c r="T2584" s="101"/>
      <c r="U2584" s="101"/>
      <c r="V2584" s="101"/>
      <c r="W2584" s="19"/>
      <c r="X2584" s="17"/>
      <c r="Y2584" s="5">
        <f t="shared" si="250"/>
        <v>0</v>
      </c>
      <c r="Z2584" s="5">
        <f t="shared" si="251"/>
        <v>0</v>
      </c>
      <c r="AA2584" s="5">
        <f t="shared" si="252"/>
        <v>0</v>
      </c>
      <c r="AB2584" s="5">
        <f t="shared" si="253"/>
        <v>0</v>
      </c>
      <c r="AC2584" s="5"/>
      <c r="AD2584" s="5">
        <v>0</v>
      </c>
      <c r="AE2584" s="5">
        <f t="shared" si="254"/>
        <v>0</v>
      </c>
      <c r="AF2584" s="70">
        <v>0</v>
      </c>
      <c r="AG2584" s="17"/>
      <c r="AH2584" s="18"/>
      <c r="AI2584" s="47" t="s">
        <v>4346</v>
      </c>
      <c r="AJ2584" s="73" t="s">
        <v>4347</v>
      </c>
      <c r="AK2584" s="45"/>
      <c r="AL2584" s="89" t="s">
        <v>2798</v>
      </c>
      <c r="AM2584" s="121" t="s">
        <v>4972</v>
      </c>
      <c r="AN2584" s="19"/>
      <c r="AO2584" s="19"/>
      <c r="AP2584" s="19"/>
      <c r="AQ2584" s="19"/>
      <c r="AR2584" s="19"/>
      <c r="AS2584" s="19"/>
      <c r="AT2584" s="19"/>
      <c r="AU2584" s="19"/>
      <c r="AV2584" s="19"/>
      <c r="AW2584" s="19"/>
      <c r="AX2584" s="19"/>
      <c r="AY2584" s="19"/>
      <c r="AZ2584" s="19"/>
      <c r="BA2584" s="19"/>
      <c r="BB2584" s="19"/>
      <c r="BC2584" s="19"/>
      <c r="BD2584" s="19"/>
      <c r="BE2584" s="19"/>
      <c r="BF2584" s="19"/>
      <c r="BG2584" s="19"/>
      <c r="BH2584" s="19"/>
      <c r="BI2584" s="19"/>
      <c r="BJ2584" s="19"/>
      <c r="BK2584" s="19"/>
      <c r="BL2584" s="19"/>
      <c r="BM2584" s="19"/>
      <c r="BN2584" s="19"/>
      <c r="BO2584" s="19"/>
      <c r="BP2584" s="19"/>
      <c r="BQ2584" s="19"/>
      <c r="BR2584" s="19"/>
      <c r="BS2584" s="19"/>
      <c r="BT2584" s="19"/>
      <c r="BU2584" s="19"/>
      <c r="BV2584" s="19"/>
      <c r="BW2584" s="19"/>
      <c r="BX2584" s="19"/>
      <c r="BY2584" s="19"/>
      <c r="BZ2584" s="19"/>
      <c r="CA2584" s="19"/>
      <c r="CB2584" s="19"/>
      <c r="CC2584" s="19"/>
      <c r="CD2584" s="139"/>
      <c r="CE2584" s="138"/>
      <c r="CF2584" s="139"/>
      <c r="CG2584" s="138"/>
      <c r="CH2584" s="139"/>
      <c r="CI2584" s="138"/>
      <c r="CJ2584" s="72"/>
      <c r="CK2584" s="139"/>
      <c r="CL2584" s="71"/>
      <c r="CM2584" s="139"/>
      <c r="CN2584" s="138"/>
      <c r="CO2584" s="138"/>
      <c r="CP2584" s="138"/>
      <c r="CQ2584" s="139"/>
      <c r="CR2584" s="138"/>
      <c r="CS2584" s="45"/>
      <c r="CT2584" s="138"/>
      <c r="CU2584" s="45"/>
      <c r="CV2584" s="99">
        <f t="shared" si="255"/>
        <v>0</v>
      </c>
      <c r="CW2584" s="139"/>
      <c r="CX2584" s="138"/>
      <c r="CY2584" s="138"/>
      <c r="CZ2584" s="138"/>
      <c r="DA2584" s="139"/>
      <c r="DB2584" s="138"/>
      <c r="DC2584" s="45"/>
      <c r="DD2584" s="138"/>
      <c r="DE2584" s="45"/>
      <c r="DF2584" s="46"/>
    </row>
    <row r="2585" spans="1:110" s="42" customFormat="1" ht="60" x14ac:dyDescent="0.2">
      <c r="A2585" s="89">
        <v>40860</v>
      </c>
      <c r="B2585" s="151" t="s">
        <v>4244</v>
      </c>
      <c r="C2585" s="90" t="s">
        <v>3372</v>
      </c>
      <c r="D2585" s="90" t="s">
        <v>4264</v>
      </c>
      <c r="E2585" s="90" t="str">
        <f>VLOOKUP(B2585&amp;C2585,Divipola!$C$2:$F$1138,4,FALSE)</f>
        <v>76036</v>
      </c>
      <c r="F2585" s="4"/>
      <c r="G2585" s="101"/>
      <c r="H2585" s="101"/>
      <c r="I2585" s="101"/>
      <c r="J2585" s="101">
        <v>120</v>
      </c>
      <c r="K2585" s="101">
        <v>38</v>
      </c>
      <c r="L2585" s="101"/>
      <c r="M2585" s="101">
        <v>10</v>
      </c>
      <c r="N2585" s="101"/>
      <c r="O2585" s="101"/>
      <c r="P2585" s="101"/>
      <c r="Q2585" s="101"/>
      <c r="R2585" s="101"/>
      <c r="S2585" s="101"/>
      <c r="T2585" s="101"/>
      <c r="U2585" s="101"/>
      <c r="V2585" s="101"/>
      <c r="W2585" s="19"/>
      <c r="X2585" s="17"/>
      <c r="Y2585" s="5">
        <f t="shared" si="250"/>
        <v>0</v>
      </c>
      <c r="Z2585" s="5">
        <f t="shared" si="251"/>
        <v>0</v>
      </c>
      <c r="AA2585" s="5">
        <f t="shared" si="252"/>
        <v>0</v>
      </c>
      <c r="AB2585" s="5">
        <f t="shared" si="253"/>
        <v>0</v>
      </c>
      <c r="AC2585" s="5"/>
      <c r="AD2585" s="5">
        <v>0</v>
      </c>
      <c r="AE2585" s="5">
        <f t="shared" si="254"/>
        <v>0</v>
      </c>
      <c r="AF2585" s="70">
        <v>0</v>
      </c>
      <c r="AG2585" s="17"/>
      <c r="AH2585" s="18"/>
      <c r="AI2585" s="47" t="s">
        <v>4346</v>
      </c>
      <c r="AJ2585" s="73" t="s">
        <v>4347</v>
      </c>
      <c r="AK2585" s="45"/>
      <c r="AL2585" s="89" t="s">
        <v>2798</v>
      </c>
      <c r="AM2585" s="121" t="s">
        <v>4973</v>
      </c>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c r="BV2585" s="19"/>
      <c r="BW2585" s="19"/>
      <c r="BX2585" s="19"/>
      <c r="BY2585" s="19"/>
      <c r="BZ2585" s="19"/>
      <c r="CA2585" s="19"/>
      <c r="CB2585" s="19"/>
      <c r="CC2585" s="19"/>
      <c r="CD2585" s="139"/>
      <c r="CE2585" s="138"/>
      <c r="CF2585" s="139"/>
      <c r="CG2585" s="138"/>
      <c r="CH2585" s="139"/>
      <c r="CI2585" s="138"/>
      <c r="CJ2585" s="72"/>
      <c r="CK2585" s="139"/>
      <c r="CL2585" s="71"/>
      <c r="CM2585" s="139"/>
      <c r="CN2585" s="138"/>
      <c r="CO2585" s="138"/>
      <c r="CP2585" s="138"/>
      <c r="CQ2585" s="139"/>
      <c r="CR2585" s="138"/>
      <c r="CS2585" s="45"/>
      <c r="CT2585" s="138"/>
      <c r="CU2585" s="45"/>
      <c r="CV2585" s="99">
        <f t="shared" si="255"/>
        <v>0</v>
      </c>
      <c r="CW2585" s="139"/>
      <c r="CX2585" s="138"/>
      <c r="CY2585" s="138"/>
      <c r="CZ2585" s="138"/>
      <c r="DA2585" s="139"/>
      <c r="DB2585" s="138"/>
      <c r="DC2585" s="45"/>
      <c r="DD2585" s="138"/>
      <c r="DE2585" s="45"/>
      <c r="DF2585" s="46"/>
    </row>
    <row r="2586" spans="1:110" s="42" customFormat="1" ht="84" x14ac:dyDescent="0.2">
      <c r="A2586" s="89">
        <v>40860</v>
      </c>
      <c r="B2586" s="196" t="s">
        <v>4350</v>
      </c>
      <c r="C2586" s="197" t="s">
        <v>4351</v>
      </c>
      <c r="D2586" s="197" t="s">
        <v>2362</v>
      </c>
      <c r="E2586" s="90" t="str">
        <f>VLOOKUP(B2586&amp;C2586,Divipola!$C$2:$F$1138,4,FALSE)</f>
        <v>63001</v>
      </c>
      <c r="F2586" s="4"/>
      <c r="G2586" s="194"/>
      <c r="H2586" s="194"/>
      <c r="I2586" s="194"/>
      <c r="J2586" s="194">
        <v>717</v>
      </c>
      <c r="K2586" s="194">
        <v>156</v>
      </c>
      <c r="L2586" s="194"/>
      <c r="M2586" s="194"/>
      <c r="N2586" s="194"/>
      <c r="O2586" s="194"/>
      <c r="P2586" s="194"/>
      <c r="Q2586" s="194"/>
      <c r="R2586" s="194"/>
      <c r="S2586" s="194"/>
      <c r="T2586" s="194"/>
      <c r="U2586" s="194"/>
      <c r="V2586" s="194"/>
      <c r="W2586" s="19"/>
      <c r="X2586" s="17"/>
      <c r="Y2586" s="5">
        <f t="shared" si="250"/>
        <v>0</v>
      </c>
      <c r="Z2586" s="5">
        <f t="shared" si="251"/>
        <v>0</v>
      </c>
      <c r="AA2586" s="5">
        <f t="shared" si="252"/>
        <v>0</v>
      </c>
      <c r="AB2586" s="5">
        <f t="shared" si="253"/>
        <v>0</v>
      </c>
      <c r="AC2586" s="5"/>
      <c r="AD2586" s="5">
        <v>0</v>
      </c>
      <c r="AE2586" s="5">
        <f t="shared" si="254"/>
        <v>0</v>
      </c>
      <c r="AF2586" s="70">
        <v>0</v>
      </c>
      <c r="AG2586" s="17"/>
      <c r="AH2586" s="18"/>
      <c r="AI2586" s="47" t="s">
        <v>4346</v>
      </c>
      <c r="AJ2586" s="73" t="s">
        <v>4347</v>
      </c>
      <c r="AK2586" s="45"/>
      <c r="AL2586" s="17" t="s">
        <v>5051</v>
      </c>
      <c r="AM2586" s="195" t="s">
        <v>5245</v>
      </c>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c r="BV2586" s="19"/>
      <c r="BW2586" s="19"/>
      <c r="BX2586" s="19"/>
      <c r="BY2586" s="19"/>
      <c r="BZ2586" s="19"/>
      <c r="CA2586" s="19"/>
      <c r="CB2586" s="19"/>
      <c r="CC2586" s="19"/>
      <c r="CD2586" s="139"/>
      <c r="CE2586" s="138"/>
      <c r="CF2586" s="139"/>
      <c r="CG2586" s="138"/>
      <c r="CH2586" s="139"/>
      <c r="CI2586" s="138"/>
      <c r="CJ2586" s="72"/>
      <c r="CK2586" s="139"/>
      <c r="CL2586" s="71"/>
      <c r="CM2586" s="139"/>
      <c r="CN2586" s="138"/>
      <c r="CO2586" s="138"/>
      <c r="CP2586" s="138"/>
      <c r="CQ2586" s="139"/>
      <c r="CR2586" s="138"/>
      <c r="CS2586" s="45"/>
      <c r="CT2586" s="138"/>
      <c r="CU2586" s="45"/>
      <c r="CV2586" s="99">
        <f t="shared" si="255"/>
        <v>0</v>
      </c>
      <c r="CW2586" s="139"/>
      <c r="CX2586" s="138"/>
      <c r="CY2586" s="138"/>
      <c r="CZ2586" s="138"/>
      <c r="DA2586" s="139"/>
      <c r="DB2586" s="138"/>
      <c r="DC2586" s="45"/>
      <c r="DD2586" s="138"/>
      <c r="DE2586" s="45"/>
      <c r="DF2586" s="46"/>
    </row>
    <row r="2587" spans="1:110" s="42" customFormat="1" ht="72" x14ac:dyDescent="0.2">
      <c r="A2587" s="89">
        <v>40861</v>
      </c>
      <c r="B2587" s="151" t="s">
        <v>4296</v>
      </c>
      <c r="C2587" s="90" t="s">
        <v>4297</v>
      </c>
      <c r="D2587" s="90" t="s">
        <v>2362</v>
      </c>
      <c r="E2587" s="90" t="str">
        <f>VLOOKUP(B2587&amp;C2587,Divipola!$C$2:$F$1138,4,FALSE)</f>
        <v>19001</v>
      </c>
      <c r="F2587" s="4"/>
      <c r="G2587" s="101"/>
      <c r="H2587" s="101"/>
      <c r="I2587" s="101"/>
      <c r="J2587" s="101"/>
      <c r="K2587" s="101"/>
      <c r="L2587" s="101"/>
      <c r="M2587" s="101"/>
      <c r="N2587" s="101"/>
      <c r="O2587" s="101"/>
      <c r="P2587" s="101"/>
      <c r="Q2587" s="101"/>
      <c r="R2587" s="101"/>
      <c r="S2587" s="101"/>
      <c r="T2587" s="101"/>
      <c r="U2587" s="101"/>
      <c r="V2587" s="101"/>
      <c r="W2587" s="19"/>
      <c r="X2587" s="17"/>
      <c r="Y2587" s="5">
        <f t="shared" si="250"/>
        <v>0</v>
      </c>
      <c r="Z2587" s="5">
        <f t="shared" si="251"/>
        <v>0</v>
      </c>
      <c r="AA2587" s="5">
        <f t="shared" si="252"/>
        <v>0</v>
      </c>
      <c r="AB2587" s="5">
        <f t="shared" si="253"/>
        <v>0</v>
      </c>
      <c r="AC2587" s="5"/>
      <c r="AD2587" s="5">
        <v>0</v>
      </c>
      <c r="AE2587" s="5">
        <f t="shared" si="254"/>
        <v>0</v>
      </c>
      <c r="AF2587" s="70">
        <v>0</v>
      </c>
      <c r="AG2587" s="17"/>
      <c r="AH2587" s="18"/>
      <c r="AI2587" s="47" t="s">
        <v>4336</v>
      </c>
      <c r="AJ2587" s="73" t="s">
        <v>4337</v>
      </c>
      <c r="AK2587" s="45"/>
      <c r="AL2587" s="17"/>
      <c r="AM2587" s="121" t="s">
        <v>4974</v>
      </c>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c r="BV2587" s="19"/>
      <c r="BW2587" s="19"/>
      <c r="BX2587" s="19"/>
      <c r="BY2587" s="19"/>
      <c r="BZ2587" s="19"/>
      <c r="CA2587" s="19"/>
      <c r="CB2587" s="19"/>
      <c r="CC2587" s="19"/>
      <c r="CD2587" s="139"/>
      <c r="CE2587" s="138"/>
      <c r="CF2587" s="139"/>
      <c r="CG2587" s="138"/>
      <c r="CH2587" s="139"/>
      <c r="CI2587" s="138"/>
      <c r="CJ2587" s="72"/>
      <c r="CK2587" s="139"/>
      <c r="CL2587" s="71"/>
      <c r="CM2587" s="139"/>
      <c r="CN2587" s="138"/>
      <c r="CO2587" s="138"/>
      <c r="CP2587" s="138"/>
      <c r="CQ2587" s="139"/>
      <c r="CR2587" s="138"/>
      <c r="CS2587" s="45"/>
      <c r="CT2587" s="138"/>
      <c r="CU2587" s="45"/>
      <c r="CV2587" s="99">
        <f t="shared" si="255"/>
        <v>0</v>
      </c>
      <c r="CW2587" s="139"/>
      <c r="CX2587" s="138"/>
      <c r="CY2587" s="138"/>
      <c r="CZ2587" s="138"/>
      <c r="DA2587" s="139"/>
      <c r="DB2587" s="138"/>
      <c r="DC2587" s="45"/>
      <c r="DD2587" s="138"/>
      <c r="DE2587" s="45"/>
      <c r="DF2587" s="46"/>
    </row>
    <row r="2588" spans="1:110" s="42" customFormat="1" ht="60" x14ac:dyDescent="0.2">
      <c r="A2588" s="89">
        <v>40861</v>
      </c>
      <c r="B2588" s="151" t="s">
        <v>4348</v>
      </c>
      <c r="C2588" s="90" t="s">
        <v>601</v>
      </c>
      <c r="D2588" s="90" t="s">
        <v>2362</v>
      </c>
      <c r="E2588" s="90" t="str">
        <f>VLOOKUP(B2588&amp;C2588,Divipola!$C$2:$F$1138,4,FALSE)</f>
        <v>66170</v>
      </c>
      <c r="F2588" s="4"/>
      <c r="G2588" s="101"/>
      <c r="H2588" s="101"/>
      <c r="I2588" s="101"/>
      <c r="J2588" s="101">
        <v>10</v>
      </c>
      <c r="K2588" s="101">
        <v>2</v>
      </c>
      <c r="L2588" s="101"/>
      <c r="M2588" s="101">
        <v>2</v>
      </c>
      <c r="N2588" s="101">
        <v>4</v>
      </c>
      <c r="O2588" s="101"/>
      <c r="P2588" s="101"/>
      <c r="Q2588" s="101"/>
      <c r="R2588" s="101"/>
      <c r="S2588" s="101"/>
      <c r="T2588" s="101"/>
      <c r="U2588" s="101"/>
      <c r="V2588" s="101"/>
      <c r="W2588" s="19"/>
      <c r="X2588" s="17"/>
      <c r="Y2588" s="5">
        <f t="shared" si="250"/>
        <v>0</v>
      </c>
      <c r="Z2588" s="5">
        <f t="shared" si="251"/>
        <v>0</v>
      </c>
      <c r="AA2588" s="5">
        <f t="shared" si="252"/>
        <v>0</v>
      </c>
      <c r="AB2588" s="5">
        <f t="shared" si="253"/>
        <v>0</v>
      </c>
      <c r="AC2588" s="5"/>
      <c r="AD2588" s="5">
        <v>0</v>
      </c>
      <c r="AE2588" s="5">
        <f t="shared" si="254"/>
        <v>0</v>
      </c>
      <c r="AF2588" s="70">
        <v>0</v>
      </c>
      <c r="AG2588" s="17"/>
      <c r="AH2588" s="18"/>
      <c r="AI2588" s="47" t="s">
        <v>4346</v>
      </c>
      <c r="AJ2588" s="73" t="s">
        <v>4347</v>
      </c>
      <c r="AK2588" s="45"/>
      <c r="AL2588" s="17" t="s">
        <v>5534</v>
      </c>
      <c r="AM2588" s="121" t="s">
        <v>5070</v>
      </c>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c r="BV2588" s="19"/>
      <c r="BW2588" s="19"/>
      <c r="BX2588" s="19"/>
      <c r="BY2588" s="19"/>
      <c r="BZ2588" s="19"/>
      <c r="CA2588" s="19"/>
      <c r="CB2588" s="19"/>
      <c r="CC2588" s="19"/>
      <c r="CD2588" s="139"/>
      <c r="CE2588" s="138"/>
      <c r="CF2588" s="139"/>
      <c r="CG2588" s="138"/>
      <c r="CH2588" s="139"/>
      <c r="CI2588" s="138"/>
      <c r="CJ2588" s="72"/>
      <c r="CK2588" s="139"/>
      <c r="CL2588" s="71"/>
      <c r="CM2588" s="139"/>
      <c r="CN2588" s="138"/>
      <c r="CO2588" s="138"/>
      <c r="CP2588" s="138"/>
      <c r="CQ2588" s="139"/>
      <c r="CR2588" s="138"/>
      <c r="CS2588" s="45"/>
      <c r="CT2588" s="138"/>
      <c r="CU2588" s="45"/>
      <c r="CV2588" s="99">
        <f t="shared" si="255"/>
        <v>0</v>
      </c>
      <c r="CW2588" s="139"/>
      <c r="CX2588" s="138"/>
      <c r="CY2588" s="138"/>
      <c r="CZ2588" s="138"/>
      <c r="DA2588" s="139"/>
      <c r="DB2588" s="138"/>
      <c r="DC2588" s="45"/>
      <c r="DD2588" s="138"/>
      <c r="DE2588" s="45"/>
      <c r="DF2588" s="46"/>
    </row>
    <row r="2589" spans="1:110" s="42" customFormat="1" ht="72" x14ac:dyDescent="0.2">
      <c r="A2589" s="89">
        <v>40861</v>
      </c>
      <c r="B2589" s="151" t="s">
        <v>2226</v>
      </c>
      <c r="C2589" s="90" t="s">
        <v>3380</v>
      </c>
      <c r="D2589" s="90" t="s">
        <v>4264</v>
      </c>
      <c r="E2589" s="90" t="str">
        <f>VLOOKUP(B2589&amp;C2589,Divipola!$C$2:$F$1138,4,FALSE)</f>
        <v>68575</v>
      </c>
      <c r="F2589" s="4"/>
      <c r="G2589" s="101"/>
      <c r="H2589" s="101"/>
      <c r="I2589" s="101"/>
      <c r="J2589" s="101">
        <v>1266</v>
      </c>
      <c r="K2589" s="101">
        <v>261</v>
      </c>
      <c r="L2589" s="101"/>
      <c r="M2589" s="101">
        <v>261</v>
      </c>
      <c r="N2589" s="101"/>
      <c r="O2589" s="101"/>
      <c r="P2589" s="101"/>
      <c r="Q2589" s="101"/>
      <c r="R2589" s="101"/>
      <c r="S2589" s="101"/>
      <c r="T2589" s="101"/>
      <c r="U2589" s="101"/>
      <c r="V2589" s="101"/>
      <c r="W2589" s="19"/>
      <c r="X2589" s="17"/>
      <c r="Y2589" s="5">
        <f t="shared" si="250"/>
        <v>0</v>
      </c>
      <c r="Z2589" s="5">
        <f t="shared" si="251"/>
        <v>0</v>
      </c>
      <c r="AA2589" s="5">
        <f t="shared" si="252"/>
        <v>0</v>
      </c>
      <c r="AB2589" s="5">
        <f t="shared" si="253"/>
        <v>0</v>
      </c>
      <c r="AC2589" s="5"/>
      <c r="AD2589" s="5">
        <v>0</v>
      </c>
      <c r="AE2589" s="5">
        <f t="shared" si="254"/>
        <v>0</v>
      </c>
      <c r="AF2589" s="70">
        <v>0</v>
      </c>
      <c r="AG2589" s="17"/>
      <c r="AH2589" s="18"/>
      <c r="AI2589" s="47" t="s">
        <v>4346</v>
      </c>
      <c r="AJ2589" s="73" t="s">
        <v>4347</v>
      </c>
      <c r="AK2589" s="45"/>
      <c r="AL2589" s="17" t="s">
        <v>5534</v>
      </c>
      <c r="AM2589" s="121" t="s">
        <v>5005</v>
      </c>
      <c r="AN2589" s="19"/>
      <c r="AO2589" s="19"/>
      <c r="AP2589" s="19"/>
      <c r="AQ2589" s="19"/>
      <c r="AR2589" s="19"/>
      <c r="AS2589" s="19"/>
      <c r="AT2589" s="19"/>
      <c r="AU2589" s="19"/>
      <c r="AV2589" s="19"/>
      <c r="AW2589" s="19"/>
      <c r="AX2589" s="19"/>
      <c r="AY2589" s="19"/>
      <c r="AZ2589" s="19"/>
      <c r="BA2589" s="19"/>
      <c r="BB2589" s="19"/>
      <c r="BC2589" s="19"/>
      <c r="BD2589" s="19"/>
      <c r="BE2589" s="19"/>
      <c r="BF2589" s="19"/>
      <c r="BG2589" s="19"/>
      <c r="BH2589" s="19"/>
      <c r="BI2589" s="19"/>
      <c r="BJ2589" s="19"/>
      <c r="BK2589" s="19"/>
      <c r="BL2589" s="19"/>
      <c r="BM2589" s="19"/>
      <c r="BN2589" s="19"/>
      <c r="BO2589" s="19"/>
      <c r="BP2589" s="19"/>
      <c r="BQ2589" s="19"/>
      <c r="BR2589" s="19"/>
      <c r="BS2589" s="19"/>
      <c r="BT2589" s="19"/>
      <c r="BU2589" s="19"/>
      <c r="BV2589" s="19"/>
      <c r="BW2589" s="19"/>
      <c r="BX2589" s="19"/>
      <c r="BY2589" s="19"/>
      <c r="BZ2589" s="19"/>
      <c r="CA2589" s="19"/>
      <c r="CB2589" s="19"/>
      <c r="CC2589" s="19"/>
      <c r="CD2589" s="139"/>
      <c r="CE2589" s="138"/>
      <c r="CF2589" s="139"/>
      <c r="CG2589" s="138"/>
      <c r="CH2589" s="139"/>
      <c r="CI2589" s="138"/>
      <c r="CJ2589" s="72"/>
      <c r="CK2589" s="139"/>
      <c r="CL2589" s="71"/>
      <c r="CM2589" s="139"/>
      <c r="CN2589" s="138"/>
      <c r="CO2589" s="138"/>
      <c r="CP2589" s="138"/>
      <c r="CQ2589" s="139"/>
      <c r="CR2589" s="138"/>
      <c r="CS2589" s="45"/>
      <c r="CT2589" s="138"/>
      <c r="CU2589" s="45"/>
      <c r="CV2589" s="99">
        <f t="shared" si="255"/>
        <v>0</v>
      </c>
      <c r="CW2589" s="139"/>
      <c r="CX2589" s="138"/>
      <c r="CY2589" s="138"/>
      <c r="CZ2589" s="138"/>
      <c r="DA2589" s="139"/>
      <c r="DB2589" s="138"/>
      <c r="DC2589" s="45"/>
      <c r="DD2589" s="138"/>
      <c r="DE2589" s="45"/>
      <c r="DF2589" s="46"/>
    </row>
    <row r="2590" spans="1:110" s="42" customFormat="1" ht="24" x14ac:dyDescent="0.2">
      <c r="A2590" s="89">
        <v>40862</v>
      </c>
      <c r="B2590" s="151" t="s">
        <v>3358</v>
      </c>
      <c r="C2590" s="90" t="s">
        <v>1452</v>
      </c>
      <c r="D2590" s="90" t="s">
        <v>4264</v>
      </c>
      <c r="E2590" s="90" t="str">
        <f>VLOOKUP(B2590&amp;C2590,Divipola!$C$2:$F$1138,4,FALSE)</f>
        <v>18610</v>
      </c>
      <c r="F2590" s="4"/>
      <c r="G2590" s="101"/>
      <c r="H2590" s="101"/>
      <c r="I2590" s="101"/>
      <c r="J2590" s="101">
        <v>72</v>
      </c>
      <c r="K2590" s="101">
        <v>12</v>
      </c>
      <c r="L2590" s="101"/>
      <c r="M2590" s="101">
        <v>12</v>
      </c>
      <c r="N2590" s="101"/>
      <c r="O2590" s="101"/>
      <c r="P2590" s="101"/>
      <c r="Q2590" s="101"/>
      <c r="R2590" s="101"/>
      <c r="S2590" s="101"/>
      <c r="T2590" s="101"/>
      <c r="U2590" s="101"/>
      <c r="V2590" s="101"/>
      <c r="W2590" s="19"/>
      <c r="X2590" s="17"/>
      <c r="Y2590" s="5">
        <f t="shared" si="250"/>
        <v>0</v>
      </c>
      <c r="Z2590" s="5">
        <f t="shared" si="251"/>
        <v>0</v>
      </c>
      <c r="AA2590" s="5">
        <f t="shared" si="252"/>
        <v>0</v>
      </c>
      <c r="AB2590" s="5">
        <f t="shared" si="253"/>
        <v>0</v>
      </c>
      <c r="AC2590" s="5"/>
      <c r="AD2590" s="5">
        <v>0</v>
      </c>
      <c r="AE2590" s="5">
        <f t="shared" si="254"/>
        <v>0</v>
      </c>
      <c r="AF2590" s="70">
        <v>0</v>
      </c>
      <c r="AG2590" s="17"/>
      <c r="AH2590" s="18"/>
      <c r="AI2590" s="47" t="s">
        <v>4336</v>
      </c>
      <c r="AJ2590" s="73" t="s">
        <v>4337</v>
      </c>
      <c r="AK2590" s="45"/>
      <c r="AL2590" s="17"/>
      <c r="AM2590" s="121" t="s">
        <v>5004</v>
      </c>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39"/>
      <c r="CE2590" s="138"/>
      <c r="CF2590" s="139"/>
      <c r="CG2590" s="138"/>
      <c r="CH2590" s="139"/>
      <c r="CI2590" s="138"/>
      <c r="CJ2590" s="72"/>
      <c r="CK2590" s="139"/>
      <c r="CL2590" s="71"/>
      <c r="CM2590" s="139"/>
      <c r="CN2590" s="138"/>
      <c r="CO2590" s="138"/>
      <c r="CP2590" s="138"/>
      <c r="CQ2590" s="139"/>
      <c r="CR2590" s="138"/>
      <c r="CS2590" s="45"/>
      <c r="CT2590" s="138"/>
      <c r="CU2590" s="45"/>
      <c r="CV2590" s="99">
        <f t="shared" si="255"/>
        <v>0</v>
      </c>
      <c r="CW2590" s="139"/>
      <c r="CX2590" s="138"/>
      <c r="CY2590" s="138"/>
      <c r="CZ2590" s="138"/>
      <c r="DA2590" s="139"/>
      <c r="DB2590" s="138"/>
      <c r="DC2590" s="45"/>
      <c r="DD2590" s="138"/>
      <c r="DE2590" s="45"/>
      <c r="DF2590" s="46"/>
    </row>
    <row r="2591" spans="1:110" s="42" customFormat="1" ht="48" x14ac:dyDescent="0.2">
      <c r="A2591" s="89">
        <v>40862</v>
      </c>
      <c r="B2591" s="16" t="s">
        <v>4296</v>
      </c>
      <c r="C2591" s="16" t="s">
        <v>3364</v>
      </c>
      <c r="D2591" s="90" t="s">
        <v>4264</v>
      </c>
      <c r="E2591" s="90" t="str">
        <f>VLOOKUP(B2591&amp;C2591,Divipola!$C$2:$F$1138,4,FALSE)</f>
        <v>19455</v>
      </c>
      <c r="F2591" s="4"/>
      <c r="G2591" s="208"/>
      <c r="H2591" s="208"/>
      <c r="I2591" s="208"/>
      <c r="J2591" s="208"/>
      <c r="K2591" s="208"/>
      <c r="L2591" s="208"/>
      <c r="M2591" s="208"/>
      <c r="N2591" s="208"/>
      <c r="O2591" s="208"/>
      <c r="P2591" s="208"/>
      <c r="Q2591" s="208"/>
      <c r="R2591" s="208"/>
      <c r="S2591" s="208"/>
      <c r="T2591" s="208"/>
      <c r="U2591" s="208"/>
      <c r="V2591" s="208"/>
      <c r="W2591" s="19"/>
      <c r="X2591" s="17"/>
      <c r="Y2591" s="5">
        <f t="shared" si="250"/>
        <v>0</v>
      </c>
      <c r="Z2591" s="5">
        <f t="shared" si="251"/>
        <v>0</v>
      </c>
      <c r="AA2591" s="5">
        <f t="shared" si="252"/>
        <v>0</v>
      </c>
      <c r="AB2591" s="5">
        <f t="shared" si="253"/>
        <v>0</v>
      </c>
      <c r="AC2591" s="5"/>
      <c r="AD2591" s="5">
        <v>15000000</v>
      </c>
      <c r="AE2591" s="5">
        <f t="shared" si="254"/>
        <v>15000000</v>
      </c>
      <c r="AF2591" s="70">
        <v>0</v>
      </c>
      <c r="AG2591" s="17"/>
      <c r="AH2591" s="18"/>
      <c r="AI2591" s="47" t="s">
        <v>4346</v>
      </c>
      <c r="AJ2591" s="73" t="s">
        <v>4347</v>
      </c>
      <c r="AK2591" s="45"/>
      <c r="AL2591" s="17"/>
      <c r="AM2591" s="20" t="s">
        <v>4982</v>
      </c>
      <c r="AN2591" s="19"/>
      <c r="AO2591" s="19"/>
      <c r="AP2591" s="19"/>
      <c r="AQ2591" s="19"/>
      <c r="AR2591" s="19"/>
      <c r="AS2591" s="19"/>
      <c r="AT2591" s="19"/>
      <c r="AU2591" s="19"/>
      <c r="AV2591" s="19"/>
      <c r="AW2591" s="19"/>
      <c r="AX2591" s="19"/>
      <c r="AY2591" s="19"/>
      <c r="AZ2591" s="19"/>
      <c r="BA2591" s="19"/>
      <c r="BB2591" s="19"/>
      <c r="BC2591" s="19"/>
      <c r="BD2591" s="19"/>
      <c r="BE2591" s="19"/>
      <c r="BF2591" s="19"/>
      <c r="BG2591" s="19"/>
      <c r="BH2591" s="19"/>
      <c r="BI2591" s="19"/>
      <c r="BJ2591" s="19"/>
      <c r="BK2591" s="19"/>
      <c r="BL2591" s="19"/>
      <c r="BM2591" s="19"/>
      <c r="BN2591" s="19"/>
      <c r="BO2591" s="19"/>
      <c r="BP2591" s="19"/>
      <c r="BQ2591" s="19"/>
      <c r="BR2591" s="19"/>
      <c r="BS2591" s="19"/>
      <c r="BT2591" s="19"/>
      <c r="BU2591" s="19"/>
      <c r="BV2591" s="19"/>
      <c r="BW2591" s="19"/>
      <c r="BX2591" s="19"/>
      <c r="BY2591" s="19"/>
      <c r="BZ2591" s="19"/>
      <c r="CA2591" s="19"/>
      <c r="CB2591" s="19"/>
      <c r="CC2591" s="19"/>
      <c r="CD2591" s="139"/>
      <c r="CE2591" s="138"/>
      <c r="CF2591" s="139"/>
      <c r="CG2591" s="138"/>
      <c r="CH2591" s="139"/>
      <c r="CI2591" s="138"/>
      <c r="CJ2591" s="72"/>
      <c r="CK2591" s="139"/>
      <c r="CL2591" s="71"/>
      <c r="CM2591" s="139"/>
      <c r="CN2591" s="138"/>
      <c r="CO2591" s="138"/>
      <c r="CP2591" s="138"/>
      <c r="CQ2591" s="139"/>
      <c r="CR2591" s="138"/>
      <c r="CS2591" s="45"/>
      <c r="CT2591" s="138"/>
      <c r="CU2591" s="45"/>
      <c r="CV2591" s="99">
        <f t="shared" si="255"/>
        <v>0</v>
      </c>
      <c r="CW2591" s="139"/>
      <c r="CX2591" s="138"/>
      <c r="CY2591" s="138"/>
      <c r="CZ2591" s="138"/>
      <c r="DA2591" s="139"/>
      <c r="DB2591" s="138"/>
      <c r="DC2591" s="45"/>
      <c r="DD2591" s="138"/>
      <c r="DE2591" s="45"/>
      <c r="DF2591" s="46"/>
    </row>
    <row r="2592" spans="1:110" s="42" customFormat="1" ht="36" x14ac:dyDescent="0.2">
      <c r="A2592" s="89">
        <v>40862</v>
      </c>
      <c r="B2592" s="16" t="s">
        <v>4282</v>
      </c>
      <c r="C2592" s="16" t="s">
        <v>854</v>
      </c>
      <c r="D2592" s="90" t="s">
        <v>4264</v>
      </c>
      <c r="E2592" s="90" t="str">
        <f>VLOOKUP(B2592&amp;C2592,Divipola!$C$2:$F$1138,4,FALSE)</f>
        <v>23068</v>
      </c>
      <c r="F2592" s="4"/>
      <c r="G2592" s="208"/>
      <c r="H2592" s="208"/>
      <c r="I2592" s="208"/>
      <c r="J2592" s="208"/>
      <c r="K2592" s="208"/>
      <c r="L2592" s="208"/>
      <c r="M2592" s="208"/>
      <c r="N2592" s="208"/>
      <c r="O2592" s="208"/>
      <c r="P2592" s="208"/>
      <c r="Q2592" s="208"/>
      <c r="R2592" s="208"/>
      <c r="S2592" s="208"/>
      <c r="T2592" s="208"/>
      <c r="U2592" s="208"/>
      <c r="V2592" s="208"/>
      <c r="W2592" s="19"/>
      <c r="X2592" s="17"/>
      <c r="Y2592" s="5">
        <f t="shared" si="250"/>
        <v>0</v>
      </c>
      <c r="Z2592" s="5">
        <f t="shared" si="251"/>
        <v>51000000</v>
      </c>
      <c r="AA2592" s="5">
        <f t="shared" si="252"/>
        <v>0</v>
      </c>
      <c r="AB2592" s="5">
        <f t="shared" si="253"/>
        <v>0</v>
      </c>
      <c r="AC2592" s="5"/>
      <c r="AD2592" s="5">
        <v>20000000</v>
      </c>
      <c r="AE2592" s="5">
        <f t="shared" si="254"/>
        <v>71000000</v>
      </c>
      <c r="AF2592" s="70">
        <v>0</v>
      </c>
      <c r="AG2592" s="17"/>
      <c r="AH2592" s="18"/>
      <c r="AI2592" s="47" t="s">
        <v>4346</v>
      </c>
      <c r="AJ2592" s="73" t="s">
        <v>4347</v>
      </c>
      <c r="AK2592" s="45"/>
      <c r="AL2592" s="17"/>
      <c r="AM2592" s="20" t="s">
        <v>4983</v>
      </c>
      <c r="AN2592" s="19"/>
      <c r="AO2592" s="19"/>
      <c r="AP2592" s="19"/>
      <c r="AQ2592" s="19"/>
      <c r="AR2592" s="19"/>
      <c r="AS2592" s="19"/>
      <c r="AT2592" s="19"/>
      <c r="AU2592" s="19"/>
      <c r="AV2592" s="19"/>
      <c r="AW2592" s="19"/>
      <c r="AX2592" s="19"/>
      <c r="AY2592" s="19"/>
      <c r="AZ2592" s="19"/>
      <c r="BA2592" s="19"/>
      <c r="BB2592" s="19"/>
      <c r="BC2592" s="19"/>
      <c r="BD2592" s="19"/>
      <c r="BE2592" s="19"/>
      <c r="BF2592" s="19"/>
      <c r="BG2592" s="19"/>
      <c r="BH2592" s="19"/>
      <c r="BI2592" s="19"/>
      <c r="BJ2592" s="19"/>
      <c r="BK2592" s="19"/>
      <c r="BL2592" s="19"/>
      <c r="BM2592" s="19"/>
      <c r="BN2592" s="19"/>
      <c r="BO2592" s="19"/>
      <c r="BP2592" s="19"/>
      <c r="BQ2592" s="19"/>
      <c r="BR2592" s="19"/>
      <c r="BS2592" s="19"/>
      <c r="BT2592" s="19"/>
      <c r="BU2592" s="19"/>
      <c r="BV2592" s="19"/>
      <c r="BW2592" s="19"/>
      <c r="BX2592" s="19"/>
      <c r="BY2592" s="19"/>
      <c r="BZ2592" s="19"/>
      <c r="CA2592" s="19"/>
      <c r="CB2592" s="19"/>
      <c r="CC2592" s="19"/>
      <c r="CD2592" s="139"/>
      <c r="CE2592" s="138"/>
      <c r="CF2592" s="139"/>
      <c r="CG2592" s="138"/>
      <c r="CH2592" s="139"/>
      <c r="CI2592" s="138"/>
      <c r="CJ2592" s="72"/>
      <c r="CK2592" s="139"/>
      <c r="CL2592" s="71"/>
      <c r="CM2592" s="139"/>
      <c r="CN2592" s="138"/>
      <c r="CO2592" s="138"/>
      <c r="CP2592" s="138"/>
      <c r="CQ2592" s="139"/>
      <c r="CR2592" s="138"/>
      <c r="CS2592" s="45"/>
      <c r="CT2592" s="138"/>
      <c r="CU2592" s="45"/>
      <c r="CV2592" s="99">
        <f t="shared" si="255"/>
        <v>0</v>
      </c>
      <c r="CW2592" s="139"/>
      <c r="CX2592" s="138"/>
      <c r="CY2592" s="138">
        <v>600</v>
      </c>
      <c r="CZ2592" s="138">
        <f>600*85000</f>
        <v>51000000</v>
      </c>
      <c r="DA2592" s="139"/>
      <c r="DB2592" s="138"/>
      <c r="DC2592" s="45"/>
      <c r="DD2592" s="138"/>
      <c r="DE2592" s="45"/>
      <c r="DF2592" s="46"/>
    </row>
    <row r="2593" spans="1:110" s="42" customFormat="1" ht="60" x14ac:dyDescent="0.2">
      <c r="A2593" s="89">
        <v>40862</v>
      </c>
      <c r="B2593" s="151" t="s">
        <v>4344</v>
      </c>
      <c r="C2593" s="90" t="s">
        <v>3295</v>
      </c>
      <c r="D2593" s="90" t="s">
        <v>2362</v>
      </c>
      <c r="E2593" s="90" t="str">
        <f>VLOOKUP(B2593&amp;C2593,Divipola!$C$2:$F$1138,4,FALSE)</f>
        <v>25754</v>
      </c>
      <c r="F2593" s="4"/>
      <c r="G2593" s="101"/>
      <c r="H2593" s="101"/>
      <c r="I2593" s="101"/>
      <c r="J2593" s="101">
        <f>20*5</f>
        <v>100</v>
      </c>
      <c r="K2593" s="101">
        <v>20</v>
      </c>
      <c r="L2593" s="101"/>
      <c r="M2593" s="101"/>
      <c r="N2593" s="101">
        <v>1</v>
      </c>
      <c r="O2593" s="101"/>
      <c r="P2593" s="101"/>
      <c r="Q2593" s="101"/>
      <c r="R2593" s="101"/>
      <c r="S2593" s="101"/>
      <c r="T2593" s="208"/>
      <c r="U2593" s="208"/>
      <c r="V2593" s="208"/>
      <c r="W2593" s="19"/>
      <c r="X2593" s="17"/>
      <c r="Y2593" s="5">
        <f t="shared" si="250"/>
        <v>0</v>
      </c>
      <c r="Z2593" s="5">
        <f t="shared" si="251"/>
        <v>0</v>
      </c>
      <c r="AA2593" s="5">
        <f t="shared" si="252"/>
        <v>0</v>
      </c>
      <c r="AB2593" s="5">
        <f t="shared" si="253"/>
        <v>0</v>
      </c>
      <c r="AC2593" s="5"/>
      <c r="AD2593" s="5">
        <v>0</v>
      </c>
      <c r="AE2593" s="5">
        <f t="shared" si="254"/>
        <v>0</v>
      </c>
      <c r="AF2593" s="70">
        <v>0</v>
      </c>
      <c r="AG2593" s="17"/>
      <c r="AH2593" s="18"/>
      <c r="AI2593" s="47" t="s">
        <v>4336</v>
      </c>
      <c r="AJ2593" s="73" t="s">
        <v>4337</v>
      </c>
      <c r="AK2593" s="45"/>
      <c r="AL2593" s="17"/>
      <c r="AM2593" s="121" t="s">
        <v>4978</v>
      </c>
      <c r="AN2593" s="19"/>
      <c r="AO2593" s="19"/>
      <c r="AP2593" s="19"/>
      <c r="AQ2593" s="19"/>
      <c r="AR2593" s="19"/>
      <c r="AS2593" s="19"/>
      <c r="AT2593" s="19"/>
      <c r="AU2593" s="19"/>
      <c r="AV2593" s="19"/>
      <c r="AW2593" s="19"/>
      <c r="AX2593" s="19"/>
      <c r="AY2593" s="19"/>
      <c r="AZ2593" s="19"/>
      <c r="BA2593" s="19"/>
      <c r="BB2593" s="19"/>
      <c r="BC2593" s="19"/>
      <c r="BD2593" s="19"/>
      <c r="BE2593" s="19"/>
      <c r="BF2593" s="19"/>
      <c r="BG2593" s="19"/>
      <c r="BH2593" s="19"/>
      <c r="BI2593" s="19"/>
      <c r="BJ2593" s="19"/>
      <c r="BK2593" s="19"/>
      <c r="BL2593" s="19"/>
      <c r="BM2593" s="19"/>
      <c r="BN2593" s="19"/>
      <c r="BO2593" s="19"/>
      <c r="BP2593" s="19"/>
      <c r="BQ2593" s="19"/>
      <c r="BR2593" s="19"/>
      <c r="BS2593" s="19"/>
      <c r="BT2593" s="19"/>
      <c r="BU2593" s="19"/>
      <c r="BV2593" s="19"/>
      <c r="BW2593" s="19"/>
      <c r="BX2593" s="19"/>
      <c r="BY2593" s="19"/>
      <c r="BZ2593" s="19"/>
      <c r="CA2593" s="19"/>
      <c r="CB2593" s="19"/>
      <c r="CC2593" s="19"/>
      <c r="CD2593" s="139"/>
      <c r="CE2593" s="138"/>
      <c r="CF2593" s="139"/>
      <c r="CG2593" s="138"/>
      <c r="CH2593" s="139"/>
      <c r="CI2593" s="138"/>
      <c r="CJ2593" s="72"/>
      <c r="CK2593" s="139"/>
      <c r="CL2593" s="71"/>
      <c r="CM2593" s="139"/>
      <c r="CN2593" s="138"/>
      <c r="CO2593" s="138"/>
      <c r="CP2593" s="138"/>
      <c r="CQ2593" s="139"/>
      <c r="CR2593" s="138"/>
      <c r="CS2593" s="45"/>
      <c r="CT2593" s="138"/>
      <c r="CU2593" s="45"/>
      <c r="CV2593" s="99">
        <f t="shared" si="255"/>
        <v>0</v>
      </c>
      <c r="CW2593" s="139"/>
      <c r="CX2593" s="138"/>
      <c r="CY2593" s="138"/>
      <c r="CZ2593" s="138"/>
      <c r="DA2593" s="139"/>
      <c r="DB2593" s="138"/>
      <c r="DC2593" s="45"/>
      <c r="DD2593" s="138"/>
      <c r="DE2593" s="45"/>
      <c r="DF2593" s="46"/>
    </row>
    <row r="2594" spans="1:110" s="42" customFormat="1" ht="48" x14ac:dyDescent="0.2">
      <c r="A2594" s="89">
        <v>40862</v>
      </c>
      <c r="B2594" s="151" t="s">
        <v>4344</v>
      </c>
      <c r="C2594" s="90" t="s">
        <v>2210</v>
      </c>
      <c r="D2594" s="90" t="s">
        <v>4264</v>
      </c>
      <c r="E2594" s="90" t="str">
        <f>VLOOKUP(B2594&amp;C2594,Divipola!$C$2:$F$1138,4,FALSE)</f>
        <v>25288</v>
      </c>
      <c r="F2594" s="4"/>
      <c r="G2594" s="101"/>
      <c r="H2594" s="101"/>
      <c r="I2594" s="101"/>
      <c r="J2594" s="101"/>
      <c r="K2594" s="101"/>
      <c r="L2594" s="101"/>
      <c r="M2594" s="101"/>
      <c r="N2594" s="101">
        <v>1</v>
      </c>
      <c r="O2594" s="101"/>
      <c r="P2594" s="101"/>
      <c r="Q2594" s="101"/>
      <c r="R2594" s="101"/>
      <c r="S2594" s="101"/>
      <c r="T2594" s="101">
        <v>1</v>
      </c>
      <c r="U2594" s="101"/>
      <c r="V2594" s="101">
        <v>200</v>
      </c>
      <c r="W2594" s="19"/>
      <c r="X2594" s="17"/>
      <c r="Y2594" s="5">
        <f t="shared" si="250"/>
        <v>0</v>
      </c>
      <c r="Z2594" s="5">
        <f t="shared" si="251"/>
        <v>0</v>
      </c>
      <c r="AA2594" s="5">
        <f t="shared" si="252"/>
        <v>0</v>
      </c>
      <c r="AB2594" s="5">
        <f t="shared" si="253"/>
        <v>0</v>
      </c>
      <c r="AC2594" s="5"/>
      <c r="AD2594" s="5">
        <v>0</v>
      </c>
      <c r="AE2594" s="5">
        <f t="shared" si="254"/>
        <v>0</v>
      </c>
      <c r="AF2594" s="70">
        <v>0</v>
      </c>
      <c r="AG2594" s="17"/>
      <c r="AH2594" s="18"/>
      <c r="AI2594" s="47" t="s">
        <v>4336</v>
      </c>
      <c r="AJ2594" s="73" t="s">
        <v>4337</v>
      </c>
      <c r="AK2594" s="45"/>
      <c r="AL2594" s="17"/>
      <c r="AM2594" s="121" t="s">
        <v>4986</v>
      </c>
      <c r="AN2594" s="19"/>
      <c r="AO2594" s="19"/>
      <c r="AP2594" s="19"/>
      <c r="AQ2594" s="19"/>
      <c r="AR2594" s="19"/>
      <c r="AS2594" s="19"/>
      <c r="AT2594" s="19"/>
      <c r="AU2594" s="19"/>
      <c r="AV2594" s="19"/>
      <c r="AW2594" s="19"/>
      <c r="AX2594" s="19"/>
      <c r="AY2594" s="19"/>
      <c r="AZ2594" s="19"/>
      <c r="BA2594" s="19"/>
      <c r="BB2594" s="19"/>
      <c r="BC2594" s="19"/>
      <c r="BD2594" s="19"/>
      <c r="BE2594" s="19"/>
      <c r="BF2594" s="19"/>
      <c r="BG2594" s="19"/>
      <c r="BH2594" s="19"/>
      <c r="BI2594" s="19"/>
      <c r="BJ2594" s="19"/>
      <c r="BK2594" s="19"/>
      <c r="BL2594" s="19"/>
      <c r="BM2594" s="19"/>
      <c r="BN2594" s="19"/>
      <c r="BO2594" s="19"/>
      <c r="BP2594" s="19"/>
      <c r="BQ2594" s="19"/>
      <c r="BR2594" s="19"/>
      <c r="BS2594" s="19"/>
      <c r="BT2594" s="19"/>
      <c r="BU2594" s="19"/>
      <c r="BV2594" s="19"/>
      <c r="BW2594" s="19"/>
      <c r="BX2594" s="19"/>
      <c r="BY2594" s="19"/>
      <c r="BZ2594" s="19"/>
      <c r="CA2594" s="19"/>
      <c r="CB2594" s="19"/>
      <c r="CC2594" s="19"/>
      <c r="CD2594" s="139"/>
      <c r="CE2594" s="138"/>
      <c r="CF2594" s="139"/>
      <c r="CG2594" s="138"/>
      <c r="CH2594" s="139"/>
      <c r="CI2594" s="138"/>
      <c r="CJ2594" s="72"/>
      <c r="CK2594" s="139"/>
      <c r="CL2594" s="71"/>
      <c r="CM2594" s="139"/>
      <c r="CN2594" s="138"/>
      <c r="CO2594" s="138"/>
      <c r="CP2594" s="138"/>
      <c r="CQ2594" s="139"/>
      <c r="CR2594" s="138"/>
      <c r="CS2594" s="45"/>
      <c r="CT2594" s="138"/>
      <c r="CU2594" s="45"/>
      <c r="CV2594" s="99">
        <f t="shared" si="255"/>
        <v>0</v>
      </c>
      <c r="CW2594" s="139"/>
      <c r="CX2594" s="138"/>
      <c r="CY2594" s="138"/>
      <c r="CZ2594" s="138"/>
      <c r="DA2594" s="139"/>
      <c r="DB2594" s="138"/>
      <c r="DC2594" s="45"/>
      <c r="DD2594" s="138"/>
      <c r="DE2594" s="45"/>
      <c r="DF2594" s="46"/>
    </row>
    <row r="2595" spans="1:110" s="42" customFormat="1" ht="48" x14ac:dyDescent="0.2">
      <c r="A2595" s="89">
        <v>40862</v>
      </c>
      <c r="B2595" s="151" t="s">
        <v>4219</v>
      </c>
      <c r="C2595" s="90" t="s">
        <v>4255</v>
      </c>
      <c r="D2595" s="90" t="s">
        <v>4264</v>
      </c>
      <c r="E2595" s="90" t="str">
        <f>VLOOKUP(B2595&amp;C2595,Divipola!$C$2:$F$1138,4,FALSE)</f>
        <v>41396</v>
      </c>
      <c r="F2595" s="4"/>
      <c r="G2595" s="101"/>
      <c r="H2595" s="101"/>
      <c r="I2595" s="101"/>
      <c r="J2595" s="101">
        <v>10</v>
      </c>
      <c r="K2595" s="101">
        <v>2</v>
      </c>
      <c r="L2595" s="101"/>
      <c r="M2595" s="101">
        <v>2</v>
      </c>
      <c r="N2595" s="101"/>
      <c r="O2595" s="101"/>
      <c r="P2595" s="101"/>
      <c r="Q2595" s="101"/>
      <c r="R2595" s="101"/>
      <c r="S2595" s="101"/>
      <c r="T2595" s="101"/>
      <c r="U2595" s="101"/>
      <c r="V2595" s="101"/>
      <c r="W2595" s="19"/>
      <c r="X2595" s="17"/>
      <c r="Y2595" s="5">
        <f t="shared" si="250"/>
        <v>0</v>
      </c>
      <c r="Z2595" s="5">
        <f t="shared" si="251"/>
        <v>0</v>
      </c>
      <c r="AA2595" s="5">
        <f t="shared" si="252"/>
        <v>0</v>
      </c>
      <c r="AB2595" s="5">
        <f t="shared" si="253"/>
        <v>0</v>
      </c>
      <c r="AC2595" s="5"/>
      <c r="AD2595" s="5">
        <v>0</v>
      </c>
      <c r="AE2595" s="5">
        <f t="shared" si="254"/>
        <v>0</v>
      </c>
      <c r="AF2595" s="70">
        <v>0</v>
      </c>
      <c r="AG2595" s="17"/>
      <c r="AH2595" s="18"/>
      <c r="AI2595" s="47" t="s">
        <v>4346</v>
      </c>
      <c r="AJ2595" s="73" t="s">
        <v>4347</v>
      </c>
      <c r="AK2595" s="45"/>
      <c r="AL2595" s="89" t="s">
        <v>2798</v>
      </c>
      <c r="AM2595" s="121" t="s">
        <v>4989</v>
      </c>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c r="BV2595" s="19"/>
      <c r="BW2595" s="19"/>
      <c r="BX2595" s="19"/>
      <c r="BY2595" s="19"/>
      <c r="BZ2595" s="19"/>
      <c r="CA2595" s="19"/>
      <c r="CB2595" s="19"/>
      <c r="CC2595" s="19"/>
      <c r="CD2595" s="139"/>
      <c r="CE2595" s="138"/>
      <c r="CF2595" s="139"/>
      <c r="CG2595" s="138"/>
      <c r="CH2595" s="139"/>
      <c r="CI2595" s="138"/>
      <c r="CJ2595" s="72"/>
      <c r="CK2595" s="139"/>
      <c r="CL2595" s="71"/>
      <c r="CM2595" s="139"/>
      <c r="CN2595" s="138"/>
      <c r="CO2595" s="138"/>
      <c r="CP2595" s="138"/>
      <c r="CQ2595" s="139"/>
      <c r="CR2595" s="138"/>
      <c r="CS2595" s="45"/>
      <c r="CT2595" s="138"/>
      <c r="CU2595" s="45"/>
      <c r="CV2595" s="99">
        <f t="shared" si="255"/>
        <v>0</v>
      </c>
      <c r="CW2595" s="139"/>
      <c r="CX2595" s="138"/>
      <c r="CY2595" s="138"/>
      <c r="CZ2595" s="138"/>
      <c r="DA2595" s="139"/>
      <c r="DB2595" s="138"/>
      <c r="DC2595" s="45"/>
      <c r="DD2595" s="138"/>
      <c r="DE2595" s="45"/>
      <c r="DF2595" s="46"/>
    </row>
    <row r="2596" spans="1:110" s="42" customFormat="1" ht="36" x14ac:dyDescent="0.2">
      <c r="A2596" s="89">
        <v>40862</v>
      </c>
      <c r="B2596" s="151" t="s">
        <v>4219</v>
      </c>
      <c r="C2596" s="90" t="s">
        <v>687</v>
      </c>
      <c r="D2596" s="90" t="s">
        <v>2362</v>
      </c>
      <c r="E2596" s="90" t="str">
        <f>VLOOKUP(B2596&amp;C2596,Divipola!$C$2:$F$1138,4,FALSE)</f>
        <v>41548</v>
      </c>
      <c r="F2596" s="4"/>
      <c r="G2596" s="101"/>
      <c r="H2596" s="101"/>
      <c r="I2596" s="101"/>
      <c r="J2596" s="101">
        <v>10</v>
      </c>
      <c r="K2596" s="101">
        <v>2</v>
      </c>
      <c r="L2596" s="101"/>
      <c r="M2596" s="101">
        <v>2</v>
      </c>
      <c r="N2596" s="101"/>
      <c r="O2596" s="101"/>
      <c r="P2596" s="101"/>
      <c r="Q2596" s="101"/>
      <c r="R2596" s="101"/>
      <c r="S2596" s="101"/>
      <c r="T2596" s="101"/>
      <c r="U2596" s="101"/>
      <c r="V2596" s="101"/>
      <c r="W2596" s="19"/>
      <c r="X2596" s="17"/>
      <c r="Y2596" s="5">
        <f t="shared" si="250"/>
        <v>0</v>
      </c>
      <c r="Z2596" s="5">
        <f t="shared" si="251"/>
        <v>0</v>
      </c>
      <c r="AA2596" s="5">
        <f t="shared" si="252"/>
        <v>0</v>
      </c>
      <c r="AB2596" s="5">
        <f t="shared" si="253"/>
        <v>0</v>
      </c>
      <c r="AC2596" s="5"/>
      <c r="AD2596" s="5">
        <v>0</v>
      </c>
      <c r="AE2596" s="5">
        <f t="shared" si="254"/>
        <v>0</v>
      </c>
      <c r="AF2596" s="70">
        <v>0</v>
      </c>
      <c r="AG2596" s="17"/>
      <c r="AH2596" s="18"/>
      <c r="AI2596" s="47" t="s">
        <v>4346</v>
      </c>
      <c r="AJ2596" s="73" t="s">
        <v>4347</v>
      </c>
      <c r="AK2596" s="45"/>
      <c r="AL2596" s="89" t="s">
        <v>2798</v>
      </c>
      <c r="AM2596" s="121" t="s">
        <v>4990</v>
      </c>
      <c r="AN2596" s="19"/>
      <c r="AO2596" s="19"/>
      <c r="AP2596" s="19"/>
      <c r="AQ2596" s="19"/>
      <c r="AR2596" s="19"/>
      <c r="AS2596" s="19"/>
      <c r="AT2596" s="19"/>
      <c r="AU2596" s="19"/>
      <c r="AV2596" s="19"/>
      <c r="AW2596" s="19"/>
      <c r="AX2596" s="19"/>
      <c r="AY2596" s="19"/>
      <c r="AZ2596" s="19"/>
      <c r="BA2596" s="19"/>
      <c r="BB2596" s="19"/>
      <c r="BC2596" s="19"/>
      <c r="BD2596" s="19"/>
      <c r="BE2596" s="19"/>
      <c r="BF2596" s="19"/>
      <c r="BG2596" s="19"/>
      <c r="BH2596" s="19"/>
      <c r="BI2596" s="19"/>
      <c r="BJ2596" s="19"/>
      <c r="BK2596" s="19"/>
      <c r="BL2596" s="19"/>
      <c r="BM2596" s="19"/>
      <c r="BN2596" s="19"/>
      <c r="BO2596" s="19"/>
      <c r="BP2596" s="19"/>
      <c r="BQ2596" s="19"/>
      <c r="BR2596" s="19"/>
      <c r="BS2596" s="19"/>
      <c r="BT2596" s="19"/>
      <c r="BU2596" s="19"/>
      <c r="BV2596" s="19"/>
      <c r="BW2596" s="19"/>
      <c r="BX2596" s="19"/>
      <c r="BY2596" s="19"/>
      <c r="BZ2596" s="19"/>
      <c r="CA2596" s="19"/>
      <c r="CB2596" s="19"/>
      <c r="CC2596" s="19"/>
      <c r="CD2596" s="139"/>
      <c r="CE2596" s="138"/>
      <c r="CF2596" s="139"/>
      <c r="CG2596" s="138"/>
      <c r="CH2596" s="139"/>
      <c r="CI2596" s="138"/>
      <c r="CJ2596" s="72"/>
      <c r="CK2596" s="139"/>
      <c r="CL2596" s="71"/>
      <c r="CM2596" s="139"/>
      <c r="CN2596" s="138"/>
      <c r="CO2596" s="138"/>
      <c r="CP2596" s="138"/>
      <c r="CQ2596" s="139"/>
      <c r="CR2596" s="138"/>
      <c r="CS2596" s="45"/>
      <c r="CT2596" s="138"/>
      <c r="CU2596" s="45"/>
      <c r="CV2596" s="99">
        <f t="shared" si="255"/>
        <v>0</v>
      </c>
      <c r="CW2596" s="139"/>
      <c r="CX2596" s="138"/>
      <c r="CY2596" s="138"/>
      <c r="CZ2596" s="138"/>
      <c r="DA2596" s="139"/>
      <c r="DB2596" s="138"/>
      <c r="DC2596" s="45"/>
      <c r="DD2596" s="138"/>
      <c r="DE2596" s="45"/>
      <c r="DF2596" s="46"/>
    </row>
    <row r="2597" spans="1:110" s="42" customFormat="1" ht="72" x14ac:dyDescent="0.2">
      <c r="A2597" s="89">
        <v>40862</v>
      </c>
      <c r="B2597" s="151" t="s">
        <v>4219</v>
      </c>
      <c r="C2597" s="90" t="s">
        <v>3496</v>
      </c>
      <c r="D2597" s="90" t="s">
        <v>4340</v>
      </c>
      <c r="E2597" s="90" t="str">
        <f>VLOOKUP(B2597&amp;C2597,Divipola!$C$2:$F$1138,4,FALSE)</f>
        <v>41518</v>
      </c>
      <c r="F2597" s="4"/>
      <c r="G2597" s="101"/>
      <c r="H2597" s="101">
        <v>6</v>
      </c>
      <c r="I2597" s="101"/>
      <c r="J2597" s="101"/>
      <c r="K2597" s="101"/>
      <c r="L2597" s="101"/>
      <c r="M2597" s="101"/>
      <c r="N2597" s="101"/>
      <c r="O2597" s="101"/>
      <c r="P2597" s="101"/>
      <c r="Q2597" s="101"/>
      <c r="R2597" s="101"/>
      <c r="S2597" s="101"/>
      <c r="T2597" s="101"/>
      <c r="U2597" s="101"/>
      <c r="V2597" s="101"/>
      <c r="W2597" s="19"/>
      <c r="X2597" s="17"/>
      <c r="Y2597" s="5">
        <f t="shared" si="250"/>
        <v>0</v>
      </c>
      <c r="Z2597" s="5">
        <f t="shared" si="251"/>
        <v>0</v>
      </c>
      <c r="AA2597" s="5">
        <f t="shared" si="252"/>
        <v>0</v>
      </c>
      <c r="AB2597" s="5">
        <f t="shared" si="253"/>
        <v>0</v>
      </c>
      <c r="AC2597" s="5"/>
      <c r="AD2597" s="5">
        <v>0</v>
      </c>
      <c r="AE2597" s="5">
        <f t="shared" si="254"/>
        <v>0</v>
      </c>
      <c r="AF2597" s="70">
        <v>0</v>
      </c>
      <c r="AG2597" s="17"/>
      <c r="AH2597" s="18"/>
      <c r="AI2597" s="47" t="s">
        <v>4346</v>
      </c>
      <c r="AJ2597" s="73" t="s">
        <v>4347</v>
      </c>
      <c r="AK2597" s="45"/>
      <c r="AL2597" s="89" t="s">
        <v>2798</v>
      </c>
      <c r="AM2597" s="121" t="s">
        <v>4991</v>
      </c>
      <c r="AN2597" s="19"/>
      <c r="AO2597" s="19"/>
      <c r="AP2597" s="19"/>
      <c r="AQ2597" s="19"/>
      <c r="AR2597" s="19"/>
      <c r="AS2597" s="19"/>
      <c r="AT2597" s="19"/>
      <c r="AU2597" s="19"/>
      <c r="AV2597" s="19"/>
      <c r="AW2597" s="19"/>
      <c r="AX2597" s="19"/>
      <c r="AY2597" s="19"/>
      <c r="AZ2597" s="19"/>
      <c r="BA2597" s="19"/>
      <c r="BB2597" s="19"/>
      <c r="BC2597" s="19"/>
      <c r="BD2597" s="19"/>
      <c r="BE2597" s="19"/>
      <c r="BF2597" s="19"/>
      <c r="BG2597" s="19"/>
      <c r="BH2597" s="19"/>
      <c r="BI2597" s="19"/>
      <c r="BJ2597" s="19"/>
      <c r="BK2597" s="19"/>
      <c r="BL2597" s="19"/>
      <c r="BM2597" s="19"/>
      <c r="BN2597" s="19"/>
      <c r="BO2597" s="19"/>
      <c r="BP2597" s="19"/>
      <c r="BQ2597" s="19"/>
      <c r="BR2597" s="19"/>
      <c r="BS2597" s="19"/>
      <c r="BT2597" s="19"/>
      <c r="BU2597" s="19"/>
      <c r="BV2597" s="19"/>
      <c r="BW2597" s="19"/>
      <c r="BX2597" s="19"/>
      <c r="BY2597" s="19"/>
      <c r="BZ2597" s="19"/>
      <c r="CA2597" s="19"/>
      <c r="CB2597" s="19"/>
      <c r="CC2597" s="19"/>
      <c r="CD2597" s="139"/>
      <c r="CE2597" s="138"/>
      <c r="CF2597" s="139"/>
      <c r="CG2597" s="138"/>
      <c r="CH2597" s="139"/>
      <c r="CI2597" s="138"/>
      <c r="CJ2597" s="72"/>
      <c r="CK2597" s="139"/>
      <c r="CL2597" s="71"/>
      <c r="CM2597" s="139"/>
      <c r="CN2597" s="138"/>
      <c r="CO2597" s="138"/>
      <c r="CP2597" s="138"/>
      <c r="CQ2597" s="139"/>
      <c r="CR2597" s="138"/>
      <c r="CS2597" s="45"/>
      <c r="CT2597" s="138"/>
      <c r="CU2597" s="45"/>
      <c r="CV2597" s="99">
        <f t="shared" si="255"/>
        <v>0</v>
      </c>
      <c r="CW2597" s="139"/>
      <c r="CX2597" s="138"/>
      <c r="CY2597" s="138"/>
      <c r="CZ2597" s="138"/>
      <c r="DA2597" s="139"/>
      <c r="DB2597" s="138"/>
      <c r="DC2597" s="45"/>
      <c r="DD2597" s="138"/>
      <c r="DE2597" s="45"/>
      <c r="DF2597" s="46"/>
    </row>
    <row r="2598" spans="1:110" s="42" customFormat="1" ht="60" x14ac:dyDescent="0.2">
      <c r="A2598" s="89">
        <v>40862</v>
      </c>
      <c r="B2598" s="151" t="s">
        <v>4219</v>
      </c>
      <c r="C2598" s="90" t="s">
        <v>64</v>
      </c>
      <c r="D2598" s="90" t="s">
        <v>4264</v>
      </c>
      <c r="E2598" s="90" t="str">
        <f>VLOOKUP(B2598&amp;C2598,Divipola!$C$2:$F$1138,4,FALSE)</f>
        <v>41013</v>
      </c>
      <c r="F2598" s="4"/>
      <c r="G2598" s="101"/>
      <c r="H2598" s="101"/>
      <c r="I2598" s="101"/>
      <c r="J2598" s="101"/>
      <c r="K2598" s="101"/>
      <c r="L2598" s="101"/>
      <c r="M2598" s="101"/>
      <c r="N2598" s="101"/>
      <c r="O2598" s="101"/>
      <c r="P2598" s="101"/>
      <c r="Q2598" s="101"/>
      <c r="R2598" s="101"/>
      <c r="S2598" s="101"/>
      <c r="T2598" s="101"/>
      <c r="U2598" s="101"/>
      <c r="V2598" s="101"/>
      <c r="W2598" s="19"/>
      <c r="X2598" s="17"/>
      <c r="Y2598" s="5">
        <f t="shared" si="250"/>
        <v>0</v>
      </c>
      <c r="Z2598" s="5">
        <f t="shared" si="251"/>
        <v>0</v>
      </c>
      <c r="AA2598" s="5">
        <f t="shared" si="252"/>
        <v>0</v>
      </c>
      <c r="AB2598" s="5">
        <f t="shared" si="253"/>
        <v>0</v>
      </c>
      <c r="AC2598" s="5"/>
      <c r="AD2598" s="5">
        <v>0</v>
      </c>
      <c r="AE2598" s="5">
        <f t="shared" si="254"/>
        <v>0</v>
      </c>
      <c r="AF2598" s="70">
        <v>0</v>
      </c>
      <c r="AG2598" s="17"/>
      <c r="AH2598" s="18"/>
      <c r="AI2598" s="47" t="s">
        <v>4346</v>
      </c>
      <c r="AJ2598" s="73" t="s">
        <v>4347</v>
      </c>
      <c r="AK2598" s="45"/>
      <c r="AL2598" s="89" t="s">
        <v>2798</v>
      </c>
      <c r="AM2598" s="121" t="s">
        <v>4992</v>
      </c>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39"/>
      <c r="CE2598" s="138"/>
      <c r="CF2598" s="139"/>
      <c r="CG2598" s="138"/>
      <c r="CH2598" s="139"/>
      <c r="CI2598" s="138"/>
      <c r="CJ2598" s="72"/>
      <c r="CK2598" s="139"/>
      <c r="CL2598" s="71"/>
      <c r="CM2598" s="139"/>
      <c r="CN2598" s="138"/>
      <c r="CO2598" s="138"/>
      <c r="CP2598" s="138"/>
      <c r="CQ2598" s="139"/>
      <c r="CR2598" s="138"/>
      <c r="CS2598" s="45"/>
      <c r="CT2598" s="138"/>
      <c r="CU2598" s="45"/>
      <c r="CV2598" s="99">
        <f t="shared" si="255"/>
        <v>0</v>
      </c>
      <c r="CW2598" s="139"/>
      <c r="CX2598" s="138"/>
      <c r="CY2598" s="138"/>
      <c r="CZ2598" s="138"/>
      <c r="DA2598" s="139"/>
      <c r="DB2598" s="138"/>
      <c r="DC2598" s="45"/>
      <c r="DD2598" s="138"/>
      <c r="DE2598" s="45"/>
      <c r="DF2598" s="46"/>
    </row>
    <row r="2599" spans="1:110" s="42" customFormat="1" ht="36" x14ac:dyDescent="0.2">
      <c r="A2599" s="89">
        <v>40862</v>
      </c>
      <c r="B2599" s="16" t="s">
        <v>4308</v>
      </c>
      <c r="C2599" s="16" t="s">
        <v>754</v>
      </c>
      <c r="D2599" s="90" t="s">
        <v>4264</v>
      </c>
      <c r="E2599" s="90" t="str">
        <f>VLOOKUP(B2599&amp;C2599,Divipola!$C$2:$F$1138,4,FALSE)</f>
        <v>47258</v>
      </c>
      <c r="F2599" s="4"/>
      <c r="G2599" s="208"/>
      <c r="H2599" s="208"/>
      <c r="I2599" s="208"/>
      <c r="J2599" s="208"/>
      <c r="K2599" s="208"/>
      <c r="L2599" s="208"/>
      <c r="M2599" s="208"/>
      <c r="N2599" s="208"/>
      <c r="O2599" s="208"/>
      <c r="P2599" s="208"/>
      <c r="Q2599" s="208"/>
      <c r="R2599" s="208"/>
      <c r="S2599" s="208"/>
      <c r="T2599" s="208"/>
      <c r="U2599" s="208"/>
      <c r="V2599" s="208"/>
      <c r="W2599" s="19"/>
      <c r="X2599" s="17"/>
      <c r="Y2599" s="5">
        <f t="shared" si="250"/>
        <v>0</v>
      </c>
      <c r="Z2599" s="5">
        <f t="shared" si="251"/>
        <v>0</v>
      </c>
      <c r="AA2599" s="5">
        <f t="shared" si="252"/>
        <v>0</v>
      </c>
      <c r="AB2599" s="5">
        <f t="shared" si="253"/>
        <v>0</v>
      </c>
      <c r="AC2599" s="5"/>
      <c r="AD2599" s="5">
        <v>15000000</v>
      </c>
      <c r="AE2599" s="5">
        <f t="shared" si="254"/>
        <v>15000000</v>
      </c>
      <c r="AF2599" s="70">
        <v>0</v>
      </c>
      <c r="AG2599" s="17"/>
      <c r="AH2599" s="18"/>
      <c r="AI2599" s="47" t="s">
        <v>4346</v>
      </c>
      <c r="AJ2599" s="73" t="s">
        <v>4347</v>
      </c>
      <c r="AK2599" s="45"/>
      <c r="AL2599" s="17"/>
      <c r="AM2599" s="20" t="s">
        <v>4984</v>
      </c>
      <c r="AN2599" s="19"/>
      <c r="AO2599" s="19"/>
      <c r="AP2599" s="19"/>
      <c r="AQ2599" s="19"/>
      <c r="AR2599" s="19"/>
      <c r="AS2599" s="19"/>
      <c r="AT2599" s="19"/>
      <c r="AU2599" s="19"/>
      <c r="AV2599" s="19"/>
      <c r="AW2599" s="19"/>
      <c r="AX2599" s="19"/>
      <c r="AY2599" s="19"/>
      <c r="AZ2599" s="19"/>
      <c r="BA2599" s="19"/>
      <c r="BB2599" s="19"/>
      <c r="BC2599" s="19"/>
      <c r="BD2599" s="19"/>
      <c r="BE2599" s="19"/>
      <c r="BF2599" s="19"/>
      <c r="BG2599" s="19"/>
      <c r="BH2599" s="19"/>
      <c r="BI2599" s="19"/>
      <c r="BJ2599" s="19"/>
      <c r="BK2599" s="19"/>
      <c r="BL2599" s="19"/>
      <c r="BM2599" s="19"/>
      <c r="BN2599" s="19"/>
      <c r="BO2599" s="19"/>
      <c r="BP2599" s="19"/>
      <c r="BQ2599" s="19"/>
      <c r="BR2599" s="19"/>
      <c r="BS2599" s="19"/>
      <c r="BT2599" s="19"/>
      <c r="BU2599" s="19"/>
      <c r="BV2599" s="19"/>
      <c r="BW2599" s="19"/>
      <c r="BX2599" s="19"/>
      <c r="BY2599" s="19"/>
      <c r="BZ2599" s="19"/>
      <c r="CA2599" s="19"/>
      <c r="CB2599" s="19"/>
      <c r="CC2599" s="19"/>
      <c r="CD2599" s="139"/>
      <c r="CE2599" s="138"/>
      <c r="CF2599" s="139"/>
      <c r="CG2599" s="138"/>
      <c r="CH2599" s="139"/>
      <c r="CI2599" s="138"/>
      <c r="CJ2599" s="72"/>
      <c r="CK2599" s="139"/>
      <c r="CL2599" s="71"/>
      <c r="CM2599" s="139"/>
      <c r="CN2599" s="138"/>
      <c r="CO2599" s="138"/>
      <c r="CP2599" s="138"/>
      <c r="CQ2599" s="139"/>
      <c r="CR2599" s="138"/>
      <c r="CS2599" s="45"/>
      <c r="CT2599" s="138"/>
      <c r="CU2599" s="45"/>
      <c r="CV2599" s="99">
        <f t="shared" si="255"/>
        <v>0</v>
      </c>
      <c r="CW2599" s="139"/>
      <c r="CX2599" s="138"/>
      <c r="CY2599" s="138"/>
      <c r="CZ2599" s="138"/>
      <c r="DA2599" s="139"/>
      <c r="DB2599" s="138"/>
      <c r="DC2599" s="45"/>
      <c r="DD2599" s="138"/>
      <c r="DE2599" s="45"/>
      <c r="DF2599" s="46"/>
    </row>
    <row r="2600" spans="1:110" s="42" customFormat="1" ht="60" x14ac:dyDescent="0.2">
      <c r="A2600" s="89">
        <v>40862</v>
      </c>
      <c r="B2600" s="16" t="s">
        <v>4221</v>
      </c>
      <c r="C2600" s="16" t="s">
        <v>558</v>
      </c>
      <c r="D2600" s="90" t="s">
        <v>2362</v>
      </c>
      <c r="E2600" s="90" t="str">
        <f>VLOOKUP(B2600&amp;C2600,Divipola!$C$2:$F$1138,4,FALSE)</f>
        <v>54313</v>
      </c>
      <c r="F2600" s="4"/>
      <c r="G2600" s="208"/>
      <c r="H2600" s="208"/>
      <c r="I2600" s="208"/>
      <c r="J2600" s="208"/>
      <c r="K2600" s="208"/>
      <c r="L2600" s="208"/>
      <c r="M2600" s="208"/>
      <c r="N2600" s="208"/>
      <c r="O2600" s="208"/>
      <c r="P2600" s="208"/>
      <c r="Q2600" s="208"/>
      <c r="R2600" s="208"/>
      <c r="S2600" s="208"/>
      <c r="T2600" s="208"/>
      <c r="U2600" s="208"/>
      <c r="V2600" s="208"/>
      <c r="W2600" s="19"/>
      <c r="X2600" s="17"/>
      <c r="Y2600" s="5">
        <f t="shared" si="250"/>
        <v>0</v>
      </c>
      <c r="Z2600" s="5">
        <f t="shared" si="251"/>
        <v>150110000</v>
      </c>
      <c r="AA2600" s="5">
        <f t="shared" si="252"/>
        <v>0</v>
      </c>
      <c r="AB2600" s="5">
        <f t="shared" si="253"/>
        <v>0</v>
      </c>
      <c r="AC2600" s="5"/>
      <c r="AD2600" s="5">
        <v>20000000</v>
      </c>
      <c r="AE2600" s="5">
        <f t="shared" si="254"/>
        <v>170110000</v>
      </c>
      <c r="AF2600" s="70">
        <v>0</v>
      </c>
      <c r="AG2600" s="17"/>
      <c r="AH2600" s="18"/>
      <c r="AI2600" s="47" t="s">
        <v>4346</v>
      </c>
      <c r="AJ2600" s="73" t="s">
        <v>4347</v>
      </c>
      <c r="AK2600" s="45"/>
      <c r="AL2600" s="17"/>
      <c r="AM2600" s="20" t="s">
        <v>4998</v>
      </c>
      <c r="AN2600" s="19"/>
      <c r="AO2600" s="19"/>
      <c r="AP2600" s="19"/>
      <c r="AQ2600" s="19"/>
      <c r="AR2600" s="19"/>
      <c r="AS2600" s="19"/>
      <c r="AT2600" s="19"/>
      <c r="AU2600" s="19"/>
      <c r="AV2600" s="19"/>
      <c r="AW2600" s="19"/>
      <c r="AX2600" s="19"/>
      <c r="AY2600" s="19"/>
      <c r="AZ2600" s="19"/>
      <c r="BA2600" s="19"/>
      <c r="BB2600" s="19"/>
      <c r="BC2600" s="19"/>
      <c r="BD2600" s="19"/>
      <c r="BE2600" s="19"/>
      <c r="BF2600" s="19"/>
      <c r="BG2600" s="19"/>
      <c r="BH2600" s="19"/>
      <c r="BI2600" s="19"/>
      <c r="BJ2600" s="19"/>
      <c r="BK2600" s="19"/>
      <c r="BL2600" s="19"/>
      <c r="BM2600" s="19"/>
      <c r="BN2600" s="19"/>
      <c r="BO2600" s="19"/>
      <c r="BP2600" s="19"/>
      <c r="BQ2600" s="19"/>
      <c r="BR2600" s="19"/>
      <c r="BS2600" s="19"/>
      <c r="BT2600" s="19"/>
      <c r="BU2600" s="19"/>
      <c r="BV2600" s="19"/>
      <c r="BW2600" s="19"/>
      <c r="BX2600" s="19"/>
      <c r="BY2600" s="19"/>
      <c r="BZ2600" s="19"/>
      <c r="CA2600" s="19"/>
      <c r="CB2600" s="19"/>
      <c r="CC2600" s="19"/>
      <c r="CD2600" s="139"/>
      <c r="CE2600" s="138"/>
      <c r="CF2600" s="139"/>
      <c r="CG2600" s="138"/>
      <c r="CH2600" s="139"/>
      <c r="CI2600" s="138"/>
      <c r="CJ2600" s="72"/>
      <c r="CK2600" s="139"/>
      <c r="CL2600" s="71"/>
      <c r="CM2600" s="139"/>
      <c r="CN2600" s="138"/>
      <c r="CO2600" s="138"/>
      <c r="CP2600" s="138"/>
      <c r="CQ2600" s="139"/>
      <c r="CR2600" s="138"/>
      <c r="CS2600" s="45"/>
      <c r="CT2600" s="138"/>
      <c r="CU2600" s="45"/>
      <c r="CV2600" s="99">
        <f t="shared" si="255"/>
        <v>0</v>
      </c>
      <c r="CW2600" s="139"/>
      <c r="CX2600" s="138"/>
      <c r="CY2600" s="138">
        <v>1766</v>
      </c>
      <c r="CZ2600" s="138">
        <f>1766*85000</f>
        <v>150110000</v>
      </c>
      <c r="DA2600" s="139"/>
      <c r="DB2600" s="138"/>
      <c r="DC2600" s="45"/>
      <c r="DD2600" s="138"/>
      <c r="DE2600" s="45"/>
      <c r="DF2600" s="46"/>
    </row>
    <row r="2601" spans="1:110" s="42" customFormat="1" ht="84" x14ac:dyDescent="0.2">
      <c r="A2601" s="89">
        <v>40862</v>
      </c>
      <c r="B2601" s="151" t="s">
        <v>4350</v>
      </c>
      <c r="C2601" s="90" t="s">
        <v>797</v>
      </c>
      <c r="D2601" s="90" t="s">
        <v>4264</v>
      </c>
      <c r="E2601" s="90" t="str">
        <f>VLOOKUP(B2601&amp;C2601,Divipola!$C$2:$F$1138,4,FALSE)</f>
        <v>63272</v>
      </c>
      <c r="F2601" s="4"/>
      <c r="G2601" s="101"/>
      <c r="H2601" s="101"/>
      <c r="I2601" s="101"/>
      <c r="J2601" s="101">
        <v>70</v>
      </c>
      <c r="K2601" s="101">
        <v>14</v>
      </c>
      <c r="L2601" s="101"/>
      <c r="M2601" s="101">
        <v>14</v>
      </c>
      <c r="N2601" s="101"/>
      <c r="O2601" s="101"/>
      <c r="P2601" s="101"/>
      <c r="Q2601" s="101"/>
      <c r="R2601" s="101"/>
      <c r="S2601" s="101">
        <v>1</v>
      </c>
      <c r="T2601" s="101"/>
      <c r="U2601" s="101"/>
      <c r="V2601" s="101"/>
      <c r="W2601" s="19"/>
      <c r="X2601" s="17"/>
      <c r="Y2601" s="5">
        <f t="shared" si="250"/>
        <v>0</v>
      </c>
      <c r="Z2601" s="5">
        <f t="shared" si="251"/>
        <v>0</v>
      </c>
      <c r="AA2601" s="5">
        <f t="shared" si="252"/>
        <v>0</v>
      </c>
      <c r="AB2601" s="5">
        <f t="shared" si="253"/>
        <v>0</v>
      </c>
      <c r="AC2601" s="5"/>
      <c r="AD2601" s="5">
        <v>0</v>
      </c>
      <c r="AE2601" s="5">
        <f t="shared" si="254"/>
        <v>0</v>
      </c>
      <c r="AF2601" s="70">
        <v>0</v>
      </c>
      <c r="AG2601" s="17"/>
      <c r="AH2601" s="18"/>
      <c r="AI2601" s="47" t="s">
        <v>4346</v>
      </c>
      <c r="AJ2601" s="73" t="s">
        <v>4347</v>
      </c>
      <c r="AK2601" s="45"/>
      <c r="AL2601" s="17" t="s">
        <v>5051</v>
      </c>
      <c r="AM2601" s="121" t="s">
        <v>4993</v>
      </c>
      <c r="AN2601" s="19"/>
      <c r="AO2601" s="19"/>
      <c r="AP2601" s="19"/>
      <c r="AQ2601" s="19"/>
      <c r="AR2601" s="19"/>
      <c r="AS2601" s="19"/>
      <c r="AT2601" s="19"/>
      <c r="AU2601" s="19"/>
      <c r="AV2601" s="19"/>
      <c r="AW2601" s="19"/>
      <c r="AX2601" s="19"/>
      <c r="AY2601" s="19"/>
      <c r="AZ2601" s="19"/>
      <c r="BA2601" s="19"/>
      <c r="BB2601" s="19"/>
      <c r="BC2601" s="19"/>
      <c r="BD2601" s="19"/>
      <c r="BE2601" s="19"/>
      <c r="BF2601" s="19"/>
      <c r="BG2601" s="19"/>
      <c r="BH2601" s="19"/>
      <c r="BI2601" s="19"/>
      <c r="BJ2601" s="19"/>
      <c r="BK2601" s="19"/>
      <c r="BL2601" s="19"/>
      <c r="BM2601" s="19"/>
      <c r="BN2601" s="19"/>
      <c r="BO2601" s="19"/>
      <c r="BP2601" s="19"/>
      <c r="BQ2601" s="19"/>
      <c r="BR2601" s="19"/>
      <c r="BS2601" s="19"/>
      <c r="BT2601" s="19"/>
      <c r="BU2601" s="19"/>
      <c r="BV2601" s="19"/>
      <c r="BW2601" s="19"/>
      <c r="BX2601" s="19"/>
      <c r="BY2601" s="19"/>
      <c r="BZ2601" s="19"/>
      <c r="CA2601" s="19"/>
      <c r="CB2601" s="19"/>
      <c r="CC2601" s="19"/>
      <c r="CD2601" s="139"/>
      <c r="CE2601" s="138"/>
      <c r="CF2601" s="139"/>
      <c r="CG2601" s="138"/>
      <c r="CH2601" s="139"/>
      <c r="CI2601" s="138"/>
      <c r="CJ2601" s="72"/>
      <c r="CK2601" s="139"/>
      <c r="CL2601" s="71"/>
      <c r="CM2601" s="139"/>
      <c r="CN2601" s="138"/>
      <c r="CO2601" s="138"/>
      <c r="CP2601" s="138"/>
      <c r="CQ2601" s="139"/>
      <c r="CR2601" s="138"/>
      <c r="CS2601" s="45"/>
      <c r="CT2601" s="138"/>
      <c r="CU2601" s="45"/>
      <c r="CV2601" s="99">
        <f t="shared" si="255"/>
        <v>0</v>
      </c>
      <c r="CW2601" s="139"/>
      <c r="CX2601" s="138"/>
      <c r="CY2601" s="138"/>
      <c r="CZ2601" s="138"/>
      <c r="DA2601" s="139"/>
      <c r="DB2601" s="138"/>
      <c r="DC2601" s="45"/>
      <c r="DD2601" s="138"/>
      <c r="DE2601" s="45"/>
      <c r="DF2601" s="46"/>
    </row>
    <row r="2602" spans="1:110" s="42" customFormat="1" ht="72" x14ac:dyDescent="0.2">
      <c r="A2602" s="89">
        <v>40862</v>
      </c>
      <c r="B2602" s="151" t="s">
        <v>4350</v>
      </c>
      <c r="C2602" s="90" t="s">
        <v>3507</v>
      </c>
      <c r="D2602" s="90" t="s">
        <v>4264</v>
      </c>
      <c r="E2602" s="90" t="str">
        <f>VLOOKUP(B2602&amp;C2602,Divipola!$C$2:$F$1138,4,FALSE)</f>
        <v>63470</v>
      </c>
      <c r="F2602" s="4"/>
      <c r="G2602" s="101"/>
      <c r="H2602" s="101"/>
      <c r="I2602" s="101"/>
      <c r="J2602" s="101">
        <v>175</v>
      </c>
      <c r="K2602" s="101">
        <v>35</v>
      </c>
      <c r="L2602" s="101"/>
      <c r="M2602" s="101">
        <v>35</v>
      </c>
      <c r="N2602" s="101"/>
      <c r="O2602" s="101"/>
      <c r="P2602" s="101"/>
      <c r="Q2602" s="101"/>
      <c r="R2602" s="101"/>
      <c r="S2602" s="101"/>
      <c r="T2602" s="101"/>
      <c r="U2602" s="101"/>
      <c r="V2602" s="101"/>
      <c r="W2602" s="19"/>
      <c r="X2602" s="17"/>
      <c r="Y2602" s="5">
        <f t="shared" si="250"/>
        <v>0</v>
      </c>
      <c r="Z2602" s="5">
        <f t="shared" si="251"/>
        <v>0</v>
      </c>
      <c r="AA2602" s="5">
        <f t="shared" si="252"/>
        <v>0</v>
      </c>
      <c r="AB2602" s="5">
        <f t="shared" si="253"/>
        <v>0</v>
      </c>
      <c r="AC2602" s="5"/>
      <c r="AD2602" s="5">
        <v>0</v>
      </c>
      <c r="AE2602" s="5">
        <f t="shared" si="254"/>
        <v>0</v>
      </c>
      <c r="AF2602" s="70">
        <v>0</v>
      </c>
      <c r="AG2602" s="17"/>
      <c r="AH2602" s="18"/>
      <c r="AI2602" s="47" t="s">
        <v>4346</v>
      </c>
      <c r="AJ2602" s="73" t="s">
        <v>4347</v>
      </c>
      <c r="AK2602" s="45"/>
      <c r="AL2602" s="17" t="s">
        <v>5051</v>
      </c>
      <c r="AM2602" s="121" t="s">
        <v>4994</v>
      </c>
      <c r="AN2602" s="19"/>
      <c r="AO2602" s="19"/>
      <c r="AP2602" s="19"/>
      <c r="AQ2602" s="19"/>
      <c r="AR2602" s="19"/>
      <c r="AS2602" s="19"/>
      <c r="AT2602" s="19"/>
      <c r="AU2602" s="19"/>
      <c r="AV2602" s="19"/>
      <c r="AW2602" s="19"/>
      <c r="AX2602" s="19"/>
      <c r="AY2602" s="19"/>
      <c r="AZ2602" s="19"/>
      <c r="BA2602" s="19"/>
      <c r="BB2602" s="19"/>
      <c r="BC2602" s="19"/>
      <c r="BD2602" s="19"/>
      <c r="BE2602" s="19"/>
      <c r="BF2602" s="19"/>
      <c r="BG2602" s="19"/>
      <c r="BH2602" s="19"/>
      <c r="BI2602" s="19"/>
      <c r="BJ2602" s="19"/>
      <c r="BK2602" s="19"/>
      <c r="BL2602" s="19"/>
      <c r="BM2602" s="19"/>
      <c r="BN2602" s="19"/>
      <c r="BO2602" s="19"/>
      <c r="BP2602" s="19"/>
      <c r="BQ2602" s="19"/>
      <c r="BR2602" s="19"/>
      <c r="BS2602" s="19"/>
      <c r="BT2602" s="19"/>
      <c r="BU2602" s="19"/>
      <c r="BV2602" s="19"/>
      <c r="BW2602" s="19"/>
      <c r="BX2602" s="19"/>
      <c r="BY2602" s="19"/>
      <c r="BZ2602" s="19"/>
      <c r="CA2602" s="19"/>
      <c r="CB2602" s="19"/>
      <c r="CC2602" s="19"/>
      <c r="CD2602" s="139"/>
      <c r="CE2602" s="138"/>
      <c r="CF2602" s="139"/>
      <c r="CG2602" s="138"/>
      <c r="CH2602" s="139"/>
      <c r="CI2602" s="138"/>
      <c r="CJ2602" s="72"/>
      <c r="CK2602" s="139"/>
      <c r="CL2602" s="71"/>
      <c r="CM2602" s="139"/>
      <c r="CN2602" s="138"/>
      <c r="CO2602" s="138"/>
      <c r="CP2602" s="138"/>
      <c r="CQ2602" s="139"/>
      <c r="CR2602" s="138"/>
      <c r="CS2602" s="45"/>
      <c r="CT2602" s="138"/>
      <c r="CU2602" s="45"/>
      <c r="CV2602" s="99">
        <f t="shared" si="255"/>
        <v>0</v>
      </c>
      <c r="CW2602" s="139"/>
      <c r="CX2602" s="138"/>
      <c r="CY2602" s="138"/>
      <c r="CZ2602" s="138"/>
      <c r="DA2602" s="139"/>
      <c r="DB2602" s="138"/>
      <c r="DC2602" s="45"/>
      <c r="DD2602" s="138"/>
      <c r="DE2602" s="45"/>
      <c r="DF2602" s="46"/>
    </row>
    <row r="2603" spans="1:110" s="42" customFormat="1" ht="24" x14ac:dyDescent="0.2">
      <c r="A2603" s="89">
        <v>40862</v>
      </c>
      <c r="B2603" s="151" t="s">
        <v>4350</v>
      </c>
      <c r="C2603" s="90" t="s">
        <v>3535</v>
      </c>
      <c r="D2603" s="90" t="s">
        <v>3346</v>
      </c>
      <c r="E2603" s="90" t="str">
        <f>VLOOKUP(B2603&amp;C2603,Divipola!$C$2:$F$1138,4,FALSE)</f>
        <v>63130</v>
      </c>
      <c r="F2603" s="4"/>
      <c r="G2603" s="101"/>
      <c r="H2603" s="101"/>
      <c r="I2603" s="101"/>
      <c r="J2603" s="101">
        <v>15</v>
      </c>
      <c r="K2603" s="101">
        <v>3</v>
      </c>
      <c r="L2603" s="101"/>
      <c r="M2603" s="101">
        <v>3</v>
      </c>
      <c r="N2603" s="101"/>
      <c r="O2603" s="101"/>
      <c r="P2603" s="101"/>
      <c r="Q2603" s="101"/>
      <c r="R2603" s="101"/>
      <c r="S2603" s="101"/>
      <c r="T2603" s="101"/>
      <c r="U2603" s="101"/>
      <c r="V2603" s="101"/>
      <c r="W2603" s="19"/>
      <c r="X2603" s="17"/>
      <c r="Y2603" s="5">
        <f t="shared" si="250"/>
        <v>0</v>
      </c>
      <c r="Z2603" s="5">
        <f t="shared" si="251"/>
        <v>0</v>
      </c>
      <c r="AA2603" s="5">
        <f t="shared" si="252"/>
        <v>0</v>
      </c>
      <c r="AB2603" s="5">
        <f t="shared" si="253"/>
        <v>0</v>
      </c>
      <c r="AC2603" s="5"/>
      <c r="AD2603" s="5">
        <v>0</v>
      </c>
      <c r="AE2603" s="5">
        <f t="shared" si="254"/>
        <v>0</v>
      </c>
      <c r="AF2603" s="70">
        <v>0</v>
      </c>
      <c r="AG2603" s="17"/>
      <c r="AH2603" s="18"/>
      <c r="AI2603" s="47" t="s">
        <v>4346</v>
      </c>
      <c r="AJ2603" s="73" t="s">
        <v>4347</v>
      </c>
      <c r="AK2603" s="45"/>
      <c r="AL2603" s="17" t="s">
        <v>5051</v>
      </c>
      <c r="AM2603" s="121" t="s">
        <v>4995</v>
      </c>
      <c r="AN2603" s="19"/>
      <c r="AO2603" s="19"/>
      <c r="AP2603" s="19"/>
      <c r="AQ2603" s="19"/>
      <c r="AR2603" s="19"/>
      <c r="AS2603" s="19"/>
      <c r="AT2603" s="19"/>
      <c r="AU2603" s="19"/>
      <c r="AV2603" s="19"/>
      <c r="AW2603" s="19"/>
      <c r="AX2603" s="19"/>
      <c r="AY2603" s="19"/>
      <c r="AZ2603" s="19"/>
      <c r="BA2603" s="19"/>
      <c r="BB2603" s="19"/>
      <c r="BC2603" s="19"/>
      <c r="BD2603" s="19"/>
      <c r="BE2603" s="19"/>
      <c r="BF2603" s="19"/>
      <c r="BG2603" s="19"/>
      <c r="BH2603" s="19"/>
      <c r="BI2603" s="19"/>
      <c r="BJ2603" s="19"/>
      <c r="BK2603" s="19"/>
      <c r="BL2603" s="19"/>
      <c r="BM2603" s="19"/>
      <c r="BN2603" s="19"/>
      <c r="BO2603" s="19"/>
      <c r="BP2603" s="19"/>
      <c r="BQ2603" s="19"/>
      <c r="BR2603" s="19"/>
      <c r="BS2603" s="19"/>
      <c r="BT2603" s="19"/>
      <c r="BU2603" s="19"/>
      <c r="BV2603" s="19"/>
      <c r="BW2603" s="19"/>
      <c r="BX2603" s="19"/>
      <c r="BY2603" s="19"/>
      <c r="BZ2603" s="19"/>
      <c r="CA2603" s="19"/>
      <c r="CB2603" s="19"/>
      <c r="CC2603" s="19"/>
      <c r="CD2603" s="139"/>
      <c r="CE2603" s="138"/>
      <c r="CF2603" s="139"/>
      <c r="CG2603" s="138"/>
      <c r="CH2603" s="139"/>
      <c r="CI2603" s="138"/>
      <c r="CJ2603" s="72"/>
      <c r="CK2603" s="139"/>
      <c r="CL2603" s="71"/>
      <c r="CM2603" s="139"/>
      <c r="CN2603" s="138"/>
      <c r="CO2603" s="138"/>
      <c r="CP2603" s="138"/>
      <c r="CQ2603" s="139"/>
      <c r="CR2603" s="138"/>
      <c r="CS2603" s="45"/>
      <c r="CT2603" s="138"/>
      <c r="CU2603" s="45"/>
      <c r="CV2603" s="99">
        <f t="shared" si="255"/>
        <v>0</v>
      </c>
      <c r="CW2603" s="139"/>
      <c r="CX2603" s="138"/>
      <c r="CY2603" s="138"/>
      <c r="CZ2603" s="138"/>
      <c r="DA2603" s="139"/>
      <c r="DB2603" s="138"/>
      <c r="DC2603" s="45"/>
      <c r="DD2603" s="138"/>
      <c r="DE2603" s="45"/>
      <c r="DF2603" s="46"/>
    </row>
    <row r="2604" spans="1:110" s="42" customFormat="1" ht="60" x14ac:dyDescent="0.2">
      <c r="A2604" s="89">
        <v>40862</v>
      </c>
      <c r="B2604" s="151" t="s">
        <v>4350</v>
      </c>
      <c r="C2604" s="90" t="s">
        <v>4282</v>
      </c>
      <c r="D2604" s="90" t="s">
        <v>4264</v>
      </c>
      <c r="E2604" s="90" t="str">
        <f>VLOOKUP(B2604&amp;C2604,Divipola!$C$2:$F$1138,4,FALSE)</f>
        <v>63212</v>
      </c>
      <c r="F2604" s="4"/>
      <c r="G2604" s="101">
        <v>1</v>
      </c>
      <c r="H2604" s="101"/>
      <c r="I2604" s="101"/>
      <c r="J2604" s="101"/>
      <c r="K2604" s="101"/>
      <c r="L2604" s="101"/>
      <c r="M2604" s="101"/>
      <c r="N2604" s="101"/>
      <c r="O2604" s="101"/>
      <c r="P2604" s="101"/>
      <c r="Q2604" s="101"/>
      <c r="R2604" s="101"/>
      <c r="S2604" s="101"/>
      <c r="T2604" s="101"/>
      <c r="U2604" s="101"/>
      <c r="V2604" s="101"/>
      <c r="W2604" s="19"/>
      <c r="X2604" s="17"/>
      <c r="Y2604" s="5">
        <f t="shared" si="250"/>
        <v>0</v>
      </c>
      <c r="Z2604" s="5">
        <f t="shared" si="251"/>
        <v>0</v>
      </c>
      <c r="AA2604" s="5">
        <f t="shared" si="252"/>
        <v>0</v>
      </c>
      <c r="AB2604" s="5">
        <f t="shared" si="253"/>
        <v>0</v>
      </c>
      <c r="AC2604" s="5"/>
      <c r="AD2604" s="5">
        <v>0</v>
      </c>
      <c r="AE2604" s="5">
        <f t="shared" si="254"/>
        <v>0</v>
      </c>
      <c r="AF2604" s="70">
        <v>0</v>
      </c>
      <c r="AG2604" s="17"/>
      <c r="AH2604" s="18"/>
      <c r="AI2604" s="47" t="s">
        <v>4346</v>
      </c>
      <c r="AJ2604" s="73" t="s">
        <v>4347</v>
      </c>
      <c r="AK2604" s="45"/>
      <c r="AL2604" s="17" t="s">
        <v>5051</v>
      </c>
      <c r="AM2604" s="121" t="s">
        <v>4996</v>
      </c>
      <c r="AN2604" s="19"/>
      <c r="AO2604" s="19"/>
      <c r="AP2604" s="19"/>
      <c r="AQ2604" s="19"/>
      <c r="AR2604" s="19"/>
      <c r="AS2604" s="19"/>
      <c r="AT2604" s="19"/>
      <c r="AU2604" s="19"/>
      <c r="AV2604" s="19"/>
      <c r="AW2604" s="19"/>
      <c r="AX2604" s="19"/>
      <c r="AY2604" s="19"/>
      <c r="AZ2604" s="19"/>
      <c r="BA2604" s="19"/>
      <c r="BB2604" s="19"/>
      <c r="BC2604" s="19"/>
      <c r="BD2604" s="19"/>
      <c r="BE2604" s="19"/>
      <c r="BF2604" s="19"/>
      <c r="BG2604" s="19"/>
      <c r="BH2604" s="19"/>
      <c r="BI2604" s="19"/>
      <c r="BJ2604" s="19"/>
      <c r="BK2604" s="19"/>
      <c r="BL2604" s="19"/>
      <c r="BM2604" s="19"/>
      <c r="BN2604" s="19"/>
      <c r="BO2604" s="19"/>
      <c r="BP2604" s="19"/>
      <c r="BQ2604" s="19"/>
      <c r="BR2604" s="19"/>
      <c r="BS2604" s="19"/>
      <c r="BT2604" s="19"/>
      <c r="BU2604" s="19"/>
      <c r="BV2604" s="19"/>
      <c r="BW2604" s="19"/>
      <c r="BX2604" s="19"/>
      <c r="BY2604" s="19"/>
      <c r="BZ2604" s="19"/>
      <c r="CA2604" s="19"/>
      <c r="CB2604" s="19"/>
      <c r="CC2604" s="19"/>
      <c r="CD2604" s="139"/>
      <c r="CE2604" s="138"/>
      <c r="CF2604" s="139"/>
      <c r="CG2604" s="138"/>
      <c r="CH2604" s="139"/>
      <c r="CI2604" s="138"/>
      <c r="CJ2604" s="72"/>
      <c r="CK2604" s="139"/>
      <c r="CL2604" s="71"/>
      <c r="CM2604" s="139"/>
      <c r="CN2604" s="138"/>
      <c r="CO2604" s="138"/>
      <c r="CP2604" s="138"/>
      <c r="CQ2604" s="139"/>
      <c r="CR2604" s="138"/>
      <c r="CS2604" s="45"/>
      <c r="CT2604" s="138"/>
      <c r="CU2604" s="45"/>
      <c r="CV2604" s="99">
        <f t="shared" si="255"/>
        <v>0</v>
      </c>
      <c r="CW2604" s="139"/>
      <c r="CX2604" s="138"/>
      <c r="CY2604" s="138"/>
      <c r="CZ2604" s="138"/>
      <c r="DA2604" s="139"/>
      <c r="DB2604" s="138"/>
      <c r="DC2604" s="45"/>
      <c r="DD2604" s="138"/>
      <c r="DE2604" s="45"/>
      <c r="DF2604" s="46"/>
    </row>
    <row r="2605" spans="1:110" s="42" customFormat="1" ht="96" x14ac:dyDescent="0.2">
      <c r="A2605" s="89">
        <v>40862</v>
      </c>
      <c r="B2605" s="151" t="s">
        <v>4348</v>
      </c>
      <c r="C2605" s="90" t="s">
        <v>4365</v>
      </c>
      <c r="D2605" s="90" t="s">
        <v>3346</v>
      </c>
      <c r="E2605" s="90" t="str">
        <f>VLOOKUP(B2605&amp;C2605,Divipola!$C$2:$F$1138,4,FALSE)</f>
        <v>66682</v>
      </c>
      <c r="F2605" s="4"/>
      <c r="G2605" s="101"/>
      <c r="H2605" s="101"/>
      <c r="I2605" s="101"/>
      <c r="J2605" s="101">
        <v>78</v>
      </c>
      <c r="K2605" s="101">
        <v>16</v>
      </c>
      <c r="L2605" s="101"/>
      <c r="M2605" s="101">
        <v>16</v>
      </c>
      <c r="N2605" s="101"/>
      <c r="O2605" s="101"/>
      <c r="P2605" s="101"/>
      <c r="Q2605" s="101"/>
      <c r="R2605" s="101"/>
      <c r="S2605" s="101"/>
      <c r="T2605" s="101"/>
      <c r="U2605" s="101"/>
      <c r="V2605" s="101"/>
      <c r="W2605" s="19"/>
      <c r="X2605" s="17"/>
      <c r="Y2605" s="5">
        <f t="shared" si="250"/>
        <v>0</v>
      </c>
      <c r="Z2605" s="5">
        <f t="shared" si="251"/>
        <v>0</v>
      </c>
      <c r="AA2605" s="5">
        <f t="shared" si="252"/>
        <v>0</v>
      </c>
      <c r="AB2605" s="5">
        <f t="shared" si="253"/>
        <v>0</v>
      </c>
      <c r="AC2605" s="5"/>
      <c r="AD2605" s="5">
        <v>0</v>
      </c>
      <c r="AE2605" s="5">
        <f t="shared" si="254"/>
        <v>0</v>
      </c>
      <c r="AF2605" s="70">
        <v>0</v>
      </c>
      <c r="AG2605" s="17"/>
      <c r="AH2605" s="18"/>
      <c r="AI2605" s="47" t="s">
        <v>4346</v>
      </c>
      <c r="AJ2605" s="73" t="s">
        <v>4347</v>
      </c>
      <c r="AK2605" s="45"/>
      <c r="AL2605" s="17" t="s">
        <v>5534</v>
      </c>
      <c r="AM2605" s="121" t="s">
        <v>5541</v>
      </c>
      <c r="AN2605" s="19"/>
      <c r="AO2605" s="19"/>
      <c r="AP2605" s="19"/>
      <c r="AQ2605" s="19"/>
      <c r="AR2605" s="19"/>
      <c r="AS2605" s="19"/>
      <c r="AT2605" s="19"/>
      <c r="AU2605" s="19"/>
      <c r="AV2605" s="19"/>
      <c r="AW2605" s="19"/>
      <c r="AX2605" s="19"/>
      <c r="AY2605" s="19"/>
      <c r="AZ2605" s="19"/>
      <c r="BA2605" s="19"/>
      <c r="BB2605" s="19"/>
      <c r="BC2605" s="19"/>
      <c r="BD2605" s="19"/>
      <c r="BE2605" s="19"/>
      <c r="BF2605" s="19"/>
      <c r="BG2605" s="19"/>
      <c r="BH2605" s="19"/>
      <c r="BI2605" s="19"/>
      <c r="BJ2605" s="19"/>
      <c r="BK2605" s="19"/>
      <c r="BL2605" s="19"/>
      <c r="BM2605" s="19"/>
      <c r="BN2605" s="19"/>
      <c r="BO2605" s="19"/>
      <c r="BP2605" s="19"/>
      <c r="BQ2605" s="19"/>
      <c r="BR2605" s="19"/>
      <c r="BS2605" s="19"/>
      <c r="BT2605" s="19"/>
      <c r="BU2605" s="19"/>
      <c r="BV2605" s="19"/>
      <c r="BW2605" s="19"/>
      <c r="BX2605" s="19"/>
      <c r="BY2605" s="19"/>
      <c r="BZ2605" s="19"/>
      <c r="CA2605" s="19"/>
      <c r="CB2605" s="19"/>
      <c r="CC2605" s="19"/>
      <c r="CD2605" s="139"/>
      <c r="CE2605" s="138"/>
      <c r="CF2605" s="139"/>
      <c r="CG2605" s="138"/>
      <c r="CH2605" s="139"/>
      <c r="CI2605" s="138"/>
      <c r="CJ2605" s="72"/>
      <c r="CK2605" s="139"/>
      <c r="CL2605" s="71"/>
      <c r="CM2605" s="139"/>
      <c r="CN2605" s="138"/>
      <c r="CO2605" s="138"/>
      <c r="CP2605" s="138"/>
      <c r="CQ2605" s="139"/>
      <c r="CR2605" s="138"/>
      <c r="CS2605" s="45"/>
      <c r="CT2605" s="138"/>
      <c r="CU2605" s="45"/>
      <c r="CV2605" s="99">
        <f t="shared" si="255"/>
        <v>0</v>
      </c>
      <c r="CW2605" s="139"/>
      <c r="CX2605" s="138"/>
      <c r="CY2605" s="138"/>
      <c r="CZ2605" s="138"/>
      <c r="DA2605" s="139"/>
      <c r="DB2605" s="138"/>
      <c r="DC2605" s="45"/>
      <c r="DD2605" s="138"/>
      <c r="DE2605" s="45"/>
      <c r="DF2605" s="46"/>
    </row>
    <row r="2606" spans="1:110" s="42" customFormat="1" ht="36" x14ac:dyDescent="0.2">
      <c r="A2606" s="89">
        <v>40862</v>
      </c>
      <c r="B2606" s="151" t="s">
        <v>3316</v>
      </c>
      <c r="C2606" s="90" t="s">
        <v>4323</v>
      </c>
      <c r="D2606" s="90" t="s">
        <v>2362</v>
      </c>
      <c r="E2606" s="90" t="str">
        <f>VLOOKUP(B2606&amp;C2606,Divipola!$C$2:$F$1138,4,FALSE)</f>
        <v>73001</v>
      </c>
      <c r="F2606" s="4"/>
      <c r="G2606" s="101"/>
      <c r="H2606" s="101"/>
      <c r="I2606" s="101"/>
      <c r="J2606" s="101">
        <v>3</v>
      </c>
      <c r="K2606" s="101">
        <v>1</v>
      </c>
      <c r="L2606" s="101">
        <v>1</v>
      </c>
      <c r="M2606" s="101"/>
      <c r="N2606" s="101"/>
      <c r="O2606" s="101"/>
      <c r="P2606" s="101"/>
      <c r="Q2606" s="101"/>
      <c r="R2606" s="101"/>
      <c r="S2606" s="101"/>
      <c r="T2606" s="101"/>
      <c r="U2606" s="101"/>
      <c r="V2606" s="101"/>
      <c r="W2606" s="19"/>
      <c r="X2606" s="17"/>
      <c r="Y2606" s="5">
        <f t="shared" si="250"/>
        <v>0</v>
      </c>
      <c r="Z2606" s="5">
        <f t="shared" si="251"/>
        <v>0</v>
      </c>
      <c r="AA2606" s="5">
        <f t="shared" si="252"/>
        <v>0</v>
      </c>
      <c r="AB2606" s="5">
        <f t="shared" si="253"/>
        <v>0</v>
      </c>
      <c r="AC2606" s="5"/>
      <c r="AD2606" s="5">
        <v>0</v>
      </c>
      <c r="AE2606" s="5">
        <f t="shared" si="254"/>
        <v>0</v>
      </c>
      <c r="AF2606" s="70">
        <v>0</v>
      </c>
      <c r="AG2606" s="17"/>
      <c r="AH2606" s="18"/>
      <c r="AI2606" s="47" t="s">
        <v>4346</v>
      </c>
      <c r="AJ2606" s="73" t="s">
        <v>4347</v>
      </c>
      <c r="AK2606" s="45"/>
      <c r="AL2606" s="17" t="s">
        <v>5534</v>
      </c>
      <c r="AM2606" s="121" t="s">
        <v>4999</v>
      </c>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39"/>
      <c r="CE2606" s="138"/>
      <c r="CF2606" s="139"/>
      <c r="CG2606" s="138"/>
      <c r="CH2606" s="139"/>
      <c r="CI2606" s="138"/>
      <c r="CJ2606" s="72"/>
      <c r="CK2606" s="139"/>
      <c r="CL2606" s="71"/>
      <c r="CM2606" s="139"/>
      <c r="CN2606" s="138"/>
      <c r="CO2606" s="138"/>
      <c r="CP2606" s="138"/>
      <c r="CQ2606" s="139"/>
      <c r="CR2606" s="138"/>
      <c r="CS2606" s="45"/>
      <c r="CT2606" s="138"/>
      <c r="CU2606" s="45"/>
      <c r="CV2606" s="99">
        <f t="shared" si="255"/>
        <v>0</v>
      </c>
      <c r="CW2606" s="139"/>
      <c r="CX2606" s="138"/>
      <c r="CY2606" s="138"/>
      <c r="CZ2606" s="138"/>
      <c r="DA2606" s="139"/>
      <c r="DB2606" s="138"/>
      <c r="DC2606" s="45"/>
      <c r="DD2606" s="138"/>
      <c r="DE2606" s="45"/>
      <c r="DF2606" s="46"/>
    </row>
    <row r="2607" spans="1:110" s="42" customFormat="1" ht="22.5" x14ac:dyDescent="0.2">
      <c r="A2607" s="89">
        <v>40862</v>
      </c>
      <c r="B2607" s="153" t="s">
        <v>4244</v>
      </c>
      <c r="C2607" s="4" t="s">
        <v>4345</v>
      </c>
      <c r="D2607" s="90" t="s">
        <v>4264</v>
      </c>
      <c r="E2607" s="90">
        <f>VLOOKUP(B2607&amp;C2607,Divipola!$C$2:$F$1138,4,FALSE)</f>
        <v>76</v>
      </c>
      <c r="F2607" s="4"/>
      <c r="G2607" s="208"/>
      <c r="H2607" s="208"/>
      <c r="I2607" s="208"/>
      <c r="J2607" s="208"/>
      <c r="K2607" s="208"/>
      <c r="L2607" s="208"/>
      <c r="M2607" s="208"/>
      <c r="N2607" s="208"/>
      <c r="O2607" s="208"/>
      <c r="P2607" s="208"/>
      <c r="Q2607" s="208"/>
      <c r="R2607" s="208"/>
      <c r="S2607" s="208"/>
      <c r="T2607" s="208"/>
      <c r="U2607" s="208"/>
      <c r="V2607" s="208"/>
      <c r="W2607" s="19"/>
      <c r="X2607" s="17"/>
      <c r="Y2607" s="5">
        <f t="shared" si="250"/>
        <v>597248600</v>
      </c>
      <c r="Z2607" s="5">
        <f t="shared" si="251"/>
        <v>293250000</v>
      </c>
      <c r="AA2607" s="5">
        <f t="shared" si="252"/>
        <v>90224800</v>
      </c>
      <c r="AB2607" s="5">
        <f t="shared" si="253"/>
        <v>0</v>
      </c>
      <c r="AC2607" s="5"/>
      <c r="AD2607" s="5">
        <v>0</v>
      </c>
      <c r="AE2607" s="5">
        <f t="shared" si="254"/>
        <v>980723400</v>
      </c>
      <c r="AF2607" s="70">
        <v>0</v>
      </c>
      <c r="AG2607" s="17"/>
      <c r="AH2607" s="18"/>
      <c r="AI2607" s="47" t="s">
        <v>4346</v>
      </c>
      <c r="AJ2607" s="73" t="s">
        <v>4347</v>
      </c>
      <c r="AK2607" s="45"/>
      <c r="AL2607" s="89" t="s">
        <v>2798</v>
      </c>
      <c r="AM2607" s="20"/>
      <c r="AN2607" s="19"/>
      <c r="AO2607" s="19"/>
      <c r="AP2607" s="19"/>
      <c r="AQ2607" s="19"/>
      <c r="AR2607" s="19"/>
      <c r="AS2607" s="19"/>
      <c r="AT2607" s="19"/>
      <c r="AU2607" s="19"/>
      <c r="AV2607" s="19"/>
      <c r="AW2607" s="19"/>
      <c r="AX2607" s="19">
        <v>517</v>
      </c>
      <c r="AY2607" s="19">
        <f>93*800000+424*600000</f>
        <v>328800000</v>
      </c>
      <c r="AZ2607" s="19"/>
      <c r="BA2607" s="19"/>
      <c r="BB2607" s="19"/>
      <c r="BC2607" s="19"/>
      <c r="BD2607" s="19"/>
      <c r="BE2607" s="19"/>
      <c r="BF2607" s="19"/>
      <c r="BG2607" s="19"/>
      <c r="BH2607" s="19"/>
      <c r="BI2607" s="19"/>
      <c r="BJ2607" s="19"/>
      <c r="BK2607" s="19"/>
      <c r="BL2607" s="19"/>
      <c r="BM2607" s="19"/>
      <c r="BN2607" s="19"/>
      <c r="BO2607" s="19"/>
      <c r="BP2607" s="19"/>
      <c r="BQ2607" s="19"/>
      <c r="BR2607" s="19"/>
      <c r="BS2607" s="19"/>
      <c r="BT2607" s="19"/>
      <c r="BU2607" s="19"/>
      <c r="BV2607" s="19"/>
      <c r="BW2607" s="19"/>
      <c r="BX2607" s="19"/>
      <c r="BY2607" s="19"/>
      <c r="BZ2607" s="19"/>
      <c r="CA2607" s="19"/>
      <c r="CB2607" s="19"/>
      <c r="CC2607" s="19"/>
      <c r="CD2607" s="139"/>
      <c r="CE2607" s="138"/>
      <c r="CF2607" s="139"/>
      <c r="CG2607" s="138"/>
      <c r="CH2607" s="139"/>
      <c r="CI2607" s="138"/>
      <c r="CJ2607" s="72"/>
      <c r="CK2607" s="139"/>
      <c r="CL2607" s="71"/>
      <c r="CM2607" s="139"/>
      <c r="CN2607" s="138"/>
      <c r="CO2607" s="138"/>
      <c r="CP2607" s="138">
        <v>3500</v>
      </c>
      <c r="CQ2607" s="139">
        <f>1750*37000+1750*36999.36</f>
        <v>129498880</v>
      </c>
      <c r="CR2607" s="138">
        <v>3500</v>
      </c>
      <c r="CS2607" s="45">
        <f>1750*39700+1750*39699.84</f>
        <v>138949720</v>
      </c>
      <c r="CT2607" s="138"/>
      <c r="CU2607" s="45"/>
      <c r="CV2607" s="99">
        <f t="shared" si="255"/>
        <v>597248600</v>
      </c>
      <c r="CW2607" s="139"/>
      <c r="CX2607" s="138"/>
      <c r="CY2607" s="138">
        <v>3450</v>
      </c>
      <c r="CZ2607" s="138">
        <f>3450*85000</f>
        <v>293250000</v>
      </c>
      <c r="DA2607" s="139"/>
      <c r="DB2607" s="138"/>
      <c r="DC2607" s="45">
        <v>4000</v>
      </c>
      <c r="DD2607" s="138">
        <f>4000*21999.4+16000*139.2</f>
        <v>90224800</v>
      </c>
      <c r="DE2607" s="45"/>
      <c r="DF2607" s="46"/>
    </row>
    <row r="2608" spans="1:110" s="42" customFormat="1" ht="48" x14ac:dyDescent="0.2">
      <c r="A2608" s="89">
        <v>40862</v>
      </c>
      <c r="B2608" s="16" t="s">
        <v>4352</v>
      </c>
      <c r="C2608" s="16" t="s">
        <v>3247</v>
      </c>
      <c r="D2608" s="16" t="s">
        <v>4264</v>
      </c>
      <c r="E2608" s="90" t="str">
        <f>VLOOKUP(B2608&amp;C2608,Divipola!$C$2:$F$1138,4,FALSE)</f>
        <v>13600</v>
      </c>
      <c r="F2608" s="4"/>
      <c r="G2608" s="208"/>
      <c r="H2608" s="208"/>
      <c r="I2608" s="208"/>
      <c r="J2608" s="208">
        <f>212*5</f>
        <v>1060</v>
      </c>
      <c r="K2608" s="208">
        <v>212</v>
      </c>
      <c r="L2608" s="208"/>
      <c r="M2608" s="208"/>
      <c r="N2608" s="208"/>
      <c r="O2608" s="208"/>
      <c r="P2608" s="208"/>
      <c r="Q2608" s="208"/>
      <c r="R2608" s="208"/>
      <c r="S2608" s="208"/>
      <c r="T2608" s="208"/>
      <c r="U2608" s="208"/>
      <c r="V2608" s="208"/>
      <c r="W2608" s="19"/>
      <c r="X2608" s="17"/>
      <c r="Y2608" s="5">
        <f t="shared" si="250"/>
        <v>119973000</v>
      </c>
      <c r="Z2608" s="5">
        <f t="shared" si="251"/>
        <v>71995000</v>
      </c>
      <c r="AA2608" s="5">
        <f t="shared" si="252"/>
        <v>0</v>
      </c>
      <c r="AB2608" s="5">
        <f t="shared" si="253"/>
        <v>36424000</v>
      </c>
      <c r="AC2608" s="5"/>
      <c r="AD2608" s="5">
        <v>0</v>
      </c>
      <c r="AE2608" s="5">
        <f t="shared" si="254"/>
        <v>228392000</v>
      </c>
      <c r="AF2608" s="70">
        <v>0</v>
      </c>
      <c r="AG2608" s="17"/>
      <c r="AH2608" s="18"/>
      <c r="AI2608" s="47" t="s">
        <v>4346</v>
      </c>
      <c r="AJ2608" s="73" t="s">
        <v>4347</v>
      </c>
      <c r="AK2608" s="45"/>
      <c r="AL2608" s="17"/>
      <c r="AM2608" s="20" t="s">
        <v>5600</v>
      </c>
      <c r="AN2608" s="19"/>
      <c r="AO2608" s="19"/>
      <c r="AP2608" s="19"/>
      <c r="AQ2608" s="19"/>
      <c r="AR2608" s="19"/>
      <c r="AS2608" s="19"/>
      <c r="AT2608" s="19"/>
      <c r="AU2608" s="19"/>
      <c r="AV2608" s="19"/>
      <c r="AW2608" s="19"/>
      <c r="AX2608" s="19">
        <v>10</v>
      </c>
      <c r="AY2608" s="19">
        <f>5*600000+5*389000</f>
        <v>4945000</v>
      </c>
      <c r="AZ2608" s="19"/>
      <c r="BA2608" s="19"/>
      <c r="BB2608" s="19"/>
      <c r="BC2608" s="19"/>
      <c r="BD2608" s="19"/>
      <c r="BE2608" s="19"/>
      <c r="BF2608" s="19"/>
      <c r="BG2608" s="19"/>
      <c r="BH2608" s="19"/>
      <c r="BI2608" s="19"/>
      <c r="BJ2608" s="19"/>
      <c r="BK2608" s="19"/>
      <c r="BL2608" s="19">
        <v>1694</v>
      </c>
      <c r="BM2608" s="19">
        <f>1694*25500</f>
        <v>43197000</v>
      </c>
      <c r="BN2608" s="19"/>
      <c r="BO2608" s="19"/>
      <c r="BP2608" s="19"/>
      <c r="BQ2608" s="19"/>
      <c r="BR2608" s="19"/>
      <c r="BS2608" s="19"/>
      <c r="BT2608" s="19"/>
      <c r="BU2608" s="19"/>
      <c r="BV2608" s="19"/>
      <c r="BW2608" s="19"/>
      <c r="BX2608" s="19"/>
      <c r="BY2608" s="19"/>
      <c r="BZ2608" s="19">
        <v>20</v>
      </c>
      <c r="CA2608" s="19">
        <f>20*500000</f>
        <v>10000000</v>
      </c>
      <c r="CB2608" s="19"/>
      <c r="CC2608" s="19"/>
      <c r="CD2608" s="139"/>
      <c r="CE2608" s="138"/>
      <c r="CF2608" s="139"/>
      <c r="CG2608" s="138"/>
      <c r="CH2608" s="139"/>
      <c r="CI2608" s="138"/>
      <c r="CJ2608" s="72"/>
      <c r="CK2608" s="139"/>
      <c r="CL2608" s="71"/>
      <c r="CM2608" s="139"/>
      <c r="CN2608" s="138">
        <v>1694</v>
      </c>
      <c r="CO2608" s="138">
        <f>1694*18000</f>
        <v>30492000</v>
      </c>
      <c r="CP2608" s="138">
        <v>847</v>
      </c>
      <c r="CQ2608" s="139">
        <f>847*37000</f>
        <v>31339000</v>
      </c>
      <c r="CR2608" s="138"/>
      <c r="CS2608" s="45"/>
      <c r="CT2608" s="138"/>
      <c r="CU2608" s="45"/>
      <c r="CV2608" s="99">
        <f t="shared" si="255"/>
        <v>119973000</v>
      </c>
      <c r="CW2608" s="139">
        <v>40000</v>
      </c>
      <c r="CX2608" s="138">
        <f>40000*910.6</f>
        <v>36424000</v>
      </c>
      <c r="CY2608" s="138">
        <v>847</v>
      </c>
      <c r="CZ2608" s="138">
        <f>847*85000</f>
        <v>71995000</v>
      </c>
      <c r="DA2608" s="139"/>
      <c r="DB2608" s="138"/>
      <c r="DC2608" s="45"/>
      <c r="DD2608" s="138"/>
      <c r="DE2608" s="45"/>
      <c r="DF2608" s="46"/>
    </row>
    <row r="2609" spans="1:110" s="42" customFormat="1" ht="60" x14ac:dyDescent="0.2">
      <c r="A2609" s="89">
        <v>40862</v>
      </c>
      <c r="B2609" s="151" t="s">
        <v>4219</v>
      </c>
      <c r="C2609" s="90" t="s">
        <v>4255</v>
      </c>
      <c r="D2609" s="90" t="s">
        <v>4264</v>
      </c>
      <c r="E2609" s="90" t="str">
        <f>VLOOKUP(B2609&amp;C2609,Divipola!$C$2:$F$1138,4,FALSE)</f>
        <v>41396</v>
      </c>
      <c r="F2609" s="4"/>
      <c r="G2609" s="101"/>
      <c r="H2609" s="101"/>
      <c r="I2609" s="101"/>
      <c r="J2609" s="101">
        <v>235</v>
      </c>
      <c r="K2609" s="101">
        <v>47</v>
      </c>
      <c r="L2609" s="101">
        <v>2</v>
      </c>
      <c r="M2609" s="101">
        <v>64</v>
      </c>
      <c r="N2609" s="101">
        <v>10</v>
      </c>
      <c r="O2609" s="101"/>
      <c r="P2609" s="101"/>
      <c r="Q2609" s="101">
        <v>5</v>
      </c>
      <c r="R2609" s="101"/>
      <c r="S2609" s="101"/>
      <c r="T2609" s="101">
        <v>4</v>
      </c>
      <c r="U2609" s="19"/>
      <c r="V2609" s="101"/>
      <c r="W2609" s="19"/>
      <c r="X2609" s="17"/>
      <c r="Y2609" s="5">
        <f t="shared" si="250"/>
        <v>0</v>
      </c>
      <c r="Z2609" s="5">
        <f t="shared" si="251"/>
        <v>0</v>
      </c>
      <c r="AA2609" s="5">
        <f t="shared" si="252"/>
        <v>0</v>
      </c>
      <c r="AB2609" s="5">
        <f t="shared" si="253"/>
        <v>0</v>
      </c>
      <c r="AC2609" s="5"/>
      <c r="AD2609" s="5">
        <v>0</v>
      </c>
      <c r="AE2609" s="5">
        <f t="shared" si="254"/>
        <v>0</v>
      </c>
      <c r="AF2609" s="70">
        <v>0</v>
      </c>
      <c r="AG2609" s="17"/>
      <c r="AH2609" s="18"/>
      <c r="AI2609" s="47" t="s">
        <v>4346</v>
      </c>
      <c r="AJ2609" s="73" t="s">
        <v>4347</v>
      </c>
      <c r="AK2609" s="45"/>
      <c r="AL2609" s="89" t="s">
        <v>2798</v>
      </c>
      <c r="AM2609" s="121" t="s">
        <v>5496</v>
      </c>
      <c r="AN2609" s="19"/>
      <c r="AO2609" s="19"/>
      <c r="AP2609" s="19"/>
      <c r="AQ2609" s="19"/>
      <c r="AR2609" s="19"/>
      <c r="AS2609" s="19"/>
      <c r="AT2609" s="19"/>
      <c r="AU2609" s="19"/>
      <c r="AV2609" s="19"/>
      <c r="AW2609" s="19"/>
      <c r="AX2609" s="19"/>
      <c r="AY2609" s="19"/>
      <c r="AZ2609" s="19"/>
      <c r="BA2609" s="19"/>
      <c r="BB2609" s="19"/>
      <c r="BC2609" s="19"/>
      <c r="BD2609" s="19"/>
      <c r="BE2609" s="19"/>
      <c r="BF2609" s="19"/>
      <c r="BG2609" s="19"/>
      <c r="BH2609" s="19"/>
      <c r="BI2609" s="19"/>
      <c r="BJ2609" s="19"/>
      <c r="BK2609" s="19"/>
      <c r="BL2609" s="19"/>
      <c r="BM2609" s="19"/>
      <c r="BN2609" s="19"/>
      <c r="BO2609" s="19"/>
      <c r="BP2609" s="19"/>
      <c r="BQ2609" s="19"/>
      <c r="BR2609" s="19"/>
      <c r="BS2609" s="19"/>
      <c r="BT2609" s="19"/>
      <c r="BU2609" s="19"/>
      <c r="BV2609" s="19"/>
      <c r="BW2609" s="19"/>
      <c r="BX2609" s="19"/>
      <c r="BY2609" s="19"/>
      <c r="BZ2609" s="19"/>
      <c r="CA2609" s="19"/>
      <c r="CB2609" s="19"/>
      <c r="CC2609" s="19"/>
      <c r="CD2609" s="139"/>
      <c r="CE2609" s="138"/>
      <c r="CF2609" s="139"/>
      <c r="CG2609" s="138"/>
      <c r="CH2609" s="139"/>
      <c r="CI2609" s="138"/>
      <c r="CJ2609" s="72"/>
      <c r="CK2609" s="139"/>
      <c r="CL2609" s="71"/>
      <c r="CM2609" s="139"/>
      <c r="CN2609" s="138"/>
      <c r="CO2609" s="138"/>
      <c r="CP2609" s="138"/>
      <c r="CQ2609" s="139"/>
      <c r="CR2609" s="138"/>
      <c r="CS2609" s="45"/>
      <c r="CT2609" s="138"/>
      <c r="CU2609" s="45"/>
      <c r="CV2609" s="99">
        <f t="shared" si="255"/>
        <v>0</v>
      </c>
      <c r="CW2609" s="139"/>
      <c r="CX2609" s="138"/>
      <c r="CY2609" s="138"/>
      <c r="CZ2609" s="138"/>
      <c r="DA2609" s="139"/>
      <c r="DB2609" s="138"/>
      <c r="DC2609" s="45"/>
      <c r="DD2609" s="138"/>
      <c r="DE2609" s="45"/>
      <c r="DF2609" s="46"/>
    </row>
    <row r="2610" spans="1:110" s="42" customFormat="1" ht="24" x14ac:dyDescent="0.2">
      <c r="A2610" s="89">
        <v>40862</v>
      </c>
      <c r="B2610" s="16" t="s">
        <v>2857</v>
      </c>
      <c r="C2610" s="16" t="s">
        <v>2858</v>
      </c>
      <c r="D2610" s="16" t="s">
        <v>4264</v>
      </c>
      <c r="E2610" s="90" t="str">
        <f>VLOOKUP(B2610&amp;C2610,Divipola!$C$2:$F$1138,4,FALSE)</f>
        <v>95001</v>
      </c>
      <c r="F2610" s="4"/>
      <c r="G2610" s="208"/>
      <c r="H2610" s="208"/>
      <c r="I2610" s="208"/>
      <c r="J2610" s="208"/>
      <c r="K2610" s="208"/>
      <c r="L2610" s="208"/>
      <c r="M2610" s="208"/>
      <c r="N2610" s="208"/>
      <c r="O2610" s="208"/>
      <c r="P2610" s="208"/>
      <c r="Q2610" s="208"/>
      <c r="R2610" s="208"/>
      <c r="S2610" s="208"/>
      <c r="T2610" s="208"/>
      <c r="U2610" s="208"/>
      <c r="V2610" s="208"/>
      <c r="W2610" s="19"/>
      <c r="X2610" s="17"/>
      <c r="Y2610" s="5">
        <f t="shared" si="250"/>
        <v>0</v>
      </c>
      <c r="Z2610" s="5">
        <f t="shared" si="251"/>
        <v>0</v>
      </c>
      <c r="AA2610" s="5">
        <f t="shared" si="252"/>
        <v>0</v>
      </c>
      <c r="AB2610" s="5">
        <f t="shared" si="253"/>
        <v>0</v>
      </c>
      <c r="AC2610" s="5">
        <v>43421005</v>
      </c>
      <c r="AD2610" s="5">
        <v>0</v>
      </c>
      <c r="AE2610" s="5">
        <f t="shared" si="254"/>
        <v>43421005</v>
      </c>
      <c r="AF2610" s="70">
        <v>0</v>
      </c>
      <c r="AG2610" s="17"/>
      <c r="AH2610" s="18"/>
      <c r="AI2610" s="47" t="s">
        <v>4346</v>
      </c>
      <c r="AJ2610" s="73" t="s">
        <v>4347</v>
      </c>
      <c r="AK2610" s="45"/>
      <c r="AL2610" s="17"/>
      <c r="AM2610" s="20" t="s">
        <v>5517</v>
      </c>
      <c r="AN2610" s="19"/>
      <c r="AO2610" s="19"/>
      <c r="AP2610" s="19"/>
      <c r="AQ2610" s="19"/>
      <c r="AR2610" s="19"/>
      <c r="AS2610" s="19"/>
      <c r="AT2610" s="19"/>
      <c r="AU2610" s="19"/>
      <c r="AV2610" s="19"/>
      <c r="AW2610" s="19"/>
      <c r="AX2610" s="19"/>
      <c r="AY2610" s="19"/>
      <c r="AZ2610" s="19"/>
      <c r="BA2610" s="19"/>
      <c r="BB2610" s="19"/>
      <c r="BC2610" s="19"/>
      <c r="BD2610" s="19"/>
      <c r="BE2610" s="19"/>
      <c r="BF2610" s="19"/>
      <c r="BG2610" s="19"/>
      <c r="BH2610" s="19"/>
      <c r="BI2610" s="19"/>
      <c r="BJ2610" s="19"/>
      <c r="BK2610" s="19"/>
      <c r="BL2610" s="19"/>
      <c r="BM2610" s="19"/>
      <c r="BN2610" s="19"/>
      <c r="BO2610" s="19"/>
      <c r="BP2610" s="19"/>
      <c r="BQ2610" s="19"/>
      <c r="BR2610" s="19"/>
      <c r="BS2610" s="19"/>
      <c r="BT2610" s="19"/>
      <c r="BU2610" s="19"/>
      <c r="BV2610" s="19"/>
      <c r="BW2610" s="19"/>
      <c r="BX2610" s="19"/>
      <c r="BY2610" s="19"/>
      <c r="BZ2610" s="19"/>
      <c r="CA2610" s="19"/>
      <c r="CB2610" s="19"/>
      <c r="CC2610" s="19"/>
      <c r="CD2610" s="139"/>
      <c r="CE2610" s="138"/>
      <c r="CF2610" s="139"/>
      <c r="CG2610" s="138"/>
      <c r="CH2610" s="139"/>
      <c r="CI2610" s="138"/>
      <c r="CJ2610" s="72"/>
      <c r="CK2610" s="139"/>
      <c r="CL2610" s="71"/>
      <c r="CM2610" s="139"/>
      <c r="CN2610" s="138"/>
      <c r="CO2610" s="138"/>
      <c r="CP2610" s="138"/>
      <c r="CQ2610" s="139"/>
      <c r="CR2610" s="138"/>
      <c r="CS2610" s="45"/>
      <c r="CT2610" s="138"/>
      <c r="CU2610" s="45"/>
      <c r="CV2610" s="99">
        <f t="shared" si="255"/>
        <v>0</v>
      </c>
      <c r="CW2610" s="139"/>
      <c r="CX2610" s="138"/>
      <c r="CY2610" s="138"/>
      <c r="CZ2610" s="138"/>
      <c r="DA2610" s="139"/>
      <c r="DB2610" s="138"/>
      <c r="DC2610" s="45"/>
      <c r="DD2610" s="138"/>
      <c r="DE2610" s="45"/>
      <c r="DF2610" s="46"/>
    </row>
    <row r="2611" spans="1:110" s="42" customFormat="1" ht="36" x14ac:dyDescent="0.2">
      <c r="A2611" s="89">
        <v>40862</v>
      </c>
      <c r="B2611" s="16" t="s">
        <v>2225</v>
      </c>
      <c r="C2611" s="16" t="s">
        <v>4345</v>
      </c>
      <c r="D2611" s="16" t="s">
        <v>4264</v>
      </c>
      <c r="E2611" s="90">
        <f>VLOOKUP(B2611&amp;C2611,Divipola!$C$2:$F$1138,4,FALSE)</f>
        <v>27</v>
      </c>
      <c r="F2611" s="4"/>
      <c r="G2611" s="208"/>
      <c r="H2611" s="208"/>
      <c r="I2611" s="208"/>
      <c r="J2611" s="208"/>
      <c r="K2611" s="208"/>
      <c r="L2611" s="208"/>
      <c r="M2611" s="208"/>
      <c r="N2611" s="208"/>
      <c r="O2611" s="208"/>
      <c r="P2611" s="208"/>
      <c r="Q2611" s="208"/>
      <c r="R2611" s="208"/>
      <c r="S2611" s="208"/>
      <c r="T2611" s="208"/>
      <c r="U2611" s="208"/>
      <c r="V2611" s="208"/>
      <c r="W2611" s="19"/>
      <c r="X2611" s="17"/>
      <c r="Y2611" s="5">
        <f t="shared" si="250"/>
        <v>0</v>
      </c>
      <c r="Z2611" s="5">
        <f t="shared" si="251"/>
        <v>0</v>
      </c>
      <c r="AA2611" s="5">
        <f t="shared" si="252"/>
        <v>0</v>
      </c>
      <c r="AB2611" s="5">
        <f t="shared" si="253"/>
        <v>0</v>
      </c>
      <c r="AC2611" s="5">
        <v>34856985</v>
      </c>
      <c r="AD2611" s="5">
        <v>0</v>
      </c>
      <c r="AE2611" s="5">
        <f t="shared" si="254"/>
        <v>34856985</v>
      </c>
      <c r="AF2611" s="70">
        <v>0</v>
      </c>
      <c r="AG2611" s="17"/>
      <c r="AH2611" s="18"/>
      <c r="AI2611" s="47" t="s">
        <v>4346</v>
      </c>
      <c r="AJ2611" s="73" t="s">
        <v>4347</v>
      </c>
      <c r="AK2611" s="45"/>
      <c r="AL2611" s="17"/>
      <c r="AM2611" s="20" t="s">
        <v>5519</v>
      </c>
      <c r="AN2611" s="19"/>
      <c r="AO2611" s="19"/>
      <c r="AP2611" s="19"/>
      <c r="AQ2611" s="19"/>
      <c r="AR2611" s="19"/>
      <c r="AS2611" s="19"/>
      <c r="AT2611" s="19"/>
      <c r="AU2611" s="19"/>
      <c r="AV2611" s="19"/>
      <c r="AW2611" s="19"/>
      <c r="AX2611" s="19"/>
      <c r="AY2611" s="19"/>
      <c r="AZ2611" s="19"/>
      <c r="BA2611" s="19"/>
      <c r="BB2611" s="19"/>
      <c r="BC2611" s="19"/>
      <c r="BD2611" s="19"/>
      <c r="BE2611" s="19"/>
      <c r="BF2611" s="19"/>
      <c r="BG2611" s="19"/>
      <c r="BH2611" s="19"/>
      <c r="BI2611" s="19"/>
      <c r="BJ2611" s="19"/>
      <c r="BK2611" s="19"/>
      <c r="BL2611" s="19"/>
      <c r="BM2611" s="19"/>
      <c r="BN2611" s="19"/>
      <c r="BO2611" s="19"/>
      <c r="BP2611" s="19"/>
      <c r="BQ2611" s="19"/>
      <c r="BR2611" s="19"/>
      <c r="BS2611" s="19"/>
      <c r="BT2611" s="19"/>
      <c r="BU2611" s="19"/>
      <c r="BV2611" s="19"/>
      <c r="BW2611" s="19"/>
      <c r="BX2611" s="19"/>
      <c r="BY2611" s="19"/>
      <c r="BZ2611" s="19"/>
      <c r="CA2611" s="19"/>
      <c r="CB2611" s="19"/>
      <c r="CC2611" s="19"/>
      <c r="CD2611" s="139"/>
      <c r="CE2611" s="138"/>
      <c r="CF2611" s="139"/>
      <c r="CG2611" s="138"/>
      <c r="CH2611" s="139"/>
      <c r="CI2611" s="138"/>
      <c r="CJ2611" s="72"/>
      <c r="CK2611" s="139"/>
      <c r="CL2611" s="71"/>
      <c r="CM2611" s="139"/>
      <c r="CN2611" s="138"/>
      <c r="CO2611" s="138"/>
      <c r="CP2611" s="138"/>
      <c r="CQ2611" s="139"/>
      <c r="CR2611" s="138"/>
      <c r="CS2611" s="45"/>
      <c r="CT2611" s="138"/>
      <c r="CU2611" s="45"/>
      <c r="CV2611" s="99">
        <f t="shared" si="255"/>
        <v>0</v>
      </c>
      <c r="CW2611" s="139"/>
      <c r="CX2611" s="138"/>
      <c r="CY2611" s="138"/>
      <c r="CZ2611" s="138"/>
      <c r="DA2611" s="139"/>
      <c r="DB2611" s="138"/>
      <c r="DC2611" s="45"/>
      <c r="DD2611" s="138"/>
      <c r="DE2611" s="45"/>
      <c r="DF2611" s="46"/>
    </row>
    <row r="2612" spans="1:110" s="42" customFormat="1" ht="84" x14ac:dyDescent="0.2">
      <c r="A2612" s="89">
        <v>40863</v>
      </c>
      <c r="B2612" s="197" t="s">
        <v>1116</v>
      </c>
      <c r="C2612" s="90" t="s">
        <v>1116</v>
      </c>
      <c r="D2612" s="90" t="s">
        <v>4264</v>
      </c>
      <c r="E2612" s="90" t="str">
        <f>VLOOKUP(B2612&amp;C2612,Divipola!$C$2:$F$1138,4,FALSE)</f>
        <v>11001</v>
      </c>
      <c r="F2612" s="4"/>
      <c r="G2612" s="101"/>
      <c r="H2612" s="101"/>
      <c r="I2612" s="101"/>
      <c r="J2612" s="101"/>
      <c r="K2612" s="101"/>
      <c r="L2612" s="101"/>
      <c r="M2612" s="101"/>
      <c r="N2612" s="101"/>
      <c r="O2612" s="101"/>
      <c r="P2612" s="101"/>
      <c r="Q2612" s="101"/>
      <c r="R2612" s="101"/>
      <c r="S2612" s="101"/>
      <c r="T2612" s="101"/>
      <c r="U2612" s="101"/>
      <c r="V2612" s="101"/>
      <c r="W2612" s="19"/>
      <c r="X2612" s="17"/>
      <c r="Y2612" s="5">
        <f t="shared" si="250"/>
        <v>0</v>
      </c>
      <c r="Z2612" s="5">
        <f t="shared" si="251"/>
        <v>0</v>
      </c>
      <c r="AA2612" s="5">
        <f t="shared" si="252"/>
        <v>0</v>
      </c>
      <c r="AB2612" s="5">
        <f t="shared" si="253"/>
        <v>0</v>
      </c>
      <c r="AC2612" s="5"/>
      <c r="AD2612" s="5">
        <v>0</v>
      </c>
      <c r="AE2612" s="5">
        <f t="shared" si="254"/>
        <v>0</v>
      </c>
      <c r="AF2612" s="70">
        <v>0</v>
      </c>
      <c r="AG2612" s="17"/>
      <c r="AH2612" s="18"/>
      <c r="AI2612" s="47" t="s">
        <v>4336</v>
      </c>
      <c r="AJ2612" s="73" t="s">
        <v>4337</v>
      </c>
      <c r="AK2612" s="45"/>
      <c r="AL2612" s="17"/>
      <c r="AM2612" s="121" t="s">
        <v>5011</v>
      </c>
      <c r="AN2612" s="19"/>
      <c r="AO2612" s="19"/>
      <c r="AP2612" s="19"/>
      <c r="AQ2612" s="19"/>
      <c r="AR2612" s="19"/>
      <c r="AS2612" s="19"/>
      <c r="AT2612" s="19"/>
      <c r="AU2612" s="19"/>
      <c r="AV2612" s="19"/>
      <c r="AW2612" s="19"/>
      <c r="AX2612" s="19"/>
      <c r="AY2612" s="19"/>
      <c r="AZ2612" s="19"/>
      <c r="BA2612" s="19"/>
      <c r="BB2612" s="19"/>
      <c r="BC2612" s="19"/>
      <c r="BD2612" s="19"/>
      <c r="BE2612" s="19"/>
      <c r="BF2612" s="19"/>
      <c r="BG2612" s="19"/>
      <c r="BH2612" s="19"/>
      <c r="BI2612" s="19"/>
      <c r="BJ2612" s="19"/>
      <c r="BK2612" s="19"/>
      <c r="BL2612" s="19"/>
      <c r="BM2612" s="19"/>
      <c r="BN2612" s="19"/>
      <c r="BO2612" s="19"/>
      <c r="BP2612" s="19"/>
      <c r="BQ2612" s="19"/>
      <c r="BR2612" s="19"/>
      <c r="BS2612" s="19"/>
      <c r="BT2612" s="19"/>
      <c r="BU2612" s="19"/>
      <c r="BV2612" s="19"/>
      <c r="BW2612" s="19"/>
      <c r="BX2612" s="19"/>
      <c r="BY2612" s="19"/>
      <c r="BZ2612" s="19"/>
      <c r="CA2612" s="19"/>
      <c r="CB2612" s="19"/>
      <c r="CC2612" s="19"/>
      <c r="CD2612" s="139"/>
      <c r="CE2612" s="138"/>
      <c r="CF2612" s="139"/>
      <c r="CG2612" s="138"/>
      <c r="CH2612" s="139"/>
      <c r="CI2612" s="138"/>
      <c r="CJ2612" s="72"/>
      <c r="CK2612" s="139"/>
      <c r="CL2612" s="71"/>
      <c r="CM2612" s="139"/>
      <c r="CN2612" s="138"/>
      <c r="CO2612" s="138"/>
      <c r="CP2612" s="138"/>
      <c r="CQ2612" s="139"/>
      <c r="CR2612" s="138"/>
      <c r="CS2612" s="45"/>
      <c r="CT2612" s="138"/>
      <c r="CU2612" s="45"/>
      <c r="CV2612" s="99">
        <f t="shared" si="255"/>
        <v>0</v>
      </c>
      <c r="CW2612" s="139"/>
      <c r="CX2612" s="138"/>
      <c r="CY2612" s="138"/>
      <c r="CZ2612" s="138"/>
      <c r="DA2612" s="139"/>
      <c r="DB2612" s="138"/>
      <c r="DC2612" s="45"/>
      <c r="DD2612" s="138"/>
      <c r="DE2612" s="45"/>
      <c r="DF2612" s="46"/>
    </row>
    <row r="2613" spans="1:110" s="42" customFormat="1" ht="48" x14ac:dyDescent="0.2">
      <c r="A2613" s="89">
        <v>40863</v>
      </c>
      <c r="B2613" s="197" t="s">
        <v>1116</v>
      </c>
      <c r="C2613" s="90" t="s">
        <v>1116</v>
      </c>
      <c r="D2613" s="90" t="s">
        <v>4264</v>
      </c>
      <c r="E2613" s="90" t="str">
        <f>VLOOKUP(B2613&amp;C2613,Divipola!$C$2:$F$1138,4,FALSE)</f>
        <v>11001</v>
      </c>
      <c r="F2613" s="4"/>
      <c r="G2613" s="101"/>
      <c r="H2613" s="101"/>
      <c r="I2613" s="101"/>
      <c r="J2613" s="101">
        <v>100</v>
      </c>
      <c r="K2613" s="101">
        <v>20</v>
      </c>
      <c r="L2613" s="101">
        <v>20</v>
      </c>
      <c r="M2613" s="101"/>
      <c r="N2613" s="101"/>
      <c r="O2613" s="101"/>
      <c r="P2613" s="101"/>
      <c r="Q2613" s="101"/>
      <c r="R2613" s="101"/>
      <c r="S2613" s="101"/>
      <c r="T2613" s="101"/>
      <c r="U2613" s="101"/>
      <c r="V2613" s="101"/>
      <c r="W2613" s="19"/>
      <c r="X2613" s="17"/>
      <c r="Y2613" s="5">
        <f t="shared" si="250"/>
        <v>0</v>
      </c>
      <c r="Z2613" s="5">
        <f t="shared" si="251"/>
        <v>0</v>
      </c>
      <c r="AA2613" s="5">
        <f t="shared" si="252"/>
        <v>0</v>
      </c>
      <c r="AB2613" s="5">
        <f t="shared" si="253"/>
        <v>0</v>
      </c>
      <c r="AC2613" s="5"/>
      <c r="AD2613" s="5">
        <v>0</v>
      </c>
      <c r="AE2613" s="5">
        <f t="shared" si="254"/>
        <v>0</v>
      </c>
      <c r="AF2613" s="70">
        <v>0</v>
      </c>
      <c r="AG2613" s="17"/>
      <c r="AH2613" s="18"/>
      <c r="AI2613" s="47" t="s">
        <v>4336</v>
      </c>
      <c r="AJ2613" s="73" t="s">
        <v>4337</v>
      </c>
      <c r="AK2613" s="45"/>
      <c r="AL2613" s="17"/>
      <c r="AM2613" s="121" t="s">
        <v>5034</v>
      </c>
      <c r="AN2613" s="19"/>
      <c r="AO2613" s="19"/>
      <c r="AP2613" s="19"/>
      <c r="AQ2613" s="19"/>
      <c r="AR2613" s="19"/>
      <c r="AS2613" s="19"/>
      <c r="AT2613" s="19"/>
      <c r="AU2613" s="19"/>
      <c r="AV2613" s="19"/>
      <c r="AW2613" s="19"/>
      <c r="AX2613" s="19"/>
      <c r="AY2613" s="19"/>
      <c r="AZ2613" s="19"/>
      <c r="BA2613" s="19"/>
      <c r="BB2613" s="19"/>
      <c r="BC2613" s="19"/>
      <c r="BD2613" s="19"/>
      <c r="BE2613" s="19"/>
      <c r="BF2613" s="19"/>
      <c r="BG2613" s="19"/>
      <c r="BH2613" s="19"/>
      <c r="BI2613" s="19"/>
      <c r="BJ2613" s="19"/>
      <c r="BK2613" s="19"/>
      <c r="BL2613" s="19"/>
      <c r="BM2613" s="19"/>
      <c r="BN2613" s="19"/>
      <c r="BO2613" s="19"/>
      <c r="BP2613" s="19"/>
      <c r="BQ2613" s="19"/>
      <c r="BR2613" s="19"/>
      <c r="BS2613" s="19"/>
      <c r="BT2613" s="19"/>
      <c r="BU2613" s="19"/>
      <c r="BV2613" s="19"/>
      <c r="BW2613" s="19"/>
      <c r="BX2613" s="19"/>
      <c r="BY2613" s="19"/>
      <c r="BZ2613" s="19"/>
      <c r="CA2613" s="19"/>
      <c r="CB2613" s="19"/>
      <c r="CC2613" s="19"/>
      <c r="CD2613" s="139"/>
      <c r="CE2613" s="138"/>
      <c r="CF2613" s="139"/>
      <c r="CG2613" s="138"/>
      <c r="CH2613" s="139"/>
      <c r="CI2613" s="138"/>
      <c r="CJ2613" s="72"/>
      <c r="CK2613" s="139"/>
      <c r="CL2613" s="71"/>
      <c r="CM2613" s="139"/>
      <c r="CN2613" s="138"/>
      <c r="CO2613" s="138"/>
      <c r="CP2613" s="138"/>
      <c r="CQ2613" s="139"/>
      <c r="CR2613" s="138"/>
      <c r="CS2613" s="45"/>
      <c r="CT2613" s="138"/>
      <c r="CU2613" s="45"/>
      <c r="CV2613" s="99">
        <f t="shared" si="255"/>
        <v>0</v>
      </c>
      <c r="CW2613" s="139"/>
      <c r="CX2613" s="138"/>
      <c r="CY2613" s="138"/>
      <c r="CZ2613" s="138"/>
      <c r="DA2613" s="139"/>
      <c r="DB2613" s="138"/>
      <c r="DC2613" s="45"/>
      <c r="DD2613" s="138"/>
      <c r="DE2613" s="45"/>
      <c r="DF2613" s="46"/>
    </row>
    <row r="2614" spans="1:110" s="42" customFormat="1" ht="60" x14ac:dyDescent="0.2">
      <c r="A2614" s="89">
        <v>40863</v>
      </c>
      <c r="B2614" s="197" t="s">
        <v>1116</v>
      </c>
      <c r="C2614" s="90" t="s">
        <v>1116</v>
      </c>
      <c r="D2614" s="90" t="s">
        <v>4264</v>
      </c>
      <c r="E2614" s="90" t="str">
        <f>VLOOKUP(B2614&amp;C2614,Divipola!$C$2:$F$1138,4,FALSE)</f>
        <v>11001</v>
      </c>
      <c r="F2614" s="4"/>
      <c r="G2614" s="101"/>
      <c r="H2614" s="101"/>
      <c r="I2614" s="101"/>
      <c r="J2614" s="101"/>
      <c r="K2614" s="101"/>
      <c r="L2614" s="101"/>
      <c r="M2614" s="101"/>
      <c r="N2614" s="101"/>
      <c r="O2614" s="101"/>
      <c r="P2614" s="101">
        <v>1</v>
      </c>
      <c r="Q2614" s="101"/>
      <c r="R2614" s="101"/>
      <c r="S2614" s="101"/>
      <c r="T2614" s="101"/>
      <c r="U2614" s="101"/>
      <c r="V2614" s="101"/>
      <c r="W2614" s="19"/>
      <c r="X2614" s="17"/>
      <c r="Y2614" s="5">
        <f t="shared" si="250"/>
        <v>0</v>
      </c>
      <c r="Z2614" s="5">
        <f t="shared" si="251"/>
        <v>0</v>
      </c>
      <c r="AA2614" s="5">
        <f t="shared" si="252"/>
        <v>0</v>
      </c>
      <c r="AB2614" s="5">
        <f t="shared" si="253"/>
        <v>0</v>
      </c>
      <c r="AC2614" s="5"/>
      <c r="AD2614" s="5">
        <v>0</v>
      </c>
      <c r="AE2614" s="5">
        <f t="shared" si="254"/>
        <v>0</v>
      </c>
      <c r="AF2614" s="70">
        <v>0</v>
      </c>
      <c r="AG2614" s="17"/>
      <c r="AH2614" s="18"/>
      <c r="AI2614" s="47" t="s">
        <v>4336</v>
      </c>
      <c r="AJ2614" s="73" t="s">
        <v>4337</v>
      </c>
      <c r="AK2614" s="45"/>
      <c r="AL2614" s="17"/>
      <c r="AM2614" s="121" t="s">
        <v>5035</v>
      </c>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39"/>
      <c r="CE2614" s="138"/>
      <c r="CF2614" s="139"/>
      <c r="CG2614" s="138"/>
      <c r="CH2614" s="139"/>
      <c r="CI2614" s="138"/>
      <c r="CJ2614" s="72"/>
      <c r="CK2614" s="139"/>
      <c r="CL2614" s="71"/>
      <c r="CM2614" s="139"/>
      <c r="CN2614" s="138"/>
      <c r="CO2614" s="138"/>
      <c r="CP2614" s="138"/>
      <c r="CQ2614" s="139"/>
      <c r="CR2614" s="138"/>
      <c r="CS2614" s="45"/>
      <c r="CT2614" s="138"/>
      <c r="CU2614" s="45"/>
      <c r="CV2614" s="99">
        <f t="shared" si="255"/>
        <v>0</v>
      </c>
      <c r="CW2614" s="139"/>
      <c r="CX2614" s="138"/>
      <c r="CY2614" s="138"/>
      <c r="CZ2614" s="138"/>
      <c r="DA2614" s="139"/>
      <c r="DB2614" s="138"/>
      <c r="DC2614" s="45"/>
      <c r="DD2614" s="138"/>
      <c r="DE2614" s="45"/>
      <c r="DF2614" s="46"/>
    </row>
    <row r="2615" spans="1:110" s="42" customFormat="1" ht="22.5" x14ac:dyDescent="0.2">
      <c r="A2615" s="89">
        <v>40863</v>
      </c>
      <c r="B2615" s="151" t="s">
        <v>4261</v>
      </c>
      <c r="C2615" s="90" t="s">
        <v>3449</v>
      </c>
      <c r="D2615" s="90" t="s">
        <v>4264</v>
      </c>
      <c r="E2615" s="90" t="str">
        <f>VLOOKUP(B2615&amp;C2615,Divipola!$C$2:$F$1138,4,FALSE)</f>
        <v>15681</v>
      </c>
      <c r="F2615" s="4"/>
      <c r="G2615" s="208"/>
      <c r="H2615" s="208"/>
      <c r="I2615" s="208"/>
      <c r="J2615" s="208"/>
      <c r="K2615" s="208"/>
      <c r="L2615" s="208"/>
      <c r="M2615" s="208"/>
      <c r="N2615" s="208"/>
      <c r="O2615" s="208"/>
      <c r="P2615" s="208"/>
      <c r="Q2615" s="208"/>
      <c r="R2615" s="208"/>
      <c r="S2615" s="208"/>
      <c r="T2615" s="208"/>
      <c r="U2615" s="208"/>
      <c r="V2615" s="208"/>
      <c r="W2615" s="19"/>
      <c r="X2615" s="17"/>
      <c r="Y2615" s="5">
        <f t="shared" si="250"/>
        <v>3200000</v>
      </c>
      <c r="Z2615" s="5">
        <f t="shared" si="251"/>
        <v>0</v>
      </c>
      <c r="AA2615" s="5">
        <f t="shared" si="252"/>
        <v>0</v>
      </c>
      <c r="AB2615" s="5">
        <f t="shared" si="253"/>
        <v>0</v>
      </c>
      <c r="AC2615" s="5"/>
      <c r="AD2615" s="5">
        <v>0</v>
      </c>
      <c r="AE2615" s="5">
        <f t="shared" si="254"/>
        <v>3200000</v>
      </c>
      <c r="AF2615" s="70">
        <v>0</v>
      </c>
      <c r="AG2615" s="17"/>
      <c r="AH2615" s="18"/>
      <c r="AI2615" s="47" t="s">
        <v>4346</v>
      </c>
      <c r="AJ2615" s="73" t="s">
        <v>4347</v>
      </c>
      <c r="AK2615" s="45"/>
      <c r="AL2615" s="17"/>
      <c r="AM2615" s="20" t="s">
        <v>5049</v>
      </c>
      <c r="AN2615" s="19"/>
      <c r="AO2615" s="19"/>
      <c r="AP2615" s="19"/>
      <c r="AQ2615" s="19"/>
      <c r="AR2615" s="19"/>
      <c r="AS2615" s="19"/>
      <c r="AT2615" s="19"/>
      <c r="AU2615" s="19"/>
      <c r="AV2615" s="19"/>
      <c r="AW2615" s="19"/>
      <c r="AX2615" s="19">
        <v>4</v>
      </c>
      <c r="AY2615" s="19">
        <f>4*800000</f>
        <v>3200000</v>
      </c>
      <c r="AZ2615" s="19"/>
      <c r="BA2615" s="19"/>
      <c r="BB2615" s="19"/>
      <c r="BC2615" s="19"/>
      <c r="BD2615" s="19"/>
      <c r="BE2615" s="19"/>
      <c r="BF2615" s="19"/>
      <c r="BG2615" s="19"/>
      <c r="BH2615" s="19"/>
      <c r="BI2615" s="19"/>
      <c r="BJ2615" s="19"/>
      <c r="BK2615" s="19"/>
      <c r="BL2615" s="19"/>
      <c r="BM2615" s="19"/>
      <c r="BN2615" s="19"/>
      <c r="BO2615" s="19"/>
      <c r="BP2615" s="19"/>
      <c r="BQ2615" s="19"/>
      <c r="BR2615" s="19"/>
      <c r="BS2615" s="19"/>
      <c r="BT2615" s="19"/>
      <c r="BU2615" s="19"/>
      <c r="BV2615" s="19"/>
      <c r="BW2615" s="19"/>
      <c r="BX2615" s="19"/>
      <c r="BY2615" s="19"/>
      <c r="BZ2615" s="19"/>
      <c r="CA2615" s="19"/>
      <c r="CB2615" s="19"/>
      <c r="CC2615" s="19"/>
      <c r="CD2615" s="139"/>
      <c r="CE2615" s="138"/>
      <c r="CF2615" s="139"/>
      <c r="CG2615" s="138"/>
      <c r="CH2615" s="139"/>
      <c r="CI2615" s="138"/>
      <c r="CJ2615" s="72"/>
      <c r="CK2615" s="139"/>
      <c r="CL2615" s="71"/>
      <c r="CM2615" s="139"/>
      <c r="CN2615" s="138"/>
      <c r="CO2615" s="138"/>
      <c r="CP2615" s="138"/>
      <c r="CQ2615" s="139"/>
      <c r="CR2615" s="138"/>
      <c r="CS2615" s="45"/>
      <c r="CT2615" s="138"/>
      <c r="CU2615" s="45"/>
      <c r="CV2615" s="99">
        <f t="shared" si="255"/>
        <v>3200000</v>
      </c>
      <c r="CW2615" s="139"/>
      <c r="CX2615" s="138"/>
      <c r="CY2615" s="138"/>
      <c r="CZ2615" s="138"/>
      <c r="DA2615" s="139"/>
      <c r="DB2615" s="138"/>
      <c r="DC2615" s="45"/>
      <c r="DD2615" s="138"/>
      <c r="DE2615" s="45"/>
      <c r="DF2615" s="46"/>
    </row>
    <row r="2616" spans="1:110" s="42" customFormat="1" ht="72" x14ac:dyDescent="0.2">
      <c r="A2616" s="89">
        <v>40863</v>
      </c>
      <c r="B2616" s="151" t="s">
        <v>3533</v>
      </c>
      <c r="C2616" s="90" t="s">
        <v>968</v>
      </c>
      <c r="D2616" s="90" t="s">
        <v>4298</v>
      </c>
      <c r="E2616" s="90" t="str">
        <f>VLOOKUP(B2616&amp;C2616,Divipola!$C$2:$F$1138,4,FALSE)</f>
        <v>17174</v>
      </c>
      <c r="F2616" s="4"/>
      <c r="G2616" s="101"/>
      <c r="H2616" s="101"/>
      <c r="I2616" s="101"/>
      <c r="J2616" s="101">
        <v>37</v>
      </c>
      <c r="K2616" s="101">
        <v>7</v>
      </c>
      <c r="L2616" s="101">
        <v>6</v>
      </c>
      <c r="M2616" s="101"/>
      <c r="N2616" s="101"/>
      <c r="O2616" s="101"/>
      <c r="P2616" s="101"/>
      <c r="Q2616" s="101"/>
      <c r="R2616" s="101"/>
      <c r="S2616" s="101"/>
      <c r="T2616" s="101"/>
      <c r="U2616" s="101"/>
      <c r="V2616" s="101"/>
      <c r="W2616" s="19"/>
      <c r="X2616" s="17"/>
      <c r="Y2616" s="5">
        <f t="shared" si="250"/>
        <v>0</v>
      </c>
      <c r="Z2616" s="5">
        <f t="shared" si="251"/>
        <v>0</v>
      </c>
      <c r="AA2616" s="5">
        <f t="shared" si="252"/>
        <v>0</v>
      </c>
      <c r="AB2616" s="5">
        <f t="shared" si="253"/>
        <v>0</v>
      </c>
      <c r="AC2616" s="5"/>
      <c r="AD2616" s="5">
        <v>0</v>
      </c>
      <c r="AE2616" s="5">
        <f t="shared" si="254"/>
        <v>0</v>
      </c>
      <c r="AF2616" s="70">
        <v>0</v>
      </c>
      <c r="AG2616" s="17"/>
      <c r="AH2616" s="18"/>
      <c r="AI2616" s="47" t="s">
        <v>4336</v>
      </c>
      <c r="AJ2616" s="73" t="s">
        <v>4337</v>
      </c>
      <c r="AK2616" s="45"/>
      <c r="AL2616" s="17"/>
      <c r="AM2616" s="121" t="s">
        <v>5003</v>
      </c>
      <c r="AN2616" s="19"/>
      <c r="AO2616" s="19"/>
      <c r="AP2616" s="19"/>
      <c r="AQ2616" s="19"/>
      <c r="AR2616" s="19"/>
      <c r="AS2616" s="19"/>
      <c r="AT2616" s="19"/>
      <c r="AU2616" s="19"/>
      <c r="AV2616" s="19"/>
      <c r="AW2616" s="19"/>
      <c r="AX2616" s="19"/>
      <c r="AY2616" s="19"/>
      <c r="AZ2616" s="19"/>
      <c r="BA2616" s="19"/>
      <c r="BB2616" s="19"/>
      <c r="BC2616" s="19"/>
      <c r="BD2616" s="19"/>
      <c r="BE2616" s="19"/>
      <c r="BF2616" s="19"/>
      <c r="BG2616" s="19"/>
      <c r="BH2616" s="19"/>
      <c r="BI2616" s="19"/>
      <c r="BJ2616" s="19"/>
      <c r="BK2616" s="19"/>
      <c r="BL2616" s="19"/>
      <c r="BM2616" s="19"/>
      <c r="BN2616" s="19"/>
      <c r="BO2616" s="19"/>
      <c r="BP2616" s="19"/>
      <c r="BQ2616" s="19"/>
      <c r="BR2616" s="19"/>
      <c r="BS2616" s="19"/>
      <c r="BT2616" s="19"/>
      <c r="BU2616" s="19"/>
      <c r="BV2616" s="19"/>
      <c r="BW2616" s="19"/>
      <c r="BX2616" s="19"/>
      <c r="BY2616" s="19"/>
      <c r="BZ2616" s="19"/>
      <c r="CA2616" s="19"/>
      <c r="CB2616" s="19"/>
      <c r="CC2616" s="19"/>
      <c r="CD2616" s="139"/>
      <c r="CE2616" s="138"/>
      <c r="CF2616" s="139"/>
      <c r="CG2616" s="138"/>
      <c r="CH2616" s="139"/>
      <c r="CI2616" s="138"/>
      <c r="CJ2616" s="72"/>
      <c r="CK2616" s="139"/>
      <c r="CL2616" s="71"/>
      <c r="CM2616" s="139"/>
      <c r="CN2616" s="138"/>
      <c r="CO2616" s="138"/>
      <c r="CP2616" s="138"/>
      <c r="CQ2616" s="139"/>
      <c r="CR2616" s="138"/>
      <c r="CS2616" s="45"/>
      <c r="CT2616" s="138"/>
      <c r="CU2616" s="45"/>
      <c r="CV2616" s="99">
        <f t="shared" si="255"/>
        <v>0</v>
      </c>
      <c r="CW2616" s="139"/>
      <c r="CX2616" s="138"/>
      <c r="CY2616" s="138"/>
      <c r="CZ2616" s="138"/>
      <c r="DA2616" s="139"/>
      <c r="DB2616" s="138"/>
      <c r="DC2616" s="45"/>
      <c r="DD2616" s="138"/>
      <c r="DE2616" s="45"/>
      <c r="DF2616" s="46"/>
    </row>
    <row r="2617" spans="1:110" s="42" customFormat="1" ht="36" x14ac:dyDescent="0.2">
      <c r="A2617" s="89">
        <v>40863</v>
      </c>
      <c r="B2617" s="151" t="s">
        <v>4344</v>
      </c>
      <c r="C2617" s="90" t="s">
        <v>3355</v>
      </c>
      <c r="D2617" s="90" t="s">
        <v>4264</v>
      </c>
      <c r="E2617" s="90" t="str">
        <f>VLOOKUP(B2617&amp;C2617,Divipola!$C$2:$F$1138,4,FALSE)</f>
        <v>25269</v>
      </c>
      <c r="F2617" s="4"/>
      <c r="G2617" s="101"/>
      <c r="H2617" s="101"/>
      <c r="I2617" s="101"/>
      <c r="J2617" s="101">
        <v>18</v>
      </c>
      <c r="K2617" s="101">
        <v>4</v>
      </c>
      <c r="L2617" s="101"/>
      <c r="M2617" s="101">
        <v>4</v>
      </c>
      <c r="N2617" s="101"/>
      <c r="O2617" s="101"/>
      <c r="P2617" s="101"/>
      <c r="Q2617" s="101"/>
      <c r="R2617" s="101"/>
      <c r="S2617" s="101"/>
      <c r="T2617" s="101"/>
      <c r="U2617" s="101"/>
      <c r="V2617" s="101"/>
      <c r="W2617" s="19"/>
      <c r="X2617" s="17"/>
      <c r="Y2617" s="5">
        <f t="shared" si="250"/>
        <v>0</v>
      </c>
      <c r="Z2617" s="5">
        <f t="shared" si="251"/>
        <v>0</v>
      </c>
      <c r="AA2617" s="5">
        <f t="shared" si="252"/>
        <v>0</v>
      </c>
      <c r="AB2617" s="5">
        <f t="shared" si="253"/>
        <v>0</v>
      </c>
      <c r="AC2617" s="5"/>
      <c r="AD2617" s="5">
        <v>0</v>
      </c>
      <c r="AE2617" s="5">
        <f t="shared" si="254"/>
        <v>0</v>
      </c>
      <c r="AF2617" s="70">
        <v>0</v>
      </c>
      <c r="AG2617" s="17"/>
      <c r="AH2617" s="18"/>
      <c r="AI2617" s="47" t="s">
        <v>4336</v>
      </c>
      <c r="AJ2617" s="73" t="s">
        <v>4337</v>
      </c>
      <c r="AK2617" s="45"/>
      <c r="AL2617" s="17"/>
      <c r="AM2617" s="121" t="s">
        <v>5000</v>
      </c>
      <c r="AN2617" s="19"/>
      <c r="AO2617" s="19"/>
      <c r="AP2617" s="19"/>
      <c r="AQ2617" s="19"/>
      <c r="AR2617" s="19"/>
      <c r="AS2617" s="19"/>
      <c r="AT2617" s="19"/>
      <c r="AU2617" s="19"/>
      <c r="AV2617" s="19"/>
      <c r="AW2617" s="19"/>
      <c r="AX2617" s="19"/>
      <c r="AY2617" s="19"/>
      <c r="AZ2617" s="19"/>
      <c r="BA2617" s="19"/>
      <c r="BB2617" s="19"/>
      <c r="BC2617" s="19"/>
      <c r="BD2617" s="19"/>
      <c r="BE2617" s="19"/>
      <c r="BF2617" s="19"/>
      <c r="BG2617" s="19"/>
      <c r="BH2617" s="19"/>
      <c r="BI2617" s="19"/>
      <c r="BJ2617" s="19"/>
      <c r="BK2617" s="19"/>
      <c r="BL2617" s="19"/>
      <c r="BM2617" s="19"/>
      <c r="BN2617" s="19"/>
      <c r="BO2617" s="19"/>
      <c r="BP2617" s="19"/>
      <c r="BQ2617" s="19"/>
      <c r="BR2617" s="19"/>
      <c r="BS2617" s="19"/>
      <c r="BT2617" s="19"/>
      <c r="BU2617" s="19"/>
      <c r="BV2617" s="19"/>
      <c r="BW2617" s="19"/>
      <c r="BX2617" s="19"/>
      <c r="BY2617" s="19"/>
      <c r="BZ2617" s="19"/>
      <c r="CA2617" s="19"/>
      <c r="CB2617" s="19"/>
      <c r="CC2617" s="19"/>
      <c r="CD2617" s="139"/>
      <c r="CE2617" s="138"/>
      <c r="CF2617" s="139"/>
      <c r="CG2617" s="138"/>
      <c r="CH2617" s="139"/>
      <c r="CI2617" s="138"/>
      <c r="CJ2617" s="72"/>
      <c r="CK2617" s="139"/>
      <c r="CL2617" s="71"/>
      <c r="CM2617" s="139"/>
      <c r="CN2617" s="138"/>
      <c r="CO2617" s="138"/>
      <c r="CP2617" s="138"/>
      <c r="CQ2617" s="139"/>
      <c r="CR2617" s="138"/>
      <c r="CS2617" s="45"/>
      <c r="CT2617" s="138"/>
      <c r="CU2617" s="45"/>
      <c r="CV2617" s="99">
        <f t="shared" si="255"/>
        <v>0</v>
      </c>
      <c r="CW2617" s="139"/>
      <c r="CX2617" s="138"/>
      <c r="CY2617" s="138"/>
      <c r="CZ2617" s="138"/>
      <c r="DA2617" s="139"/>
      <c r="DB2617" s="138"/>
      <c r="DC2617" s="45"/>
      <c r="DD2617" s="138"/>
      <c r="DE2617" s="45"/>
      <c r="DF2617" s="46"/>
    </row>
    <row r="2618" spans="1:110" s="42" customFormat="1" ht="48" x14ac:dyDescent="0.2">
      <c r="A2618" s="89">
        <v>40863</v>
      </c>
      <c r="B2618" s="151" t="s">
        <v>4344</v>
      </c>
      <c r="C2618" s="90" t="s">
        <v>4516</v>
      </c>
      <c r="D2618" s="90" t="s">
        <v>4264</v>
      </c>
      <c r="E2618" s="90" t="str">
        <f>VLOOKUP(B2618&amp;C2618,Divipola!$C$2:$F$1138,4,FALSE)</f>
        <v>25772</v>
      </c>
      <c r="F2618" s="4"/>
      <c r="G2618" s="101"/>
      <c r="H2618" s="101"/>
      <c r="I2618" s="101"/>
      <c r="J2618" s="101">
        <v>140</v>
      </c>
      <c r="K2618" s="101">
        <v>28</v>
      </c>
      <c r="L2618" s="101"/>
      <c r="M2618" s="101">
        <v>28</v>
      </c>
      <c r="N2618" s="101"/>
      <c r="O2618" s="101"/>
      <c r="P2618" s="101"/>
      <c r="Q2618" s="101"/>
      <c r="R2618" s="101"/>
      <c r="S2618" s="101"/>
      <c r="T2618" s="101"/>
      <c r="U2618" s="101"/>
      <c r="V2618" s="101"/>
      <c r="W2618" s="19"/>
      <c r="X2618" s="17"/>
      <c r="Y2618" s="5">
        <f t="shared" si="250"/>
        <v>0</v>
      </c>
      <c r="Z2618" s="5">
        <f t="shared" si="251"/>
        <v>0</v>
      </c>
      <c r="AA2618" s="5">
        <f t="shared" si="252"/>
        <v>0</v>
      </c>
      <c r="AB2618" s="5">
        <f t="shared" si="253"/>
        <v>0</v>
      </c>
      <c r="AC2618" s="5"/>
      <c r="AD2618" s="5">
        <v>0</v>
      </c>
      <c r="AE2618" s="5">
        <f t="shared" si="254"/>
        <v>0</v>
      </c>
      <c r="AF2618" s="70">
        <v>0</v>
      </c>
      <c r="AG2618" s="17"/>
      <c r="AH2618" s="18"/>
      <c r="AI2618" s="47" t="s">
        <v>4336</v>
      </c>
      <c r="AJ2618" s="73" t="s">
        <v>4337</v>
      </c>
      <c r="AK2618" s="45"/>
      <c r="AL2618" s="17"/>
      <c r="AM2618" s="121" t="s">
        <v>5001</v>
      </c>
      <c r="AN2618" s="19"/>
      <c r="AO2618" s="19"/>
      <c r="AP2618" s="19"/>
      <c r="AQ2618" s="19"/>
      <c r="AR2618" s="19"/>
      <c r="AS2618" s="19"/>
      <c r="AT2618" s="19"/>
      <c r="AU2618" s="19"/>
      <c r="AV2618" s="19"/>
      <c r="AW2618" s="19"/>
      <c r="AX2618" s="19"/>
      <c r="AY2618" s="19"/>
      <c r="AZ2618" s="19"/>
      <c r="BA2618" s="19"/>
      <c r="BB2618" s="19"/>
      <c r="BC2618" s="19"/>
      <c r="BD2618" s="19"/>
      <c r="BE2618" s="19"/>
      <c r="BF2618" s="19"/>
      <c r="BG2618" s="19"/>
      <c r="BH2618" s="19"/>
      <c r="BI2618" s="19"/>
      <c r="BJ2618" s="19"/>
      <c r="BK2618" s="19"/>
      <c r="BL2618" s="19"/>
      <c r="BM2618" s="19"/>
      <c r="BN2618" s="19"/>
      <c r="BO2618" s="19"/>
      <c r="BP2618" s="19"/>
      <c r="BQ2618" s="19"/>
      <c r="BR2618" s="19"/>
      <c r="BS2618" s="19"/>
      <c r="BT2618" s="19"/>
      <c r="BU2618" s="19"/>
      <c r="BV2618" s="19"/>
      <c r="BW2618" s="19"/>
      <c r="BX2618" s="19"/>
      <c r="BY2618" s="19"/>
      <c r="BZ2618" s="19"/>
      <c r="CA2618" s="19"/>
      <c r="CB2618" s="19"/>
      <c r="CC2618" s="19"/>
      <c r="CD2618" s="139"/>
      <c r="CE2618" s="138"/>
      <c r="CF2618" s="139"/>
      <c r="CG2618" s="138"/>
      <c r="CH2618" s="139"/>
      <c r="CI2618" s="138"/>
      <c r="CJ2618" s="72"/>
      <c r="CK2618" s="139"/>
      <c r="CL2618" s="71"/>
      <c r="CM2618" s="139"/>
      <c r="CN2618" s="138"/>
      <c r="CO2618" s="138"/>
      <c r="CP2618" s="138"/>
      <c r="CQ2618" s="139"/>
      <c r="CR2618" s="138"/>
      <c r="CS2618" s="45"/>
      <c r="CT2618" s="138"/>
      <c r="CU2618" s="45"/>
      <c r="CV2618" s="99">
        <f t="shared" si="255"/>
        <v>0</v>
      </c>
      <c r="CW2618" s="139"/>
      <c r="CX2618" s="138"/>
      <c r="CY2618" s="138"/>
      <c r="CZ2618" s="138"/>
      <c r="DA2618" s="139"/>
      <c r="DB2618" s="138"/>
      <c r="DC2618" s="45"/>
      <c r="DD2618" s="138"/>
      <c r="DE2618" s="45"/>
      <c r="DF2618" s="46"/>
    </row>
    <row r="2619" spans="1:110" s="42" customFormat="1" ht="48" x14ac:dyDescent="0.2">
      <c r="A2619" s="89">
        <v>40863</v>
      </c>
      <c r="B2619" s="151" t="s">
        <v>4219</v>
      </c>
      <c r="C2619" s="90" t="s">
        <v>687</v>
      </c>
      <c r="D2619" s="90" t="s">
        <v>4264</v>
      </c>
      <c r="E2619" s="90" t="str">
        <f>VLOOKUP(B2619&amp;C2619,Divipola!$C$2:$F$1138,4,FALSE)</f>
        <v>41548</v>
      </c>
      <c r="F2619" s="4"/>
      <c r="G2619" s="101"/>
      <c r="H2619" s="101"/>
      <c r="I2619" s="101"/>
      <c r="J2619" s="101"/>
      <c r="K2619" s="101"/>
      <c r="L2619" s="101"/>
      <c r="M2619" s="101"/>
      <c r="N2619" s="101"/>
      <c r="O2619" s="101"/>
      <c r="P2619" s="101"/>
      <c r="Q2619" s="101"/>
      <c r="R2619" s="101"/>
      <c r="S2619" s="101"/>
      <c r="T2619" s="101">
        <v>1</v>
      </c>
      <c r="U2619" s="101"/>
      <c r="V2619" s="101"/>
      <c r="W2619" s="19"/>
      <c r="X2619" s="17"/>
      <c r="Y2619" s="5">
        <f t="shared" si="250"/>
        <v>0</v>
      </c>
      <c r="Z2619" s="5">
        <f t="shared" si="251"/>
        <v>0</v>
      </c>
      <c r="AA2619" s="5">
        <f t="shared" si="252"/>
        <v>0</v>
      </c>
      <c r="AB2619" s="5">
        <f t="shared" si="253"/>
        <v>0</v>
      </c>
      <c r="AC2619" s="5"/>
      <c r="AD2619" s="5">
        <v>0</v>
      </c>
      <c r="AE2619" s="5">
        <f t="shared" si="254"/>
        <v>0</v>
      </c>
      <c r="AF2619" s="70">
        <v>0</v>
      </c>
      <c r="AG2619" s="17"/>
      <c r="AH2619" s="18"/>
      <c r="AI2619" s="47" t="s">
        <v>4346</v>
      </c>
      <c r="AJ2619" s="73" t="s">
        <v>4347</v>
      </c>
      <c r="AK2619" s="45"/>
      <c r="AL2619" s="89" t="s">
        <v>2798</v>
      </c>
      <c r="AM2619" s="121" t="s">
        <v>5008</v>
      </c>
      <c r="AN2619" s="19"/>
      <c r="AO2619" s="19"/>
      <c r="AP2619" s="19"/>
      <c r="AQ2619" s="19"/>
      <c r="AR2619" s="19"/>
      <c r="AS2619" s="19"/>
      <c r="AT2619" s="19"/>
      <c r="AU2619" s="19"/>
      <c r="AV2619" s="19"/>
      <c r="AW2619" s="19"/>
      <c r="AX2619" s="19"/>
      <c r="AY2619" s="19"/>
      <c r="AZ2619" s="19"/>
      <c r="BA2619" s="19"/>
      <c r="BB2619" s="19"/>
      <c r="BC2619" s="19"/>
      <c r="BD2619" s="19"/>
      <c r="BE2619" s="19"/>
      <c r="BF2619" s="19"/>
      <c r="BG2619" s="19"/>
      <c r="BH2619" s="19"/>
      <c r="BI2619" s="19"/>
      <c r="BJ2619" s="19"/>
      <c r="BK2619" s="19"/>
      <c r="BL2619" s="19"/>
      <c r="BM2619" s="19"/>
      <c r="BN2619" s="19"/>
      <c r="BO2619" s="19"/>
      <c r="BP2619" s="19"/>
      <c r="BQ2619" s="19"/>
      <c r="BR2619" s="19"/>
      <c r="BS2619" s="19"/>
      <c r="BT2619" s="19"/>
      <c r="BU2619" s="19"/>
      <c r="BV2619" s="19"/>
      <c r="BW2619" s="19"/>
      <c r="BX2619" s="19"/>
      <c r="BY2619" s="19"/>
      <c r="BZ2619" s="19"/>
      <c r="CA2619" s="19"/>
      <c r="CB2619" s="19"/>
      <c r="CC2619" s="19"/>
      <c r="CD2619" s="139"/>
      <c r="CE2619" s="138"/>
      <c r="CF2619" s="139"/>
      <c r="CG2619" s="138"/>
      <c r="CH2619" s="139"/>
      <c r="CI2619" s="138"/>
      <c r="CJ2619" s="72"/>
      <c r="CK2619" s="139"/>
      <c r="CL2619" s="71"/>
      <c r="CM2619" s="139"/>
      <c r="CN2619" s="138"/>
      <c r="CO2619" s="138"/>
      <c r="CP2619" s="138"/>
      <c r="CQ2619" s="139"/>
      <c r="CR2619" s="138"/>
      <c r="CS2619" s="45"/>
      <c r="CT2619" s="138"/>
      <c r="CU2619" s="45"/>
      <c r="CV2619" s="99">
        <f t="shared" si="255"/>
        <v>0</v>
      </c>
      <c r="CW2619" s="139"/>
      <c r="CX2619" s="138"/>
      <c r="CY2619" s="138"/>
      <c r="CZ2619" s="138"/>
      <c r="DA2619" s="139"/>
      <c r="DB2619" s="138"/>
      <c r="DC2619" s="45"/>
      <c r="DD2619" s="138"/>
      <c r="DE2619" s="45"/>
      <c r="DF2619" s="46"/>
    </row>
    <row r="2620" spans="1:110" s="42" customFormat="1" ht="36" x14ac:dyDescent="0.2">
      <c r="A2620" s="89">
        <v>40863</v>
      </c>
      <c r="B2620" s="151" t="s">
        <v>4219</v>
      </c>
      <c r="C2620" s="90" t="s">
        <v>3356</v>
      </c>
      <c r="D2620" s="90" t="s">
        <v>4264</v>
      </c>
      <c r="E2620" s="90" t="str">
        <f>VLOOKUP(B2620&amp;C2620,Divipola!$C$2:$F$1138,4,FALSE)</f>
        <v>41676</v>
      </c>
      <c r="F2620" s="4"/>
      <c r="G2620" s="101"/>
      <c r="H2620" s="101"/>
      <c r="I2620" s="101"/>
      <c r="J2620" s="101">
        <v>360</v>
      </c>
      <c r="K2620" s="101">
        <v>72</v>
      </c>
      <c r="L2620" s="101"/>
      <c r="M2620" s="101">
        <v>72</v>
      </c>
      <c r="N2620" s="101">
        <v>2</v>
      </c>
      <c r="O2620" s="101"/>
      <c r="P2620" s="101"/>
      <c r="Q2620" s="101"/>
      <c r="R2620" s="101"/>
      <c r="S2620" s="101"/>
      <c r="T2620" s="101"/>
      <c r="U2620" s="101"/>
      <c r="V2620" s="101"/>
      <c r="W2620" s="19"/>
      <c r="X2620" s="17"/>
      <c r="Y2620" s="5">
        <f t="shared" si="250"/>
        <v>0</v>
      </c>
      <c r="Z2620" s="5">
        <f t="shared" si="251"/>
        <v>0</v>
      </c>
      <c r="AA2620" s="5">
        <f t="shared" si="252"/>
        <v>0</v>
      </c>
      <c r="AB2620" s="5">
        <f t="shared" si="253"/>
        <v>0</v>
      </c>
      <c r="AC2620" s="5"/>
      <c r="AD2620" s="5">
        <v>0</v>
      </c>
      <c r="AE2620" s="5">
        <f t="shared" si="254"/>
        <v>0</v>
      </c>
      <c r="AF2620" s="70">
        <v>0</v>
      </c>
      <c r="AG2620" s="17"/>
      <c r="AH2620" s="18"/>
      <c r="AI2620" s="47" t="s">
        <v>4346</v>
      </c>
      <c r="AJ2620" s="73" t="s">
        <v>4347</v>
      </c>
      <c r="AK2620" s="45"/>
      <c r="AL2620" s="89" t="s">
        <v>2798</v>
      </c>
      <c r="AM2620" s="121" t="s">
        <v>5009</v>
      </c>
      <c r="AN2620" s="19"/>
      <c r="AO2620" s="19"/>
      <c r="AP2620" s="19"/>
      <c r="AQ2620" s="19"/>
      <c r="AR2620" s="19"/>
      <c r="AS2620" s="19"/>
      <c r="AT2620" s="19"/>
      <c r="AU2620" s="19"/>
      <c r="AV2620" s="19"/>
      <c r="AW2620" s="19"/>
      <c r="AX2620" s="19"/>
      <c r="AY2620" s="19"/>
      <c r="AZ2620" s="19"/>
      <c r="BA2620" s="19"/>
      <c r="BB2620" s="19"/>
      <c r="BC2620" s="19"/>
      <c r="BD2620" s="19"/>
      <c r="BE2620" s="19"/>
      <c r="BF2620" s="19"/>
      <c r="BG2620" s="19"/>
      <c r="BH2620" s="19"/>
      <c r="BI2620" s="19"/>
      <c r="BJ2620" s="19"/>
      <c r="BK2620" s="19"/>
      <c r="BL2620" s="19"/>
      <c r="BM2620" s="19"/>
      <c r="BN2620" s="19"/>
      <c r="BO2620" s="19"/>
      <c r="BP2620" s="19"/>
      <c r="BQ2620" s="19"/>
      <c r="BR2620" s="19"/>
      <c r="BS2620" s="19"/>
      <c r="BT2620" s="19"/>
      <c r="BU2620" s="19"/>
      <c r="BV2620" s="19"/>
      <c r="BW2620" s="19"/>
      <c r="BX2620" s="19"/>
      <c r="BY2620" s="19"/>
      <c r="BZ2620" s="19"/>
      <c r="CA2620" s="19"/>
      <c r="CB2620" s="19"/>
      <c r="CC2620" s="19"/>
      <c r="CD2620" s="139"/>
      <c r="CE2620" s="138"/>
      <c r="CF2620" s="139"/>
      <c r="CG2620" s="138"/>
      <c r="CH2620" s="139"/>
      <c r="CI2620" s="138"/>
      <c r="CJ2620" s="72"/>
      <c r="CK2620" s="139"/>
      <c r="CL2620" s="71"/>
      <c r="CM2620" s="139"/>
      <c r="CN2620" s="138"/>
      <c r="CO2620" s="138"/>
      <c r="CP2620" s="138"/>
      <c r="CQ2620" s="139"/>
      <c r="CR2620" s="138"/>
      <c r="CS2620" s="45"/>
      <c r="CT2620" s="138"/>
      <c r="CU2620" s="45"/>
      <c r="CV2620" s="99">
        <f t="shared" si="255"/>
        <v>0</v>
      </c>
      <c r="CW2620" s="139"/>
      <c r="CX2620" s="138"/>
      <c r="CY2620" s="138"/>
      <c r="CZ2620" s="138"/>
      <c r="DA2620" s="139"/>
      <c r="DB2620" s="138"/>
      <c r="DC2620" s="45"/>
      <c r="DD2620" s="138"/>
      <c r="DE2620" s="45"/>
      <c r="DF2620" s="46"/>
    </row>
    <row r="2621" spans="1:110" s="42" customFormat="1" ht="36" x14ac:dyDescent="0.2">
      <c r="A2621" s="89">
        <v>40863</v>
      </c>
      <c r="B2621" s="151" t="s">
        <v>4219</v>
      </c>
      <c r="C2621" s="90" t="s">
        <v>697</v>
      </c>
      <c r="D2621" s="90" t="s">
        <v>4264</v>
      </c>
      <c r="E2621" s="90" t="str">
        <f>VLOOKUP(B2621&amp;C2621,Divipola!$C$2:$F$1138,4,FALSE)</f>
        <v>41791</v>
      </c>
      <c r="F2621" s="4"/>
      <c r="G2621" s="101"/>
      <c r="H2621" s="101"/>
      <c r="I2621" s="101"/>
      <c r="J2621" s="101">
        <v>5</v>
      </c>
      <c r="K2621" s="101">
        <v>1</v>
      </c>
      <c r="L2621" s="101"/>
      <c r="M2621" s="101">
        <v>1</v>
      </c>
      <c r="N2621" s="101"/>
      <c r="O2621" s="101"/>
      <c r="P2621" s="101"/>
      <c r="Q2621" s="101"/>
      <c r="R2621" s="101"/>
      <c r="S2621" s="101"/>
      <c r="T2621" s="101"/>
      <c r="U2621" s="101"/>
      <c r="V2621" s="101"/>
      <c r="W2621" s="19"/>
      <c r="X2621" s="17"/>
      <c r="Y2621" s="5">
        <f t="shared" si="250"/>
        <v>0</v>
      </c>
      <c r="Z2621" s="5">
        <f t="shared" si="251"/>
        <v>0</v>
      </c>
      <c r="AA2621" s="5">
        <f t="shared" si="252"/>
        <v>0</v>
      </c>
      <c r="AB2621" s="5">
        <f t="shared" si="253"/>
        <v>0</v>
      </c>
      <c r="AC2621" s="5"/>
      <c r="AD2621" s="5">
        <v>0</v>
      </c>
      <c r="AE2621" s="5">
        <f t="shared" si="254"/>
        <v>0</v>
      </c>
      <c r="AF2621" s="70">
        <v>0</v>
      </c>
      <c r="AG2621" s="17"/>
      <c r="AH2621" s="18"/>
      <c r="AI2621" s="47" t="s">
        <v>4346</v>
      </c>
      <c r="AJ2621" s="73" t="s">
        <v>4347</v>
      </c>
      <c r="AK2621" s="45"/>
      <c r="AL2621" s="89" t="s">
        <v>2798</v>
      </c>
      <c r="AM2621" s="121" t="s">
        <v>5010</v>
      </c>
      <c r="AN2621" s="19"/>
      <c r="AO2621" s="19"/>
      <c r="AP2621" s="19"/>
      <c r="AQ2621" s="19"/>
      <c r="AR2621" s="19"/>
      <c r="AS2621" s="19"/>
      <c r="AT2621" s="19"/>
      <c r="AU2621" s="19"/>
      <c r="AV2621" s="19"/>
      <c r="AW2621" s="19"/>
      <c r="AX2621" s="19"/>
      <c r="AY2621" s="19"/>
      <c r="AZ2621" s="19"/>
      <c r="BA2621" s="19"/>
      <c r="BB2621" s="19"/>
      <c r="BC2621" s="19"/>
      <c r="BD2621" s="19"/>
      <c r="BE2621" s="19"/>
      <c r="BF2621" s="19"/>
      <c r="BG2621" s="19"/>
      <c r="BH2621" s="19"/>
      <c r="BI2621" s="19"/>
      <c r="BJ2621" s="19"/>
      <c r="BK2621" s="19"/>
      <c r="BL2621" s="19"/>
      <c r="BM2621" s="19"/>
      <c r="BN2621" s="19"/>
      <c r="BO2621" s="19"/>
      <c r="BP2621" s="19"/>
      <c r="BQ2621" s="19"/>
      <c r="BR2621" s="19"/>
      <c r="BS2621" s="19"/>
      <c r="BT2621" s="19"/>
      <c r="BU2621" s="19"/>
      <c r="BV2621" s="19"/>
      <c r="BW2621" s="19"/>
      <c r="BX2621" s="19"/>
      <c r="BY2621" s="19"/>
      <c r="BZ2621" s="19"/>
      <c r="CA2621" s="19"/>
      <c r="CB2621" s="19"/>
      <c r="CC2621" s="19"/>
      <c r="CD2621" s="139"/>
      <c r="CE2621" s="138"/>
      <c r="CF2621" s="139"/>
      <c r="CG2621" s="138"/>
      <c r="CH2621" s="139"/>
      <c r="CI2621" s="138"/>
      <c r="CJ2621" s="72"/>
      <c r="CK2621" s="139"/>
      <c r="CL2621" s="71"/>
      <c r="CM2621" s="139"/>
      <c r="CN2621" s="138"/>
      <c r="CO2621" s="138"/>
      <c r="CP2621" s="138"/>
      <c r="CQ2621" s="139"/>
      <c r="CR2621" s="138"/>
      <c r="CS2621" s="45"/>
      <c r="CT2621" s="138"/>
      <c r="CU2621" s="45"/>
      <c r="CV2621" s="99">
        <f t="shared" si="255"/>
        <v>0</v>
      </c>
      <c r="CW2621" s="139"/>
      <c r="CX2621" s="138"/>
      <c r="CY2621" s="138"/>
      <c r="CZ2621" s="138"/>
      <c r="DA2621" s="139"/>
      <c r="DB2621" s="138"/>
      <c r="DC2621" s="45"/>
      <c r="DD2621" s="138"/>
      <c r="DE2621" s="45"/>
      <c r="DF2621" s="46"/>
    </row>
    <row r="2622" spans="1:110" s="42" customFormat="1" ht="108" x14ac:dyDescent="0.2">
      <c r="A2622" s="89">
        <v>40863</v>
      </c>
      <c r="B2622" s="151" t="s">
        <v>4221</v>
      </c>
      <c r="C2622" s="90" t="s">
        <v>4299</v>
      </c>
      <c r="D2622" s="90" t="s">
        <v>2865</v>
      </c>
      <c r="E2622" s="90" t="str">
        <f>VLOOKUP(B2622&amp;C2622,Divipola!$C$2:$F$1138,4,FALSE)</f>
        <v>54001</v>
      </c>
      <c r="F2622" s="4"/>
      <c r="G2622" s="101"/>
      <c r="H2622" s="101"/>
      <c r="I2622" s="101"/>
      <c r="J2622" s="101">
        <v>7</v>
      </c>
      <c r="K2622" s="101"/>
      <c r="L2622" s="101"/>
      <c r="M2622" s="101"/>
      <c r="N2622" s="101"/>
      <c r="O2622" s="101"/>
      <c r="P2622" s="101"/>
      <c r="Q2622" s="101"/>
      <c r="R2622" s="101"/>
      <c r="S2622" s="101"/>
      <c r="T2622" s="101"/>
      <c r="U2622" s="101"/>
      <c r="V2622" s="101"/>
      <c r="W2622" s="19"/>
      <c r="X2622" s="17"/>
      <c r="Y2622" s="5">
        <f t="shared" si="250"/>
        <v>0</v>
      </c>
      <c r="Z2622" s="5">
        <f t="shared" si="251"/>
        <v>0</v>
      </c>
      <c r="AA2622" s="5">
        <f t="shared" si="252"/>
        <v>0</v>
      </c>
      <c r="AB2622" s="5">
        <f t="shared" si="253"/>
        <v>0</v>
      </c>
      <c r="AC2622" s="5"/>
      <c r="AD2622" s="5">
        <v>0</v>
      </c>
      <c r="AE2622" s="5">
        <f t="shared" si="254"/>
        <v>0</v>
      </c>
      <c r="AF2622" s="70">
        <v>0</v>
      </c>
      <c r="AG2622" s="17"/>
      <c r="AH2622" s="18"/>
      <c r="AI2622" s="47" t="s">
        <v>4346</v>
      </c>
      <c r="AJ2622" s="73" t="s">
        <v>5262</v>
      </c>
      <c r="AK2622" s="45"/>
      <c r="AL2622" s="17" t="s">
        <v>5263</v>
      </c>
      <c r="AM2622" s="121" t="s">
        <v>5002</v>
      </c>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39"/>
      <c r="CE2622" s="138"/>
      <c r="CF2622" s="139"/>
      <c r="CG2622" s="138"/>
      <c r="CH2622" s="139"/>
      <c r="CI2622" s="138"/>
      <c r="CJ2622" s="72"/>
      <c r="CK2622" s="139"/>
      <c r="CL2622" s="71"/>
      <c r="CM2622" s="139"/>
      <c r="CN2622" s="138"/>
      <c r="CO2622" s="138"/>
      <c r="CP2622" s="138"/>
      <c r="CQ2622" s="139"/>
      <c r="CR2622" s="138"/>
      <c r="CS2622" s="45"/>
      <c r="CT2622" s="138"/>
      <c r="CU2622" s="45"/>
      <c r="CV2622" s="99">
        <f t="shared" si="255"/>
        <v>0</v>
      </c>
      <c r="CW2622" s="139"/>
      <c r="CX2622" s="138"/>
      <c r="CY2622" s="138"/>
      <c r="CZ2622" s="138"/>
      <c r="DA2622" s="139"/>
      <c r="DB2622" s="138"/>
      <c r="DC2622" s="45"/>
      <c r="DD2622" s="138"/>
      <c r="DE2622" s="45"/>
      <c r="DF2622" s="46"/>
    </row>
    <row r="2623" spans="1:110" s="42" customFormat="1" ht="84" x14ac:dyDescent="0.2">
      <c r="A2623" s="89">
        <v>40863</v>
      </c>
      <c r="B2623" s="151" t="s">
        <v>4221</v>
      </c>
      <c r="C2623" s="90" t="s">
        <v>2235</v>
      </c>
      <c r="D2623" s="90" t="s">
        <v>2362</v>
      </c>
      <c r="E2623" s="90" t="str">
        <f>VLOOKUP(B2623&amp;C2623,Divipola!$C$2:$F$1138,4,FALSE)</f>
        <v>54810</v>
      </c>
      <c r="F2623" s="4"/>
      <c r="G2623" s="101">
        <v>1</v>
      </c>
      <c r="H2623" s="101">
        <v>4</v>
      </c>
      <c r="I2623" s="101"/>
      <c r="J2623" s="101">
        <v>5</v>
      </c>
      <c r="K2623" s="101">
        <v>1</v>
      </c>
      <c r="L2623" s="101">
        <v>1</v>
      </c>
      <c r="M2623" s="101"/>
      <c r="N2623" s="101"/>
      <c r="O2623" s="101"/>
      <c r="P2623" s="101"/>
      <c r="Q2623" s="101"/>
      <c r="R2623" s="101"/>
      <c r="S2623" s="101"/>
      <c r="T2623" s="101"/>
      <c r="U2623" s="101"/>
      <c r="V2623" s="101"/>
      <c r="W2623" s="19"/>
      <c r="X2623" s="17"/>
      <c r="Y2623" s="5">
        <f t="shared" si="250"/>
        <v>0</v>
      </c>
      <c r="Z2623" s="5">
        <f t="shared" si="251"/>
        <v>0</v>
      </c>
      <c r="AA2623" s="5">
        <f t="shared" si="252"/>
        <v>0</v>
      </c>
      <c r="AB2623" s="5">
        <f t="shared" si="253"/>
        <v>0</v>
      </c>
      <c r="AC2623" s="5"/>
      <c r="AD2623" s="5">
        <v>0</v>
      </c>
      <c r="AE2623" s="5">
        <f t="shared" si="254"/>
        <v>0</v>
      </c>
      <c r="AF2623" s="70">
        <v>0</v>
      </c>
      <c r="AG2623" s="17"/>
      <c r="AH2623" s="18"/>
      <c r="AI2623" s="47" t="s">
        <v>4346</v>
      </c>
      <c r="AJ2623" s="73" t="s">
        <v>4347</v>
      </c>
      <c r="AK2623" s="45"/>
      <c r="AL2623" s="17"/>
      <c r="AM2623" s="121" t="s">
        <v>5012</v>
      </c>
      <c r="AN2623" s="19"/>
      <c r="AO2623" s="19"/>
      <c r="AP2623" s="19"/>
      <c r="AQ2623" s="19"/>
      <c r="AR2623" s="19"/>
      <c r="AS2623" s="19"/>
      <c r="AT2623" s="19"/>
      <c r="AU2623" s="19"/>
      <c r="AV2623" s="19"/>
      <c r="AW2623" s="19"/>
      <c r="AX2623" s="19"/>
      <c r="AY2623" s="19"/>
      <c r="AZ2623" s="19"/>
      <c r="BA2623" s="19"/>
      <c r="BB2623" s="19"/>
      <c r="BC2623" s="19"/>
      <c r="BD2623" s="19"/>
      <c r="BE2623" s="19"/>
      <c r="BF2623" s="19"/>
      <c r="BG2623" s="19"/>
      <c r="BH2623" s="19"/>
      <c r="BI2623" s="19"/>
      <c r="BJ2623" s="19"/>
      <c r="BK2623" s="19"/>
      <c r="BL2623" s="19"/>
      <c r="BM2623" s="19"/>
      <c r="BN2623" s="19"/>
      <c r="BO2623" s="19"/>
      <c r="BP2623" s="19"/>
      <c r="BQ2623" s="19"/>
      <c r="BR2623" s="19"/>
      <c r="BS2623" s="19"/>
      <c r="BT2623" s="19"/>
      <c r="BU2623" s="19"/>
      <c r="BV2623" s="19"/>
      <c r="BW2623" s="19"/>
      <c r="BX2623" s="19"/>
      <c r="BY2623" s="19"/>
      <c r="BZ2623" s="19"/>
      <c r="CA2623" s="19"/>
      <c r="CB2623" s="19"/>
      <c r="CC2623" s="19"/>
      <c r="CD2623" s="139"/>
      <c r="CE2623" s="138"/>
      <c r="CF2623" s="139"/>
      <c r="CG2623" s="138"/>
      <c r="CH2623" s="139"/>
      <c r="CI2623" s="138"/>
      <c r="CJ2623" s="72"/>
      <c r="CK2623" s="139"/>
      <c r="CL2623" s="71"/>
      <c r="CM2623" s="139"/>
      <c r="CN2623" s="138"/>
      <c r="CO2623" s="138"/>
      <c r="CP2623" s="138"/>
      <c r="CQ2623" s="139"/>
      <c r="CR2623" s="138"/>
      <c r="CS2623" s="45"/>
      <c r="CT2623" s="138"/>
      <c r="CU2623" s="45"/>
      <c r="CV2623" s="99">
        <f t="shared" si="255"/>
        <v>0</v>
      </c>
      <c r="CW2623" s="139"/>
      <c r="CX2623" s="138"/>
      <c r="CY2623" s="138"/>
      <c r="CZ2623" s="138"/>
      <c r="DA2623" s="139"/>
      <c r="DB2623" s="138"/>
      <c r="DC2623" s="45"/>
      <c r="DD2623" s="138"/>
      <c r="DE2623" s="45"/>
      <c r="DF2623" s="46"/>
    </row>
    <row r="2624" spans="1:110" s="42" customFormat="1" ht="120" x14ac:dyDescent="0.2">
      <c r="A2624" s="89">
        <v>40863</v>
      </c>
      <c r="B2624" s="151" t="s">
        <v>4221</v>
      </c>
      <c r="C2624" s="90" t="s">
        <v>2235</v>
      </c>
      <c r="D2624" s="90" t="s">
        <v>4264</v>
      </c>
      <c r="E2624" s="90" t="str">
        <f>VLOOKUP(B2624&amp;C2624,Divipola!$C$2:$F$1138,4,FALSE)</f>
        <v>54810</v>
      </c>
      <c r="F2624" s="4"/>
      <c r="G2624" s="101"/>
      <c r="H2624" s="101"/>
      <c r="I2624" s="101"/>
      <c r="J2624" s="101">
        <v>75</v>
      </c>
      <c r="K2624" s="101">
        <v>15</v>
      </c>
      <c r="L2624" s="101"/>
      <c r="M2624" s="101">
        <v>8</v>
      </c>
      <c r="N2624" s="101"/>
      <c r="O2624" s="101"/>
      <c r="P2624" s="101"/>
      <c r="Q2624" s="101"/>
      <c r="R2624" s="101"/>
      <c r="S2624" s="101"/>
      <c r="T2624" s="101"/>
      <c r="U2624" s="101"/>
      <c r="V2624" s="101"/>
      <c r="W2624" s="19"/>
      <c r="X2624" s="17"/>
      <c r="Y2624" s="5">
        <f t="shared" si="250"/>
        <v>30340000</v>
      </c>
      <c r="Z2624" s="5">
        <f t="shared" si="251"/>
        <v>17000000</v>
      </c>
      <c r="AA2624" s="5">
        <f t="shared" si="252"/>
        <v>0</v>
      </c>
      <c r="AB2624" s="5">
        <f t="shared" si="253"/>
        <v>0</v>
      </c>
      <c r="AC2624" s="5"/>
      <c r="AD2624" s="5">
        <v>0</v>
      </c>
      <c r="AE2624" s="5">
        <f t="shared" si="254"/>
        <v>47340000</v>
      </c>
      <c r="AF2624" s="70">
        <v>0</v>
      </c>
      <c r="AG2624" s="17"/>
      <c r="AH2624" s="18"/>
      <c r="AI2624" s="47" t="s">
        <v>4346</v>
      </c>
      <c r="AJ2624" s="73" t="s">
        <v>4347</v>
      </c>
      <c r="AK2624" s="45"/>
      <c r="AL2624" s="17"/>
      <c r="AM2624" s="121" t="s">
        <v>5013</v>
      </c>
      <c r="AN2624" s="19"/>
      <c r="AO2624" s="19"/>
      <c r="AP2624" s="19"/>
      <c r="AQ2624" s="19"/>
      <c r="AR2624" s="19"/>
      <c r="AS2624" s="19"/>
      <c r="AT2624" s="19"/>
      <c r="AU2624" s="19"/>
      <c r="AV2624" s="19"/>
      <c r="AW2624" s="19"/>
      <c r="AX2624" s="19"/>
      <c r="AY2624" s="19"/>
      <c r="AZ2624" s="19"/>
      <c r="BA2624" s="19"/>
      <c r="BB2624" s="19">
        <v>200</v>
      </c>
      <c r="BC2624" s="19">
        <f>200*75000</f>
        <v>15000000</v>
      </c>
      <c r="BD2624" s="19"/>
      <c r="BE2624" s="19"/>
      <c r="BF2624" s="19"/>
      <c r="BG2624" s="19"/>
      <c r="BH2624" s="19"/>
      <c r="BI2624" s="19"/>
      <c r="BJ2624" s="19"/>
      <c r="BK2624" s="19"/>
      <c r="BL2624" s="19"/>
      <c r="BM2624" s="19"/>
      <c r="BN2624" s="19"/>
      <c r="BO2624" s="19"/>
      <c r="BP2624" s="19"/>
      <c r="BQ2624" s="19"/>
      <c r="BR2624" s="19"/>
      <c r="BS2624" s="19"/>
      <c r="BT2624" s="19"/>
      <c r="BU2624" s="19"/>
      <c r="BV2624" s="19"/>
      <c r="BW2624" s="19"/>
      <c r="BX2624" s="19"/>
      <c r="BY2624" s="19"/>
      <c r="BZ2624" s="19"/>
      <c r="CA2624" s="19"/>
      <c r="CB2624" s="19"/>
      <c r="CC2624" s="19"/>
      <c r="CD2624" s="139"/>
      <c r="CE2624" s="138"/>
      <c r="CF2624" s="139"/>
      <c r="CG2624" s="138"/>
      <c r="CH2624" s="139"/>
      <c r="CI2624" s="138"/>
      <c r="CJ2624" s="72"/>
      <c r="CK2624" s="139"/>
      <c r="CL2624" s="71"/>
      <c r="CM2624" s="139"/>
      <c r="CN2624" s="138"/>
      <c r="CO2624" s="138"/>
      <c r="CP2624" s="138">
        <v>200</v>
      </c>
      <c r="CQ2624" s="139">
        <f>200*37000</f>
        <v>7400000</v>
      </c>
      <c r="CR2624" s="138">
        <v>200</v>
      </c>
      <c r="CS2624" s="45">
        <f>200*39700</f>
        <v>7940000</v>
      </c>
      <c r="CT2624" s="138"/>
      <c r="CU2624" s="45"/>
      <c r="CV2624" s="99">
        <f t="shared" si="255"/>
        <v>30340000</v>
      </c>
      <c r="CW2624" s="139"/>
      <c r="CX2624" s="138"/>
      <c r="CY2624" s="138">
        <v>200</v>
      </c>
      <c r="CZ2624" s="138">
        <f>200*85000</f>
        <v>17000000</v>
      </c>
      <c r="DA2624" s="139"/>
      <c r="DB2624" s="138"/>
      <c r="DC2624" s="45"/>
      <c r="DD2624" s="138"/>
      <c r="DE2624" s="45"/>
      <c r="DF2624" s="46"/>
    </row>
    <row r="2625" spans="1:110" s="42" customFormat="1" x14ac:dyDescent="0.2">
      <c r="A2625" s="89">
        <v>40863</v>
      </c>
      <c r="B2625" s="16" t="s">
        <v>4263</v>
      </c>
      <c r="C2625" s="16" t="s">
        <v>3661</v>
      </c>
      <c r="D2625" s="90" t="s">
        <v>4264</v>
      </c>
      <c r="E2625" s="90" t="str">
        <f>VLOOKUP(B2625&amp;C2625,Divipola!$C$2:$F$1138,4,FALSE)</f>
        <v>86568</v>
      </c>
      <c r="F2625" s="4"/>
      <c r="G2625" s="208"/>
      <c r="H2625" s="208"/>
      <c r="I2625" s="208"/>
      <c r="J2625" s="208">
        <v>175</v>
      </c>
      <c r="K2625" s="208">
        <v>35</v>
      </c>
      <c r="L2625" s="208"/>
      <c r="M2625" s="208"/>
      <c r="N2625" s="208"/>
      <c r="O2625" s="208"/>
      <c r="P2625" s="208"/>
      <c r="Q2625" s="208"/>
      <c r="R2625" s="208"/>
      <c r="S2625" s="208"/>
      <c r="T2625" s="208"/>
      <c r="U2625" s="208"/>
      <c r="V2625" s="208"/>
      <c r="W2625" s="19"/>
      <c r="X2625" s="17"/>
      <c r="Y2625" s="5">
        <f t="shared" si="250"/>
        <v>10769312.4</v>
      </c>
      <c r="Z2625" s="5">
        <f t="shared" si="251"/>
        <v>5949893.5999999996</v>
      </c>
      <c r="AA2625" s="5">
        <f t="shared" si="252"/>
        <v>0</v>
      </c>
      <c r="AB2625" s="5">
        <f t="shared" si="253"/>
        <v>0</v>
      </c>
      <c r="AC2625" s="5"/>
      <c r="AD2625" s="5">
        <v>0</v>
      </c>
      <c r="AE2625" s="5">
        <f t="shared" si="254"/>
        <v>16719206</v>
      </c>
      <c r="AF2625" s="70">
        <v>0</v>
      </c>
      <c r="AG2625" s="17"/>
      <c r="AH2625" s="18"/>
      <c r="AI2625" s="47" t="s">
        <v>4346</v>
      </c>
      <c r="AJ2625" s="73" t="s">
        <v>4347</v>
      </c>
      <c r="AK2625" s="45"/>
      <c r="AL2625" s="17"/>
      <c r="AM2625" s="20" t="s">
        <v>5142</v>
      </c>
      <c r="AN2625" s="19"/>
      <c r="AO2625" s="19"/>
      <c r="AP2625" s="19"/>
      <c r="AQ2625" s="19"/>
      <c r="AR2625" s="19"/>
      <c r="AS2625" s="19"/>
      <c r="AT2625" s="19"/>
      <c r="AU2625" s="19"/>
      <c r="AV2625" s="19"/>
      <c r="AW2625" s="19"/>
      <c r="AX2625" s="19"/>
      <c r="AY2625" s="19"/>
      <c r="AZ2625" s="19">
        <v>105</v>
      </c>
      <c r="BA2625" s="19">
        <f>105*55999</f>
        <v>5879895</v>
      </c>
      <c r="BB2625" s="19"/>
      <c r="BC2625" s="19"/>
      <c r="BD2625" s="19"/>
      <c r="BE2625" s="19"/>
      <c r="BF2625" s="19"/>
      <c r="BG2625" s="19"/>
      <c r="BH2625" s="19"/>
      <c r="BI2625" s="19"/>
      <c r="BJ2625" s="19"/>
      <c r="BK2625" s="19"/>
      <c r="BL2625" s="19"/>
      <c r="BM2625" s="19"/>
      <c r="BN2625" s="19"/>
      <c r="BO2625" s="19"/>
      <c r="BP2625" s="19"/>
      <c r="BQ2625" s="19"/>
      <c r="BR2625" s="19"/>
      <c r="BS2625" s="19"/>
      <c r="BT2625" s="19"/>
      <c r="BU2625" s="19"/>
      <c r="BV2625" s="19"/>
      <c r="BW2625" s="19"/>
      <c r="BX2625" s="19"/>
      <c r="BY2625" s="19"/>
      <c r="BZ2625" s="19"/>
      <c r="CA2625" s="19"/>
      <c r="CB2625" s="19"/>
      <c r="CC2625" s="19"/>
      <c r="CD2625" s="139"/>
      <c r="CE2625" s="138"/>
      <c r="CF2625" s="139"/>
      <c r="CG2625" s="138"/>
      <c r="CH2625" s="139"/>
      <c r="CI2625" s="138"/>
      <c r="CJ2625" s="72">
        <v>105</v>
      </c>
      <c r="CK2625" s="139">
        <f>105*20999.48</f>
        <v>2204945.4</v>
      </c>
      <c r="CL2625" s="71"/>
      <c r="CM2625" s="139"/>
      <c r="CN2625" s="138"/>
      <c r="CO2625" s="138"/>
      <c r="CP2625" s="138">
        <v>35</v>
      </c>
      <c r="CQ2625" s="139">
        <f>35*36999.36</f>
        <v>1294977.6000000001</v>
      </c>
      <c r="CR2625" s="138">
        <v>35</v>
      </c>
      <c r="CS2625" s="45">
        <f>35*39699.84</f>
        <v>1389494.4</v>
      </c>
      <c r="CT2625" s="138"/>
      <c r="CU2625" s="45"/>
      <c r="CV2625" s="99">
        <f t="shared" si="255"/>
        <v>10769312.4</v>
      </c>
      <c r="CW2625" s="139"/>
      <c r="CX2625" s="138"/>
      <c r="CY2625" s="138">
        <v>70</v>
      </c>
      <c r="CZ2625" s="138">
        <f>70*84998.48</f>
        <v>5949893.5999999996</v>
      </c>
      <c r="DA2625" s="139"/>
      <c r="DB2625" s="138"/>
      <c r="DC2625" s="45"/>
      <c r="DD2625" s="138"/>
      <c r="DE2625" s="45"/>
      <c r="DF2625" s="46"/>
    </row>
    <row r="2626" spans="1:110" s="42" customFormat="1" ht="48" x14ac:dyDescent="0.2">
      <c r="A2626" s="89">
        <v>40863</v>
      </c>
      <c r="B2626" s="151" t="s">
        <v>4387</v>
      </c>
      <c r="C2626" s="90" t="s">
        <v>514</v>
      </c>
      <c r="D2626" s="90" t="s">
        <v>2362</v>
      </c>
      <c r="E2626" s="90" t="str">
        <f>VLOOKUP(B2626&amp;C2626,Divipola!$C$2:$F$1138,4,FALSE)</f>
        <v>52560</v>
      </c>
      <c r="F2626" s="4"/>
      <c r="G2626" s="101"/>
      <c r="H2626" s="101"/>
      <c r="I2626" s="101"/>
      <c r="J2626" s="101"/>
      <c r="K2626" s="101"/>
      <c r="L2626" s="101"/>
      <c r="M2626" s="101"/>
      <c r="N2626" s="101"/>
      <c r="O2626" s="101"/>
      <c r="P2626" s="101"/>
      <c r="Q2626" s="101"/>
      <c r="R2626" s="101"/>
      <c r="S2626" s="101">
        <v>1</v>
      </c>
      <c r="T2626" s="101"/>
      <c r="U2626" s="101"/>
      <c r="V2626" s="264"/>
      <c r="W2626" s="19"/>
      <c r="X2626" s="17"/>
      <c r="Y2626" s="5">
        <f t="shared" ref="Y2626:Y2689" si="256">CV2626</f>
        <v>0</v>
      </c>
      <c r="Z2626" s="5">
        <f t="shared" ref="Z2626:Z2689" si="257">CZ2626</f>
        <v>0</v>
      </c>
      <c r="AA2626" s="5">
        <f t="shared" ref="AA2626:AA2689" si="258">DB2626+DD2626</f>
        <v>0</v>
      </c>
      <c r="AB2626" s="5">
        <f t="shared" ref="AB2626:AB2689" si="259">CX2626</f>
        <v>0</v>
      </c>
      <c r="AC2626" s="5"/>
      <c r="AD2626" s="5">
        <v>0</v>
      </c>
      <c r="AE2626" s="5">
        <f t="shared" ref="AE2626:AE2689" si="260">Y2626+Z2626+AA2626+AB2626+AC2626+AD2626</f>
        <v>0</v>
      </c>
      <c r="AF2626" s="70">
        <v>0</v>
      </c>
      <c r="AG2626" s="17"/>
      <c r="AH2626" s="18"/>
      <c r="AI2626" s="47" t="s">
        <v>4336</v>
      </c>
      <c r="AJ2626" s="73" t="s">
        <v>4337</v>
      </c>
      <c r="AK2626" s="45"/>
      <c r="AL2626" s="17"/>
      <c r="AM2626" s="121" t="s">
        <v>5614</v>
      </c>
      <c r="AN2626" s="19"/>
      <c r="AO2626" s="19"/>
      <c r="AP2626" s="19"/>
      <c r="AQ2626" s="19"/>
      <c r="AR2626" s="19"/>
      <c r="AS2626" s="19"/>
      <c r="AT2626" s="19"/>
      <c r="AU2626" s="19"/>
      <c r="AV2626" s="19"/>
      <c r="AW2626" s="19"/>
      <c r="AX2626" s="19"/>
      <c r="AY2626" s="19"/>
      <c r="AZ2626" s="19"/>
      <c r="BA2626" s="19"/>
      <c r="BB2626" s="19"/>
      <c r="BC2626" s="19"/>
      <c r="BD2626" s="19"/>
      <c r="BE2626" s="19"/>
      <c r="BF2626" s="19"/>
      <c r="BG2626" s="19"/>
      <c r="BH2626" s="19"/>
      <c r="BI2626" s="19"/>
      <c r="BJ2626" s="19"/>
      <c r="BK2626" s="19"/>
      <c r="BL2626" s="19"/>
      <c r="BM2626" s="19"/>
      <c r="BN2626" s="19"/>
      <c r="BO2626" s="19"/>
      <c r="BP2626" s="19"/>
      <c r="BQ2626" s="19"/>
      <c r="BR2626" s="19"/>
      <c r="BS2626" s="19"/>
      <c r="BT2626" s="19"/>
      <c r="BU2626" s="19"/>
      <c r="BV2626" s="19"/>
      <c r="BW2626" s="19"/>
      <c r="BX2626" s="19"/>
      <c r="BY2626" s="19"/>
      <c r="BZ2626" s="19"/>
      <c r="CA2626" s="19"/>
      <c r="CB2626" s="19"/>
      <c r="CC2626" s="19"/>
      <c r="CD2626" s="139"/>
      <c r="CE2626" s="138"/>
      <c r="CF2626" s="139"/>
      <c r="CG2626" s="138"/>
      <c r="CH2626" s="139"/>
      <c r="CI2626" s="138"/>
      <c r="CJ2626" s="72"/>
      <c r="CK2626" s="139"/>
      <c r="CL2626" s="71"/>
      <c r="CM2626" s="139"/>
      <c r="CN2626" s="138"/>
      <c r="CO2626" s="138"/>
      <c r="CP2626" s="138"/>
      <c r="CQ2626" s="139"/>
      <c r="CR2626" s="138"/>
      <c r="CS2626" s="45"/>
      <c r="CT2626" s="138"/>
      <c r="CU2626" s="45"/>
      <c r="CV2626" s="99">
        <f t="shared" si="255"/>
        <v>0</v>
      </c>
      <c r="CW2626" s="139"/>
      <c r="CX2626" s="138"/>
      <c r="CY2626" s="138"/>
      <c r="CZ2626" s="138"/>
      <c r="DA2626" s="139"/>
      <c r="DB2626" s="138"/>
      <c r="DC2626" s="45"/>
      <c r="DD2626" s="138"/>
      <c r="DE2626" s="45"/>
      <c r="DF2626" s="46"/>
    </row>
    <row r="2627" spans="1:110" s="42" customFormat="1" ht="24" x14ac:dyDescent="0.2">
      <c r="A2627" s="89">
        <v>40864</v>
      </c>
      <c r="B2627" s="151" t="s">
        <v>2218</v>
      </c>
      <c r="C2627" s="90" t="s">
        <v>3297</v>
      </c>
      <c r="D2627" s="90" t="s">
        <v>2362</v>
      </c>
      <c r="E2627" s="90" t="str">
        <f>VLOOKUP(B2627&amp;C2627,Divipola!$C$2:$F$1138,4,FALSE)</f>
        <v>05001</v>
      </c>
      <c r="F2627" s="4"/>
      <c r="G2627" s="101"/>
      <c r="H2627" s="101"/>
      <c r="I2627" s="101"/>
      <c r="J2627" s="101">
        <v>20</v>
      </c>
      <c r="K2627" s="101">
        <v>4</v>
      </c>
      <c r="L2627" s="101">
        <v>4</v>
      </c>
      <c r="M2627" s="101"/>
      <c r="N2627" s="101"/>
      <c r="O2627" s="101"/>
      <c r="P2627" s="101"/>
      <c r="Q2627" s="101"/>
      <c r="R2627" s="101"/>
      <c r="S2627" s="101"/>
      <c r="T2627" s="101"/>
      <c r="U2627" s="101"/>
      <c r="V2627" s="101"/>
      <c r="W2627" s="19"/>
      <c r="X2627" s="17"/>
      <c r="Y2627" s="5">
        <f t="shared" si="256"/>
        <v>0</v>
      </c>
      <c r="Z2627" s="5">
        <f t="shared" si="257"/>
        <v>0</v>
      </c>
      <c r="AA2627" s="5">
        <f t="shared" si="258"/>
        <v>0</v>
      </c>
      <c r="AB2627" s="5">
        <f t="shared" si="259"/>
        <v>0</v>
      </c>
      <c r="AC2627" s="5"/>
      <c r="AD2627" s="5">
        <v>0</v>
      </c>
      <c r="AE2627" s="5">
        <f t="shared" si="260"/>
        <v>0</v>
      </c>
      <c r="AF2627" s="70">
        <v>0</v>
      </c>
      <c r="AG2627" s="17"/>
      <c r="AH2627" s="18"/>
      <c r="AI2627" s="47" t="s">
        <v>4346</v>
      </c>
      <c r="AJ2627" s="73" t="s">
        <v>4347</v>
      </c>
      <c r="AK2627" s="45"/>
      <c r="AL2627" s="89" t="s">
        <v>2798</v>
      </c>
      <c r="AM2627" s="121" t="s">
        <v>5030</v>
      </c>
      <c r="AN2627" s="19"/>
      <c r="AO2627" s="19"/>
      <c r="AP2627" s="19"/>
      <c r="AQ2627" s="19"/>
      <c r="AR2627" s="19"/>
      <c r="AS2627" s="19"/>
      <c r="AT2627" s="19"/>
      <c r="AU2627" s="19"/>
      <c r="AV2627" s="19"/>
      <c r="AW2627" s="19"/>
      <c r="AX2627" s="19"/>
      <c r="AY2627" s="19"/>
      <c r="AZ2627" s="19"/>
      <c r="BA2627" s="19"/>
      <c r="BB2627" s="19"/>
      <c r="BC2627" s="19"/>
      <c r="BD2627" s="19"/>
      <c r="BE2627" s="19"/>
      <c r="BF2627" s="19"/>
      <c r="BG2627" s="19"/>
      <c r="BH2627" s="19"/>
      <c r="BI2627" s="19"/>
      <c r="BJ2627" s="19"/>
      <c r="BK2627" s="19"/>
      <c r="BL2627" s="19"/>
      <c r="BM2627" s="19"/>
      <c r="BN2627" s="19"/>
      <c r="BO2627" s="19"/>
      <c r="BP2627" s="19"/>
      <c r="BQ2627" s="19"/>
      <c r="BR2627" s="19"/>
      <c r="BS2627" s="19"/>
      <c r="BT2627" s="19"/>
      <c r="BU2627" s="19"/>
      <c r="BV2627" s="19"/>
      <c r="BW2627" s="19"/>
      <c r="BX2627" s="19"/>
      <c r="BY2627" s="19"/>
      <c r="BZ2627" s="19"/>
      <c r="CA2627" s="19"/>
      <c r="CB2627" s="19"/>
      <c r="CC2627" s="19"/>
      <c r="CD2627" s="139"/>
      <c r="CE2627" s="138"/>
      <c r="CF2627" s="139"/>
      <c r="CG2627" s="138"/>
      <c r="CH2627" s="139"/>
      <c r="CI2627" s="138"/>
      <c r="CJ2627" s="72"/>
      <c r="CK2627" s="139"/>
      <c r="CL2627" s="71"/>
      <c r="CM2627" s="139"/>
      <c r="CN2627" s="138"/>
      <c r="CO2627" s="138"/>
      <c r="CP2627" s="138"/>
      <c r="CQ2627" s="139"/>
      <c r="CR2627" s="138"/>
      <c r="CS2627" s="45"/>
      <c r="CT2627" s="138"/>
      <c r="CU2627" s="45"/>
      <c r="CV2627" s="99">
        <f t="shared" ref="CV2627:CV2690" si="261">AO2627+AQ2627+AS2627+AU2627+AW2627+AY2627+BA2627+BC2627+BE2627+BG2627+BI2627+BK2627+BM2627+BO2627+BQ2627+BS2627+BU2627+BW2627+BY2627+CA2627+CC2627+CE2627+CG2627+CI2627+CK2627+CM2627+CO2627+CQ2627+CS2627+CU2627</f>
        <v>0</v>
      </c>
      <c r="CW2627" s="139"/>
      <c r="CX2627" s="138"/>
      <c r="CY2627" s="138"/>
      <c r="CZ2627" s="138"/>
      <c r="DA2627" s="139"/>
      <c r="DB2627" s="138"/>
      <c r="DC2627" s="45"/>
      <c r="DD2627" s="138"/>
      <c r="DE2627" s="45"/>
      <c r="DF2627" s="46"/>
    </row>
    <row r="2628" spans="1:110" s="42" customFormat="1" ht="48" x14ac:dyDescent="0.2">
      <c r="A2628" s="89">
        <v>40864</v>
      </c>
      <c r="B2628" s="151" t="s">
        <v>4261</v>
      </c>
      <c r="C2628" s="90" t="s">
        <v>4230</v>
      </c>
      <c r="D2628" s="90" t="s">
        <v>4264</v>
      </c>
      <c r="E2628" s="90" t="str">
        <f>VLOOKUP(B2628&amp;C2628,Divipola!$C$2:$F$1138,4,FALSE)</f>
        <v>15001</v>
      </c>
      <c r="F2628" s="4"/>
      <c r="G2628" s="101"/>
      <c r="H2628" s="101">
        <v>2</v>
      </c>
      <c r="I2628" s="101"/>
      <c r="J2628" s="101">
        <v>125</v>
      </c>
      <c r="K2628" s="101">
        <v>25</v>
      </c>
      <c r="L2628" s="101">
        <v>1</v>
      </c>
      <c r="M2628" s="101">
        <v>24</v>
      </c>
      <c r="N2628" s="101">
        <v>2</v>
      </c>
      <c r="O2628" s="101"/>
      <c r="P2628" s="101"/>
      <c r="Q2628" s="101"/>
      <c r="R2628" s="101"/>
      <c r="S2628" s="101"/>
      <c r="T2628" s="101">
        <v>3</v>
      </c>
      <c r="U2628" s="208"/>
      <c r="V2628" s="208"/>
      <c r="W2628" s="19"/>
      <c r="X2628" s="17"/>
      <c r="Y2628" s="5">
        <f t="shared" si="256"/>
        <v>0</v>
      </c>
      <c r="Z2628" s="5">
        <f t="shared" si="257"/>
        <v>0</v>
      </c>
      <c r="AA2628" s="5">
        <f t="shared" si="258"/>
        <v>0</v>
      </c>
      <c r="AB2628" s="5">
        <f t="shared" si="259"/>
        <v>0</v>
      </c>
      <c r="AC2628" s="5"/>
      <c r="AD2628" s="5">
        <v>0</v>
      </c>
      <c r="AE2628" s="5">
        <f t="shared" si="260"/>
        <v>0</v>
      </c>
      <c r="AF2628" s="70">
        <v>0</v>
      </c>
      <c r="AG2628" s="17"/>
      <c r="AH2628" s="18"/>
      <c r="AI2628" s="47" t="s">
        <v>4346</v>
      </c>
      <c r="AJ2628" s="73" t="s">
        <v>4347</v>
      </c>
      <c r="AK2628" s="45"/>
      <c r="AL2628" s="17" t="s">
        <v>5531</v>
      </c>
      <c r="AM2628" s="121" t="s">
        <v>5019</v>
      </c>
      <c r="AN2628" s="19"/>
      <c r="AO2628" s="19"/>
      <c r="AP2628" s="19"/>
      <c r="AQ2628" s="19"/>
      <c r="AR2628" s="19"/>
      <c r="AS2628" s="19"/>
      <c r="AT2628" s="19"/>
      <c r="AU2628" s="19"/>
      <c r="AV2628" s="19"/>
      <c r="AW2628" s="19"/>
      <c r="AX2628" s="19"/>
      <c r="AY2628" s="19"/>
      <c r="AZ2628" s="19"/>
      <c r="BA2628" s="19"/>
      <c r="BB2628" s="19"/>
      <c r="BC2628" s="19"/>
      <c r="BD2628" s="19"/>
      <c r="BE2628" s="19"/>
      <c r="BF2628" s="19"/>
      <c r="BG2628" s="19"/>
      <c r="BH2628" s="19"/>
      <c r="BI2628" s="19"/>
      <c r="BJ2628" s="19"/>
      <c r="BK2628" s="19"/>
      <c r="BL2628" s="19"/>
      <c r="BM2628" s="19"/>
      <c r="BN2628" s="19"/>
      <c r="BO2628" s="19"/>
      <c r="BP2628" s="19"/>
      <c r="BQ2628" s="19"/>
      <c r="BR2628" s="19"/>
      <c r="BS2628" s="19"/>
      <c r="BT2628" s="19"/>
      <c r="BU2628" s="19"/>
      <c r="BV2628" s="19"/>
      <c r="BW2628" s="19"/>
      <c r="BX2628" s="19"/>
      <c r="BY2628" s="19"/>
      <c r="BZ2628" s="19"/>
      <c r="CA2628" s="19"/>
      <c r="CB2628" s="19"/>
      <c r="CC2628" s="19"/>
      <c r="CD2628" s="139"/>
      <c r="CE2628" s="138"/>
      <c r="CF2628" s="139"/>
      <c r="CG2628" s="138"/>
      <c r="CH2628" s="139"/>
      <c r="CI2628" s="138"/>
      <c r="CJ2628" s="72"/>
      <c r="CK2628" s="139"/>
      <c r="CL2628" s="71"/>
      <c r="CM2628" s="139"/>
      <c r="CN2628" s="138"/>
      <c r="CO2628" s="138"/>
      <c r="CP2628" s="138"/>
      <c r="CQ2628" s="139"/>
      <c r="CR2628" s="138"/>
      <c r="CS2628" s="45"/>
      <c r="CT2628" s="138"/>
      <c r="CU2628" s="45"/>
      <c r="CV2628" s="99">
        <f t="shared" si="261"/>
        <v>0</v>
      </c>
      <c r="CW2628" s="139"/>
      <c r="CX2628" s="138"/>
      <c r="CY2628" s="138"/>
      <c r="CZ2628" s="138"/>
      <c r="DA2628" s="139"/>
      <c r="DB2628" s="138"/>
      <c r="DC2628" s="45"/>
      <c r="DD2628" s="138"/>
      <c r="DE2628" s="45"/>
      <c r="DF2628" s="46"/>
    </row>
    <row r="2629" spans="1:110" s="42" customFormat="1" ht="72" x14ac:dyDescent="0.2">
      <c r="A2629" s="89">
        <v>40864</v>
      </c>
      <c r="B2629" s="151" t="s">
        <v>4261</v>
      </c>
      <c r="C2629" s="90" t="s">
        <v>1225</v>
      </c>
      <c r="D2629" s="90" t="s">
        <v>4264</v>
      </c>
      <c r="E2629" s="90" t="str">
        <f>VLOOKUP(B2629&amp;C2629,Divipola!$C$2:$F$1138,4,FALSE)</f>
        <v>15494</v>
      </c>
      <c r="F2629" s="4"/>
      <c r="G2629" s="101"/>
      <c r="H2629" s="101"/>
      <c r="I2629" s="101"/>
      <c r="J2629" s="101">
        <v>650</v>
      </c>
      <c r="K2629" s="101">
        <v>130</v>
      </c>
      <c r="L2629" s="101">
        <v>103</v>
      </c>
      <c r="M2629" s="101">
        <v>7</v>
      </c>
      <c r="N2629" s="101">
        <v>2</v>
      </c>
      <c r="O2629" s="101"/>
      <c r="P2629" s="101"/>
      <c r="Q2629" s="101">
        <v>1</v>
      </c>
      <c r="R2629" s="101">
        <v>1</v>
      </c>
      <c r="S2629" s="101">
        <v>1</v>
      </c>
      <c r="T2629" s="101">
        <v>3</v>
      </c>
      <c r="U2629" s="208"/>
      <c r="V2629" s="208">
        <v>37</v>
      </c>
      <c r="W2629" s="19"/>
      <c r="X2629" s="17"/>
      <c r="Y2629" s="5">
        <f t="shared" si="256"/>
        <v>0</v>
      </c>
      <c r="Z2629" s="5">
        <f t="shared" si="257"/>
        <v>0</v>
      </c>
      <c r="AA2629" s="5">
        <f t="shared" si="258"/>
        <v>0</v>
      </c>
      <c r="AB2629" s="5">
        <f t="shared" si="259"/>
        <v>0</v>
      </c>
      <c r="AC2629" s="5"/>
      <c r="AD2629" s="5">
        <v>0</v>
      </c>
      <c r="AE2629" s="5">
        <f t="shared" si="260"/>
        <v>0</v>
      </c>
      <c r="AF2629" s="70">
        <v>0</v>
      </c>
      <c r="AG2629" s="17"/>
      <c r="AH2629" s="18"/>
      <c r="AI2629" s="47" t="s">
        <v>4346</v>
      </c>
      <c r="AJ2629" s="73" t="s">
        <v>4347</v>
      </c>
      <c r="AK2629" s="45"/>
      <c r="AL2629" s="17" t="s">
        <v>5531</v>
      </c>
      <c r="AM2629" s="121" t="s">
        <v>5202</v>
      </c>
      <c r="AN2629" s="19"/>
      <c r="AO2629" s="19"/>
      <c r="AP2629" s="19"/>
      <c r="AQ2629" s="19"/>
      <c r="AR2629" s="19"/>
      <c r="AS2629" s="19"/>
      <c r="AT2629" s="19"/>
      <c r="AU2629" s="19"/>
      <c r="AV2629" s="19"/>
      <c r="AW2629" s="19"/>
      <c r="AX2629" s="19"/>
      <c r="AY2629" s="19"/>
      <c r="AZ2629" s="19"/>
      <c r="BA2629" s="19"/>
      <c r="BB2629" s="19"/>
      <c r="BC2629" s="19"/>
      <c r="BD2629" s="19"/>
      <c r="BE2629" s="19"/>
      <c r="BF2629" s="19"/>
      <c r="BG2629" s="19"/>
      <c r="BH2629" s="19"/>
      <c r="BI2629" s="19"/>
      <c r="BJ2629" s="19"/>
      <c r="BK2629" s="19"/>
      <c r="BL2629" s="19"/>
      <c r="BM2629" s="19"/>
      <c r="BN2629" s="19"/>
      <c r="BO2629" s="19"/>
      <c r="BP2629" s="19"/>
      <c r="BQ2629" s="19"/>
      <c r="BR2629" s="19"/>
      <c r="BS2629" s="19"/>
      <c r="BT2629" s="19"/>
      <c r="BU2629" s="19"/>
      <c r="BV2629" s="19"/>
      <c r="BW2629" s="19"/>
      <c r="BX2629" s="19"/>
      <c r="BY2629" s="19"/>
      <c r="BZ2629" s="19"/>
      <c r="CA2629" s="19"/>
      <c r="CB2629" s="19"/>
      <c r="CC2629" s="19"/>
      <c r="CD2629" s="139"/>
      <c r="CE2629" s="138"/>
      <c r="CF2629" s="139"/>
      <c r="CG2629" s="138"/>
      <c r="CH2629" s="139"/>
      <c r="CI2629" s="138"/>
      <c r="CJ2629" s="72"/>
      <c r="CK2629" s="139"/>
      <c r="CL2629" s="71"/>
      <c r="CM2629" s="139"/>
      <c r="CN2629" s="138"/>
      <c r="CO2629" s="138"/>
      <c r="CP2629" s="138"/>
      <c r="CQ2629" s="139"/>
      <c r="CR2629" s="138"/>
      <c r="CS2629" s="45"/>
      <c r="CT2629" s="138"/>
      <c r="CU2629" s="45"/>
      <c r="CV2629" s="99">
        <f t="shared" si="261"/>
        <v>0</v>
      </c>
      <c r="CW2629" s="139"/>
      <c r="CX2629" s="138"/>
      <c r="CY2629" s="138"/>
      <c r="CZ2629" s="138"/>
      <c r="DA2629" s="139"/>
      <c r="DB2629" s="138"/>
      <c r="DC2629" s="45"/>
      <c r="DD2629" s="138"/>
      <c r="DE2629" s="45"/>
      <c r="DF2629" s="46"/>
    </row>
    <row r="2630" spans="1:110" s="42" customFormat="1" ht="48" x14ac:dyDescent="0.2">
      <c r="A2630" s="89">
        <v>40864</v>
      </c>
      <c r="B2630" s="151" t="s">
        <v>4261</v>
      </c>
      <c r="C2630" s="90" t="s">
        <v>2238</v>
      </c>
      <c r="D2630" s="90" t="s">
        <v>4264</v>
      </c>
      <c r="E2630" s="90" t="str">
        <f>VLOOKUP(B2630&amp;C2630,Divipola!$C$2:$F$1138,4,FALSE)</f>
        <v>15442</v>
      </c>
      <c r="F2630" s="4"/>
      <c r="G2630" s="101"/>
      <c r="H2630" s="101"/>
      <c r="I2630" s="101"/>
      <c r="J2630" s="101"/>
      <c r="K2630" s="101"/>
      <c r="L2630" s="101"/>
      <c r="M2630" s="101"/>
      <c r="N2630" s="101"/>
      <c r="O2630" s="101"/>
      <c r="P2630" s="101">
        <v>1</v>
      </c>
      <c r="Q2630" s="101"/>
      <c r="R2630" s="101"/>
      <c r="S2630" s="101"/>
      <c r="T2630" s="101"/>
      <c r="U2630" s="101"/>
      <c r="V2630" s="101"/>
      <c r="W2630" s="19"/>
      <c r="X2630" s="17"/>
      <c r="Y2630" s="5">
        <f t="shared" si="256"/>
        <v>0</v>
      </c>
      <c r="Z2630" s="5">
        <f t="shared" si="257"/>
        <v>0</v>
      </c>
      <c r="AA2630" s="5">
        <f t="shared" si="258"/>
        <v>0</v>
      </c>
      <c r="AB2630" s="5">
        <f t="shared" si="259"/>
        <v>0</v>
      </c>
      <c r="AC2630" s="5"/>
      <c r="AD2630" s="5">
        <v>0</v>
      </c>
      <c r="AE2630" s="5">
        <f t="shared" si="260"/>
        <v>0</v>
      </c>
      <c r="AF2630" s="70">
        <v>0</v>
      </c>
      <c r="AG2630" s="17"/>
      <c r="AH2630" s="18"/>
      <c r="AI2630" s="47" t="s">
        <v>4346</v>
      </c>
      <c r="AJ2630" s="73" t="s">
        <v>4347</v>
      </c>
      <c r="AK2630" s="45"/>
      <c r="AL2630" s="17" t="s">
        <v>5531</v>
      </c>
      <c r="AM2630" s="121" t="s">
        <v>5028</v>
      </c>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39"/>
      <c r="CE2630" s="138"/>
      <c r="CF2630" s="139"/>
      <c r="CG2630" s="138"/>
      <c r="CH2630" s="139"/>
      <c r="CI2630" s="138"/>
      <c r="CJ2630" s="72"/>
      <c r="CK2630" s="139"/>
      <c r="CL2630" s="71"/>
      <c r="CM2630" s="139"/>
      <c r="CN2630" s="138"/>
      <c r="CO2630" s="138"/>
      <c r="CP2630" s="138"/>
      <c r="CQ2630" s="139"/>
      <c r="CR2630" s="138"/>
      <c r="CS2630" s="45"/>
      <c r="CT2630" s="138"/>
      <c r="CU2630" s="45"/>
      <c r="CV2630" s="99">
        <f t="shared" si="261"/>
        <v>0</v>
      </c>
      <c r="CW2630" s="139"/>
      <c r="CX2630" s="138"/>
      <c r="CY2630" s="138"/>
      <c r="CZ2630" s="138"/>
      <c r="DA2630" s="139"/>
      <c r="DB2630" s="138"/>
      <c r="DC2630" s="45"/>
      <c r="DD2630" s="138"/>
      <c r="DE2630" s="45"/>
      <c r="DF2630" s="46"/>
    </row>
    <row r="2631" spans="1:110" s="42" customFormat="1" ht="156" x14ac:dyDescent="0.2">
      <c r="A2631" s="89">
        <v>40864</v>
      </c>
      <c r="B2631" s="16" t="s">
        <v>4261</v>
      </c>
      <c r="C2631" s="16" t="s">
        <v>1180</v>
      </c>
      <c r="D2631" s="90" t="s">
        <v>4264</v>
      </c>
      <c r="E2631" s="90" t="str">
        <f>VLOOKUP(B2631&amp;C2631,Divipola!$C$2:$F$1138,4,FALSE)</f>
        <v>15325</v>
      </c>
      <c r="F2631" s="4"/>
      <c r="G2631" s="208"/>
      <c r="H2631" s="208"/>
      <c r="I2631" s="208"/>
      <c r="J2631" s="208"/>
      <c r="K2631" s="208"/>
      <c r="L2631" s="208"/>
      <c r="M2631" s="208"/>
      <c r="N2631" s="208">
        <v>1</v>
      </c>
      <c r="O2631" s="208"/>
      <c r="P2631" s="208">
        <v>2</v>
      </c>
      <c r="Q2631" s="208">
        <v>3</v>
      </c>
      <c r="R2631" s="208"/>
      <c r="S2631" s="208"/>
      <c r="T2631" s="208"/>
      <c r="U2631" s="208"/>
      <c r="V2631" s="208"/>
      <c r="W2631" s="19"/>
      <c r="X2631" s="17"/>
      <c r="Y2631" s="5">
        <f t="shared" si="256"/>
        <v>0</v>
      </c>
      <c r="Z2631" s="5">
        <f t="shared" si="257"/>
        <v>0</v>
      </c>
      <c r="AA2631" s="5">
        <f t="shared" si="258"/>
        <v>0</v>
      </c>
      <c r="AB2631" s="5">
        <f t="shared" si="259"/>
        <v>0</v>
      </c>
      <c r="AC2631" s="159">
        <f>1000*8410+1000*12992+500*9361.2+300*78648+200*24999.16+6*3269309.2+6*1317267+10*546215</f>
        <v>87658439.200000003</v>
      </c>
      <c r="AD2631" s="5">
        <v>0</v>
      </c>
      <c r="AE2631" s="5">
        <f t="shared" si="260"/>
        <v>87658439.200000003</v>
      </c>
      <c r="AF2631" s="70">
        <v>0</v>
      </c>
      <c r="AG2631" s="17"/>
      <c r="AH2631" s="18"/>
      <c r="AI2631" s="47" t="s">
        <v>4346</v>
      </c>
      <c r="AJ2631" s="73" t="s">
        <v>4347</v>
      </c>
      <c r="AK2631" s="45"/>
      <c r="AL2631" s="17"/>
      <c r="AM2631" s="20" t="s">
        <v>5050</v>
      </c>
      <c r="AN2631" s="19"/>
      <c r="AO2631" s="19"/>
      <c r="AP2631" s="19"/>
      <c r="AQ2631" s="19"/>
      <c r="AR2631" s="19"/>
      <c r="AS2631" s="19"/>
      <c r="AT2631" s="19"/>
      <c r="AU2631" s="19"/>
      <c r="AV2631" s="19"/>
      <c r="AW2631" s="19"/>
      <c r="AX2631" s="19"/>
      <c r="AY2631" s="19"/>
      <c r="AZ2631" s="19"/>
      <c r="BA2631" s="19"/>
      <c r="BB2631" s="19"/>
      <c r="BC2631" s="19"/>
      <c r="BD2631" s="19"/>
      <c r="BE2631" s="19"/>
      <c r="BF2631" s="19"/>
      <c r="BG2631" s="19"/>
      <c r="BH2631" s="19"/>
      <c r="BI2631" s="19"/>
      <c r="BJ2631" s="19"/>
      <c r="BK2631" s="19"/>
      <c r="BL2631" s="19"/>
      <c r="BM2631" s="19"/>
      <c r="BN2631" s="19"/>
      <c r="BO2631" s="19"/>
      <c r="BP2631" s="19"/>
      <c r="BQ2631" s="19"/>
      <c r="BR2631" s="19"/>
      <c r="BS2631" s="19"/>
      <c r="BT2631" s="19"/>
      <c r="BU2631" s="19"/>
      <c r="BV2631" s="19"/>
      <c r="BW2631" s="19"/>
      <c r="BX2631" s="19"/>
      <c r="BY2631" s="19"/>
      <c r="BZ2631" s="19"/>
      <c r="CA2631" s="19"/>
      <c r="CB2631" s="19"/>
      <c r="CC2631" s="19"/>
      <c r="CD2631" s="139"/>
      <c r="CE2631" s="138"/>
      <c r="CF2631" s="139"/>
      <c r="CG2631" s="138"/>
      <c r="CH2631" s="139"/>
      <c r="CI2631" s="138"/>
      <c r="CJ2631" s="72"/>
      <c r="CK2631" s="139"/>
      <c r="CL2631" s="71"/>
      <c r="CM2631" s="139"/>
      <c r="CN2631" s="138"/>
      <c r="CO2631" s="138"/>
      <c r="CP2631" s="138"/>
      <c r="CQ2631" s="139"/>
      <c r="CR2631" s="138"/>
      <c r="CS2631" s="45"/>
      <c r="CT2631" s="138"/>
      <c r="CU2631" s="45"/>
      <c r="CV2631" s="99">
        <f t="shared" si="261"/>
        <v>0</v>
      </c>
      <c r="CW2631" s="139"/>
      <c r="CX2631" s="138"/>
      <c r="CY2631" s="138"/>
      <c r="CZ2631" s="138"/>
      <c r="DA2631" s="139"/>
      <c r="DB2631" s="138"/>
      <c r="DC2631" s="45"/>
      <c r="DD2631" s="138"/>
      <c r="DE2631" s="45"/>
      <c r="DF2631" s="46"/>
    </row>
    <row r="2632" spans="1:110" s="42" customFormat="1" ht="72" x14ac:dyDescent="0.2">
      <c r="A2632" s="89">
        <v>40864</v>
      </c>
      <c r="B2632" s="151" t="s">
        <v>4296</v>
      </c>
      <c r="C2632" s="90" t="s">
        <v>868</v>
      </c>
      <c r="D2632" s="90" t="s">
        <v>2860</v>
      </c>
      <c r="E2632" s="90" t="str">
        <f>VLOOKUP(B2632&amp;C2632,Divipola!$C$2:$F$1138,4,FALSE)</f>
        <v>19821</v>
      </c>
      <c r="F2632" s="4"/>
      <c r="G2632" s="101"/>
      <c r="H2632" s="101"/>
      <c r="I2632" s="101"/>
      <c r="J2632" s="101">
        <v>65</v>
      </c>
      <c r="K2632" s="101">
        <v>13</v>
      </c>
      <c r="L2632" s="101">
        <v>3</v>
      </c>
      <c r="M2632" s="101">
        <v>10</v>
      </c>
      <c r="N2632" s="101"/>
      <c r="O2632" s="101"/>
      <c r="P2632" s="101"/>
      <c r="Q2632" s="101"/>
      <c r="R2632" s="101"/>
      <c r="S2632" s="101"/>
      <c r="T2632" s="101">
        <v>1</v>
      </c>
      <c r="U2632" s="208"/>
      <c r="V2632" s="208"/>
      <c r="W2632" s="19"/>
      <c r="X2632" s="17"/>
      <c r="Y2632" s="5">
        <f t="shared" si="256"/>
        <v>0</v>
      </c>
      <c r="Z2632" s="5">
        <f t="shared" si="257"/>
        <v>0</v>
      </c>
      <c r="AA2632" s="5">
        <f t="shared" si="258"/>
        <v>0</v>
      </c>
      <c r="AB2632" s="5">
        <f t="shared" si="259"/>
        <v>0</v>
      </c>
      <c r="AC2632" s="5"/>
      <c r="AD2632" s="5">
        <v>0</v>
      </c>
      <c r="AE2632" s="5">
        <f t="shared" si="260"/>
        <v>0</v>
      </c>
      <c r="AF2632" s="70">
        <v>0</v>
      </c>
      <c r="AG2632" s="17"/>
      <c r="AH2632" s="18"/>
      <c r="AI2632" s="47" t="s">
        <v>4336</v>
      </c>
      <c r="AJ2632" s="73" t="s">
        <v>4337</v>
      </c>
      <c r="AK2632" s="45"/>
      <c r="AL2632" s="17"/>
      <c r="AM2632" s="121" t="s">
        <v>5024</v>
      </c>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c r="BV2632" s="19"/>
      <c r="BW2632" s="19"/>
      <c r="BX2632" s="19"/>
      <c r="BY2632" s="19"/>
      <c r="BZ2632" s="19"/>
      <c r="CA2632" s="19"/>
      <c r="CB2632" s="19"/>
      <c r="CC2632" s="19"/>
      <c r="CD2632" s="139"/>
      <c r="CE2632" s="138"/>
      <c r="CF2632" s="139"/>
      <c r="CG2632" s="138"/>
      <c r="CH2632" s="139"/>
      <c r="CI2632" s="138"/>
      <c r="CJ2632" s="72"/>
      <c r="CK2632" s="139"/>
      <c r="CL2632" s="71"/>
      <c r="CM2632" s="139"/>
      <c r="CN2632" s="138"/>
      <c r="CO2632" s="138"/>
      <c r="CP2632" s="138"/>
      <c r="CQ2632" s="139"/>
      <c r="CR2632" s="138"/>
      <c r="CS2632" s="45"/>
      <c r="CT2632" s="138"/>
      <c r="CU2632" s="45"/>
      <c r="CV2632" s="99">
        <f t="shared" si="261"/>
        <v>0</v>
      </c>
      <c r="CW2632" s="139"/>
      <c r="CX2632" s="138"/>
      <c r="CY2632" s="138"/>
      <c r="CZ2632" s="138"/>
      <c r="DA2632" s="139"/>
      <c r="DB2632" s="138"/>
      <c r="DC2632" s="45"/>
      <c r="DD2632" s="138"/>
      <c r="DE2632" s="45"/>
      <c r="DF2632" s="46"/>
    </row>
    <row r="2633" spans="1:110" s="42" customFormat="1" ht="36" x14ac:dyDescent="0.2">
      <c r="A2633" s="89">
        <v>40864</v>
      </c>
      <c r="B2633" s="151" t="s">
        <v>4296</v>
      </c>
      <c r="C2633" s="90" t="s">
        <v>864</v>
      </c>
      <c r="D2633" s="90" t="s">
        <v>4264</v>
      </c>
      <c r="E2633" s="90" t="str">
        <f>VLOOKUP(B2633&amp;C2633,Divipola!$C$2:$F$1138,4,FALSE)</f>
        <v>19142</v>
      </c>
      <c r="F2633" s="4"/>
      <c r="G2633" s="101"/>
      <c r="H2633" s="101"/>
      <c r="I2633" s="101"/>
      <c r="J2633" s="101"/>
      <c r="K2633" s="101">
        <v>35</v>
      </c>
      <c r="L2633" s="101"/>
      <c r="M2633" s="101"/>
      <c r="N2633" s="101"/>
      <c r="O2633" s="101"/>
      <c r="P2633" s="101"/>
      <c r="Q2633" s="101"/>
      <c r="R2633" s="101"/>
      <c r="S2633" s="101"/>
      <c r="T2633" s="101"/>
      <c r="U2633" s="101"/>
      <c r="V2633" s="101"/>
      <c r="W2633" s="19"/>
      <c r="X2633" s="17"/>
      <c r="Y2633" s="5">
        <f t="shared" si="256"/>
        <v>0</v>
      </c>
      <c r="Z2633" s="5">
        <f t="shared" si="257"/>
        <v>0</v>
      </c>
      <c r="AA2633" s="5">
        <f t="shared" si="258"/>
        <v>0</v>
      </c>
      <c r="AB2633" s="5">
        <f t="shared" si="259"/>
        <v>0</v>
      </c>
      <c r="AC2633" s="5"/>
      <c r="AD2633" s="5">
        <v>0</v>
      </c>
      <c r="AE2633" s="5">
        <f t="shared" si="260"/>
        <v>0</v>
      </c>
      <c r="AF2633" s="70">
        <v>0</v>
      </c>
      <c r="AG2633" s="17"/>
      <c r="AH2633" s="18"/>
      <c r="AI2633" s="47" t="s">
        <v>4336</v>
      </c>
      <c r="AJ2633" s="73" t="s">
        <v>4337</v>
      </c>
      <c r="AK2633" s="45"/>
      <c r="AL2633" s="17"/>
      <c r="AM2633" s="121" t="s">
        <v>5032</v>
      </c>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c r="BH2633" s="19"/>
      <c r="BI2633" s="19"/>
      <c r="BJ2633" s="19"/>
      <c r="BK2633" s="19"/>
      <c r="BL2633" s="19"/>
      <c r="BM2633" s="19"/>
      <c r="BN2633" s="19"/>
      <c r="BO2633" s="19"/>
      <c r="BP2633" s="19"/>
      <c r="BQ2633" s="19"/>
      <c r="BR2633" s="19"/>
      <c r="BS2633" s="19"/>
      <c r="BT2633" s="19"/>
      <c r="BU2633" s="19"/>
      <c r="BV2633" s="19"/>
      <c r="BW2633" s="19"/>
      <c r="BX2633" s="19"/>
      <c r="BY2633" s="19"/>
      <c r="BZ2633" s="19"/>
      <c r="CA2633" s="19"/>
      <c r="CB2633" s="19"/>
      <c r="CC2633" s="19"/>
      <c r="CD2633" s="139"/>
      <c r="CE2633" s="138"/>
      <c r="CF2633" s="139"/>
      <c r="CG2633" s="138"/>
      <c r="CH2633" s="139"/>
      <c r="CI2633" s="138"/>
      <c r="CJ2633" s="72"/>
      <c r="CK2633" s="139"/>
      <c r="CL2633" s="71"/>
      <c r="CM2633" s="139"/>
      <c r="CN2633" s="138"/>
      <c r="CO2633" s="138"/>
      <c r="CP2633" s="138"/>
      <c r="CQ2633" s="139"/>
      <c r="CR2633" s="138"/>
      <c r="CS2633" s="45"/>
      <c r="CT2633" s="138"/>
      <c r="CU2633" s="45"/>
      <c r="CV2633" s="99">
        <f t="shared" si="261"/>
        <v>0</v>
      </c>
      <c r="CW2633" s="139"/>
      <c r="CX2633" s="138"/>
      <c r="CY2633" s="138"/>
      <c r="CZ2633" s="138"/>
      <c r="DA2633" s="139"/>
      <c r="DB2633" s="138"/>
      <c r="DC2633" s="45"/>
      <c r="DD2633" s="138"/>
      <c r="DE2633" s="45"/>
      <c r="DF2633" s="46"/>
    </row>
    <row r="2634" spans="1:110" s="42" customFormat="1" ht="60" x14ac:dyDescent="0.2">
      <c r="A2634" s="89">
        <v>40864</v>
      </c>
      <c r="B2634" s="151" t="s">
        <v>4296</v>
      </c>
      <c r="C2634" s="90" t="s">
        <v>4297</v>
      </c>
      <c r="D2634" s="90" t="s">
        <v>2362</v>
      </c>
      <c r="E2634" s="90" t="str">
        <f>VLOOKUP(B2634&amp;C2634,Divipola!$C$2:$F$1138,4,FALSE)</f>
        <v>19001</v>
      </c>
      <c r="F2634" s="4"/>
      <c r="G2634" s="101"/>
      <c r="H2634" s="101"/>
      <c r="I2634" s="101"/>
      <c r="J2634" s="101"/>
      <c r="K2634" s="101"/>
      <c r="L2634" s="101"/>
      <c r="M2634" s="101"/>
      <c r="N2634" s="101">
        <v>1</v>
      </c>
      <c r="O2634" s="101"/>
      <c r="P2634" s="101"/>
      <c r="Q2634" s="101"/>
      <c r="R2634" s="101"/>
      <c r="S2634" s="101"/>
      <c r="T2634" s="101"/>
      <c r="U2634" s="101"/>
      <c r="V2634" s="101"/>
      <c r="W2634" s="19"/>
      <c r="X2634" s="17"/>
      <c r="Y2634" s="5">
        <f t="shared" si="256"/>
        <v>0</v>
      </c>
      <c r="Z2634" s="5">
        <f t="shared" si="257"/>
        <v>0</v>
      </c>
      <c r="AA2634" s="5">
        <f t="shared" si="258"/>
        <v>0</v>
      </c>
      <c r="AB2634" s="5">
        <f t="shared" si="259"/>
        <v>0</v>
      </c>
      <c r="AC2634" s="5"/>
      <c r="AD2634" s="5">
        <v>0</v>
      </c>
      <c r="AE2634" s="5">
        <f t="shared" si="260"/>
        <v>0</v>
      </c>
      <c r="AF2634" s="70">
        <v>0</v>
      </c>
      <c r="AG2634" s="17"/>
      <c r="AH2634" s="18"/>
      <c r="AI2634" s="47" t="s">
        <v>4336</v>
      </c>
      <c r="AJ2634" s="73" t="s">
        <v>4337</v>
      </c>
      <c r="AK2634" s="45"/>
      <c r="AL2634" s="17"/>
      <c r="AM2634" s="121" t="s">
        <v>5033</v>
      </c>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c r="BH2634" s="19"/>
      <c r="BI2634" s="19"/>
      <c r="BJ2634" s="19"/>
      <c r="BK2634" s="19"/>
      <c r="BL2634" s="19"/>
      <c r="BM2634" s="19"/>
      <c r="BN2634" s="19"/>
      <c r="BO2634" s="19"/>
      <c r="BP2634" s="19"/>
      <c r="BQ2634" s="19"/>
      <c r="BR2634" s="19"/>
      <c r="BS2634" s="19"/>
      <c r="BT2634" s="19"/>
      <c r="BU2634" s="19"/>
      <c r="BV2634" s="19"/>
      <c r="BW2634" s="19"/>
      <c r="BX2634" s="19"/>
      <c r="BY2634" s="19"/>
      <c r="BZ2634" s="19"/>
      <c r="CA2634" s="19"/>
      <c r="CB2634" s="19"/>
      <c r="CC2634" s="19"/>
      <c r="CD2634" s="139"/>
      <c r="CE2634" s="138"/>
      <c r="CF2634" s="139"/>
      <c r="CG2634" s="138"/>
      <c r="CH2634" s="139"/>
      <c r="CI2634" s="138"/>
      <c r="CJ2634" s="72"/>
      <c r="CK2634" s="139"/>
      <c r="CL2634" s="71"/>
      <c r="CM2634" s="139"/>
      <c r="CN2634" s="138"/>
      <c r="CO2634" s="138"/>
      <c r="CP2634" s="138"/>
      <c r="CQ2634" s="139"/>
      <c r="CR2634" s="138"/>
      <c r="CS2634" s="45"/>
      <c r="CT2634" s="138"/>
      <c r="CU2634" s="45"/>
      <c r="CV2634" s="99">
        <f t="shared" si="261"/>
        <v>0</v>
      </c>
      <c r="CW2634" s="139"/>
      <c r="CX2634" s="138"/>
      <c r="CY2634" s="138"/>
      <c r="CZ2634" s="138"/>
      <c r="DA2634" s="139"/>
      <c r="DB2634" s="138"/>
      <c r="DC2634" s="45"/>
      <c r="DD2634" s="138"/>
      <c r="DE2634" s="45"/>
      <c r="DF2634" s="46"/>
    </row>
    <row r="2635" spans="1:110" s="42" customFormat="1" ht="48" x14ac:dyDescent="0.2">
      <c r="A2635" s="89">
        <v>40864</v>
      </c>
      <c r="B2635" s="16" t="s">
        <v>2225</v>
      </c>
      <c r="C2635" s="16" t="s">
        <v>1985</v>
      </c>
      <c r="D2635" s="90" t="s">
        <v>4264</v>
      </c>
      <c r="E2635" s="90" t="str">
        <f>VLOOKUP(B2635&amp;C2635,Divipola!$C$2:$F$1138,4,FALSE)</f>
        <v>27135</v>
      </c>
      <c r="F2635" s="4"/>
      <c r="G2635" s="208"/>
      <c r="H2635" s="208"/>
      <c r="I2635" s="208"/>
      <c r="J2635" s="208"/>
      <c r="K2635" s="208"/>
      <c r="L2635" s="208"/>
      <c r="M2635" s="208"/>
      <c r="N2635" s="208"/>
      <c r="O2635" s="208"/>
      <c r="P2635" s="208"/>
      <c r="Q2635" s="208"/>
      <c r="R2635" s="208"/>
      <c r="S2635" s="208"/>
      <c r="T2635" s="208"/>
      <c r="U2635" s="208"/>
      <c r="V2635" s="208"/>
      <c r="W2635" s="19"/>
      <c r="X2635" s="17"/>
      <c r="Y2635" s="5">
        <f t="shared" si="256"/>
        <v>0</v>
      </c>
      <c r="Z2635" s="5">
        <f t="shared" si="257"/>
        <v>0</v>
      </c>
      <c r="AA2635" s="5">
        <f t="shared" si="258"/>
        <v>0</v>
      </c>
      <c r="AB2635" s="5">
        <f t="shared" si="259"/>
        <v>0</v>
      </c>
      <c r="AC2635" s="5"/>
      <c r="AD2635" s="5">
        <v>30000000</v>
      </c>
      <c r="AE2635" s="5">
        <f t="shared" si="260"/>
        <v>30000000</v>
      </c>
      <c r="AF2635" s="70">
        <v>0</v>
      </c>
      <c r="AG2635" s="17"/>
      <c r="AH2635" s="18"/>
      <c r="AI2635" s="47" t="s">
        <v>4346</v>
      </c>
      <c r="AJ2635" s="73" t="s">
        <v>4347</v>
      </c>
      <c r="AK2635" s="45"/>
      <c r="AL2635" s="17"/>
      <c r="AM2635" s="20" t="s">
        <v>5015</v>
      </c>
      <c r="AN2635" s="19"/>
      <c r="AO2635" s="19"/>
      <c r="AP2635" s="19"/>
      <c r="AQ2635" s="19"/>
      <c r="AR2635" s="19"/>
      <c r="AS2635" s="19"/>
      <c r="AT2635" s="19"/>
      <c r="AU2635" s="19"/>
      <c r="AV2635" s="19"/>
      <c r="AW2635" s="19"/>
      <c r="AX2635" s="19"/>
      <c r="AY2635" s="19"/>
      <c r="AZ2635" s="19"/>
      <c r="BA2635" s="19"/>
      <c r="BB2635" s="19"/>
      <c r="BC2635" s="19"/>
      <c r="BD2635" s="19"/>
      <c r="BE2635" s="19"/>
      <c r="BF2635" s="19"/>
      <c r="BG2635" s="19"/>
      <c r="BH2635" s="19"/>
      <c r="BI2635" s="19"/>
      <c r="BJ2635" s="19"/>
      <c r="BK2635" s="19"/>
      <c r="BL2635" s="19"/>
      <c r="BM2635" s="19"/>
      <c r="BN2635" s="19"/>
      <c r="BO2635" s="19"/>
      <c r="BP2635" s="19"/>
      <c r="BQ2635" s="19"/>
      <c r="BR2635" s="19"/>
      <c r="BS2635" s="19"/>
      <c r="BT2635" s="19"/>
      <c r="BU2635" s="19"/>
      <c r="BV2635" s="19"/>
      <c r="BW2635" s="19"/>
      <c r="BX2635" s="19"/>
      <c r="BY2635" s="19"/>
      <c r="BZ2635" s="19"/>
      <c r="CA2635" s="19"/>
      <c r="CB2635" s="19"/>
      <c r="CC2635" s="19"/>
      <c r="CD2635" s="139"/>
      <c r="CE2635" s="138"/>
      <c r="CF2635" s="139"/>
      <c r="CG2635" s="138"/>
      <c r="CH2635" s="139"/>
      <c r="CI2635" s="138"/>
      <c r="CJ2635" s="72"/>
      <c r="CK2635" s="139"/>
      <c r="CL2635" s="71"/>
      <c r="CM2635" s="139"/>
      <c r="CN2635" s="138"/>
      <c r="CO2635" s="138"/>
      <c r="CP2635" s="138"/>
      <c r="CQ2635" s="139"/>
      <c r="CR2635" s="138"/>
      <c r="CS2635" s="45"/>
      <c r="CT2635" s="138"/>
      <c r="CU2635" s="45"/>
      <c r="CV2635" s="99">
        <f t="shared" si="261"/>
        <v>0</v>
      </c>
      <c r="CW2635" s="139"/>
      <c r="CX2635" s="138"/>
      <c r="CY2635" s="138"/>
      <c r="CZ2635" s="138"/>
      <c r="DA2635" s="139"/>
      <c r="DB2635" s="138"/>
      <c r="DC2635" s="45"/>
      <c r="DD2635" s="138"/>
      <c r="DE2635" s="45"/>
      <c r="DF2635" s="46"/>
    </row>
    <row r="2636" spans="1:110" s="42" customFormat="1" ht="72" x14ac:dyDescent="0.2">
      <c r="A2636" s="89">
        <v>40864</v>
      </c>
      <c r="B2636" s="151" t="s">
        <v>2225</v>
      </c>
      <c r="C2636" s="90" t="s">
        <v>3381</v>
      </c>
      <c r="D2636" s="90" t="s">
        <v>4264</v>
      </c>
      <c r="E2636" s="90" t="str">
        <f>VLOOKUP(B2636&amp;C2636,Divipola!$C$2:$F$1138,4,FALSE)</f>
        <v>27615</v>
      </c>
      <c r="F2636" s="4"/>
      <c r="G2636" s="101">
        <v>1</v>
      </c>
      <c r="H2636" s="101"/>
      <c r="I2636" s="101"/>
      <c r="J2636" s="101"/>
      <c r="K2636" s="101"/>
      <c r="L2636" s="101"/>
      <c r="M2636" s="101"/>
      <c r="N2636" s="101"/>
      <c r="O2636" s="101"/>
      <c r="P2636" s="101"/>
      <c r="Q2636" s="101"/>
      <c r="R2636" s="101"/>
      <c r="S2636" s="101"/>
      <c r="T2636" s="101"/>
      <c r="U2636" s="101"/>
      <c r="V2636" s="101"/>
      <c r="W2636" s="19"/>
      <c r="X2636" s="17"/>
      <c r="Y2636" s="5">
        <f t="shared" si="256"/>
        <v>0</v>
      </c>
      <c r="Z2636" s="5">
        <f t="shared" si="257"/>
        <v>0</v>
      </c>
      <c r="AA2636" s="5">
        <f t="shared" si="258"/>
        <v>0</v>
      </c>
      <c r="AB2636" s="5">
        <f t="shared" si="259"/>
        <v>0</v>
      </c>
      <c r="AC2636" s="5"/>
      <c r="AD2636" s="5">
        <v>0</v>
      </c>
      <c r="AE2636" s="5">
        <f t="shared" si="260"/>
        <v>0</v>
      </c>
      <c r="AF2636" s="70">
        <v>0</v>
      </c>
      <c r="AG2636" s="17"/>
      <c r="AH2636" s="18"/>
      <c r="AI2636" s="47" t="s">
        <v>4336</v>
      </c>
      <c r="AJ2636" s="73" t="s">
        <v>4337</v>
      </c>
      <c r="AK2636" s="45"/>
      <c r="AL2636" s="17"/>
      <c r="AM2636" s="121" t="s">
        <v>5029</v>
      </c>
      <c r="AN2636" s="19"/>
      <c r="AO2636" s="19"/>
      <c r="AP2636" s="19"/>
      <c r="AQ2636" s="19"/>
      <c r="AR2636" s="19"/>
      <c r="AS2636" s="19"/>
      <c r="AT2636" s="19"/>
      <c r="AU2636" s="19"/>
      <c r="AV2636" s="19"/>
      <c r="AW2636" s="19"/>
      <c r="AX2636" s="19"/>
      <c r="AY2636" s="19"/>
      <c r="AZ2636" s="19"/>
      <c r="BA2636" s="19"/>
      <c r="BB2636" s="19"/>
      <c r="BC2636" s="19"/>
      <c r="BD2636" s="19"/>
      <c r="BE2636" s="19"/>
      <c r="BF2636" s="19"/>
      <c r="BG2636" s="19"/>
      <c r="BH2636" s="19"/>
      <c r="BI2636" s="19"/>
      <c r="BJ2636" s="19"/>
      <c r="BK2636" s="19"/>
      <c r="BL2636" s="19"/>
      <c r="BM2636" s="19"/>
      <c r="BN2636" s="19"/>
      <c r="BO2636" s="19"/>
      <c r="BP2636" s="19"/>
      <c r="BQ2636" s="19"/>
      <c r="BR2636" s="19"/>
      <c r="BS2636" s="19"/>
      <c r="BT2636" s="19"/>
      <c r="BU2636" s="19"/>
      <c r="BV2636" s="19"/>
      <c r="BW2636" s="19"/>
      <c r="BX2636" s="19"/>
      <c r="BY2636" s="19"/>
      <c r="BZ2636" s="19"/>
      <c r="CA2636" s="19"/>
      <c r="CB2636" s="19"/>
      <c r="CC2636" s="19"/>
      <c r="CD2636" s="139"/>
      <c r="CE2636" s="138"/>
      <c r="CF2636" s="139"/>
      <c r="CG2636" s="138"/>
      <c r="CH2636" s="139"/>
      <c r="CI2636" s="138"/>
      <c r="CJ2636" s="72"/>
      <c r="CK2636" s="139"/>
      <c r="CL2636" s="71"/>
      <c r="CM2636" s="139"/>
      <c r="CN2636" s="138"/>
      <c r="CO2636" s="138"/>
      <c r="CP2636" s="138"/>
      <c r="CQ2636" s="139"/>
      <c r="CR2636" s="138"/>
      <c r="CS2636" s="45"/>
      <c r="CT2636" s="138"/>
      <c r="CU2636" s="45"/>
      <c r="CV2636" s="99">
        <f t="shared" si="261"/>
        <v>0</v>
      </c>
      <c r="CW2636" s="139"/>
      <c r="CX2636" s="138"/>
      <c r="CY2636" s="138"/>
      <c r="CZ2636" s="138"/>
      <c r="DA2636" s="139"/>
      <c r="DB2636" s="138"/>
      <c r="DC2636" s="45"/>
      <c r="DD2636" s="138"/>
      <c r="DE2636" s="45"/>
      <c r="DF2636" s="46"/>
    </row>
    <row r="2637" spans="1:110" s="42" customFormat="1" ht="72" x14ac:dyDescent="0.2">
      <c r="A2637" s="89">
        <v>40864</v>
      </c>
      <c r="B2637" s="151" t="s">
        <v>2225</v>
      </c>
      <c r="C2637" s="90" t="s">
        <v>3381</v>
      </c>
      <c r="D2637" s="90" t="s">
        <v>4264</v>
      </c>
      <c r="E2637" s="90" t="str">
        <f>VLOOKUP(B2637&amp;C2637,Divipola!$C$2:$F$1138,4,FALSE)</f>
        <v>27615</v>
      </c>
      <c r="F2637" s="4"/>
      <c r="G2637" s="101"/>
      <c r="H2637" s="101"/>
      <c r="I2637" s="101"/>
      <c r="J2637" s="101">
        <v>1365</v>
      </c>
      <c r="K2637" s="101">
        <v>273</v>
      </c>
      <c r="L2637" s="101"/>
      <c r="M2637" s="101">
        <v>273</v>
      </c>
      <c r="N2637" s="101"/>
      <c r="O2637" s="101"/>
      <c r="P2637" s="101"/>
      <c r="Q2637" s="101"/>
      <c r="R2637" s="101"/>
      <c r="S2637" s="101"/>
      <c r="T2637" s="101"/>
      <c r="U2637" s="101"/>
      <c r="V2637" s="101"/>
      <c r="W2637" s="19"/>
      <c r="X2637" s="17"/>
      <c r="Y2637" s="5">
        <f t="shared" si="256"/>
        <v>41998960</v>
      </c>
      <c r="Z2637" s="5">
        <f t="shared" si="257"/>
        <v>85000000</v>
      </c>
      <c r="AA2637" s="5">
        <f t="shared" si="258"/>
        <v>0</v>
      </c>
      <c r="AB2637" s="5">
        <f t="shared" si="259"/>
        <v>0</v>
      </c>
      <c r="AC2637" s="5"/>
      <c r="AD2637" s="5">
        <v>0</v>
      </c>
      <c r="AE2637" s="5">
        <f t="shared" si="260"/>
        <v>126998960</v>
      </c>
      <c r="AF2637" s="70">
        <v>0</v>
      </c>
      <c r="AG2637" s="17"/>
      <c r="AH2637" s="18"/>
      <c r="AI2637" s="47" t="s">
        <v>4346</v>
      </c>
      <c r="AJ2637" s="73" t="s">
        <v>4347</v>
      </c>
      <c r="AK2637" s="45"/>
      <c r="AL2637" s="17"/>
      <c r="AM2637" s="121" t="s">
        <v>5116</v>
      </c>
      <c r="AN2637" s="19"/>
      <c r="AO2637" s="19"/>
      <c r="AP2637" s="19"/>
      <c r="AQ2637" s="19"/>
      <c r="AR2637" s="19"/>
      <c r="AS2637" s="19"/>
      <c r="AT2637" s="19"/>
      <c r="AU2637" s="19"/>
      <c r="AV2637" s="19"/>
      <c r="AW2637" s="19"/>
      <c r="AX2637" s="19"/>
      <c r="AY2637" s="19"/>
      <c r="AZ2637" s="19"/>
      <c r="BA2637" s="19"/>
      <c r="BB2637" s="19"/>
      <c r="BC2637" s="19"/>
      <c r="BD2637" s="19"/>
      <c r="BE2637" s="19"/>
      <c r="BF2637" s="19"/>
      <c r="BG2637" s="19"/>
      <c r="BH2637" s="19"/>
      <c r="BI2637" s="19"/>
      <c r="BJ2637" s="19"/>
      <c r="BK2637" s="19"/>
      <c r="BL2637" s="19"/>
      <c r="BM2637" s="19"/>
      <c r="BN2637" s="19"/>
      <c r="BO2637" s="19"/>
      <c r="BP2637" s="19"/>
      <c r="BQ2637" s="19"/>
      <c r="BR2637" s="19"/>
      <c r="BS2637" s="19"/>
      <c r="BT2637" s="19"/>
      <c r="BU2637" s="19"/>
      <c r="BV2637" s="19"/>
      <c r="BW2637" s="19"/>
      <c r="BX2637" s="19"/>
      <c r="BY2637" s="19"/>
      <c r="BZ2637" s="19"/>
      <c r="CA2637" s="19"/>
      <c r="CB2637" s="19"/>
      <c r="CC2637" s="19"/>
      <c r="CD2637" s="139"/>
      <c r="CE2637" s="138"/>
      <c r="CF2637" s="139"/>
      <c r="CG2637" s="138"/>
      <c r="CH2637" s="139"/>
      <c r="CI2637" s="138"/>
      <c r="CJ2637" s="72">
        <v>2000</v>
      </c>
      <c r="CK2637" s="139">
        <f>2000*20999.48</f>
        <v>41998960</v>
      </c>
      <c r="CL2637" s="71"/>
      <c r="CM2637" s="139"/>
      <c r="CN2637" s="138"/>
      <c r="CO2637" s="138"/>
      <c r="CP2637" s="138"/>
      <c r="CQ2637" s="139"/>
      <c r="CR2637" s="138"/>
      <c r="CS2637" s="45"/>
      <c r="CT2637" s="138"/>
      <c r="CU2637" s="45"/>
      <c r="CV2637" s="99">
        <f t="shared" si="261"/>
        <v>41998960</v>
      </c>
      <c r="CW2637" s="139"/>
      <c r="CX2637" s="138"/>
      <c r="CY2637" s="138">
        <v>1000</v>
      </c>
      <c r="CZ2637" s="138">
        <f>1000*85000</f>
        <v>85000000</v>
      </c>
      <c r="DA2637" s="139"/>
      <c r="DB2637" s="138"/>
      <c r="DC2637" s="45"/>
      <c r="DD2637" s="138"/>
      <c r="DE2637" s="45"/>
      <c r="DF2637" s="46"/>
    </row>
    <row r="2638" spans="1:110" s="42" customFormat="1" ht="48" x14ac:dyDescent="0.2">
      <c r="A2638" s="89">
        <v>40864</v>
      </c>
      <c r="B2638" s="151" t="s">
        <v>4344</v>
      </c>
      <c r="C2638" s="90" t="s">
        <v>3319</v>
      </c>
      <c r="D2638" s="90" t="s">
        <v>4264</v>
      </c>
      <c r="E2638" s="90" t="str">
        <f>VLOOKUP(B2638&amp;C2638,Divipola!$C$2:$F$1138,4,FALSE)</f>
        <v>25799</v>
      </c>
      <c r="F2638" s="4"/>
      <c r="G2638" s="101"/>
      <c r="H2638" s="101"/>
      <c r="I2638" s="101"/>
      <c r="J2638" s="101">
        <v>10</v>
      </c>
      <c r="K2638" s="101">
        <v>2</v>
      </c>
      <c r="L2638" s="101"/>
      <c r="M2638" s="101">
        <v>2</v>
      </c>
      <c r="N2638" s="101">
        <v>3</v>
      </c>
      <c r="O2638" s="101"/>
      <c r="P2638" s="101"/>
      <c r="Q2638" s="101"/>
      <c r="R2638" s="101"/>
      <c r="S2638" s="101"/>
      <c r="T2638" s="101"/>
      <c r="U2638" s="208"/>
      <c r="V2638" s="208"/>
      <c r="W2638" s="19"/>
      <c r="X2638" s="17"/>
      <c r="Y2638" s="5">
        <f t="shared" si="256"/>
        <v>0</v>
      </c>
      <c r="Z2638" s="5">
        <f t="shared" si="257"/>
        <v>0</v>
      </c>
      <c r="AA2638" s="5">
        <f t="shared" si="258"/>
        <v>0</v>
      </c>
      <c r="AB2638" s="5">
        <f t="shared" si="259"/>
        <v>0</v>
      </c>
      <c r="AC2638" s="5"/>
      <c r="AD2638" s="5">
        <v>0</v>
      </c>
      <c r="AE2638" s="5">
        <f t="shared" si="260"/>
        <v>0</v>
      </c>
      <c r="AF2638" s="70">
        <v>0</v>
      </c>
      <c r="AG2638" s="17"/>
      <c r="AH2638" s="18"/>
      <c r="AI2638" s="47" t="s">
        <v>4336</v>
      </c>
      <c r="AJ2638" s="73" t="s">
        <v>4337</v>
      </c>
      <c r="AK2638" s="45"/>
      <c r="AL2638" s="17"/>
      <c r="AM2638" s="121" t="s">
        <v>5020</v>
      </c>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39"/>
      <c r="CE2638" s="138"/>
      <c r="CF2638" s="139"/>
      <c r="CG2638" s="138"/>
      <c r="CH2638" s="139"/>
      <c r="CI2638" s="138"/>
      <c r="CJ2638" s="72"/>
      <c r="CK2638" s="139"/>
      <c r="CL2638" s="71"/>
      <c r="CM2638" s="139"/>
      <c r="CN2638" s="138"/>
      <c r="CO2638" s="138"/>
      <c r="CP2638" s="138"/>
      <c r="CQ2638" s="139"/>
      <c r="CR2638" s="138"/>
      <c r="CS2638" s="45"/>
      <c r="CT2638" s="138"/>
      <c r="CU2638" s="45"/>
      <c r="CV2638" s="99">
        <f t="shared" si="261"/>
        <v>0</v>
      </c>
      <c r="CW2638" s="139"/>
      <c r="CX2638" s="138"/>
      <c r="CY2638" s="138"/>
      <c r="CZ2638" s="138"/>
      <c r="DA2638" s="139"/>
      <c r="DB2638" s="138"/>
      <c r="DC2638" s="45"/>
      <c r="DD2638" s="138"/>
      <c r="DE2638" s="45"/>
      <c r="DF2638" s="46"/>
    </row>
    <row r="2639" spans="1:110" s="42" customFormat="1" ht="36" x14ac:dyDescent="0.2">
      <c r="A2639" s="89">
        <v>40864</v>
      </c>
      <c r="B2639" s="151" t="s">
        <v>4344</v>
      </c>
      <c r="C2639" s="90" t="s">
        <v>2253</v>
      </c>
      <c r="D2639" s="90" t="s">
        <v>4264</v>
      </c>
      <c r="E2639" s="90" t="str">
        <f>VLOOKUP(B2639&amp;C2639,Divipola!$C$2:$F$1138,4,FALSE)</f>
        <v>25817</v>
      </c>
      <c r="F2639" s="4"/>
      <c r="G2639" s="101"/>
      <c r="H2639" s="101"/>
      <c r="I2639" s="101"/>
      <c r="J2639" s="101"/>
      <c r="K2639" s="101"/>
      <c r="L2639" s="101"/>
      <c r="M2639" s="101"/>
      <c r="N2639" s="101"/>
      <c r="O2639" s="101"/>
      <c r="P2639" s="101"/>
      <c r="Q2639" s="101"/>
      <c r="R2639" s="101"/>
      <c r="S2639" s="101"/>
      <c r="T2639" s="101"/>
      <c r="U2639" s="208"/>
      <c r="V2639" s="208"/>
      <c r="W2639" s="19"/>
      <c r="X2639" s="17"/>
      <c r="Y2639" s="5">
        <f t="shared" si="256"/>
        <v>0</v>
      </c>
      <c r="Z2639" s="5">
        <f t="shared" si="257"/>
        <v>0</v>
      </c>
      <c r="AA2639" s="5">
        <f t="shared" si="258"/>
        <v>0</v>
      </c>
      <c r="AB2639" s="5">
        <f t="shared" si="259"/>
        <v>0</v>
      </c>
      <c r="AC2639" s="5"/>
      <c r="AD2639" s="5">
        <v>0</v>
      </c>
      <c r="AE2639" s="5">
        <f t="shared" si="260"/>
        <v>0</v>
      </c>
      <c r="AF2639" s="70">
        <v>0</v>
      </c>
      <c r="AG2639" s="17"/>
      <c r="AH2639" s="18"/>
      <c r="AI2639" s="47" t="s">
        <v>4336</v>
      </c>
      <c r="AJ2639" s="73" t="s">
        <v>4337</v>
      </c>
      <c r="AK2639" s="45"/>
      <c r="AL2639" s="17"/>
      <c r="AM2639" s="121" t="s">
        <v>5021</v>
      </c>
      <c r="AN2639" s="19"/>
      <c r="AO2639" s="19"/>
      <c r="AP2639" s="19"/>
      <c r="AQ2639" s="19"/>
      <c r="AR2639" s="19"/>
      <c r="AS2639" s="19"/>
      <c r="AT2639" s="19"/>
      <c r="AU2639" s="19"/>
      <c r="AV2639" s="19"/>
      <c r="AW2639" s="19"/>
      <c r="AX2639" s="19"/>
      <c r="AY2639" s="19"/>
      <c r="AZ2639" s="19"/>
      <c r="BA2639" s="19"/>
      <c r="BB2639" s="19"/>
      <c r="BC2639" s="19"/>
      <c r="BD2639" s="19"/>
      <c r="BE2639" s="19"/>
      <c r="BF2639" s="19"/>
      <c r="BG2639" s="19"/>
      <c r="BH2639" s="19"/>
      <c r="BI2639" s="19"/>
      <c r="BJ2639" s="19"/>
      <c r="BK2639" s="19"/>
      <c r="BL2639" s="19"/>
      <c r="BM2639" s="19"/>
      <c r="BN2639" s="19"/>
      <c r="BO2639" s="19"/>
      <c r="BP2639" s="19"/>
      <c r="BQ2639" s="19"/>
      <c r="BR2639" s="19"/>
      <c r="BS2639" s="19"/>
      <c r="BT2639" s="19"/>
      <c r="BU2639" s="19"/>
      <c r="BV2639" s="19"/>
      <c r="BW2639" s="19"/>
      <c r="BX2639" s="19"/>
      <c r="BY2639" s="19"/>
      <c r="BZ2639" s="19"/>
      <c r="CA2639" s="19"/>
      <c r="CB2639" s="19"/>
      <c r="CC2639" s="19"/>
      <c r="CD2639" s="139"/>
      <c r="CE2639" s="138"/>
      <c r="CF2639" s="139"/>
      <c r="CG2639" s="138"/>
      <c r="CH2639" s="139"/>
      <c r="CI2639" s="138"/>
      <c r="CJ2639" s="72"/>
      <c r="CK2639" s="139"/>
      <c r="CL2639" s="71"/>
      <c r="CM2639" s="139"/>
      <c r="CN2639" s="138"/>
      <c r="CO2639" s="138"/>
      <c r="CP2639" s="138"/>
      <c r="CQ2639" s="139"/>
      <c r="CR2639" s="138"/>
      <c r="CS2639" s="45"/>
      <c r="CT2639" s="138"/>
      <c r="CU2639" s="45"/>
      <c r="CV2639" s="99">
        <f t="shared" si="261"/>
        <v>0</v>
      </c>
      <c r="CW2639" s="139"/>
      <c r="CX2639" s="138"/>
      <c r="CY2639" s="138"/>
      <c r="CZ2639" s="138"/>
      <c r="DA2639" s="139"/>
      <c r="DB2639" s="138"/>
      <c r="DC2639" s="45"/>
      <c r="DD2639" s="138"/>
      <c r="DE2639" s="45"/>
      <c r="DF2639" s="46"/>
    </row>
    <row r="2640" spans="1:110" s="42" customFormat="1" ht="60" x14ac:dyDescent="0.2">
      <c r="A2640" s="89">
        <v>40864</v>
      </c>
      <c r="B2640" s="151" t="s">
        <v>4344</v>
      </c>
      <c r="C2640" s="90" t="s">
        <v>3319</v>
      </c>
      <c r="D2640" s="90" t="s">
        <v>2362</v>
      </c>
      <c r="E2640" s="90" t="str">
        <f>VLOOKUP(B2640&amp;C2640,Divipola!$C$2:$F$1138,4,FALSE)</f>
        <v>25799</v>
      </c>
      <c r="F2640" s="4"/>
      <c r="G2640" s="101"/>
      <c r="H2640" s="101"/>
      <c r="I2640" s="101"/>
      <c r="J2640" s="101">
        <v>30</v>
      </c>
      <c r="K2640" s="101">
        <v>9</v>
      </c>
      <c r="L2640" s="101">
        <v>2</v>
      </c>
      <c r="M2640" s="101">
        <v>7</v>
      </c>
      <c r="N2640" s="101"/>
      <c r="O2640" s="101"/>
      <c r="P2640" s="101"/>
      <c r="Q2640" s="101"/>
      <c r="R2640" s="101"/>
      <c r="S2640" s="101"/>
      <c r="T2640" s="101"/>
      <c r="U2640" s="101"/>
      <c r="V2640" s="101"/>
      <c r="W2640" s="19"/>
      <c r="X2640" s="17"/>
      <c r="Y2640" s="5">
        <f t="shared" si="256"/>
        <v>0</v>
      </c>
      <c r="Z2640" s="5">
        <f t="shared" si="257"/>
        <v>0</v>
      </c>
      <c r="AA2640" s="5">
        <f t="shared" si="258"/>
        <v>0</v>
      </c>
      <c r="AB2640" s="5">
        <f t="shared" si="259"/>
        <v>0</v>
      </c>
      <c r="AC2640" s="5"/>
      <c r="AD2640" s="5">
        <v>0</v>
      </c>
      <c r="AE2640" s="5">
        <f t="shared" si="260"/>
        <v>0</v>
      </c>
      <c r="AF2640" s="70">
        <v>0</v>
      </c>
      <c r="AG2640" s="17"/>
      <c r="AH2640" s="18"/>
      <c r="AI2640" s="47" t="s">
        <v>4336</v>
      </c>
      <c r="AJ2640" s="73" t="s">
        <v>4337</v>
      </c>
      <c r="AK2640" s="45"/>
      <c r="AL2640" s="17"/>
      <c r="AM2640" s="121" t="s">
        <v>5026</v>
      </c>
      <c r="AN2640" s="19"/>
      <c r="AO2640" s="19"/>
      <c r="AP2640" s="19"/>
      <c r="AQ2640" s="19"/>
      <c r="AR2640" s="19"/>
      <c r="AS2640" s="19"/>
      <c r="AT2640" s="19"/>
      <c r="AU2640" s="19"/>
      <c r="AV2640" s="19"/>
      <c r="AW2640" s="19"/>
      <c r="AX2640" s="19"/>
      <c r="AY2640" s="19"/>
      <c r="AZ2640" s="19"/>
      <c r="BA2640" s="19"/>
      <c r="BB2640" s="19"/>
      <c r="BC2640" s="19"/>
      <c r="BD2640" s="19"/>
      <c r="BE2640" s="19"/>
      <c r="BF2640" s="19"/>
      <c r="BG2640" s="19"/>
      <c r="BH2640" s="19"/>
      <c r="BI2640" s="19"/>
      <c r="BJ2640" s="19"/>
      <c r="BK2640" s="19"/>
      <c r="BL2640" s="19"/>
      <c r="BM2640" s="19"/>
      <c r="BN2640" s="19"/>
      <c r="BO2640" s="19"/>
      <c r="BP2640" s="19"/>
      <c r="BQ2640" s="19"/>
      <c r="BR2640" s="19"/>
      <c r="BS2640" s="19"/>
      <c r="BT2640" s="19"/>
      <c r="BU2640" s="19"/>
      <c r="BV2640" s="19"/>
      <c r="BW2640" s="19"/>
      <c r="BX2640" s="19"/>
      <c r="BY2640" s="19"/>
      <c r="BZ2640" s="19"/>
      <c r="CA2640" s="19"/>
      <c r="CB2640" s="19"/>
      <c r="CC2640" s="19"/>
      <c r="CD2640" s="139"/>
      <c r="CE2640" s="138"/>
      <c r="CF2640" s="139"/>
      <c r="CG2640" s="138"/>
      <c r="CH2640" s="139"/>
      <c r="CI2640" s="138"/>
      <c r="CJ2640" s="72"/>
      <c r="CK2640" s="139"/>
      <c r="CL2640" s="71"/>
      <c r="CM2640" s="139"/>
      <c r="CN2640" s="138"/>
      <c r="CO2640" s="138"/>
      <c r="CP2640" s="138"/>
      <c r="CQ2640" s="139"/>
      <c r="CR2640" s="138"/>
      <c r="CS2640" s="45"/>
      <c r="CT2640" s="138"/>
      <c r="CU2640" s="45"/>
      <c r="CV2640" s="99">
        <f t="shared" si="261"/>
        <v>0</v>
      </c>
      <c r="CW2640" s="139"/>
      <c r="CX2640" s="138"/>
      <c r="CY2640" s="138"/>
      <c r="CZ2640" s="138"/>
      <c r="DA2640" s="139"/>
      <c r="DB2640" s="138"/>
      <c r="DC2640" s="45"/>
      <c r="DD2640" s="138"/>
      <c r="DE2640" s="45"/>
      <c r="DF2640" s="46"/>
    </row>
    <row r="2641" spans="1:110" s="42" customFormat="1" ht="60" x14ac:dyDescent="0.2">
      <c r="A2641" s="89">
        <v>40864</v>
      </c>
      <c r="B2641" s="196" t="s">
        <v>4344</v>
      </c>
      <c r="C2641" s="197" t="s">
        <v>2154</v>
      </c>
      <c r="D2641" s="90" t="s">
        <v>4264</v>
      </c>
      <c r="E2641" s="90" t="str">
        <f>VLOOKUP(B2641&amp;C2641,Divipola!$C$2:$F$1138,4,FALSE)</f>
        <v>25645</v>
      </c>
      <c r="F2641" s="4"/>
      <c r="G2641" s="194"/>
      <c r="H2641" s="194"/>
      <c r="I2641" s="194"/>
      <c r="J2641" s="194">
        <v>60</v>
      </c>
      <c r="K2641" s="194">
        <v>20</v>
      </c>
      <c r="L2641" s="194"/>
      <c r="M2641" s="194">
        <v>20</v>
      </c>
      <c r="N2641" s="194"/>
      <c r="O2641" s="194"/>
      <c r="P2641" s="194"/>
      <c r="Q2641" s="194"/>
      <c r="R2641" s="194"/>
      <c r="S2641" s="194"/>
      <c r="T2641" s="194"/>
      <c r="U2641" s="194"/>
      <c r="V2641" s="194"/>
      <c r="W2641" s="19"/>
      <c r="X2641" s="17"/>
      <c r="Y2641" s="5">
        <f t="shared" si="256"/>
        <v>0</v>
      </c>
      <c r="Z2641" s="5">
        <f t="shared" si="257"/>
        <v>0</v>
      </c>
      <c r="AA2641" s="5">
        <f t="shared" si="258"/>
        <v>0</v>
      </c>
      <c r="AB2641" s="5">
        <f t="shared" si="259"/>
        <v>0</v>
      </c>
      <c r="AC2641" s="5"/>
      <c r="AD2641" s="5">
        <v>0</v>
      </c>
      <c r="AE2641" s="5">
        <f t="shared" si="260"/>
        <v>0</v>
      </c>
      <c r="AF2641" s="70">
        <v>0</v>
      </c>
      <c r="AG2641" s="17"/>
      <c r="AH2641" s="18"/>
      <c r="AI2641" s="47" t="s">
        <v>4336</v>
      </c>
      <c r="AJ2641" s="73" t="s">
        <v>4337</v>
      </c>
      <c r="AK2641" s="45"/>
      <c r="AL2641" s="17"/>
      <c r="AM2641" s="195" t="s">
        <v>5039</v>
      </c>
      <c r="AN2641" s="19"/>
      <c r="AO2641" s="19"/>
      <c r="AP2641" s="19"/>
      <c r="AQ2641" s="19"/>
      <c r="AR2641" s="19"/>
      <c r="AS2641" s="19"/>
      <c r="AT2641" s="19"/>
      <c r="AU2641" s="19"/>
      <c r="AV2641" s="19"/>
      <c r="AW2641" s="19"/>
      <c r="AX2641" s="19"/>
      <c r="AY2641" s="19"/>
      <c r="AZ2641" s="19"/>
      <c r="BA2641" s="19"/>
      <c r="BB2641" s="19"/>
      <c r="BC2641" s="19"/>
      <c r="BD2641" s="19"/>
      <c r="BE2641" s="19"/>
      <c r="BF2641" s="19"/>
      <c r="BG2641" s="19"/>
      <c r="BH2641" s="19"/>
      <c r="BI2641" s="19"/>
      <c r="BJ2641" s="19"/>
      <c r="BK2641" s="19"/>
      <c r="BL2641" s="19"/>
      <c r="BM2641" s="19"/>
      <c r="BN2641" s="19"/>
      <c r="BO2641" s="19"/>
      <c r="BP2641" s="19"/>
      <c r="BQ2641" s="19"/>
      <c r="BR2641" s="19"/>
      <c r="BS2641" s="19"/>
      <c r="BT2641" s="19"/>
      <c r="BU2641" s="19"/>
      <c r="BV2641" s="19"/>
      <c r="BW2641" s="19"/>
      <c r="BX2641" s="19"/>
      <c r="BY2641" s="19"/>
      <c r="BZ2641" s="19"/>
      <c r="CA2641" s="19"/>
      <c r="CB2641" s="19"/>
      <c r="CC2641" s="19"/>
      <c r="CD2641" s="139"/>
      <c r="CE2641" s="138"/>
      <c r="CF2641" s="139"/>
      <c r="CG2641" s="138"/>
      <c r="CH2641" s="139"/>
      <c r="CI2641" s="138"/>
      <c r="CJ2641" s="72"/>
      <c r="CK2641" s="139"/>
      <c r="CL2641" s="71"/>
      <c r="CM2641" s="139"/>
      <c r="CN2641" s="138"/>
      <c r="CO2641" s="138"/>
      <c r="CP2641" s="138"/>
      <c r="CQ2641" s="139"/>
      <c r="CR2641" s="138"/>
      <c r="CS2641" s="45"/>
      <c r="CT2641" s="138"/>
      <c r="CU2641" s="45"/>
      <c r="CV2641" s="99">
        <f t="shared" si="261"/>
        <v>0</v>
      </c>
      <c r="CW2641" s="139"/>
      <c r="CX2641" s="138"/>
      <c r="CY2641" s="138"/>
      <c r="CZ2641" s="138"/>
      <c r="DA2641" s="139"/>
      <c r="DB2641" s="138"/>
      <c r="DC2641" s="45"/>
      <c r="DD2641" s="138"/>
      <c r="DE2641" s="45"/>
      <c r="DF2641" s="46"/>
    </row>
    <row r="2642" spans="1:110" s="42" customFormat="1" ht="84" x14ac:dyDescent="0.2">
      <c r="A2642" s="89">
        <v>40864</v>
      </c>
      <c r="B2642" s="196" t="s">
        <v>4344</v>
      </c>
      <c r="C2642" s="197" t="s">
        <v>2253</v>
      </c>
      <c r="D2642" s="197" t="s">
        <v>4298</v>
      </c>
      <c r="E2642" s="90" t="str">
        <f>VLOOKUP(B2642&amp;C2642,Divipola!$C$2:$F$1138,4,FALSE)</f>
        <v>25817</v>
      </c>
      <c r="F2642" s="4"/>
      <c r="G2642" s="194"/>
      <c r="H2642" s="194"/>
      <c r="I2642" s="194"/>
      <c r="J2642" s="194"/>
      <c r="K2642" s="194"/>
      <c r="L2642" s="194"/>
      <c r="M2642" s="194"/>
      <c r="N2642" s="194"/>
      <c r="O2642" s="194"/>
      <c r="P2642" s="194"/>
      <c r="Q2642" s="194"/>
      <c r="R2642" s="194"/>
      <c r="S2642" s="194"/>
      <c r="T2642" s="194"/>
      <c r="U2642" s="194"/>
      <c r="V2642" s="194"/>
      <c r="W2642" s="19"/>
      <c r="X2642" s="17"/>
      <c r="Y2642" s="5">
        <f t="shared" si="256"/>
        <v>0</v>
      </c>
      <c r="Z2642" s="5">
        <f t="shared" si="257"/>
        <v>0</v>
      </c>
      <c r="AA2642" s="5">
        <f t="shared" si="258"/>
        <v>0</v>
      </c>
      <c r="AB2642" s="5">
        <f t="shared" si="259"/>
        <v>0</v>
      </c>
      <c r="AC2642" s="5"/>
      <c r="AD2642" s="5">
        <v>0</v>
      </c>
      <c r="AE2642" s="5">
        <f t="shared" si="260"/>
        <v>0</v>
      </c>
      <c r="AF2642" s="70">
        <v>0</v>
      </c>
      <c r="AG2642" s="17"/>
      <c r="AH2642" s="18"/>
      <c r="AI2642" s="47" t="s">
        <v>4336</v>
      </c>
      <c r="AJ2642" s="73" t="s">
        <v>4337</v>
      </c>
      <c r="AK2642" s="45"/>
      <c r="AL2642" s="17"/>
      <c r="AM2642" s="195" t="s">
        <v>5043</v>
      </c>
      <c r="AN2642" s="19"/>
      <c r="AO2642" s="19"/>
      <c r="AP2642" s="19"/>
      <c r="AQ2642" s="19"/>
      <c r="AR2642" s="19"/>
      <c r="AS2642" s="19"/>
      <c r="AT2642" s="19"/>
      <c r="AU2642" s="19"/>
      <c r="AV2642" s="19"/>
      <c r="AW2642" s="19"/>
      <c r="AX2642" s="19"/>
      <c r="AY2642" s="19"/>
      <c r="AZ2642" s="19"/>
      <c r="BA2642" s="19"/>
      <c r="BB2642" s="19"/>
      <c r="BC2642" s="19"/>
      <c r="BD2642" s="19"/>
      <c r="BE2642" s="19"/>
      <c r="BF2642" s="19"/>
      <c r="BG2642" s="19"/>
      <c r="BH2642" s="19"/>
      <c r="BI2642" s="19"/>
      <c r="BJ2642" s="19"/>
      <c r="BK2642" s="19"/>
      <c r="BL2642" s="19"/>
      <c r="BM2642" s="19"/>
      <c r="BN2642" s="19"/>
      <c r="BO2642" s="19"/>
      <c r="BP2642" s="19"/>
      <c r="BQ2642" s="19"/>
      <c r="BR2642" s="19"/>
      <c r="BS2642" s="19"/>
      <c r="BT2642" s="19"/>
      <c r="BU2642" s="19"/>
      <c r="BV2642" s="19"/>
      <c r="BW2642" s="19"/>
      <c r="BX2642" s="19"/>
      <c r="BY2642" s="19"/>
      <c r="BZ2642" s="19"/>
      <c r="CA2642" s="19"/>
      <c r="CB2642" s="19"/>
      <c r="CC2642" s="19"/>
      <c r="CD2642" s="139"/>
      <c r="CE2642" s="138"/>
      <c r="CF2642" s="139"/>
      <c r="CG2642" s="138"/>
      <c r="CH2642" s="139"/>
      <c r="CI2642" s="138"/>
      <c r="CJ2642" s="72"/>
      <c r="CK2642" s="139"/>
      <c r="CL2642" s="71"/>
      <c r="CM2642" s="139"/>
      <c r="CN2642" s="138"/>
      <c r="CO2642" s="138"/>
      <c r="CP2642" s="138"/>
      <c r="CQ2642" s="139"/>
      <c r="CR2642" s="138"/>
      <c r="CS2642" s="45"/>
      <c r="CT2642" s="138"/>
      <c r="CU2642" s="45"/>
      <c r="CV2642" s="99">
        <f t="shared" si="261"/>
        <v>0</v>
      </c>
      <c r="CW2642" s="139"/>
      <c r="CX2642" s="138"/>
      <c r="CY2642" s="138"/>
      <c r="CZ2642" s="138"/>
      <c r="DA2642" s="139"/>
      <c r="DB2642" s="138"/>
      <c r="DC2642" s="45"/>
      <c r="DD2642" s="138"/>
      <c r="DE2642" s="45"/>
      <c r="DF2642" s="46"/>
    </row>
    <row r="2643" spans="1:110" s="42" customFormat="1" ht="48" x14ac:dyDescent="0.2">
      <c r="A2643" s="89">
        <v>40864</v>
      </c>
      <c r="B2643" s="151" t="s">
        <v>4349</v>
      </c>
      <c r="C2643" s="90" t="s">
        <v>4349</v>
      </c>
      <c r="D2643" s="90" t="s">
        <v>4264</v>
      </c>
      <c r="E2643" s="90" t="str">
        <f>VLOOKUP(B2643&amp;C2643,Divipola!$C$2:$F$1138,4,FALSE)</f>
        <v>00000</v>
      </c>
      <c r="F2643" s="4"/>
      <c r="G2643" s="208"/>
      <c r="H2643" s="208"/>
      <c r="I2643" s="208"/>
      <c r="J2643" s="208"/>
      <c r="K2643" s="208"/>
      <c r="L2643" s="208"/>
      <c r="M2643" s="208"/>
      <c r="N2643" s="208"/>
      <c r="O2643" s="208"/>
      <c r="P2643" s="208"/>
      <c r="Q2643" s="208"/>
      <c r="R2643" s="208"/>
      <c r="S2643" s="208"/>
      <c r="T2643" s="208"/>
      <c r="U2643" s="208"/>
      <c r="V2643" s="208"/>
      <c r="W2643" s="19"/>
      <c r="X2643" s="17"/>
      <c r="Y2643" s="5">
        <f t="shared" si="256"/>
        <v>0</v>
      </c>
      <c r="Z2643" s="5">
        <f t="shared" si="257"/>
        <v>0</v>
      </c>
      <c r="AA2643" s="5">
        <f t="shared" si="258"/>
        <v>0</v>
      </c>
      <c r="AB2643" s="5">
        <f t="shared" si="259"/>
        <v>0</v>
      </c>
      <c r="AC2643" s="5">
        <f>40*269120+40*197200</f>
        <v>18652800</v>
      </c>
      <c r="AD2643" s="5">
        <v>0</v>
      </c>
      <c r="AE2643" s="5">
        <f t="shared" si="260"/>
        <v>18652800</v>
      </c>
      <c r="AF2643" s="70">
        <v>0</v>
      </c>
      <c r="AG2643" s="17"/>
      <c r="AH2643" s="18"/>
      <c r="AI2643" s="47" t="s">
        <v>4346</v>
      </c>
      <c r="AJ2643" s="73" t="s">
        <v>4347</v>
      </c>
      <c r="AK2643" s="45"/>
      <c r="AL2643" s="17"/>
      <c r="AM2643" s="154" t="s">
        <v>5586</v>
      </c>
      <c r="AN2643" s="19"/>
      <c r="AO2643" s="19"/>
      <c r="AP2643" s="19"/>
      <c r="AQ2643" s="19"/>
      <c r="AR2643" s="19"/>
      <c r="AS2643" s="19"/>
      <c r="AT2643" s="19"/>
      <c r="AU2643" s="19"/>
      <c r="AV2643" s="19"/>
      <c r="AW2643" s="19"/>
      <c r="AX2643" s="19"/>
      <c r="AY2643" s="19"/>
      <c r="AZ2643" s="19"/>
      <c r="BA2643" s="19"/>
      <c r="BB2643" s="19"/>
      <c r="BC2643" s="19"/>
      <c r="BD2643" s="19"/>
      <c r="BE2643" s="19"/>
      <c r="BF2643" s="19"/>
      <c r="BG2643" s="19"/>
      <c r="BH2643" s="19"/>
      <c r="BI2643" s="19"/>
      <c r="BJ2643" s="19"/>
      <c r="BK2643" s="19"/>
      <c r="BL2643" s="19"/>
      <c r="BM2643" s="19"/>
      <c r="BN2643" s="19"/>
      <c r="BO2643" s="19"/>
      <c r="BP2643" s="19"/>
      <c r="BQ2643" s="19"/>
      <c r="BR2643" s="19"/>
      <c r="BS2643" s="19"/>
      <c r="BT2643" s="19"/>
      <c r="BU2643" s="19"/>
      <c r="BV2643" s="19"/>
      <c r="BW2643" s="19"/>
      <c r="BX2643" s="19"/>
      <c r="BY2643" s="19"/>
      <c r="BZ2643" s="19"/>
      <c r="CA2643" s="19"/>
      <c r="CB2643" s="19"/>
      <c r="CC2643" s="19"/>
      <c r="CD2643" s="139"/>
      <c r="CE2643" s="138"/>
      <c r="CF2643" s="139"/>
      <c r="CG2643" s="138"/>
      <c r="CH2643" s="139"/>
      <c r="CI2643" s="138"/>
      <c r="CJ2643" s="72"/>
      <c r="CK2643" s="139"/>
      <c r="CL2643" s="71"/>
      <c r="CM2643" s="139"/>
      <c r="CN2643" s="138"/>
      <c r="CO2643" s="138"/>
      <c r="CP2643" s="138"/>
      <c r="CQ2643" s="139"/>
      <c r="CR2643" s="138"/>
      <c r="CS2643" s="45"/>
      <c r="CT2643" s="138"/>
      <c r="CU2643" s="45"/>
      <c r="CV2643" s="99">
        <f t="shared" si="261"/>
        <v>0</v>
      </c>
      <c r="CW2643" s="139"/>
      <c r="CX2643" s="138"/>
      <c r="CY2643" s="138"/>
      <c r="CZ2643" s="138"/>
      <c r="DA2643" s="139"/>
      <c r="DB2643" s="138"/>
      <c r="DC2643" s="45"/>
      <c r="DD2643" s="138"/>
      <c r="DE2643" s="45"/>
      <c r="DF2643" s="46"/>
    </row>
    <row r="2644" spans="1:110" s="42" customFormat="1" ht="72" x14ac:dyDescent="0.2">
      <c r="A2644" s="89">
        <v>40864</v>
      </c>
      <c r="B2644" s="151" t="s">
        <v>4221</v>
      </c>
      <c r="C2644" s="90" t="s">
        <v>4299</v>
      </c>
      <c r="D2644" s="90" t="s">
        <v>2362</v>
      </c>
      <c r="E2644" s="90" t="str">
        <f>VLOOKUP(B2644&amp;C2644,Divipola!$C$2:$F$1138,4,FALSE)</f>
        <v>54001</v>
      </c>
      <c r="F2644" s="4"/>
      <c r="G2644" s="101"/>
      <c r="H2644" s="101"/>
      <c r="I2644" s="101"/>
      <c r="J2644" s="101"/>
      <c r="K2644" s="101"/>
      <c r="L2644" s="101"/>
      <c r="M2644" s="101"/>
      <c r="N2644" s="101">
        <v>3</v>
      </c>
      <c r="O2644" s="101"/>
      <c r="P2644" s="101"/>
      <c r="Q2644" s="101"/>
      <c r="R2644" s="101"/>
      <c r="S2644" s="101"/>
      <c r="T2644" s="101"/>
      <c r="U2644" s="208"/>
      <c r="V2644" s="208"/>
      <c r="W2644" s="19"/>
      <c r="X2644" s="17"/>
      <c r="Y2644" s="5">
        <f t="shared" si="256"/>
        <v>0</v>
      </c>
      <c r="Z2644" s="5">
        <f t="shared" si="257"/>
        <v>0</v>
      </c>
      <c r="AA2644" s="5">
        <f t="shared" si="258"/>
        <v>0</v>
      </c>
      <c r="AB2644" s="5">
        <f t="shared" si="259"/>
        <v>0</v>
      </c>
      <c r="AC2644" s="5"/>
      <c r="AD2644" s="5">
        <v>0</v>
      </c>
      <c r="AE2644" s="5">
        <f t="shared" si="260"/>
        <v>0</v>
      </c>
      <c r="AF2644" s="70">
        <v>0</v>
      </c>
      <c r="AG2644" s="17"/>
      <c r="AH2644" s="18"/>
      <c r="AI2644" s="47" t="s">
        <v>4346</v>
      </c>
      <c r="AJ2644" s="73" t="s">
        <v>5262</v>
      </c>
      <c r="AK2644" s="45"/>
      <c r="AL2644" s="17" t="s">
        <v>5263</v>
      </c>
      <c r="AM2644" s="121" t="s">
        <v>5025</v>
      </c>
      <c r="AN2644" s="19"/>
      <c r="AO2644" s="19"/>
      <c r="AP2644" s="19"/>
      <c r="AQ2644" s="19"/>
      <c r="AR2644" s="19"/>
      <c r="AS2644" s="19"/>
      <c r="AT2644" s="19"/>
      <c r="AU2644" s="19"/>
      <c r="AV2644" s="19"/>
      <c r="AW2644" s="19"/>
      <c r="AX2644" s="19"/>
      <c r="AY2644" s="19"/>
      <c r="AZ2644" s="19"/>
      <c r="BA2644" s="19"/>
      <c r="BB2644" s="19"/>
      <c r="BC2644" s="19"/>
      <c r="BD2644" s="19"/>
      <c r="BE2644" s="19"/>
      <c r="BF2644" s="19"/>
      <c r="BG2644" s="19"/>
      <c r="BH2644" s="19"/>
      <c r="BI2644" s="19"/>
      <c r="BJ2644" s="19"/>
      <c r="BK2644" s="19"/>
      <c r="BL2644" s="19"/>
      <c r="BM2644" s="19"/>
      <c r="BN2644" s="19"/>
      <c r="BO2644" s="19"/>
      <c r="BP2644" s="19"/>
      <c r="BQ2644" s="19"/>
      <c r="BR2644" s="19"/>
      <c r="BS2644" s="19"/>
      <c r="BT2644" s="19"/>
      <c r="BU2644" s="19"/>
      <c r="BV2644" s="19"/>
      <c r="BW2644" s="19"/>
      <c r="BX2644" s="19"/>
      <c r="BY2644" s="19"/>
      <c r="BZ2644" s="19"/>
      <c r="CA2644" s="19"/>
      <c r="CB2644" s="19"/>
      <c r="CC2644" s="19"/>
      <c r="CD2644" s="139"/>
      <c r="CE2644" s="138"/>
      <c r="CF2644" s="139"/>
      <c r="CG2644" s="138"/>
      <c r="CH2644" s="139"/>
      <c r="CI2644" s="138"/>
      <c r="CJ2644" s="72"/>
      <c r="CK2644" s="139"/>
      <c r="CL2644" s="71"/>
      <c r="CM2644" s="139"/>
      <c r="CN2644" s="138"/>
      <c r="CO2644" s="138"/>
      <c r="CP2644" s="138"/>
      <c r="CQ2644" s="139"/>
      <c r="CR2644" s="138"/>
      <c r="CS2644" s="45"/>
      <c r="CT2644" s="138"/>
      <c r="CU2644" s="45"/>
      <c r="CV2644" s="99">
        <f t="shared" si="261"/>
        <v>0</v>
      </c>
      <c r="CW2644" s="139"/>
      <c r="CX2644" s="138"/>
      <c r="CY2644" s="138"/>
      <c r="CZ2644" s="138"/>
      <c r="DA2644" s="139"/>
      <c r="DB2644" s="138"/>
      <c r="DC2644" s="45"/>
      <c r="DD2644" s="138"/>
      <c r="DE2644" s="45"/>
      <c r="DF2644" s="46"/>
    </row>
    <row r="2645" spans="1:110" s="42" customFormat="1" ht="36" x14ac:dyDescent="0.2">
      <c r="A2645" s="89">
        <v>40864</v>
      </c>
      <c r="B2645" s="151" t="s">
        <v>4350</v>
      </c>
      <c r="C2645" s="90" t="s">
        <v>3535</v>
      </c>
      <c r="D2645" s="90" t="s">
        <v>4298</v>
      </c>
      <c r="E2645" s="90" t="str">
        <f>VLOOKUP(B2645&amp;C2645,Divipola!$C$2:$F$1138,4,FALSE)</f>
        <v>63130</v>
      </c>
      <c r="F2645" s="4"/>
      <c r="G2645" s="101"/>
      <c r="H2645" s="101"/>
      <c r="I2645" s="101"/>
      <c r="J2645" s="101">
        <v>10</v>
      </c>
      <c r="K2645" s="101">
        <v>2</v>
      </c>
      <c r="L2645" s="101">
        <v>1</v>
      </c>
      <c r="M2645" s="101">
        <v>1</v>
      </c>
      <c r="N2645" s="101"/>
      <c r="O2645" s="101"/>
      <c r="P2645" s="101"/>
      <c r="Q2645" s="101"/>
      <c r="R2645" s="101"/>
      <c r="S2645" s="101"/>
      <c r="T2645" s="101"/>
      <c r="U2645" s="208"/>
      <c r="V2645" s="208"/>
      <c r="W2645" s="19"/>
      <c r="X2645" s="17"/>
      <c r="Y2645" s="5">
        <f t="shared" si="256"/>
        <v>0</v>
      </c>
      <c r="Z2645" s="5">
        <f t="shared" si="257"/>
        <v>0</v>
      </c>
      <c r="AA2645" s="5">
        <f t="shared" si="258"/>
        <v>0</v>
      </c>
      <c r="AB2645" s="5">
        <f t="shared" si="259"/>
        <v>0</v>
      </c>
      <c r="AC2645" s="5"/>
      <c r="AD2645" s="5">
        <v>0</v>
      </c>
      <c r="AE2645" s="5">
        <f t="shared" si="260"/>
        <v>0</v>
      </c>
      <c r="AF2645" s="70">
        <v>0</v>
      </c>
      <c r="AG2645" s="17"/>
      <c r="AH2645" s="18"/>
      <c r="AI2645" s="47" t="s">
        <v>4346</v>
      </c>
      <c r="AJ2645" s="73" t="s">
        <v>4347</v>
      </c>
      <c r="AK2645" s="45"/>
      <c r="AL2645" s="17" t="s">
        <v>5051</v>
      </c>
      <c r="AM2645" s="121" t="s">
        <v>5022</v>
      </c>
      <c r="AN2645" s="19"/>
      <c r="AO2645" s="19"/>
      <c r="AP2645" s="19"/>
      <c r="AQ2645" s="19"/>
      <c r="AR2645" s="19"/>
      <c r="AS2645" s="19"/>
      <c r="AT2645" s="19"/>
      <c r="AU2645" s="19"/>
      <c r="AV2645" s="19"/>
      <c r="AW2645" s="19"/>
      <c r="AX2645" s="19"/>
      <c r="AY2645" s="19"/>
      <c r="AZ2645" s="19"/>
      <c r="BA2645" s="19"/>
      <c r="BB2645" s="19"/>
      <c r="BC2645" s="19"/>
      <c r="BD2645" s="19"/>
      <c r="BE2645" s="19"/>
      <c r="BF2645" s="19"/>
      <c r="BG2645" s="19"/>
      <c r="BH2645" s="19"/>
      <c r="BI2645" s="19"/>
      <c r="BJ2645" s="19"/>
      <c r="BK2645" s="19"/>
      <c r="BL2645" s="19"/>
      <c r="BM2645" s="19"/>
      <c r="BN2645" s="19"/>
      <c r="BO2645" s="19"/>
      <c r="BP2645" s="19"/>
      <c r="BQ2645" s="19"/>
      <c r="BR2645" s="19"/>
      <c r="BS2645" s="19"/>
      <c r="BT2645" s="19"/>
      <c r="BU2645" s="19"/>
      <c r="BV2645" s="19"/>
      <c r="BW2645" s="19"/>
      <c r="BX2645" s="19"/>
      <c r="BY2645" s="19"/>
      <c r="BZ2645" s="19"/>
      <c r="CA2645" s="19"/>
      <c r="CB2645" s="19"/>
      <c r="CC2645" s="19"/>
      <c r="CD2645" s="139"/>
      <c r="CE2645" s="138"/>
      <c r="CF2645" s="139"/>
      <c r="CG2645" s="138"/>
      <c r="CH2645" s="139"/>
      <c r="CI2645" s="138"/>
      <c r="CJ2645" s="72"/>
      <c r="CK2645" s="139"/>
      <c r="CL2645" s="71"/>
      <c r="CM2645" s="139"/>
      <c r="CN2645" s="138"/>
      <c r="CO2645" s="138"/>
      <c r="CP2645" s="138"/>
      <c r="CQ2645" s="139"/>
      <c r="CR2645" s="138"/>
      <c r="CS2645" s="45"/>
      <c r="CT2645" s="138"/>
      <c r="CU2645" s="45"/>
      <c r="CV2645" s="99">
        <f t="shared" si="261"/>
        <v>0</v>
      </c>
      <c r="CW2645" s="139"/>
      <c r="CX2645" s="138"/>
      <c r="CY2645" s="138"/>
      <c r="CZ2645" s="138"/>
      <c r="DA2645" s="139"/>
      <c r="DB2645" s="138"/>
      <c r="DC2645" s="45"/>
      <c r="DD2645" s="138"/>
      <c r="DE2645" s="45"/>
      <c r="DF2645" s="46"/>
    </row>
    <row r="2646" spans="1:110" s="42" customFormat="1" ht="156" x14ac:dyDescent="0.2">
      <c r="A2646" s="89">
        <v>40864</v>
      </c>
      <c r="B2646" s="151" t="s">
        <v>4350</v>
      </c>
      <c r="C2646" s="90" t="s">
        <v>3535</v>
      </c>
      <c r="D2646" s="90" t="s">
        <v>2362</v>
      </c>
      <c r="E2646" s="90" t="str">
        <f>VLOOKUP(B2646&amp;C2646,Divipola!$C$2:$F$1138,4,FALSE)</f>
        <v>63130</v>
      </c>
      <c r="F2646" s="4"/>
      <c r="G2646" s="101"/>
      <c r="H2646" s="101">
        <v>4</v>
      </c>
      <c r="I2646" s="101">
        <v>1</v>
      </c>
      <c r="J2646" s="101"/>
      <c r="K2646" s="101"/>
      <c r="L2646" s="101"/>
      <c r="M2646" s="101"/>
      <c r="N2646" s="101">
        <v>1</v>
      </c>
      <c r="O2646" s="101"/>
      <c r="P2646" s="101"/>
      <c r="Q2646" s="101"/>
      <c r="R2646" s="101"/>
      <c r="S2646" s="101"/>
      <c r="T2646" s="101"/>
      <c r="U2646" s="208"/>
      <c r="V2646" s="208"/>
      <c r="W2646" s="19"/>
      <c r="X2646" s="17"/>
      <c r="Y2646" s="5">
        <f t="shared" si="256"/>
        <v>0</v>
      </c>
      <c r="Z2646" s="5">
        <f t="shared" si="257"/>
        <v>0</v>
      </c>
      <c r="AA2646" s="5">
        <f t="shared" si="258"/>
        <v>0</v>
      </c>
      <c r="AB2646" s="5">
        <f t="shared" si="259"/>
        <v>0</v>
      </c>
      <c r="AC2646" s="5"/>
      <c r="AD2646" s="5">
        <v>0</v>
      </c>
      <c r="AE2646" s="5">
        <f t="shared" si="260"/>
        <v>0</v>
      </c>
      <c r="AF2646" s="70">
        <v>0</v>
      </c>
      <c r="AG2646" s="17"/>
      <c r="AH2646" s="18"/>
      <c r="AI2646" s="47" t="s">
        <v>4346</v>
      </c>
      <c r="AJ2646" s="73" t="s">
        <v>4347</v>
      </c>
      <c r="AK2646" s="45"/>
      <c r="AL2646" s="17" t="s">
        <v>5051</v>
      </c>
      <c r="AM2646" s="121" t="s">
        <v>5023</v>
      </c>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39"/>
      <c r="CE2646" s="138"/>
      <c r="CF2646" s="139"/>
      <c r="CG2646" s="138"/>
      <c r="CH2646" s="139"/>
      <c r="CI2646" s="138"/>
      <c r="CJ2646" s="72"/>
      <c r="CK2646" s="139"/>
      <c r="CL2646" s="71"/>
      <c r="CM2646" s="139"/>
      <c r="CN2646" s="138"/>
      <c r="CO2646" s="138"/>
      <c r="CP2646" s="138"/>
      <c r="CQ2646" s="139"/>
      <c r="CR2646" s="138"/>
      <c r="CS2646" s="45"/>
      <c r="CT2646" s="138"/>
      <c r="CU2646" s="45"/>
      <c r="CV2646" s="99">
        <f t="shared" si="261"/>
        <v>0</v>
      </c>
      <c r="CW2646" s="139"/>
      <c r="CX2646" s="138"/>
      <c r="CY2646" s="138"/>
      <c r="CZ2646" s="138"/>
      <c r="DA2646" s="139"/>
      <c r="DB2646" s="138"/>
      <c r="DC2646" s="45"/>
      <c r="DD2646" s="138"/>
      <c r="DE2646" s="45"/>
      <c r="DF2646" s="46"/>
    </row>
    <row r="2647" spans="1:110" s="42" customFormat="1" ht="24" x14ac:dyDescent="0.2">
      <c r="A2647" s="89">
        <v>40864</v>
      </c>
      <c r="B2647" s="151" t="s">
        <v>2226</v>
      </c>
      <c r="C2647" s="90" t="s">
        <v>3380</v>
      </c>
      <c r="D2647" s="90" t="s">
        <v>4264</v>
      </c>
      <c r="E2647" s="90" t="str">
        <f>VLOOKUP(B2647&amp;C2647,Divipola!$C$2:$F$1138,4,FALSE)</f>
        <v>68575</v>
      </c>
      <c r="F2647" s="4"/>
      <c r="G2647" s="101"/>
      <c r="H2647" s="101"/>
      <c r="I2647" s="101"/>
      <c r="J2647" s="101">
        <v>33</v>
      </c>
      <c r="K2647" s="101">
        <v>8</v>
      </c>
      <c r="L2647" s="101"/>
      <c r="M2647" s="101">
        <v>8</v>
      </c>
      <c r="N2647" s="101"/>
      <c r="O2647" s="101"/>
      <c r="P2647" s="101"/>
      <c r="Q2647" s="101"/>
      <c r="R2647" s="101"/>
      <c r="S2647" s="101"/>
      <c r="T2647" s="101"/>
      <c r="U2647" s="101"/>
      <c r="V2647" s="101"/>
      <c r="W2647" s="19"/>
      <c r="X2647" s="17"/>
      <c r="Y2647" s="5">
        <f t="shared" si="256"/>
        <v>0</v>
      </c>
      <c r="Z2647" s="5">
        <f t="shared" si="257"/>
        <v>0</v>
      </c>
      <c r="AA2647" s="5">
        <f t="shared" si="258"/>
        <v>0</v>
      </c>
      <c r="AB2647" s="5">
        <f t="shared" si="259"/>
        <v>0</v>
      </c>
      <c r="AC2647" s="5"/>
      <c r="AD2647" s="5">
        <v>0</v>
      </c>
      <c r="AE2647" s="5">
        <f t="shared" si="260"/>
        <v>0</v>
      </c>
      <c r="AF2647" s="70">
        <v>0</v>
      </c>
      <c r="AG2647" s="17"/>
      <c r="AH2647" s="18"/>
      <c r="AI2647" s="47" t="s">
        <v>4346</v>
      </c>
      <c r="AJ2647" s="73" t="s">
        <v>4347</v>
      </c>
      <c r="AK2647" s="45"/>
      <c r="AL2647" s="17" t="s">
        <v>5534</v>
      </c>
      <c r="AM2647" s="121" t="s">
        <v>5031</v>
      </c>
      <c r="AN2647" s="19"/>
      <c r="AO2647" s="19"/>
      <c r="AP2647" s="19"/>
      <c r="AQ2647" s="19"/>
      <c r="AR2647" s="19"/>
      <c r="AS2647" s="19"/>
      <c r="AT2647" s="19"/>
      <c r="AU2647" s="19"/>
      <c r="AV2647" s="19"/>
      <c r="AW2647" s="19"/>
      <c r="AX2647" s="19"/>
      <c r="AY2647" s="19"/>
      <c r="AZ2647" s="19"/>
      <c r="BA2647" s="19"/>
      <c r="BB2647" s="19"/>
      <c r="BC2647" s="19"/>
      <c r="BD2647" s="19"/>
      <c r="BE2647" s="19"/>
      <c r="BF2647" s="19"/>
      <c r="BG2647" s="19"/>
      <c r="BH2647" s="19"/>
      <c r="BI2647" s="19"/>
      <c r="BJ2647" s="19"/>
      <c r="BK2647" s="19"/>
      <c r="BL2647" s="19"/>
      <c r="BM2647" s="19"/>
      <c r="BN2647" s="19"/>
      <c r="BO2647" s="19"/>
      <c r="BP2647" s="19"/>
      <c r="BQ2647" s="19"/>
      <c r="BR2647" s="19"/>
      <c r="BS2647" s="19"/>
      <c r="BT2647" s="19"/>
      <c r="BU2647" s="19"/>
      <c r="BV2647" s="19"/>
      <c r="BW2647" s="19"/>
      <c r="BX2647" s="19"/>
      <c r="BY2647" s="19"/>
      <c r="BZ2647" s="19"/>
      <c r="CA2647" s="19"/>
      <c r="CB2647" s="19"/>
      <c r="CC2647" s="19"/>
      <c r="CD2647" s="139"/>
      <c r="CE2647" s="138"/>
      <c r="CF2647" s="139"/>
      <c r="CG2647" s="138"/>
      <c r="CH2647" s="139"/>
      <c r="CI2647" s="138"/>
      <c r="CJ2647" s="72"/>
      <c r="CK2647" s="139"/>
      <c r="CL2647" s="71"/>
      <c r="CM2647" s="139"/>
      <c r="CN2647" s="138"/>
      <c r="CO2647" s="138"/>
      <c r="CP2647" s="138"/>
      <c r="CQ2647" s="139"/>
      <c r="CR2647" s="138"/>
      <c r="CS2647" s="45"/>
      <c r="CT2647" s="138"/>
      <c r="CU2647" s="45"/>
      <c r="CV2647" s="99">
        <f t="shared" si="261"/>
        <v>0</v>
      </c>
      <c r="CW2647" s="139"/>
      <c r="CX2647" s="138"/>
      <c r="CY2647" s="138"/>
      <c r="CZ2647" s="138"/>
      <c r="DA2647" s="139"/>
      <c r="DB2647" s="138"/>
      <c r="DC2647" s="45"/>
      <c r="DD2647" s="138"/>
      <c r="DE2647" s="45"/>
      <c r="DF2647" s="46"/>
    </row>
    <row r="2648" spans="1:110" s="42" customFormat="1" ht="108" x14ac:dyDescent="0.2">
      <c r="A2648" s="89">
        <v>40864</v>
      </c>
      <c r="B2648" s="151" t="s">
        <v>3316</v>
      </c>
      <c r="C2648" s="90" t="s">
        <v>805</v>
      </c>
      <c r="D2648" s="90" t="s">
        <v>2362</v>
      </c>
      <c r="E2648" s="90" t="str">
        <f>VLOOKUP(B2648&amp;C2648,Divipola!$C$2:$F$1138,4,FALSE)</f>
        <v>73347</v>
      </c>
      <c r="F2648" s="4"/>
      <c r="G2648" s="101"/>
      <c r="H2648" s="101"/>
      <c r="I2648" s="101"/>
      <c r="J2648" s="101"/>
      <c r="K2648" s="101"/>
      <c r="L2648" s="101"/>
      <c r="M2648" s="101"/>
      <c r="N2648" s="101">
        <v>1</v>
      </c>
      <c r="O2648" s="101"/>
      <c r="P2648" s="101"/>
      <c r="Q2648" s="101"/>
      <c r="R2648" s="101"/>
      <c r="S2648" s="101"/>
      <c r="T2648" s="101"/>
      <c r="U2648" s="101"/>
      <c r="V2648" s="101"/>
      <c r="W2648" s="19"/>
      <c r="X2648" s="17"/>
      <c r="Y2648" s="5">
        <f t="shared" si="256"/>
        <v>0</v>
      </c>
      <c r="Z2648" s="5">
        <f t="shared" si="257"/>
        <v>0</v>
      </c>
      <c r="AA2648" s="5">
        <f t="shared" si="258"/>
        <v>0</v>
      </c>
      <c r="AB2648" s="5">
        <f t="shared" si="259"/>
        <v>0</v>
      </c>
      <c r="AC2648" s="5"/>
      <c r="AD2648" s="5">
        <v>0</v>
      </c>
      <c r="AE2648" s="5">
        <f t="shared" si="260"/>
        <v>0</v>
      </c>
      <c r="AF2648" s="70">
        <v>0</v>
      </c>
      <c r="AG2648" s="17"/>
      <c r="AH2648" s="18"/>
      <c r="AI2648" s="47" t="s">
        <v>4346</v>
      </c>
      <c r="AJ2648" s="73" t="s">
        <v>4347</v>
      </c>
      <c r="AK2648" s="45"/>
      <c r="AL2648" s="17" t="s">
        <v>5534</v>
      </c>
      <c r="AM2648" s="121" t="s">
        <v>5014</v>
      </c>
      <c r="AN2648" s="19"/>
      <c r="AO2648" s="19"/>
      <c r="AP2648" s="19"/>
      <c r="AQ2648" s="19"/>
      <c r="AR2648" s="19"/>
      <c r="AS2648" s="19"/>
      <c r="AT2648" s="19"/>
      <c r="AU2648" s="19"/>
      <c r="AV2648" s="19"/>
      <c r="AW2648" s="19"/>
      <c r="AX2648" s="19"/>
      <c r="AY2648" s="19"/>
      <c r="AZ2648" s="19"/>
      <c r="BA2648" s="19"/>
      <c r="BB2648" s="19"/>
      <c r="BC2648" s="19"/>
      <c r="BD2648" s="19"/>
      <c r="BE2648" s="19"/>
      <c r="BF2648" s="19"/>
      <c r="BG2648" s="19"/>
      <c r="BH2648" s="19"/>
      <c r="BI2648" s="19"/>
      <c r="BJ2648" s="19"/>
      <c r="BK2648" s="19"/>
      <c r="BL2648" s="19"/>
      <c r="BM2648" s="19"/>
      <c r="BN2648" s="19"/>
      <c r="BO2648" s="19"/>
      <c r="BP2648" s="19"/>
      <c r="BQ2648" s="19"/>
      <c r="BR2648" s="19"/>
      <c r="BS2648" s="19"/>
      <c r="BT2648" s="19"/>
      <c r="BU2648" s="19"/>
      <c r="BV2648" s="19"/>
      <c r="BW2648" s="19"/>
      <c r="BX2648" s="19"/>
      <c r="BY2648" s="19"/>
      <c r="BZ2648" s="19"/>
      <c r="CA2648" s="19"/>
      <c r="CB2648" s="19"/>
      <c r="CC2648" s="19"/>
      <c r="CD2648" s="139"/>
      <c r="CE2648" s="138"/>
      <c r="CF2648" s="139"/>
      <c r="CG2648" s="138"/>
      <c r="CH2648" s="139"/>
      <c r="CI2648" s="138"/>
      <c r="CJ2648" s="72"/>
      <c r="CK2648" s="139"/>
      <c r="CL2648" s="71"/>
      <c r="CM2648" s="139"/>
      <c r="CN2648" s="138"/>
      <c r="CO2648" s="138"/>
      <c r="CP2648" s="138"/>
      <c r="CQ2648" s="139"/>
      <c r="CR2648" s="138"/>
      <c r="CS2648" s="45"/>
      <c r="CT2648" s="138"/>
      <c r="CU2648" s="45"/>
      <c r="CV2648" s="99">
        <f t="shared" si="261"/>
        <v>0</v>
      </c>
      <c r="CW2648" s="139"/>
      <c r="CX2648" s="138"/>
      <c r="CY2648" s="138"/>
      <c r="CZ2648" s="138"/>
      <c r="DA2648" s="139"/>
      <c r="DB2648" s="138"/>
      <c r="DC2648" s="45"/>
      <c r="DD2648" s="138"/>
      <c r="DE2648" s="45"/>
      <c r="DF2648" s="46"/>
    </row>
    <row r="2649" spans="1:110" s="42" customFormat="1" ht="36" x14ac:dyDescent="0.2">
      <c r="A2649" s="89">
        <v>40864</v>
      </c>
      <c r="B2649" s="151" t="s">
        <v>4261</v>
      </c>
      <c r="C2649" s="90" t="s">
        <v>2870</v>
      </c>
      <c r="D2649" s="90" t="s">
        <v>2362</v>
      </c>
      <c r="E2649" s="90" t="str">
        <f>VLOOKUP(B2649&amp;C2649,Divipola!$C$2:$F$1138,4,FALSE)</f>
        <v>15580</v>
      </c>
      <c r="F2649" s="4"/>
      <c r="G2649" s="101"/>
      <c r="H2649" s="101"/>
      <c r="I2649" s="101"/>
      <c r="J2649" s="101"/>
      <c r="K2649" s="101"/>
      <c r="L2649" s="101"/>
      <c r="M2649" s="101"/>
      <c r="N2649" s="101">
        <v>2</v>
      </c>
      <c r="O2649" s="101"/>
      <c r="P2649" s="101"/>
      <c r="Q2649" s="101"/>
      <c r="R2649" s="101"/>
      <c r="S2649" s="101"/>
      <c r="T2649" s="101"/>
      <c r="U2649" s="101"/>
      <c r="V2649" s="101"/>
      <c r="W2649" s="19"/>
      <c r="X2649" s="17"/>
      <c r="Y2649" s="5">
        <f t="shared" si="256"/>
        <v>0</v>
      </c>
      <c r="Z2649" s="5">
        <f t="shared" si="257"/>
        <v>0</v>
      </c>
      <c r="AA2649" s="5">
        <f t="shared" si="258"/>
        <v>0</v>
      </c>
      <c r="AB2649" s="5">
        <f t="shared" si="259"/>
        <v>0</v>
      </c>
      <c r="AC2649" s="5"/>
      <c r="AD2649" s="5">
        <v>0</v>
      </c>
      <c r="AE2649" s="5">
        <f t="shared" si="260"/>
        <v>0</v>
      </c>
      <c r="AF2649" s="70">
        <v>0</v>
      </c>
      <c r="AG2649" s="17"/>
      <c r="AH2649" s="18"/>
      <c r="AI2649" s="47" t="s">
        <v>4346</v>
      </c>
      <c r="AJ2649" s="73" t="s">
        <v>4347</v>
      </c>
      <c r="AK2649" s="45"/>
      <c r="AL2649" s="17" t="s">
        <v>5531</v>
      </c>
      <c r="AM2649" s="121" t="s">
        <v>5200</v>
      </c>
      <c r="AN2649" s="19"/>
      <c r="AO2649" s="19"/>
      <c r="AP2649" s="19"/>
      <c r="AQ2649" s="19"/>
      <c r="AR2649" s="19"/>
      <c r="AS2649" s="19"/>
      <c r="AT2649" s="19"/>
      <c r="AU2649" s="19"/>
      <c r="AV2649" s="19"/>
      <c r="AW2649" s="19"/>
      <c r="AX2649" s="19"/>
      <c r="AY2649" s="19"/>
      <c r="AZ2649" s="19"/>
      <c r="BA2649" s="19"/>
      <c r="BB2649" s="19"/>
      <c r="BC2649" s="19"/>
      <c r="BD2649" s="19"/>
      <c r="BE2649" s="19"/>
      <c r="BF2649" s="19"/>
      <c r="BG2649" s="19"/>
      <c r="BH2649" s="19"/>
      <c r="BI2649" s="19"/>
      <c r="BJ2649" s="19"/>
      <c r="BK2649" s="19"/>
      <c r="BL2649" s="19"/>
      <c r="BM2649" s="19"/>
      <c r="BN2649" s="19"/>
      <c r="BO2649" s="19"/>
      <c r="BP2649" s="19"/>
      <c r="BQ2649" s="19"/>
      <c r="BR2649" s="19"/>
      <c r="BS2649" s="19"/>
      <c r="BT2649" s="19"/>
      <c r="BU2649" s="19"/>
      <c r="BV2649" s="19"/>
      <c r="BW2649" s="19"/>
      <c r="BX2649" s="19"/>
      <c r="BY2649" s="19"/>
      <c r="BZ2649" s="19"/>
      <c r="CA2649" s="19"/>
      <c r="CB2649" s="19"/>
      <c r="CC2649" s="19"/>
      <c r="CD2649" s="139"/>
      <c r="CE2649" s="138"/>
      <c r="CF2649" s="139"/>
      <c r="CG2649" s="138"/>
      <c r="CH2649" s="139"/>
      <c r="CI2649" s="138"/>
      <c r="CJ2649" s="72"/>
      <c r="CK2649" s="139"/>
      <c r="CL2649" s="71"/>
      <c r="CM2649" s="139"/>
      <c r="CN2649" s="138"/>
      <c r="CO2649" s="138"/>
      <c r="CP2649" s="138"/>
      <c r="CQ2649" s="139"/>
      <c r="CR2649" s="138"/>
      <c r="CS2649" s="45"/>
      <c r="CT2649" s="138"/>
      <c r="CU2649" s="45"/>
      <c r="CV2649" s="99">
        <f t="shared" si="261"/>
        <v>0</v>
      </c>
      <c r="CW2649" s="139"/>
      <c r="CX2649" s="138"/>
      <c r="CY2649" s="138"/>
      <c r="CZ2649" s="138"/>
      <c r="DA2649" s="139"/>
      <c r="DB2649" s="138"/>
      <c r="DC2649" s="45"/>
      <c r="DD2649" s="138"/>
      <c r="DE2649" s="45"/>
      <c r="DF2649" s="46"/>
    </row>
    <row r="2650" spans="1:110" s="42" customFormat="1" ht="36" x14ac:dyDescent="0.2">
      <c r="A2650" s="89">
        <v>40864</v>
      </c>
      <c r="B2650" s="151" t="s">
        <v>4348</v>
      </c>
      <c r="C2650" s="90" t="s">
        <v>1957</v>
      </c>
      <c r="D2650" s="90" t="s">
        <v>2362</v>
      </c>
      <c r="E2650" s="90" t="str">
        <f>VLOOKUP(B2650&amp;C2650,Divipola!$C$2:$F$1138,4,FALSE)</f>
        <v>66572</v>
      </c>
      <c r="F2650" s="4"/>
      <c r="G2650" s="101"/>
      <c r="H2650" s="101"/>
      <c r="I2650" s="101"/>
      <c r="J2650" s="101"/>
      <c r="K2650" s="101"/>
      <c r="L2650" s="101"/>
      <c r="M2650" s="101"/>
      <c r="N2650" s="101">
        <v>1</v>
      </c>
      <c r="O2650" s="101"/>
      <c r="P2650" s="101"/>
      <c r="Q2650" s="101"/>
      <c r="R2650" s="101"/>
      <c r="S2650" s="101"/>
      <c r="T2650" s="101"/>
      <c r="U2650" s="101"/>
      <c r="V2650" s="101"/>
      <c r="W2650" s="19"/>
      <c r="X2650" s="17"/>
      <c r="Y2650" s="5">
        <f t="shared" si="256"/>
        <v>0</v>
      </c>
      <c r="Z2650" s="5">
        <f t="shared" si="257"/>
        <v>0</v>
      </c>
      <c r="AA2650" s="5">
        <f t="shared" si="258"/>
        <v>0</v>
      </c>
      <c r="AB2650" s="5">
        <f t="shared" si="259"/>
        <v>0</v>
      </c>
      <c r="AC2650" s="5"/>
      <c r="AD2650" s="5">
        <v>0</v>
      </c>
      <c r="AE2650" s="5">
        <f t="shared" si="260"/>
        <v>0</v>
      </c>
      <c r="AF2650" s="70">
        <v>0</v>
      </c>
      <c r="AG2650" s="17"/>
      <c r="AH2650" s="18"/>
      <c r="AI2650" s="47" t="s">
        <v>4346</v>
      </c>
      <c r="AJ2650" s="73" t="s">
        <v>4347</v>
      </c>
      <c r="AK2650" s="45"/>
      <c r="AL2650" s="17" t="s">
        <v>5534</v>
      </c>
      <c r="AM2650" s="121" t="s">
        <v>5364</v>
      </c>
      <c r="AN2650" s="19"/>
      <c r="AO2650" s="19"/>
      <c r="AP2650" s="19"/>
      <c r="AQ2650" s="19"/>
      <c r="AR2650" s="19"/>
      <c r="AS2650" s="19"/>
      <c r="AT2650" s="19"/>
      <c r="AU2650" s="19"/>
      <c r="AV2650" s="19"/>
      <c r="AW2650" s="19"/>
      <c r="AX2650" s="19"/>
      <c r="AY2650" s="19"/>
      <c r="AZ2650" s="19"/>
      <c r="BA2650" s="19"/>
      <c r="BB2650" s="19"/>
      <c r="BC2650" s="19"/>
      <c r="BD2650" s="19"/>
      <c r="BE2650" s="19"/>
      <c r="BF2650" s="19"/>
      <c r="BG2650" s="19"/>
      <c r="BH2650" s="19"/>
      <c r="BI2650" s="19"/>
      <c r="BJ2650" s="19"/>
      <c r="BK2650" s="19"/>
      <c r="BL2650" s="19"/>
      <c r="BM2650" s="19"/>
      <c r="BN2650" s="19"/>
      <c r="BO2650" s="19"/>
      <c r="BP2650" s="19"/>
      <c r="BQ2650" s="19"/>
      <c r="BR2650" s="19"/>
      <c r="BS2650" s="19"/>
      <c r="BT2650" s="19"/>
      <c r="BU2650" s="19"/>
      <c r="BV2650" s="19"/>
      <c r="BW2650" s="19"/>
      <c r="BX2650" s="19"/>
      <c r="BY2650" s="19"/>
      <c r="BZ2650" s="19"/>
      <c r="CA2650" s="19"/>
      <c r="CB2650" s="19"/>
      <c r="CC2650" s="19"/>
      <c r="CD2650" s="139"/>
      <c r="CE2650" s="138"/>
      <c r="CF2650" s="139"/>
      <c r="CG2650" s="138"/>
      <c r="CH2650" s="139"/>
      <c r="CI2650" s="138"/>
      <c r="CJ2650" s="72"/>
      <c r="CK2650" s="139"/>
      <c r="CL2650" s="71"/>
      <c r="CM2650" s="139"/>
      <c r="CN2650" s="138"/>
      <c r="CO2650" s="138"/>
      <c r="CP2650" s="138"/>
      <c r="CQ2650" s="139"/>
      <c r="CR2650" s="138"/>
      <c r="CS2650" s="45"/>
      <c r="CT2650" s="138"/>
      <c r="CU2650" s="45"/>
      <c r="CV2650" s="99">
        <f t="shared" si="261"/>
        <v>0</v>
      </c>
      <c r="CW2650" s="139"/>
      <c r="CX2650" s="138"/>
      <c r="CY2650" s="138"/>
      <c r="CZ2650" s="138"/>
      <c r="DA2650" s="139"/>
      <c r="DB2650" s="138"/>
      <c r="DC2650" s="45"/>
      <c r="DD2650" s="138"/>
      <c r="DE2650" s="45"/>
      <c r="DF2650" s="46"/>
    </row>
    <row r="2651" spans="1:110" s="42" customFormat="1" ht="48" x14ac:dyDescent="0.2">
      <c r="A2651" s="89">
        <v>40864</v>
      </c>
      <c r="B2651" s="151" t="s">
        <v>4348</v>
      </c>
      <c r="C2651" s="90" t="s">
        <v>4320</v>
      </c>
      <c r="D2651" s="90" t="s">
        <v>2362</v>
      </c>
      <c r="E2651" s="90" t="str">
        <f>VLOOKUP(B2651&amp;C2651,Divipola!$C$2:$F$1138,4,FALSE)</f>
        <v>66687</v>
      </c>
      <c r="F2651" s="4"/>
      <c r="G2651" s="101"/>
      <c r="H2651" s="101"/>
      <c r="I2651" s="101"/>
      <c r="J2651" s="101">
        <v>1150</v>
      </c>
      <c r="K2651" s="101">
        <v>230</v>
      </c>
      <c r="L2651" s="101"/>
      <c r="M2651" s="101">
        <v>230</v>
      </c>
      <c r="N2651" s="101"/>
      <c r="O2651" s="101"/>
      <c r="P2651" s="101"/>
      <c r="Q2651" s="101">
        <v>1</v>
      </c>
      <c r="R2651" s="101"/>
      <c r="S2651" s="101"/>
      <c r="T2651" s="101"/>
      <c r="U2651" s="101"/>
      <c r="V2651" s="101"/>
      <c r="W2651" s="19"/>
      <c r="X2651" s="17"/>
      <c r="Y2651" s="5">
        <f t="shared" si="256"/>
        <v>0</v>
      </c>
      <c r="Z2651" s="5">
        <f t="shared" si="257"/>
        <v>0</v>
      </c>
      <c r="AA2651" s="5">
        <f t="shared" si="258"/>
        <v>0</v>
      </c>
      <c r="AB2651" s="5">
        <f t="shared" si="259"/>
        <v>0</v>
      </c>
      <c r="AC2651" s="5"/>
      <c r="AD2651" s="5">
        <v>0</v>
      </c>
      <c r="AE2651" s="5">
        <f t="shared" si="260"/>
        <v>0</v>
      </c>
      <c r="AF2651" s="70">
        <v>0</v>
      </c>
      <c r="AG2651" s="17"/>
      <c r="AH2651" s="18"/>
      <c r="AI2651" s="47" t="s">
        <v>4346</v>
      </c>
      <c r="AJ2651" s="73" t="s">
        <v>4347</v>
      </c>
      <c r="AK2651" s="45"/>
      <c r="AL2651" s="17" t="s">
        <v>5534</v>
      </c>
      <c r="AM2651" s="121" t="s">
        <v>5365</v>
      </c>
      <c r="AN2651" s="19"/>
      <c r="AO2651" s="19"/>
      <c r="AP2651" s="19"/>
      <c r="AQ2651" s="19"/>
      <c r="AR2651" s="19"/>
      <c r="AS2651" s="19"/>
      <c r="AT2651" s="19"/>
      <c r="AU2651" s="19"/>
      <c r="AV2651" s="19"/>
      <c r="AW2651" s="19"/>
      <c r="AX2651" s="19"/>
      <c r="AY2651" s="19"/>
      <c r="AZ2651" s="19"/>
      <c r="BA2651" s="19"/>
      <c r="BB2651" s="19"/>
      <c r="BC2651" s="19"/>
      <c r="BD2651" s="19"/>
      <c r="BE2651" s="19"/>
      <c r="BF2651" s="19"/>
      <c r="BG2651" s="19"/>
      <c r="BH2651" s="19"/>
      <c r="BI2651" s="19"/>
      <c r="BJ2651" s="19"/>
      <c r="BK2651" s="19"/>
      <c r="BL2651" s="19"/>
      <c r="BM2651" s="19"/>
      <c r="BN2651" s="19"/>
      <c r="BO2651" s="19"/>
      <c r="BP2651" s="19"/>
      <c r="BQ2651" s="19"/>
      <c r="BR2651" s="19"/>
      <c r="BS2651" s="19"/>
      <c r="BT2651" s="19"/>
      <c r="BU2651" s="19"/>
      <c r="BV2651" s="19"/>
      <c r="BW2651" s="19"/>
      <c r="BX2651" s="19"/>
      <c r="BY2651" s="19"/>
      <c r="BZ2651" s="19"/>
      <c r="CA2651" s="19"/>
      <c r="CB2651" s="19"/>
      <c r="CC2651" s="19"/>
      <c r="CD2651" s="139"/>
      <c r="CE2651" s="138"/>
      <c r="CF2651" s="139"/>
      <c r="CG2651" s="138"/>
      <c r="CH2651" s="139"/>
      <c r="CI2651" s="138"/>
      <c r="CJ2651" s="72"/>
      <c r="CK2651" s="139"/>
      <c r="CL2651" s="71"/>
      <c r="CM2651" s="139"/>
      <c r="CN2651" s="138"/>
      <c r="CO2651" s="138"/>
      <c r="CP2651" s="138"/>
      <c r="CQ2651" s="139"/>
      <c r="CR2651" s="138"/>
      <c r="CS2651" s="45"/>
      <c r="CT2651" s="138"/>
      <c r="CU2651" s="45"/>
      <c r="CV2651" s="99">
        <f t="shared" si="261"/>
        <v>0</v>
      </c>
      <c r="CW2651" s="139"/>
      <c r="CX2651" s="138"/>
      <c r="CY2651" s="138"/>
      <c r="CZ2651" s="138"/>
      <c r="DA2651" s="139"/>
      <c r="DB2651" s="138"/>
      <c r="DC2651" s="45"/>
      <c r="DD2651" s="138"/>
      <c r="DE2651" s="45"/>
      <c r="DF2651" s="46"/>
    </row>
    <row r="2652" spans="1:110" s="42" customFormat="1" ht="48" x14ac:dyDescent="0.2">
      <c r="A2652" s="89">
        <v>40865</v>
      </c>
      <c r="B2652" s="151" t="s">
        <v>4261</v>
      </c>
      <c r="C2652" s="90" t="s">
        <v>2864</v>
      </c>
      <c r="D2652" s="90" t="s">
        <v>4264</v>
      </c>
      <c r="E2652" s="90" t="str">
        <f>VLOOKUP(B2652&amp;C2652,Divipola!$C$2:$F$1138,4,FALSE)</f>
        <v>15299</v>
      </c>
      <c r="F2652" s="4"/>
      <c r="G2652" s="101"/>
      <c r="H2652" s="101"/>
      <c r="I2652" s="101"/>
      <c r="J2652" s="101">
        <v>80</v>
      </c>
      <c r="K2652" s="101">
        <v>16</v>
      </c>
      <c r="L2652" s="101"/>
      <c r="M2652" s="101">
        <v>16</v>
      </c>
      <c r="N2652" s="101"/>
      <c r="O2652" s="101"/>
      <c r="P2652" s="101"/>
      <c r="Q2652" s="101"/>
      <c r="R2652" s="101"/>
      <c r="S2652" s="101"/>
      <c r="T2652" s="101"/>
      <c r="U2652" s="101"/>
      <c r="V2652" s="101"/>
      <c r="W2652" s="19"/>
      <c r="X2652" s="17"/>
      <c r="Y2652" s="5">
        <f t="shared" si="256"/>
        <v>0</v>
      </c>
      <c r="Z2652" s="5">
        <f t="shared" si="257"/>
        <v>0</v>
      </c>
      <c r="AA2652" s="5">
        <f t="shared" si="258"/>
        <v>0</v>
      </c>
      <c r="AB2652" s="5">
        <f t="shared" si="259"/>
        <v>0</v>
      </c>
      <c r="AC2652" s="5"/>
      <c r="AD2652" s="5">
        <v>0</v>
      </c>
      <c r="AE2652" s="5">
        <f t="shared" si="260"/>
        <v>0</v>
      </c>
      <c r="AF2652" s="70">
        <v>0</v>
      </c>
      <c r="AG2652" s="17"/>
      <c r="AH2652" s="18"/>
      <c r="AI2652" s="47" t="s">
        <v>4346</v>
      </c>
      <c r="AJ2652" s="73" t="s">
        <v>4347</v>
      </c>
      <c r="AK2652" s="45"/>
      <c r="AL2652" s="17" t="s">
        <v>5531</v>
      </c>
      <c r="AM2652" s="121" t="s">
        <v>5027</v>
      </c>
      <c r="AN2652" s="19"/>
      <c r="AO2652" s="19"/>
      <c r="AP2652" s="19"/>
      <c r="AQ2652" s="19"/>
      <c r="AR2652" s="19"/>
      <c r="AS2652" s="19"/>
      <c r="AT2652" s="19"/>
      <c r="AU2652" s="19"/>
      <c r="AV2652" s="19"/>
      <c r="AW2652" s="19"/>
      <c r="AX2652" s="19"/>
      <c r="AY2652" s="19"/>
      <c r="AZ2652" s="19"/>
      <c r="BA2652" s="19"/>
      <c r="BB2652" s="19"/>
      <c r="BC2652" s="19"/>
      <c r="BD2652" s="19"/>
      <c r="BE2652" s="19"/>
      <c r="BF2652" s="19"/>
      <c r="BG2652" s="19"/>
      <c r="BH2652" s="19"/>
      <c r="BI2652" s="19"/>
      <c r="BJ2652" s="19"/>
      <c r="BK2652" s="19"/>
      <c r="BL2652" s="19"/>
      <c r="BM2652" s="19"/>
      <c r="BN2652" s="19"/>
      <c r="BO2652" s="19"/>
      <c r="BP2652" s="19"/>
      <c r="BQ2652" s="19"/>
      <c r="BR2652" s="19"/>
      <c r="BS2652" s="19"/>
      <c r="BT2652" s="19"/>
      <c r="BU2652" s="19"/>
      <c r="BV2652" s="19"/>
      <c r="BW2652" s="19"/>
      <c r="BX2652" s="19"/>
      <c r="BY2652" s="19"/>
      <c r="BZ2652" s="19"/>
      <c r="CA2652" s="19"/>
      <c r="CB2652" s="19"/>
      <c r="CC2652" s="19"/>
      <c r="CD2652" s="139"/>
      <c r="CE2652" s="138"/>
      <c r="CF2652" s="139"/>
      <c r="CG2652" s="138"/>
      <c r="CH2652" s="139"/>
      <c r="CI2652" s="138"/>
      <c r="CJ2652" s="72"/>
      <c r="CK2652" s="139"/>
      <c r="CL2652" s="71"/>
      <c r="CM2652" s="139"/>
      <c r="CN2652" s="138"/>
      <c r="CO2652" s="138"/>
      <c r="CP2652" s="138"/>
      <c r="CQ2652" s="139"/>
      <c r="CR2652" s="138"/>
      <c r="CS2652" s="45"/>
      <c r="CT2652" s="138"/>
      <c r="CU2652" s="45"/>
      <c r="CV2652" s="99">
        <f t="shared" si="261"/>
        <v>0</v>
      </c>
      <c r="CW2652" s="139"/>
      <c r="CX2652" s="138"/>
      <c r="CY2652" s="138"/>
      <c r="CZ2652" s="138"/>
      <c r="DA2652" s="139"/>
      <c r="DB2652" s="138"/>
      <c r="DC2652" s="45"/>
      <c r="DD2652" s="138"/>
      <c r="DE2652" s="45"/>
      <c r="DF2652" s="46"/>
    </row>
    <row r="2653" spans="1:110" s="42" customFormat="1" ht="84" x14ac:dyDescent="0.2">
      <c r="A2653" s="89">
        <v>40865</v>
      </c>
      <c r="B2653" s="196" t="s">
        <v>4261</v>
      </c>
      <c r="C2653" s="197" t="s">
        <v>2872</v>
      </c>
      <c r="D2653" s="90" t="s">
        <v>4264</v>
      </c>
      <c r="E2653" s="90" t="str">
        <f>VLOOKUP(B2653&amp;C2653,Divipola!$C$2:$F$1138,4,FALSE)</f>
        <v>15676</v>
      </c>
      <c r="F2653" s="4"/>
      <c r="G2653" s="194"/>
      <c r="H2653" s="194"/>
      <c r="I2653" s="194"/>
      <c r="J2653" s="194">
        <v>15</v>
      </c>
      <c r="K2653" s="194">
        <v>3</v>
      </c>
      <c r="L2653" s="194"/>
      <c r="M2653" s="194">
        <v>3</v>
      </c>
      <c r="N2653" s="194">
        <v>3</v>
      </c>
      <c r="O2653" s="194"/>
      <c r="P2653" s="194"/>
      <c r="Q2653" s="194"/>
      <c r="R2653" s="194"/>
      <c r="S2653" s="194"/>
      <c r="T2653" s="194"/>
      <c r="U2653" s="194"/>
      <c r="V2653" s="194">
        <v>800</v>
      </c>
      <c r="W2653" s="19"/>
      <c r="X2653" s="17"/>
      <c r="Y2653" s="5">
        <f t="shared" si="256"/>
        <v>0</v>
      </c>
      <c r="Z2653" s="5">
        <f t="shared" si="257"/>
        <v>0</v>
      </c>
      <c r="AA2653" s="5">
        <f t="shared" si="258"/>
        <v>0</v>
      </c>
      <c r="AB2653" s="5">
        <f t="shared" si="259"/>
        <v>0</v>
      </c>
      <c r="AC2653" s="5"/>
      <c r="AD2653" s="5">
        <v>0</v>
      </c>
      <c r="AE2653" s="5">
        <f t="shared" si="260"/>
        <v>0</v>
      </c>
      <c r="AF2653" s="70">
        <v>0</v>
      </c>
      <c r="AG2653" s="17"/>
      <c r="AH2653" s="18"/>
      <c r="AI2653" s="47" t="s">
        <v>4346</v>
      </c>
      <c r="AJ2653" s="73" t="s">
        <v>4347</v>
      </c>
      <c r="AK2653" s="45"/>
      <c r="AL2653" s="17" t="s">
        <v>5531</v>
      </c>
      <c r="AM2653" s="195" t="s">
        <v>5042</v>
      </c>
      <c r="AN2653" s="19"/>
      <c r="AO2653" s="19"/>
      <c r="AP2653" s="19"/>
      <c r="AQ2653" s="19"/>
      <c r="AR2653" s="19"/>
      <c r="AS2653" s="19"/>
      <c r="AT2653" s="19"/>
      <c r="AU2653" s="19"/>
      <c r="AV2653" s="19"/>
      <c r="AW2653" s="19"/>
      <c r="AX2653" s="19"/>
      <c r="AY2653" s="19"/>
      <c r="AZ2653" s="19"/>
      <c r="BA2653" s="19"/>
      <c r="BB2653" s="19"/>
      <c r="BC2653" s="19"/>
      <c r="BD2653" s="19"/>
      <c r="BE2653" s="19"/>
      <c r="BF2653" s="19"/>
      <c r="BG2653" s="19"/>
      <c r="BH2653" s="19"/>
      <c r="BI2653" s="19"/>
      <c r="BJ2653" s="19"/>
      <c r="BK2653" s="19"/>
      <c r="BL2653" s="19"/>
      <c r="BM2653" s="19"/>
      <c r="BN2653" s="19"/>
      <c r="BO2653" s="19"/>
      <c r="BP2653" s="19"/>
      <c r="BQ2653" s="19"/>
      <c r="BR2653" s="19"/>
      <c r="BS2653" s="19"/>
      <c r="BT2653" s="19"/>
      <c r="BU2653" s="19"/>
      <c r="BV2653" s="19"/>
      <c r="BW2653" s="19"/>
      <c r="BX2653" s="19"/>
      <c r="BY2653" s="19"/>
      <c r="BZ2653" s="19"/>
      <c r="CA2653" s="19"/>
      <c r="CB2653" s="19"/>
      <c r="CC2653" s="19"/>
      <c r="CD2653" s="139"/>
      <c r="CE2653" s="138"/>
      <c r="CF2653" s="139"/>
      <c r="CG2653" s="138"/>
      <c r="CH2653" s="139"/>
      <c r="CI2653" s="138"/>
      <c r="CJ2653" s="72"/>
      <c r="CK2653" s="139"/>
      <c r="CL2653" s="71"/>
      <c r="CM2653" s="139"/>
      <c r="CN2653" s="138"/>
      <c r="CO2653" s="138"/>
      <c r="CP2653" s="138"/>
      <c r="CQ2653" s="139"/>
      <c r="CR2653" s="138"/>
      <c r="CS2653" s="45"/>
      <c r="CT2653" s="138"/>
      <c r="CU2653" s="45"/>
      <c r="CV2653" s="99">
        <f t="shared" si="261"/>
        <v>0</v>
      </c>
      <c r="CW2653" s="139"/>
      <c r="CX2653" s="138"/>
      <c r="CY2653" s="138"/>
      <c r="CZ2653" s="138"/>
      <c r="DA2653" s="139"/>
      <c r="DB2653" s="138"/>
      <c r="DC2653" s="45"/>
      <c r="DD2653" s="138"/>
      <c r="DE2653" s="45"/>
      <c r="DF2653" s="46"/>
    </row>
    <row r="2654" spans="1:110" s="42" customFormat="1" ht="168" x14ac:dyDescent="0.2">
      <c r="A2654" s="89">
        <v>40865</v>
      </c>
      <c r="B2654" s="151" t="s">
        <v>4344</v>
      </c>
      <c r="C2654" s="90" t="s">
        <v>2213</v>
      </c>
      <c r="D2654" s="90" t="s">
        <v>4264</v>
      </c>
      <c r="E2654" s="90" t="str">
        <f>VLOOKUP(B2654&amp;C2654,Divipola!$C$2:$F$1138,4,FALSE)</f>
        <v>25322</v>
      </c>
      <c r="F2654" s="4"/>
      <c r="G2654" s="101"/>
      <c r="H2654" s="101">
        <v>5</v>
      </c>
      <c r="I2654" s="101"/>
      <c r="J2654" s="101">
        <v>505</v>
      </c>
      <c r="K2654" s="101">
        <v>130</v>
      </c>
      <c r="L2654" s="101">
        <v>1</v>
      </c>
      <c r="M2654" s="101">
        <v>67</v>
      </c>
      <c r="N2654" s="101"/>
      <c r="O2654" s="101"/>
      <c r="P2654" s="101"/>
      <c r="Q2654" s="101"/>
      <c r="R2654" s="101"/>
      <c r="S2654" s="101"/>
      <c r="T2654" s="101">
        <v>1</v>
      </c>
      <c r="U2654" s="101"/>
      <c r="V2654" s="101"/>
      <c r="W2654" s="19"/>
      <c r="X2654" s="17"/>
      <c r="Y2654" s="5">
        <f t="shared" si="256"/>
        <v>0</v>
      </c>
      <c r="Z2654" s="5">
        <f t="shared" si="257"/>
        <v>0</v>
      </c>
      <c r="AA2654" s="5">
        <f t="shared" si="258"/>
        <v>0</v>
      </c>
      <c r="AB2654" s="5">
        <f t="shared" si="259"/>
        <v>0</v>
      </c>
      <c r="AC2654" s="5"/>
      <c r="AD2654" s="5">
        <v>0</v>
      </c>
      <c r="AE2654" s="5">
        <f t="shared" si="260"/>
        <v>0</v>
      </c>
      <c r="AF2654" s="70">
        <v>0</v>
      </c>
      <c r="AG2654" s="17"/>
      <c r="AH2654" s="18"/>
      <c r="AI2654" s="47" t="s">
        <v>4336</v>
      </c>
      <c r="AJ2654" s="73" t="s">
        <v>4337</v>
      </c>
      <c r="AK2654" s="45"/>
      <c r="AL2654" s="17"/>
      <c r="AM2654" s="121" t="s">
        <v>5036</v>
      </c>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39"/>
      <c r="CE2654" s="138"/>
      <c r="CF2654" s="139"/>
      <c r="CG2654" s="138"/>
      <c r="CH2654" s="139"/>
      <c r="CI2654" s="138"/>
      <c r="CJ2654" s="72"/>
      <c r="CK2654" s="139"/>
      <c r="CL2654" s="71"/>
      <c r="CM2654" s="139"/>
      <c r="CN2654" s="138"/>
      <c r="CO2654" s="138"/>
      <c r="CP2654" s="138"/>
      <c r="CQ2654" s="139"/>
      <c r="CR2654" s="138"/>
      <c r="CS2654" s="45"/>
      <c r="CT2654" s="138"/>
      <c r="CU2654" s="45"/>
      <c r="CV2654" s="99">
        <f t="shared" si="261"/>
        <v>0</v>
      </c>
      <c r="CW2654" s="139"/>
      <c r="CX2654" s="138"/>
      <c r="CY2654" s="138"/>
      <c r="CZ2654" s="138"/>
      <c r="DA2654" s="139"/>
      <c r="DB2654" s="138"/>
      <c r="DC2654" s="45"/>
      <c r="DD2654" s="138"/>
      <c r="DE2654" s="45"/>
      <c r="DF2654" s="46"/>
    </row>
    <row r="2655" spans="1:110" s="42" customFormat="1" ht="84" x14ac:dyDescent="0.2">
      <c r="A2655" s="89">
        <v>40865</v>
      </c>
      <c r="B2655" s="151" t="s">
        <v>4344</v>
      </c>
      <c r="C2655" s="90" t="s">
        <v>3324</v>
      </c>
      <c r="D2655" s="90" t="s">
        <v>4264</v>
      </c>
      <c r="E2655" s="90" t="str">
        <f>VLOOKUP(B2655&amp;C2655,Divipola!$C$2:$F$1138,4,FALSE)</f>
        <v>25843</v>
      </c>
      <c r="F2655" s="4"/>
      <c r="G2655" s="101"/>
      <c r="H2655" s="101"/>
      <c r="I2655" s="101"/>
      <c r="J2655" s="101"/>
      <c r="K2655" s="101"/>
      <c r="L2655" s="101"/>
      <c r="M2655" s="101"/>
      <c r="N2655" s="101"/>
      <c r="O2655" s="101"/>
      <c r="P2655" s="101"/>
      <c r="Q2655" s="101"/>
      <c r="R2655" s="101"/>
      <c r="S2655" s="101"/>
      <c r="T2655" s="101"/>
      <c r="U2655" s="101"/>
      <c r="V2655" s="101"/>
      <c r="W2655" s="19"/>
      <c r="X2655" s="17"/>
      <c r="Y2655" s="5">
        <f t="shared" si="256"/>
        <v>0</v>
      </c>
      <c r="Z2655" s="5">
        <f t="shared" si="257"/>
        <v>0</v>
      </c>
      <c r="AA2655" s="5">
        <f t="shared" si="258"/>
        <v>0</v>
      </c>
      <c r="AB2655" s="5">
        <f t="shared" si="259"/>
        <v>0</v>
      </c>
      <c r="AC2655" s="5"/>
      <c r="AD2655" s="5">
        <v>0</v>
      </c>
      <c r="AE2655" s="5">
        <f t="shared" si="260"/>
        <v>0</v>
      </c>
      <c r="AF2655" s="70">
        <v>0</v>
      </c>
      <c r="AG2655" s="17"/>
      <c r="AH2655" s="18"/>
      <c r="AI2655" s="47" t="s">
        <v>4336</v>
      </c>
      <c r="AJ2655" s="73" t="s">
        <v>4337</v>
      </c>
      <c r="AK2655" s="45"/>
      <c r="AL2655" s="17"/>
      <c r="AM2655" s="121" t="s">
        <v>5037</v>
      </c>
      <c r="AN2655" s="19"/>
      <c r="AO2655" s="19"/>
      <c r="AP2655" s="19"/>
      <c r="AQ2655" s="19"/>
      <c r="AR2655" s="19"/>
      <c r="AS2655" s="19"/>
      <c r="AT2655" s="19"/>
      <c r="AU2655" s="19"/>
      <c r="AV2655" s="19"/>
      <c r="AW2655" s="19"/>
      <c r="AX2655" s="19"/>
      <c r="AY2655" s="19"/>
      <c r="AZ2655" s="19"/>
      <c r="BA2655" s="19"/>
      <c r="BB2655" s="19"/>
      <c r="BC2655" s="19"/>
      <c r="BD2655" s="19"/>
      <c r="BE2655" s="19"/>
      <c r="BF2655" s="19"/>
      <c r="BG2655" s="19"/>
      <c r="BH2655" s="19"/>
      <c r="BI2655" s="19"/>
      <c r="BJ2655" s="19"/>
      <c r="BK2655" s="19"/>
      <c r="BL2655" s="19"/>
      <c r="BM2655" s="19"/>
      <c r="BN2655" s="19"/>
      <c r="BO2655" s="19"/>
      <c r="BP2655" s="19"/>
      <c r="BQ2655" s="19"/>
      <c r="BR2655" s="19"/>
      <c r="BS2655" s="19"/>
      <c r="BT2655" s="19"/>
      <c r="BU2655" s="19"/>
      <c r="BV2655" s="19"/>
      <c r="BW2655" s="19"/>
      <c r="BX2655" s="19"/>
      <c r="BY2655" s="19"/>
      <c r="BZ2655" s="19"/>
      <c r="CA2655" s="19"/>
      <c r="CB2655" s="19"/>
      <c r="CC2655" s="19"/>
      <c r="CD2655" s="139"/>
      <c r="CE2655" s="138"/>
      <c r="CF2655" s="139"/>
      <c r="CG2655" s="138"/>
      <c r="CH2655" s="139"/>
      <c r="CI2655" s="138"/>
      <c r="CJ2655" s="72"/>
      <c r="CK2655" s="139"/>
      <c r="CL2655" s="71"/>
      <c r="CM2655" s="139"/>
      <c r="CN2655" s="138"/>
      <c r="CO2655" s="138"/>
      <c r="CP2655" s="138"/>
      <c r="CQ2655" s="139"/>
      <c r="CR2655" s="138"/>
      <c r="CS2655" s="45"/>
      <c r="CT2655" s="138"/>
      <c r="CU2655" s="45"/>
      <c r="CV2655" s="99">
        <f t="shared" si="261"/>
        <v>0</v>
      </c>
      <c r="CW2655" s="139"/>
      <c r="CX2655" s="138"/>
      <c r="CY2655" s="138"/>
      <c r="CZ2655" s="138"/>
      <c r="DA2655" s="139"/>
      <c r="DB2655" s="138"/>
      <c r="DC2655" s="45"/>
      <c r="DD2655" s="138"/>
      <c r="DE2655" s="45"/>
      <c r="DF2655" s="46"/>
    </row>
    <row r="2656" spans="1:110" s="42" customFormat="1" ht="120" x14ac:dyDescent="0.2">
      <c r="A2656" s="89">
        <v>40865</v>
      </c>
      <c r="B2656" s="151" t="s">
        <v>4344</v>
      </c>
      <c r="C2656" s="90" t="s">
        <v>4374</v>
      </c>
      <c r="D2656" s="90" t="s">
        <v>2362</v>
      </c>
      <c r="E2656" s="90" t="str">
        <f>VLOOKUP(B2656&amp;C2656,Divipola!$C$2:$F$1138,4,FALSE)</f>
        <v>25120</v>
      </c>
      <c r="F2656" s="4"/>
      <c r="G2656" s="101"/>
      <c r="H2656" s="101"/>
      <c r="I2656" s="101"/>
      <c r="J2656" s="101"/>
      <c r="K2656" s="101"/>
      <c r="L2656" s="101"/>
      <c r="M2656" s="101"/>
      <c r="N2656" s="101"/>
      <c r="O2656" s="101"/>
      <c r="P2656" s="101"/>
      <c r="Q2656" s="101"/>
      <c r="R2656" s="101"/>
      <c r="S2656" s="101"/>
      <c r="T2656" s="101"/>
      <c r="U2656" s="101"/>
      <c r="V2656" s="101"/>
      <c r="W2656" s="19"/>
      <c r="X2656" s="17"/>
      <c r="Y2656" s="5">
        <f t="shared" si="256"/>
        <v>0</v>
      </c>
      <c r="Z2656" s="5">
        <f t="shared" si="257"/>
        <v>0</v>
      </c>
      <c r="AA2656" s="5">
        <f t="shared" si="258"/>
        <v>0</v>
      </c>
      <c r="AB2656" s="5">
        <f t="shared" si="259"/>
        <v>0</v>
      </c>
      <c r="AC2656" s="5"/>
      <c r="AD2656" s="5">
        <v>0</v>
      </c>
      <c r="AE2656" s="5">
        <f t="shared" si="260"/>
        <v>0</v>
      </c>
      <c r="AF2656" s="70">
        <v>0</v>
      </c>
      <c r="AG2656" s="17"/>
      <c r="AH2656" s="18"/>
      <c r="AI2656" s="47" t="s">
        <v>4336</v>
      </c>
      <c r="AJ2656" s="73" t="s">
        <v>4337</v>
      </c>
      <c r="AK2656" s="45"/>
      <c r="AL2656" s="17"/>
      <c r="AM2656" s="121" t="s">
        <v>5038</v>
      </c>
      <c r="AN2656" s="19"/>
      <c r="AO2656" s="19"/>
      <c r="AP2656" s="19"/>
      <c r="AQ2656" s="19"/>
      <c r="AR2656" s="19"/>
      <c r="AS2656" s="19"/>
      <c r="AT2656" s="19"/>
      <c r="AU2656" s="19"/>
      <c r="AV2656" s="19"/>
      <c r="AW2656" s="19"/>
      <c r="AX2656" s="19"/>
      <c r="AY2656" s="19"/>
      <c r="AZ2656" s="19"/>
      <c r="BA2656" s="19"/>
      <c r="BB2656" s="19"/>
      <c r="BC2656" s="19"/>
      <c r="BD2656" s="19"/>
      <c r="BE2656" s="19"/>
      <c r="BF2656" s="19"/>
      <c r="BG2656" s="19"/>
      <c r="BH2656" s="19"/>
      <c r="BI2656" s="19"/>
      <c r="BJ2656" s="19"/>
      <c r="BK2656" s="19"/>
      <c r="BL2656" s="19"/>
      <c r="BM2656" s="19"/>
      <c r="BN2656" s="19"/>
      <c r="BO2656" s="19"/>
      <c r="BP2656" s="19"/>
      <c r="BQ2656" s="19"/>
      <c r="BR2656" s="19"/>
      <c r="BS2656" s="19"/>
      <c r="BT2656" s="19"/>
      <c r="BU2656" s="19"/>
      <c r="BV2656" s="19"/>
      <c r="BW2656" s="19"/>
      <c r="BX2656" s="19"/>
      <c r="BY2656" s="19"/>
      <c r="BZ2656" s="19"/>
      <c r="CA2656" s="19"/>
      <c r="CB2656" s="19"/>
      <c r="CC2656" s="19"/>
      <c r="CD2656" s="139"/>
      <c r="CE2656" s="138"/>
      <c r="CF2656" s="139"/>
      <c r="CG2656" s="138"/>
      <c r="CH2656" s="139"/>
      <c r="CI2656" s="138"/>
      <c r="CJ2656" s="72"/>
      <c r="CK2656" s="139"/>
      <c r="CL2656" s="71"/>
      <c r="CM2656" s="139"/>
      <c r="CN2656" s="138"/>
      <c r="CO2656" s="138"/>
      <c r="CP2656" s="138"/>
      <c r="CQ2656" s="139"/>
      <c r="CR2656" s="138"/>
      <c r="CS2656" s="45"/>
      <c r="CT2656" s="138"/>
      <c r="CU2656" s="45"/>
      <c r="CV2656" s="99">
        <f t="shared" si="261"/>
        <v>0</v>
      </c>
      <c r="CW2656" s="139"/>
      <c r="CX2656" s="138"/>
      <c r="CY2656" s="138"/>
      <c r="CZ2656" s="138"/>
      <c r="DA2656" s="139"/>
      <c r="DB2656" s="138"/>
      <c r="DC2656" s="45"/>
      <c r="DD2656" s="138"/>
      <c r="DE2656" s="45"/>
      <c r="DF2656" s="46"/>
    </row>
    <row r="2657" spans="1:110" s="42" customFormat="1" ht="144" x14ac:dyDescent="0.2">
      <c r="A2657" s="89">
        <v>40865</v>
      </c>
      <c r="B2657" s="196" t="s">
        <v>4344</v>
      </c>
      <c r="C2657" s="197" t="s">
        <v>2215</v>
      </c>
      <c r="D2657" s="197" t="s">
        <v>2865</v>
      </c>
      <c r="E2657" s="90" t="str">
        <f>VLOOKUP(B2657&amp;C2657,Divipola!$C$2:$F$1138,4,FALSE)</f>
        <v>25407</v>
      </c>
      <c r="F2657" s="4"/>
      <c r="G2657" s="194">
        <v>1</v>
      </c>
      <c r="H2657" s="194">
        <v>1</v>
      </c>
      <c r="I2657" s="194"/>
      <c r="J2657" s="194"/>
      <c r="K2657" s="194"/>
      <c r="L2657" s="194"/>
      <c r="M2657" s="194"/>
      <c r="N2657" s="194"/>
      <c r="O2657" s="194"/>
      <c r="P2657" s="194"/>
      <c r="Q2657" s="194"/>
      <c r="R2657" s="194"/>
      <c r="S2657" s="194"/>
      <c r="T2657" s="194"/>
      <c r="U2657" s="194"/>
      <c r="V2657" s="194"/>
      <c r="W2657" s="19"/>
      <c r="X2657" s="17"/>
      <c r="Y2657" s="5">
        <f t="shared" si="256"/>
        <v>0</v>
      </c>
      <c r="Z2657" s="5">
        <f t="shared" si="257"/>
        <v>0</v>
      </c>
      <c r="AA2657" s="5">
        <f t="shared" si="258"/>
        <v>0</v>
      </c>
      <c r="AB2657" s="5">
        <f t="shared" si="259"/>
        <v>0</v>
      </c>
      <c r="AC2657" s="5"/>
      <c r="AD2657" s="5">
        <v>0</v>
      </c>
      <c r="AE2657" s="5">
        <f t="shared" si="260"/>
        <v>0</v>
      </c>
      <c r="AF2657" s="70">
        <v>0</v>
      </c>
      <c r="AG2657" s="17"/>
      <c r="AH2657" s="18"/>
      <c r="AI2657" s="47" t="s">
        <v>4336</v>
      </c>
      <c r="AJ2657" s="73" t="s">
        <v>4337</v>
      </c>
      <c r="AK2657" s="45"/>
      <c r="AL2657" s="17"/>
      <c r="AM2657" s="195" t="s">
        <v>5046</v>
      </c>
      <c r="AN2657" s="19"/>
      <c r="AO2657" s="19"/>
      <c r="AP2657" s="19"/>
      <c r="AQ2657" s="19"/>
      <c r="AR2657" s="19"/>
      <c r="AS2657" s="19"/>
      <c r="AT2657" s="19"/>
      <c r="AU2657" s="19"/>
      <c r="AV2657" s="19"/>
      <c r="AW2657" s="19"/>
      <c r="AX2657" s="19"/>
      <c r="AY2657" s="19"/>
      <c r="AZ2657" s="19"/>
      <c r="BA2657" s="19"/>
      <c r="BB2657" s="19"/>
      <c r="BC2657" s="19"/>
      <c r="BD2657" s="19"/>
      <c r="BE2657" s="19"/>
      <c r="BF2657" s="19"/>
      <c r="BG2657" s="19"/>
      <c r="BH2657" s="19"/>
      <c r="BI2657" s="19"/>
      <c r="BJ2657" s="19"/>
      <c r="BK2657" s="19"/>
      <c r="BL2657" s="19"/>
      <c r="BM2657" s="19"/>
      <c r="BN2657" s="19"/>
      <c r="BO2657" s="19"/>
      <c r="BP2657" s="19"/>
      <c r="BQ2657" s="19"/>
      <c r="BR2657" s="19"/>
      <c r="BS2657" s="19"/>
      <c r="BT2657" s="19"/>
      <c r="BU2657" s="19"/>
      <c r="BV2657" s="19"/>
      <c r="BW2657" s="19"/>
      <c r="BX2657" s="19"/>
      <c r="BY2657" s="19"/>
      <c r="BZ2657" s="19"/>
      <c r="CA2657" s="19"/>
      <c r="CB2657" s="19"/>
      <c r="CC2657" s="19"/>
      <c r="CD2657" s="139"/>
      <c r="CE2657" s="138"/>
      <c r="CF2657" s="139"/>
      <c r="CG2657" s="138"/>
      <c r="CH2657" s="139"/>
      <c r="CI2657" s="138"/>
      <c r="CJ2657" s="72"/>
      <c r="CK2657" s="139"/>
      <c r="CL2657" s="71"/>
      <c r="CM2657" s="139"/>
      <c r="CN2657" s="138"/>
      <c r="CO2657" s="138"/>
      <c r="CP2657" s="138"/>
      <c r="CQ2657" s="139"/>
      <c r="CR2657" s="138"/>
      <c r="CS2657" s="45"/>
      <c r="CT2657" s="138"/>
      <c r="CU2657" s="45"/>
      <c r="CV2657" s="99">
        <f t="shared" si="261"/>
        <v>0</v>
      </c>
      <c r="CW2657" s="139"/>
      <c r="CX2657" s="138"/>
      <c r="CY2657" s="138"/>
      <c r="CZ2657" s="138"/>
      <c r="DA2657" s="139"/>
      <c r="DB2657" s="138"/>
      <c r="DC2657" s="45"/>
      <c r="DD2657" s="138"/>
      <c r="DE2657" s="45"/>
      <c r="DF2657" s="46"/>
    </row>
    <row r="2658" spans="1:110" s="42" customFormat="1" ht="48" x14ac:dyDescent="0.2">
      <c r="A2658" s="89">
        <v>40865</v>
      </c>
      <c r="B2658" s="151" t="s">
        <v>4344</v>
      </c>
      <c r="C2658" s="90" t="s">
        <v>3295</v>
      </c>
      <c r="D2658" s="90" t="s">
        <v>2362</v>
      </c>
      <c r="E2658" s="90" t="str">
        <f>VLOOKUP(B2658&amp;C2658,Divipola!$C$2:$F$1138,4,FALSE)</f>
        <v>25754</v>
      </c>
      <c r="F2658" s="4"/>
      <c r="G2658" s="101"/>
      <c r="H2658" s="101"/>
      <c r="I2658" s="101"/>
      <c r="J2658" s="101">
        <v>8</v>
      </c>
      <c r="K2658" s="101">
        <v>1</v>
      </c>
      <c r="L2658" s="101">
        <v>1</v>
      </c>
      <c r="M2658" s="101"/>
      <c r="N2658" s="101"/>
      <c r="O2658" s="101"/>
      <c r="P2658" s="101"/>
      <c r="Q2658" s="101"/>
      <c r="R2658" s="101"/>
      <c r="S2658" s="101"/>
      <c r="T2658" s="101"/>
      <c r="U2658" s="101"/>
      <c r="V2658" s="101"/>
      <c r="W2658" s="19"/>
      <c r="X2658" s="17"/>
      <c r="Y2658" s="5">
        <f t="shared" si="256"/>
        <v>0</v>
      </c>
      <c r="Z2658" s="5">
        <f t="shared" si="257"/>
        <v>0</v>
      </c>
      <c r="AA2658" s="5">
        <f t="shared" si="258"/>
        <v>0</v>
      </c>
      <c r="AB2658" s="5">
        <f t="shared" si="259"/>
        <v>0</v>
      </c>
      <c r="AC2658" s="5"/>
      <c r="AD2658" s="5">
        <v>0</v>
      </c>
      <c r="AE2658" s="5">
        <f t="shared" si="260"/>
        <v>0</v>
      </c>
      <c r="AF2658" s="70">
        <v>0</v>
      </c>
      <c r="AG2658" s="17"/>
      <c r="AH2658" s="18"/>
      <c r="AI2658" s="47" t="s">
        <v>4336</v>
      </c>
      <c r="AJ2658" s="73" t="s">
        <v>4337</v>
      </c>
      <c r="AK2658" s="45"/>
      <c r="AL2658" s="17"/>
      <c r="AM2658" s="121" t="s">
        <v>5074</v>
      </c>
      <c r="AN2658" s="19"/>
      <c r="AO2658" s="19"/>
      <c r="AP2658" s="19"/>
      <c r="AQ2658" s="19"/>
      <c r="AR2658" s="19"/>
      <c r="AS2658" s="19"/>
      <c r="AT2658" s="19"/>
      <c r="AU2658" s="19"/>
      <c r="AV2658" s="19"/>
      <c r="AW2658" s="19"/>
      <c r="AX2658" s="19"/>
      <c r="AY2658" s="19"/>
      <c r="AZ2658" s="19"/>
      <c r="BA2658" s="19"/>
      <c r="BB2658" s="19"/>
      <c r="BC2658" s="19"/>
      <c r="BD2658" s="19"/>
      <c r="BE2658" s="19"/>
      <c r="BF2658" s="19"/>
      <c r="BG2658" s="19"/>
      <c r="BH2658" s="19"/>
      <c r="BI2658" s="19"/>
      <c r="BJ2658" s="19"/>
      <c r="BK2658" s="19"/>
      <c r="BL2658" s="19"/>
      <c r="BM2658" s="19"/>
      <c r="BN2658" s="19"/>
      <c r="BO2658" s="19"/>
      <c r="BP2658" s="19"/>
      <c r="BQ2658" s="19"/>
      <c r="BR2658" s="19"/>
      <c r="BS2658" s="19"/>
      <c r="BT2658" s="19"/>
      <c r="BU2658" s="19"/>
      <c r="BV2658" s="19"/>
      <c r="BW2658" s="19"/>
      <c r="BX2658" s="19"/>
      <c r="BY2658" s="19"/>
      <c r="BZ2658" s="19"/>
      <c r="CA2658" s="19"/>
      <c r="CB2658" s="19"/>
      <c r="CC2658" s="19"/>
      <c r="CD2658" s="139"/>
      <c r="CE2658" s="138"/>
      <c r="CF2658" s="139"/>
      <c r="CG2658" s="138"/>
      <c r="CH2658" s="139"/>
      <c r="CI2658" s="138"/>
      <c r="CJ2658" s="72"/>
      <c r="CK2658" s="139"/>
      <c r="CL2658" s="71"/>
      <c r="CM2658" s="139"/>
      <c r="CN2658" s="138"/>
      <c r="CO2658" s="138"/>
      <c r="CP2658" s="138"/>
      <c r="CQ2658" s="139"/>
      <c r="CR2658" s="138"/>
      <c r="CS2658" s="45"/>
      <c r="CT2658" s="138"/>
      <c r="CU2658" s="45"/>
      <c r="CV2658" s="99">
        <f t="shared" si="261"/>
        <v>0</v>
      </c>
      <c r="CW2658" s="139"/>
      <c r="CX2658" s="138"/>
      <c r="CY2658" s="138"/>
      <c r="CZ2658" s="138"/>
      <c r="DA2658" s="139"/>
      <c r="DB2658" s="138"/>
      <c r="DC2658" s="45"/>
      <c r="DD2658" s="138"/>
      <c r="DE2658" s="45"/>
      <c r="DF2658" s="46"/>
    </row>
    <row r="2659" spans="1:110" s="42" customFormat="1" ht="84" x14ac:dyDescent="0.2">
      <c r="A2659" s="89">
        <v>40865</v>
      </c>
      <c r="B2659" s="196" t="s">
        <v>2226</v>
      </c>
      <c r="C2659" s="197" t="s">
        <v>800</v>
      </c>
      <c r="D2659" s="90" t="s">
        <v>2362</v>
      </c>
      <c r="E2659" s="90" t="str">
        <f>VLOOKUP(B2659&amp;C2659,Divipola!$C$2:$F$1138,4,FALSE)</f>
        <v>68547</v>
      </c>
      <c r="F2659" s="4"/>
      <c r="G2659" s="194"/>
      <c r="H2659" s="194"/>
      <c r="I2659" s="194"/>
      <c r="J2659" s="194"/>
      <c r="K2659" s="194"/>
      <c r="L2659" s="194">
        <v>1</v>
      </c>
      <c r="M2659" s="194"/>
      <c r="N2659" s="194">
        <v>1</v>
      </c>
      <c r="O2659" s="194"/>
      <c r="P2659" s="194"/>
      <c r="Q2659" s="194">
        <v>1</v>
      </c>
      <c r="R2659" s="194"/>
      <c r="S2659" s="194"/>
      <c r="T2659" s="194"/>
      <c r="U2659" s="194"/>
      <c r="V2659" s="194"/>
      <c r="W2659" s="19"/>
      <c r="X2659" s="17"/>
      <c r="Y2659" s="5">
        <f t="shared" si="256"/>
        <v>0</v>
      </c>
      <c r="Z2659" s="5">
        <f t="shared" si="257"/>
        <v>0</v>
      </c>
      <c r="AA2659" s="5">
        <f t="shared" si="258"/>
        <v>0</v>
      </c>
      <c r="AB2659" s="5">
        <f t="shared" si="259"/>
        <v>0</v>
      </c>
      <c r="AC2659" s="5"/>
      <c r="AD2659" s="5">
        <v>0</v>
      </c>
      <c r="AE2659" s="5">
        <f t="shared" si="260"/>
        <v>0</v>
      </c>
      <c r="AF2659" s="70">
        <v>0</v>
      </c>
      <c r="AG2659" s="17"/>
      <c r="AH2659" s="18"/>
      <c r="AI2659" s="47" t="s">
        <v>4346</v>
      </c>
      <c r="AJ2659" s="73" t="s">
        <v>4347</v>
      </c>
      <c r="AK2659" s="45"/>
      <c r="AL2659" s="17" t="s">
        <v>5534</v>
      </c>
      <c r="AM2659" s="195" t="s">
        <v>5041</v>
      </c>
      <c r="AN2659" s="19"/>
      <c r="AO2659" s="19"/>
      <c r="AP2659" s="19"/>
      <c r="AQ2659" s="19"/>
      <c r="AR2659" s="19"/>
      <c r="AS2659" s="19"/>
      <c r="AT2659" s="19"/>
      <c r="AU2659" s="19"/>
      <c r="AV2659" s="19"/>
      <c r="AW2659" s="19"/>
      <c r="AX2659" s="19"/>
      <c r="AY2659" s="19"/>
      <c r="AZ2659" s="19"/>
      <c r="BA2659" s="19"/>
      <c r="BB2659" s="19"/>
      <c r="BC2659" s="19"/>
      <c r="BD2659" s="19"/>
      <c r="BE2659" s="19"/>
      <c r="BF2659" s="19"/>
      <c r="BG2659" s="19"/>
      <c r="BH2659" s="19"/>
      <c r="BI2659" s="19"/>
      <c r="BJ2659" s="19"/>
      <c r="BK2659" s="19"/>
      <c r="BL2659" s="19"/>
      <c r="BM2659" s="19"/>
      <c r="BN2659" s="19"/>
      <c r="BO2659" s="19"/>
      <c r="BP2659" s="19"/>
      <c r="BQ2659" s="19"/>
      <c r="BR2659" s="19"/>
      <c r="BS2659" s="19"/>
      <c r="BT2659" s="19"/>
      <c r="BU2659" s="19"/>
      <c r="BV2659" s="19"/>
      <c r="BW2659" s="19"/>
      <c r="BX2659" s="19"/>
      <c r="BY2659" s="19"/>
      <c r="BZ2659" s="19"/>
      <c r="CA2659" s="19"/>
      <c r="CB2659" s="19"/>
      <c r="CC2659" s="19"/>
      <c r="CD2659" s="139"/>
      <c r="CE2659" s="138"/>
      <c r="CF2659" s="139"/>
      <c r="CG2659" s="138"/>
      <c r="CH2659" s="139"/>
      <c r="CI2659" s="138"/>
      <c r="CJ2659" s="72"/>
      <c r="CK2659" s="139"/>
      <c r="CL2659" s="71"/>
      <c r="CM2659" s="139"/>
      <c r="CN2659" s="138"/>
      <c r="CO2659" s="138"/>
      <c r="CP2659" s="138"/>
      <c r="CQ2659" s="139"/>
      <c r="CR2659" s="138"/>
      <c r="CS2659" s="45"/>
      <c r="CT2659" s="138"/>
      <c r="CU2659" s="45"/>
      <c r="CV2659" s="99">
        <f t="shared" si="261"/>
        <v>0</v>
      </c>
      <c r="CW2659" s="139"/>
      <c r="CX2659" s="138"/>
      <c r="CY2659" s="138"/>
      <c r="CZ2659" s="138"/>
      <c r="DA2659" s="139"/>
      <c r="DB2659" s="138"/>
      <c r="DC2659" s="45"/>
      <c r="DD2659" s="138"/>
      <c r="DE2659" s="45"/>
      <c r="DF2659" s="46"/>
    </row>
    <row r="2660" spans="1:110" s="42" customFormat="1" x14ac:dyDescent="0.2">
      <c r="A2660" s="89">
        <v>40865</v>
      </c>
      <c r="B2660" s="151" t="s">
        <v>4219</v>
      </c>
      <c r="C2660" s="90" t="s">
        <v>4345</v>
      </c>
      <c r="D2660" s="90" t="s">
        <v>4264</v>
      </c>
      <c r="E2660" s="90">
        <f>VLOOKUP(B2660&amp;C2660,Divipola!$C$2:$F$1138,4,FALSE)</f>
        <v>41</v>
      </c>
      <c r="F2660" s="4"/>
      <c r="G2660" s="208"/>
      <c r="H2660" s="208"/>
      <c r="I2660" s="208"/>
      <c r="J2660" s="208"/>
      <c r="K2660" s="208"/>
      <c r="L2660" s="208"/>
      <c r="M2660" s="208"/>
      <c r="N2660" s="208"/>
      <c r="O2660" s="208"/>
      <c r="P2660" s="208"/>
      <c r="Q2660" s="208"/>
      <c r="R2660" s="208"/>
      <c r="S2660" s="208"/>
      <c r="T2660" s="208"/>
      <c r="U2660" s="208"/>
      <c r="V2660" s="208"/>
      <c r="W2660" s="19"/>
      <c r="X2660" s="17"/>
      <c r="Y2660" s="5">
        <f t="shared" si="256"/>
        <v>67498660</v>
      </c>
      <c r="Z2660" s="5">
        <f t="shared" si="257"/>
        <v>42500000</v>
      </c>
      <c r="AA2660" s="5">
        <f t="shared" si="258"/>
        <v>11249680</v>
      </c>
      <c r="AB2660" s="5">
        <f t="shared" si="259"/>
        <v>0</v>
      </c>
      <c r="AC2660" s="5"/>
      <c r="AD2660" s="5">
        <v>0</v>
      </c>
      <c r="AE2660" s="5">
        <f t="shared" si="260"/>
        <v>121248340</v>
      </c>
      <c r="AF2660" s="70">
        <v>0</v>
      </c>
      <c r="AG2660" s="17"/>
      <c r="AH2660" s="18"/>
      <c r="AI2660" s="47" t="s">
        <v>4346</v>
      </c>
      <c r="AJ2660" s="73" t="s">
        <v>4347</v>
      </c>
      <c r="AK2660" s="45"/>
      <c r="AL2660" s="17"/>
      <c r="AM2660" s="20"/>
      <c r="AN2660" s="19"/>
      <c r="AO2660" s="19"/>
      <c r="AP2660" s="19"/>
      <c r="AQ2660" s="19"/>
      <c r="AR2660" s="19"/>
      <c r="AS2660" s="19"/>
      <c r="AT2660" s="19"/>
      <c r="AU2660" s="19"/>
      <c r="AV2660" s="19"/>
      <c r="AW2660" s="19"/>
      <c r="AX2660" s="19"/>
      <c r="AY2660" s="19"/>
      <c r="AZ2660" s="19">
        <v>500</v>
      </c>
      <c r="BA2660" s="19">
        <f>500*55999</f>
        <v>27999500</v>
      </c>
      <c r="BB2660" s="19"/>
      <c r="BC2660" s="19"/>
      <c r="BD2660" s="19"/>
      <c r="BE2660" s="19"/>
      <c r="BF2660" s="19"/>
      <c r="BG2660" s="19"/>
      <c r="BH2660" s="19"/>
      <c r="BI2660" s="19"/>
      <c r="BJ2660" s="19"/>
      <c r="BK2660" s="19"/>
      <c r="BL2660" s="19"/>
      <c r="BM2660" s="19"/>
      <c r="BN2660" s="19"/>
      <c r="BO2660" s="19"/>
      <c r="BP2660" s="19"/>
      <c r="BQ2660" s="19"/>
      <c r="BR2660" s="19"/>
      <c r="BS2660" s="19"/>
      <c r="BT2660" s="19"/>
      <c r="BU2660" s="19"/>
      <c r="BV2660" s="19"/>
      <c r="BW2660" s="19"/>
      <c r="BX2660" s="19"/>
      <c r="BY2660" s="19"/>
      <c r="BZ2660" s="19"/>
      <c r="CA2660" s="19"/>
      <c r="CB2660" s="19"/>
      <c r="CC2660" s="19"/>
      <c r="CD2660" s="139"/>
      <c r="CE2660" s="138"/>
      <c r="CF2660" s="139"/>
      <c r="CG2660" s="138"/>
      <c r="CH2660" s="139"/>
      <c r="CI2660" s="138"/>
      <c r="CJ2660" s="72">
        <v>1000</v>
      </c>
      <c r="CK2660" s="139">
        <f>1000*20999.48</f>
        <v>20999480</v>
      </c>
      <c r="CL2660" s="71"/>
      <c r="CM2660" s="139"/>
      <c r="CN2660" s="138"/>
      <c r="CO2660" s="138"/>
      <c r="CP2660" s="138">
        <v>500</v>
      </c>
      <c r="CQ2660" s="139">
        <f>500*36999.36</f>
        <v>18499680</v>
      </c>
      <c r="CR2660" s="138"/>
      <c r="CS2660" s="45"/>
      <c r="CT2660" s="138"/>
      <c r="CU2660" s="45"/>
      <c r="CV2660" s="99">
        <f t="shared" si="261"/>
        <v>67498660</v>
      </c>
      <c r="CW2660" s="139"/>
      <c r="CX2660" s="138"/>
      <c r="CY2660" s="138">
        <v>500</v>
      </c>
      <c r="CZ2660" s="138">
        <f>500*85000</f>
        <v>42500000</v>
      </c>
      <c r="DA2660" s="139"/>
      <c r="DB2660" s="138"/>
      <c r="DC2660" s="45">
        <v>500</v>
      </c>
      <c r="DD2660" s="138">
        <f>500*22499.36</f>
        <v>11249680</v>
      </c>
      <c r="DE2660" s="45"/>
      <c r="DF2660" s="46"/>
    </row>
    <row r="2661" spans="1:110" s="42" customFormat="1" ht="60" x14ac:dyDescent="0.2">
      <c r="A2661" s="89">
        <v>40865</v>
      </c>
      <c r="B2661" s="151" t="s">
        <v>4348</v>
      </c>
      <c r="C2661" s="90" t="s">
        <v>3553</v>
      </c>
      <c r="D2661" s="90" t="s">
        <v>2362</v>
      </c>
      <c r="E2661" s="90" t="str">
        <f>VLOOKUP(B2661&amp;C2661,Divipola!$C$2:$F$1138,4,FALSE)</f>
        <v>66075</v>
      </c>
      <c r="F2661" s="4"/>
      <c r="G2661" s="208"/>
      <c r="H2661" s="208"/>
      <c r="I2661" s="208"/>
      <c r="J2661" s="208">
        <v>40</v>
      </c>
      <c r="K2661" s="208">
        <v>8</v>
      </c>
      <c r="L2661" s="208"/>
      <c r="M2661" s="208">
        <v>8</v>
      </c>
      <c r="N2661" s="208"/>
      <c r="O2661" s="208"/>
      <c r="P2661" s="208"/>
      <c r="Q2661" s="208">
        <v>1</v>
      </c>
      <c r="R2661" s="208"/>
      <c r="S2661" s="208"/>
      <c r="T2661" s="208"/>
      <c r="U2661" s="208"/>
      <c r="V2661" s="208"/>
      <c r="W2661" s="19"/>
      <c r="X2661" s="17"/>
      <c r="Y2661" s="5">
        <f t="shared" si="256"/>
        <v>0</v>
      </c>
      <c r="Z2661" s="5">
        <f t="shared" si="257"/>
        <v>0</v>
      </c>
      <c r="AA2661" s="5">
        <f t="shared" si="258"/>
        <v>0</v>
      </c>
      <c r="AB2661" s="5">
        <f t="shared" si="259"/>
        <v>0</v>
      </c>
      <c r="AC2661" s="159">
        <f>30*369999.4</f>
        <v>11099982</v>
      </c>
      <c r="AD2661" s="5">
        <v>0</v>
      </c>
      <c r="AE2661" s="5">
        <f t="shared" si="260"/>
        <v>11099982</v>
      </c>
      <c r="AF2661" s="70">
        <v>0</v>
      </c>
      <c r="AG2661" s="17"/>
      <c r="AH2661" s="18"/>
      <c r="AI2661" s="47" t="s">
        <v>4346</v>
      </c>
      <c r="AJ2661" s="73" t="s">
        <v>4347</v>
      </c>
      <c r="AK2661" s="45"/>
      <c r="AL2661" s="17"/>
      <c r="AM2661" s="154" t="s">
        <v>5595</v>
      </c>
      <c r="AN2661" s="19"/>
      <c r="AO2661" s="19"/>
      <c r="AP2661" s="19"/>
      <c r="AQ2661" s="19"/>
      <c r="AR2661" s="19"/>
      <c r="AS2661" s="19"/>
      <c r="AT2661" s="19"/>
      <c r="AU2661" s="19"/>
      <c r="AV2661" s="19"/>
      <c r="AW2661" s="19"/>
      <c r="AX2661" s="19"/>
      <c r="AY2661" s="19"/>
      <c r="AZ2661" s="19"/>
      <c r="BA2661" s="19"/>
      <c r="BB2661" s="19"/>
      <c r="BC2661" s="19"/>
      <c r="BD2661" s="19"/>
      <c r="BE2661" s="19"/>
      <c r="BF2661" s="19"/>
      <c r="BG2661" s="19"/>
      <c r="BH2661" s="19"/>
      <c r="BI2661" s="19"/>
      <c r="BJ2661" s="19"/>
      <c r="BK2661" s="19"/>
      <c r="BL2661" s="19"/>
      <c r="BM2661" s="19"/>
      <c r="BN2661" s="19"/>
      <c r="BO2661" s="19"/>
      <c r="BP2661" s="19"/>
      <c r="BQ2661" s="19"/>
      <c r="BR2661" s="19"/>
      <c r="BS2661" s="19"/>
      <c r="BT2661" s="19"/>
      <c r="BU2661" s="19"/>
      <c r="BV2661" s="19"/>
      <c r="BW2661" s="19"/>
      <c r="BX2661" s="19"/>
      <c r="BY2661" s="19"/>
      <c r="BZ2661" s="19"/>
      <c r="CA2661" s="19"/>
      <c r="CB2661" s="19"/>
      <c r="CC2661" s="19"/>
      <c r="CD2661" s="139"/>
      <c r="CE2661" s="138"/>
      <c r="CF2661" s="139"/>
      <c r="CG2661" s="138"/>
      <c r="CH2661" s="139"/>
      <c r="CI2661" s="138"/>
      <c r="CJ2661" s="72"/>
      <c r="CK2661" s="139"/>
      <c r="CL2661" s="71"/>
      <c r="CM2661" s="139"/>
      <c r="CN2661" s="138"/>
      <c r="CO2661" s="138"/>
      <c r="CP2661" s="138"/>
      <c r="CQ2661" s="139"/>
      <c r="CR2661" s="138"/>
      <c r="CS2661" s="45"/>
      <c r="CT2661" s="138"/>
      <c r="CU2661" s="45"/>
      <c r="CV2661" s="99">
        <f t="shared" si="261"/>
        <v>0</v>
      </c>
      <c r="CW2661" s="139"/>
      <c r="CX2661" s="138"/>
      <c r="CY2661" s="138"/>
      <c r="CZ2661" s="138"/>
      <c r="DA2661" s="139"/>
      <c r="DB2661" s="138"/>
      <c r="DC2661" s="45"/>
      <c r="DD2661" s="138"/>
      <c r="DE2661" s="45"/>
      <c r="DF2661" s="46"/>
    </row>
    <row r="2662" spans="1:110" s="42" customFormat="1" ht="36" x14ac:dyDescent="0.2">
      <c r="A2662" s="89">
        <v>40865</v>
      </c>
      <c r="B2662" s="151" t="s">
        <v>4261</v>
      </c>
      <c r="C2662" s="90" t="s">
        <v>2864</v>
      </c>
      <c r="D2662" s="90" t="s">
        <v>4264</v>
      </c>
      <c r="E2662" s="90" t="str">
        <f>VLOOKUP(B2662&amp;C2662,Divipola!$C$2:$F$1138,4,FALSE)</f>
        <v>15299</v>
      </c>
      <c r="F2662" s="4"/>
      <c r="G2662" s="101"/>
      <c r="H2662" s="101">
        <v>1</v>
      </c>
      <c r="I2662" s="101"/>
      <c r="J2662" s="101">
        <v>95</v>
      </c>
      <c r="K2662" s="101">
        <v>19</v>
      </c>
      <c r="L2662" s="101"/>
      <c r="M2662" s="101">
        <v>19</v>
      </c>
      <c r="N2662" s="101"/>
      <c r="O2662" s="101"/>
      <c r="P2662" s="101"/>
      <c r="Q2662" s="101"/>
      <c r="R2662" s="101"/>
      <c r="S2662" s="101">
        <v>1</v>
      </c>
      <c r="T2662" s="101">
        <v>1</v>
      </c>
      <c r="U2662" s="101"/>
      <c r="V2662" s="101"/>
      <c r="W2662" s="19"/>
      <c r="X2662" s="17"/>
      <c r="Y2662" s="5">
        <f t="shared" si="256"/>
        <v>0</v>
      </c>
      <c r="Z2662" s="5">
        <f t="shared" si="257"/>
        <v>0</v>
      </c>
      <c r="AA2662" s="5">
        <f t="shared" si="258"/>
        <v>0</v>
      </c>
      <c r="AB2662" s="5">
        <f t="shared" si="259"/>
        <v>0</v>
      </c>
      <c r="AC2662" s="5"/>
      <c r="AD2662" s="5">
        <v>0</v>
      </c>
      <c r="AE2662" s="5">
        <f t="shared" si="260"/>
        <v>0</v>
      </c>
      <c r="AF2662" s="70">
        <v>0</v>
      </c>
      <c r="AG2662" s="17"/>
      <c r="AH2662" s="18"/>
      <c r="AI2662" s="47" t="s">
        <v>4346</v>
      </c>
      <c r="AJ2662" s="73" t="s">
        <v>4347</v>
      </c>
      <c r="AK2662" s="45"/>
      <c r="AL2662" s="17" t="s">
        <v>5531</v>
      </c>
      <c r="AM2662" s="121" t="s">
        <v>5201</v>
      </c>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39"/>
      <c r="CE2662" s="138"/>
      <c r="CF2662" s="139"/>
      <c r="CG2662" s="138"/>
      <c r="CH2662" s="139"/>
      <c r="CI2662" s="138"/>
      <c r="CJ2662" s="72"/>
      <c r="CK2662" s="139"/>
      <c r="CL2662" s="71"/>
      <c r="CM2662" s="139"/>
      <c r="CN2662" s="138"/>
      <c r="CO2662" s="138"/>
      <c r="CP2662" s="138"/>
      <c r="CQ2662" s="139"/>
      <c r="CR2662" s="138"/>
      <c r="CS2662" s="45"/>
      <c r="CT2662" s="138"/>
      <c r="CU2662" s="45"/>
      <c r="CV2662" s="99">
        <f t="shared" si="261"/>
        <v>0</v>
      </c>
      <c r="CW2662" s="139"/>
      <c r="CX2662" s="138"/>
      <c r="CY2662" s="138"/>
      <c r="CZ2662" s="138"/>
      <c r="DA2662" s="139"/>
      <c r="DB2662" s="138"/>
      <c r="DC2662" s="45"/>
      <c r="DD2662" s="138"/>
      <c r="DE2662" s="45"/>
      <c r="DF2662" s="46"/>
    </row>
    <row r="2663" spans="1:110" s="42" customFormat="1" ht="60" x14ac:dyDescent="0.2">
      <c r="A2663" s="89">
        <v>40865</v>
      </c>
      <c r="B2663" s="16" t="s">
        <v>4387</v>
      </c>
      <c r="C2663" s="16" t="s">
        <v>4362</v>
      </c>
      <c r="D2663" s="16" t="s">
        <v>2362</v>
      </c>
      <c r="E2663" s="90" t="str">
        <f>VLOOKUP(B2663&amp;C2663,Divipola!$C$2:$F$1138,4,FALSE)</f>
        <v>52693</v>
      </c>
      <c r="F2663" s="4"/>
      <c r="G2663" s="208"/>
      <c r="H2663" s="208"/>
      <c r="I2663" s="208"/>
      <c r="J2663" s="208"/>
      <c r="K2663" s="208"/>
      <c r="L2663" s="208"/>
      <c r="M2663" s="208"/>
      <c r="N2663" s="208">
        <v>1</v>
      </c>
      <c r="O2663" s="208"/>
      <c r="P2663" s="208"/>
      <c r="Q2663" s="208"/>
      <c r="R2663" s="208"/>
      <c r="S2663" s="208"/>
      <c r="T2663" s="208"/>
      <c r="U2663" s="208"/>
      <c r="V2663" s="208"/>
      <c r="W2663" s="19"/>
      <c r="X2663" s="17"/>
      <c r="Y2663" s="5">
        <f t="shared" si="256"/>
        <v>0</v>
      </c>
      <c r="Z2663" s="5">
        <f t="shared" si="257"/>
        <v>0</v>
      </c>
      <c r="AA2663" s="5">
        <f t="shared" si="258"/>
        <v>0</v>
      </c>
      <c r="AB2663" s="5">
        <f t="shared" si="259"/>
        <v>0</v>
      </c>
      <c r="AC2663" s="5"/>
      <c r="AD2663" s="5">
        <v>345000000</v>
      </c>
      <c r="AE2663" s="5">
        <f t="shared" si="260"/>
        <v>345000000</v>
      </c>
      <c r="AF2663" s="70">
        <v>0</v>
      </c>
      <c r="AG2663" s="17"/>
      <c r="AH2663" s="18"/>
      <c r="AI2663" s="47" t="s">
        <v>4346</v>
      </c>
      <c r="AJ2663" s="73" t="s">
        <v>4347</v>
      </c>
      <c r="AK2663" s="45"/>
      <c r="AL2663" s="17"/>
      <c r="AM2663" s="20" t="s">
        <v>5267</v>
      </c>
      <c r="AN2663" s="19"/>
      <c r="AO2663" s="19"/>
      <c r="AP2663" s="19"/>
      <c r="AQ2663" s="19"/>
      <c r="AR2663" s="19"/>
      <c r="AS2663" s="19"/>
      <c r="AT2663" s="19"/>
      <c r="AU2663" s="19"/>
      <c r="AV2663" s="19"/>
      <c r="AW2663" s="19"/>
      <c r="AX2663" s="19"/>
      <c r="AY2663" s="19"/>
      <c r="AZ2663" s="19"/>
      <c r="BA2663" s="19"/>
      <c r="BB2663" s="19"/>
      <c r="BC2663" s="19"/>
      <c r="BD2663" s="19"/>
      <c r="BE2663" s="19"/>
      <c r="BF2663" s="19"/>
      <c r="BG2663" s="19"/>
      <c r="BH2663" s="19"/>
      <c r="BI2663" s="19"/>
      <c r="BJ2663" s="19"/>
      <c r="BK2663" s="19"/>
      <c r="BL2663" s="19"/>
      <c r="BM2663" s="19"/>
      <c r="BN2663" s="19"/>
      <c r="BO2663" s="19"/>
      <c r="BP2663" s="19"/>
      <c r="BQ2663" s="19"/>
      <c r="BR2663" s="19"/>
      <c r="BS2663" s="19"/>
      <c r="BT2663" s="19"/>
      <c r="BU2663" s="19"/>
      <c r="BV2663" s="19"/>
      <c r="BW2663" s="19"/>
      <c r="BX2663" s="19"/>
      <c r="BY2663" s="19"/>
      <c r="BZ2663" s="19"/>
      <c r="CA2663" s="19"/>
      <c r="CB2663" s="19"/>
      <c r="CC2663" s="19"/>
      <c r="CD2663" s="139"/>
      <c r="CE2663" s="138"/>
      <c r="CF2663" s="139"/>
      <c r="CG2663" s="138"/>
      <c r="CH2663" s="139"/>
      <c r="CI2663" s="138"/>
      <c r="CJ2663" s="72"/>
      <c r="CK2663" s="139"/>
      <c r="CL2663" s="71"/>
      <c r="CM2663" s="139"/>
      <c r="CN2663" s="138"/>
      <c r="CO2663" s="138"/>
      <c r="CP2663" s="138"/>
      <c r="CQ2663" s="139"/>
      <c r="CR2663" s="138"/>
      <c r="CS2663" s="45"/>
      <c r="CT2663" s="138"/>
      <c r="CU2663" s="45"/>
      <c r="CV2663" s="99">
        <f t="shared" si="261"/>
        <v>0</v>
      </c>
      <c r="CW2663" s="139"/>
      <c r="CX2663" s="138"/>
      <c r="CY2663" s="138"/>
      <c r="CZ2663" s="138"/>
      <c r="DA2663" s="139"/>
      <c r="DB2663" s="138"/>
      <c r="DC2663" s="45"/>
      <c r="DD2663" s="138"/>
      <c r="DE2663" s="45"/>
      <c r="DF2663" s="46"/>
    </row>
    <row r="2664" spans="1:110" s="42" customFormat="1" ht="204" x14ac:dyDescent="0.2">
      <c r="A2664" s="89">
        <v>40865</v>
      </c>
      <c r="B2664" s="151" t="s">
        <v>4387</v>
      </c>
      <c r="C2664" s="90" t="s">
        <v>3493</v>
      </c>
      <c r="D2664" s="90" t="s">
        <v>2362</v>
      </c>
      <c r="E2664" s="90" t="str">
        <f>VLOOKUP(B2664&amp;C2664,Divipola!$C$2:$F$1138,4,FALSE)</f>
        <v>52399</v>
      </c>
      <c r="F2664" s="4"/>
      <c r="G2664" s="194"/>
      <c r="H2664" s="194"/>
      <c r="I2664" s="194"/>
      <c r="J2664" s="194">
        <v>48</v>
      </c>
      <c r="K2664" s="194">
        <v>12</v>
      </c>
      <c r="L2664" s="194"/>
      <c r="M2664" s="194">
        <v>12</v>
      </c>
      <c r="N2664" s="194">
        <v>12</v>
      </c>
      <c r="O2664" s="194"/>
      <c r="P2664" s="194"/>
      <c r="Q2664" s="194"/>
      <c r="R2664" s="194"/>
      <c r="S2664" s="194"/>
      <c r="T2664" s="194"/>
      <c r="U2664" s="194"/>
      <c r="V2664" s="194"/>
      <c r="W2664" s="19"/>
      <c r="X2664" s="17"/>
      <c r="Y2664" s="5">
        <f t="shared" si="256"/>
        <v>0</v>
      </c>
      <c r="Z2664" s="5">
        <f t="shared" si="257"/>
        <v>0</v>
      </c>
      <c r="AA2664" s="5">
        <f t="shared" si="258"/>
        <v>0</v>
      </c>
      <c r="AB2664" s="5">
        <f t="shared" si="259"/>
        <v>0</v>
      </c>
      <c r="AC2664" s="5"/>
      <c r="AD2664" s="5">
        <v>0</v>
      </c>
      <c r="AE2664" s="5">
        <f t="shared" si="260"/>
        <v>0</v>
      </c>
      <c r="AF2664" s="70">
        <v>0</v>
      </c>
      <c r="AG2664" s="17"/>
      <c r="AH2664" s="18"/>
      <c r="AI2664" s="47" t="s">
        <v>4336</v>
      </c>
      <c r="AJ2664" s="73" t="s">
        <v>4337</v>
      </c>
      <c r="AK2664" s="45"/>
      <c r="AL2664" s="17"/>
      <c r="AM2664" s="195" t="s">
        <v>5436</v>
      </c>
      <c r="AN2664" s="19"/>
      <c r="AO2664" s="19"/>
      <c r="AP2664" s="19"/>
      <c r="AQ2664" s="19"/>
      <c r="AR2664" s="19"/>
      <c r="AS2664" s="19"/>
      <c r="AT2664" s="19"/>
      <c r="AU2664" s="19"/>
      <c r="AV2664" s="19"/>
      <c r="AW2664" s="19"/>
      <c r="AX2664" s="19"/>
      <c r="AY2664" s="19"/>
      <c r="AZ2664" s="19"/>
      <c r="BA2664" s="19"/>
      <c r="BB2664" s="19"/>
      <c r="BC2664" s="19"/>
      <c r="BD2664" s="19"/>
      <c r="BE2664" s="19"/>
      <c r="BF2664" s="19"/>
      <c r="BG2664" s="19"/>
      <c r="BH2664" s="19"/>
      <c r="BI2664" s="19"/>
      <c r="BJ2664" s="19"/>
      <c r="BK2664" s="19"/>
      <c r="BL2664" s="19"/>
      <c r="BM2664" s="19"/>
      <c r="BN2664" s="19"/>
      <c r="BO2664" s="19"/>
      <c r="BP2664" s="19"/>
      <c r="BQ2664" s="19"/>
      <c r="BR2664" s="19"/>
      <c r="BS2664" s="19"/>
      <c r="BT2664" s="19"/>
      <c r="BU2664" s="19"/>
      <c r="BV2664" s="19"/>
      <c r="BW2664" s="19"/>
      <c r="BX2664" s="19"/>
      <c r="BY2664" s="19"/>
      <c r="BZ2664" s="19"/>
      <c r="CA2664" s="19"/>
      <c r="CB2664" s="19"/>
      <c r="CC2664" s="19"/>
      <c r="CD2664" s="139"/>
      <c r="CE2664" s="138"/>
      <c r="CF2664" s="139"/>
      <c r="CG2664" s="138"/>
      <c r="CH2664" s="139"/>
      <c r="CI2664" s="138"/>
      <c r="CJ2664" s="72"/>
      <c r="CK2664" s="139"/>
      <c r="CL2664" s="71"/>
      <c r="CM2664" s="139"/>
      <c r="CN2664" s="138"/>
      <c r="CO2664" s="138"/>
      <c r="CP2664" s="138"/>
      <c r="CQ2664" s="139"/>
      <c r="CR2664" s="138"/>
      <c r="CS2664" s="45"/>
      <c r="CT2664" s="138"/>
      <c r="CU2664" s="45"/>
      <c r="CV2664" s="99">
        <f t="shared" si="261"/>
        <v>0</v>
      </c>
      <c r="CW2664" s="139"/>
      <c r="CX2664" s="138"/>
      <c r="CY2664" s="138"/>
      <c r="CZ2664" s="138"/>
      <c r="DA2664" s="139"/>
      <c r="DB2664" s="138"/>
      <c r="DC2664" s="45"/>
      <c r="DD2664" s="138"/>
      <c r="DE2664" s="45"/>
      <c r="DF2664" s="46"/>
    </row>
    <row r="2665" spans="1:110" s="42" customFormat="1" ht="60" x14ac:dyDescent="0.2">
      <c r="A2665" s="89">
        <v>40865</v>
      </c>
      <c r="B2665" s="151" t="s">
        <v>4219</v>
      </c>
      <c r="C2665" s="90" t="s">
        <v>3467</v>
      </c>
      <c r="D2665" s="90" t="s">
        <v>4264</v>
      </c>
      <c r="E2665" s="90" t="str">
        <f>VLOOKUP(B2665&amp;C2665,Divipola!$C$2:$F$1138,4,FALSE)</f>
        <v>41016</v>
      </c>
      <c r="F2665" s="4"/>
      <c r="G2665" s="101"/>
      <c r="H2665" s="101"/>
      <c r="I2665" s="101"/>
      <c r="J2665" s="101"/>
      <c r="K2665" s="101"/>
      <c r="L2665" s="101"/>
      <c r="M2665" s="101"/>
      <c r="N2665" s="101">
        <v>19</v>
      </c>
      <c r="O2665" s="101"/>
      <c r="P2665" s="101"/>
      <c r="Q2665" s="101"/>
      <c r="R2665" s="101"/>
      <c r="S2665" s="101"/>
      <c r="T2665" s="101"/>
      <c r="U2665" s="19"/>
      <c r="V2665" s="101"/>
      <c r="W2665" s="19"/>
      <c r="X2665" s="17"/>
      <c r="Y2665" s="5">
        <f t="shared" si="256"/>
        <v>0</v>
      </c>
      <c r="Z2665" s="5">
        <f t="shared" si="257"/>
        <v>0</v>
      </c>
      <c r="AA2665" s="5">
        <f t="shared" si="258"/>
        <v>0</v>
      </c>
      <c r="AB2665" s="5">
        <f t="shared" si="259"/>
        <v>0</v>
      </c>
      <c r="AC2665" s="5"/>
      <c r="AD2665" s="5">
        <v>0</v>
      </c>
      <c r="AE2665" s="5">
        <f t="shared" si="260"/>
        <v>0</v>
      </c>
      <c r="AF2665" s="70">
        <v>0</v>
      </c>
      <c r="AG2665" s="17"/>
      <c r="AH2665" s="18"/>
      <c r="AI2665" s="47" t="s">
        <v>4346</v>
      </c>
      <c r="AJ2665" s="73" t="s">
        <v>4347</v>
      </c>
      <c r="AK2665" s="45"/>
      <c r="AL2665" s="89" t="s">
        <v>2798</v>
      </c>
      <c r="AM2665" s="121" t="s">
        <v>5493</v>
      </c>
      <c r="AN2665" s="19"/>
      <c r="AO2665" s="19"/>
      <c r="AP2665" s="19"/>
      <c r="AQ2665" s="19"/>
      <c r="AR2665" s="19"/>
      <c r="AS2665" s="19"/>
      <c r="AT2665" s="19"/>
      <c r="AU2665" s="19"/>
      <c r="AV2665" s="19"/>
      <c r="AW2665" s="19"/>
      <c r="AX2665" s="19"/>
      <c r="AY2665" s="19"/>
      <c r="AZ2665" s="19"/>
      <c r="BA2665" s="19"/>
      <c r="BB2665" s="19"/>
      <c r="BC2665" s="19"/>
      <c r="BD2665" s="19"/>
      <c r="BE2665" s="19"/>
      <c r="BF2665" s="19"/>
      <c r="BG2665" s="19"/>
      <c r="BH2665" s="19"/>
      <c r="BI2665" s="19"/>
      <c r="BJ2665" s="19"/>
      <c r="BK2665" s="19"/>
      <c r="BL2665" s="19"/>
      <c r="BM2665" s="19"/>
      <c r="BN2665" s="19"/>
      <c r="BO2665" s="19"/>
      <c r="BP2665" s="19"/>
      <c r="BQ2665" s="19"/>
      <c r="BR2665" s="19"/>
      <c r="BS2665" s="19"/>
      <c r="BT2665" s="19"/>
      <c r="BU2665" s="19"/>
      <c r="BV2665" s="19"/>
      <c r="BW2665" s="19"/>
      <c r="BX2665" s="19"/>
      <c r="BY2665" s="19"/>
      <c r="BZ2665" s="19"/>
      <c r="CA2665" s="19"/>
      <c r="CB2665" s="19"/>
      <c r="CC2665" s="19"/>
      <c r="CD2665" s="139"/>
      <c r="CE2665" s="138"/>
      <c r="CF2665" s="139"/>
      <c r="CG2665" s="138"/>
      <c r="CH2665" s="139"/>
      <c r="CI2665" s="138"/>
      <c r="CJ2665" s="72"/>
      <c r="CK2665" s="139"/>
      <c r="CL2665" s="71"/>
      <c r="CM2665" s="139"/>
      <c r="CN2665" s="138"/>
      <c r="CO2665" s="138"/>
      <c r="CP2665" s="138"/>
      <c r="CQ2665" s="139"/>
      <c r="CR2665" s="138"/>
      <c r="CS2665" s="45"/>
      <c r="CT2665" s="138"/>
      <c r="CU2665" s="45"/>
      <c r="CV2665" s="99">
        <f t="shared" si="261"/>
        <v>0</v>
      </c>
      <c r="CW2665" s="139"/>
      <c r="CX2665" s="138"/>
      <c r="CY2665" s="138"/>
      <c r="CZ2665" s="138"/>
      <c r="DA2665" s="139"/>
      <c r="DB2665" s="138"/>
      <c r="DC2665" s="45"/>
      <c r="DD2665" s="138"/>
      <c r="DE2665" s="45"/>
      <c r="DF2665" s="46"/>
    </row>
    <row r="2666" spans="1:110" s="42" customFormat="1" ht="24" x14ac:dyDescent="0.2">
      <c r="A2666" s="89">
        <v>40865</v>
      </c>
      <c r="B2666" s="151" t="s">
        <v>4387</v>
      </c>
      <c r="C2666" s="90" t="s">
        <v>499</v>
      </c>
      <c r="D2666" s="90" t="s">
        <v>2362</v>
      </c>
      <c r="E2666" s="90" t="str">
        <f>VLOOKUP(B2666&amp;C2666,Divipola!$C$2:$F$1138,4,FALSE)</f>
        <v>52405</v>
      </c>
      <c r="F2666" s="4"/>
      <c r="G2666" s="101"/>
      <c r="H2666" s="101">
        <v>2</v>
      </c>
      <c r="I2666" s="101"/>
      <c r="J2666" s="101">
        <v>60</v>
      </c>
      <c r="K2666" s="101">
        <v>12</v>
      </c>
      <c r="L2666" s="101"/>
      <c r="M2666" s="101">
        <v>12</v>
      </c>
      <c r="N2666" s="101"/>
      <c r="O2666" s="101"/>
      <c r="P2666" s="101"/>
      <c r="Q2666" s="101"/>
      <c r="R2666" s="101"/>
      <c r="S2666" s="101"/>
      <c r="T2666" s="101"/>
      <c r="U2666" s="101"/>
      <c r="V2666" s="264"/>
      <c r="W2666" s="19"/>
      <c r="X2666" s="17"/>
      <c r="Y2666" s="5">
        <f t="shared" si="256"/>
        <v>0</v>
      </c>
      <c r="Z2666" s="5">
        <f t="shared" si="257"/>
        <v>0</v>
      </c>
      <c r="AA2666" s="5">
        <f t="shared" si="258"/>
        <v>0</v>
      </c>
      <c r="AB2666" s="5">
        <f t="shared" si="259"/>
        <v>0</v>
      </c>
      <c r="AC2666" s="5"/>
      <c r="AD2666" s="5">
        <v>0</v>
      </c>
      <c r="AE2666" s="5">
        <f t="shared" si="260"/>
        <v>0</v>
      </c>
      <c r="AF2666" s="70">
        <v>0</v>
      </c>
      <c r="AG2666" s="17"/>
      <c r="AH2666" s="18"/>
      <c r="AI2666" s="47" t="s">
        <v>4336</v>
      </c>
      <c r="AJ2666" s="73" t="s">
        <v>4337</v>
      </c>
      <c r="AK2666" s="45"/>
      <c r="AL2666" s="17"/>
      <c r="AM2666" s="121" t="s">
        <v>5615</v>
      </c>
      <c r="AN2666" s="19"/>
      <c r="AO2666" s="19"/>
      <c r="AP2666" s="19"/>
      <c r="AQ2666" s="19"/>
      <c r="AR2666" s="19"/>
      <c r="AS2666" s="19"/>
      <c r="AT2666" s="19"/>
      <c r="AU2666" s="19"/>
      <c r="AV2666" s="19"/>
      <c r="AW2666" s="19"/>
      <c r="AX2666" s="19"/>
      <c r="AY2666" s="19"/>
      <c r="AZ2666" s="19"/>
      <c r="BA2666" s="19"/>
      <c r="BB2666" s="19"/>
      <c r="BC2666" s="19"/>
      <c r="BD2666" s="19"/>
      <c r="BE2666" s="19"/>
      <c r="BF2666" s="19"/>
      <c r="BG2666" s="19"/>
      <c r="BH2666" s="19"/>
      <c r="BI2666" s="19"/>
      <c r="BJ2666" s="19"/>
      <c r="BK2666" s="19"/>
      <c r="BL2666" s="19"/>
      <c r="BM2666" s="19"/>
      <c r="BN2666" s="19"/>
      <c r="BO2666" s="19"/>
      <c r="BP2666" s="19"/>
      <c r="BQ2666" s="19"/>
      <c r="BR2666" s="19"/>
      <c r="BS2666" s="19"/>
      <c r="BT2666" s="19"/>
      <c r="BU2666" s="19"/>
      <c r="BV2666" s="19"/>
      <c r="BW2666" s="19"/>
      <c r="BX2666" s="19"/>
      <c r="BY2666" s="19"/>
      <c r="BZ2666" s="19"/>
      <c r="CA2666" s="19"/>
      <c r="CB2666" s="19"/>
      <c r="CC2666" s="19"/>
      <c r="CD2666" s="139"/>
      <c r="CE2666" s="138"/>
      <c r="CF2666" s="139"/>
      <c r="CG2666" s="138"/>
      <c r="CH2666" s="139"/>
      <c r="CI2666" s="138"/>
      <c r="CJ2666" s="72"/>
      <c r="CK2666" s="139"/>
      <c r="CL2666" s="71"/>
      <c r="CM2666" s="139"/>
      <c r="CN2666" s="138"/>
      <c r="CO2666" s="138"/>
      <c r="CP2666" s="138"/>
      <c r="CQ2666" s="139"/>
      <c r="CR2666" s="138"/>
      <c r="CS2666" s="45"/>
      <c r="CT2666" s="138"/>
      <c r="CU2666" s="45"/>
      <c r="CV2666" s="99">
        <f t="shared" si="261"/>
        <v>0</v>
      </c>
      <c r="CW2666" s="139"/>
      <c r="CX2666" s="138"/>
      <c r="CY2666" s="138"/>
      <c r="CZ2666" s="138"/>
      <c r="DA2666" s="139"/>
      <c r="DB2666" s="138"/>
      <c r="DC2666" s="45"/>
      <c r="DD2666" s="138"/>
      <c r="DE2666" s="45"/>
      <c r="DF2666" s="46"/>
    </row>
    <row r="2667" spans="1:110" s="42" customFormat="1" ht="84" x14ac:dyDescent="0.2">
      <c r="A2667" s="89">
        <v>40866</v>
      </c>
      <c r="B2667" s="151" t="s">
        <v>2218</v>
      </c>
      <c r="C2667" s="90" t="s">
        <v>4266</v>
      </c>
      <c r="D2667" s="90" t="s">
        <v>4264</v>
      </c>
      <c r="E2667" s="90" t="str">
        <f>VLOOKUP(B2667&amp;C2667,Divipola!$C$2:$F$1138,4,FALSE)</f>
        <v>05088</v>
      </c>
      <c r="F2667" s="4"/>
      <c r="G2667" s="194"/>
      <c r="H2667" s="194"/>
      <c r="I2667" s="194"/>
      <c r="J2667" s="194">
        <v>625</v>
      </c>
      <c r="K2667" s="194">
        <v>125</v>
      </c>
      <c r="L2667" s="194">
        <v>6</v>
      </c>
      <c r="M2667" s="194">
        <v>50</v>
      </c>
      <c r="N2667" s="194">
        <v>1</v>
      </c>
      <c r="O2667" s="194"/>
      <c r="P2667" s="194"/>
      <c r="Q2667" s="194"/>
      <c r="R2667" s="194">
        <v>1</v>
      </c>
      <c r="S2667" s="194"/>
      <c r="T2667" s="194"/>
      <c r="U2667" s="194"/>
      <c r="V2667" s="194"/>
      <c r="W2667" s="19"/>
      <c r="X2667" s="17"/>
      <c r="Y2667" s="5">
        <f t="shared" si="256"/>
        <v>0</v>
      </c>
      <c r="Z2667" s="5">
        <f t="shared" si="257"/>
        <v>0</v>
      </c>
      <c r="AA2667" s="5">
        <f t="shared" si="258"/>
        <v>0</v>
      </c>
      <c r="AB2667" s="5">
        <f t="shared" si="259"/>
        <v>0</v>
      </c>
      <c r="AC2667" s="5"/>
      <c r="AD2667" s="5">
        <v>0</v>
      </c>
      <c r="AE2667" s="5">
        <f t="shared" si="260"/>
        <v>0</v>
      </c>
      <c r="AF2667" s="70">
        <v>0</v>
      </c>
      <c r="AG2667" s="17"/>
      <c r="AH2667" s="18"/>
      <c r="AI2667" s="47" t="s">
        <v>4346</v>
      </c>
      <c r="AJ2667" s="73" t="s">
        <v>4347</v>
      </c>
      <c r="AK2667" s="45"/>
      <c r="AL2667" s="89" t="s">
        <v>2798</v>
      </c>
      <c r="AM2667" s="195" t="s">
        <v>5044</v>
      </c>
      <c r="AN2667" s="19"/>
      <c r="AO2667" s="19"/>
      <c r="AP2667" s="19"/>
      <c r="AQ2667" s="19"/>
      <c r="AR2667" s="19"/>
      <c r="AS2667" s="19"/>
      <c r="AT2667" s="19"/>
      <c r="AU2667" s="19"/>
      <c r="AV2667" s="19"/>
      <c r="AW2667" s="19"/>
      <c r="AX2667" s="19"/>
      <c r="AY2667" s="19"/>
      <c r="AZ2667" s="19"/>
      <c r="BA2667" s="19"/>
      <c r="BB2667" s="19"/>
      <c r="BC2667" s="19"/>
      <c r="BD2667" s="19"/>
      <c r="BE2667" s="19"/>
      <c r="BF2667" s="19"/>
      <c r="BG2667" s="19"/>
      <c r="BH2667" s="19"/>
      <c r="BI2667" s="19"/>
      <c r="BJ2667" s="19"/>
      <c r="BK2667" s="19"/>
      <c r="BL2667" s="19"/>
      <c r="BM2667" s="19"/>
      <c r="BN2667" s="19"/>
      <c r="BO2667" s="19"/>
      <c r="BP2667" s="19"/>
      <c r="BQ2667" s="19"/>
      <c r="BR2667" s="19"/>
      <c r="BS2667" s="19"/>
      <c r="BT2667" s="19"/>
      <c r="BU2667" s="19"/>
      <c r="BV2667" s="19"/>
      <c r="BW2667" s="19"/>
      <c r="BX2667" s="19"/>
      <c r="BY2667" s="19"/>
      <c r="BZ2667" s="19"/>
      <c r="CA2667" s="19"/>
      <c r="CB2667" s="19"/>
      <c r="CC2667" s="19"/>
      <c r="CD2667" s="139"/>
      <c r="CE2667" s="138"/>
      <c r="CF2667" s="139"/>
      <c r="CG2667" s="138"/>
      <c r="CH2667" s="139"/>
      <c r="CI2667" s="138"/>
      <c r="CJ2667" s="72"/>
      <c r="CK2667" s="139"/>
      <c r="CL2667" s="71"/>
      <c r="CM2667" s="139"/>
      <c r="CN2667" s="138"/>
      <c r="CO2667" s="138"/>
      <c r="CP2667" s="138"/>
      <c r="CQ2667" s="139"/>
      <c r="CR2667" s="138"/>
      <c r="CS2667" s="45"/>
      <c r="CT2667" s="138"/>
      <c r="CU2667" s="45"/>
      <c r="CV2667" s="99">
        <f t="shared" si="261"/>
        <v>0</v>
      </c>
      <c r="CW2667" s="139"/>
      <c r="CX2667" s="138"/>
      <c r="CY2667" s="138"/>
      <c r="CZ2667" s="138"/>
      <c r="DA2667" s="139"/>
      <c r="DB2667" s="138"/>
      <c r="DC2667" s="45"/>
      <c r="DD2667" s="138"/>
      <c r="DE2667" s="45"/>
      <c r="DF2667" s="46"/>
    </row>
    <row r="2668" spans="1:110" s="42" customFormat="1" ht="108" x14ac:dyDescent="0.2">
      <c r="A2668" s="89">
        <v>40866</v>
      </c>
      <c r="B2668" s="151" t="s">
        <v>4261</v>
      </c>
      <c r="C2668" s="90" t="s">
        <v>71</v>
      </c>
      <c r="D2668" s="90" t="s">
        <v>2362</v>
      </c>
      <c r="E2668" s="90" t="str">
        <f>VLOOKUP(B2668&amp;C2668,Divipola!$C$2:$F$1138,4,FALSE)</f>
        <v>15212</v>
      </c>
      <c r="F2668" s="4"/>
      <c r="G2668" s="208"/>
      <c r="H2668" s="208"/>
      <c r="I2668" s="208"/>
      <c r="J2668" s="208"/>
      <c r="K2668" s="208"/>
      <c r="L2668" s="208"/>
      <c r="M2668" s="208"/>
      <c r="N2668" s="208"/>
      <c r="O2668" s="208">
        <v>1</v>
      </c>
      <c r="P2668" s="208"/>
      <c r="Q2668" s="208"/>
      <c r="R2668" s="208"/>
      <c r="S2668" s="208"/>
      <c r="T2668" s="208"/>
      <c r="U2668" s="208"/>
      <c r="V2668" s="208"/>
      <c r="W2668" s="19"/>
      <c r="X2668" s="17"/>
      <c r="Y2668" s="5">
        <f t="shared" si="256"/>
        <v>0</v>
      </c>
      <c r="Z2668" s="5">
        <f t="shared" si="257"/>
        <v>0</v>
      </c>
      <c r="AA2668" s="5">
        <f t="shared" si="258"/>
        <v>0</v>
      </c>
      <c r="AB2668" s="5">
        <f t="shared" si="259"/>
        <v>0</v>
      </c>
      <c r="AC2668" s="159">
        <f>300*78648</f>
        <v>23594400</v>
      </c>
      <c r="AD2668" s="5">
        <v>40000000</v>
      </c>
      <c r="AE2668" s="5">
        <f t="shared" si="260"/>
        <v>63594400</v>
      </c>
      <c r="AF2668" s="70">
        <v>0</v>
      </c>
      <c r="AG2668" s="17"/>
      <c r="AH2668" s="18"/>
      <c r="AI2668" s="47" t="s">
        <v>4346</v>
      </c>
      <c r="AJ2668" s="73" t="s">
        <v>4347</v>
      </c>
      <c r="AK2668" s="45"/>
      <c r="AL2668" s="17"/>
      <c r="AM2668" s="20" t="s">
        <v>5082</v>
      </c>
      <c r="AN2668" s="19"/>
      <c r="AO2668" s="19"/>
      <c r="AP2668" s="19"/>
      <c r="AQ2668" s="19"/>
      <c r="AR2668" s="19"/>
      <c r="AS2668" s="19"/>
      <c r="AT2668" s="19"/>
      <c r="AU2668" s="19"/>
      <c r="AV2668" s="19"/>
      <c r="AW2668" s="19"/>
      <c r="AX2668" s="19"/>
      <c r="AY2668" s="19"/>
      <c r="AZ2668" s="19"/>
      <c r="BA2668" s="19"/>
      <c r="BB2668" s="19"/>
      <c r="BC2668" s="19"/>
      <c r="BD2668" s="19"/>
      <c r="BE2668" s="19"/>
      <c r="BF2668" s="19"/>
      <c r="BG2668" s="19"/>
      <c r="BH2668" s="19"/>
      <c r="BI2668" s="19"/>
      <c r="BJ2668" s="19"/>
      <c r="BK2668" s="19"/>
      <c r="BL2668" s="19"/>
      <c r="BM2668" s="19"/>
      <c r="BN2668" s="19"/>
      <c r="BO2668" s="19"/>
      <c r="BP2668" s="19"/>
      <c r="BQ2668" s="19"/>
      <c r="BR2668" s="19"/>
      <c r="BS2668" s="19"/>
      <c r="BT2668" s="19"/>
      <c r="BU2668" s="19"/>
      <c r="BV2668" s="19"/>
      <c r="BW2668" s="19"/>
      <c r="BX2668" s="19"/>
      <c r="BY2668" s="19"/>
      <c r="BZ2668" s="19"/>
      <c r="CA2668" s="19"/>
      <c r="CB2668" s="19"/>
      <c r="CC2668" s="19"/>
      <c r="CD2668" s="139"/>
      <c r="CE2668" s="138"/>
      <c r="CF2668" s="139"/>
      <c r="CG2668" s="138"/>
      <c r="CH2668" s="139"/>
      <c r="CI2668" s="138"/>
      <c r="CJ2668" s="72"/>
      <c r="CK2668" s="139"/>
      <c r="CL2668" s="71"/>
      <c r="CM2668" s="139"/>
      <c r="CN2668" s="138"/>
      <c r="CO2668" s="138"/>
      <c r="CP2668" s="138"/>
      <c r="CQ2668" s="139"/>
      <c r="CR2668" s="138"/>
      <c r="CS2668" s="45"/>
      <c r="CT2668" s="138"/>
      <c r="CU2668" s="45"/>
      <c r="CV2668" s="99">
        <f t="shared" si="261"/>
        <v>0</v>
      </c>
      <c r="CW2668" s="139"/>
      <c r="CX2668" s="138"/>
      <c r="CY2668" s="138"/>
      <c r="CZ2668" s="138"/>
      <c r="DA2668" s="139"/>
      <c r="DB2668" s="138"/>
      <c r="DC2668" s="45"/>
      <c r="DD2668" s="138"/>
      <c r="DE2668" s="45"/>
      <c r="DF2668" s="46"/>
    </row>
    <row r="2669" spans="1:110" s="42" customFormat="1" ht="156" x14ac:dyDescent="0.2">
      <c r="A2669" s="89">
        <v>40866</v>
      </c>
      <c r="B2669" s="151" t="s">
        <v>4344</v>
      </c>
      <c r="C2669" s="90" t="s">
        <v>3475</v>
      </c>
      <c r="D2669" s="90" t="s">
        <v>4264</v>
      </c>
      <c r="E2669" s="90" t="str">
        <f>VLOOKUP(B2669&amp;C2669,Divipola!$C$2:$F$1138,4,FALSE)</f>
        <v>25899</v>
      </c>
      <c r="F2669" s="4"/>
      <c r="G2669" s="194"/>
      <c r="H2669" s="194"/>
      <c r="I2669" s="194"/>
      <c r="J2669" s="194"/>
      <c r="K2669" s="194"/>
      <c r="L2669" s="194"/>
      <c r="M2669" s="194"/>
      <c r="N2669" s="194">
        <v>1</v>
      </c>
      <c r="O2669" s="194"/>
      <c r="P2669" s="194"/>
      <c r="Q2669" s="194"/>
      <c r="R2669" s="194"/>
      <c r="S2669" s="194"/>
      <c r="T2669" s="194"/>
      <c r="U2669" s="194"/>
      <c r="V2669" s="194">
        <v>3</v>
      </c>
      <c r="W2669" s="19"/>
      <c r="X2669" s="17"/>
      <c r="Y2669" s="5">
        <f t="shared" si="256"/>
        <v>0</v>
      </c>
      <c r="Z2669" s="5">
        <f t="shared" si="257"/>
        <v>0</v>
      </c>
      <c r="AA2669" s="5">
        <f t="shared" si="258"/>
        <v>0</v>
      </c>
      <c r="AB2669" s="5">
        <f t="shared" si="259"/>
        <v>0</v>
      </c>
      <c r="AC2669" s="5"/>
      <c r="AD2669" s="5">
        <v>0</v>
      </c>
      <c r="AE2669" s="5">
        <f t="shared" si="260"/>
        <v>0</v>
      </c>
      <c r="AF2669" s="70">
        <v>0</v>
      </c>
      <c r="AG2669" s="17"/>
      <c r="AH2669" s="18"/>
      <c r="AI2669" s="47" t="s">
        <v>4336</v>
      </c>
      <c r="AJ2669" s="73" t="s">
        <v>4337</v>
      </c>
      <c r="AK2669" s="45"/>
      <c r="AL2669" s="17"/>
      <c r="AM2669" s="195" t="s">
        <v>5222</v>
      </c>
      <c r="AN2669" s="19"/>
      <c r="AO2669" s="19"/>
      <c r="AP2669" s="19"/>
      <c r="AQ2669" s="19"/>
      <c r="AR2669" s="19"/>
      <c r="AS2669" s="19"/>
      <c r="AT2669" s="19"/>
      <c r="AU2669" s="19"/>
      <c r="AV2669" s="19"/>
      <c r="AW2669" s="19"/>
      <c r="AX2669" s="19"/>
      <c r="AY2669" s="19"/>
      <c r="AZ2669" s="19"/>
      <c r="BA2669" s="19"/>
      <c r="BB2669" s="19"/>
      <c r="BC2669" s="19"/>
      <c r="BD2669" s="19"/>
      <c r="BE2669" s="19"/>
      <c r="BF2669" s="19"/>
      <c r="BG2669" s="19"/>
      <c r="BH2669" s="19"/>
      <c r="BI2669" s="19"/>
      <c r="BJ2669" s="19"/>
      <c r="BK2669" s="19"/>
      <c r="BL2669" s="19"/>
      <c r="BM2669" s="19"/>
      <c r="BN2669" s="19"/>
      <c r="BO2669" s="19"/>
      <c r="BP2669" s="19"/>
      <c r="BQ2669" s="19"/>
      <c r="BR2669" s="19"/>
      <c r="BS2669" s="19"/>
      <c r="BT2669" s="19"/>
      <c r="BU2669" s="19"/>
      <c r="BV2669" s="19"/>
      <c r="BW2669" s="19"/>
      <c r="BX2669" s="19"/>
      <c r="BY2669" s="19"/>
      <c r="BZ2669" s="19"/>
      <c r="CA2669" s="19"/>
      <c r="CB2669" s="19"/>
      <c r="CC2669" s="19"/>
      <c r="CD2669" s="139"/>
      <c r="CE2669" s="138"/>
      <c r="CF2669" s="139"/>
      <c r="CG2669" s="138"/>
      <c r="CH2669" s="139"/>
      <c r="CI2669" s="138"/>
      <c r="CJ2669" s="72"/>
      <c r="CK2669" s="139"/>
      <c r="CL2669" s="71"/>
      <c r="CM2669" s="139"/>
      <c r="CN2669" s="138"/>
      <c r="CO2669" s="138"/>
      <c r="CP2669" s="138"/>
      <c r="CQ2669" s="139"/>
      <c r="CR2669" s="138"/>
      <c r="CS2669" s="45"/>
      <c r="CT2669" s="138"/>
      <c r="CU2669" s="45"/>
      <c r="CV2669" s="99">
        <f t="shared" si="261"/>
        <v>0</v>
      </c>
      <c r="CW2669" s="139"/>
      <c r="CX2669" s="138"/>
      <c r="CY2669" s="138"/>
      <c r="CZ2669" s="138"/>
      <c r="DA2669" s="139"/>
      <c r="DB2669" s="138"/>
      <c r="DC2669" s="45"/>
      <c r="DD2669" s="138"/>
      <c r="DE2669" s="45"/>
      <c r="DF2669" s="46"/>
    </row>
    <row r="2670" spans="1:110" s="42" customFormat="1" ht="24" x14ac:dyDescent="0.2">
      <c r="A2670" s="89">
        <v>40866</v>
      </c>
      <c r="B2670" s="151" t="s">
        <v>4344</v>
      </c>
      <c r="C2670" s="90" t="s">
        <v>4345</v>
      </c>
      <c r="D2670" s="90" t="s">
        <v>4264</v>
      </c>
      <c r="E2670" s="90">
        <f>VLOOKUP(B2670&amp;C2670,Divipola!$C$2:$F$1138,4,FALSE)</f>
        <v>25</v>
      </c>
      <c r="F2670" s="4"/>
      <c r="G2670" s="208"/>
      <c r="H2670" s="208"/>
      <c r="I2670" s="208"/>
      <c r="J2670" s="208"/>
      <c r="K2670" s="208"/>
      <c r="L2670" s="208"/>
      <c r="M2670" s="208"/>
      <c r="N2670" s="208"/>
      <c r="O2670" s="208"/>
      <c r="P2670" s="208"/>
      <c r="Q2670" s="208"/>
      <c r="R2670" s="208"/>
      <c r="S2670" s="208"/>
      <c r="T2670" s="208"/>
      <c r="U2670" s="208"/>
      <c r="V2670" s="208"/>
      <c r="W2670" s="19"/>
      <c r="X2670" s="17"/>
      <c r="Y2670" s="5">
        <f t="shared" si="256"/>
        <v>152198840</v>
      </c>
      <c r="Z2670" s="5">
        <f t="shared" si="257"/>
        <v>0</v>
      </c>
      <c r="AA2670" s="5">
        <f t="shared" si="258"/>
        <v>49279760</v>
      </c>
      <c r="AB2670" s="5">
        <f t="shared" si="259"/>
        <v>0</v>
      </c>
      <c r="AC2670" s="159">
        <f>50*226000+1000*7800</f>
        <v>19100000</v>
      </c>
      <c r="AD2670" s="5">
        <v>0</v>
      </c>
      <c r="AE2670" s="5">
        <f t="shared" si="260"/>
        <v>220578600</v>
      </c>
      <c r="AF2670" s="70">
        <v>0</v>
      </c>
      <c r="AG2670" s="17"/>
      <c r="AH2670" s="18"/>
      <c r="AI2670" s="47" t="s">
        <v>4346</v>
      </c>
      <c r="AJ2670" s="73" t="s">
        <v>4347</v>
      </c>
      <c r="AK2670" s="45"/>
      <c r="AL2670" s="17"/>
      <c r="AM2670" s="20" t="s">
        <v>5052</v>
      </c>
      <c r="AN2670" s="19"/>
      <c r="AO2670" s="19"/>
      <c r="AP2670" s="19"/>
      <c r="AQ2670" s="19"/>
      <c r="AR2670" s="19"/>
      <c r="AS2670" s="19"/>
      <c r="AT2670" s="19"/>
      <c r="AU2670" s="19"/>
      <c r="AV2670" s="19">
        <v>1000</v>
      </c>
      <c r="AW2670" s="19">
        <f>500*18000+500*20999.48</f>
        <v>19499740</v>
      </c>
      <c r="AX2670" s="19"/>
      <c r="AY2670" s="19"/>
      <c r="AZ2670" s="19">
        <v>1000</v>
      </c>
      <c r="BA2670" s="19">
        <f>500*56000+500*55999</f>
        <v>55999500</v>
      </c>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39"/>
      <c r="CE2670" s="138"/>
      <c r="CF2670" s="139"/>
      <c r="CG2670" s="138"/>
      <c r="CH2670" s="139"/>
      <c r="CI2670" s="138"/>
      <c r="CJ2670" s="72"/>
      <c r="CK2670" s="139"/>
      <c r="CL2670" s="71"/>
      <c r="CM2670" s="139"/>
      <c r="CN2670" s="138"/>
      <c r="CO2670" s="138"/>
      <c r="CP2670" s="138">
        <v>1000</v>
      </c>
      <c r="CQ2670" s="139">
        <f>500*37000+500*36999.36</f>
        <v>36999680</v>
      </c>
      <c r="CR2670" s="138">
        <v>1000</v>
      </c>
      <c r="CS2670" s="45">
        <f>500*39700+500*39699.84</f>
        <v>39699920</v>
      </c>
      <c r="CT2670" s="138"/>
      <c r="CU2670" s="45"/>
      <c r="CV2670" s="99">
        <f t="shared" si="261"/>
        <v>152198840</v>
      </c>
      <c r="CW2670" s="139"/>
      <c r="CX2670" s="138"/>
      <c r="CY2670" s="138"/>
      <c r="CZ2670" s="138"/>
      <c r="DA2670" s="139"/>
      <c r="DB2670" s="138"/>
      <c r="DC2670" s="45">
        <v>2000</v>
      </c>
      <c r="DD2670" s="138">
        <f>1000*22500+1000*25464.32+6000*219.24</f>
        <v>49279760</v>
      </c>
      <c r="DE2670" s="45"/>
      <c r="DF2670" s="46"/>
    </row>
    <row r="2671" spans="1:110" s="42" customFormat="1" ht="36" x14ac:dyDescent="0.2">
      <c r="A2671" s="89">
        <v>40866</v>
      </c>
      <c r="B2671" s="151" t="s">
        <v>4344</v>
      </c>
      <c r="C2671" s="90" t="s">
        <v>3371</v>
      </c>
      <c r="D2671" s="90" t="s">
        <v>2362</v>
      </c>
      <c r="E2671" s="90" t="str">
        <f>VLOOKUP(B2671&amp;C2671,Divipola!$C$2:$F$1138,4,FALSE)</f>
        <v>25402</v>
      </c>
      <c r="F2671" s="4"/>
      <c r="G2671" s="101"/>
      <c r="H2671" s="101"/>
      <c r="I2671" s="101"/>
      <c r="J2671" s="101">
        <v>5</v>
      </c>
      <c r="K2671" s="101">
        <v>1</v>
      </c>
      <c r="L2671" s="101"/>
      <c r="M2671" s="101">
        <v>1</v>
      </c>
      <c r="N2671" s="101"/>
      <c r="O2671" s="101"/>
      <c r="P2671" s="101"/>
      <c r="Q2671" s="101"/>
      <c r="R2671" s="101"/>
      <c r="S2671" s="101"/>
      <c r="T2671" s="101"/>
      <c r="U2671" s="101"/>
      <c r="V2671" s="101"/>
      <c r="W2671" s="19"/>
      <c r="X2671" s="17"/>
      <c r="Y2671" s="5">
        <f t="shared" si="256"/>
        <v>0</v>
      </c>
      <c r="Z2671" s="5">
        <f t="shared" si="257"/>
        <v>0</v>
      </c>
      <c r="AA2671" s="5">
        <f t="shared" si="258"/>
        <v>0</v>
      </c>
      <c r="AB2671" s="5">
        <f t="shared" si="259"/>
        <v>0</v>
      </c>
      <c r="AC2671" s="5"/>
      <c r="AD2671" s="5">
        <v>0</v>
      </c>
      <c r="AE2671" s="5">
        <f t="shared" si="260"/>
        <v>0</v>
      </c>
      <c r="AF2671" s="70">
        <v>0</v>
      </c>
      <c r="AG2671" s="17"/>
      <c r="AH2671" s="18"/>
      <c r="AI2671" s="47" t="s">
        <v>4336</v>
      </c>
      <c r="AJ2671" s="73" t="s">
        <v>4337</v>
      </c>
      <c r="AK2671" s="45"/>
      <c r="AL2671" s="17"/>
      <c r="AM2671" s="121" t="s">
        <v>5063</v>
      </c>
      <c r="AN2671" s="19"/>
      <c r="AO2671" s="19"/>
      <c r="AP2671" s="19"/>
      <c r="AQ2671" s="19"/>
      <c r="AR2671" s="19"/>
      <c r="AS2671" s="19"/>
      <c r="AT2671" s="19"/>
      <c r="AU2671" s="19"/>
      <c r="AV2671" s="19"/>
      <c r="AW2671" s="19"/>
      <c r="AX2671" s="19"/>
      <c r="AY2671" s="19"/>
      <c r="AZ2671" s="19"/>
      <c r="BA2671" s="19"/>
      <c r="BB2671" s="19"/>
      <c r="BC2671" s="19"/>
      <c r="BD2671" s="19"/>
      <c r="BE2671" s="19"/>
      <c r="BF2671" s="19"/>
      <c r="BG2671" s="19"/>
      <c r="BH2671" s="19"/>
      <c r="BI2671" s="19"/>
      <c r="BJ2671" s="19"/>
      <c r="BK2671" s="19"/>
      <c r="BL2671" s="19"/>
      <c r="BM2671" s="19"/>
      <c r="BN2671" s="19"/>
      <c r="BO2671" s="19"/>
      <c r="BP2671" s="19"/>
      <c r="BQ2671" s="19"/>
      <c r="BR2671" s="19"/>
      <c r="BS2671" s="19"/>
      <c r="BT2671" s="19"/>
      <c r="BU2671" s="19"/>
      <c r="BV2671" s="19"/>
      <c r="BW2671" s="19"/>
      <c r="BX2671" s="19"/>
      <c r="BY2671" s="19"/>
      <c r="BZ2671" s="19"/>
      <c r="CA2671" s="19"/>
      <c r="CB2671" s="19"/>
      <c r="CC2671" s="19"/>
      <c r="CD2671" s="139"/>
      <c r="CE2671" s="138"/>
      <c r="CF2671" s="139"/>
      <c r="CG2671" s="138"/>
      <c r="CH2671" s="139"/>
      <c r="CI2671" s="138"/>
      <c r="CJ2671" s="72"/>
      <c r="CK2671" s="139"/>
      <c r="CL2671" s="71"/>
      <c r="CM2671" s="139"/>
      <c r="CN2671" s="138"/>
      <c r="CO2671" s="138"/>
      <c r="CP2671" s="138"/>
      <c r="CQ2671" s="139"/>
      <c r="CR2671" s="138"/>
      <c r="CS2671" s="45"/>
      <c r="CT2671" s="138"/>
      <c r="CU2671" s="45"/>
      <c r="CV2671" s="99">
        <f t="shared" si="261"/>
        <v>0</v>
      </c>
      <c r="CW2671" s="139"/>
      <c r="CX2671" s="138"/>
      <c r="CY2671" s="138"/>
      <c r="CZ2671" s="138"/>
      <c r="DA2671" s="139"/>
      <c r="DB2671" s="138"/>
      <c r="DC2671" s="45"/>
      <c r="DD2671" s="138"/>
      <c r="DE2671" s="45"/>
      <c r="DF2671" s="46"/>
    </row>
    <row r="2672" spans="1:110" s="42" customFormat="1" ht="48" x14ac:dyDescent="0.2">
      <c r="A2672" s="89">
        <v>40866</v>
      </c>
      <c r="B2672" s="151" t="s">
        <v>4219</v>
      </c>
      <c r="C2672" s="90" t="s">
        <v>3322</v>
      </c>
      <c r="D2672" s="90" t="s">
        <v>4264</v>
      </c>
      <c r="E2672" s="90" t="str">
        <f>VLOOKUP(B2672&amp;C2672,Divipola!$C$2:$F$1138,4,FALSE)</f>
        <v>41319</v>
      </c>
      <c r="F2672" s="4"/>
      <c r="G2672" s="101"/>
      <c r="H2672" s="101"/>
      <c r="I2672" s="101"/>
      <c r="J2672" s="101">
        <v>13</v>
      </c>
      <c r="K2672" s="101">
        <v>4</v>
      </c>
      <c r="L2672" s="101"/>
      <c r="M2672" s="101">
        <v>4</v>
      </c>
      <c r="N2672" s="101"/>
      <c r="O2672" s="101"/>
      <c r="P2672" s="101"/>
      <c r="Q2672" s="101"/>
      <c r="R2672" s="101"/>
      <c r="S2672" s="101"/>
      <c r="T2672" s="101"/>
      <c r="U2672" s="101"/>
      <c r="V2672" s="101"/>
      <c r="W2672" s="19"/>
      <c r="X2672" s="17"/>
      <c r="Y2672" s="5">
        <f t="shared" si="256"/>
        <v>0</v>
      </c>
      <c r="Z2672" s="5">
        <f t="shared" si="257"/>
        <v>0</v>
      </c>
      <c r="AA2672" s="5">
        <f t="shared" si="258"/>
        <v>0</v>
      </c>
      <c r="AB2672" s="5">
        <f t="shared" si="259"/>
        <v>0</v>
      </c>
      <c r="AC2672" s="5"/>
      <c r="AD2672" s="5">
        <v>0</v>
      </c>
      <c r="AE2672" s="5">
        <f t="shared" si="260"/>
        <v>0</v>
      </c>
      <c r="AF2672" s="70">
        <v>0</v>
      </c>
      <c r="AG2672" s="17"/>
      <c r="AH2672" s="18"/>
      <c r="AI2672" s="47" t="s">
        <v>4346</v>
      </c>
      <c r="AJ2672" s="73" t="s">
        <v>4347</v>
      </c>
      <c r="AK2672" s="45"/>
      <c r="AL2672" s="89" t="s">
        <v>2798</v>
      </c>
      <c r="AM2672" s="121" t="s">
        <v>5059</v>
      </c>
      <c r="AN2672" s="19"/>
      <c r="AO2672" s="19"/>
      <c r="AP2672" s="19"/>
      <c r="AQ2672" s="19"/>
      <c r="AR2672" s="19"/>
      <c r="AS2672" s="19"/>
      <c r="AT2672" s="19"/>
      <c r="AU2672" s="19"/>
      <c r="AV2672" s="19"/>
      <c r="AW2672" s="19"/>
      <c r="AX2672" s="19"/>
      <c r="AY2672" s="19"/>
      <c r="AZ2672" s="19"/>
      <c r="BA2672" s="19"/>
      <c r="BB2672" s="19"/>
      <c r="BC2672" s="19"/>
      <c r="BD2672" s="19"/>
      <c r="BE2672" s="19"/>
      <c r="BF2672" s="19"/>
      <c r="BG2672" s="19"/>
      <c r="BH2672" s="19"/>
      <c r="BI2672" s="19"/>
      <c r="BJ2672" s="19"/>
      <c r="BK2672" s="19"/>
      <c r="BL2672" s="19"/>
      <c r="BM2672" s="19"/>
      <c r="BN2672" s="19"/>
      <c r="BO2672" s="19"/>
      <c r="BP2672" s="19"/>
      <c r="BQ2672" s="19"/>
      <c r="BR2672" s="19"/>
      <c r="BS2672" s="19"/>
      <c r="BT2672" s="19"/>
      <c r="BU2672" s="19"/>
      <c r="BV2672" s="19"/>
      <c r="BW2672" s="19"/>
      <c r="BX2672" s="19"/>
      <c r="BY2672" s="19"/>
      <c r="BZ2672" s="19"/>
      <c r="CA2672" s="19"/>
      <c r="CB2672" s="19"/>
      <c r="CC2672" s="19"/>
      <c r="CD2672" s="139"/>
      <c r="CE2672" s="138"/>
      <c r="CF2672" s="139"/>
      <c r="CG2672" s="138"/>
      <c r="CH2672" s="139"/>
      <c r="CI2672" s="138"/>
      <c r="CJ2672" s="72"/>
      <c r="CK2672" s="139"/>
      <c r="CL2672" s="71"/>
      <c r="CM2672" s="139"/>
      <c r="CN2672" s="138"/>
      <c r="CO2672" s="138"/>
      <c r="CP2672" s="138"/>
      <c r="CQ2672" s="139"/>
      <c r="CR2672" s="138"/>
      <c r="CS2672" s="45"/>
      <c r="CT2672" s="138"/>
      <c r="CU2672" s="45"/>
      <c r="CV2672" s="99">
        <f t="shared" si="261"/>
        <v>0</v>
      </c>
      <c r="CW2672" s="139"/>
      <c r="CX2672" s="138"/>
      <c r="CY2672" s="138"/>
      <c r="CZ2672" s="138"/>
      <c r="DA2672" s="139"/>
      <c r="DB2672" s="138"/>
      <c r="DC2672" s="45"/>
      <c r="DD2672" s="138"/>
      <c r="DE2672" s="45"/>
      <c r="DF2672" s="46"/>
    </row>
    <row r="2673" spans="1:110" s="42" customFormat="1" ht="108" x14ac:dyDescent="0.2">
      <c r="A2673" s="89">
        <v>40866</v>
      </c>
      <c r="B2673" s="151" t="s">
        <v>4219</v>
      </c>
      <c r="C2673" s="90" t="s">
        <v>3376</v>
      </c>
      <c r="D2673" s="90" t="s">
        <v>4264</v>
      </c>
      <c r="E2673" s="90" t="str">
        <f>VLOOKUP(B2673&amp;C2673,Divipola!$C$2:$F$1138,4,FALSE)</f>
        <v>41615</v>
      </c>
      <c r="F2673" s="4"/>
      <c r="G2673" s="101">
        <v>1</v>
      </c>
      <c r="H2673" s="101"/>
      <c r="I2673" s="101"/>
      <c r="J2673" s="101"/>
      <c r="K2673" s="101"/>
      <c r="L2673" s="101"/>
      <c r="M2673" s="101"/>
      <c r="N2673" s="101"/>
      <c r="O2673" s="101"/>
      <c r="P2673" s="101"/>
      <c r="Q2673" s="101"/>
      <c r="R2673" s="101"/>
      <c r="S2673" s="101"/>
      <c r="T2673" s="101"/>
      <c r="U2673" s="101"/>
      <c r="V2673" s="101"/>
      <c r="W2673" s="19"/>
      <c r="X2673" s="17"/>
      <c r="Y2673" s="5">
        <f t="shared" si="256"/>
        <v>0</v>
      </c>
      <c r="Z2673" s="5">
        <f t="shared" si="257"/>
        <v>0</v>
      </c>
      <c r="AA2673" s="5">
        <f t="shared" si="258"/>
        <v>0</v>
      </c>
      <c r="AB2673" s="5">
        <f t="shared" si="259"/>
        <v>0</v>
      </c>
      <c r="AC2673" s="5"/>
      <c r="AD2673" s="5">
        <v>0</v>
      </c>
      <c r="AE2673" s="5">
        <f t="shared" si="260"/>
        <v>0</v>
      </c>
      <c r="AF2673" s="70">
        <v>0</v>
      </c>
      <c r="AG2673" s="17"/>
      <c r="AH2673" s="18"/>
      <c r="AI2673" s="47" t="s">
        <v>4346</v>
      </c>
      <c r="AJ2673" s="73" t="s">
        <v>4347</v>
      </c>
      <c r="AK2673" s="45"/>
      <c r="AL2673" s="89" t="s">
        <v>2798</v>
      </c>
      <c r="AM2673" s="121" t="s">
        <v>5061</v>
      </c>
      <c r="AN2673" s="19"/>
      <c r="AO2673" s="19"/>
      <c r="AP2673" s="19"/>
      <c r="AQ2673" s="19"/>
      <c r="AR2673" s="19"/>
      <c r="AS2673" s="19"/>
      <c r="AT2673" s="19"/>
      <c r="AU2673" s="19"/>
      <c r="AV2673" s="19"/>
      <c r="AW2673" s="19"/>
      <c r="AX2673" s="19"/>
      <c r="AY2673" s="19"/>
      <c r="AZ2673" s="19"/>
      <c r="BA2673" s="19"/>
      <c r="BB2673" s="19"/>
      <c r="BC2673" s="19"/>
      <c r="BD2673" s="19"/>
      <c r="BE2673" s="19"/>
      <c r="BF2673" s="19"/>
      <c r="BG2673" s="19"/>
      <c r="BH2673" s="19"/>
      <c r="BI2673" s="19"/>
      <c r="BJ2673" s="19"/>
      <c r="BK2673" s="19"/>
      <c r="BL2673" s="19"/>
      <c r="BM2673" s="19"/>
      <c r="BN2673" s="19"/>
      <c r="BO2673" s="19"/>
      <c r="BP2673" s="19"/>
      <c r="BQ2673" s="19"/>
      <c r="BR2673" s="19"/>
      <c r="BS2673" s="19"/>
      <c r="BT2673" s="19"/>
      <c r="BU2673" s="19"/>
      <c r="BV2673" s="19"/>
      <c r="BW2673" s="19"/>
      <c r="BX2673" s="19"/>
      <c r="BY2673" s="19"/>
      <c r="BZ2673" s="19"/>
      <c r="CA2673" s="19"/>
      <c r="CB2673" s="19"/>
      <c r="CC2673" s="19"/>
      <c r="CD2673" s="139"/>
      <c r="CE2673" s="138"/>
      <c r="CF2673" s="139"/>
      <c r="CG2673" s="138"/>
      <c r="CH2673" s="139"/>
      <c r="CI2673" s="138"/>
      <c r="CJ2673" s="72"/>
      <c r="CK2673" s="139"/>
      <c r="CL2673" s="71"/>
      <c r="CM2673" s="139"/>
      <c r="CN2673" s="138"/>
      <c r="CO2673" s="138"/>
      <c r="CP2673" s="138"/>
      <c r="CQ2673" s="139"/>
      <c r="CR2673" s="138"/>
      <c r="CS2673" s="45"/>
      <c r="CT2673" s="138"/>
      <c r="CU2673" s="45"/>
      <c r="CV2673" s="99">
        <f t="shared" si="261"/>
        <v>0</v>
      </c>
      <c r="CW2673" s="139"/>
      <c r="CX2673" s="138"/>
      <c r="CY2673" s="138"/>
      <c r="CZ2673" s="138"/>
      <c r="DA2673" s="139"/>
      <c r="DB2673" s="138"/>
      <c r="DC2673" s="45"/>
      <c r="DD2673" s="138"/>
      <c r="DE2673" s="45"/>
      <c r="DF2673" s="46"/>
    </row>
    <row r="2674" spans="1:110" s="42" customFormat="1" ht="312" x14ac:dyDescent="0.2">
      <c r="A2674" s="89">
        <v>40866</v>
      </c>
      <c r="B2674" s="151" t="s">
        <v>4350</v>
      </c>
      <c r="C2674" s="90" t="s">
        <v>3535</v>
      </c>
      <c r="D2674" s="90" t="s">
        <v>2362</v>
      </c>
      <c r="E2674" s="90" t="str">
        <f>VLOOKUP(B2674&amp;C2674,Divipola!$C$2:$F$1138,4,FALSE)</f>
        <v>63130</v>
      </c>
      <c r="F2674" s="4"/>
      <c r="G2674" s="101"/>
      <c r="H2674" s="101"/>
      <c r="I2674" s="101"/>
      <c r="J2674" s="101"/>
      <c r="K2674" s="101"/>
      <c r="L2674" s="101"/>
      <c r="M2674" s="101"/>
      <c r="N2674" s="101">
        <v>1</v>
      </c>
      <c r="O2674" s="101"/>
      <c r="P2674" s="101"/>
      <c r="Q2674" s="101"/>
      <c r="R2674" s="101"/>
      <c r="S2674" s="101"/>
      <c r="T2674" s="101"/>
      <c r="U2674" s="101"/>
      <c r="V2674" s="101"/>
      <c r="W2674" s="19"/>
      <c r="X2674" s="17"/>
      <c r="Y2674" s="5">
        <f t="shared" si="256"/>
        <v>0</v>
      </c>
      <c r="Z2674" s="5">
        <f t="shared" si="257"/>
        <v>0</v>
      </c>
      <c r="AA2674" s="5">
        <f t="shared" si="258"/>
        <v>0</v>
      </c>
      <c r="AB2674" s="5">
        <f t="shared" si="259"/>
        <v>0</v>
      </c>
      <c r="AC2674" s="5"/>
      <c r="AD2674" s="5">
        <v>0</v>
      </c>
      <c r="AE2674" s="5">
        <f t="shared" si="260"/>
        <v>0</v>
      </c>
      <c r="AF2674" s="70">
        <v>0</v>
      </c>
      <c r="AG2674" s="17"/>
      <c r="AH2674" s="18"/>
      <c r="AI2674" s="47" t="s">
        <v>4346</v>
      </c>
      <c r="AJ2674" s="73" t="s">
        <v>4347</v>
      </c>
      <c r="AK2674" s="45"/>
      <c r="AL2674" s="17" t="s">
        <v>5051</v>
      </c>
      <c r="AM2674" s="121" t="s">
        <v>5056</v>
      </c>
      <c r="AN2674" s="19"/>
      <c r="AO2674" s="19"/>
      <c r="AP2674" s="19"/>
      <c r="AQ2674" s="19"/>
      <c r="AR2674" s="19"/>
      <c r="AS2674" s="19"/>
      <c r="AT2674" s="19"/>
      <c r="AU2674" s="19"/>
      <c r="AV2674" s="19"/>
      <c r="AW2674" s="19"/>
      <c r="AX2674" s="19"/>
      <c r="AY2674" s="19"/>
      <c r="AZ2674" s="19"/>
      <c r="BA2674" s="19"/>
      <c r="BB2674" s="19"/>
      <c r="BC2674" s="19"/>
      <c r="BD2674" s="19"/>
      <c r="BE2674" s="19"/>
      <c r="BF2674" s="19"/>
      <c r="BG2674" s="19"/>
      <c r="BH2674" s="19"/>
      <c r="BI2674" s="19"/>
      <c r="BJ2674" s="19"/>
      <c r="BK2674" s="19"/>
      <c r="BL2674" s="19"/>
      <c r="BM2674" s="19"/>
      <c r="BN2674" s="19"/>
      <c r="BO2674" s="19"/>
      <c r="BP2674" s="19"/>
      <c r="BQ2674" s="19"/>
      <c r="BR2674" s="19"/>
      <c r="BS2674" s="19"/>
      <c r="BT2674" s="19"/>
      <c r="BU2674" s="19"/>
      <c r="BV2674" s="19"/>
      <c r="BW2674" s="19"/>
      <c r="BX2674" s="19"/>
      <c r="BY2674" s="19"/>
      <c r="BZ2674" s="19"/>
      <c r="CA2674" s="19"/>
      <c r="CB2674" s="19"/>
      <c r="CC2674" s="19"/>
      <c r="CD2674" s="139"/>
      <c r="CE2674" s="138"/>
      <c r="CF2674" s="139"/>
      <c r="CG2674" s="138"/>
      <c r="CH2674" s="139"/>
      <c r="CI2674" s="138"/>
      <c r="CJ2674" s="72"/>
      <c r="CK2674" s="139"/>
      <c r="CL2674" s="71"/>
      <c r="CM2674" s="139"/>
      <c r="CN2674" s="138"/>
      <c r="CO2674" s="138"/>
      <c r="CP2674" s="138"/>
      <c r="CQ2674" s="139"/>
      <c r="CR2674" s="138"/>
      <c r="CS2674" s="45"/>
      <c r="CT2674" s="138"/>
      <c r="CU2674" s="45"/>
      <c r="CV2674" s="99">
        <f t="shared" si="261"/>
        <v>0</v>
      </c>
      <c r="CW2674" s="139"/>
      <c r="CX2674" s="138"/>
      <c r="CY2674" s="138"/>
      <c r="CZ2674" s="138"/>
      <c r="DA2674" s="139"/>
      <c r="DB2674" s="138"/>
      <c r="DC2674" s="45"/>
      <c r="DD2674" s="138"/>
      <c r="DE2674" s="45"/>
      <c r="DF2674" s="46"/>
    </row>
    <row r="2675" spans="1:110" s="42" customFormat="1" ht="60" x14ac:dyDescent="0.2">
      <c r="A2675" s="89">
        <v>40866</v>
      </c>
      <c r="B2675" s="196" t="s">
        <v>2226</v>
      </c>
      <c r="C2675" s="197" t="s">
        <v>3380</v>
      </c>
      <c r="D2675" s="90" t="s">
        <v>4264</v>
      </c>
      <c r="E2675" s="90" t="str">
        <f>VLOOKUP(B2675&amp;C2675,Divipola!$C$2:$F$1138,4,FALSE)</f>
        <v>68575</v>
      </c>
      <c r="F2675" s="4"/>
      <c r="G2675" s="194"/>
      <c r="H2675" s="194"/>
      <c r="I2675" s="194"/>
      <c r="J2675" s="194">
        <v>132</v>
      </c>
      <c r="K2675" s="194">
        <v>32</v>
      </c>
      <c r="L2675" s="194"/>
      <c r="M2675" s="194">
        <v>32</v>
      </c>
      <c r="N2675" s="194"/>
      <c r="O2675" s="194"/>
      <c r="P2675" s="194"/>
      <c r="Q2675" s="194"/>
      <c r="R2675" s="194"/>
      <c r="S2675" s="194"/>
      <c r="T2675" s="194"/>
      <c r="U2675" s="194"/>
      <c r="V2675" s="194"/>
      <c r="W2675" s="19"/>
      <c r="X2675" s="17"/>
      <c r="Y2675" s="5">
        <f t="shared" si="256"/>
        <v>0</v>
      </c>
      <c r="Z2675" s="5">
        <f t="shared" si="257"/>
        <v>0</v>
      </c>
      <c r="AA2675" s="5">
        <f t="shared" si="258"/>
        <v>0</v>
      </c>
      <c r="AB2675" s="5">
        <f t="shared" si="259"/>
        <v>0</v>
      </c>
      <c r="AC2675" s="5"/>
      <c r="AD2675" s="5">
        <v>0</v>
      </c>
      <c r="AE2675" s="5">
        <f t="shared" si="260"/>
        <v>0</v>
      </c>
      <c r="AF2675" s="70">
        <v>0</v>
      </c>
      <c r="AG2675" s="17"/>
      <c r="AH2675" s="18"/>
      <c r="AI2675" s="47" t="s">
        <v>4346</v>
      </c>
      <c r="AJ2675" s="73" t="s">
        <v>4347</v>
      </c>
      <c r="AK2675" s="45"/>
      <c r="AL2675" s="17" t="s">
        <v>5534</v>
      </c>
      <c r="AM2675" s="195" t="s">
        <v>5045</v>
      </c>
      <c r="AN2675" s="19"/>
      <c r="AO2675" s="19"/>
      <c r="AP2675" s="19"/>
      <c r="AQ2675" s="19"/>
      <c r="AR2675" s="19"/>
      <c r="AS2675" s="19"/>
      <c r="AT2675" s="19"/>
      <c r="AU2675" s="19"/>
      <c r="AV2675" s="19"/>
      <c r="AW2675" s="19"/>
      <c r="AX2675" s="19"/>
      <c r="AY2675" s="19"/>
      <c r="AZ2675" s="19"/>
      <c r="BA2675" s="19"/>
      <c r="BB2675" s="19"/>
      <c r="BC2675" s="19"/>
      <c r="BD2675" s="19"/>
      <c r="BE2675" s="19"/>
      <c r="BF2675" s="19"/>
      <c r="BG2675" s="19"/>
      <c r="BH2675" s="19"/>
      <c r="BI2675" s="19"/>
      <c r="BJ2675" s="19"/>
      <c r="BK2675" s="19"/>
      <c r="BL2675" s="19"/>
      <c r="BM2675" s="19"/>
      <c r="BN2675" s="19"/>
      <c r="BO2675" s="19"/>
      <c r="BP2675" s="19"/>
      <c r="BQ2675" s="19"/>
      <c r="BR2675" s="19"/>
      <c r="BS2675" s="19"/>
      <c r="BT2675" s="19"/>
      <c r="BU2675" s="19"/>
      <c r="BV2675" s="19"/>
      <c r="BW2675" s="19"/>
      <c r="BX2675" s="19"/>
      <c r="BY2675" s="19"/>
      <c r="BZ2675" s="19"/>
      <c r="CA2675" s="19"/>
      <c r="CB2675" s="19"/>
      <c r="CC2675" s="19"/>
      <c r="CD2675" s="139"/>
      <c r="CE2675" s="138"/>
      <c r="CF2675" s="139"/>
      <c r="CG2675" s="138"/>
      <c r="CH2675" s="139"/>
      <c r="CI2675" s="138"/>
      <c r="CJ2675" s="72"/>
      <c r="CK2675" s="139"/>
      <c r="CL2675" s="71"/>
      <c r="CM2675" s="139"/>
      <c r="CN2675" s="138"/>
      <c r="CO2675" s="138"/>
      <c r="CP2675" s="138"/>
      <c r="CQ2675" s="139"/>
      <c r="CR2675" s="138"/>
      <c r="CS2675" s="45"/>
      <c r="CT2675" s="138"/>
      <c r="CU2675" s="45"/>
      <c r="CV2675" s="99">
        <f t="shared" si="261"/>
        <v>0</v>
      </c>
      <c r="CW2675" s="139"/>
      <c r="CX2675" s="138"/>
      <c r="CY2675" s="138"/>
      <c r="CZ2675" s="138"/>
      <c r="DA2675" s="139"/>
      <c r="DB2675" s="138"/>
      <c r="DC2675" s="45"/>
      <c r="DD2675" s="138"/>
      <c r="DE2675" s="45"/>
      <c r="DF2675" s="46"/>
    </row>
    <row r="2676" spans="1:110" s="42" customFormat="1" ht="84" x14ac:dyDescent="0.2">
      <c r="A2676" s="89">
        <v>40866</v>
      </c>
      <c r="B2676" s="196" t="s">
        <v>3316</v>
      </c>
      <c r="C2676" s="197" t="s">
        <v>4323</v>
      </c>
      <c r="D2676" s="197" t="s">
        <v>2287</v>
      </c>
      <c r="E2676" s="90" t="str">
        <f>VLOOKUP(B2676&amp;C2676,Divipola!$C$2:$F$1138,4,FALSE)</f>
        <v>73001</v>
      </c>
      <c r="F2676" s="4"/>
      <c r="G2676" s="194">
        <v>10</v>
      </c>
      <c r="H2676" s="194">
        <v>10</v>
      </c>
      <c r="I2676" s="194"/>
      <c r="J2676" s="194"/>
      <c r="K2676" s="194"/>
      <c r="L2676" s="194"/>
      <c r="M2676" s="194"/>
      <c r="N2676" s="194"/>
      <c r="O2676" s="194"/>
      <c r="P2676" s="194"/>
      <c r="Q2676" s="194"/>
      <c r="R2676" s="194"/>
      <c r="S2676" s="194"/>
      <c r="T2676" s="194"/>
      <c r="U2676" s="194"/>
      <c r="V2676" s="194"/>
      <c r="W2676" s="19"/>
      <c r="X2676" s="17"/>
      <c r="Y2676" s="5">
        <f t="shared" si="256"/>
        <v>0</v>
      </c>
      <c r="Z2676" s="5">
        <f t="shared" si="257"/>
        <v>0</v>
      </c>
      <c r="AA2676" s="5">
        <f t="shared" si="258"/>
        <v>0</v>
      </c>
      <c r="AB2676" s="5">
        <f t="shared" si="259"/>
        <v>0</v>
      </c>
      <c r="AC2676" s="5"/>
      <c r="AD2676" s="5">
        <v>0</v>
      </c>
      <c r="AE2676" s="5">
        <f t="shared" si="260"/>
        <v>0</v>
      </c>
      <c r="AF2676" s="70">
        <v>0</v>
      </c>
      <c r="AG2676" s="17"/>
      <c r="AH2676" s="18"/>
      <c r="AI2676" s="47" t="s">
        <v>4346</v>
      </c>
      <c r="AJ2676" s="73" t="s">
        <v>4347</v>
      </c>
      <c r="AK2676" s="45"/>
      <c r="AL2676" s="17" t="s">
        <v>5534</v>
      </c>
      <c r="AM2676" s="195" t="s">
        <v>5047</v>
      </c>
      <c r="AN2676" s="19"/>
      <c r="AO2676" s="19"/>
      <c r="AP2676" s="19"/>
      <c r="AQ2676" s="19"/>
      <c r="AR2676" s="19"/>
      <c r="AS2676" s="19"/>
      <c r="AT2676" s="19"/>
      <c r="AU2676" s="19"/>
      <c r="AV2676" s="19"/>
      <c r="AW2676" s="19"/>
      <c r="AX2676" s="19"/>
      <c r="AY2676" s="19"/>
      <c r="AZ2676" s="19"/>
      <c r="BA2676" s="19"/>
      <c r="BB2676" s="19"/>
      <c r="BC2676" s="19"/>
      <c r="BD2676" s="19"/>
      <c r="BE2676" s="19"/>
      <c r="BF2676" s="19"/>
      <c r="BG2676" s="19"/>
      <c r="BH2676" s="19"/>
      <c r="BI2676" s="19"/>
      <c r="BJ2676" s="19"/>
      <c r="BK2676" s="19"/>
      <c r="BL2676" s="19"/>
      <c r="BM2676" s="19"/>
      <c r="BN2676" s="19"/>
      <c r="BO2676" s="19"/>
      <c r="BP2676" s="19"/>
      <c r="BQ2676" s="19"/>
      <c r="BR2676" s="19"/>
      <c r="BS2676" s="19"/>
      <c r="BT2676" s="19"/>
      <c r="BU2676" s="19"/>
      <c r="BV2676" s="19"/>
      <c r="BW2676" s="19"/>
      <c r="BX2676" s="19"/>
      <c r="BY2676" s="19"/>
      <c r="BZ2676" s="19"/>
      <c r="CA2676" s="19"/>
      <c r="CB2676" s="19"/>
      <c r="CC2676" s="19"/>
      <c r="CD2676" s="139"/>
      <c r="CE2676" s="138"/>
      <c r="CF2676" s="139"/>
      <c r="CG2676" s="138"/>
      <c r="CH2676" s="139"/>
      <c r="CI2676" s="138"/>
      <c r="CJ2676" s="72"/>
      <c r="CK2676" s="139"/>
      <c r="CL2676" s="71"/>
      <c r="CM2676" s="139"/>
      <c r="CN2676" s="138"/>
      <c r="CO2676" s="138"/>
      <c r="CP2676" s="138"/>
      <c r="CQ2676" s="139"/>
      <c r="CR2676" s="138"/>
      <c r="CS2676" s="45"/>
      <c r="CT2676" s="138"/>
      <c r="CU2676" s="45"/>
      <c r="CV2676" s="99">
        <f t="shared" si="261"/>
        <v>0</v>
      </c>
      <c r="CW2676" s="139"/>
      <c r="CX2676" s="138"/>
      <c r="CY2676" s="138"/>
      <c r="CZ2676" s="138"/>
      <c r="DA2676" s="139"/>
      <c r="DB2676" s="138"/>
      <c r="DC2676" s="45"/>
      <c r="DD2676" s="138"/>
      <c r="DE2676" s="45"/>
      <c r="DF2676" s="46"/>
    </row>
    <row r="2677" spans="1:110" s="42" customFormat="1" ht="84" x14ac:dyDescent="0.2">
      <c r="A2677" s="89">
        <v>40866</v>
      </c>
      <c r="B2677" s="196" t="s">
        <v>4244</v>
      </c>
      <c r="C2677" s="197" t="s">
        <v>3332</v>
      </c>
      <c r="D2677" s="90" t="s">
        <v>2362</v>
      </c>
      <c r="E2677" s="90" t="str">
        <f>VLOOKUP(B2677&amp;C2677,Divipola!$C$2:$F$1138,4,FALSE)</f>
        <v>76233</v>
      </c>
      <c r="F2677" s="4"/>
      <c r="G2677" s="194"/>
      <c r="H2677" s="194">
        <v>2</v>
      </c>
      <c r="I2677" s="194"/>
      <c r="J2677" s="194">
        <v>15</v>
      </c>
      <c r="K2677" s="194">
        <v>3</v>
      </c>
      <c r="L2677" s="194">
        <v>3</v>
      </c>
      <c r="M2677" s="194"/>
      <c r="N2677" s="194"/>
      <c r="O2677" s="194"/>
      <c r="P2677" s="194"/>
      <c r="Q2677" s="194"/>
      <c r="R2677" s="194"/>
      <c r="S2677" s="194"/>
      <c r="T2677" s="194"/>
      <c r="U2677" s="194"/>
      <c r="V2677" s="194"/>
      <c r="W2677" s="19"/>
      <c r="X2677" s="17"/>
      <c r="Y2677" s="5">
        <f t="shared" si="256"/>
        <v>0</v>
      </c>
      <c r="Z2677" s="5">
        <f t="shared" si="257"/>
        <v>0</v>
      </c>
      <c r="AA2677" s="5">
        <f t="shared" si="258"/>
        <v>0</v>
      </c>
      <c r="AB2677" s="5">
        <f t="shared" si="259"/>
        <v>0</v>
      </c>
      <c r="AC2677" s="5"/>
      <c r="AD2677" s="5">
        <v>0</v>
      </c>
      <c r="AE2677" s="5">
        <f t="shared" si="260"/>
        <v>0</v>
      </c>
      <c r="AF2677" s="70">
        <v>0</v>
      </c>
      <c r="AG2677" s="17"/>
      <c r="AH2677" s="18"/>
      <c r="AI2677" s="47" t="s">
        <v>4346</v>
      </c>
      <c r="AJ2677" s="73" t="s">
        <v>4347</v>
      </c>
      <c r="AK2677" s="45"/>
      <c r="AL2677" s="89" t="s">
        <v>2798</v>
      </c>
      <c r="AM2677" s="195" t="s">
        <v>5040</v>
      </c>
      <c r="AN2677" s="19"/>
      <c r="AO2677" s="19"/>
      <c r="AP2677" s="19"/>
      <c r="AQ2677" s="19"/>
      <c r="AR2677" s="19"/>
      <c r="AS2677" s="19"/>
      <c r="AT2677" s="19"/>
      <c r="AU2677" s="19"/>
      <c r="AV2677" s="19"/>
      <c r="AW2677" s="19"/>
      <c r="AX2677" s="19"/>
      <c r="AY2677" s="19"/>
      <c r="AZ2677" s="19"/>
      <c r="BA2677" s="19"/>
      <c r="BB2677" s="19"/>
      <c r="BC2677" s="19"/>
      <c r="BD2677" s="19"/>
      <c r="BE2677" s="19"/>
      <c r="BF2677" s="19"/>
      <c r="BG2677" s="19"/>
      <c r="BH2677" s="19"/>
      <c r="BI2677" s="19"/>
      <c r="BJ2677" s="19"/>
      <c r="BK2677" s="19"/>
      <c r="BL2677" s="19"/>
      <c r="BM2677" s="19"/>
      <c r="BN2677" s="19"/>
      <c r="BO2677" s="19"/>
      <c r="BP2677" s="19"/>
      <c r="BQ2677" s="19"/>
      <c r="BR2677" s="19"/>
      <c r="BS2677" s="19"/>
      <c r="BT2677" s="19"/>
      <c r="BU2677" s="19"/>
      <c r="BV2677" s="19"/>
      <c r="BW2677" s="19"/>
      <c r="BX2677" s="19"/>
      <c r="BY2677" s="19"/>
      <c r="BZ2677" s="19"/>
      <c r="CA2677" s="19"/>
      <c r="CB2677" s="19"/>
      <c r="CC2677" s="19"/>
      <c r="CD2677" s="139"/>
      <c r="CE2677" s="138"/>
      <c r="CF2677" s="139"/>
      <c r="CG2677" s="138"/>
      <c r="CH2677" s="139"/>
      <c r="CI2677" s="138"/>
      <c r="CJ2677" s="72"/>
      <c r="CK2677" s="139"/>
      <c r="CL2677" s="71"/>
      <c r="CM2677" s="139"/>
      <c r="CN2677" s="138"/>
      <c r="CO2677" s="138"/>
      <c r="CP2677" s="138"/>
      <c r="CQ2677" s="139"/>
      <c r="CR2677" s="138"/>
      <c r="CS2677" s="45"/>
      <c r="CT2677" s="138"/>
      <c r="CU2677" s="45"/>
      <c r="CV2677" s="99">
        <f t="shared" si="261"/>
        <v>0</v>
      </c>
      <c r="CW2677" s="139"/>
      <c r="CX2677" s="138"/>
      <c r="CY2677" s="138"/>
      <c r="CZ2677" s="138"/>
      <c r="DA2677" s="139"/>
      <c r="DB2677" s="138"/>
      <c r="DC2677" s="45"/>
      <c r="DD2677" s="138"/>
      <c r="DE2677" s="45"/>
      <c r="DF2677" s="46"/>
    </row>
    <row r="2678" spans="1:110" s="42" customFormat="1" ht="36" x14ac:dyDescent="0.2">
      <c r="A2678" s="89">
        <v>40866</v>
      </c>
      <c r="B2678" s="151" t="s">
        <v>2226</v>
      </c>
      <c r="C2678" s="90" t="s">
        <v>4232</v>
      </c>
      <c r="D2678" s="90" t="s">
        <v>4298</v>
      </c>
      <c r="E2678" s="90" t="str">
        <f>VLOOKUP(B2678&amp;C2678,Divipola!$C$2:$F$1138,4,FALSE)</f>
        <v>68001</v>
      </c>
      <c r="F2678" s="4"/>
      <c r="G2678" s="101"/>
      <c r="H2678" s="101"/>
      <c r="I2678" s="101"/>
      <c r="J2678" s="101">
        <v>40</v>
      </c>
      <c r="K2678" s="101">
        <v>8</v>
      </c>
      <c r="L2678" s="101">
        <v>8</v>
      </c>
      <c r="M2678" s="101"/>
      <c r="N2678" s="101"/>
      <c r="O2678" s="101"/>
      <c r="P2678" s="101"/>
      <c r="Q2678" s="101"/>
      <c r="R2678" s="101"/>
      <c r="S2678" s="101"/>
      <c r="T2678" s="101"/>
      <c r="U2678" s="101"/>
      <c r="V2678" s="101"/>
      <c r="W2678" s="19"/>
      <c r="X2678" s="17"/>
      <c r="Y2678" s="5">
        <f t="shared" si="256"/>
        <v>0</v>
      </c>
      <c r="Z2678" s="5">
        <f t="shared" si="257"/>
        <v>0</v>
      </c>
      <c r="AA2678" s="5">
        <f t="shared" si="258"/>
        <v>0</v>
      </c>
      <c r="AB2678" s="5">
        <f t="shared" si="259"/>
        <v>0</v>
      </c>
      <c r="AC2678" s="5"/>
      <c r="AD2678" s="5">
        <v>0</v>
      </c>
      <c r="AE2678" s="5">
        <f t="shared" si="260"/>
        <v>0</v>
      </c>
      <c r="AF2678" s="70">
        <v>0</v>
      </c>
      <c r="AG2678" s="17"/>
      <c r="AH2678" s="18"/>
      <c r="AI2678" s="47" t="s">
        <v>4336</v>
      </c>
      <c r="AJ2678" s="73" t="s">
        <v>4337</v>
      </c>
      <c r="AK2678" s="45"/>
      <c r="AL2678" s="17" t="s">
        <v>5534</v>
      </c>
      <c r="AM2678" s="121" t="s">
        <v>5489</v>
      </c>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39"/>
      <c r="CE2678" s="138"/>
      <c r="CF2678" s="139"/>
      <c r="CG2678" s="138"/>
      <c r="CH2678" s="139"/>
      <c r="CI2678" s="138"/>
      <c r="CJ2678" s="72"/>
      <c r="CK2678" s="139"/>
      <c r="CL2678" s="71"/>
      <c r="CM2678" s="139"/>
      <c r="CN2678" s="138"/>
      <c r="CO2678" s="138"/>
      <c r="CP2678" s="138"/>
      <c r="CQ2678" s="139"/>
      <c r="CR2678" s="138"/>
      <c r="CS2678" s="45"/>
      <c r="CT2678" s="138"/>
      <c r="CU2678" s="45"/>
      <c r="CV2678" s="99">
        <f t="shared" si="261"/>
        <v>0</v>
      </c>
      <c r="CW2678" s="139"/>
      <c r="CX2678" s="138"/>
      <c r="CY2678" s="138"/>
      <c r="CZ2678" s="138"/>
      <c r="DA2678" s="139"/>
      <c r="DB2678" s="138"/>
      <c r="DC2678" s="45"/>
      <c r="DD2678" s="138"/>
      <c r="DE2678" s="45"/>
      <c r="DF2678" s="46"/>
    </row>
    <row r="2679" spans="1:110" s="42" customFormat="1" ht="48" x14ac:dyDescent="0.2">
      <c r="A2679" s="89">
        <v>40867</v>
      </c>
      <c r="B2679" s="151" t="s">
        <v>4326</v>
      </c>
      <c r="C2679" s="90" t="s">
        <v>4338</v>
      </c>
      <c r="D2679" s="90" t="s">
        <v>2362</v>
      </c>
      <c r="E2679" s="90" t="str">
        <f>VLOOKUP(B2679&amp;C2679,Divipola!$C$2:$F$1138,4,FALSE)</f>
        <v>08001</v>
      </c>
      <c r="F2679" s="4"/>
      <c r="G2679" s="101"/>
      <c r="H2679" s="101"/>
      <c r="I2679" s="101"/>
      <c r="J2679" s="101">
        <v>20</v>
      </c>
      <c r="K2679" s="101">
        <v>4</v>
      </c>
      <c r="L2679" s="101"/>
      <c r="M2679" s="101">
        <v>4</v>
      </c>
      <c r="N2679" s="101"/>
      <c r="O2679" s="101"/>
      <c r="P2679" s="101"/>
      <c r="Q2679" s="101"/>
      <c r="R2679" s="101"/>
      <c r="S2679" s="101"/>
      <c r="T2679" s="101"/>
      <c r="U2679" s="101"/>
      <c r="V2679" s="101"/>
      <c r="W2679" s="19"/>
      <c r="X2679" s="17"/>
      <c r="Y2679" s="5">
        <f t="shared" si="256"/>
        <v>0</v>
      </c>
      <c r="Z2679" s="5">
        <f t="shared" si="257"/>
        <v>0</v>
      </c>
      <c r="AA2679" s="5">
        <f t="shared" si="258"/>
        <v>0</v>
      </c>
      <c r="AB2679" s="5">
        <f t="shared" si="259"/>
        <v>0</v>
      </c>
      <c r="AC2679" s="5"/>
      <c r="AD2679" s="5">
        <v>0</v>
      </c>
      <c r="AE2679" s="5">
        <f t="shared" si="260"/>
        <v>0</v>
      </c>
      <c r="AF2679" s="70">
        <v>0</v>
      </c>
      <c r="AG2679" s="17"/>
      <c r="AH2679" s="18"/>
      <c r="AI2679" s="47" t="s">
        <v>4346</v>
      </c>
      <c r="AJ2679" s="73" t="s">
        <v>4347</v>
      </c>
      <c r="AK2679" s="45"/>
      <c r="AL2679" s="17"/>
      <c r="AM2679" s="121" t="s">
        <v>5060</v>
      </c>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c r="BV2679" s="19"/>
      <c r="BW2679" s="19"/>
      <c r="BX2679" s="19"/>
      <c r="BY2679" s="19"/>
      <c r="BZ2679" s="19"/>
      <c r="CA2679" s="19"/>
      <c r="CB2679" s="19"/>
      <c r="CC2679" s="19"/>
      <c r="CD2679" s="139"/>
      <c r="CE2679" s="138"/>
      <c r="CF2679" s="139"/>
      <c r="CG2679" s="138"/>
      <c r="CH2679" s="139"/>
      <c r="CI2679" s="138"/>
      <c r="CJ2679" s="72"/>
      <c r="CK2679" s="139"/>
      <c r="CL2679" s="71"/>
      <c r="CM2679" s="139"/>
      <c r="CN2679" s="138"/>
      <c r="CO2679" s="138"/>
      <c r="CP2679" s="138"/>
      <c r="CQ2679" s="139"/>
      <c r="CR2679" s="138"/>
      <c r="CS2679" s="45"/>
      <c r="CT2679" s="138"/>
      <c r="CU2679" s="45"/>
      <c r="CV2679" s="99">
        <f t="shared" si="261"/>
        <v>0</v>
      </c>
      <c r="CW2679" s="139"/>
      <c r="CX2679" s="138"/>
      <c r="CY2679" s="138"/>
      <c r="CZ2679" s="138"/>
      <c r="DA2679" s="139"/>
      <c r="DB2679" s="138"/>
      <c r="DC2679" s="45"/>
      <c r="DD2679" s="138"/>
      <c r="DE2679" s="45"/>
      <c r="DF2679" s="46"/>
    </row>
    <row r="2680" spans="1:110" s="42" customFormat="1" ht="84" x14ac:dyDescent="0.2">
      <c r="A2680" s="89">
        <v>40867</v>
      </c>
      <c r="B2680" s="151" t="s">
        <v>4261</v>
      </c>
      <c r="C2680" s="90" t="s">
        <v>1177</v>
      </c>
      <c r="D2680" s="90" t="s">
        <v>4264</v>
      </c>
      <c r="E2680" s="90" t="str">
        <f>VLOOKUP(B2680&amp;C2680,Divipola!$C$2:$F$1138,4,FALSE)</f>
        <v>15322</v>
      </c>
      <c r="F2680" s="4"/>
      <c r="G2680" s="101">
        <v>1</v>
      </c>
      <c r="H2680" s="101"/>
      <c r="I2680" s="101"/>
      <c r="J2680" s="101"/>
      <c r="K2680" s="101"/>
      <c r="L2680" s="101"/>
      <c r="M2680" s="101"/>
      <c r="N2680" s="101"/>
      <c r="O2680" s="101"/>
      <c r="P2680" s="101"/>
      <c r="Q2680" s="101"/>
      <c r="R2680" s="101"/>
      <c r="S2680" s="101"/>
      <c r="T2680" s="101"/>
      <c r="U2680" s="101"/>
      <c r="V2680" s="101"/>
      <c r="W2680" s="19"/>
      <c r="X2680" s="17"/>
      <c r="Y2680" s="5">
        <f t="shared" si="256"/>
        <v>0</v>
      </c>
      <c r="Z2680" s="5">
        <f t="shared" si="257"/>
        <v>0</v>
      </c>
      <c r="AA2680" s="5">
        <f t="shared" si="258"/>
        <v>0</v>
      </c>
      <c r="AB2680" s="5">
        <f t="shared" si="259"/>
        <v>0</v>
      </c>
      <c r="AC2680" s="5"/>
      <c r="AD2680" s="5">
        <v>0</v>
      </c>
      <c r="AE2680" s="5">
        <f t="shared" si="260"/>
        <v>0</v>
      </c>
      <c r="AF2680" s="70">
        <v>0</v>
      </c>
      <c r="AG2680" s="17"/>
      <c r="AH2680" s="18"/>
      <c r="AI2680" s="47" t="s">
        <v>4346</v>
      </c>
      <c r="AJ2680" s="73" t="s">
        <v>4347</v>
      </c>
      <c r="AK2680" s="45"/>
      <c r="AL2680" s="17" t="s">
        <v>5531</v>
      </c>
      <c r="AM2680" s="121" t="s">
        <v>5062</v>
      </c>
      <c r="AN2680" s="19"/>
      <c r="AO2680" s="19"/>
      <c r="AP2680" s="19"/>
      <c r="AQ2680" s="19"/>
      <c r="AR2680" s="19"/>
      <c r="AS2680" s="19"/>
      <c r="AT2680" s="19"/>
      <c r="AU2680" s="19"/>
      <c r="AV2680" s="19"/>
      <c r="AW2680" s="19"/>
      <c r="AX2680" s="19"/>
      <c r="AY2680" s="19"/>
      <c r="AZ2680" s="19"/>
      <c r="BA2680" s="19"/>
      <c r="BB2680" s="19"/>
      <c r="BC2680" s="19"/>
      <c r="BD2680" s="19"/>
      <c r="BE2680" s="19"/>
      <c r="BF2680" s="19"/>
      <c r="BG2680" s="19"/>
      <c r="BH2680" s="19"/>
      <c r="BI2680" s="19"/>
      <c r="BJ2680" s="19"/>
      <c r="BK2680" s="19"/>
      <c r="BL2680" s="19"/>
      <c r="BM2680" s="19"/>
      <c r="BN2680" s="19"/>
      <c r="BO2680" s="19"/>
      <c r="BP2680" s="19"/>
      <c r="BQ2680" s="19"/>
      <c r="BR2680" s="19"/>
      <c r="BS2680" s="19"/>
      <c r="BT2680" s="19"/>
      <c r="BU2680" s="19"/>
      <c r="BV2680" s="19"/>
      <c r="BW2680" s="19"/>
      <c r="BX2680" s="19"/>
      <c r="BY2680" s="19"/>
      <c r="BZ2680" s="19"/>
      <c r="CA2680" s="19"/>
      <c r="CB2680" s="19"/>
      <c r="CC2680" s="19"/>
      <c r="CD2680" s="139"/>
      <c r="CE2680" s="138"/>
      <c r="CF2680" s="139"/>
      <c r="CG2680" s="138"/>
      <c r="CH2680" s="139"/>
      <c r="CI2680" s="138"/>
      <c r="CJ2680" s="72"/>
      <c r="CK2680" s="139"/>
      <c r="CL2680" s="71"/>
      <c r="CM2680" s="139"/>
      <c r="CN2680" s="138"/>
      <c r="CO2680" s="138"/>
      <c r="CP2680" s="138"/>
      <c r="CQ2680" s="139"/>
      <c r="CR2680" s="138"/>
      <c r="CS2680" s="45"/>
      <c r="CT2680" s="138"/>
      <c r="CU2680" s="45"/>
      <c r="CV2680" s="99">
        <f t="shared" si="261"/>
        <v>0</v>
      </c>
      <c r="CW2680" s="139"/>
      <c r="CX2680" s="138"/>
      <c r="CY2680" s="138"/>
      <c r="CZ2680" s="138"/>
      <c r="DA2680" s="139"/>
      <c r="DB2680" s="138"/>
      <c r="DC2680" s="45"/>
      <c r="DD2680" s="138"/>
      <c r="DE2680" s="45"/>
      <c r="DF2680" s="46"/>
    </row>
    <row r="2681" spans="1:110" s="42" customFormat="1" ht="108" x14ac:dyDescent="0.2">
      <c r="A2681" s="89">
        <v>40867</v>
      </c>
      <c r="B2681" s="151" t="s">
        <v>4296</v>
      </c>
      <c r="C2681" s="90" t="s">
        <v>4297</v>
      </c>
      <c r="D2681" s="90" t="s">
        <v>4264</v>
      </c>
      <c r="E2681" s="90" t="str">
        <f>VLOOKUP(B2681&amp;C2681,Divipola!$C$2:$F$1138,4,FALSE)</f>
        <v>19001</v>
      </c>
      <c r="F2681" s="4"/>
      <c r="G2681" s="101"/>
      <c r="H2681" s="101"/>
      <c r="I2681" s="101"/>
      <c r="J2681" s="101">
        <v>20</v>
      </c>
      <c r="K2681" s="101">
        <v>4</v>
      </c>
      <c r="L2681" s="101">
        <v>1</v>
      </c>
      <c r="M2681" s="101">
        <v>3</v>
      </c>
      <c r="N2681" s="101"/>
      <c r="O2681" s="101"/>
      <c r="P2681" s="101"/>
      <c r="Q2681" s="101"/>
      <c r="R2681" s="101"/>
      <c r="S2681" s="101"/>
      <c r="T2681" s="101"/>
      <c r="U2681" s="101"/>
      <c r="V2681" s="101"/>
      <c r="W2681" s="19"/>
      <c r="X2681" s="17"/>
      <c r="Y2681" s="5">
        <f t="shared" si="256"/>
        <v>0</v>
      </c>
      <c r="Z2681" s="5">
        <f t="shared" si="257"/>
        <v>0</v>
      </c>
      <c r="AA2681" s="5">
        <f t="shared" si="258"/>
        <v>0</v>
      </c>
      <c r="AB2681" s="5">
        <f t="shared" si="259"/>
        <v>0</v>
      </c>
      <c r="AC2681" s="5"/>
      <c r="AD2681" s="5">
        <v>0</v>
      </c>
      <c r="AE2681" s="5">
        <f t="shared" si="260"/>
        <v>0</v>
      </c>
      <c r="AF2681" s="70">
        <v>0</v>
      </c>
      <c r="AG2681" s="17"/>
      <c r="AH2681" s="18"/>
      <c r="AI2681" s="47" t="s">
        <v>4336</v>
      </c>
      <c r="AJ2681" s="73" t="s">
        <v>4337</v>
      </c>
      <c r="AK2681" s="45"/>
      <c r="AL2681" s="17"/>
      <c r="AM2681" s="121" t="s">
        <v>5055</v>
      </c>
      <c r="AN2681" s="19"/>
      <c r="AO2681" s="19"/>
      <c r="AP2681" s="19"/>
      <c r="AQ2681" s="19"/>
      <c r="AR2681" s="19"/>
      <c r="AS2681" s="19"/>
      <c r="AT2681" s="19"/>
      <c r="AU2681" s="19"/>
      <c r="AV2681" s="19"/>
      <c r="AW2681" s="19"/>
      <c r="AX2681" s="19"/>
      <c r="AY2681" s="19"/>
      <c r="AZ2681" s="19"/>
      <c r="BA2681" s="19"/>
      <c r="BB2681" s="19"/>
      <c r="BC2681" s="19"/>
      <c r="BD2681" s="19"/>
      <c r="BE2681" s="19"/>
      <c r="BF2681" s="19"/>
      <c r="BG2681" s="19"/>
      <c r="BH2681" s="19"/>
      <c r="BI2681" s="19"/>
      <c r="BJ2681" s="19"/>
      <c r="BK2681" s="19"/>
      <c r="BL2681" s="19"/>
      <c r="BM2681" s="19"/>
      <c r="BN2681" s="19"/>
      <c r="BO2681" s="19"/>
      <c r="BP2681" s="19"/>
      <c r="BQ2681" s="19"/>
      <c r="BR2681" s="19"/>
      <c r="BS2681" s="19"/>
      <c r="BT2681" s="19"/>
      <c r="BU2681" s="19"/>
      <c r="BV2681" s="19"/>
      <c r="BW2681" s="19"/>
      <c r="BX2681" s="19"/>
      <c r="BY2681" s="19"/>
      <c r="BZ2681" s="19"/>
      <c r="CA2681" s="19"/>
      <c r="CB2681" s="19"/>
      <c r="CC2681" s="19"/>
      <c r="CD2681" s="139"/>
      <c r="CE2681" s="138"/>
      <c r="CF2681" s="139"/>
      <c r="CG2681" s="138"/>
      <c r="CH2681" s="139"/>
      <c r="CI2681" s="138"/>
      <c r="CJ2681" s="72"/>
      <c r="CK2681" s="139"/>
      <c r="CL2681" s="71"/>
      <c r="CM2681" s="139"/>
      <c r="CN2681" s="138"/>
      <c r="CO2681" s="138"/>
      <c r="CP2681" s="138"/>
      <c r="CQ2681" s="139"/>
      <c r="CR2681" s="138"/>
      <c r="CS2681" s="45"/>
      <c r="CT2681" s="138"/>
      <c r="CU2681" s="45"/>
      <c r="CV2681" s="99">
        <f t="shared" si="261"/>
        <v>0</v>
      </c>
      <c r="CW2681" s="139"/>
      <c r="CX2681" s="138"/>
      <c r="CY2681" s="138"/>
      <c r="CZ2681" s="138"/>
      <c r="DA2681" s="139"/>
      <c r="DB2681" s="138"/>
      <c r="DC2681" s="45"/>
      <c r="DD2681" s="138"/>
      <c r="DE2681" s="45"/>
      <c r="DF2681" s="46"/>
    </row>
    <row r="2682" spans="1:110" s="42" customFormat="1" ht="60" x14ac:dyDescent="0.2">
      <c r="A2682" s="89">
        <v>40867</v>
      </c>
      <c r="B2682" s="151" t="s">
        <v>2225</v>
      </c>
      <c r="C2682" s="90" t="s">
        <v>4258</v>
      </c>
      <c r="D2682" s="90" t="s">
        <v>2362</v>
      </c>
      <c r="E2682" s="90" t="str">
        <f>VLOOKUP(B2682&amp;C2682,Divipola!$C$2:$F$1138,4,FALSE)</f>
        <v>27787</v>
      </c>
      <c r="F2682" s="4"/>
      <c r="G2682" s="101">
        <v>2</v>
      </c>
      <c r="H2682" s="101"/>
      <c r="I2682" s="101"/>
      <c r="J2682" s="101"/>
      <c r="K2682" s="101"/>
      <c r="L2682" s="101"/>
      <c r="M2682" s="101"/>
      <c r="N2682" s="101"/>
      <c r="O2682" s="101"/>
      <c r="P2682" s="101"/>
      <c r="Q2682" s="101"/>
      <c r="R2682" s="101"/>
      <c r="S2682" s="101"/>
      <c r="T2682" s="101"/>
      <c r="U2682" s="101"/>
      <c r="V2682" s="101"/>
      <c r="W2682" s="19"/>
      <c r="X2682" s="17"/>
      <c r="Y2682" s="5">
        <f t="shared" si="256"/>
        <v>0</v>
      </c>
      <c r="Z2682" s="5">
        <f t="shared" si="257"/>
        <v>0</v>
      </c>
      <c r="AA2682" s="5">
        <f t="shared" si="258"/>
        <v>0</v>
      </c>
      <c r="AB2682" s="5">
        <f t="shared" si="259"/>
        <v>0</v>
      </c>
      <c r="AC2682" s="5"/>
      <c r="AD2682" s="5">
        <v>0</v>
      </c>
      <c r="AE2682" s="5">
        <f t="shared" si="260"/>
        <v>0</v>
      </c>
      <c r="AF2682" s="70">
        <v>0</v>
      </c>
      <c r="AG2682" s="17"/>
      <c r="AH2682" s="18"/>
      <c r="AI2682" s="47" t="s">
        <v>4336</v>
      </c>
      <c r="AJ2682" s="73" t="s">
        <v>4337</v>
      </c>
      <c r="AK2682" s="45"/>
      <c r="AL2682" s="17"/>
      <c r="AM2682" s="121" t="s">
        <v>5053</v>
      </c>
      <c r="AN2682" s="19"/>
      <c r="AO2682" s="19"/>
      <c r="AP2682" s="19"/>
      <c r="AQ2682" s="19"/>
      <c r="AR2682" s="19"/>
      <c r="AS2682" s="19"/>
      <c r="AT2682" s="19"/>
      <c r="AU2682" s="19"/>
      <c r="AV2682" s="19"/>
      <c r="AW2682" s="19"/>
      <c r="AX2682" s="19"/>
      <c r="AY2682" s="19"/>
      <c r="AZ2682" s="19"/>
      <c r="BA2682" s="19"/>
      <c r="BB2682" s="19"/>
      <c r="BC2682" s="19"/>
      <c r="BD2682" s="19"/>
      <c r="BE2682" s="19"/>
      <c r="BF2682" s="19"/>
      <c r="BG2682" s="19"/>
      <c r="BH2682" s="19"/>
      <c r="BI2682" s="19"/>
      <c r="BJ2682" s="19"/>
      <c r="BK2682" s="19"/>
      <c r="BL2682" s="19"/>
      <c r="BM2682" s="19"/>
      <c r="BN2682" s="19"/>
      <c r="BO2682" s="19"/>
      <c r="BP2682" s="19"/>
      <c r="BQ2682" s="19"/>
      <c r="BR2682" s="19"/>
      <c r="BS2682" s="19"/>
      <c r="BT2682" s="19"/>
      <c r="BU2682" s="19"/>
      <c r="BV2682" s="19"/>
      <c r="BW2682" s="19"/>
      <c r="BX2682" s="19"/>
      <c r="BY2682" s="19"/>
      <c r="BZ2682" s="19"/>
      <c r="CA2682" s="19"/>
      <c r="CB2682" s="19"/>
      <c r="CC2682" s="19"/>
      <c r="CD2682" s="139"/>
      <c r="CE2682" s="138"/>
      <c r="CF2682" s="139"/>
      <c r="CG2682" s="138"/>
      <c r="CH2682" s="139"/>
      <c r="CI2682" s="138"/>
      <c r="CJ2682" s="72"/>
      <c r="CK2682" s="139"/>
      <c r="CL2682" s="71"/>
      <c r="CM2682" s="139"/>
      <c r="CN2682" s="138"/>
      <c r="CO2682" s="138"/>
      <c r="CP2682" s="138"/>
      <c r="CQ2682" s="139"/>
      <c r="CR2682" s="138"/>
      <c r="CS2682" s="45"/>
      <c r="CT2682" s="138"/>
      <c r="CU2682" s="45"/>
      <c r="CV2682" s="99">
        <f t="shared" si="261"/>
        <v>0</v>
      </c>
      <c r="CW2682" s="139"/>
      <c r="CX2682" s="138"/>
      <c r="CY2682" s="138"/>
      <c r="CZ2682" s="138"/>
      <c r="DA2682" s="139"/>
      <c r="DB2682" s="138"/>
      <c r="DC2682" s="45"/>
      <c r="DD2682" s="138"/>
      <c r="DE2682" s="45"/>
      <c r="DF2682" s="46"/>
    </row>
    <row r="2683" spans="1:110" s="42" customFormat="1" ht="84" x14ac:dyDescent="0.2">
      <c r="A2683" s="89">
        <v>40867</v>
      </c>
      <c r="B2683" s="151" t="s">
        <v>2225</v>
      </c>
      <c r="C2683" s="90" t="s">
        <v>4520</v>
      </c>
      <c r="D2683" s="90" t="s">
        <v>4264</v>
      </c>
      <c r="E2683" s="90" t="str">
        <f>VLOOKUP(B2683&amp;C2683,Divipola!$C$2:$F$1138,4,FALSE)</f>
        <v>27361</v>
      </c>
      <c r="F2683" s="4"/>
      <c r="G2683" s="101"/>
      <c r="H2683" s="101"/>
      <c r="I2683" s="101"/>
      <c r="J2683" s="101">
        <v>2662</v>
      </c>
      <c r="K2683" s="101">
        <v>619</v>
      </c>
      <c r="L2683" s="101"/>
      <c r="M2683" s="101">
        <v>619</v>
      </c>
      <c r="N2683" s="101"/>
      <c r="O2683" s="101"/>
      <c r="P2683" s="101"/>
      <c r="Q2683" s="101"/>
      <c r="R2683" s="101"/>
      <c r="S2683" s="101"/>
      <c r="T2683" s="101"/>
      <c r="U2683" s="101"/>
      <c r="V2683" s="101"/>
      <c r="W2683" s="19"/>
      <c r="X2683" s="17"/>
      <c r="Y2683" s="5">
        <f t="shared" si="256"/>
        <v>0</v>
      </c>
      <c r="Z2683" s="5">
        <f t="shared" si="257"/>
        <v>60900000</v>
      </c>
      <c r="AA2683" s="5">
        <f t="shared" si="258"/>
        <v>0</v>
      </c>
      <c r="AB2683" s="5">
        <f t="shared" si="259"/>
        <v>0</v>
      </c>
      <c r="AC2683" s="5"/>
      <c r="AD2683" s="5">
        <v>0</v>
      </c>
      <c r="AE2683" s="5">
        <f t="shared" si="260"/>
        <v>60900000</v>
      </c>
      <c r="AF2683" s="70">
        <v>0</v>
      </c>
      <c r="AG2683" s="17"/>
      <c r="AH2683" s="18"/>
      <c r="AI2683" s="47" t="s">
        <v>4346</v>
      </c>
      <c r="AJ2683" s="73" t="s">
        <v>4347</v>
      </c>
      <c r="AK2683" s="45"/>
      <c r="AL2683" s="17"/>
      <c r="AM2683" s="121" t="s">
        <v>5054</v>
      </c>
      <c r="AN2683" s="19"/>
      <c r="AO2683" s="19"/>
      <c r="AP2683" s="19"/>
      <c r="AQ2683" s="19"/>
      <c r="AR2683" s="19"/>
      <c r="AS2683" s="19"/>
      <c r="AT2683" s="19"/>
      <c r="AU2683" s="19"/>
      <c r="AV2683" s="19"/>
      <c r="AW2683" s="19"/>
      <c r="AX2683" s="19"/>
      <c r="AY2683" s="19"/>
      <c r="AZ2683" s="19"/>
      <c r="BA2683" s="19"/>
      <c r="BB2683" s="19"/>
      <c r="BC2683" s="19"/>
      <c r="BD2683" s="19"/>
      <c r="BE2683" s="19"/>
      <c r="BF2683" s="19"/>
      <c r="BG2683" s="19"/>
      <c r="BH2683" s="19"/>
      <c r="BI2683" s="19"/>
      <c r="BJ2683" s="19"/>
      <c r="BK2683" s="19"/>
      <c r="BL2683" s="19"/>
      <c r="BM2683" s="19"/>
      <c r="BN2683" s="19"/>
      <c r="BO2683" s="19"/>
      <c r="BP2683" s="19"/>
      <c r="BQ2683" s="19"/>
      <c r="BR2683" s="19"/>
      <c r="BS2683" s="19"/>
      <c r="BT2683" s="19"/>
      <c r="BU2683" s="19"/>
      <c r="BV2683" s="19"/>
      <c r="BW2683" s="19"/>
      <c r="BX2683" s="19"/>
      <c r="BY2683" s="19"/>
      <c r="BZ2683" s="19"/>
      <c r="CA2683" s="19"/>
      <c r="CB2683" s="19"/>
      <c r="CC2683" s="19"/>
      <c r="CD2683" s="139"/>
      <c r="CE2683" s="138"/>
      <c r="CF2683" s="139"/>
      <c r="CG2683" s="138"/>
      <c r="CH2683" s="139"/>
      <c r="CI2683" s="138"/>
      <c r="CJ2683" s="72"/>
      <c r="CK2683" s="139"/>
      <c r="CL2683" s="71"/>
      <c r="CM2683" s="139"/>
      <c r="CN2683" s="138"/>
      <c r="CO2683" s="138"/>
      <c r="CP2683" s="138"/>
      <c r="CQ2683" s="139"/>
      <c r="CR2683" s="138"/>
      <c r="CS2683" s="45"/>
      <c r="CT2683" s="138"/>
      <c r="CU2683" s="45"/>
      <c r="CV2683" s="99">
        <f t="shared" si="261"/>
        <v>0</v>
      </c>
      <c r="CW2683" s="139"/>
      <c r="CX2683" s="138"/>
      <c r="CY2683" s="138">
        <v>700</v>
      </c>
      <c r="CZ2683" s="138">
        <f>700*87000</f>
        <v>60900000</v>
      </c>
      <c r="DA2683" s="139"/>
      <c r="DB2683" s="138"/>
      <c r="DC2683" s="45"/>
      <c r="DD2683" s="138"/>
      <c r="DE2683" s="45"/>
      <c r="DF2683" s="46"/>
    </row>
    <row r="2684" spans="1:110" s="42" customFormat="1" ht="36" x14ac:dyDescent="0.2">
      <c r="A2684" s="89">
        <v>40867</v>
      </c>
      <c r="B2684" s="151" t="s">
        <v>4344</v>
      </c>
      <c r="C2684" s="90" t="s">
        <v>1784</v>
      </c>
      <c r="D2684" s="90" t="s">
        <v>2362</v>
      </c>
      <c r="E2684" s="90" t="str">
        <f>VLOOKUP(B2684&amp;C2684,Divipola!$C$2:$F$1138,4,FALSE)</f>
        <v>25596</v>
      </c>
      <c r="F2684" s="4"/>
      <c r="G2684" s="101"/>
      <c r="H2684" s="101"/>
      <c r="I2684" s="101"/>
      <c r="J2684" s="101">
        <v>1</v>
      </c>
      <c r="K2684" s="101">
        <v>1</v>
      </c>
      <c r="L2684" s="101"/>
      <c r="M2684" s="101">
        <v>1</v>
      </c>
      <c r="N2684" s="101"/>
      <c r="O2684" s="101"/>
      <c r="P2684" s="101"/>
      <c r="Q2684" s="101"/>
      <c r="R2684" s="101"/>
      <c r="S2684" s="101"/>
      <c r="T2684" s="101"/>
      <c r="U2684" s="101"/>
      <c r="V2684" s="101"/>
      <c r="W2684" s="19"/>
      <c r="X2684" s="17"/>
      <c r="Y2684" s="5">
        <f t="shared" si="256"/>
        <v>0</v>
      </c>
      <c r="Z2684" s="5">
        <f t="shared" si="257"/>
        <v>0</v>
      </c>
      <c r="AA2684" s="5">
        <f t="shared" si="258"/>
        <v>0</v>
      </c>
      <c r="AB2684" s="5">
        <f t="shared" si="259"/>
        <v>0</v>
      </c>
      <c r="AC2684" s="5"/>
      <c r="AD2684" s="5">
        <v>0</v>
      </c>
      <c r="AE2684" s="5">
        <f t="shared" si="260"/>
        <v>0</v>
      </c>
      <c r="AF2684" s="70">
        <v>0</v>
      </c>
      <c r="AG2684" s="17"/>
      <c r="AH2684" s="18"/>
      <c r="AI2684" s="47" t="s">
        <v>4336</v>
      </c>
      <c r="AJ2684" s="73" t="s">
        <v>4337</v>
      </c>
      <c r="AK2684" s="45"/>
      <c r="AL2684" s="17"/>
      <c r="AM2684" s="121" t="s">
        <v>5064</v>
      </c>
      <c r="AN2684" s="19"/>
      <c r="AO2684" s="19"/>
      <c r="AP2684" s="19"/>
      <c r="AQ2684" s="19"/>
      <c r="AR2684" s="19"/>
      <c r="AS2684" s="19"/>
      <c r="AT2684" s="19"/>
      <c r="AU2684" s="19"/>
      <c r="AV2684" s="19"/>
      <c r="AW2684" s="19"/>
      <c r="AX2684" s="19"/>
      <c r="AY2684" s="19"/>
      <c r="AZ2684" s="19"/>
      <c r="BA2684" s="19"/>
      <c r="BB2684" s="19"/>
      <c r="BC2684" s="19"/>
      <c r="BD2684" s="19"/>
      <c r="BE2684" s="19"/>
      <c r="BF2684" s="19"/>
      <c r="BG2684" s="19"/>
      <c r="BH2684" s="19"/>
      <c r="BI2684" s="19"/>
      <c r="BJ2684" s="19"/>
      <c r="BK2684" s="19"/>
      <c r="BL2684" s="19"/>
      <c r="BM2684" s="19"/>
      <c r="BN2684" s="19"/>
      <c r="BO2684" s="19"/>
      <c r="BP2684" s="19"/>
      <c r="BQ2684" s="19"/>
      <c r="BR2684" s="19"/>
      <c r="BS2684" s="19"/>
      <c r="BT2684" s="19"/>
      <c r="BU2684" s="19"/>
      <c r="BV2684" s="19"/>
      <c r="BW2684" s="19"/>
      <c r="BX2684" s="19"/>
      <c r="BY2684" s="19"/>
      <c r="BZ2684" s="19"/>
      <c r="CA2684" s="19"/>
      <c r="CB2684" s="19"/>
      <c r="CC2684" s="19"/>
      <c r="CD2684" s="139"/>
      <c r="CE2684" s="138"/>
      <c r="CF2684" s="139"/>
      <c r="CG2684" s="138"/>
      <c r="CH2684" s="139"/>
      <c r="CI2684" s="138"/>
      <c r="CJ2684" s="72"/>
      <c r="CK2684" s="139"/>
      <c r="CL2684" s="71"/>
      <c r="CM2684" s="139"/>
      <c r="CN2684" s="138"/>
      <c r="CO2684" s="138"/>
      <c r="CP2684" s="138"/>
      <c r="CQ2684" s="139"/>
      <c r="CR2684" s="138"/>
      <c r="CS2684" s="45"/>
      <c r="CT2684" s="138"/>
      <c r="CU2684" s="45"/>
      <c r="CV2684" s="99">
        <f t="shared" si="261"/>
        <v>0</v>
      </c>
      <c r="CW2684" s="139"/>
      <c r="CX2684" s="138"/>
      <c r="CY2684" s="138"/>
      <c r="CZ2684" s="138"/>
      <c r="DA2684" s="139"/>
      <c r="DB2684" s="138"/>
      <c r="DC2684" s="45"/>
      <c r="DD2684" s="138"/>
      <c r="DE2684" s="45"/>
      <c r="DF2684" s="46"/>
    </row>
    <row r="2685" spans="1:110" s="42" customFormat="1" ht="48" x14ac:dyDescent="0.2">
      <c r="A2685" s="89">
        <v>40867</v>
      </c>
      <c r="B2685" s="151" t="s">
        <v>4344</v>
      </c>
      <c r="C2685" s="90" t="s">
        <v>3371</v>
      </c>
      <c r="D2685" s="90" t="s">
        <v>2362</v>
      </c>
      <c r="E2685" s="90" t="str">
        <f>VLOOKUP(B2685&amp;C2685,Divipola!$C$2:$F$1138,4,FALSE)</f>
        <v>25402</v>
      </c>
      <c r="F2685" s="4"/>
      <c r="G2685" s="101"/>
      <c r="H2685" s="101"/>
      <c r="I2685" s="101"/>
      <c r="J2685" s="101">
        <v>8</v>
      </c>
      <c r="K2685" s="101">
        <v>1</v>
      </c>
      <c r="L2685" s="101"/>
      <c r="M2685" s="101">
        <v>1</v>
      </c>
      <c r="N2685" s="101"/>
      <c r="O2685" s="101"/>
      <c r="P2685" s="101"/>
      <c r="Q2685" s="101"/>
      <c r="R2685" s="101"/>
      <c r="S2685" s="101"/>
      <c r="T2685" s="101"/>
      <c r="U2685" s="101"/>
      <c r="V2685" s="101"/>
      <c r="W2685" s="19"/>
      <c r="X2685" s="17"/>
      <c r="Y2685" s="5">
        <f t="shared" si="256"/>
        <v>0</v>
      </c>
      <c r="Z2685" s="5">
        <f t="shared" si="257"/>
        <v>0</v>
      </c>
      <c r="AA2685" s="5">
        <f t="shared" si="258"/>
        <v>0</v>
      </c>
      <c r="AB2685" s="5">
        <f t="shared" si="259"/>
        <v>0</v>
      </c>
      <c r="AC2685" s="5"/>
      <c r="AD2685" s="5">
        <v>0</v>
      </c>
      <c r="AE2685" s="5">
        <f t="shared" si="260"/>
        <v>0</v>
      </c>
      <c r="AF2685" s="70">
        <v>0</v>
      </c>
      <c r="AG2685" s="17"/>
      <c r="AH2685" s="18"/>
      <c r="AI2685" s="47" t="s">
        <v>4336</v>
      </c>
      <c r="AJ2685" s="73" t="s">
        <v>4337</v>
      </c>
      <c r="AK2685" s="45"/>
      <c r="AL2685" s="17"/>
      <c r="AM2685" s="121" t="s">
        <v>5065</v>
      </c>
      <c r="AN2685" s="19"/>
      <c r="AO2685" s="19"/>
      <c r="AP2685" s="19"/>
      <c r="AQ2685" s="19"/>
      <c r="AR2685" s="19"/>
      <c r="AS2685" s="19"/>
      <c r="AT2685" s="19"/>
      <c r="AU2685" s="19"/>
      <c r="AV2685" s="19"/>
      <c r="AW2685" s="19"/>
      <c r="AX2685" s="19"/>
      <c r="AY2685" s="19"/>
      <c r="AZ2685" s="19"/>
      <c r="BA2685" s="19"/>
      <c r="BB2685" s="19"/>
      <c r="BC2685" s="19"/>
      <c r="BD2685" s="19"/>
      <c r="BE2685" s="19"/>
      <c r="BF2685" s="19"/>
      <c r="BG2685" s="19"/>
      <c r="BH2685" s="19"/>
      <c r="BI2685" s="19"/>
      <c r="BJ2685" s="19"/>
      <c r="BK2685" s="19"/>
      <c r="BL2685" s="19"/>
      <c r="BM2685" s="19"/>
      <c r="BN2685" s="19"/>
      <c r="BO2685" s="19"/>
      <c r="BP2685" s="19"/>
      <c r="BQ2685" s="19"/>
      <c r="BR2685" s="19"/>
      <c r="BS2685" s="19"/>
      <c r="BT2685" s="19"/>
      <c r="BU2685" s="19"/>
      <c r="BV2685" s="19"/>
      <c r="BW2685" s="19"/>
      <c r="BX2685" s="19"/>
      <c r="BY2685" s="19"/>
      <c r="BZ2685" s="19"/>
      <c r="CA2685" s="19"/>
      <c r="CB2685" s="19"/>
      <c r="CC2685" s="19"/>
      <c r="CD2685" s="139"/>
      <c r="CE2685" s="138"/>
      <c r="CF2685" s="139"/>
      <c r="CG2685" s="138"/>
      <c r="CH2685" s="139"/>
      <c r="CI2685" s="138"/>
      <c r="CJ2685" s="72"/>
      <c r="CK2685" s="139"/>
      <c r="CL2685" s="71"/>
      <c r="CM2685" s="139"/>
      <c r="CN2685" s="138"/>
      <c r="CO2685" s="138"/>
      <c r="CP2685" s="138"/>
      <c r="CQ2685" s="139"/>
      <c r="CR2685" s="138"/>
      <c r="CS2685" s="45"/>
      <c r="CT2685" s="138"/>
      <c r="CU2685" s="45"/>
      <c r="CV2685" s="99">
        <f t="shared" si="261"/>
        <v>0</v>
      </c>
      <c r="CW2685" s="139"/>
      <c r="CX2685" s="138"/>
      <c r="CY2685" s="138"/>
      <c r="CZ2685" s="138"/>
      <c r="DA2685" s="139"/>
      <c r="DB2685" s="138"/>
      <c r="DC2685" s="45"/>
      <c r="DD2685" s="138"/>
      <c r="DE2685" s="45"/>
      <c r="DF2685" s="46"/>
    </row>
    <row r="2686" spans="1:110" s="42" customFormat="1" ht="108" x14ac:dyDescent="0.2">
      <c r="A2686" s="89">
        <v>40867</v>
      </c>
      <c r="B2686" s="151" t="s">
        <v>4219</v>
      </c>
      <c r="C2686" s="90" t="s">
        <v>3503</v>
      </c>
      <c r="D2686" s="90" t="s">
        <v>4264</v>
      </c>
      <c r="E2686" s="90" t="str">
        <f>VLOOKUP(B2686&amp;C2686,Divipola!$C$2:$F$1138,4,FALSE)</f>
        <v>41001</v>
      </c>
      <c r="F2686" s="4"/>
      <c r="G2686" s="101"/>
      <c r="H2686" s="101"/>
      <c r="I2686" s="101"/>
      <c r="J2686" s="101">
        <v>35</v>
      </c>
      <c r="K2686" s="101">
        <v>7</v>
      </c>
      <c r="L2686" s="101">
        <v>2</v>
      </c>
      <c r="M2686" s="101">
        <v>5</v>
      </c>
      <c r="N2686" s="101"/>
      <c r="O2686" s="101"/>
      <c r="P2686" s="101"/>
      <c r="Q2686" s="101"/>
      <c r="R2686" s="101"/>
      <c r="S2686" s="101"/>
      <c r="T2686" s="101"/>
      <c r="U2686" s="101"/>
      <c r="V2686" s="101"/>
      <c r="W2686" s="19"/>
      <c r="X2686" s="17"/>
      <c r="Y2686" s="5">
        <f t="shared" si="256"/>
        <v>0</v>
      </c>
      <c r="Z2686" s="5">
        <f t="shared" si="257"/>
        <v>0</v>
      </c>
      <c r="AA2686" s="5">
        <f t="shared" si="258"/>
        <v>0</v>
      </c>
      <c r="AB2686" s="5">
        <f t="shared" si="259"/>
        <v>0</v>
      </c>
      <c r="AC2686" s="5"/>
      <c r="AD2686" s="5">
        <v>0</v>
      </c>
      <c r="AE2686" s="5">
        <f t="shared" si="260"/>
        <v>0</v>
      </c>
      <c r="AF2686" s="70">
        <v>0</v>
      </c>
      <c r="AG2686" s="17"/>
      <c r="AH2686" s="18"/>
      <c r="AI2686" s="47" t="s">
        <v>4346</v>
      </c>
      <c r="AJ2686" s="73" t="s">
        <v>4347</v>
      </c>
      <c r="AK2686" s="45"/>
      <c r="AL2686" s="89" t="s">
        <v>2798</v>
      </c>
      <c r="AM2686" s="121" t="s">
        <v>5500</v>
      </c>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39"/>
      <c r="CE2686" s="138"/>
      <c r="CF2686" s="139"/>
      <c r="CG2686" s="138"/>
      <c r="CH2686" s="139"/>
      <c r="CI2686" s="138"/>
      <c r="CJ2686" s="72"/>
      <c r="CK2686" s="139"/>
      <c r="CL2686" s="71"/>
      <c r="CM2686" s="139"/>
      <c r="CN2686" s="138"/>
      <c r="CO2686" s="138"/>
      <c r="CP2686" s="138"/>
      <c r="CQ2686" s="139"/>
      <c r="CR2686" s="138"/>
      <c r="CS2686" s="45"/>
      <c r="CT2686" s="138"/>
      <c r="CU2686" s="45"/>
      <c r="CV2686" s="99">
        <f t="shared" si="261"/>
        <v>0</v>
      </c>
      <c r="CW2686" s="139"/>
      <c r="CX2686" s="138"/>
      <c r="CY2686" s="138"/>
      <c r="CZ2686" s="138"/>
      <c r="DA2686" s="139"/>
      <c r="DB2686" s="138"/>
      <c r="DC2686" s="45"/>
      <c r="DD2686" s="138"/>
      <c r="DE2686" s="45"/>
      <c r="DF2686" s="46"/>
    </row>
    <row r="2687" spans="1:110" s="42" customFormat="1" ht="120" x14ac:dyDescent="0.2">
      <c r="A2687" s="89">
        <v>40867</v>
      </c>
      <c r="B2687" s="151" t="s">
        <v>4350</v>
      </c>
      <c r="C2687" s="90" t="s">
        <v>3361</v>
      </c>
      <c r="D2687" s="90" t="s">
        <v>2362</v>
      </c>
      <c r="E2687" s="90" t="str">
        <f>VLOOKUP(B2687&amp;C2687,Divipola!$C$2:$F$1138,4,FALSE)</f>
        <v>63548</v>
      </c>
      <c r="F2687" s="4"/>
      <c r="G2687" s="101"/>
      <c r="H2687" s="101"/>
      <c r="I2687" s="101"/>
      <c r="J2687" s="101">
        <v>13</v>
      </c>
      <c r="K2687" s="101">
        <v>2</v>
      </c>
      <c r="L2687" s="101">
        <v>2</v>
      </c>
      <c r="M2687" s="101"/>
      <c r="N2687" s="101"/>
      <c r="O2687" s="101"/>
      <c r="P2687" s="101"/>
      <c r="Q2687" s="101"/>
      <c r="R2687" s="101"/>
      <c r="S2687" s="101"/>
      <c r="T2687" s="101"/>
      <c r="U2687" s="101"/>
      <c r="V2687" s="101"/>
      <c r="W2687" s="19"/>
      <c r="X2687" s="17"/>
      <c r="Y2687" s="5">
        <f t="shared" si="256"/>
        <v>0</v>
      </c>
      <c r="Z2687" s="5">
        <f t="shared" si="257"/>
        <v>0</v>
      </c>
      <c r="AA2687" s="5">
        <f t="shared" si="258"/>
        <v>0</v>
      </c>
      <c r="AB2687" s="5">
        <f t="shared" si="259"/>
        <v>0</v>
      </c>
      <c r="AC2687" s="5"/>
      <c r="AD2687" s="5">
        <v>0</v>
      </c>
      <c r="AE2687" s="5">
        <f t="shared" si="260"/>
        <v>0</v>
      </c>
      <c r="AF2687" s="70">
        <v>0</v>
      </c>
      <c r="AG2687" s="17"/>
      <c r="AH2687" s="18"/>
      <c r="AI2687" s="47" t="s">
        <v>4346</v>
      </c>
      <c r="AJ2687" s="73" t="s">
        <v>4347</v>
      </c>
      <c r="AK2687" s="45"/>
      <c r="AL2687" s="17" t="s">
        <v>5051</v>
      </c>
      <c r="AM2687" s="121" t="s">
        <v>5057</v>
      </c>
      <c r="AN2687" s="19"/>
      <c r="AO2687" s="19"/>
      <c r="AP2687" s="19"/>
      <c r="AQ2687" s="19"/>
      <c r="AR2687" s="19"/>
      <c r="AS2687" s="19"/>
      <c r="AT2687" s="19"/>
      <c r="AU2687" s="19"/>
      <c r="AV2687" s="19"/>
      <c r="AW2687" s="19"/>
      <c r="AX2687" s="19"/>
      <c r="AY2687" s="19"/>
      <c r="AZ2687" s="19"/>
      <c r="BA2687" s="19"/>
      <c r="BB2687" s="19"/>
      <c r="BC2687" s="19"/>
      <c r="BD2687" s="19"/>
      <c r="BE2687" s="19"/>
      <c r="BF2687" s="19"/>
      <c r="BG2687" s="19"/>
      <c r="BH2687" s="19"/>
      <c r="BI2687" s="19"/>
      <c r="BJ2687" s="19"/>
      <c r="BK2687" s="19"/>
      <c r="BL2687" s="19"/>
      <c r="BM2687" s="19"/>
      <c r="BN2687" s="19"/>
      <c r="BO2687" s="19"/>
      <c r="BP2687" s="19"/>
      <c r="BQ2687" s="19"/>
      <c r="BR2687" s="19"/>
      <c r="BS2687" s="19"/>
      <c r="BT2687" s="19"/>
      <c r="BU2687" s="19"/>
      <c r="BV2687" s="19"/>
      <c r="BW2687" s="19"/>
      <c r="BX2687" s="19"/>
      <c r="BY2687" s="19"/>
      <c r="BZ2687" s="19"/>
      <c r="CA2687" s="19"/>
      <c r="CB2687" s="19"/>
      <c r="CC2687" s="19"/>
      <c r="CD2687" s="139"/>
      <c r="CE2687" s="138"/>
      <c r="CF2687" s="139"/>
      <c r="CG2687" s="138"/>
      <c r="CH2687" s="139"/>
      <c r="CI2687" s="138"/>
      <c r="CJ2687" s="72"/>
      <c r="CK2687" s="139"/>
      <c r="CL2687" s="71"/>
      <c r="CM2687" s="139"/>
      <c r="CN2687" s="138"/>
      <c r="CO2687" s="138"/>
      <c r="CP2687" s="138"/>
      <c r="CQ2687" s="139"/>
      <c r="CR2687" s="138"/>
      <c r="CS2687" s="45"/>
      <c r="CT2687" s="138"/>
      <c r="CU2687" s="45"/>
      <c r="CV2687" s="99">
        <f t="shared" si="261"/>
        <v>0</v>
      </c>
      <c r="CW2687" s="139"/>
      <c r="CX2687" s="138"/>
      <c r="CY2687" s="138"/>
      <c r="CZ2687" s="138"/>
      <c r="DA2687" s="139"/>
      <c r="DB2687" s="138"/>
      <c r="DC2687" s="45"/>
      <c r="DD2687" s="138"/>
      <c r="DE2687" s="45"/>
      <c r="DF2687" s="46"/>
    </row>
    <row r="2688" spans="1:110" s="42" customFormat="1" ht="96" x14ac:dyDescent="0.2">
      <c r="A2688" s="89">
        <v>40867</v>
      </c>
      <c r="B2688" s="151" t="s">
        <v>4350</v>
      </c>
      <c r="C2688" s="90" t="s">
        <v>3535</v>
      </c>
      <c r="D2688" s="90" t="s">
        <v>4264</v>
      </c>
      <c r="E2688" s="90" t="str">
        <f>VLOOKUP(B2688&amp;C2688,Divipola!$C$2:$F$1138,4,FALSE)</f>
        <v>63130</v>
      </c>
      <c r="F2688" s="4"/>
      <c r="G2688" s="101"/>
      <c r="H2688" s="101"/>
      <c r="I2688" s="101"/>
      <c r="J2688" s="101">
        <v>8</v>
      </c>
      <c r="K2688" s="101">
        <v>2</v>
      </c>
      <c r="L2688" s="101">
        <v>2</v>
      </c>
      <c r="M2688" s="101"/>
      <c r="N2688" s="101"/>
      <c r="O2688" s="101"/>
      <c r="P2688" s="101"/>
      <c r="Q2688" s="101"/>
      <c r="R2688" s="101"/>
      <c r="S2688" s="101"/>
      <c r="T2688" s="101"/>
      <c r="U2688" s="101"/>
      <c r="V2688" s="101"/>
      <c r="W2688" s="19"/>
      <c r="X2688" s="17"/>
      <c r="Y2688" s="5">
        <f t="shared" si="256"/>
        <v>0</v>
      </c>
      <c r="Z2688" s="5">
        <f t="shared" si="257"/>
        <v>0</v>
      </c>
      <c r="AA2688" s="5">
        <f t="shared" si="258"/>
        <v>0</v>
      </c>
      <c r="AB2688" s="5">
        <f t="shared" si="259"/>
        <v>0</v>
      </c>
      <c r="AC2688" s="5"/>
      <c r="AD2688" s="5">
        <v>0</v>
      </c>
      <c r="AE2688" s="5">
        <f t="shared" si="260"/>
        <v>0</v>
      </c>
      <c r="AF2688" s="70">
        <v>0</v>
      </c>
      <c r="AG2688" s="17"/>
      <c r="AH2688" s="18"/>
      <c r="AI2688" s="47" t="s">
        <v>4346</v>
      </c>
      <c r="AJ2688" s="73" t="s">
        <v>4347</v>
      </c>
      <c r="AK2688" s="45"/>
      <c r="AL2688" s="17" t="s">
        <v>5051</v>
      </c>
      <c r="AM2688" s="121" t="s">
        <v>5058</v>
      </c>
      <c r="AN2688" s="19"/>
      <c r="AO2688" s="19"/>
      <c r="AP2688" s="19"/>
      <c r="AQ2688" s="19"/>
      <c r="AR2688" s="19"/>
      <c r="AS2688" s="19"/>
      <c r="AT2688" s="19"/>
      <c r="AU2688" s="19"/>
      <c r="AV2688" s="19"/>
      <c r="AW2688" s="19"/>
      <c r="AX2688" s="19"/>
      <c r="AY2688" s="19"/>
      <c r="AZ2688" s="19"/>
      <c r="BA2688" s="19"/>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c r="BV2688" s="19"/>
      <c r="BW2688" s="19"/>
      <c r="BX2688" s="19"/>
      <c r="BY2688" s="19"/>
      <c r="BZ2688" s="19"/>
      <c r="CA2688" s="19"/>
      <c r="CB2688" s="19"/>
      <c r="CC2688" s="19"/>
      <c r="CD2688" s="139"/>
      <c r="CE2688" s="138"/>
      <c r="CF2688" s="139"/>
      <c r="CG2688" s="138"/>
      <c r="CH2688" s="139"/>
      <c r="CI2688" s="138"/>
      <c r="CJ2688" s="72"/>
      <c r="CK2688" s="139"/>
      <c r="CL2688" s="71"/>
      <c r="CM2688" s="139"/>
      <c r="CN2688" s="138"/>
      <c r="CO2688" s="138"/>
      <c r="CP2688" s="138"/>
      <c r="CQ2688" s="139"/>
      <c r="CR2688" s="138"/>
      <c r="CS2688" s="45"/>
      <c r="CT2688" s="138"/>
      <c r="CU2688" s="45"/>
      <c r="CV2688" s="99">
        <f t="shared" si="261"/>
        <v>0</v>
      </c>
      <c r="CW2688" s="139"/>
      <c r="CX2688" s="138"/>
      <c r="CY2688" s="138"/>
      <c r="CZ2688" s="138"/>
      <c r="DA2688" s="139"/>
      <c r="DB2688" s="138"/>
      <c r="DC2688" s="45"/>
      <c r="DD2688" s="138"/>
      <c r="DE2688" s="45"/>
      <c r="DF2688" s="46"/>
    </row>
    <row r="2689" spans="1:110" s="42" customFormat="1" ht="60" x14ac:dyDescent="0.2">
      <c r="A2689" s="89">
        <v>40867</v>
      </c>
      <c r="B2689" s="151" t="s">
        <v>2226</v>
      </c>
      <c r="C2689" s="90" t="s">
        <v>3499</v>
      </c>
      <c r="D2689" s="90" t="s">
        <v>4264</v>
      </c>
      <c r="E2689" s="90" t="str">
        <f>VLOOKUP(B2689&amp;C2689,Divipola!$C$2:$F$1138,4,FALSE)</f>
        <v>68655</v>
      </c>
      <c r="F2689" s="4"/>
      <c r="G2689" s="101"/>
      <c r="H2689" s="101"/>
      <c r="I2689" s="101"/>
      <c r="J2689" s="101">
        <v>7500</v>
      </c>
      <c r="K2689" s="101">
        <v>1500</v>
      </c>
      <c r="L2689" s="101"/>
      <c r="M2689" s="101">
        <v>1500</v>
      </c>
      <c r="N2689" s="101">
        <v>1</v>
      </c>
      <c r="O2689" s="101"/>
      <c r="P2689" s="101"/>
      <c r="Q2689" s="101"/>
      <c r="R2689" s="101"/>
      <c r="S2689" s="101"/>
      <c r="T2689" s="101"/>
      <c r="U2689" s="101"/>
      <c r="V2689" s="101"/>
      <c r="W2689" s="19"/>
      <c r="X2689" s="17"/>
      <c r="Y2689" s="5">
        <f t="shared" si="256"/>
        <v>139498770</v>
      </c>
      <c r="Z2689" s="5">
        <f t="shared" si="257"/>
        <v>127500000</v>
      </c>
      <c r="AA2689" s="5">
        <f t="shared" si="258"/>
        <v>0</v>
      </c>
      <c r="AB2689" s="5">
        <f t="shared" si="259"/>
        <v>0</v>
      </c>
      <c r="AC2689" s="5"/>
      <c r="AD2689" s="5">
        <v>0</v>
      </c>
      <c r="AE2689" s="5">
        <f t="shared" si="260"/>
        <v>266998770</v>
      </c>
      <c r="AF2689" s="70">
        <v>0</v>
      </c>
      <c r="AG2689" s="17"/>
      <c r="AH2689" s="18"/>
      <c r="AI2689" s="47" t="s">
        <v>4346</v>
      </c>
      <c r="AJ2689" s="73" t="s">
        <v>4347</v>
      </c>
      <c r="AK2689" s="45"/>
      <c r="AL2689" s="17"/>
      <c r="AM2689" s="121" t="s">
        <v>5073</v>
      </c>
      <c r="AN2689" s="19"/>
      <c r="AO2689" s="19"/>
      <c r="AP2689" s="19"/>
      <c r="AQ2689" s="19"/>
      <c r="AR2689" s="19"/>
      <c r="AS2689" s="19"/>
      <c r="AT2689" s="19"/>
      <c r="AU2689" s="19"/>
      <c r="AV2689" s="19"/>
      <c r="AW2689" s="19"/>
      <c r="AX2689" s="19"/>
      <c r="AY2689" s="19"/>
      <c r="AZ2689" s="19">
        <v>1500</v>
      </c>
      <c r="BA2689" s="19">
        <f>750*56000+750*55999</f>
        <v>83999250</v>
      </c>
      <c r="BB2689" s="19"/>
      <c r="BC2689" s="19"/>
      <c r="BD2689" s="19"/>
      <c r="BE2689" s="19"/>
      <c r="BF2689" s="19"/>
      <c r="BG2689" s="19"/>
      <c r="BH2689" s="19"/>
      <c r="BI2689" s="19"/>
      <c r="BJ2689" s="19"/>
      <c r="BK2689" s="19"/>
      <c r="BL2689" s="19"/>
      <c r="BM2689" s="19"/>
      <c r="BN2689" s="19"/>
      <c r="BO2689" s="19"/>
      <c r="BP2689" s="19"/>
      <c r="BQ2689" s="19"/>
      <c r="BR2689" s="19"/>
      <c r="BS2689" s="19"/>
      <c r="BT2689" s="19"/>
      <c r="BU2689" s="19"/>
      <c r="BV2689" s="19"/>
      <c r="BW2689" s="19"/>
      <c r="BX2689" s="19"/>
      <c r="BY2689" s="19"/>
      <c r="BZ2689" s="19"/>
      <c r="CA2689" s="19"/>
      <c r="CB2689" s="19"/>
      <c r="CC2689" s="19"/>
      <c r="CD2689" s="139"/>
      <c r="CE2689" s="138"/>
      <c r="CF2689" s="139"/>
      <c r="CG2689" s="138"/>
      <c r="CH2689" s="139"/>
      <c r="CI2689" s="138"/>
      <c r="CJ2689" s="72"/>
      <c r="CK2689" s="139"/>
      <c r="CL2689" s="71"/>
      <c r="CM2689" s="139"/>
      <c r="CN2689" s="138"/>
      <c r="CO2689" s="138"/>
      <c r="CP2689" s="138">
        <v>1500</v>
      </c>
      <c r="CQ2689" s="139">
        <f>750*37000+750*36999.36</f>
        <v>55499520</v>
      </c>
      <c r="CR2689" s="138"/>
      <c r="CS2689" s="45"/>
      <c r="CT2689" s="138"/>
      <c r="CU2689" s="45"/>
      <c r="CV2689" s="99">
        <f t="shared" si="261"/>
        <v>139498770</v>
      </c>
      <c r="CW2689" s="139"/>
      <c r="CX2689" s="138"/>
      <c r="CY2689" s="138">
        <v>1500</v>
      </c>
      <c r="CZ2689" s="138">
        <f>750*85000+750*85000</f>
        <v>127500000</v>
      </c>
      <c r="DA2689" s="139"/>
      <c r="DB2689" s="138"/>
      <c r="DC2689" s="45"/>
      <c r="DD2689" s="138"/>
      <c r="DE2689" s="45"/>
      <c r="DF2689" s="46"/>
    </row>
    <row r="2690" spans="1:110" s="42" customFormat="1" ht="60" x14ac:dyDescent="0.2">
      <c r="A2690" s="89">
        <v>40867</v>
      </c>
      <c r="B2690" s="151" t="s">
        <v>4244</v>
      </c>
      <c r="C2690" s="90" t="s">
        <v>4322</v>
      </c>
      <c r="D2690" s="90" t="s">
        <v>4264</v>
      </c>
      <c r="E2690" s="90" t="str">
        <f>VLOOKUP(B2690&amp;C2690,Divipola!$C$2:$F$1138,4,FALSE)</f>
        <v>76109</v>
      </c>
      <c r="F2690" s="4"/>
      <c r="G2690" s="101"/>
      <c r="H2690" s="101"/>
      <c r="I2690" s="101"/>
      <c r="J2690" s="101">
        <v>1565</v>
      </c>
      <c r="K2690" s="101">
        <v>313</v>
      </c>
      <c r="L2690" s="101">
        <v>3</v>
      </c>
      <c r="M2690" s="101">
        <v>310</v>
      </c>
      <c r="N2690" s="101"/>
      <c r="O2690" s="101"/>
      <c r="P2690" s="101"/>
      <c r="Q2690" s="101"/>
      <c r="R2690" s="101"/>
      <c r="S2690" s="101"/>
      <c r="T2690" s="101"/>
      <c r="U2690" s="101"/>
      <c r="V2690" s="101"/>
      <c r="W2690" s="19"/>
      <c r="X2690" s="17"/>
      <c r="Y2690" s="5">
        <f t="shared" ref="Y2690:Y2753" si="262">CV2690</f>
        <v>0</v>
      </c>
      <c r="Z2690" s="5">
        <f t="shared" ref="Z2690:Z2753" si="263">CZ2690</f>
        <v>0</v>
      </c>
      <c r="AA2690" s="5">
        <f t="shared" ref="AA2690:AA2753" si="264">DB2690+DD2690</f>
        <v>0</v>
      </c>
      <c r="AB2690" s="5">
        <f t="shared" ref="AB2690:AB2753" si="265">CX2690</f>
        <v>0</v>
      </c>
      <c r="AC2690" s="5"/>
      <c r="AD2690" s="5">
        <v>0</v>
      </c>
      <c r="AE2690" s="5">
        <f t="shared" ref="AE2690:AE2753" si="266">Y2690+Z2690+AA2690+AB2690+AC2690+AD2690</f>
        <v>0</v>
      </c>
      <c r="AF2690" s="70">
        <v>0</v>
      </c>
      <c r="AG2690" s="17"/>
      <c r="AH2690" s="18"/>
      <c r="AI2690" s="47" t="s">
        <v>4346</v>
      </c>
      <c r="AJ2690" s="73" t="s">
        <v>4347</v>
      </c>
      <c r="AK2690" s="45"/>
      <c r="AL2690" s="89" t="s">
        <v>2798</v>
      </c>
      <c r="AM2690" s="121" t="s">
        <v>5078</v>
      </c>
      <c r="AN2690" s="19"/>
      <c r="AO2690" s="19"/>
      <c r="AP2690" s="19"/>
      <c r="AQ2690" s="19"/>
      <c r="AR2690" s="19"/>
      <c r="AS2690" s="19"/>
      <c r="AT2690" s="19"/>
      <c r="AU2690" s="19"/>
      <c r="AV2690" s="19"/>
      <c r="AW2690" s="19"/>
      <c r="AX2690" s="19"/>
      <c r="AY2690" s="19"/>
      <c r="AZ2690" s="19"/>
      <c r="BA2690" s="19"/>
      <c r="BB2690" s="19"/>
      <c r="BC2690" s="19"/>
      <c r="BD2690" s="19"/>
      <c r="BE2690" s="19"/>
      <c r="BF2690" s="19"/>
      <c r="BG2690" s="19"/>
      <c r="BH2690" s="19"/>
      <c r="BI2690" s="19"/>
      <c r="BJ2690" s="19"/>
      <c r="BK2690" s="19"/>
      <c r="BL2690" s="19"/>
      <c r="BM2690" s="19"/>
      <c r="BN2690" s="19"/>
      <c r="BO2690" s="19"/>
      <c r="BP2690" s="19"/>
      <c r="BQ2690" s="19"/>
      <c r="BR2690" s="19"/>
      <c r="BS2690" s="19"/>
      <c r="BT2690" s="19"/>
      <c r="BU2690" s="19"/>
      <c r="BV2690" s="19"/>
      <c r="BW2690" s="19"/>
      <c r="BX2690" s="19"/>
      <c r="BY2690" s="19"/>
      <c r="BZ2690" s="19"/>
      <c r="CA2690" s="19"/>
      <c r="CB2690" s="19"/>
      <c r="CC2690" s="19"/>
      <c r="CD2690" s="139"/>
      <c r="CE2690" s="138"/>
      <c r="CF2690" s="139"/>
      <c r="CG2690" s="138"/>
      <c r="CH2690" s="139"/>
      <c r="CI2690" s="138"/>
      <c r="CJ2690" s="72"/>
      <c r="CK2690" s="139"/>
      <c r="CL2690" s="71"/>
      <c r="CM2690" s="139"/>
      <c r="CN2690" s="138"/>
      <c r="CO2690" s="138"/>
      <c r="CP2690" s="138"/>
      <c r="CQ2690" s="139"/>
      <c r="CR2690" s="138"/>
      <c r="CS2690" s="45"/>
      <c r="CT2690" s="138"/>
      <c r="CU2690" s="45"/>
      <c r="CV2690" s="99">
        <f t="shared" si="261"/>
        <v>0</v>
      </c>
      <c r="CW2690" s="139"/>
      <c r="CX2690" s="138"/>
      <c r="CY2690" s="138"/>
      <c r="CZ2690" s="138"/>
      <c r="DA2690" s="139"/>
      <c r="DB2690" s="138"/>
      <c r="DC2690" s="45"/>
      <c r="DD2690" s="138"/>
      <c r="DE2690" s="45"/>
      <c r="DF2690" s="46"/>
    </row>
    <row r="2691" spans="1:110" s="42" customFormat="1" ht="36" x14ac:dyDescent="0.2">
      <c r="A2691" s="89">
        <v>40868</v>
      </c>
      <c r="B2691" s="151" t="s">
        <v>2218</v>
      </c>
      <c r="C2691" s="90" t="s">
        <v>3876</v>
      </c>
      <c r="D2691" s="90" t="s">
        <v>4264</v>
      </c>
      <c r="E2691" s="90" t="str">
        <f>VLOOKUP(B2691&amp;C2691,Divipola!$C$2:$F$1138,4,FALSE)</f>
        <v>05154</v>
      </c>
      <c r="F2691" s="4"/>
      <c r="G2691" s="101"/>
      <c r="H2691" s="101"/>
      <c r="I2691" s="101"/>
      <c r="J2691" s="101">
        <v>1575</v>
      </c>
      <c r="K2691" s="101">
        <v>350</v>
      </c>
      <c r="L2691" s="101">
        <v>1</v>
      </c>
      <c r="M2691" s="101">
        <v>249</v>
      </c>
      <c r="N2691" s="101"/>
      <c r="O2691" s="101"/>
      <c r="P2691" s="101"/>
      <c r="Q2691" s="101"/>
      <c r="R2691" s="101"/>
      <c r="S2691" s="101"/>
      <c r="T2691" s="101"/>
      <c r="U2691" s="101"/>
      <c r="V2691" s="101"/>
      <c r="W2691" s="19"/>
      <c r="X2691" s="17"/>
      <c r="Y2691" s="5">
        <f t="shared" si="262"/>
        <v>0</v>
      </c>
      <c r="Z2691" s="5">
        <f t="shared" si="263"/>
        <v>0</v>
      </c>
      <c r="AA2691" s="5">
        <f t="shared" si="264"/>
        <v>0</v>
      </c>
      <c r="AB2691" s="5">
        <f t="shared" si="265"/>
        <v>0</v>
      </c>
      <c r="AC2691" s="5"/>
      <c r="AD2691" s="5">
        <v>0</v>
      </c>
      <c r="AE2691" s="5">
        <f t="shared" si="266"/>
        <v>0</v>
      </c>
      <c r="AF2691" s="70">
        <v>0</v>
      </c>
      <c r="AG2691" s="17"/>
      <c r="AH2691" s="18"/>
      <c r="AI2691" s="47" t="s">
        <v>4346</v>
      </c>
      <c r="AJ2691" s="73" t="s">
        <v>4347</v>
      </c>
      <c r="AK2691" s="45"/>
      <c r="AL2691" s="89" t="s">
        <v>2798</v>
      </c>
      <c r="AM2691" s="121" t="s">
        <v>5103</v>
      </c>
      <c r="AN2691" s="19"/>
      <c r="AO2691" s="19"/>
      <c r="AP2691" s="19"/>
      <c r="AQ2691" s="19"/>
      <c r="AR2691" s="19"/>
      <c r="AS2691" s="19"/>
      <c r="AT2691" s="19"/>
      <c r="AU2691" s="19"/>
      <c r="AV2691" s="19"/>
      <c r="AW2691" s="19"/>
      <c r="AX2691" s="19"/>
      <c r="AY2691" s="19"/>
      <c r="AZ2691" s="19"/>
      <c r="BA2691" s="19"/>
      <c r="BB2691" s="19"/>
      <c r="BC2691" s="19"/>
      <c r="BD2691" s="19"/>
      <c r="BE2691" s="19"/>
      <c r="BF2691" s="19"/>
      <c r="BG2691" s="19"/>
      <c r="BH2691" s="19"/>
      <c r="BI2691" s="19"/>
      <c r="BJ2691" s="19"/>
      <c r="BK2691" s="19"/>
      <c r="BL2691" s="19"/>
      <c r="BM2691" s="19"/>
      <c r="BN2691" s="19"/>
      <c r="BO2691" s="19"/>
      <c r="BP2691" s="19"/>
      <c r="BQ2691" s="19"/>
      <c r="BR2691" s="19"/>
      <c r="BS2691" s="19"/>
      <c r="BT2691" s="19"/>
      <c r="BU2691" s="19"/>
      <c r="BV2691" s="19"/>
      <c r="BW2691" s="19"/>
      <c r="BX2691" s="19"/>
      <c r="BY2691" s="19"/>
      <c r="BZ2691" s="19"/>
      <c r="CA2691" s="19"/>
      <c r="CB2691" s="19"/>
      <c r="CC2691" s="19"/>
      <c r="CD2691" s="139"/>
      <c r="CE2691" s="138"/>
      <c r="CF2691" s="139"/>
      <c r="CG2691" s="138"/>
      <c r="CH2691" s="139"/>
      <c r="CI2691" s="138"/>
      <c r="CJ2691" s="72"/>
      <c r="CK2691" s="139"/>
      <c r="CL2691" s="71"/>
      <c r="CM2691" s="139"/>
      <c r="CN2691" s="138"/>
      <c r="CO2691" s="138"/>
      <c r="CP2691" s="138"/>
      <c r="CQ2691" s="139"/>
      <c r="CR2691" s="138"/>
      <c r="CS2691" s="45"/>
      <c r="CT2691" s="138"/>
      <c r="CU2691" s="45"/>
      <c r="CV2691" s="99">
        <f t="shared" ref="CV2691:CV2754" si="267">AO2691+AQ2691+AS2691+AU2691+AW2691+AY2691+BA2691+BC2691+BE2691+BG2691+BI2691+BK2691+BM2691+BO2691+BQ2691+BS2691+BU2691+BW2691+BY2691+CA2691+CC2691+CE2691+CG2691+CI2691+CK2691+CM2691+CO2691+CQ2691+CS2691+CU2691</f>
        <v>0</v>
      </c>
      <c r="CW2691" s="139"/>
      <c r="CX2691" s="138"/>
      <c r="CY2691" s="138"/>
      <c r="CZ2691" s="138"/>
      <c r="DA2691" s="139"/>
      <c r="DB2691" s="138"/>
      <c r="DC2691" s="45"/>
      <c r="DD2691" s="138"/>
      <c r="DE2691" s="45"/>
      <c r="DF2691" s="46"/>
    </row>
    <row r="2692" spans="1:110" s="42" customFormat="1" ht="96" x14ac:dyDescent="0.2">
      <c r="A2692" s="89">
        <v>40868</v>
      </c>
      <c r="B2692" s="151" t="s">
        <v>4261</v>
      </c>
      <c r="C2692" s="90" t="s">
        <v>2863</v>
      </c>
      <c r="D2692" s="90" t="s">
        <v>4264</v>
      </c>
      <c r="E2692" s="90" t="str">
        <f>VLOOKUP(B2692&amp;C2692,Divipola!$C$2:$F$1138,4,FALSE)</f>
        <v>15238</v>
      </c>
      <c r="F2692" s="4"/>
      <c r="G2692" s="101">
        <v>1</v>
      </c>
      <c r="H2692" s="101">
        <v>2</v>
      </c>
      <c r="I2692" s="101"/>
      <c r="J2692" s="101">
        <v>500</v>
      </c>
      <c r="K2692" s="101">
        <v>100</v>
      </c>
      <c r="L2692" s="101"/>
      <c r="M2692" s="101">
        <v>100</v>
      </c>
      <c r="N2692" s="101"/>
      <c r="O2692" s="101"/>
      <c r="P2692" s="101"/>
      <c r="Q2692" s="101"/>
      <c r="R2692" s="101"/>
      <c r="S2692" s="101"/>
      <c r="T2692" s="101"/>
      <c r="U2692" s="101"/>
      <c r="V2692" s="101">
        <v>2</v>
      </c>
      <c r="W2692" s="19"/>
      <c r="X2692" s="17"/>
      <c r="Y2692" s="5">
        <f t="shared" si="262"/>
        <v>0</v>
      </c>
      <c r="Z2692" s="5">
        <f t="shared" si="263"/>
        <v>0</v>
      </c>
      <c r="AA2692" s="5">
        <f t="shared" si="264"/>
        <v>0</v>
      </c>
      <c r="AB2692" s="5">
        <f t="shared" si="265"/>
        <v>0</v>
      </c>
      <c r="AC2692" s="5"/>
      <c r="AD2692" s="5">
        <v>0</v>
      </c>
      <c r="AE2692" s="5">
        <f t="shared" si="266"/>
        <v>0</v>
      </c>
      <c r="AF2692" s="70">
        <v>0</v>
      </c>
      <c r="AG2692" s="17"/>
      <c r="AH2692" s="18"/>
      <c r="AI2692" s="47" t="s">
        <v>4346</v>
      </c>
      <c r="AJ2692" s="73" t="s">
        <v>4347</v>
      </c>
      <c r="AK2692" s="45"/>
      <c r="AL2692" s="17" t="s">
        <v>5531</v>
      </c>
      <c r="AM2692" s="121" t="s">
        <v>5075</v>
      </c>
      <c r="AN2692" s="19"/>
      <c r="AO2692" s="19"/>
      <c r="AP2692" s="19"/>
      <c r="AQ2692" s="19"/>
      <c r="AR2692" s="19"/>
      <c r="AS2692" s="19"/>
      <c r="AT2692" s="19"/>
      <c r="AU2692" s="19"/>
      <c r="AV2692" s="19"/>
      <c r="AW2692" s="19"/>
      <c r="AX2692" s="19"/>
      <c r="AY2692" s="19"/>
      <c r="AZ2692" s="19"/>
      <c r="BA2692" s="19"/>
      <c r="BB2692" s="19"/>
      <c r="BC2692" s="19"/>
      <c r="BD2692" s="19"/>
      <c r="BE2692" s="19"/>
      <c r="BF2692" s="19"/>
      <c r="BG2692" s="19"/>
      <c r="BH2692" s="19"/>
      <c r="BI2692" s="19"/>
      <c r="BJ2692" s="19"/>
      <c r="BK2692" s="19"/>
      <c r="BL2692" s="19"/>
      <c r="BM2692" s="19"/>
      <c r="BN2692" s="19"/>
      <c r="BO2692" s="19"/>
      <c r="BP2692" s="19"/>
      <c r="BQ2692" s="19"/>
      <c r="BR2692" s="19"/>
      <c r="BS2692" s="19"/>
      <c r="BT2692" s="19"/>
      <c r="BU2692" s="19"/>
      <c r="BV2692" s="19"/>
      <c r="BW2692" s="19"/>
      <c r="BX2692" s="19"/>
      <c r="BY2692" s="19"/>
      <c r="BZ2692" s="19"/>
      <c r="CA2692" s="19"/>
      <c r="CB2692" s="19"/>
      <c r="CC2692" s="19"/>
      <c r="CD2692" s="139"/>
      <c r="CE2692" s="138"/>
      <c r="CF2692" s="139"/>
      <c r="CG2692" s="138"/>
      <c r="CH2692" s="139"/>
      <c r="CI2692" s="138"/>
      <c r="CJ2692" s="72"/>
      <c r="CK2692" s="139"/>
      <c r="CL2692" s="71"/>
      <c r="CM2692" s="139"/>
      <c r="CN2692" s="138"/>
      <c r="CO2692" s="138"/>
      <c r="CP2692" s="138"/>
      <c r="CQ2692" s="139"/>
      <c r="CR2692" s="138"/>
      <c r="CS2692" s="45"/>
      <c r="CT2692" s="138"/>
      <c r="CU2692" s="45"/>
      <c r="CV2692" s="99">
        <f t="shared" si="267"/>
        <v>0</v>
      </c>
      <c r="CW2692" s="139"/>
      <c r="CX2692" s="138"/>
      <c r="CY2692" s="138"/>
      <c r="CZ2692" s="138"/>
      <c r="DA2692" s="139"/>
      <c r="DB2692" s="138"/>
      <c r="DC2692" s="45"/>
      <c r="DD2692" s="138"/>
      <c r="DE2692" s="45"/>
      <c r="DF2692" s="46"/>
    </row>
    <row r="2693" spans="1:110" s="42" customFormat="1" ht="132" x14ac:dyDescent="0.2">
      <c r="A2693" s="89">
        <v>40868</v>
      </c>
      <c r="B2693" s="151" t="s">
        <v>3533</v>
      </c>
      <c r="C2693" s="90" t="s">
        <v>862</v>
      </c>
      <c r="D2693" s="90" t="s">
        <v>2362</v>
      </c>
      <c r="E2693" s="90" t="str">
        <f>VLOOKUP(B2693&amp;C2693,Divipola!$C$2:$F$1138,4,FALSE)</f>
        <v>17001</v>
      </c>
      <c r="F2693" s="4"/>
      <c r="G2693" s="101"/>
      <c r="H2693" s="101">
        <v>2</v>
      </c>
      <c r="I2693" s="101"/>
      <c r="J2693" s="101">
        <v>1</v>
      </c>
      <c r="K2693" s="101"/>
      <c r="L2693" s="101"/>
      <c r="M2693" s="101"/>
      <c r="N2693" s="101"/>
      <c r="O2693" s="101"/>
      <c r="P2693" s="101"/>
      <c r="Q2693" s="101"/>
      <c r="R2693" s="101"/>
      <c r="S2693" s="101"/>
      <c r="T2693" s="101"/>
      <c r="U2693" s="101"/>
      <c r="V2693" s="101"/>
      <c r="W2693" s="19"/>
      <c r="X2693" s="17"/>
      <c r="Y2693" s="5">
        <f t="shared" si="262"/>
        <v>0</v>
      </c>
      <c r="Z2693" s="5">
        <f t="shared" si="263"/>
        <v>0</v>
      </c>
      <c r="AA2693" s="5">
        <f t="shared" si="264"/>
        <v>0</v>
      </c>
      <c r="AB2693" s="5">
        <f t="shared" si="265"/>
        <v>0</v>
      </c>
      <c r="AC2693" s="5"/>
      <c r="AD2693" s="5">
        <v>0</v>
      </c>
      <c r="AE2693" s="5">
        <f t="shared" si="266"/>
        <v>0</v>
      </c>
      <c r="AF2693" s="70">
        <v>0</v>
      </c>
      <c r="AG2693" s="17"/>
      <c r="AH2693" s="18"/>
      <c r="AI2693" s="47" t="s">
        <v>4346</v>
      </c>
      <c r="AJ2693" s="73" t="s">
        <v>4347</v>
      </c>
      <c r="AK2693" s="45"/>
      <c r="AL2693" s="17" t="s">
        <v>5265</v>
      </c>
      <c r="AM2693" s="121" t="s">
        <v>5071</v>
      </c>
      <c r="AN2693" s="19"/>
      <c r="AO2693" s="19"/>
      <c r="AP2693" s="19"/>
      <c r="AQ2693" s="19"/>
      <c r="AR2693" s="19"/>
      <c r="AS2693" s="19"/>
      <c r="AT2693" s="19"/>
      <c r="AU2693" s="19"/>
      <c r="AV2693" s="19"/>
      <c r="AW2693" s="19"/>
      <c r="AX2693" s="19"/>
      <c r="AY2693" s="19"/>
      <c r="AZ2693" s="19"/>
      <c r="BA2693" s="19"/>
      <c r="BB2693" s="19"/>
      <c r="BC2693" s="19"/>
      <c r="BD2693" s="19"/>
      <c r="BE2693" s="19"/>
      <c r="BF2693" s="19"/>
      <c r="BG2693" s="19"/>
      <c r="BH2693" s="19"/>
      <c r="BI2693" s="19"/>
      <c r="BJ2693" s="19"/>
      <c r="BK2693" s="19"/>
      <c r="BL2693" s="19"/>
      <c r="BM2693" s="19"/>
      <c r="BN2693" s="19"/>
      <c r="BO2693" s="19"/>
      <c r="BP2693" s="19"/>
      <c r="BQ2693" s="19"/>
      <c r="BR2693" s="19"/>
      <c r="BS2693" s="19"/>
      <c r="BT2693" s="19"/>
      <c r="BU2693" s="19"/>
      <c r="BV2693" s="19"/>
      <c r="BW2693" s="19"/>
      <c r="BX2693" s="19"/>
      <c r="BY2693" s="19"/>
      <c r="BZ2693" s="19"/>
      <c r="CA2693" s="19"/>
      <c r="CB2693" s="19"/>
      <c r="CC2693" s="19"/>
      <c r="CD2693" s="139"/>
      <c r="CE2693" s="138"/>
      <c r="CF2693" s="139"/>
      <c r="CG2693" s="138"/>
      <c r="CH2693" s="139"/>
      <c r="CI2693" s="138"/>
      <c r="CJ2693" s="72"/>
      <c r="CK2693" s="139"/>
      <c r="CL2693" s="71"/>
      <c r="CM2693" s="139"/>
      <c r="CN2693" s="138"/>
      <c r="CO2693" s="138"/>
      <c r="CP2693" s="138"/>
      <c r="CQ2693" s="139"/>
      <c r="CR2693" s="138"/>
      <c r="CS2693" s="45"/>
      <c r="CT2693" s="138"/>
      <c r="CU2693" s="45"/>
      <c r="CV2693" s="99">
        <f t="shared" si="267"/>
        <v>0</v>
      </c>
      <c r="CW2693" s="139"/>
      <c r="CX2693" s="138"/>
      <c r="CY2693" s="138"/>
      <c r="CZ2693" s="138"/>
      <c r="DA2693" s="139"/>
      <c r="DB2693" s="138"/>
      <c r="DC2693" s="45"/>
      <c r="DD2693" s="138"/>
      <c r="DE2693" s="45"/>
      <c r="DF2693" s="46"/>
    </row>
    <row r="2694" spans="1:110" s="42" customFormat="1" ht="84" x14ac:dyDescent="0.2">
      <c r="A2694" s="89">
        <v>40868</v>
      </c>
      <c r="B2694" s="151" t="s">
        <v>4386</v>
      </c>
      <c r="C2694" s="90" t="s">
        <v>4377</v>
      </c>
      <c r="D2694" s="90" t="s">
        <v>4264</v>
      </c>
      <c r="E2694" s="90" t="str">
        <f>VLOOKUP(B2694&amp;C2694,Divipola!$C$2:$F$1138,4,FALSE)</f>
        <v>20295</v>
      </c>
      <c r="F2694" s="4"/>
      <c r="G2694" s="101"/>
      <c r="H2694" s="101"/>
      <c r="I2694" s="101"/>
      <c r="J2694" s="101">
        <v>13500</v>
      </c>
      <c r="K2694" s="101">
        <v>2700</v>
      </c>
      <c r="L2694" s="101"/>
      <c r="M2694" s="101">
        <v>2700</v>
      </c>
      <c r="N2694" s="101"/>
      <c r="O2694" s="101"/>
      <c r="P2694" s="101"/>
      <c r="Q2694" s="101"/>
      <c r="R2694" s="101"/>
      <c r="S2694" s="101"/>
      <c r="T2694" s="101"/>
      <c r="U2694" s="101"/>
      <c r="V2694" s="101"/>
      <c r="W2694" s="19"/>
      <c r="X2694" s="17"/>
      <c r="Y2694" s="5">
        <f t="shared" si="262"/>
        <v>66598848</v>
      </c>
      <c r="Z2694" s="5">
        <f t="shared" si="263"/>
        <v>153000000</v>
      </c>
      <c r="AA2694" s="5">
        <f t="shared" si="264"/>
        <v>0</v>
      </c>
      <c r="AB2694" s="5">
        <f t="shared" si="265"/>
        <v>0</v>
      </c>
      <c r="AC2694" s="5"/>
      <c r="AD2694" s="5">
        <v>0</v>
      </c>
      <c r="AE2694" s="5">
        <f t="shared" si="266"/>
        <v>219598848</v>
      </c>
      <c r="AF2694" s="70">
        <v>0</v>
      </c>
      <c r="AG2694" s="17"/>
      <c r="AH2694" s="18"/>
      <c r="AI2694" s="47" t="s">
        <v>4346</v>
      </c>
      <c r="AJ2694" s="73" t="s">
        <v>4347</v>
      </c>
      <c r="AK2694" s="45"/>
      <c r="AL2694" s="17"/>
      <c r="AM2694" s="121" t="s">
        <v>5092</v>
      </c>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39"/>
      <c r="CE2694" s="138"/>
      <c r="CF2694" s="139"/>
      <c r="CG2694" s="138"/>
      <c r="CH2694" s="139"/>
      <c r="CI2694" s="138"/>
      <c r="CJ2694" s="72"/>
      <c r="CK2694" s="139"/>
      <c r="CL2694" s="71"/>
      <c r="CM2694" s="139"/>
      <c r="CN2694" s="138"/>
      <c r="CO2694" s="138"/>
      <c r="CP2694" s="138">
        <v>1800</v>
      </c>
      <c r="CQ2694" s="139">
        <f>1800*36999.36</f>
        <v>66598848</v>
      </c>
      <c r="CR2694" s="138"/>
      <c r="CS2694" s="45"/>
      <c r="CT2694" s="138"/>
      <c r="CU2694" s="45"/>
      <c r="CV2694" s="99">
        <f t="shared" si="267"/>
        <v>66598848</v>
      </c>
      <c r="CW2694" s="139"/>
      <c r="CX2694" s="138"/>
      <c r="CY2694" s="138">
        <v>1800</v>
      </c>
      <c r="CZ2694" s="138">
        <f>1800*85000</f>
        <v>153000000</v>
      </c>
      <c r="DA2694" s="139"/>
      <c r="DB2694" s="138"/>
      <c r="DC2694" s="45"/>
      <c r="DD2694" s="138"/>
      <c r="DE2694" s="45"/>
      <c r="DF2694" s="46"/>
    </row>
    <row r="2695" spans="1:110" s="42" customFormat="1" ht="36" x14ac:dyDescent="0.2">
      <c r="A2695" s="89">
        <v>40868</v>
      </c>
      <c r="B2695" s="151" t="s">
        <v>4386</v>
      </c>
      <c r="C2695" s="90" t="s">
        <v>4357</v>
      </c>
      <c r="D2695" s="90" t="s">
        <v>4264</v>
      </c>
      <c r="E2695" s="90" t="str">
        <f>VLOOKUP(B2695&amp;C2695,Divipola!$C$2:$F$1138,4,FALSE)</f>
        <v>20787</v>
      </c>
      <c r="F2695" s="4"/>
      <c r="G2695" s="101"/>
      <c r="H2695" s="101"/>
      <c r="I2695" s="101"/>
      <c r="J2695" s="101">
        <v>4000</v>
      </c>
      <c r="K2695" s="101">
        <v>1000</v>
      </c>
      <c r="L2695" s="101"/>
      <c r="M2695" s="101"/>
      <c r="N2695" s="101"/>
      <c r="O2695" s="101"/>
      <c r="P2695" s="101"/>
      <c r="Q2695" s="101"/>
      <c r="R2695" s="101"/>
      <c r="S2695" s="101"/>
      <c r="T2695" s="101"/>
      <c r="U2695" s="101"/>
      <c r="V2695" s="101"/>
      <c r="W2695" s="19"/>
      <c r="X2695" s="17"/>
      <c r="Y2695" s="5">
        <f t="shared" si="262"/>
        <v>37000000</v>
      </c>
      <c r="Z2695" s="5">
        <f t="shared" si="263"/>
        <v>85000000</v>
      </c>
      <c r="AA2695" s="5">
        <f t="shared" si="264"/>
        <v>0</v>
      </c>
      <c r="AB2695" s="5">
        <f t="shared" si="265"/>
        <v>0</v>
      </c>
      <c r="AC2695" s="5"/>
      <c r="AD2695" s="5">
        <v>0</v>
      </c>
      <c r="AE2695" s="5">
        <f t="shared" si="266"/>
        <v>122000000</v>
      </c>
      <c r="AF2695" s="70">
        <v>0</v>
      </c>
      <c r="AG2695" s="17"/>
      <c r="AH2695" s="18"/>
      <c r="AI2695" s="47" t="s">
        <v>4346</v>
      </c>
      <c r="AJ2695" s="73" t="s">
        <v>4347</v>
      </c>
      <c r="AK2695" s="45"/>
      <c r="AL2695" s="17"/>
      <c r="AM2695" s="121" t="s">
        <v>5093</v>
      </c>
      <c r="AN2695" s="19"/>
      <c r="AO2695" s="19"/>
      <c r="AP2695" s="19"/>
      <c r="AQ2695" s="19"/>
      <c r="AR2695" s="19"/>
      <c r="AS2695" s="19"/>
      <c r="AT2695" s="19"/>
      <c r="AU2695" s="19"/>
      <c r="AV2695" s="19"/>
      <c r="AW2695" s="19"/>
      <c r="AX2695" s="19"/>
      <c r="AY2695" s="19"/>
      <c r="AZ2695" s="19"/>
      <c r="BA2695" s="19"/>
      <c r="BB2695" s="19"/>
      <c r="BC2695" s="19"/>
      <c r="BD2695" s="19"/>
      <c r="BE2695" s="19"/>
      <c r="BF2695" s="19"/>
      <c r="BG2695" s="19"/>
      <c r="BH2695" s="19"/>
      <c r="BI2695" s="19"/>
      <c r="BJ2695" s="19"/>
      <c r="BK2695" s="19"/>
      <c r="BL2695" s="19"/>
      <c r="BM2695" s="19"/>
      <c r="BN2695" s="19"/>
      <c r="BO2695" s="19"/>
      <c r="BP2695" s="19"/>
      <c r="BQ2695" s="19"/>
      <c r="BR2695" s="19"/>
      <c r="BS2695" s="19"/>
      <c r="BT2695" s="19"/>
      <c r="BU2695" s="19"/>
      <c r="BV2695" s="19"/>
      <c r="BW2695" s="19"/>
      <c r="BX2695" s="19"/>
      <c r="BY2695" s="19"/>
      <c r="BZ2695" s="19"/>
      <c r="CA2695" s="19"/>
      <c r="CB2695" s="19"/>
      <c r="CC2695" s="19"/>
      <c r="CD2695" s="139"/>
      <c r="CE2695" s="138"/>
      <c r="CF2695" s="139"/>
      <c r="CG2695" s="138"/>
      <c r="CH2695" s="139"/>
      <c r="CI2695" s="138"/>
      <c r="CJ2695" s="72"/>
      <c r="CK2695" s="139"/>
      <c r="CL2695" s="71"/>
      <c r="CM2695" s="139"/>
      <c r="CN2695" s="138"/>
      <c r="CO2695" s="138"/>
      <c r="CP2695" s="138">
        <v>1000</v>
      </c>
      <c r="CQ2695" s="139">
        <f>1000*37000</f>
        <v>37000000</v>
      </c>
      <c r="CR2695" s="138"/>
      <c r="CS2695" s="45"/>
      <c r="CT2695" s="138"/>
      <c r="CU2695" s="45"/>
      <c r="CV2695" s="99">
        <f t="shared" si="267"/>
        <v>37000000</v>
      </c>
      <c r="CW2695" s="139"/>
      <c r="CX2695" s="138"/>
      <c r="CY2695" s="138">
        <v>1000</v>
      </c>
      <c r="CZ2695" s="138">
        <f>1000*85000</f>
        <v>85000000</v>
      </c>
      <c r="DA2695" s="139"/>
      <c r="DB2695" s="138"/>
      <c r="DC2695" s="45"/>
      <c r="DD2695" s="138"/>
      <c r="DE2695" s="45"/>
      <c r="DF2695" s="46"/>
    </row>
    <row r="2696" spans="1:110" s="42" customFormat="1" ht="36" x14ac:dyDescent="0.2">
      <c r="A2696" s="89">
        <v>40868</v>
      </c>
      <c r="B2696" s="151" t="s">
        <v>4386</v>
      </c>
      <c r="C2696" s="90" t="s">
        <v>4376</v>
      </c>
      <c r="D2696" s="90" t="s">
        <v>4264</v>
      </c>
      <c r="E2696" s="90" t="str">
        <f>VLOOKUP(B2696&amp;C2696,Divipola!$C$2:$F$1138,4,FALSE)</f>
        <v>20383</v>
      </c>
      <c r="F2696" s="4"/>
      <c r="G2696" s="101"/>
      <c r="H2696" s="101"/>
      <c r="I2696" s="101"/>
      <c r="J2696" s="101">
        <f>2000*4</f>
        <v>8000</v>
      </c>
      <c r="K2696" s="101">
        <v>2000</v>
      </c>
      <c r="L2696" s="101"/>
      <c r="M2696" s="101"/>
      <c r="N2696" s="101"/>
      <c r="O2696" s="101"/>
      <c r="P2696" s="101"/>
      <c r="Q2696" s="101"/>
      <c r="R2696" s="101"/>
      <c r="S2696" s="101"/>
      <c r="T2696" s="101"/>
      <c r="U2696" s="101"/>
      <c r="V2696" s="101"/>
      <c r="W2696" s="19"/>
      <c r="X2696" s="17"/>
      <c r="Y2696" s="5">
        <f t="shared" si="262"/>
        <v>73998720</v>
      </c>
      <c r="Z2696" s="5">
        <f t="shared" si="263"/>
        <v>170000000</v>
      </c>
      <c r="AA2696" s="5">
        <f t="shared" si="264"/>
        <v>0</v>
      </c>
      <c r="AB2696" s="5">
        <f t="shared" si="265"/>
        <v>0</v>
      </c>
      <c r="AC2696" s="5"/>
      <c r="AD2696" s="5">
        <v>0</v>
      </c>
      <c r="AE2696" s="5">
        <f t="shared" si="266"/>
        <v>243998720</v>
      </c>
      <c r="AF2696" s="70">
        <v>0</v>
      </c>
      <c r="AG2696" s="17"/>
      <c r="AH2696" s="18"/>
      <c r="AI2696" s="47" t="s">
        <v>4346</v>
      </c>
      <c r="AJ2696" s="73" t="s">
        <v>4347</v>
      </c>
      <c r="AK2696" s="45"/>
      <c r="AL2696" s="17"/>
      <c r="AM2696" s="121" t="s">
        <v>5093</v>
      </c>
      <c r="AN2696" s="19"/>
      <c r="AO2696" s="19"/>
      <c r="AP2696" s="19"/>
      <c r="AQ2696" s="19"/>
      <c r="AR2696" s="19"/>
      <c r="AS2696" s="19"/>
      <c r="AT2696" s="19"/>
      <c r="AU2696" s="19"/>
      <c r="AV2696" s="19"/>
      <c r="AW2696" s="19"/>
      <c r="AX2696" s="19"/>
      <c r="AY2696" s="19"/>
      <c r="AZ2696" s="19"/>
      <c r="BA2696" s="19"/>
      <c r="BB2696" s="19"/>
      <c r="BC2696" s="19"/>
      <c r="BD2696" s="19"/>
      <c r="BE2696" s="19"/>
      <c r="BF2696" s="19"/>
      <c r="BG2696" s="19"/>
      <c r="BH2696" s="19"/>
      <c r="BI2696" s="19"/>
      <c r="BJ2696" s="19"/>
      <c r="BK2696" s="19"/>
      <c r="BL2696" s="19"/>
      <c r="BM2696" s="19"/>
      <c r="BN2696" s="19"/>
      <c r="BO2696" s="19"/>
      <c r="BP2696" s="19"/>
      <c r="BQ2696" s="19"/>
      <c r="BR2696" s="19"/>
      <c r="BS2696" s="19"/>
      <c r="BT2696" s="19"/>
      <c r="BU2696" s="19"/>
      <c r="BV2696" s="19"/>
      <c r="BW2696" s="19"/>
      <c r="BX2696" s="19"/>
      <c r="BY2696" s="19"/>
      <c r="BZ2696" s="19"/>
      <c r="CA2696" s="19"/>
      <c r="CB2696" s="19"/>
      <c r="CC2696" s="19"/>
      <c r="CD2696" s="139"/>
      <c r="CE2696" s="138"/>
      <c r="CF2696" s="139"/>
      <c r="CG2696" s="138"/>
      <c r="CH2696" s="139"/>
      <c r="CI2696" s="138"/>
      <c r="CJ2696" s="72"/>
      <c r="CK2696" s="139"/>
      <c r="CL2696" s="71"/>
      <c r="CM2696" s="139"/>
      <c r="CN2696" s="138"/>
      <c r="CO2696" s="138"/>
      <c r="CP2696" s="138">
        <v>2000</v>
      </c>
      <c r="CQ2696" s="139">
        <f>2000*36999.36</f>
        <v>73998720</v>
      </c>
      <c r="CR2696" s="138"/>
      <c r="CS2696" s="45"/>
      <c r="CT2696" s="138"/>
      <c r="CU2696" s="45"/>
      <c r="CV2696" s="99">
        <f t="shared" si="267"/>
        <v>73998720</v>
      </c>
      <c r="CW2696" s="139"/>
      <c r="CX2696" s="138"/>
      <c r="CY2696" s="138">
        <v>2000</v>
      </c>
      <c r="CZ2696" s="138">
        <f>2000*85000</f>
        <v>170000000</v>
      </c>
      <c r="DA2696" s="139"/>
      <c r="DB2696" s="138"/>
      <c r="DC2696" s="45"/>
      <c r="DD2696" s="138"/>
      <c r="DE2696" s="45"/>
      <c r="DF2696" s="46"/>
    </row>
    <row r="2697" spans="1:110" s="42" customFormat="1" ht="60" x14ac:dyDescent="0.2">
      <c r="A2697" s="89">
        <v>40868</v>
      </c>
      <c r="B2697" s="16" t="s">
        <v>4344</v>
      </c>
      <c r="C2697" s="16" t="s">
        <v>4517</v>
      </c>
      <c r="D2697" s="90" t="s">
        <v>4264</v>
      </c>
      <c r="E2697" s="90" t="str">
        <f>VLOOKUP(B2697&amp;C2697,Divipola!$C$2:$F$1138,4,FALSE)</f>
        <v>25851</v>
      </c>
      <c r="F2697" s="4"/>
      <c r="G2697" s="208"/>
      <c r="H2697" s="208"/>
      <c r="I2697" s="208"/>
      <c r="J2697" s="208"/>
      <c r="K2697" s="208"/>
      <c r="L2697" s="208"/>
      <c r="M2697" s="208"/>
      <c r="N2697" s="208"/>
      <c r="O2697" s="208"/>
      <c r="P2697" s="208"/>
      <c r="Q2697" s="208"/>
      <c r="R2697" s="208"/>
      <c r="S2697" s="208"/>
      <c r="T2697" s="208"/>
      <c r="U2697" s="208"/>
      <c r="V2697" s="208"/>
      <c r="W2697" s="19"/>
      <c r="X2697" s="17"/>
      <c r="Y2697" s="5">
        <f t="shared" si="262"/>
        <v>0</v>
      </c>
      <c r="Z2697" s="5">
        <f t="shared" si="263"/>
        <v>0</v>
      </c>
      <c r="AA2697" s="5">
        <f t="shared" si="264"/>
        <v>0</v>
      </c>
      <c r="AB2697" s="5">
        <f t="shared" si="265"/>
        <v>0</v>
      </c>
      <c r="AC2697" s="5"/>
      <c r="AD2697" s="5">
        <v>17000000</v>
      </c>
      <c r="AE2697" s="5">
        <f t="shared" si="266"/>
        <v>17000000</v>
      </c>
      <c r="AF2697" s="70">
        <v>0</v>
      </c>
      <c r="AG2697" s="17"/>
      <c r="AH2697" s="18"/>
      <c r="AI2697" s="47" t="s">
        <v>4346</v>
      </c>
      <c r="AJ2697" s="73" t="s">
        <v>4347</v>
      </c>
      <c r="AK2697" s="45"/>
      <c r="AL2697" s="17"/>
      <c r="AM2697" s="20" t="s">
        <v>5472</v>
      </c>
      <c r="AN2697" s="19"/>
      <c r="AO2697" s="19"/>
      <c r="AP2697" s="19"/>
      <c r="AQ2697" s="19"/>
      <c r="AR2697" s="19"/>
      <c r="AS2697" s="19"/>
      <c r="AT2697" s="19"/>
      <c r="AU2697" s="19"/>
      <c r="AV2697" s="19"/>
      <c r="AW2697" s="19"/>
      <c r="AX2697" s="19"/>
      <c r="AY2697" s="19"/>
      <c r="AZ2697" s="19"/>
      <c r="BA2697" s="19"/>
      <c r="BB2697" s="19"/>
      <c r="BC2697" s="19"/>
      <c r="BD2697" s="19"/>
      <c r="BE2697" s="19"/>
      <c r="BF2697" s="19"/>
      <c r="BG2697" s="19"/>
      <c r="BH2697" s="19"/>
      <c r="BI2697" s="19"/>
      <c r="BJ2697" s="19"/>
      <c r="BK2697" s="19"/>
      <c r="BL2697" s="19"/>
      <c r="BM2697" s="19"/>
      <c r="BN2697" s="19"/>
      <c r="BO2697" s="19"/>
      <c r="BP2697" s="19"/>
      <c r="BQ2697" s="19"/>
      <c r="BR2697" s="19"/>
      <c r="BS2697" s="19"/>
      <c r="BT2697" s="19"/>
      <c r="BU2697" s="19"/>
      <c r="BV2697" s="19"/>
      <c r="BW2697" s="19"/>
      <c r="BX2697" s="19"/>
      <c r="BY2697" s="19"/>
      <c r="BZ2697" s="19"/>
      <c r="CA2697" s="19"/>
      <c r="CB2697" s="19"/>
      <c r="CC2697" s="19"/>
      <c r="CD2697" s="139"/>
      <c r="CE2697" s="138"/>
      <c r="CF2697" s="139"/>
      <c r="CG2697" s="138"/>
      <c r="CH2697" s="139"/>
      <c r="CI2697" s="138"/>
      <c r="CJ2697" s="72"/>
      <c r="CK2697" s="139"/>
      <c r="CL2697" s="71"/>
      <c r="CM2697" s="139"/>
      <c r="CN2697" s="138"/>
      <c r="CO2697" s="138"/>
      <c r="CP2697" s="138"/>
      <c r="CQ2697" s="139"/>
      <c r="CR2697" s="138"/>
      <c r="CS2697" s="45"/>
      <c r="CT2697" s="138"/>
      <c r="CU2697" s="45"/>
      <c r="CV2697" s="99">
        <f t="shared" si="267"/>
        <v>0</v>
      </c>
      <c r="CW2697" s="139"/>
      <c r="CX2697" s="138"/>
      <c r="CY2697" s="138"/>
      <c r="CZ2697" s="138"/>
      <c r="DA2697" s="139"/>
      <c r="DB2697" s="138"/>
      <c r="DC2697" s="45"/>
      <c r="DD2697" s="138"/>
      <c r="DE2697" s="45"/>
      <c r="DF2697" s="46"/>
    </row>
    <row r="2698" spans="1:110" s="42" customFormat="1" ht="72" x14ac:dyDescent="0.2">
      <c r="A2698" s="89">
        <v>40868</v>
      </c>
      <c r="B2698" s="151" t="s">
        <v>4344</v>
      </c>
      <c r="C2698" s="90" t="s">
        <v>3327</v>
      </c>
      <c r="D2698" s="90" t="s">
        <v>4264</v>
      </c>
      <c r="E2698" s="90" t="str">
        <f>VLOOKUP(B2698&amp;C2698,Divipola!$C$2:$F$1138,4,FALSE)</f>
        <v>25758</v>
      </c>
      <c r="F2698" s="4"/>
      <c r="G2698" s="101"/>
      <c r="H2698" s="101"/>
      <c r="I2698" s="101"/>
      <c r="J2698" s="101">
        <v>8</v>
      </c>
      <c r="K2698" s="101">
        <v>2</v>
      </c>
      <c r="L2698" s="101"/>
      <c r="M2698" s="101">
        <v>2</v>
      </c>
      <c r="N2698" s="101"/>
      <c r="O2698" s="101"/>
      <c r="P2698" s="101"/>
      <c r="Q2698" s="101"/>
      <c r="R2698" s="101"/>
      <c r="S2698" s="101"/>
      <c r="T2698" s="101"/>
      <c r="U2698" s="101"/>
      <c r="V2698" s="101">
        <v>60</v>
      </c>
      <c r="W2698" s="19"/>
      <c r="X2698" s="17"/>
      <c r="Y2698" s="5">
        <f t="shared" si="262"/>
        <v>0</v>
      </c>
      <c r="Z2698" s="5">
        <f t="shared" si="263"/>
        <v>0</v>
      </c>
      <c r="AA2698" s="5">
        <f t="shared" si="264"/>
        <v>0</v>
      </c>
      <c r="AB2698" s="5">
        <f t="shared" si="265"/>
        <v>0</v>
      </c>
      <c r="AC2698" s="5"/>
      <c r="AD2698" s="5">
        <v>0</v>
      </c>
      <c r="AE2698" s="5">
        <f t="shared" si="266"/>
        <v>0</v>
      </c>
      <c r="AF2698" s="70">
        <v>0</v>
      </c>
      <c r="AG2698" s="17"/>
      <c r="AH2698" s="18"/>
      <c r="AI2698" s="47" t="s">
        <v>4336</v>
      </c>
      <c r="AJ2698" s="73" t="s">
        <v>4337</v>
      </c>
      <c r="AK2698" s="45"/>
      <c r="AL2698" s="17"/>
      <c r="AM2698" s="121" t="s">
        <v>5083</v>
      </c>
      <c r="AN2698" s="19"/>
      <c r="AO2698" s="19"/>
      <c r="AP2698" s="19"/>
      <c r="AQ2698" s="19"/>
      <c r="AR2698" s="19"/>
      <c r="AS2698" s="19"/>
      <c r="AT2698" s="19"/>
      <c r="AU2698" s="19"/>
      <c r="AV2698" s="19"/>
      <c r="AW2698" s="19"/>
      <c r="AX2698" s="19"/>
      <c r="AY2698" s="19"/>
      <c r="AZ2698" s="19"/>
      <c r="BA2698" s="19"/>
      <c r="BB2698" s="19"/>
      <c r="BC2698" s="19"/>
      <c r="BD2698" s="19"/>
      <c r="BE2698" s="19"/>
      <c r="BF2698" s="19"/>
      <c r="BG2698" s="19"/>
      <c r="BH2698" s="19"/>
      <c r="BI2698" s="19"/>
      <c r="BJ2698" s="19"/>
      <c r="BK2698" s="19"/>
      <c r="BL2698" s="19"/>
      <c r="BM2698" s="19"/>
      <c r="BN2698" s="19"/>
      <c r="BO2698" s="19"/>
      <c r="BP2698" s="19"/>
      <c r="BQ2698" s="19"/>
      <c r="BR2698" s="19"/>
      <c r="BS2698" s="19"/>
      <c r="BT2698" s="19"/>
      <c r="BU2698" s="19"/>
      <c r="BV2698" s="19"/>
      <c r="BW2698" s="19"/>
      <c r="BX2698" s="19"/>
      <c r="BY2698" s="19"/>
      <c r="BZ2698" s="19"/>
      <c r="CA2698" s="19"/>
      <c r="CB2698" s="19"/>
      <c r="CC2698" s="19"/>
      <c r="CD2698" s="139"/>
      <c r="CE2698" s="138"/>
      <c r="CF2698" s="139"/>
      <c r="CG2698" s="138"/>
      <c r="CH2698" s="139"/>
      <c r="CI2698" s="138"/>
      <c r="CJ2698" s="72"/>
      <c r="CK2698" s="139"/>
      <c r="CL2698" s="71"/>
      <c r="CM2698" s="139"/>
      <c r="CN2698" s="138"/>
      <c r="CO2698" s="138"/>
      <c r="CP2698" s="138"/>
      <c r="CQ2698" s="139"/>
      <c r="CR2698" s="138"/>
      <c r="CS2698" s="45"/>
      <c r="CT2698" s="138"/>
      <c r="CU2698" s="45"/>
      <c r="CV2698" s="99">
        <f t="shared" si="267"/>
        <v>0</v>
      </c>
      <c r="CW2698" s="139"/>
      <c r="CX2698" s="138"/>
      <c r="CY2698" s="138"/>
      <c r="CZ2698" s="138"/>
      <c r="DA2698" s="139"/>
      <c r="DB2698" s="138"/>
      <c r="DC2698" s="45"/>
      <c r="DD2698" s="138"/>
      <c r="DE2698" s="45"/>
      <c r="DF2698" s="46"/>
    </row>
    <row r="2699" spans="1:110" s="42" customFormat="1" ht="60" x14ac:dyDescent="0.2">
      <c r="A2699" s="89">
        <v>40868</v>
      </c>
      <c r="B2699" s="151" t="s">
        <v>4344</v>
      </c>
      <c r="C2699" s="90" t="s">
        <v>4251</v>
      </c>
      <c r="D2699" s="90" t="s">
        <v>2362</v>
      </c>
      <c r="E2699" s="90" t="str">
        <f>VLOOKUP(B2699&amp;C2699,Divipola!$C$2:$F$1138,4,FALSE)</f>
        <v>25513</v>
      </c>
      <c r="F2699" s="4"/>
      <c r="G2699" s="101"/>
      <c r="H2699" s="101"/>
      <c r="I2699" s="101"/>
      <c r="J2699" s="101">
        <v>4</v>
      </c>
      <c r="K2699" s="101">
        <v>1</v>
      </c>
      <c r="L2699" s="101"/>
      <c r="M2699" s="101">
        <v>1</v>
      </c>
      <c r="N2699" s="101">
        <v>1</v>
      </c>
      <c r="O2699" s="101"/>
      <c r="P2699" s="101"/>
      <c r="Q2699" s="101"/>
      <c r="R2699" s="101"/>
      <c r="S2699" s="101"/>
      <c r="T2699" s="101"/>
      <c r="U2699" s="101"/>
      <c r="V2699" s="101"/>
      <c r="W2699" s="19"/>
      <c r="X2699" s="17"/>
      <c r="Y2699" s="5">
        <f t="shared" si="262"/>
        <v>0</v>
      </c>
      <c r="Z2699" s="5">
        <f t="shared" si="263"/>
        <v>0</v>
      </c>
      <c r="AA2699" s="5">
        <f t="shared" si="264"/>
        <v>0</v>
      </c>
      <c r="AB2699" s="5">
        <f t="shared" si="265"/>
        <v>0</v>
      </c>
      <c r="AC2699" s="5"/>
      <c r="AD2699" s="5">
        <v>0</v>
      </c>
      <c r="AE2699" s="5">
        <f t="shared" si="266"/>
        <v>0</v>
      </c>
      <c r="AF2699" s="70">
        <v>0</v>
      </c>
      <c r="AG2699" s="17"/>
      <c r="AH2699" s="18"/>
      <c r="AI2699" s="47" t="s">
        <v>4336</v>
      </c>
      <c r="AJ2699" s="73" t="s">
        <v>4337</v>
      </c>
      <c r="AK2699" s="45"/>
      <c r="AL2699" s="17"/>
      <c r="AM2699" s="121" t="s">
        <v>5084</v>
      </c>
      <c r="AN2699" s="19"/>
      <c r="AO2699" s="19"/>
      <c r="AP2699" s="19"/>
      <c r="AQ2699" s="19"/>
      <c r="AR2699" s="19"/>
      <c r="AS2699" s="19"/>
      <c r="AT2699" s="19"/>
      <c r="AU2699" s="19"/>
      <c r="AV2699" s="19"/>
      <c r="AW2699" s="19"/>
      <c r="AX2699" s="19"/>
      <c r="AY2699" s="19"/>
      <c r="AZ2699" s="19"/>
      <c r="BA2699" s="19"/>
      <c r="BB2699" s="19"/>
      <c r="BC2699" s="19"/>
      <c r="BD2699" s="19"/>
      <c r="BE2699" s="19"/>
      <c r="BF2699" s="19"/>
      <c r="BG2699" s="19"/>
      <c r="BH2699" s="19"/>
      <c r="BI2699" s="19"/>
      <c r="BJ2699" s="19"/>
      <c r="BK2699" s="19"/>
      <c r="BL2699" s="19"/>
      <c r="BM2699" s="19"/>
      <c r="BN2699" s="19"/>
      <c r="BO2699" s="19"/>
      <c r="BP2699" s="19"/>
      <c r="BQ2699" s="19"/>
      <c r="BR2699" s="19"/>
      <c r="BS2699" s="19"/>
      <c r="BT2699" s="19"/>
      <c r="BU2699" s="19"/>
      <c r="BV2699" s="19"/>
      <c r="BW2699" s="19"/>
      <c r="BX2699" s="19"/>
      <c r="BY2699" s="19"/>
      <c r="BZ2699" s="19"/>
      <c r="CA2699" s="19"/>
      <c r="CB2699" s="19"/>
      <c r="CC2699" s="19"/>
      <c r="CD2699" s="139"/>
      <c r="CE2699" s="138"/>
      <c r="CF2699" s="139"/>
      <c r="CG2699" s="138"/>
      <c r="CH2699" s="139"/>
      <c r="CI2699" s="138"/>
      <c r="CJ2699" s="72"/>
      <c r="CK2699" s="139"/>
      <c r="CL2699" s="71"/>
      <c r="CM2699" s="139"/>
      <c r="CN2699" s="138"/>
      <c r="CO2699" s="138"/>
      <c r="CP2699" s="138"/>
      <c r="CQ2699" s="139"/>
      <c r="CR2699" s="138"/>
      <c r="CS2699" s="45"/>
      <c r="CT2699" s="138"/>
      <c r="CU2699" s="45"/>
      <c r="CV2699" s="99">
        <f t="shared" si="267"/>
        <v>0</v>
      </c>
      <c r="CW2699" s="139"/>
      <c r="CX2699" s="138"/>
      <c r="CY2699" s="138"/>
      <c r="CZ2699" s="138"/>
      <c r="DA2699" s="139"/>
      <c r="DB2699" s="138"/>
      <c r="DC2699" s="45"/>
      <c r="DD2699" s="138"/>
      <c r="DE2699" s="45"/>
      <c r="DF2699" s="46"/>
    </row>
    <row r="2700" spans="1:110" s="42" customFormat="1" ht="72" x14ac:dyDescent="0.2">
      <c r="A2700" s="89">
        <v>40868</v>
      </c>
      <c r="B2700" s="151" t="s">
        <v>4344</v>
      </c>
      <c r="C2700" s="90" t="s">
        <v>2257</v>
      </c>
      <c r="D2700" s="90" t="s">
        <v>4264</v>
      </c>
      <c r="E2700" s="90" t="str">
        <f>VLOOKUP(B2700&amp;C2700,Divipola!$C$2:$F$1138,4,FALSE)</f>
        <v>25126</v>
      </c>
      <c r="F2700" s="4"/>
      <c r="G2700" s="101"/>
      <c r="H2700" s="101"/>
      <c r="I2700" s="101"/>
      <c r="J2700" s="101"/>
      <c r="K2700" s="101"/>
      <c r="L2700" s="101"/>
      <c r="M2700" s="101">
        <v>2</v>
      </c>
      <c r="N2700" s="101">
        <v>1</v>
      </c>
      <c r="O2700" s="101"/>
      <c r="P2700" s="101"/>
      <c r="Q2700" s="101"/>
      <c r="R2700" s="101"/>
      <c r="S2700" s="101"/>
      <c r="T2700" s="101"/>
      <c r="U2700" s="101"/>
      <c r="V2700" s="101">
        <v>30</v>
      </c>
      <c r="W2700" s="19"/>
      <c r="X2700" s="17"/>
      <c r="Y2700" s="5">
        <f t="shared" si="262"/>
        <v>0</v>
      </c>
      <c r="Z2700" s="5">
        <f t="shared" si="263"/>
        <v>0</v>
      </c>
      <c r="AA2700" s="5">
        <f t="shared" si="264"/>
        <v>0</v>
      </c>
      <c r="AB2700" s="5">
        <f t="shared" si="265"/>
        <v>0</v>
      </c>
      <c r="AC2700" s="5"/>
      <c r="AD2700" s="5">
        <v>0</v>
      </c>
      <c r="AE2700" s="5">
        <f t="shared" si="266"/>
        <v>0</v>
      </c>
      <c r="AF2700" s="70">
        <v>0</v>
      </c>
      <c r="AG2700" s="17"/>
      <c r="AH2700" s="18"/>
      <c r="AI2700" s="47" t="s">
        <v>4336</v>
      </c>
      <c r="AJ2700" s="73" t="s">
        <v>4337</v>
      </c>
      <c r="AK2700" s="45"/>
      <c r="AL2700" s="17"/>
      <c r="AM2700" s="121" t="s">
        <v>5085</v>
      </c>
      <c r="AN2700" s="19"/>
      <c r="AO2700" s="19"/>
      <c r="AP2700" s="19"/>
      <c r="AQ2700" s="19"/>
      <c r="AR2700" s="19"/>
      <c r="AS2700" s="19"/>
      <c r="AT2700" s="19"/>
      <c r="AU2700" s="19"/>
      <c r="AV2700" s="19"/>
      <c r="AW2700" s="19"/>
      <c r="AX2700" s="19"/>
      <c r="AY2700" s="19"/>
      <c r="AZ2700" s="19"/>
      <c r="BA2700" s="19"/>
      <c r="BB2700" s="19"/>
      <c r="BC2700" s="19"/>
      <c r="BD2700" s="19"/>
      <c r="BE2700" s="19"/>
      <c r="BF2700" s="19"/>
      <c r="BG2700" s="19"/>
      <c r="BH2700" s="19"/>
      <c r="BI2700" s="19"/>
      <c r="BJ2700" s="19"/>
      <c r="BK2700" s="19"/>
      <c r="BL2700" s="19"/>
      <c r="BM2700" s="19"/>
      <c r="BN2700" s="19"/>
      <c r="BO2700" s="19"/>
      <c r="BP2700" s="19"/>
      <c r="BQ2700" s="19"/>
      <c r="BR2700" s="19"/>
      <c r="BS2700" s="19"/>
      <c r="BT2700" s="19"/>
      <c r="BU2700" s="19"/>
      <c r="BV2700" s="19"/>
      <c r="BW2700" s="19"/>
      <c r="BX2700" s="19"/>
      <c r="BY2700" s="19"/>
      <c r="BZ2700" s="19"/>
      <c r="CA2700" s="19"/>
      <c r="CB2700" s="19"/>
      <c r="CC2700" s="19"/>
      <c r="CD2700" s="139"/>
      <c r="CE2700" s="138"/>
      <c r="CF2700" s="139"/>
      <c r="CG2700" s="138"/>
      <c r="CH2700" s="139"/>
      <c r="CI2700" s="138"/>
      <c r="CJ2700" s="72"/>
      <c r="CK2700" s="139"/>
      <c r="CL2700" s="71"/>
      <c r="CM2700" s="139"/>
      <c r="CN2700" s="138"/>
      <c r="CO2700" s="138"/>
      <c r="CP2700" s="138"/>
      <c r="CQ2700" s="139"/>
      <c r="CR2700" s="138"/>
      <c r="CS2700" s="45"/>
      <c r="CT2700" s="138"/>
      <c r="CU2700" s="45"/>
      <c r="CV2700" s="99">
        <f t="shared" si="267"/>
        <v>0</v>
      </c>
      <c r="CW2700" s="139"/>
      <c r="CX2700" s="138"/>
      <c r="CY2700" s="138"/>
      <c r="CZ2700" s="138"/>
      <c r="DA2700" s="139"/>
      <c r="DB2700" s="138"/>
      <c r="DC2700" s="45"/>
      <c r="DD2700" s="138"/>
      <c r="DE2700" s="45"/>
      <c r="DF2700" s="46"/>
    </row>
    <row r="2701" spans="1:110" s="42" customFormat="1" ht="84" x14ac:dyDescent="0.2">
      <c r="A2701" s="89">
        <v>40868</v>
      </c>
      <c r="B2701" s="151" t="s">
        <v>4344</v>
      </c>
      <c r="C2701" s="90" t="s">
        <v>1847</v>
      </c>
      <c r="D2701" s="90" t="s">
        <v>4264</v>
      </c>
      <c r="E2701" s="90" t="str">
        <f>VLOOKUP(B2701&amp;C2701,Divipola!$C$2:$F$1138,4,FALSE)</f>
        <v>25898</v>
      </c>
      <c r="F2701" s="4"/>
      <c r="G2701" s="101"/>
      <c r="H2701" s="101"/>
      <c r="I2701" s="101"/>
      <c r="J2701" s="101"/>
      <c r="K2701" s="101"/>
      <c r="L2701" s="101"/>
      <c r="M2701" s="101"/>
      <c r="N2701" s="101">
        <v>1</v>
      </c>
      <c r="O2701" s="101"/>
      <c r="P2701" s="101"/>
      <c r="Q2701" s="101"/>
      <c r="R2701" s="101"/>
      <c r="S2701" s="101"/>
      <c r="T2701" s="101"/>
      <c r="U2701" s="101"/>
      <c r="V2701" s="101"/>
      <c r="W2701" s="19"/>
      <c r="X2701" s="17"/>
      <c r="Y2701" s="5">
        <f t="shared" si="262"/>
        <v>0</v>
      </c>
      <c r="Z2701" s="5">
        <f t="shared" si="263"/>
        <v>0</v>
      </c>
      <c r="AA2701" s="5">
        <f t="shared" si="264"/>
        <v>0</v>
      </c>
      <c r="AB2701" s="5">
        <f t="shared" si="265"/>
        <v>0</v>
      </c>
      <c r="AC2701" s="5"/>
      <c r="AD2701" s="5">
        <v>0</v>
      </c>
      <c r="AE2701" s="5">
        <f t="shared" si="266"/>
        <v>0</v>
      </c>
      <c r="AF2701" s="70">
        <v>0</v>
      </c>
      <c r="AG2701" s="17"/>
      <c r="AH2701" s="18"/>
      <c r="AI2701" s="47" t="s">
        <v>4336</v>
      </c>
      <c r="AJ2701" s="73" t="s">
        <v>4337</v>
      </c>
      <c r="AK2701" s="45"/>
      <c r="AL2701" s="17"/>
      <c r="AM2701" s="121" t="s">
        <v>5086</v>
      </c>
      <c r="AN2701" s="19"/>
      <c r="AO2701" s="19"/>
      <c r="AP2701" s="19"/>
      <c r="AQ2701" s="19"/>
      <c r="AR2701" s="19"/>
      <c r="AS2701" s="19"/>
      <c r="AT2701" s="19"/>
      <c r="AU2701" s="19"/>
      <c r="AV2701" s="19"/>
      <c r="AW2701" s="19"/>
      <c r="AX2701" s="19"/>
      <c r="AY2701" s="19"/>
      <c r="AZ2701" s="19"/>
      <c r="BA2701" s="19"/>
      <c r="BB2701" s="19"/>
      <c r="BC2701" s="19"/>
      <c r="BD2701" s="19"/>
      <c r="BE2701" s="19"/>
      <c r="BF2701" s="19"/>
      <c r="BG2701" s="19"/>
      <c r="BH2701" s="19"/>
      <c r="BI2701" s="19"/>
      <c r="BJ2701" s="19"/>
      <c r="BK2701" s="19"/>
      <c r="BL2701" s="19"/>
      <c r="BM2701" s="19"/>
      <c r="BN2701" s="19"/>
      <c r="BO2701" s="19"/>
      <c r="BP2701" s="19"/>
      <c r="BQ2701" s="19"/>
      <c r="BR2701" s="19"/>
      <c r="BS2701" s="19"/>
      <c r="BT2701" s="19"/>
      <c r="BU2701" s="19"/>
      <c r="BV2701" s="19"/>
      <c r="BW2701" s="19"/>
      <c r="BX2701" s="19"/>
      <c r="BY2701" s="19"/>
      <c r="BZ2701" s="19"/>
      <c r="CA2701" s="19"/>
      <c r="CB2701" s="19"/>
      <c r="CC2701" s="19"/>
      <c r="CD2701" s="139"/>
      <c r="CE2701" s="138"/>
      <c r="CF2701" s="139"/>
      <c r="CG2701" s="138"/>
      <c r="CH2701" s="139"/>
      <c r="CI2701" s="138"/>
      <c r="CJ2701" s="72"/>
      <c r="CK2701" s="139"/>
      <c r="CL2701" s="71"/>
      <c r="CM2701" s="139"/>
      <c r="CN2701" s="138"/>
      <c r="CO2701" s="138"/>
      <c r="CP2701" s="138"/>
      <c r="CQ2701" s="139"/>
      <c r="CR2701" s="138"/>
      <c r="CS2701" s="45"/>
      <c r="CT2701" s="138"/>
      <c r="CU2701" s="45"/>
      <c r="CV2701" s="99">
        <f t="shared" si="267"/>
        <v>0</v>
      </c>
      <c r="CW2701" s="139"/>
      <c r="CX2701" s="138"/>
      <c r="CY2701" s="138"/>
      <c r="CZ2701" s="138"/>
      <c r="DA2701" s="139"/>
      <c r="DB2701" s="138"/>
      <c r="DC2701" s="45"/>
      <c r="DD2701" s="138"/>
      <c r="DE2701" s="45"/>
      <c r="DF2701" s="46"/>
    </row>
    <row r="2702" spans="1:110" s="42" customFormat="1" ht="84" x14ac:dyDescent="0.2">
      <c r="A2702" s="89">
        <v>40868</v>
      </c>
      <c r="B2702" s="151" t="s">
        <v>4344</v>
      </c>
      <c r="C2702" s="90" t="s">
        <v>3450</v>
      </c>
      <c r="D2702" s="90" t="s">
        <v>4264</v>
      </c>
      <c r="E2702" s="90" t="str">
        <f>VLOOKUP(B2702&amp;C2702,Divipola!$C$2:$F$1138,4,FALSE)</f>
        <v>25175</v>
      </c>
      <c r="F2702" s="4"/>
      <c r="G2702" s="101"/>
      <c r="H2702" s="101"/>
      <c r="I2702" s="101"/>
      <c r="J2702" s="101">
        <v>60</v>
      </c>
      <c r="K2702" s="101"/>
      <c r="L2702" s="101"/>
      <c r="M2702" s="101"/>
      <c r="N2702" s="101">
        <v>1</v>
      </c>
      <c r="O2702" s="101"/>
      <c r="P2702" s="101"/>
      <c r="Q2702" s="101"/>
      <c r="R2702" s="101"/>
      <c r="S2702" s="101"/>
      <c r="T2702" s="101">
        <v>1</v>
      </c>
      <c r="U2702" s="101"/>
      <c r="V2702" s="101"/>
      <c r="W2702" s="19"/>
      <c r="X2702" s="17"/>
      <c r="Y2702" s="5">
        <f t="shared" si="262"/>
        <v>0</v>
      </c>
      <c r="Z2702" s="5">
        <f t="shared" si="263"/>
        <v>0</v>
      </c>
      <c r="AA2702" s="5">
        <f t="shared" si="264"/>
        <v>0</v>
      </c>
      <c r="AB2702" s="5">
        <f t="shared" si="265"/>
        <v>0</v>
      </c>
      <c r="AC2702" s="5"/>
      <c r="AD2702" s="5">
        <v>0</v>
      </c>
      <c r="AE2702" s="5">
        <f t="shared" si="266"/>
        <v>0</v>
      </c>
      <c r="AF2702" s="70">
        <v>0</v>
      </c>
      <c r="AG2702" s="17"/>
      <c r="AH2702" s="18"/>
      <c r="AI2702" s="47" t="s">
        <v>4336</v>
      </c>
      <c r="AJ2702" s="73" t="s">
        <v>4337</v>
      </c>
      <c r="AK2702" s="45"/>
      <c r="AL2702" s="17"/>
      <c r="AM2702" s="121" t="s">
        <v>5087</v>
      </c>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39"/>
      <c r="CE2702" s="138"/>
      <c r="CF2702" s="139"/>
      <c r="CG2702" s="138"/>
      <c r="CH2702" s="139"/>
      <c r="CI2702" s="138"/>
      <c r="CJ2702" s="72"/>
      <c r="CK2702" s="139"/>
      <c r="CL2702" s="71"/>
      <c r="CM2702" s="139"/>
      <c r="CN2702" s="138"/>
      <c r="CO2702" s="138"/>
      <c r="CP2702" s="138"/>
      <c r="CQ2702" s="139"/>
      <c r="CR2702" s="138"/>
      <c r="CS2702" s="45"/>
      <c r="CT2702" s="138"/>
      <c r="CU2702" s="45"/>
      <c r="CV2702" s="99">
        <f t="shared" si="267"/>
        <v>0</v>
      </c>
      <c r="CW2702" s="139"/>
      <c r="CX2702" s="138"/>
      <c r="CY2702" s="138"/>
      <c r="CZ2702" s="138"/>
      <c r="DA2702" s="139"/>
      <c r="DB2702" s="138"/>
      <c r="DC2702" s="45"/>
      <c r="DD2702" s="138"/>
      <c r="DE2702" s="45"/>
      <c r="DF2702" s="46"/>
    </row>
    <row r="2703" spans="1:110" s="42" customFormat="1" ht="72" x14ac:dyDescent="0.2">
      <c r="A2703" s="89">
        <v>40868</v>
      </c>
      <c r="B2703" s="151" t="s">
        <v>4344</v>
      </c>
      <c r="C2703" s="90" t="s">
        <v>2209</v>
      </c>
      <c r="D2703" s="90" t="s">
        <v>4264</v>
      </c>
      <c r="E2703" s="90" t="str">
        <f>VLOOKUP(B2703&amp;C2703,Divipola!$C$2:$F$1138,4,FALSE)</f>
        <v>25214</v>
      </c>
      <c r="F2703" s="4"/>
      <c r="G2703" s="101"/>
      <c r="H2703" s="101"/>
      <c r="I2703" s="101"/>
      <c r="J2703" s="101"/>
      <c r="K2703" s="101"/>
      <c r="L2703" s="101"/>
      <c r="M2703" s="101"/>
      <c r="N2703" s="101">
        <v>1</v>
      </c>
      <c r="O2703" s="101"/>
      <c r="P2703" s="101"/>
      <c r="Q2703" s="101"/>
      <c r="R2703" s="101"/>
      <c r="S2703" s="101"/>
      <c r="T2703" s="101"/>
      <c r="U2703" s="101"/>
      <c r="V2703" s="101"/>
      <c r="W2703" s="19"/>
      <c r="X2703" s="17"/>
      <c r="Y2703" s="5">
        <f t="shared" si="262"/>
        <v>0</v>
      </c>
      <c r="Z2703" s="5">
        <f t="shared" si="263"/>
        <v>0</v>
      </c>
      <c r="AA2703" s="5">
        <f t="shared" si="264"/>
        <v>0</v>
      </c>
      <c r="AB2703" s="5">
        <f t="shared" si="265"/>
        <v>0</v>
      </c>
      <c r="AC2703" s="5"/>
      <c r="AD2703" s="5">
        <v>0</v>
      </c>
      <c r="AE2703" s="5">
        <f t="shared" si="266"/>
        <v>0</v>
      </c>
      <c r="AF2703" s="70">
        <v>0</v>
      </c>
      <c r="AG2703" s="17"/>
      <c r="AH2703" s="18"/>
      <c r="AI2703" s="47" t="s">
        <v>4336</v>
      </c>
      <c r="AJ2703" s="73" t="s">
        <v>4337</v>
      </c>
      <c r="AK2703" s="45"/>
      <c r="AL2703" s="17"/>
      <c r="AM2703" s="121" t="s">
        <v>5088</v>
      </c>
      <c r="AN2703" s="19"/>
      <c r="AO2703" s="19"/>
      <c r="AP2703" s="19"/>
      <c r="AQ2703" s="19"/>
      <c r="AR2703" s="19"/>
      <c r="AS2703" s="19"/>
      <c r="AT2703" s="19"/>
      <c r="AU2703" s="19"/>
      <c r="AV2703" s="19"/>
      <c r="AW2703" s="19"/>
      <c r="AX2703" s="19"/>
      <c r="AY2703" s="19"/>
      <c r="AZ2703" s="19"/>
      <c r="BA2703" s="19"/>
      <c r="BB2703" s="19"/>
      <c r="BC2703" s="19"/>
      <c r="BD2703" s="19"/>
      <c r="BE2703" s="19"/>
      <c r="BF2703" s="19"/>
      <c r="BG2703" s="19"/>
      <c r="BH2703" s="19"/>
      <c r="BI2703" s="19"/>
      <c r="BJ2703" s="19"/>
      <c r="BK2703" s="19"/>
      <c r="BL2703" s="19"/>
      <c r="BM2703" s="19"/>
      <c r="BN2703" s="19"/>
      <c r="BO2703" s="19"/>
      <c r="BP2703" s="19"/>
      <c r="BQ2703" s="19"/>
      <c r="BR2703" s="19"/>
      <c r="BS2703" s="19"/>
      <c r="BT2703" s="19"/>
      <c r="BU2703" s="19"/>
      <c r="BV2703" s="19"/>
      <c r="BW2703" s="19"/>
      <c r="BX2703" s="19"/>
      <c r="BY2703" s="19"/>
      <c r="BZ2703" s="19"/>
      <c r="CA2703" s="19"/>
      <c r="CB2703" s="19"/>
      <c r="CC2703" s="19"/>
      <c r="CD2703" s="139"/>
      <c r="CE2703" s="138"/>
      <c r="CF2703" s="139"/>
      <c r="CG2703" s="138"/>
      <c r="CH2703" s="139"/>
      <c r="CI2703" s="138"/>
      <c r="CJ2703" s="72"/>
      <c r="CK2703" s="139"/>
      <c r="CL2703" s="71"/>
      <c r="CM2703" s="139"/>
      <c r="CN2703" s="138"/>
      <c r="CO2703" s="138"/>
      <c r="CP2703" s="138"/>
      <c r="CQ2703" s="139"/>
      <c r="CR2703" s="138"/>
      <c r="CS2703" s="45"/>
      <c r="CT2703" s="138"/>
      <c r="CU2703" s="45"/>
      <c r="CV2703" s="99">
        <f t="shared" si="267"/>
        <v>0</v>
      </c>
      <c r="CW2703" s="139"/>
      <c r="CX2703" s="138"/>
      <c r="CY2703" s="138"/>
      <c r="CZ2703" s="138"/>
      <c r="DA2703" s="139"/>
      <c r="DB2703" s="138"/>
      <c r="DC2703" s="45"/>
      <c r="DD2703" s="138"/>
      <c r="DE2703" s="45"/>
      <c r="DF2703" s="46"/>
    </row>
    <row r="2704" spans="1:110" s="42" customFormat="1" ht="36" x14ac:dyDescent="0.2">
      <c r="A2704" s="89">
        <v>40868</v>
      </c>
      <c r="B2704" s="151" t="s">
        <v>4344</v>
      </c>
      <c r="C2704" s="90" t="s">
        <v>840</v>
      </c>
      <c r="D2704" s="90" t="s">
        <v>2362</v>
      </c>
      <c r="E2704" s="90" t="str">
        <f>VLOOKUP(B2704&amp;C2704,Divipola!$C$2:$F$1138,4,FALSE)</f>
        <v>25491</v>
      </c>
      <c r="F2704" s="4"/>
      <c r="G2704" s="101"/>
      <c r="H2704" s="101"/>
      <c r="I2704" s="101"/>
      <c r="J2704" s="101">
        <v>12</v>
      </c>
      <c r="K2704" s="101">
        <v>3</v>
      </c>
      <c r="L2704" s="101"/>
      <c r="M2704" s="101">
        <v>3</v>
      </c>
      <c r="N2704" s="101"/>
      <c r="O2704" s="101"/>
      <c r="P2704" s="101"/>
      <c r="Q2704" s="101"/>
      <c r="R2704" s="101"/>
      <c r="S2704" s="101"/>
      <c r="T2704" s="101"/>
      <c r="U2704" s="101"/>
      <c r="V2704" s="101"/>
      <c r="W2704" s="19"/>
      <c r="X2704" s="17"/>
      <c r="Y2704" s="5">
        <f t="shared" si="262"/>
        <v>0</v>
      </c>
      <c r="Z2704" s="5">
        <f t="shared" si="263"/>
        <v>0</v>
      </c>
      <c r="AA2704" s="5">
        <f t="shared" si="264"/>
        <v>0</v>
      </c>
      <c r="AB2704" s="5">
        <f t="shared" si="265"/>
        <v>0</v>
      </c>
      <c r="AC2704" s="5"/>
      <c r="AD2704" s="5">
        <v>0</v>
      </c>
      <c r="AE2704" s="5">
        <f t="shared" si="266"/>
        <v>0</v>
      </c>
      <c r="AF2704" s="70">
        <v>0</v>
      </c>
      <c r="AG2704" s="17"/>
      <c r="AH2704" s="18"/>
      <c r="AI2704" s="47" t="s">
        <v>4336</v>
      </c>
      <c r="AJ2704" s="73" t="s">
        <v>4337</v>
      </c>
      <c r="AK2704" s="45"/>
      <c r="AL2704" s="17"/>
      <c r="AM2704" s="121" t="s">
        <v>5089</v>
      </c>
      <c r="AN2704" s="19"/>
      <c r="AO2704" s="19"/>
      <c r="AP2704" s="19"/>
      <c r="AQ2704" s="19"/>
      <c r="AR2704" s="19"/>
      <c r="AS2704" s="19"/>
      <c r="AT2704" s="19"/>
      <c r="AU2704" s="19"/>
      <c r="AV2704" s="19"/>
      <c r="AW2704" s="19"/>
      <c r="AX2704" s="19"/>
      <c r="AY2704" s="19"/>
      <c r="AZ2704" s="19"/>
      <c r="BA2704" s="19"/>
      <c r="BB2704" s="19"/>
      <c r="BC2704" s="19"/>
      <c r="BD2704" s="19"/>
      <c r="BE2704" s="19"/>
      <c r="BF2704" s="19"/>
      <c r="BG2704" s="19"/>
      <c r="BH2704" s="19"/>
      <c r="BI2704" s="19"/>
      <c r="BJ2704" s="19"/>
      <c r="BK2704" s="19"/>
      <c r="BL2704" s="19"/>
      <c r="BM2704" s="19"/>
      <c r="BN2704" s="19"/>
      <c r="BO2704" s="19"/>
      <c r="BP2704" s="19"/>
      <c r="BQ2704" s="19"/>
      <c r="BR2704" s="19"/>
      <c r="BS2704" s="19"/>
      <c r="BT2704" s="19"/>
      <c r="BU2704" s="19"/>
      <c r="BV2704" s="19"/>
      <c r="BW2704" s="19"/>
      <c r="BX2704" s="19"/>
      <c r="BY2704" s="19"/>
      <c r="BZ2704" s="19"/>
      <c r="CA2704" s="19"/>
      <c r="CB2704" s="19"/>
      <c r="CC2704" s="19"/>
      <c r="CD2704" s="139"/>
      <c r="CE2704" s="138"/>
      <c r="CF2704" s="139"/>
      <c r="CG2704" s="138"/>
      <c r="CH2704" s="139"/>
      <c r="CI2704" s="138"/>
      <c r="CJ2704" s="72"/>
      <c r="CK2704" s="139"/>
      <c r="CL2704" s="71"/>
      <c r="CM2704" s="139"/>
      <c r="CN2704" s="138"/>
      <c r="CO2704" s="138"/>
      <c r="CP2704" s="138"/>
      <c r="CQ2704" s="139"/>
      <c r="CR2704" s="138"/>
      <c r="CS2704" s="45"/>
      <c r="CT2704" s="138"/>
      <c r="CU2704" s="45"/>
      <c r="CV2704" s="99">
        <f t="shared" si="267"/>
        <v>0</v>
      </c>
      <c r="CW2704" s="139"/>
      <c r="CX2704" s="138"/>
      <c r="CY2704" s="138"/>
      <c r="CZ2704" s="138"/>
      <c r="DA2704" s="139"/>
      <c r="DB2704" s="138"/>
      <c r="DC2704" s="45"/>
      <c r="DD2704" s="138"/>
      <c r="DE2704" s="45"/>
      <c r="DF2704" s="46"/>
    </row>
    <row r="2705" spans="1:110" s="42" customFormat="1" ht="72" x14ac:dyDescent="0.2">
      <c r="A2705" s="89">
        <v>40868</v>
      </c>
      <c r="B2705" s="151" t="s">
        <v>4344</v>
      </c>
      <c r="C2705" s="90" t="s">
        <v>3501</v>
      </c>
      <c r="D2705" s="90" t="s">
        <v>4264</v>
      </c>
      <c r="E2705" s="90" t="str">
        <f>VLOOKUP(B2705&amp;C2705,Divipola!$C$2:$F$1138,4,FALSE)</f>
        <v>25377</v>
      </c>
      <c r="F2705" s="4"/>
      <c r="G2705" s="101"/>
      <c r="H2705" s="101"/>
      <c r="I2705" s="101"/>
      <c r="J2705" s="101">
        <v>12</v>
      </c>
      <c r="K2705" s="101">
        <v>3</v>
      </c>
      <c r="L2705" s="101"/>
      <c r="M2705" s="101">
        <v>3</v>
      </c>
      <c r="N2705" s="101"/>
      <c r="O2705" s="101"/>
      <c r="P2705" s="101"/>
      <c r="Q2705" s="101"/>
      <c r="R2705" s="101"/>
      <c r="S2705" s="101"/>
      <c r="T2705" s="101"/>
      <c r="U2705" s="101"/>
      <c r="V2705" s="101"/>
      <c r="W2705" s="19"/>
      <c r="X2705" s="17"/>
      <c r="Y2705" s="5">
        <f t="shared" si="262"/>
        <v>0</v>
      </c>
      <c r="Z2705" s="5">
        <f t="shared" si="263"/>
        <v>0</v>
      </c>
      <c r="AA2705" s="5">
        <f t="shared" si="264"/>
        <v>0</v>
      </c>
      <c r="AB2705" s="5">
        <f t="shared" si="265"/>
        <v>0</v>
      </c>
      <c r="AC2705" s="5"/>
      <c r="AD2705" s="5">
        <v>0</v>
      </c>
      <c r="AE2705" s="5">
        <f t="shared" si="266"/>
        <v>0</v>
      </c>
      <c r="AF2705" s="70">
        <v>0</v>
      </c>
      <c r="AG2705" s="17"/>
      <c r="AH2705" s="18"/>
      <c r="AI2705" s="47" t="s">
        <v>4336</v>
      </c>
      <c r="AJ2705" s="73" t="s">
        <v>4337</v>
      </c>
      <c r="AK2705" s="45"/>
      <c r="AL2705" s="17"/>
      <c r="AM2705" s="121" t="s">
        <v>5095</v>
      </c>
      <c r="AN2705" s="19"/>
      <c r="AO2705" s="19"/>
      <c r="AP2705" s="19"/>
      <c r="AQ2705" s="19"/>
      <c r="AR2705" s="19"/>
      <c r="AS2705" s="19"/>
      <c r="AT2705" s="19"/>
      <c r="AU2705" s="19"/>
      <c r="AV2705" s="19"/>
      <c r="AW2705" s="19"/>
      <c r="AX2705" s="19"/>
      <c r="AY2705" s="19"/>
      <c r="AZ2705" s="19"/>
      <c r="BA2705" s="19"/>
      <c r="BB2705" s="19"/>
      <c r="BC2705" s="19"/>
      <c r="BD2705" s="19"/>
      <c r="BE2705" s="19"/>
      <c r="BF2705" s="19"/>
      <c r="BG2705" s="19"/>
      <c r="BH2705" s="19"/>
      <c r="BI2705" s="19"/>
      <c r="BJ2705" s="19"/>
      <c r="BK2705" s="19"/>
      <c r="BL2705" s="19"/>
      <c r="BM2705" s="19"/>
      <c r="BN2705" s="19"/>
      <c r="BO2705" s="19"/>
      <c r="BP2705" s="19"/>
      <c r="BQ2705" s="19"/>
      <c r="BR2705" s="19"/>
      <c r="BS2705" s="19"/>
      <c r="BT2705" s="19"/>
      <c r="BU2705" s="19"/>
      <c r="BV2705" s="19"/>
      <c r="BW2705" s="19"/>
      <c r="BX2705" s="19"/>
      <c r="BY2705" s="19"/>
      <c r="BZ2705" s="19"/>
      <c r="CA2705" s="19"/>
      <c r="CB2705" s="19"/>
      <c r="CC2705" s="19"/>
      <c r="CD2705" s="139"/>
      <c r="CE2705" s="138"/>
      <c r="CF2705" s="139"/>
      <c r="CG2705" s="138"/>
      <c r="CH2705" s="139"/>
      <c r="CI2705" s="138"/>
      <c r="CJ2705" s="72"/>
      <c r="CK2705" s="139"/>
      <c r="CL2705" s="71"/>
      <c r="CM2705" s="139"/>
      <c r="CN2705" s="138"/>
      <c r="CO2705" s="138"/>
      <c r="CP2705" s="138"/>
      <c r="CQ2705" s="139"/>
      <c r="CR2705" s="138"/>
      <c r="CS2705" s="45"/>
      <c r="CT2705" s="138"/>
      <c r="CU2705" s="45"/>
      <c r="CV2705" s="99">
        <f t="shared" si="267"/>
        <v>0</v>
      </c>
      <c r="CW2705" s="139"/>
      <c r="CX2705" s="138"/>
      <c r="CY2705" s="138"/>
      <c r="CZ2705" s="138"/>
      <c r="DA2705" s="139"/>
      <c r="DB2705" s="138"/>
      <c r="DC2705" s="45"/>
      <c r="DD2705" s="138"/>
      <c r="DE2705" s="45"/>
      <c r="DF2705" s="46"/>
    </row>
    <row r="2706" spans="1:110" s="42" customFormat="1" ht="48" x14ac:dyDescent="0.2">
      <c r="A2706" s="89">
        <v>40868</v>
      </c>
      <c r="B2706" s="151" t="s">
        <v>4344</v>
      </c>
      <c r="C2706" s="90" t="s">
        <v>3501</v>
      </c>
      <c r="D2706" s="90" t="s">
        <v>2362</v>
      </c>
      <c r="E2706" s="90" t="str">
        <f>VLOOKUP(B2706&amp;C2706,Divipola!$C$2:$F$1138,4,FALSE)</f>
        <v>25377</v>
      </c>
      <c r="F2706" s="4"/>
      <c r="G2706" s="101"/>
      <c r="H2706" s="101"/>
      <c r="I2706" s="101"/>
      <c r="J2706" s="101">
        <v>22</v>
      </c>
      <c r="K2706" s="101">
        <v>5</v>
      </c>
      <c r="L2706" s="101"/>
      <c r="M2706" s="101">
        <v>5</v>
      </c>
      <c r="N2706" s="101"/>
      <c r="O2706" s="101"/>
      <c r="P2706" s="101"/>
      <c r="Q2706" s="101"/>
      <c r="R2706" s="101"/>
      <c r="S2706" s="101"/>
      <c r="T2706" s="101"/>
      <c r="U2706" s="101"/>
      <c r="V2706" s="101"/>
      <c r="W2706" s="19"/>
      <c r="X2706" s="17"/>
      <c r="Y2706" s="5">
        <f t="shared" si="262"/>
        <v>0</v>
      </c>
      <c r="Z2706" s="5">
        <f t="shared" si="263"/>
        <v>0</v>
      </c>
      <c r="AA2706" s="5">
        <f t="shared" si="264"/>
        <v>0</v>
      </c>
      <c r="AB2706" s="5">
        <f t="shared" si="265"/>
        <v>0</v>
      </c>
      <c r="AC2706" s="5"/>
      <c r="AD2706" s="5">
        <v>0</v>
      </c>
      <c r="AE2706" s="5">
        <f t="shared" si="266"/>
        <v>0</v>
      </c>
      <c r="AF2706" s="70">
        <v>0</v>
      </c>
      <c r="AG2706" s="17"/>
      <c r="AH2706" s="18"/>
      <c r="AI2706" s="47" t="s">
        <v>4336</v>
      </c>
      <c r="AJ2706" s="73" t="s">
        <v>4337</v>
      </c>
      <c r="AK2706" s="45"/>
      <c r="AL2706" s="17"/>
      <c r="AM2706" s="121" t="s">
        <v>5096</v>
      </c>
      <c r="AN2706" s="19"/>
      <c r="AO2706" s="19"/>
      <c r="AP2706" s="19"/>
      <c r="AQ2706" s="19"/>
      <c r="AR2706" s="19"/>
      <c r="AS2706" s="19"/>
      <c r="AT2706" s="19"/>
      <c r="AU2706" s="19"/>
      <c r="AV2706" s="19"/>
      <c r="AW2706" s="19"/>
      <c r="AX2706" s="19"/>
      <c r="AY2706" s="19"/>
      <c r="AZ2706" s="19"/>
      <c r="BA2706" s="19"/>
      <c r="BB2706" s="19"/>
      <c r="BC2706" s="19"/>
      <c r="BD2706" s="19"/>
      <c r="BE2706" s="19"/>
      <c r="BF2706" s="19"/>
      <c r="BG2706" s="19"/>
      <c r="BH2706" s="19"/>
      <c r="BI2706" s="19"/>
      <c r="BJ2706" s="19"/>
      <c r="BK2706" s="19"/>
      <c r="BL2706" s="19"/>
      <c r="BM2706" s="19"/>
      <c r="BN2706" s="19"/>
      <c r="BO2706" s="19"/>
      <c r="BP2706" s="19"/>
      <c r="BQ2706" s="19"/>
      <c r="BR2706" s="19"/>
      <c r="BS2706" s="19"/>
      <c r="BT2706" s="19"/>
      <c r="BU2706" s="19"/>
      <c r="BV2706" s="19"/>
      <c r="BW2706" s="19"/>
      <c r="BX2706" s="19"/>
      <c r="BY2706" s="19"/>
      <c r="BZ2706" s="19"/>
      <c r="CA2706" s="19"/>
      <c r="CB2706" s="19"/>
      <c r="CC2706" s="19"/>
      <c r="CD2706" s="139"/>
      <c r="CE2706" s="138"/>
      <c r="CF2706" s="139"/>
      <c r="CG2706" s="138"/>
      <c r="CH2706" s="139"/>
      <c r="CI2706" s="138"/>
      <c r="CJ2706" s="72"/>
      <c r="CK2706" s="139"/>
      <c r="CL2706" s="71"/>
      <c r="CM2706" s="139"/>
      <c r="CN2706" s="138"/>
      <c r="CO2706" s="138"/>
      <c r="CP2706" s="138"/>
      <c r="CQ2706" s="139"/>
      <c r="CR2706" s="138"/>
      <c r="CS2706" s="45"/>
      <c r="CT2706" s="138"/>
      <c r="CU2706" s="45"/>
      <c r="CV2706" s="99">
        <f t="shared" si="267"/>
        <v>0</v>
      </c>
      <c r="CW2706" s="139"/>
      <c r="CX2706" s="138"/>
      <c r="CY2706" s="138"/>
      <c r="CZ2706" s="138"/>
      <c r="DA2706" s="139"/>
      <c r="DB2706" s="138"/>
      <c r="DC2706" s="45"/>
      <c r="DD2706" s="138"/>
      <c r="DE2706" s="45"/>
      <c r="DF2706" s="46"/>
    </row>
    <row r="2707" spans="1:110" s="42" customFormat="1" ht="48" x14ac:dyDescent="0.2">
      <c r="A2707" s="89">
        <v>40868</v>
      </c>
      <c r="B2707" s="151" t="s">
        <v>4344</v>
      </c>
      <c r="C2707" s="90" t="s">
        <v>2213</v>
      </c>
      <c r="D2707" s="90" t="s">
        <v>2362</v>
      </c>
      <c r="E2707" s="90" t="str">
        <f>VLOOKUP(B2707&amp;C2707,Divipola!$C$2:$F$1138,4,FALSE)</f>
        <v>25322</v>
      </c>
      <c r="F2707" s="4"/>
      <c r="G2707" s="101"/>
      <c r="H2707" s="101"/>
      <c r="I2707" s="101"/>
      <c r="J2707" s="101"/>
      <c r="K2707" s="101"/>
      <c r="L2707" s="101"/>
      <c r="M2707" s="101"/>
      <c r="N2707" s="101">
        <v>1</v>
      </c>
      <c r="O2707" s="101"/>
      <c r="P2707" s="101"/>
      <c r="Q2707" s="101"/>
      <c r="R2707" s="101"/>
      <c r="S2707" s="101"/>
      <c r="T2707" s="101"/>
      <c r="U2707" s="101"/>
      <c r="V2707" s="101"/>
      <c r="W2707" s="19"/>
      <c r="X2707" s="17"/>
      <c r="Y2707" s="5">
        <f t="shared" si="262"/>
        <v>0</v>
      </c>
      <c r="Z2707" s="5">
        <f t="shared" si="263"/>
        <v>0</v>
      </c>
      <c r="AA2707" s="5">
        <f t="shared" si="264"/>
        <v>0</v>
      </c>
      <c r="AB2707" s="5">
        <f t="shared" si="265"/>
        <v>0</v>
      </c>
      <c r="AC2707" s="5"/>
      <c r="AD2707" s="5">
        <v>0</v>
      </c>
      <c r="AE2707" s="5">
        <f t="shared" si="266"/>
        <v>0</v>
      </c>
      <c r="AF2707" s="70">
        <v>0</v>
      </c>
      <c r="AG2707" s="17"/>
      <c r="AH2707" s="18"/>
      <c r="AI2707" s="47" t="s">
        <v>4336</v>
      </c>
      <c r="AJ2707" s="73" t="s">
        <v>4337</v>
      </c>
      <c r="AK2707" s="45"/>
      <c r="AL2707" s="17"/>
      <c r="AM2707" s="121" t="s">
        <v>5107</v>
      </c>
      <c r="AN2707" s="19"/>
      <c r="AO2707" s="19"/>
      <c r="AP2707" s="19"/>
      <c r="AQ2707" s="19"/>
      <c r="AR2707" s="19"/>
      <c r="AS2707" s="19"/>
      <c r="AT2707" s="19"/>
      <c r="AU2707" s="19"/>
      <c r="AV2707" s="19"/>
      <c r="AW2707" s="19"/>
      <c r="AX2707" s="19"/>
      <c r="AY2707" s="19"/>
      <c r="AZ2707" s="19"/>
      <c r="BA2707" s="19"/>
      <c r="BB2707" s="19"/>
      <c r="BC2707" s="19"/>
      <c r="BD2707" s="19"/>
      <c r="BE2707" s="19"/>
      <c r="BF2707" s="19"/>
      <c r="BG2707" s="19"/>
      <c r="BH2707" s="19"/>
      <c r="BI2707" s="19"/>
      <c r="BJ2707" s="19"/>
      <c r="BK2707" s="19"/>
      <c r="BL2707" s="19"/>
      <c r="BM2707" s="19"/>
      <c r="BN2707" s="19"/>
      <c r="BO2707" s="19"/>
      <c r="BP2707" s="19"/>
      <c r="BQ2707" s="19"/>
      <c r="BR2707" s="19"/>
      <c r="BS2707" s="19"/>
      <c r="BT2707" s="19"/>
      <c r="BU2707" s="19"/>
      <c r="BV2707" s="19"/>
      <c r="BW2707" s="19"/>
      <c r="BX2707" s="19"/>
      <c r="BY2707" s="19"/>
      <c r="BZ2707" s="19"/>
      <c r="CA2707" s="19"/>
      <c r="CB2707" s="19"/>
      <c r="CC2707" s="19"/>
      <c r="CD2707" s="139"/>
      <c r="CE2707" s="138"/>
      <c r="CF2707" s="139"/>
      <c r="CG2707" s="138"/>
      <c r="CH2707" s="139"/>
      <c r="CI2707" s="138"/>
      <c r="CJ2707" s="72"/>
      <c r="CK2707" s="139"/>
      <c r="CL2707" s="71"/>
      <c r="CM2707" s="139"/>
      <c r="CN2707" s="138"/>
      <c r="CO2707" s="138"/>
      <c r="CP2707" s="138"/>
      <c r="CQ2707" s="139"/>
      <c r="CR2707" s="138"/>
      <c r="CS2707" s="45"/>
      <c r="CT2707" s="138"/>
      <c r="CU2707" s="45"/>
      <c r="CV2707" s="99">
        <f t="shared" si="267"/>
        <v>0</v>
      </c>
      <c r="CW2707" s="139"/>
      <c r="CX2707" s="138"/>
      <c r="CY2707" s="138"/>
      <c r="CZ2707" s="138"/>
      <c r="DA2707" s="139"/>
      <c r="DB2707" s="138"/>
      <c r="DC2707" s="45"/>
      <c r="DD2707" s="138"/>
      <c r="DE2707" s="45"/>
      <c r="DF2707" s="46"/>
    </row>
    <row r="2708" spans="1:110" s="42" customFormat="1" ht="84" x14ac:dyDescent="0.2">
      <c r="A2708" s="89">
        <v>40868</v>
      </c>
      <c r="B2708" s="151" t="s">
        <v>4219</v>
      </c>
      <c r="C2708" s="90" t="s">
        <v>2246</v>
      </c>
      <c r="D2708" s="90" t="s">
        <v>2287</v>
      </c>
      <c r="E2708" s="90" t="str">
        <f>VLOOKUP(B2708&amp;C2708,Divipola!$C$2:$F$1138,4,FALSE)</f>
        <v>41378</v>
      </c>
      <c r="F2708" s="4"/>
      <c r="G2708" s="101"/>
      <c r="H2708" s="101">
        <v>20</v>
      </c>
      <c r="I2708" s="101"/>
      <c r="J2708" s="101"/>
      <c r="K2708" s="101"/>
      <c r="L2708" s="101"/>
      <c r="M2708" s="101"/>
      <c r="N2708" s="101"/>
      <c r="O2708" s="101"/>
      <c r="P2708" s="101"/>
      <c r="Q2708" s="101"/>
      <c r="R2708" s="101"/>
      <c r="S2708" s="101"/>
      <c r="T2708" s="101"/>
      <c r="U2708" s="101"/>
      <c r="V2708" s="101"/>
      <c r="W2708" s="19"/>
      <c r="X2708" s="17"/>
      <c r="Y2708" s="5">
        <f t="shared" si="262"/>
        <v>0</v>
      </c>
      <c r="Z2708" s="5">
        <f t="shared" si="263"/>
        <v>0</v>
      </c>
      <c r="AA2708" s="5">
        <f t="shared" si="264"/>
        <v>0</v>
      </c>
      <c r="AB2708" s="5">
        <f t="shared" si="265"/>
        <v>0</v>
      </c>
      <c r="AC2708" s="5"/>
      <c r="AD2708" s="5">
        <v>0</v>
      </c>
      <c r="AE2708" s="5">
        <f t="shared" si="266"/>
        <v>0</v>
      </c>
      <c r="AF2708" s="70">
        <v>0</v>
      </c>
      <c r="AG2708" s="17"/>
      <c r="AH2708" s="18"/>
      <c r="AI2708" s="47" t="s">
        <v>4346</v>
      </c>
      <c r="AJ2708" s="73" t="s">
        <v>4347</v>
      </c>
      <c r="AK2708" s="45"/>
      <c r="AL2708" s="89" t="s">
        <v>2798</v>
      </c>
      <c r="AM2708" s="121" t="s">
        <v>5076</v>
      </c>
      <c r="AN2708" s="19"/>
      <c r="AO2708" s="19"/>
      <c r="AP2708" s="19"/>
      <c r="AQ2708" s="19"/>
      <c r="AR2708" s="19"/>
      <c r="AS2708" s="19"/>
      <c r="AT2708" s="19"/>
      <c r="AU2708" s="19"/>
      <c r="AV2708" s="19"/>
      <c r="AW2708" s="19"/>
      <c r="AX2708" s="19"/>
      <c r="AY2708" s="19"/>
      <c r="AZ2708" s="19"/>
      <c r="BA2708" s="19"/>
      <c r="BB2708" s="19"/>
      <c r="BC2708" s="19"/>
      <c r="BD2708" s="19"/>
      <c r="BE2708" s="19"/>
      <c r="BF2708" s="19"/>
      <c r="BG2708" s="19"/>
      <c r="BH2708" s="19"/>
      <c r="BI2708" s="19"/>
      <c r="BJ2708" s="19"/>
      <c r="BK2708" s="19"/>
      <c r="BL2708" s="19"/>
      <c r="BM2708" s="19"/>
      <c r="BN2708" s="19"/>
      <c r="BO2708" s="19"/>
      <c r="BP2708" s="19"/>
      <c r="BQ2708" s="19"/>
      <c r="BR2708" s="19"/>
      <c r="BS2708" s="19"/>
      <c r="BT2708" s="19"/>
      <c r="BU2708" s="19"/>
      <c r="BV2708" s="19"/>
      <c r="BW2708" s="19"/>
      <c r="BX2708" s="19"/>
      <c r="BY2708" s="19"/>
      <c r="BZ2708" s="19"/>
      <c r="CA2708" s="19"/>
      <c r="CB2708" s="19"/>
      <c r="CC2708" s="19"/>
      <c r="CD2708" s="139"/>
      <c r="CE2708" s="138"/>
      <c r="CF2708" s="139"/>
      <c r="CG2708" s="138"/>
      <c r="CH2708" s="139"/>
      <c r="CI2708" s="138"/>
      <c r="CJ2708" s="72"/>
      <c r="CK2708" s="139"/>
      <c r="CL2708" s="71"/>
      <c r="CM2708" s="139"/>
      <c r="CN2708" s="138"/>
      <c r="CO2708" s="138"/>
      <c r="CP2708" s="138"/>
      <c r="CQ2708" s="139"/>
      <c r="CR2708" s="138"/>
      <c r="CS2708" s="45"/>
      <c r="CT2708" s="138"/>
      <c r="CU2708" s="45"/>
      <c r="CV2708" s="99">
        <f t="shared" si="267"/>
        <v>0</v>
      </c>
      <c r="CW2708" s="139"/>
      <c r="CX2708" s="138"/>
      <c r="CY2708" s="138"/>
      <c r="CZ2708" s="138"/>
      <c r="DA2708" s="139"/>
      <c r="DB2708" s="138"/>
      <c r="DC2708" s="45"/>
      <c r="DD2708" s="138"/>
      <c r="DE2708" s="45"/>
      <c r="DF2708" s="46"/>
    </row>
    <row r="2709" spans="1:110" s="42" customFormat="1" ht="48" x14ac:dyDescent="0.2">
      <c r="A2709" s="89">
        <v>40868</v>
      </c>
      <c r="B2709" s="151" t="s">
        <v>4219</v>
      </c>
      <c r="C2709" s="90" t="s">
        <v>4382</v>
      </c>
      <c r="D2709" s="90" t="s">
        <v>2362</v>
      </c>
      <c r="E2709" s="90" t="str">
        <f>VLOOKUP(B2709&amp;C2709,Divipola!$C$2:$F$1138,4,FALSE)</f>
        <v>41807</v>
      </c>
      <c r="F2709" s="4"/>
      <c r="G2709" s="101"/>
      <c r="H2709" s="101"/>
      <c r="I2709" s="101"/>
      <c r="J2709" s="101"/>
      <c r="K2709" s="101"/>
      <c r="L2709" s="101"/>
      <c r="M2709" s="101"/>
      <c r="N2709" s="101">
        <v>1</v>
      </c>
      <c r="O2709" s="101"/>
      <c r="P2709" s="101"/>
      <c r="Q2709" s="101"/>
      <c r="R2709" s="101"/>
      <c r="S2709" s="101"/>
      <c r="T2709" s="101"/>
      <c r="U2709" s="101"/>
      <c r="V2709" s="101"/>
      <c r="W2709" s="19"/>
      <c r="X2709" s="17"/>
      <c r="Y2709" s="5">
        <f t="shared" si="262"/>
        <v>0</v>
      </c>
      <c r="Z2709" s="5">
        <f t="shared" si="263"/>
        <v>0</v>
      </c>
      <c r="AA2709" s="5">
        <f t="shared" si="264"/>
        <v>0</v>
      </c>
      <c r="AB2709" s="5">
        <f t="shared" si="265"/>
        <v>0</v>
      </c>
      <c r="AC2709" s="5"/>
      <c r="AD2709" s="5">
        <v>0</v>
      </c>
      <c r="AE2709" s="5">
        <f t="shared" si="266"/>
        <v>0</v>
      </c>
      <c r="AF2709" s="70">
        <v>0</v>
      </c>
      <c r="AG2709" s="17"/>
      <c r="AH2709" s="18"/>
      <c r="AI2709" s="47" t="s">
        <v>4346</v>
      </c>
      <c r="AJ2709" s="73" t="s">
        <v>4347</v>
      </c>
      <c r="AK2709" s="45"/>
      <c r="AL2709" s="89" t="s">
        <v>2798</v>
      </c>
      <c r="AM2709" s="121" t="s">
        <v>5090</v>
      </c>
      <c r="AN2709" s="19"/>
      <c r="AO2709" s="19"/>
      <c r="AP2709" s="19"/>
      <c r="AQ2709" s="19"/>
      <c r="AR2709" s="19"/>
      <c r="AS2709" s="19"/>
      <c r="AT2709" s="19"/>
      <c r="AU2709" s="19"/>
      <c r="AV2709" s="19"/>
      <c r="AW2709" s="19"/>
      <c r="AX2709" s="19"/>
      <c r="AY2709" s="19"/>
      <c r="AZ2709" s="19"/>
      <c r="BA2709" s="19"/>
      <c r="BB2709" s="19"/>
      <c r="BC2709" s="19"/>
      <c r="BD2709" s="19"/>
      <c r="BE2709" s="19"/>
      <c r="BF2709" s="19"/>
      <c r="BG2709" s="19"/>
      <c r="BH2709" s="19"/>
      <c r="BI2709" s="19"/>
      <c r="BJ2709" s="19"/>
      <c r="BK2709" s="19"/>
      <c r="BL2709" s="19"/>
      <c r="BM2709" s="19"/>
      <c r="BN2709" s="19"/>
      <c r="BO2709" s="19"/>
      <c r="BP2709" s="19"/>
      <c r="BQ2709" s="19"/>
      <c r="BR2709" s="19"/>
      <c r="BS2709" s="19"/>
      <c r="BT2709" s="19"/>
      <c r="BU2709" s="19"/>
      <c r="BV2709" s="19"/>
      <c r="BW2709" s="19"/>
      <c r="BX2709" s="19"/>
      <c r="BY2709" s="19"/>
      <c r="BZ2709" s="19"/>
      <c r="CA2709" s="19"/>
      <c r="CB2709" s="19"/>
      <c r="CC2709" s="19"/>
      <c r="CD2709" s="139"/>
      <c r="CE2709" s="138"/>
      <c r="CF2709" s="139"/>
      <c r="CG2709" s="138"/>
      <c r="CH2709" s="139"/>
      <c r="CI2709" s="138"/>
      <c r="CJ2709" s="72"/>
      <c r="CK2709" s="139"/>
      <c r="CL2709" s="71"/>
      <c r="CM2709" s="139"/>
      <c r="CN2709" s="138"/>
      <c r="CO2709" s="138"/>
      <c r="CP2709" s="138"/>
      <c r="CQ2709" s="139"/>
      <c r="CR2709" s="138"/>
      <c r="CS2709" s="45"/>
      <c r="CT2709" s="138"/>
      <c r="CU2709" s="45"/>
      <c r="CV2709" s="99">
        <f t="shared" si="267"/>
        <v>0</v>
      </c>
      <c r="CW2709" s="139"/>
      <c r="CX2709" s="138"/>
      <c r="CY2709" s="138"/>
      <c r="CZ2709" s="138"/>
      <c r="DA2709" s="139"/>
      <c r="DB2709" s="138"/>
      <c r="DC2709" s="45"/>
      <c r="DD2709" s="138"/>
      <c r="DE2709" s="45"/>
      <c r="DF2709" s="46"/>
    </row>
    <row r="2710" spans="1:110" s="42" customFormat="1" ht="48" x14ac:dyDescent="0.2">
      <c r="A2710" s="89">
        <v>40868</v>
      </c>
      <c r="B2710" s="151" t="s">
        <v>4219</v>
      </c>
      <c r="C2710" s="90" t="s">
        <v>4255</v>
      </c>
      <c r="D2710" s="90" t="s">
        <v>2362</v>
      </c>
      <c r="E2710" s="90" t="str">
        <f>VLOOKUP(B2710&amp;C2710,Divipola!$C$2:$F$1138,4,FALSE)</f>
        <v>41396</v>
      </c>
      <c r="F2710" s="4"/>
      <c r="G2710" s="101"/>
      <c r="H2710" s="101"/>
      <c r="I2710" s="101"/>
      <c r="J2710" s="101"/>
      <c r="K2710" s="101"/>
      <c r="L2710" s="101"/>
      <c r="M2710" s="101"/>
      <c r="N2710" s="101">
        <v>1</v>
      </c>
      <c r="O2710" s="101"/>
      <c r="P2710" s="101"/>
      <c r="Q2710" s="101"/>
      <c r="R2710" s="101"/>
      <c r="S2710" s="101"/>
      <c r="T2710" s="101"/>
      <c r="U2710" s="101"/>
      <c r="V2710" s="101"/>
      <c r="W2710" s="19"/>
      <c r="X2710" s="17"/>
      <c r="Y2710" s="5">
        <f t="shared" si="262"/>
        <v>0</v>
      </c>
      <c r="Z2710" s="5">
        <f t="shared" si="263"/>
        <v>0</v>
      </c>
      <c r="AA2710" s="5">
        <f t="shared" si="264"/>
        <v>0</v>
      </c>
      <c r="AB2710" s="5">
        <f t="shared" si="265"/>
        <v>0</v>
      </c>
      <c r="AC2710" s="5"/>
      <c r="AD2710" s="5">
        <v>0</v>
      </c>
      <c r="AE2710" s="5">
        <f t="shared" si="266"/>
        <v>0</v>
      </c>
      <c r="AF2710" s="70">
        <v>0</v>
      </c>
      <c r="AG2710" s="17"/>
      <c r="AH2710" s="18"/>
      <c r="AI2710" s="47" t="s">
        <v>4346</v>
      </c>
      <c r="AJ2710" s="73" t="s">
        <v>4347</v>
      </c>
      <c r="AK2710" s="45"/>
      <c r="AL2710" s="89" t="s">
        <v>2798</v>
      </c>
      <c r="AM2710" s="121" t="s">
        <v>5091</v>
      </c>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39"/>
      <c r="CE2710" s="138"/>
      <c r="CF2710" s="139"/>
      <c r="CG2710" s="138"/>
      <c r="CH2710" s="139"/>
      <c r="CI2710" s="138"/>
      <c r="CJ2710" s="72"/>
      <c r="CK2710" s="139"/>
      <c r="CL2710" s="71"/>
      <c r="CM2710" s="139"/>
      <c r="CN2710" s="138"/>
      <c r="CO2710" s="138"/>
      <c r="CP2710" s="138"/>
      <c r="CQ2710" s="139"/>
      <c r="CR2710" s="138"/>
      <c r="CS2710" s="45"/>
      <c r="CT2710" s="138"/>
      <c r="CU2710" s="45"/>
      <c r="CV2710" s="99">
        <f t="shared" si="267"/>
        <v>0</v>
      </c>
      <c r="CW2710" s="139"/>
      <c r="CX2710" s="138"/>
      <c r="CY2710" s="138"/>
      <c r="CZ2710" s="138"/>
      <c r="DA2710" s="139"/>
      <c r="DB2710" s="138"/>
      <c r="DC2710" s="45"/>
      <c r="DD2710" s="138"/>
      <c r="DE2710" s="45"/>
      <c r="DF2710" s="46"/>
    </row>
    <row r="2711" spans="1:110" s="42" customFormat="1" ht="84" x14ac:dyDescent="0.2">
      <c r="A2711" s="89">
        <v>40868</v>
      </c>
      <c r="B2711" s="151" t="s">
        <v>4219</v>
      </c>
      <c r="C2711" s="90" t="s">
        <v>2250</v>
      </c>
      <c r="D2711" s="90" t="s">
        <v>2362</v>
      </c>
      <c r="E2711" s="90" t="str">
        <f>VLOOKUP(B2711&amp;C2711,Divipola!$C$2:$F$1138,4,FALSE)</f>
        <v>41797</v>
      </c>
      <c r="F2711" s="4"/>
      <c r="G2711" s="101"/>
      <c r="H2711" s="101"/>
      <c r="I2711" s="101"/>
      <c r="J2711" s="101">
        <v>85</v>
      </c>
      <c r="K2711" s="101">
        <v>17</v>
      </c>
      <c r="L2711" s="101"/>
      <c r="M2711" s="101">
        <v>17</v>
      </c>
      <c r="N2711" s="101">
        <v>1</v>
      </c>
      <c r="O2711" s="101"/>
      <c r="P2711" s="101"/>
      <c r="Q2711" s="101"/>
      <c r="R2711" s="101"/>
      <c r="S2711" s="101"/>
      <c r="T2711" s="101"/>
      <c r="U2711" s="101"/>
      <c r="V2711" s="101"/>
      <c r="W2711" s="19"/>
      <c r="X2711" s="17"/>
      <c r="Y2711" s="5">
        <f t="shared" si="262"/>
        <v>0</v>
      </c>
      <c r="Z2711" s="5">
        <f t="shared" si="263"/>
        <v>0</v>
      </c>
      <c r="AA2711" s="5">
        <f t="shared" si="264"/>
        <v>0</v>
      </c>
      <c r="AB2711" s="5">
        <f t="shared" si="265"/>
        <v>0</v>
      </c>
      <c r="AC2711" s="5"/>
      <c r="AD2711" s="5">
        <v>0</v>
      </c>
      <c r="AE2711" s="5">
        <f t="shared" si="266"/>
        <v>0</v>
      </c>
      <c r="AF2711" s="70">
        <v>0</v>
      </c>
      <c r="AG2711" s="17"/>
      <c r="AH2711" s="18"/>
      <c r="AI2711" s="47" t="s">
        <v>4346</v>
      </c>
      <c r="AJ2711" s="73" t="s">
        <v>4347</v>
      </c>
      <c r="AK2711" s="45"/>
      <c r="AL2711" s="89" t="s">
        <v>2798</v>
      </c>
      <c r="AM2711" s="121" t="s">
        <v>5185</v>
      </c>
      <c r="AN2711" s="19"/>
      <c r="AO2711" s="19"/>
      <c r="AP2711" s="19"/>
      <c r="AQ2711" s="19"/>
      <c r="AR2711" s="19"/>
      <c r="AS2711" s="19"/>
      <c r="AT2711" s="19"/>
      <c r="AU2711" s="19"/>
      <c r="AV2711" s="19"/>
      <c r="AW2711" s="19"/>
      <c r="AX2711" s="19"/>
      <c r="AY2711" s="19"/>
      <c r="AZ2711" s="19"/>
      <c r="BA2711" s="19"/>
      <c r="BB2711" s="19"/>
      <c r="BC2711" s="19"/>
      <c r="BD2711" s="19"/>
      <c r="BE2711" s="19"/>
      <c r="BF2711" s="19"/>
      <c r="BG2711" s="19"/>
      <c r="BH2711" s="19"/>
      <c r="BI2711" s="19"/>
      <c r="BJ2711" s="19"/>
      <c r="BK2711" s="19"/>
      <c r="BL2711" s="19"/>
      <c r="BM2711" s="19"/>
      <c r="BN2711" s="19"/>
      <c r="BO2711" s="19"/>
      <c r="BP2711" s="19"/>
      <c r="BQ2711" s="19"/>
      <c r="BR2711" s="19"/>
      <c r="BS2711" s="19"/>
      <c r="BT2711" s="19"/>
      <c r="BU2711" s="19"/>
      <c r="BV2711" s="19"/>
      <c r="BW2711" s="19"/>
      <c r="BX2711" s="19"/>
      <c r="BY2711" s="19"/>
      <c r="BZ2711" s="19"/>
      <c r="CA2711" s="19"/>
      <c r="CB2711" s="19"/>
      <c r="CC2711" s="19"/>
      <c r="CD2711" s="139"/>
      <c r="CE2711" s="138"/>
      <c r="CF2711" s="139"/>
      <c r="CG2711" s="138"/>
      <c r="CH2711" s="139"/>
      <c r="CI2711" s="138"/>
      <c r="CJ2711" s="72"/>
      <c r="CK2711" s="139"/>
      <c r="CL2711" s="71"/>
      <c r="CM2711" s="139"/>
      <c r="CN2711" s="138"/>
      <c r="CO2711" s="138"/>
      <c r="CP2711" s="138"/>
      <c r="CQ2711" s="139"/>
      <c r="CR2711" s="138"/>
      <c r="CS2711" s="45"/>
      <c r="CT2711" s="138"/>
      <c r="CU2711" s="45"/>
      <c r="CV2711" s="99">
        <f t="shared" si="267"/>
        <v>0</v>
      </c>
      <c r="CW2711" s="139"/>
      <c r="CX2711" s="138"/>
      <c r="CY2711" s="138"/>
      <c r="CZ2711" s="138"/>
      <c r="DA2711" s="139"/>
      <c r="DB2711" s="138"/>
      <c r="DC2711" s="45"/>
      <c r="DD2711" s="138"/>
      <c r="DE2711" s="45"/>
      <c r="DF2711" s="46"/>
    </row>
    <row r="2712" spans="1:110" s="42" customFormat="1" ht="60" x14ac:dyDescent="0.2">
      <c r="A2712" s="89">
        <v>40868</v>
      </c>
      <c r="B2712" s="151" t="s">
        <v>4219</v>
      </c>
      <c r="C2712" s="90" t="s">
        <v>4382</v>
      </c>
      <c r="D2712" s="90" t="s">
        <v>2362</v>
      </c>
      <c r="E2712" s="90" t="str">
        <f>VLOOKUP(B2712&amp;C2712,Divipola!$C$2:$F$1138,4,FALSE)</f>
        <v>41807</v>
      </c>
      <c r="F2712" s="4"/>
      <c r="G2712" s="101"/>
      <c r="H2712" s="101"/>
      <c r="I2712" s="101"/>
      <c r="J2712" s="101"/>
      <c r="K2712" s="101"/>
      <c r="L2712" s="101"/>
      <c r="M2712" s="101"/>
      <c r="N2712" s="101"/>
      <c r="O2712" s="101"/>
      <c r="P2712" s="101"/>
      <c r="Q2712" s="101"/>
      <c r="R2712" s="101"/>
      <c r="S2712" s="101"/>
      <c r="T2712" s="101"/>
      <c r="U2712" s="101"/>
      <c r="V2712" s="101">
        <v>2</v>
      </c>
      <c r="W2712" s="19"/>
      <c r="X2712" s="17"/>
      <c r="Y2712" s="5">
        <f t="shared" si="262"/>
        <v>0</v>
      </c>
      <c r="Z2712" s="5">
        <f t="shared" si="263"/>
        <v>0</v>
      </c>
      <c r="AA2712" s="5">
        <f t="shared" si="264"/>
        <v>0</v>
      </c>
      <c r="AB2712" s="5">
        <f t="shared" si="265"/>
        <v>0</v>
      </c>
      <c r="AC2712" s="5"/>
      <c r="AD2712" s="5">
        <v>0</v>
      </c>
      <c r="AE2712" s="5">
        <f t="shared" si="266"/>
        <v>0</v>
      </c>
      <c r="AF2712" s="70">
        <v>0</v>
      </c>
      <c r="AG2712" s="17"/>
      <c r="AH2712" s="18"/>
      <c r="AI2712" s="47" t="s">
        <v>4346</v>
      </c>
      <c r="AJ2712" s="73" t="s">
        <v>4347</v>
      </c>
      <c r="AK2712" s="45"/>
      <c r="AL2712" s="89" t="s">
        <v>2798</v>
      </c>
      <c r="AM2712" s="121" t="s">
        <v>5098</v>
      </c>
      <c r="AN2712" s="19"/>
      <c r="AO2712" s="19"/>
      <c r="AP2712" s="19"/>
      <c r="AQ2712" s="19"/>
      <c r="AR2712" s="19"/>
      <c r="AS2712" s="19"/>
      <c r="AT2712" s="19"/>
      <c r="AU2712" s="19"/>
      <c r="AV2712" s="19"/>
      <c r="AW2712" s="19"/>
      <c r="AX2712" s="19"/>
      <c r="AY2712" s="19"/>
      <c r="AZ2712" s="19"/>
      <c r="BA2712" s="19"/>
      <c r="BB2712" s="19"/>
      <c r="BC2712" s="19"/>
      <c r="BD2712" s="19"/>
      <c r="BE2712" s="19"/>
      <c r="BF2712" s="19"/>
      <c r="BG2712" s="19"/>
      <c r="BH2712" s="19"/>
      <c r="BI2712" s="19"/>
      <c r="BJ2712" s="19"/>
      <c r="BK2712" s="19"/>
      <c r="BL2712" s="19"/>
      <c r="BM2712" s="19"/>
      <c r="BN2712" s="19"/>
      <c r="BO2712" s="19"/>
      <c r="BP2712" s="19"/>
      <c r="BQ2712" s="19"/>
      <c r="BR2712" s="19"/>
      <c r="BS2712" s="19"/>
      <c r="BT2712" s="19"/>
      <c r="BU2712" s="19"/>
      <c r="BV2712" s="19"/>
      <c r="BW2712" s="19"/>
      <c r="BX2712" s="19"/>
      <c r="BY2712" s="19"/>
      <c r="BZ2712" s="19"/>
      <c r="CA2712" s="19"/>
      <c r="CB2712" s="19"/>
      <c r="CC2712" s="19"/>
      <c r="CD2712" s="139"/>
      <c r="CE2712" s="138"/>
      <c r="CF2712" s="139"/>
      <c r="CG2712" s="138"/>
      <c r="CH2712" s="139"/>
      <c r="CI2712" s="138"/>
      <c r="CJ2712" s="72"/>
      <c r="CK2712" s="139"/>
      <c r="CL2712" s="71"/>
      <c r="CM2712" s="139"/>
      <c r="CN2712" s="138"/>
      <c r="CO2712" s="138"/>
      <c r="CP2712" s="138"/>
      <c r="CQ2712" s="139"/>
      <c r="CR2712" s="138"/>
      <c r="CS2712" s="45"/>
      <c r="CT2712" s="138"/>
      <c r="CU2712" s="45"/>
      <c r="CV2712" s="99">
        <f t="shared" si="267"/>
        <v>0</v>
      </c>
      <c r="CW2712" s="139"/>
      <c r="CX2712" s="138"/>
      <c r="CY2712" s="138"/>
      <c r="CZ2712" s="138"/>
      <c r="DA2712" s="139"/>
      <c r="DB2712" s="138"/>
      <c r="DC2712" s="45"/>
      <c r="DD2712" s="138"/>
      <c r="DE2712" s="45"/>
      <c r="DF2712" s="46"/>
    </row>
    <row r="2713" spans="1:110" s="42" customFormat="1" ht="60" x14ac:dyDescent="0.2">
      <c r="A2713" s="89">
        <v>40868</v>
      </c>
      <c r="B2713" s="151" t="s">
        <v>2226</v>
      </c>
      <c r="C2713" s="90" t="s">
        <v>2261</v>
      </c>
      <c r="D2713" s="90" t="s">
        <v>4264</v>
      </c>
      <c r="E2713" s="90" t="str">
        <f>VLOOKUP(B2713&amp;C2713,Divipola!$C$2:$F$1138,4,FALSE)</f>
        <v>68615</v>
      </c>
      <c r="F2713" s="4"/>
      <c r="G2713" s="101"/>
      <c r="H2713" s="101"/>
      <c r="I2713" s="101"/>
      <c r="J2713" s="101">
        <v>770</v>
      </c>
      <c r="K2713" s="101">
        <v>154</v>
      </c>
      <c r="L2713" s="101"/>
      <c r="M2713" s="101">
        <v>154</v>
      </c>
      <c r="N2713" s="101"/>
      <c r="O2713" s="101"/>
      <c r="P2713" s="101"/>
      <c r="Q2713" s="101"/>
      <c r="R2713" s="101"/>
      <c r="S2713" s="101"/>
      <c r="T2713" s="101"/>
      <c r="U2713" s="101"/>
      <c r="V2713" s="101"/>
      <c r="W2713" s="19"/>
      <c r="X2713" s="17"/>
      <c r="Y2713" s="5">
        <f t="shared" si="262"/>
        <v>0</v>
      </c>
      <c r="Z2713" s="5">
        <f t="shared" si="263"/>
        <v>0</v>
      </c>
      <c r="AA2713" s="5">
        <f t="shared" si="264"/>
        <v>0</v>
      </c>
      <c r="AB2713" s="5">
        <f t="shared" si="265"/>
        <v>0</v>
      </c>
      <c r="AC2713" s="5"/>
      <c r="AD2713" s="5">
        <v>0</v>
      </c>
      <c r="AE2713" s="5">
        <f t="shared" si="266"/>
        <v>0</v>
      </c>
      <c r="AF2713" s="70">
        <v>0</v>
      </c>
      <c r="AG2713" s="17"/>
      <c r="AH2713" s="18"/>
      <c r="AI2713" s="47" t="s">
        <v>4346</v>
      </c>
      <c r="AJ2713" s="73" t="s">
        <v>4347</v>
      </c>
      <c r="AK2713" s="45"/>
      <c r="AL2713" s="17" t="s">
        <v>5534</v>
      </c>
      <c r="AM2713" s="121" t="s">
        <v>5072</v>
      </c>
      <c r="AN2713" s="19"/>
      <c r="AO2713" s="19"/>
      <c r="AP2713" s="19"/>
      <c r="AQ2713" s="19"/>
      <c r="AR2713" s="19"/>
      <c r="AS2713" s="19"/>
      <c r="AT2713" s="19"/>
      <c r="AU2713" s="19"/>
      <c r="AV2713" s="19"/>
      <c r="AW2713" s="19"/>
      <c r="AX2713" s="19"/>
      <c r="AY2713" s="19"/>
      <c r="AZ2713" s="19"/>
      <c r="BA2713" s="19"/>
      <c r="BB2713" s="19"/>
      <c r="BC2713" s="19"/>
      <c r="BD2713" s="19"/>
      <c r="BE2713" s="19"/>
      <c r="BF2713" s="19"/>
      <c r="BG2713" s="19"/>
      <c r="BH2713" s="19"/>
      <c r="BI2713" s="19"/>
      <c r="BJ2713" s="19"/>
      <c r="BK2713" s="19"/>
      <c r="BL2713" s="19"/>
      <c r="BM2713" s="19"/>
      <c r="BN2713" s="19"/>
      <c r="BO2713" s="19"/>
      <c r="BP2713" s="19"/>
      <c r="BQ2713" s="19"/>
      <c r="BR2713" s="19"/>
      <c r="BS2713" s="19"/>
      <c r="BT2713" s="19"/>
      <c r="BU2713" s="19"/>
      <c r="BV2713" s="19"/>
      <c r="BW2713" s="19"/>
      <c r="BX2713" s="19"/>
      <c r="BY2713" s="19"/>
      <c r="BZ2713" s="19"/>
      <c r="CA2713" s="19"/>
      <c r="CB2713" s="19"/>
      <c r="CC2713" s="19"/>
      <c r="CD2713" s="139"/>
      <c r="CE2713" s="138"/>
      <c r="CF2713" s="139"/>
      <c r="CG2713" s="138"/>
      <c r="CH2713" s="139"/>
      <c r="CI2713" s="138"/>
      <c r="CJ2713" s="72"/>
      <c r="CK2713" s="139"/>
      <c r="CL2713" s="71"/>
      <c r="CM2713" s="139"/>
      <c r="CN2713" s="138"/>
      <c r="CO2713" s="138"/>
      <c r="CP2713" s="138"/>
      <c r="CQ2713" s="139"/>
      <c r="CR2713" s="138"/>
      <c r="CS2713" s="45"/>
      <c r="CT2713" s="138"/>
      <c r="CU2713" s="45"/>
      <c r="CV2713" s="99">
        <f t="shared" si="267"/>
        <v>0</v>
      </c>
      <c r="CW2713" s="139"/>
      <c r="CX2713" s="138"/>
      <c r="CY2713" s="138"/>
      <c r="CZ2713" s="138"/>
      <c r="DA2713" s="139"/>
      <c r="DB2713" s="138"/>
      <c r="DC2713" s="45"/>
      <c r="DD2713" s="138"/>
      <c r="DE2713" s="45"/>
      <c r="DF2713" s="46"/>
    </row>
    <row r="2714" spans="1:110" s="42" customFormat="1" ht="36" x14ac:dyDescent="0.2">
      <c r="A2714" s="89">
        <v>40868</v>
      </c>
      <c r="B2714" s="151" t="s">
        <v>3316</v>
      </c>
      <c r="C2714" s="90" t="s">
        <v>3551</v>
      </c>
      <c r="D2714" s="90" t="s">
        <v>2362</v>
      </c>
      <c r="E2714" s="90" t="str">
        <f>VLOOKUP(B2714&amp;C2714,Divipola!$C$2:$F$1138,4,FALSE)</f>
        <v>73283</v>
      </c>
      <c r="F2714" s="4"/>
      <c r="G2714" s="101"/>
      <c r="H2714" s="101">
        <v>1</v>
      </c>
      <c r="I2714" s="101"/>
      <c r="J2714" s="101">
        <v>5</v>
      </c>
      <c r="K2714" s="101">
        <v>1</v>
      </c>
      <c r="L2714" s="101">
        <v>1</v>
      </c>
      <c r="M2714" s="101"/>
      <c r="N2714" s="101"/>
      <c r="O2714" s="101"/>
      <c r="P2714" s="101"/>
      <c r="Q2714" s="101"/>
      <c r="R2714" s="101"/>
      <c r="S2714" s="101"/>
      <c r="T2714" s="101"/>
      <c r="U2714" s="101"/>
      <c r="V2714" s="101"/>
      <c r="W2714" s="19"/>
      <c r="X2714" s="17"/>
      <c r="Y2714" s="5">
        <f t="shared" si="262"/>
        <v>0</v>
      </c>
      <c r="Z2714" s="5">
        <f t="shared" si="263"/>
        <v>0</v>
      </c>
      <c r="AA2714" s="5">
        <f t="shared" si="264"/>
        <v>0</v>
      </c>
      <c r="AB2714" s="5">
        <f t="shared" si="265"/>
        <v>0</v>
      </c>
      <c r="AC2714" s="5"/>
      <c r="AD2714" s="5">
        <v>0</v>
      </c>
      <c r="AE2714" s="5">
        <f t="shared" si="266"/>
        <v>0</v>
      </c>
      <c r="AF2714" s="70">
        <v>0</v>
      </c>
      <c r="AG2714" s="17"/>
      <c r="AH2714" s="18"/>
      <c r="AI2714" s="47" t="s">
        <v>4346</v>
      </c>
      <c r="AJ2714" s="73" t="s">
        <v>4347</v>
      </c>
      <c r="AK2714" s="45"/>
      <c r="AL2714" s="17" t="s">
        <v>5534</v>
      </c>
      <c r="AM2714" s="121" t="s">
        <v>5077</v>
      </c>
      <c r="AN2714" s="19"/>
      <c r="AO2714" s="19"/>
      <c r="AP2714" s="19"/>
      <c r="AQ2714" s="19"/>
      <c r="AR2714" s="19"/>
      <c r="AS2714" s="19"/>
      <c r="AT2714" s="19"/>
      <c r="AU2714" s="19"/>
      <c r="AV2714" s="19"/>
      <c r="AW2714" s="19"/>
      <c r="AX2714" s="19"/>
      <c r="AY2714" s="19"/>
      <c r="AZ2714" s="19"/>
      <c r="BA2714" s="19"/>
      <c r="BB2714" s="19"/>
      <c r="BC2714" s="19"/>
      <c r="BD2714" s="19"/>
      <c r="BE2714" s="19"/>
      <c r="BF2714" s="19"/>
      <c r="BG2714" s="19"/>
      <c r="BH2714" s="19"/>
      <c r="BI2714" s="19"/>
      <c r="BJ2714" s="19"/>
      <c r="BK2714" s="19"/>
      <c r="BL2714" s="19"/>
      <c r="BM2714" s="19"/>
      <c r="BN2714" s="19"/>
      <c r="BO2714" s="19"/>
      <c r="BP2714" s="19"/>
      <c r="BQ2714" s="19"/>
      <c r="BR2714" s="19"/>
      <c r="BS2714" s="19"/>
      <c r="BT2714" s="19"/>
      <c r="BU2714" s="19"/>
      <c r="BV2714" s="19"/>
      <c r="BW2714" s="19"/>
      <c r="BX2714" s="19"/>
      <c r="BY2714" s="19"/>
      <c r="BZ2714" s="19"/>
      <c r="CA2714" s="19"/>
      <c r="CB2714" s="19"/>
      <c r="CC2714" s="19"/>
      <c r="CD2714" s="139"/>
      <c r="CE2714" s="138"/>
      <c r="CF2714" s="139"/>
      <c r="CG2714" s="138"/>
      <c r="CH2714" s="139"/>
      <c r="CI2714" s="138"/>
      <c r="CJ2714" s="72"/>
      <c r="CK2714" s="139"/>
      <c r="CL2714" s="71"/>
      <c r="CM2714" s="139"/>
      <c r="CN2714" s="138"/>
      <c r="CO2714" s="138"/>
      <c r="CP2714" s="138"/>
      <c r="CQ2714" s="139"/>
      <c r="CR2714" s="138"/>
      <c r="CS2714" s="45"/>
      <c r="CT2714" s="138"/>
      <c r="CU2714" s="45"/>
      <c r="CV2714" s="99">
        <f t="shared" si="267"/>
        <v>0</v>
      </c>
      <c r="CW2714" s="139"/>
      <c r="CX2714" s="138"/>
      <c r="CY2714" s="138"/>
      <c r="CZ2714" s="138"/>
      <c r="DA2714" s="139"/>
      <c r="DB2714" s="138"/>
      <c r="DC2714" s="45"/>
      <c r="DD2714" s="138"/>
      <c r="DE2714" s="45"/>
      <c r="DF2714" s="46"/>
    </row>
    <row r="2715" spans="1:110" s="42" customFormat="1" ht="72" x14ac:dyDescent="0.2">
      <c r="A2715" s="89">
        <v>40868</v>
      </c>
      <c r="B2715" s="151" t="s">
        <v>4244</v>
      </c>
      <c r="C2715" s="90" t="s">
        <v>4319</v>
      </c>
      <c r="D2715" s="90" t="s">
        <v>2362</v>
      </c>
      <c r="E2715" s="90" t="str">
        <f>VLOOKUP(B2715&amp;C2715,Divipola!$C$2:$F$1138,4,FALSE)</f>
        <v>76828</v>
      </c>
      <c r="F2715" s="4"/>
      <c r="G2715" s="101"/>
      <c r="H2715" s="101"/>
      <c r="I2715" s="101"/>
      <c r="J2715" s="101">
        <v>180</v>
      </c>
      <c r="K2715" s="101">
        <v>36</v>
      </c>
      <c r="L2715" s="101"/>
      <c r="M2715" s="101">
        <v>36</v>
      </c>
      <c r="N2715" s="101"/>
      <c r="O2715" s="101"/>
      <c r="P2715" s="101"/>
      <c r="Q2715" s="101"/>
      <c r="R2715" s="101"/>
      <c r="S2715" s="101"/>
      <c r="T2715" s="101"/>
      <c r="U2715" s="101"/>
      <c r="V2715" s="101"/>
      <c r="W2715" s="19"/>
      <c r="X2715" s="17"/>
      <c r="Y2715" s="5">
        <f t="shared" si="262"/>
        <v>0</v>
      </c>
      <c r="Z2715" s="5">
        <f t="shared" si="263"/>
        <v>0</v>
      </c>
      <c r="AA2715" s="5">
        <f t="shared" si="264"/>
        <v>0</v>
      </c>
      <c r="AB2715" s="5">
        <f t="shared" si="265"/>
        <v>0</v>
      </c>
      <c r="AC2715" s="5"/>
      <c r="AD2715" s="5">
        <v>0</v>
      </c>
      <c r="AE2715" s="5">
        <f t="shared" si="266"/>
        <v>0</v>
      </c>
      <c r="AF2715" s="70">
        <v>0</v>
      </c>
      <c r="AG2715" s="17"/>
      <c r="AH2715" s="18"/>
      <c r="AI2715" s="47" t="s">
        <v>4346</v>
      </c>
      <c r="AJ2715" s="73" t="s">
        <v>4347</v>
      </c>
      <c r="AK2715" s="45"/>
      <c r="AL2715" s="89" t="s">
        <v>2798</v>
      </c>
      <c r="AM2715" s="121" t="s">
        <v>5079</v>
      </c>
      <c r="AN2715" s="19"/>
      <c r="AO2715" s="19"/>
      <c r="AP2715" s="19"/>
      <c r="AQ2715" s="19"/>
      <c r="AR2715" s="19"/>
      <c r="AS2715" s="19"/>
      <c r="AT2715" s="19"/>
      <c r="AU2715" s="19"/>
      <c r="AV2715" s="19"/>
      <c r="AW2715" s="19"/>
      <c r="AX2715" s="19"/>
      <c r="AY2715" s="19"/>
      <c r="AZ2715" s="19"/>
      <c r="BA2715" s="19"/>
      <c r="BB2715" s="19"/>
      <c r="BC2715" s="19"/>
      <c r="BD2715" s="19"/>
      <c r="BE2715" s="19"/>
      <c r="BF2715" s="19"/>
      <c r="BG2715" s="19"/>
      <c r="BH2715" s="19"/>
      <c r="BI2715" s="19"/>
      <c r="BJ2715" s="19"/>
      <c r="BK2715" s="19"/>
      <c r="BL2715" s="19"/>
      <c r="BM2715" s="19"/>
      <c r="BN2715" s="19"/>
      <c r="BO2715" s="19"/>
      <c r="BP2715" s="19"/>
      <c r="BQ2715" s="19"/>
      <c r="BR2715" s="19"/>
      <c r="BS2715" s="19"/>
      <c r="BT2715" s="19"/>
      <c r="BU2715" s="19"/>
      <c r="BV2715" s="19"/>
      <c r="BW2715" s="19"/>
      <c r="BX2715" s="19"/>
      <c r="BY2715" s="19"/>
      <c r="BZ2715" s="19"/>
      <c r="CA2715" s="19"/>
      <c r="CB2715" s="19"/>
      <c r="CC2715" s="19"/>
      <c r="CD2715" s="139"/>
      <c r="CE2715" s="138"/>
      <c r="CF2715" s="139"/>
      <c r="CG2715" s="138"/>
      <c r="CH2715" s="139"/>
      <c r="CI2715" s="138"/>
      <c r="CJ2715" s="72"/>
      <c r="CK2715" s="139"/>
      <c r="CL2715" s="71"/>
      <c r="CM2715" s="139"/>
      <c r="CN2715" s="138"/>
      <c r="CO2715" s="138"/>
      <c r="CP2715" s="138"/>
      <c r="CQ2715" s="139"/>
      <c r="CR2715" s="138"/>
      <c r="CS2715" s="45"/>
      <c r="CT2715" s="138"/>
      <c r="CU2715" s="45"/>
      <c r="CV2715" s="99">
        <f t="shared" si="267"/>
        <v>0</v>
      </c>
      <c r="CW2715" s="139"/>
      <c r="CX2715" s="138"/>
      <c r="CY2715" s="138"/>
      <c r="CZ2715" s="138"/>
      <c r="DA2715" s="139"/>
      <c r="DB2715" s="138"/>
      <c r="DC2715" s="45"/>
      <c r="DD2715" s="138"/>
      <c r="DE2715" s="45"/>
      <c r="DF2715" s="46"/>
    </row>
    <row r="2716" spans="1:110" s="42" customFormat="1" ht="72" x14ac:dyDescent="0.2">
      <c r="A2716" s="89">
        <v>40868</v>
      </c>
      <c r="B2716" s="151" t="s">
        <v>4244</v>
      </c>
      <c r="C2716" s="90" t="s">
        <v>3332</v>
      </c>
      <c r="D2716" s="90" t="s">
        <v>4264</v>
      </c>
      <c r="E2716" s="90" t="str">
        <f>VLOOKUP(B2716&amp;C2716,Divipola!$C$2:$F$1138,4,FALSE)</f>
        <v>76233</v>
      </c>
      <c r="F2716" s="4"/>
      <c r="G2716" s="101"/>
      <c r="H2716" s="101"/>
      <c r="I2716" s="101"/>
      <c r="J2716" s="101">
        <v>10</v>
      </c>
      <c r="K2716" s="101">
        <v>2</v>
      </c>
      <c r="L2716" s="101"/>
      <c r="M2716" s="101">
        <v>2</v>
      </c>
      <c r="N2716" s="101"/>
      <c r="O2716" s="101"/>
      <c r="P2716" s="101"/>
      <c r="Q2716" s="101"/>
      <c r="R2716" s="101"/>
      <c r="S2716" s="101"/>
      <c r="T2716" s="101"/>
      <c r="U2716" s="101"/>
      <c r="V2716" s="101"/>
      <c r="W2716" s="19"/>
      <c r="X2716" s="17"/>
      <c r="Y2716" s="5">
        <f t="shared" si="262"/>
        <v>0</v>
      </c>
      <c r="Z2716" s="5">
        <f t="shared" si="263"/>
        <v>0</v>
      </c>
      <c r="AA2716" s="5">
        <f t="shared" si="264"/>
        <v>0</v>
      </c>
      <c r="AB2716" s="5">
        <f t="shared" si="265"/>
        <v>0</v>
      </c>
      <c r="AC2716" s="5"/>
      <c r="AD2716" s="5">
        <v>0</v>
      </c>
      <c r="AE2716" s="5">
        <f t="shared" si="266"/>
        <v>0</v>
      </c>
      <c r="AF2716" s="70">
        <v>0</v>
      </c>
      <c r="AG2716" s="17"/>
      <c r="AH2716" s="18"/>
      <c r="AI2716" s="47" t="s">
        <v>4346</v>
      </c>
      <c r="AJ2716" s="73" t="s">
        <v>4347</v>
      </c>
      <c r="AK2716" s="45"/>
      <c r="AL2716" s="89" t="s">
        <v>2798</v>
      </c>
      <c r="AM2716" s="121" t="s">
        <v>5080</v>
      </c>
      <c r="AN2716" s="19"/>
      <c r="AO2716" s="19"/>
      <c r="AP2716" s="19"/>
      <c r="AQ2716" s="19"/>
      <c r="AR2716" s="19"/>
      <c r="AS2716" s="19"/>
      <c r="AT2716" s="19"/>
      <c r="AU2716" s="19"/>
      <c r="AV2716" s="19"/>
      <c r="AW2716" s="19"/>
      <c r="AX2716" s="19"/>
      <c r="AY2716" s="19"/>
      <c r="AZ2716" s="19"/>
      <c r="BA2716" s="19"/>
      <c r="BB2716" s="19"/>
      <c r="BC2716" s="19"/>
      <c r="BD2716" s="19"/>
      <c r="BE2716" s="19"/>
      <c r="BF2716" s="19"/>
      <c r="BG2716" s="19"/>
      <c r="BH2716" s="19"/>
      <c r="BI2716" s="19"/>
      <c r="BJ2716" s="19"/>
      <c r="BK2716" s="19"/>
      <c r="BL2716" s="19"/>
      <c r="BM2716" s="19"/>
      <c r="BN2716" s="19"/>
      <c r="BO2716" s="19"/>
      <c r="BP2716" s="19"/>
      <c r="BQ2716" s="19"/>
      <c r="BR2716" s="19"/>
      <c r="BS2716" s="19"/>
      <c r="BT2716" s="19"/>
      <c r="BU2716" s="19"/>
      <c r="BV2716" s="19"/>
      <c r="BW2716" s="19"/>
      <c r="BX2716" s="19"/>
      <c r="BY2716" s="19"/>
      <c r="BZ2716" s="19"/>
      <c r="CA2716" s="19"/>
      <c r="CB2716" s="19"/>
      <c r="CC2716" s="19"/>
      <c r="CD2716" s="139"/>
      <c r="CE2716" s="138"/>
      <c r="CF2716" s="139"/>
      <c r="CG2716" s="138"/>
      <c r="CH2716" s="139"/>
      <c r="CI2716" s="138"/>
      <c r="CJ2716" s="72"/>
      <c r="CK2716" s="139"/>
      <c r="CL2716" s="71"/>
      <c r="CM2716" s="139"/>
      <c r="CN2716" s="138"/>
      <c r="CO2716" s="138"/>
      <c r="CP2716" s="138"/>
      <c r="CQ2716" s="139"/>
      <c r="CR2716" s="138"/>
      <c r="CS2716" s="45"/>
      <c r="CT2716" s="138"/>
      <c r="CU2716" s="45"/>
      <c r="CV2716" s="99">
        <f t="shared" si="267"/>
        <v>0</v>
      </c>
      <c r="CW2716" s="139"/>
      <c r="CX2716" s="138"/>
      <c r="CY2716" s="138"/>
      <c r="CZ2716" s="138"/>
      <c r="DA2716" s="139"/>
      <c r="DB2716" s="138"/>
      <c r="DC2716" s="45"/>
      <c r="DD2716" s="138"/>
      <c r="DE2716" s="45"/>
      <c r="DF2716" s="46"/>
    </row>
    <row r="2717" spans="1:110" s="42" customFormat="1" x14ac:dyDescent="0.2">
      <c r="A2717" s="89">
        <v>40868</v>
      </c>
      <c r="B2717" s="151" t="s">
        <v>4261</v>
      </c>
      <c r="C2717" s="90" t="s">
        <v>4345</v>
      </c>
      <c r="D2717" s="90" t="s">
        <v>4264</v>
      </c>
      <c r="E2717" s="90">
        <f>VLOOKUP(B2717&amp;C2717,Divipola!$C$2:$F$1138,4,FALSE)</f>
        <v>15</v>
      </c>
      <c r="F2717" s="4"/>
      <c r="G2717" s="208"/>
      <c r="H2717" s="208"/>
      <c r="I2717" s="208"/>
      <c r="J2717" s="208"/>
      <c r="K2717" s="208"/>
      <c r="L2717" s="208"/>
      <c r="M2717" s="208"/>
      <c r="N2717" s="208"/>
      <c r="O2717" s="208"/>
      <c r="P2717" s="208"/>
      <c r="Q2717" s="208"/>
      <c r="R2717" s="208"/>
      <c r="S2717" s="208"/>
      <c r="T2717" s="208"/>
      <c r="U2717" s="208"/>
      <c r="V2717" s="208"/>
      <c r="W2717" s="19"/>
      <c r="X2717" s="17"/>
      <c r="Y2717" s="5">
        <f t="shared" si="262"/>
        <v>0</v>
      </c>
      <c r="Z2717" s="5">
        <f t="shared" si="263"/>
        <v>0</v>
      </c>
      <c r="AA2717" s="5">
        <f t="shared" si="264"/>
        <v>0</v>
      </c>
      <c r="AB2717" s="5">
        <f t="shared" si="265"/>
        <v>19000800</v>
      </c>
      <c r="AC2717" s="5"/>
      <c r="AD2717" s="5">
        <v>0</v>
      </c>
      <c r="AE2717" s="5">
        <f t="shared" si="266"/>
        <v>19000800</v>
      </c>
      <c r="AF2717" s="70">
        <v>0</v>
      </c>
      <c r="AG2717" s="17"/>
      <c r="AH2717" s="18"/>
      <c r="AI2717" s="47" t="s">
        <v>4346</v>
      </c>
      <c r="AJ2717" s="73" t="s">
        <v>4347</v>
      </c>
      <c r="AK2717" s="45"/>
      <c r="AL2717" s="17"/>
      <c r="AM2717" s="20"/>
      <c r="AN2717" s="19"/>
      <c r="AO2717" s="19"/>
      <c r="AP2717" s="19"/>
      <c r="AQ2717" s="19"/>
      <c r="AR2717" s="19"/>
      <c r="AS2717" s="19"/>
      <c r="AT2717" s="19"/>
      <c r="AU2717" s="19"/>
      <c r="AV2717" s="19"/>
      <c r="AW2717" s="19"/>
      <c r="AX2717" s="19"/>
      <c r="AY2717" s="19"/>
      <c r="AZ2717" s="19"/>
      <c r="BA2717" s="19"/>
      <c r="BB2717" s="19"/>
      <c r="BC2717" s="19"/>
      <c r="BD2717" s="19"/>
      <c r="BE2717" s="19"/>
      <c r="BF2717" s="19"/>
      <c r="BG2717" s="19"/>
      <c r="BH2717" s="19"/>
      <c r="BI2717" s="19"/>
      <c r="BJ2717" s="19"/>
      <c r="BK2717" s="19"/>
      <c r="BL2717" s="19"/>
      <c r="BM2717" s="19"/>
      <c r="BN2717" s="19"/>
      <c r="BO2717" s="19"/>
      <c r="BP2717" s="19"/>
      <c r="BQ2717" s="19"/>
      <c r="BR2717" s="19"/>
      <c r="BS2717" s="19"/>
      <c r="BT2717" s="19"/>
      <c r="BU2717" s="19"/>
      <c r="BV2717" s="19"/>
      <c r="BW2717" s="19"/>
      <c r="BX2717" s="19"/>
      <c r="BY2717" s="19"/>
      <c r="BZ2717" s="19"/>
      <c r="CA2717" s="19"/>
      <c r="CB2717" s="19"/>
      <c r="CC2717" s="19"/>
      <c r="CD2717" s="139"/>
      <c r="CE2717" s="138"/>
      <c r="CF2717" s="139"/>
      <c r="CG2717" s="138"/>
      <c r="CH2717" s="139"/>
      <c r="CI2717" s="138"/>
      <c r="CJ2717" s="72"/>
      <c r="CK2717" s="139"/>
      <c r="CL2717" s="71"/>
      <c r="CM2717" s="139"/>
      <c r="CN2717" s="138"/>
      <c r="CO2717" s="138"/>
      <c r="CP2717" s="138"/>
      <c r="CQ2717" s="139"/>
      <c r="CR2717" s="138"/>
      <c r="CS2717" s="45"/>
      <c r="CT2717" s="138"/>
      <c r="CU2717" s="45"/>
      <c r="CV2717" s="99">
        <f t="shared" si="267"/>
        <v>0</v>
      </c>
      <c r="CW2717" s="139">
        <v>20000</v>
      </c>
      <c r="CX2717" s="138">
        <f>20000*950.04</f>
        <v>19000800</v>
      </c>
      <c r="CY2717" s="138"/>
      <c r="CZ2717" s="138"/>
      <c r="DA2717" s="139"/>
      <c r="DB2717" s="138"/>
      <c r="DC2717" s="45"/>
      <c r="DD2717" s="138"/>
      <c r="DE2717" s="45"/>
      <c r="DF2717" s="46"/>
    </row>
    <row r="2718" spans="1:110" s="42" customFormat="1" x14ac:dyDescent="0.2">
      <c r="A2718" s="89">
        <v>40868</v>
      </c>
      <c r="B2718" s="151" t="s">
        <v>4308</v>
      </c>
      <c r="C2718" s="90" t="s">
        <v>4345</v>
      </c>
      <c r="D2718" s="90" t="s">
        <v>4264</v>
      </c>
      <c r="E2718" s="90">
        <f>VLOOKUP(B2718&amp;C2718,Divipola!$C$2:$F$1138,4,FALSE)</f>
        <v>47</v>
      </c>
      <c r="F2718" s="4"/>
      <c r="G2718" s="208"/>
      <c r="H2718" s="208"/>
      <c r="I2718" s="208"/>
      <c r="J2718" s="208"/>
      <c r="K2718" s="208"/>
      <c r="L2718" s="208"/>
      <c r="M2718" s="208"/>
      <c r="N2718" s="208"/>
      <c r="O2718" s="208"/>
      <c r="P2718" s="208"/>
      <c r="Q2718" s="208"/>
      <c r="R2718" s="208"/>
      <c r="S2718" s="208"/>
      <c r="T2718" s="208"/>
      <c r="U2718" s="208"/>
      <c r="V2718" s="208"/>
      <c r="W2718" s="19"/>
      <c r="X2718" s="17"/>
      <c r="Y2718" s="5">
        <f t="shared" si="262"/>
        <v>367000000</v>
      </c>
      <c r="Z2718" s="5">
        <f t="shared" si="263"/>
        <v>212500000</v>
      </c>
      <c r="AA2718" s="5">
        <f t="shared" si="264"/>
        <v>0</v>
      </c>
      <c r="AB2718" s="5">
        <f t="shared" si="265"/>
        <v>95004000</v>
      </c>
      <c r="AC2718" s="159">
        <f>100*22272+100*16501</f>
        <v>3877300</v>
      </c>
      <c r="AD2718" s="5">
        <v>0</v>
      </c>
      <c r="AE2718" s="5">
        <f t="shared" si="266"/>
        <v>678381300</v>
      </c>
      <c r="AF2718" s="70">
        <v>0</v>
      </c>
      <c r="AG2718" s="17"/>
      <c r="AH2718" s="18"/>
      <c r="AI2718" s="47" t="s">
        <v>4346</v>
      </c>
      <c r="AJ2718" s="73" t="s">
        <v>4347</v>
      </c>
      <c r="AK2718" s="45"/>
      <c r="AL2718" s="17"/>
      <c r="AM2718" s="20" t="s">
        <v>5130</v>
      </c>
      <c r="AN2718" s="19"/>
      <c r="AO2718" s="19"/>
      <c r="AP2718" s="19"/>
      <c r="AQ2718" s="19"/>
      <c r="AR2718" s="19"/>
      <c r="AS2718" s="19"/>
      <c r="AT2718" s="19"/>
      <c r="AU2718" s="19"/>
      <c r="AV2718" s="19"/>
      <c r="AW2718" s="19"/>
      <c r="AX2718" s="19"/>
      <c r="AY2718" s="19"/>
      <c r="AZ2718" s="19">
        <v>2000</v>
      </c>
      <c r="BA2718" s="19">
        <f>1000*56000+1000*56000</f>
        <v>112000000</v>
      </c>
      <c r="BB2718" s="19"/>
      <c r="BC2718" s="19"/>
      <c r="BD2718" s="19"/>
      <c r="BE2718" s="19"/>
      <c r="BF2718" s="19"/>
      <c r="BG2718" s="19"/>
      <c r="BH2718" s="19"/>
      <c r="BI2718" s="19"/>
      <c r="BJ2718" s="19"/>
      <c r="BK2718" s="19"/>
      <c r="BL2718" s="19">
        <v>2500</v>
      </c>
      <c r="BM2718" s="19">
        <f>1250*25500+1250*25500</f>
        <v>63750000</v>
      </c>
      <c r="BN2718" s="19"/>
      <c r="BO2718" s="19"/>
      <c r="BP2718" s="19"/>
      <c r="BQ2718" s="19"/>
      <c r="BR2718" s="19"/>
      <c r="BS2718" s="19"/>
      <c r="BT2718" s="19"/>
      <c r="BU2718" s="19"/>
      <c r="BV2718" s="19"/>
      <c r="BW2718" s="19"/>
      <c r="BX2718" s="19"/>
      <c r="BY2718" s="19"/>
      <c r="BZ2718" s="19"/>
      <c r="CA2718" s="19"/>
      <c r="CB2718" s="19"/>
      <c r="CC2718" s="19"/>
      <c r="CD2718" s="139"/>
      <c r="CE2718" s="138"/>
      <c r="CF2718" s="139"/>
      <c r="CG2718" s="138"/>
      <c r="CH2718" s="139"/>
      <c r="CI2718" s="138"/>
      <c r="CJ2718" s="72">
        <v>2500</v>
      </c>
      <c r="CK2718" s="139">
        <f>1250*21500+750*21500+500*21500</f>
        <v>53750000</v>
      </c>
      <c r="CL2718" s="71"/>
      <c r="CM2718" s="139"/>
      <c r="CN2718" s="138">
        <v>2500</v>
      </c>
      <c r="CO2718" s="138">
        <f>1250*18000+1250*18000</f>
        <v>45000000</v>
      </c>
      <c r="CP2718" s="138">
        <v>2500</v>
      </c>
      <c r="CQ2718" s="139">
        <f>1250*37000+1250*37000</f>
        <v>92500000</v>
      </c>
      <c r="CR2718" s="138"/>
      <c r="CS2718" s="45"/>
      <c r="CT2718" s="138"/>
      <c r="CU2718" s="45"/>
      <c r="CV2718" s="99">
        <f t="shared" si="267"/>
        <v>367000000</v>
      </c>
      <c r="CW2718" s="139">
        <v>100000</v>
      </c>
      <c r="CX2718" s="138">
        <f>100000*950.04</f>
        <v>95004000</v>
      </c>
      <c r="CY2718" s="138">
        <v>2500</v>
      </c>
      <c r="CZ2718" s="138">
        <f>1250*85000+1250*85000</f>
        <v>212500000</v>
      </c>
      <c r="DA2718" s="139"/>
      <c r="DB2718" s="138"/>
      <c r="DC2718" s="45"/>
      <c r="DD2718" s="138"/>
      <c r="DE2718" s="45"/>
      <c r="DF2718" s="46"/>
    </row>
    <row r="2719" spans="1:110" s="42" customFormat="1" x14ac:dyDescent="0.2">
      <c r="A2719" s="89">
        <v>40868</v>
      </c>
      <c r="B2719" s="151" t="s">
        <v>4348</v>
      </c>
      <c r="C2719" s="90" t="s">
        <v>4345</v>
      </c>
      <c r="D2719" s="90" t="s">
        <v>4264</v>
      </c>
      <c r="E2719" s="90">
        <f>VLOOKUP(B2719&amp;C2719,Divipola!$C$2:$F$1138,4,FALSE)</f>
        <v>66</v>
      </c>
      <c r="F2719" s="4"/>
      <c r="G2719" s="208"/>
      <c r="H2719" s="208"/>
      <c r="I2719" s="208"/>
      <c r="J2719" s="208"/>
      <c r="K2719" s="208"/>
      <c r="L2719" s="208"/>
      <c r="M2719" s="208"/>
      <c r="N2719" s="208"/>
      <c r="O2719" s="208"/>
      <c r="P2719" s="208"/>
      <c r="Q2719" s="208"/>
      <c r="R2719" s="208"/>
      <c r="S2719" s="208"/>
      <c r="T2719" s="208"/>
      <c r="U2719" s="208"/>
      <c r="V2719" s="208"/>
      <c r="W2719" s="19"/>
      <c r="X2719" s="17"/>
      <c r="Y2719" s="5">
        <f t="shared" si="262"/>
        <v>0</v>
      </c>
      <c r="Z2719" s="5">
        <f t="shared" si="263"/>
        <v>170000000</v>
      </c>
      <c r="AA2719" s="5">
        <f t="shared" si="264"/>
        <v>0</v>
      </c>
      <c r="AB2719" s="5">
        <f t="shared" si="265"/>
        <v>0</v>
      </c>
      <c r="AC2719" s="5"/>
      <c r="AD2719" s="5">
        <v>0</v>
      </c>
      <c r="AE2719" s="5">
        <f t="shared" si="266"/>
        <v>170000000</v>
      </c>
      <c r="AF2719" s="70">
        <v>0</v>
      </c>
      <c r="AG2719" s="17"/>
      <c r="AH2719" s="18"/>
      <c r="AI2719" s="47" t="s">
        <v>4346</v>
      </c>
      <c r="AJ2719" s="73" t="s">
        <v>4347</v>
      </c>
      <c r="AK2719" s="45"/>
      <c r="AL2719" s="17"/>
      <c r="AM2719" s="20" t="s">
        <v>5131</v>
      </c>
      <c r="AN2719" s="19"/>
      <c r="AO2719" s="19"/>
      <c r="AP2719" s="19"/>
      <c r="AQ2719" s="19"/>
      <c r="AR2719" s="19"/>
      <c r="AS2719" s="19"/>
      <c r="AT2719" s="19"/>
      <c r="AU2719" s="19"/>
      <c r="AV2719" s="19"/>
      <c r="AW2719" s="19"/>
      <c r="AX2719" s="19"/>
      <c r="AY2719" s="19"/>
      <c r="AZ2719" s="19"/>
      <c r="BA2719" s="19"/>
      <c r="BB2719" s="19"/>
      <c r="BC2719" s="19"/>
      <c r="BD2719" s="19"/>
      <c r="BE2719" s="19"/>
      <c r="BF2719" s="19"/>
      <c r="BG2719" s="19"/>
      <c r="BH2719" s="19"/>
      <c r="BI2719" s="19"/>
      <c r="BJ2719" s="19"/>
      <c r="BK2719" s="19"/>
      <c r="BL2719" s="19"/>
      <c r="BM2719" s="19"/>
      <c r="BN2719" s="19"/>
      <c r="BO2719" s="19"/>
      <c r="BP2719" s="19"/>
      <c r="BQ2719" s="19"/>
      <c r="BR2719" s="19"/>
      <c r="BS2719" s="19"/>
      <c r="BT2719" s="19"/>
      <c r="BU2719" s="19"/>
      <c r="BV2719" s="19"/>
      <c r="BW2719" s="19"/>
      <c r="BX2719" s="19"/>
      <c r="BY2719" s="19"/>
      <c r="BZ2719" s="19"/>
      <c r="CA2719" s="19"/>
      <c r="CB2719" s="19"/>
      <c r="CC2719" s="19"/>
      <c r="CD2719" s="139"/>
      <c r="CE2719" s="138"/>
      <c r="CF2719" s="139"/>
      <c r="CG2719" s="138"/>
      <c r="CH2719" s="139"/>
      <c r="CI2719" s="138"/>
      <c r="CJ2719" s="72"/>
      <c r="CK2719" s="139"/>
      <c r="CL2719" s="71"/>
      <c r="CM2719" s="139"/>
      <c r="CN2719" s="138"/>
      <c r="CO2719" s="138"/>
      <c r="CP2719" s="138"/>
      <c r="CQ2719" s="139"/>
      <c r="CR2719" s="138"/>
      <c r="CS2719" s="45"/>
      <c r="CT2719" s="138"/>
      <c r="CU2719" s="45"/>
      <c r="CV2719" s="99">
        <f t="shared" si="267"/>
        <v>0</v>
      </c>
      <c r="CW2719" s="139"/>
      <c r="CX2719" s="138"/>
      <c r="CY2719" s="138">
        <v>2000</v>
      </c>
      <c r="CZ2719" s="138">
        <f>1000*85000+1000*85000</f>
        <v>170000000</v>
      </c>
      <c r="DA2719" s="139"/>
      <c r="DB2719" s="138"/>
      <c r="DC2719" s="45"/>
      <c r="DD2719" s="138"/>
      <c r="DE2719" s="45"/>
      <c r="DF2719" s="46"/>
    </row>
    <row r="2720" spans="1:110" s="42" customFormat="1" x14ac:dyDescent="0.2">
      <c r="A2720" s="89">
        <v>40868</v>
      </c>
      <c r="B2720" s="16" t="s">
        <v>4386</v>
      </c>
      <c r="C2720" s="16" t="s">
        <v>4317</v>
      </c>
      <c r="D2720" s="90" t="s">
        <v>4264</v>
      </c>
      <c r="E2720" s="90" t="str">
        <f>VLOOKUP(B2720&amp;C2720,Divipola!$C$2:$F$1138,4,FALSE)</f>
        <v>20011</v>
      </c>
      <c r="F2720" s="4"/>
      <c r="G2720" s="208"/>
      <c r="H2720" s="208"/>
      <c r="I2720" s="208"/>
      <c r="J2720" s="208">
        <v>4800</v>
      </c>
      <c r="K2720" s="208">
        <v>1200</v>
      </c>
      <c r="L2720" s="208"/>
      <c r="M2720" s="208"/>
      <c r="N2720" s="208"/>
      <c r="O2720" s="208"/>
      <c r="P2720" s="208"/>
      <c r="Q2720" s="208"/>
      <c r="R2720" s="208"/>
      <c r="S2720" s="208"/>
      <c r="T2720" s="208"/>
      <c r="U2720" s="208"/>
      <c r="V2720" s="208"/>
      <c r="W2720" s="19"/>
      <c r="X2720" s="17"/>
      <c r="Y2720" s="5">
        <f t="shared" si="262"/>
        <v>44400000</v>
      </c>
      <c r="Z2720" s="5">
        <f t="shared" si="263"/>
        <v>102000000</v>
      </c>
      <c r="AA2720" s="5">
        <f t="shared" si="264"/>
        <v>0</v>
      </c>
      <c r="AB2720" s="5">
        <f t="shared" si="265"/>
        <v>0</v>
      </c>
      <c r="AC2720" s="5"/>
      <c r="AD2720" s="5">
        <v>0</v>
      </c>
      <c r="AE2720" s="5">
        <f t="shared" si="266"/>
        <v>146400000</v>
      </c>
      <c r="AF2720" s="70">
        <v>0</v>
      </c>
      <c r="AG2720" s="17"/>
      <c r="AH2720" s="18"/>
      <c r="AI2720" s="47" t="s">
        <v>4346</v>
      </c>
      <c r="AJ2720" s="73" t="s">
        <v>4347</v>
      </c>
      <c r="AK2720" s="45"/>
      <c r="AL2720" s="17"/>
      <c r="AM2720" s="20"/>
      <c r="AN2720" s="19"/>
      <c r="AO2720" s="19"/>
      <c r="AP2720" s="19"/>
      <c r="AQ2720" s="19"/>
      <c r="AR2720" s="19"/>
      <c r="AS2720" s="19"/>
      <c r="AT2720" s="19"/>
      <c r="AU2720" s="19"/>
      <c r="AV2720" s="19"/>
      <c r="AW2720" s="19"/>
      <c r="AX2720" s="19"/>
      <c r="AY2720" s="19"/>
      <c r="AZ2720" s="19"/>
      <c r="BA2720" s="19"/>
      <c r="BB2720" s="19"/>
      <c r="BC2720" s="19"/>
      <c r="BD2720" s="19"/>
      <c r="BE2720" s="19"/>
      <c r="BF2720" s="19"/>
      <c r="BG2720" s="19"/>
      <c r="BH2720" s="19"/>
      <c r="BI2720" s="19"/>
      <c r="BJ2720" s="19"/>
      <c r="BK2720" s="19"/>
      <c r="BL2720" s="19"/>
      <c r="BM2720" s="19"/>
      <c r="BN2720" s="19"/>
      <c r="BO2720" s="19"/>
      <c r="BP2720" s="19"/>
      <c r="BQ2720" s="19"/>
      <c r="BR2720" s="19"/>
      <c r="BS2720" s="19"/>
      <c r="BT2720" s="19"/>
      <c r="BU2720" s="19"/>
      <c r="BV2720" s="19"/>
      <c r="BW2720" s="19"/>
      <c r="BX2720" s="19"/>
      <c r="BY2720" s="19"/>
      <c r="BZ2720" s="19"/>
      <c r="CA2720" s="19"/>
      <c r="CB2720" s="19"/>
      <c r="CC2720" s="19"/>
      <c r="CD2720" s="139"/>
      <c r="CE2720" s="138"/>
      <c r="CF2720" s="139"/>
      <c r="CG2720" s="138"/>
      <c r="CH2720" s="139"/>
      <c r="CI2720" s="138"/>
      <c r="CJ2720" s="72"/>
      <c r="CK2720" s="139"/>
      <c r="CL2720" s="71"/>
      <c r="CM2720" s="139"/>
      <c r="CN2720" s="138"/>
      <c r="CO2720" s="138"/>
      <c r="CP2720" s="138">
        <v>1200</v>
      </c>
      <c r="CQ2720" s="139">
        <f>1200*37000</f>
        <v>44400000</v>
      </c>
      <c r="CR2720" s="138"/>
      <c r="CS2720" s="45"/>
      <c r="CT2720" s="138"/>
      <c r="CU2720" s="45"/>
      <c r="CV2720" s="99">
        <f t="shared" si="267"/>
        <v>44400000</v>
      </c>
      <c r="CW2720" s="139"/>
      <c r="CX2720" s="138"/>
      <c r="CY2720" s="138">
        <v>1200</v>
      </c>
      <c r="CZ2720" s="138">
        <f>1200*85000</f>
        <v>102000000</v>
      </c>
      <c r="DA2720" s="139"/>
      <c r="DB2720" s="138"/>
      <c r="DC2720" s="45"/>
      <c r="DD2720" s="138"/>
      <c r="DE2720" s="45"/>
      <c r="DF2720" s="46"/>
    </row>
    <row r="2721" spans="1:110" s="42" customFormat="1" ht="48" x14ac:dyDescent="0.2">
      <c r="A2721" s="89">
        <v>40868</v>
      </c>
      <c r="B2721" s="151" t="s">
        <v>4308</v>
      </c>
      <c r="C2721" s="106" t="s">
        <v>782</v>
      </c>
      <c r="D2721" s="90" t="s">
        <v>4264</v>
      </c>
      <c r="E2721" s="90" t="str">
        <f>VLOOKUP(B2721&amp;C2721,Divipola!$C$2:$F$1138,4,FALSE)</f>
        <v>47692</v>
      </c>
      <c r="F2721" s="4"/>
      <c r="G2721" s="101"/>
      <c r="H2721" s="101"/>
      <c r="I2721" s="101"/>
      <c r="J2721" s="101">
        <v>12505</v>
      </c>
      <c r="K2721" s="101">
        <v>2501</v>
      </c>
      <c r="L2721" s="101">
        <v>28</v>
      </c>
      <c r="M2721" s="101">
        <v>2473</v>
      </c>
      <c r="N2721" s="101">
        <v>2</v>
      </c>
      <c r="O2721" s="101"/>
      <c r="P2721" s="101"/>
      <c r="Q2721" s="101"/>
      <c r="R2721" s="101"/>
      <c r="S2721" s="101"/>
      <c r="T2721" s="101"/>
      <c r="U2721" s="101"/>
      <c r="V2721" s="101"/>
      <c r="W2721" s="19"/>
      <c r="X2721" s="17"/>
      <c r="Y2721" s="5">
        <f t="shared" si="262"/>
        <v>0</v>
      </c>
      <c r="Z2721" s="5">
        <f t="shared" si="263"/>
        <v>0</v>
      </c>
      <c r="AA2721" s="5">
        <f t="shared" si="264"/>
        <v>0</v>
      </c>
      <c r="AB2721" s="5">
        <f t="shared" si="265"/>
        <v>0</v>
      </c>
      <c r="AC2721" s="5"/>
      <c r="AD2721" s="5">
        <v>0</v>
      </c>
      <c r="AE2721" s="5">
        <f t="shared" si="266"/>
        <v>0</v>
      </c>
      <c r="AF2721" s="70">
        <v>0</v>
      </c>
      <c r="AG2721" s="17"/>
      <c r="AH2721" s="18"/>
      <c r="AI2721" s="47" t="s">
        <v>4346</v>
      </c>
      <c r="AJ2721" s="73" t="s">
        <v>4347</v>
      </c>
      <c r="AK2721" s="45"/>
      <c r="AL2721" s="17" t="s">
        <v>5534</v>
      </c>
      <c r="AM2721" s="121" t="s">
        <v>5352</v>
      </c>
      <c r="AN2721" s="19"/>
      <c r="AO2721" s="19"/>
      <c r="AP2721" s="19"/>
      <c r="AQ2721" s="19"/>
      <c r="AR2721" s="19"/>
      <c r="AS2721" s="19"/>
      <c r="AT2721" s="19"/>
      <c r="AU2721" s="19"/>
      <c r="AV2721" s="19"/>
      <c r="AW2721" s="19"/>
      <c r="AX2721" s="19"/>
      <c r="AY2721" s="19"/>
      <c r="AZ2721" s="19"/>
      <c r="BA2721" s="19"/>
      <c r="BB2721" s="19"/>
      <c r="BC2721" s="19"/>
      <c r="BD2721" s="19"/>
      <c r="BE2721" s="19"/>
      <c r="BF2721" s="19"/>
      <c r="BG2721" s="19"/>
      <c r="BH2721" s="19"/>
      <c r="BI2721" s="19"/>
      <c r="BJ2721" s="19"/>
      <c r="BK2721" s="19"/>
      <c r="BL2721" s="19"/>
      <c r="BM2721" s="19"/>
      <c r="BN2721" s="19"/>
      <c r="BO2721" s="19"/>
      <c r="BP2721" s="19"/>
      <c r="BQ2721" s="19"/>
      <c r="BR2721" s="19"/>
      <c r="BS2721" s="19"/>
      <c r="BT2721" s="19"/>
      <c r="BU2721" s="19"/>
      <c r="BV2721" s="19"/>
      <c r="BW2721" s="19"/>
      <c r="BX2721" s="19"/>
      <c r="BY2721" s="19"/>
      <c r="BZ2721" s="19"/>
      <c r="CA2721" s="19"/>
      <c r="CB2721" s="19"/>
      <c r="CC2721" s="19"/>
      <c r="CD2721" s="139"/>
      <c r="CE2721" s="138"/>
      <c r="CF2721" s="139"/>
      <c r="CG2721" s="138"/>
      <c r="CH2721" s="139"/>
      <c r="CI2721" s="138"/>
      <c r="CJ2721" s="72"/>
      <c r="CK2721" s="139"/>
      <c r="CL2721" s="71"/>
      <c r="CM2721" s="139"/>
      <c r="CN2721" s="138"/>
      <c r="CO2721" s="138"/>
      <c r="CP2721" s="138"/>
      <c r="CQ2721" s="139"/>
      <c r="CR2721" s="138"/>
      <c r="CS2721" s="45"/>
      <c r="CT2721" s="138"/>
      <c r="CU2721" s="45"/>
      <c r="CV2721" s="99">
        <f t="shared" si="267"/>
        <v>0</v>
      </c>
      <c r="CW2721" s="139"/>
      <c r="CX2721" s="138"/>
      <c r="CY2721" s="138"/>
      <c r="CZ2721" s="138"/>
      <c r="DA2721" s="139"/>
      <c r="DB2721" s="138"/>
      <c r="DC2721" s="45"/>
      <c r="DD2721" s="138"/>
      <c r="DE2721" s="45"/>
      <c r="DF2721" s="46"/>
    </row>
    <row r="2722" spans="1:110" s="42" customFormat="1" ht="48" x14ac:dyDescent="0.2">
      <c r="A2722" s="89">
        <v>40868</v>
      </c>
      <c r="B2722" s="151" t="s">
        <v>4308</v>
      </c>
      <c r="C2722" s="151" t="s">
        <v>4314</v>
      </c>
      <c r="D2722" s="90" t="s">
        <v>4264</v>
      </c>
      <c r="E2722" s="90" t="str">
        <f>VLOOKUP(B2722&amp;C2722,Divipola!$C$2:$F$1138,4,FALSE)</f>
        <v>47703</v>
      </c>
      <c r="F2722" s="4"/>
      <c r="G2722" s="101"/>
      <c r="H2722" s="101"/>
      <c r="I2722" s="101"/>
      <c r="J2722" s="101">
        <v>14500</v>
      </c>
      <c r="K2722" s="101">
        <v>2900</v>
      </c>
      <c r="L2722" s="101"/>
      <c r="M2722" s="101">
        <v>2900</v>
      </c>
      <c r="N2722" s="101">
        <v>2</v>
      </c>
      <c r="O2722" s="101"/>
      <c r="P2722" s="101"/>
      <c r="Q2722" s="101"/>
      <c r="R2722" s="101"/>
      <c r="S2722" s="101"/>
      <c r="T2722" s="101"/>
      <c r="U2722" s="101"/>
      <c r="V2722" s="101"/>
      <c r="W2722" s="19"/>
      <c r="X2722" s="17"/>
      <c r="Y2722" s="5">
        <f t="shared" si="262"/>
        <v>0</v>
      </c>
      <c r="Z2722" s="5">
        <f t="shared" si="263"/>
        <v>0</v>
      </c>
      <c r="AA2722" s="5">
        <f t="shared" si="264"/>
        <v>0</v>
      </c>
      <c r="AB2722" s="5">
        <f t="shared" si="265"/>
        <v>0</v>
      </c>
      <c r="AC2722" s="5"/>
      <c r="AD2722" s="5">
        <v>0</v>
      </c>
      <c r="AE2722" s="5">
        <f t="shared" si="266"/>
        <v>0</v>
      </c>
      <c r="AF2722" s="70">
        <v>0</v>
      </c>
      <c r="AG2722" s="17"/>
      <c r="AH2722" s="18"/>
      <c r="AI2722" s="47" t="s">
        <v>4346</v>
      </c>
      <c r="AJ2722" s="73" t="s">
        <v>4347</v>
      </c>
      <c r="AK2722" s="45"/>
      <c r="AL2722" s="17" t="s">
        <v>5534</v>
      </c>
      <c r="AM2722" s="121" t="s">
        <v>5353</v>
      </c>
      <c r="AN2722" s="19"/>
      <c r="AO2722" s="19"/>
      <c r="AP2722" s="19"/>
      <c r="AQ2722" s="19"/>
      <c r="AR2722" s="19"/>
      <c r="AS2722" s="19"/>
      <c r="AT2722" s="19"/>
      <c r="AU2722" s="19"/>
      <c r="AV2722" s="19"/>
      <c r="AW2722" s="19"/>
      <c r="AX2722" s="19"/>
      <c r="AY2722" s="19"/>
      <c r="AZ2722" s="19"/>
      <c r="BA2722" s="19"/>
      <c r="BB2722" s="19"/>
      <c r="BC2722" s="19"/>
      <c r="BD2722" s="19"/>
      <c r="BE2722" s="19"/>
      <c r="BF2722" s="19"/>
      <c r="BG2722" s="19"/>
      <c r="BH2722" s="19"/>
      <c r="BI2722" s="19"/>
      <c r="BJ2722" s="19"/>
      <c r="BK2722" s="19"/>
      <c r="BL2722" s="19"/>
      <c r="BM2722" s="19"/>
      <c r="BN2722" s="19"/>
      <c r="BO2722" s="19"/>
      <c r="BP2722" s="19"/>
      <c r="BQ2722" s="19"/>
      <c r="BR2722" s="19"/>
      <c r="BS2722" s="19"/>
      <c r="BT2722" s="19"/>
      <c r="BU2722" s="19"/>
      <c r="BV2722" s="19"/>
      <c r="BW2722" s="19"/>
      <c r="BX2722" s="19"/>
      <c r="BY2722" s="19"/>
      <c r="BZ2722" s="19"/>
      <c r="CA2722" s="19"/>
      <c r="CB2722" s="19"/>
      <c r="CC2722" s="19"/>
      <c r="CD2722" s="139"/>
      <c r="CE2722" s="138"/>
      <c r="CF2722" s="139"/>
      <c r="CG2722" s="138"/>
      <c r="CH2722" s="139"/>
      <c r="CI2722" s="138"/>
      <c r="CJ2722" s="72"/>
      <c r="CK2722" s="139"/>
      <c r="CL2722" s="71"/>
      <c r="CM2722" s="139"/>
      <c r="CN2722" s="138"/>
      <c r="CO2722" s="138"/>
      <c r="CP2722" s="138"/>
      <c r="CQ2722" s="139"/>
      <c r="CR2722" s="138"/>
      <c r="CS2722" s="45"/>
      <c r="CT2722" s="138"/>
      <c r="CU2722" s="45"/>
      <c r="CV2722" s="99">
        <f t="shared" si="267"/>
        <v>0</v>
      </c>
      <c r="CW2722" s="139"/>
      <c r="CX2722" s="138"/>
      <c r="CY2722" s="138"/>
      <c r="CZ2722" s="138"/>
      <c r="DA2722" s="139"/>
      <c r="DB2722" s="138"/>
      <c r="DC2722" s="45"/>
      <c r="DD2722" s="138"/>
      <c r="DE2722" s="45"/>
      <c r="DF2722" s="46"/>
    </row>
    <row r="2723" spans="1:110" s="42" customFormat="1" ht="36" x14ac:dyDescent="0.2">
      <c r="A2723" s="89">
        <v>40868</v>
      </c>
      <c r="B2723" s="240" t="s">
        <v>4308</v>
      </c>
      <c r="C2723" s="230" t="s">
        <v>764</v>
      </c>
      <c r="D2723" s="230" t="s">
        <v>4264</v>
      </c>
      <c r="E2723" s="90" t="str">
        <f>VLOOKUP(B2723&amp;C2723,Divipola!$C$2:$F$1138,4,FALSE)</f>
        <v>47541</v>
      </c>
      <c r="F2723" s="4"/>
      <c r="G2723" s="231"/>
      <c r="H2723" s="231"/>
      <c r="I2723" s="231"/>
      <c r="J2723" s="231">
        <v>2670</v>
      </c>
      <c r="K2723" s="231">
        <v>534</v>
      </c>
      <c r="L2723" s="231"/>
      <c r="M2723" s="231">
        <v>534</v>
      </c>
      <c r="N2723" s="231"/>
      <c r="O2723" s="231"/>
      <c r="P2723" s="231"/>
      <c r="Q2723" s="231"/>
      <c r="R2723" s="231"/>
      <c r="S2723" s="231"/>
      <c r="T2723" s="231"/>
      <c r="U2723" s="231"/>
      <c r="V2723" s="231"/>
      <c r="W2723" s="232"/>
      <c r="X2723" s="233"/>
      <c r="Y2723" s="234">
        <f t="shared" si="262"/>
        <v>0</v>
      </c>
      <c r="Z2723" s="234">
        <f t="shared" si="263"/>
        <v>0</v>
      </c>
      <c r="AA2723" s="234">
        <f t="shared" si="264"/>
        <v>0</v>
      </c>
      <c r="AB2723" s="234">
        <f t="shared" si="265"/>
        <v>0</v>
      </c>
      <c r="AC2723" s="234"/>
      <c r="AD2723" s="234">
        <v>0</v>
      </c>
      <c r="AE2723" s="234">
        <f t="shared" si="266"/>
        <v>0</v>
      </c>
      <c r="AF2723" s="70">
        <v>0</v>
      </c>
      <c r="AG2723" s="233"/>
      <c r="AH2723" s="235"/>
      <c r="AI2723" s="47" t="s">
        <v>4346</v>
      </c>
      <c r="AJ2723" s="73" t="s">
        <v>4347</v>
      </c>
      <c r="AK2723" s="45"/>
      <c r="AL2723" s="17" t="s">
        <v>5534</v>
      </c>
      <c r="AM2723" s="237" t="s">
        <v>5355</v>
      </c>
      <c r="AN2723" s="232"/>
      <c r="AO2723" s="232"/>
      <c r="AP2723" s="232"/>
      <c r="AQ2723" s="232"/>
      <c r="AR2723" s="232"/>
      <c r="AS2723" s="232"/>
      <c r="AT2723" s="232"/>
      <c r="AU2723" s="232"/>
      <c r="AV2723" s="232"/>
      <c r="AW2723" s="232"/>
      <c r="AX2723" s="232"/>
      <c r="AY2723" s="232"/>
      <c r="AZ2723" s="232"/>
      <c r="BA2723" s="232"/>
      <c r="BB2723" s="232"/>
      <c r="BC2723" s="232"/>
      <c r="BD2723" s="232"/>
      <c r="BE2723" s="232"/>
      <c r="BF2723" s="232"/>
      <c r="BG2723" s="232"/>
      <c r="BH2723" s="232"/>
      <c r="BI2723" s="232"/>
      <c r="BJ2723" s="232"/>
      <c r="BK2723" s="232"/>
      <c r="BL2723" s="232"/>
      <c r="BM2723" s="232"/>
      <c r="BN2723" s="232"/>
      <c r="BO2723" s="232"/>
      <c r="BP2723" s="232"/>
      <c r="BQ2723" s="232"/>
      <c r="BR2723" s="232"/>
      <c r="BS2723" s="232"/>
      <c r="BT2723" s="232"/>
      <c r="BU2723" s="232"/>
      <c r="BV2723" s="232"/>
      <c r="BW2723" s="232"/>
      <c r="BX2723" s="232"/>
      <c r="BY2723" s="232"/>
      <c r="BZ2723" s="232"/>
      <c r="CA2723" s="232"/>
      <c r="CB2723" s="232"/>
      <c r="CC2723" s="232"/>
      <c r="CD2723" s="241"/>
      <c r="CE2723" s="242"/>
      <c r="CF2723" s="241"/>
      <c r="CG2723" s="242"/>
      <c r="CH2723" s="241"/>
      <c r="CI2723" s="242"/>
      <c r="CJ2723" s="238"/>
      <c r="CK2723" s="241"/>
      <c r="CL2723" s="239"/>
      <c r="CM2723" s="241"/>
      <c r="CN2723" s="242"/>
      <c r="CO2723" s="242"/>
      <c r="CP2723" s="242"/>
      <c r="CQ2723" s="241"/>
      <c r="CR2723" s="242"/>
      <c r="CS2723" s="236"/>
      <c r="CT2723" s="242"/>
      <c r="CU2723" s="236"/>
      <c r="CV2723" s="239">
        <f t="shared" si="267"/>
        <v>0</v>
      </c>
      <c r="CW2723" s="241"/>
      <c r="CX2723" s="242"/>
      <c r="CY2723" s="242"/>
      <c r="CZ2723" s="242"/>
      <c r="DA2723" s="241"/>
      <c r="DB2723" s="242"/>
      <c r="DC2723" s="236"/>
      <c r="DD2723" s="242"/>
      <c r="DE2723" s="236"/>
      <c r="DF2723" s="46"/>
    </row>
    <row r="2724" spans="1:110" s="42" customFormat="1" ht="36" x14ac:dyDescent="0.2">
      <c r="A2724" s="89">
        <v>40868</v>
      </c>
      <c r="B2724" s="151" t="s">
        <v>4308</v>
      </c>
      <c r="C2724" s="90" t="s">
        <v>3891</v>
      </c>
      <c r="D2724" s="90" t="s">
        <v>4264</v>
      </c>
      <c r="E2724" s="90" t="str">
        <f>VLOOKUP(B2724&amp;C2724,Divipola!$C$2:$F$1138,4,FALSE)</f>
        <v>47205</v>
      </c>
      <c r="F2724" s="4"/>
      <c r="G2724" s="101"/>
      <c r="H2724" s="101"/>
      <c r="I2724" s="101"/>
      <c r="J2724" s="101">
        <f>394*5</f>
        <v>1970</v>
      </c>
      <c r="K2724" s="101">
        <v>394</v>
      </c>
      <c r="L2724" s="101"/>
      <c r="M2724" s="101">
        <v>394</v>
      </c>
      <c r="N2724" s="101"/>
      <c r="O2724" s="101"/>
      <c r="P2724" s="101"/>
      <c r="Q2724" s="101"/>
      <c r="R2724" s="101"/>
      <c r="S2724" s="101"/>
      <c r="T2724" s="101"/>
      <c r="U2724" s="101"/>
      <c r="V2724" s="101"/>
      <c r="W2724" s="19"/>
      <c r="X2724" s="17"/>
      <c r="Y2724" s="5">
        <f t="shared" si="262"/>
        <v>0</v>
      </c>
      <c r="Z2724" s="5">
        <f t="shared" si="263"/>
        <v>0</v>
      </c>
      <c r="AA2724" s="5">
        <f t="shared" si="264"/>
        <v>0</v>
      </c>
      <c r="AB2724" s="5">
        <f t="shared" si="265"/>
        <v>0</v>
      </c>
      <c r="AC2724" s="5"/>
      <c r="AD2724" s="5">
        <v>0</v>
      </c>
      <c r="AE2724" s="5">
        <f t="shared" si="266"/>
        <v>0</v>
      </c>
      <c r="AF2724" s="70">
        <v>0</v>
      </c>
      <c r="AG2724" s="17"/>
      <c r="AH2724" s="18"/>
      <c r="AI2724" s="47" t="s">
        <v>4346</v>
      </c>
      <c r="AJ2724" s="73" t="s">
        <v>4347</v>
      </c>
      <c r="AK2724" s="45"/>
      <c r="AL2724" s="17" t="s">
        <v>5534</v>
      </c>
      <c r="AM2724" s="121" t="s">
        <v>5356</v>
      </c>
      <c r="AN2724" s="19"/>
      <c r="AO2724" s="19"/>
      <c r="AP2724" s="19"/>
      <c r="AQ2724" s="19"/>
      <c r="AR2724" s="19"/>
      <c r="AS2724" s="19"/>
      <c r="AT2724" s="19"/>
      <c r="AU2724" s="19"/>
      <c r="AV2724" s="19"/>
      <c r="AW2724" s="19"/>
      <c r="AX2724" s="19"/>
      <c r="AY2724" s="19"/>
      <c r="AZ2724" s="19"/>
      <c r="BA2724" s="19"/>
      <c r="BB2724" s="19"/>
      <c r="BC2724" s="19"/>
      <c r="BD2724" s="19"/>
      <c r="BE2724" s="19"/>
      <c r="BF2724" s="19"/>
      <c r="BG2724" s="19"/>
      <c r="BH2724" s="19"/>
      <c r="BI2724" s="19"/>
      <c r="BJ2724" s="19"/>
      <c r="BK2724" s="19"/>
      <c r="BL2724" s="19"/>
      <c r="BM2724" s="19"/>
      <c r="BN2724" s="19"/>
      <c r="BO2724" s="19"/>
      <c r="BP2724" s="19"/>
      <c r="BQ2724" s="19"/>
      <c r="BR2724" s="19"/>
      <c r="BS2724" s="19"/>
      <c r="BT2724" s="19"/>
      <c r="BU2724" s="19"/>
      <c r="BV2724" s="19"/>
      <c r="BW2724" s="19"/>
      <c r="BX2724" s="19"/>
      <c r="BY2724" s="19"/>
      <c r="BZ2724" s="19"/>
      <c r="CA2724" s="19"/>
      <c r="CB2724" s="19"/>
      <c r="CC2724" s="19"/>
      <c r="CD2724" s="139"/>
      <c r="CE2724" s="138"/>
      <c r="CF2724" s="139"/>
      <c r="CG2724" s="138"/>
      <c r="CH2724" s="139"/>
      <c r="CI2724" s="138"/>
      <c r="CJ2724" s="72"/>
      <c r="CK2724" s="139"/>
      <c r="CL2724" s="71"/>
      <c r="CM2724" s="139"/>
      <c r="CN2724" s="138"/>
      <c r="CO2724" s="138"/>
      <c r="CP2724" s="138"/>
      <c r="CQ2724" s="139"/>
      <c r="CR2724" s="138"/>
      <c r="CS2724" s="45"/>
      <c r="CT2724" s="138"/>
      <c r="CU2724" s="45"/>
      <c r="CV2724" s="99">
        <f t="shared" si="267"/>
        <v>0</v>
      </c>
      <c r="CW2724" s="139"/>
      <c r="CX2724" s="138"/>
      <c r="CY2724" s="138"/>
      <c r="CZ2724" s="138"/>
      <c r="DA2724" s="139"/>
      <c r="DB2724" s="138"/>
      <c r="DC2724" s="45"/>
      <c r="DD2724" s="138"/>
      <c r="DE2724" s="45"/>
      <c r="DF2724" s="46"/>
    </row>
    <row r="2725" spans="1:110" s="42" customFormat="1" ht="72" x14ac:dyDescent="0.2">
      <c r="A2725" s="89">
        <v>40868</v>
      </c>
      <c r="B2725" s="151" t="s">
        <v>4308</v>
      </c>
      <c r="C2725" s="90" t="s">
        <v>2036</v>
      </c>
      <c r="D2725" s="90" t="s">
        <v>4264</v>
      </c>
      <c r="E2725" s="90" t="str">
        <f>VLOOKUP(B2725&amp;C2725,Divipola!$C$2:$F$1138,4,FALSE)</f>
        <v>47960</v>
      </c>
      <c r="F2725" s="4"/>
      <c r="G2725" s="101"/>
      <c r="H2725" s="101"/>
      <c r="I2725" s="101"/>
      <c r="J2725" s="101">
        <f>837*4</f>
        <v>3348</v>
      </c>
      <c r="K2725" s="101">
        <v>837</v>
      </c>
      <c r="L2725" s="101"/>
      <c r="M2725" s="101"/>
      <c r="N2725" s="101">
        <v>2</v>
      </c>
      <c r="O2725" s="101"/>
      <c r="P2725" s="101"/>
      <c r="Q2725" s="101"/>
      <c r="R2725" s="101"/>
      <c r="S2725" s="101"/>
      <c r="T2725" s="101"/>
      <c r="U2725" s="101"/>
      <c r="V2725" s="101"/>
      <c r="W2725" s="19"/>
      <c r="X2725" s="17"/>
      <c r="Y2725" s="5">
        <f t="shared" si="262"/>
        <v>0</v>
      </c>
      <c r="Z2725" s="5">
        <f t="shared" si="263"/>
        <v>0</v>
      </c>
      <c r="AA2725" s="5">
        <f t="shared" si="264"/>
        <v>0</v>
      </c>
      <c r="AB2725" s="5">
        <f t="shared" si="265"/>
        <v>0</v>
      </c>
      <c r="AC2725" s="5"/>
      <c r="AD2725" s="5">
        <v>0</v>
      </c>
      <c r="AE2725" s="5">
        <f t="shared" si="266"/>
        <v>0</v>
      </c>
      <c r="AF2725" s="70">
        <v>0</v>
      </c>
      <c r="AG2725" s="17"/>
      <c r="AH2725" s="18"/>
      <c r="AI2725" s="47" t="s">
        <v>4346</v>
      </c>
      <c r="AJ2725" s="73" t="s">
        <v>4347</v>
      </c>
      <c r="AK2725" s="45"/>
      <c r="AL2725" s="17" t="s">
        <v>5534</v>
      </c>
      <c r="AM2725" s="121" t="s">
        <v>5568</v>
      </c>
      <c r="AN2725" s="19"/>
      <c r="AO2725" s="19"/>
      <c r="AP2725" s="19"/>
      <c r="AQ2725" s="19"/>
      <c r="AR2725" s="19"/>
      <c r="AS2725" s="19"/>
      <c r="AT2725" s="19"/>
      <c r="AU2725" s="19"/>
      <c r="AV2725" s="19"/>
      <c r="AW2725" s="19"/>
      <c r="AX2725" s="19"/>
      <c r="AY2725" s="19"/>
      <c r="AZ2725" s="19"/>
      <c r="BA2725" s="19"/>
      <c r="BB2725" s="19"/>
      <c r="BC2725" s="19"/>
      <c r="BD2725" s="19"/>
      <c r="BE2725" s="19"/>
      <c r="BF2725" s="19"/>
      <c r="BG2725" s="19"/>
      <c r="BH2725" s="19"/>
      <c r="BI2725" s="19"/>
      <c r="BJ2725" s="19"/>
      <c r="BK2725" s="19"/>
      <c r="BL2725" s="19"/>
      <c r="BM2725" s="19"/>
      <c r="BN2725" s="19"/>
      <c r="BO2725" s="19"/>
      <c r="BP2725" s="19"/>
      <c r="BQ2725" s="19"/>
      <c r="BR2725" s="19"/>
      <c r="BS2725" s="19"/>
      <c r="BT2725" s="19"/>
      <c r="BU2725" s="19"/>
      <c r="BV2725" s="19"/>
      <c r="BW2725" s="19"/>
      <c r="BX2725" s="19"/>
      <c r="BY2725" s="19"/>
      <c r="BZ2725" s="19"/>
      <c r="CA2725" s="19"/>
      <c r="CB2725" s="19"/>
      <c r="CC2725" s="19"/>
      <c r="CD2725" s="139"/>
      <c r="CE2725" s="138"/>
      <c r="CF2725" s="139"/>
      <c r="CG2725" s="138"/>
      <c r="CH2725" s="139"/>
      <c r="CI2725" s="138"/>
      <c r="CJ2725" s="72"/>
      <c r="CK2725" s="139"/>
      <c r="CL2725" s="71"/>
      <c r="CM2725" s="139"/>
      <c r="CN2725" s="138"/>
      <c r="CO2725" s="138"/>
      <c r="CP2725" s="138"/>
      <c r="CQ2725" s="139"/>
      <c r="CR2725" s="138"/>
      <c r="CS2725" s="45"/>
      <c r="CT2725" s="138"/>
      <c r="CU2725" s="45"/>
      <c r="CV2725" s="99">
        <f t="shared" si="267"/>
        <v>0</v>
      </c>
      <c r="CW2725" s="139"/>
      <c r="CX2725" s="138"/>
      <c r="CY2725" s="138"/>
      <c r="CZ2725" s="138"/>
      <c r="DA2725" s="139"/>
      <c r="DB2725" s="138"/>
      <c r="DC2725" s="45"/>
      <c r="DD2725" s="138"/>
      <c r="DE2725" s="45"/>
      <c r="DF2725" s="46"/>
    </row>
    <row r="2726" spans="1:110" s="42" customFormat="1" ht="24" x14ac:dyDescent="0.2">
      <c r="A2726" s="89">
        <v>40868</v>
      </c>
      <c r="B2726" s="151" t="s">
        <v>4308</v>
      </c>
      <c r="C2726" s="90" t="s">
        <v>4309</v>
      </c>
      <c r="D2726" s="90" t="s">
        <v>4264</v>
      </c>
      <c r="E2726" s="90" t="str">
        <f>VLOOKUP(B2726&amp;C2726,Divipola!$C$2:$F$1138,4,FALSE)</f>
        <v>47245</v>
      </c>
      <c r="F2726" s="4"/>
      <c r="G2726" s="208"/>
      <c r="H2726" s="208"/>
      <c r="I2726" s="208"/>
      <c r="J2726" s="208"/>
      <c r="K2726" s="208"/>
      <c r="L2726" s="208"/>
      <c r="M2726" s="208"/>
      <c r="N2726" s="208"/>
      <c r="O2726" s="208"/>
      <c r="P2726" s="208"/>
      <c r="Q2726" s="208"/>
      <c r="R2726" s="208"/>
      <c r="S2726" s="208"/>
      <c r="T2726" s="208"/>
      <c r="U2726" s="208"/>
      <c r="V2726" s="208"/>
      <c r="W2726" s="19"/>
      <c r="X2726" s="17"/>
      <c r="Y2726" s="5">
        <f t="shared" si="262"/>
        <v>1499998.32</v>
      </c>
      <c r="Z2726" s="5">
        <f t="shared" si="263"/>
        <v>0</v>
      </c>
      <c r="AA2726" s="5">
        <f t="shared" si="264"/>
        <v>0</v>
      </c>
      <c r="AB2726" s="5">
        <f t="shared" si="265"/>
        <v>9001600</v>
      </c>
      <c r="AC2726" s="143">
        <f>20*164906.76</f>
        <v>3298135.2</v>
      </c>
      <c r="AD2726" s="5">
        <v>0</v>
      </c>
      <c r="AE2726" s="5">
        <f t="shared" si="266"/>
        <v>13799733.52</v>
      </c>
      <c r="AF2726" s="70">
        <v>0</v>
      </c>
      <c r="AG2726" s="17"/>
      <c r="AH2726" s="18"/>
      <c r="AI2726" s="47" t="s">
        <v>4346</v>
      </c>
      <c r="AJ2726" s="73" t="s">
        <v>4347</v>
      </c>
      <c r="AK2726" s="45"/>
      <c r="AL2726" s="17"/>
      <c r="AM2726" s="20" t="s">
        <v>5384</v>
      </c>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v>3</v>
      </c>
      <c r="CA2726" s="19">
        <f>3*499999.44</f>
        <v>1499998.32</v>
      </c>
      <c r="CB2726" s="19"/>
      <c r="CC2726" s="19"/>
      <c r="CD2726" s="139"/>
      <c r="CE2726" s="138"/>
      <c r="CF2726" s="139"/>
      <c r="CG2726" s="138"/>
      <c r="CH2726" s="139"/>
      <c r="CI2726" s="138"/>
      <c r="CJ2726" s="72"/>
      <c r="CK2726" s="139"/>
      <c r="CL2726" s="71"/>
      <c r="CM2726" s="139"/>
      <c r="CN2726" s="138"/>
      <c r="CO2726" s="138"/>
      <c r="CP2726" s="138"/>
      <c r="CQ2726" s="139"/>
      <c r="CR2726" s="138"/>
      <c r="CS2726" s="45"/>
      <c r="CT2726" s="138"/>
      <c r="CU2726" s="45"/>
      <c r="CV2726" s="99">
        <f t="shared" si="267"/>
        <v>1499998.32</v>
      </c>
      <c r="CW2726" s="139">
        <v>10000</v>
      </c>
      <c r="CX2726" s="138">
        <f>10000*900.16</f>
        <v>9001600</v>
      </c>
      <c r="CY2726" s="138"/>
      <c r="CZ2726" s="138"/>
      <c r="DA2726" s="139"/>
      <c r="DB2726" s="138"/>
      <c r="DC2726" s="45"/>
      <c r="DD2726" s="138"/>
      <c r="DE2726" s="45"/>
      <c r="DF2726" s="46"/>
    </row>
    <row r="2727" spans="1:110" s="42" customFormat="1" ht="48" x14ac:dyDescent="0.2">
      <c r="A2727" s="89">
        <v>40869</v>
      </c>
      <c r="B2727" s="151" t="s">
        <v>2218</v>
      </c>
      <c r="C2727" s="90" t="s">
        <v>3983</v>
      </c>
      <c r="D2727" s="90" t="s">
        <v>4264</v>
      </c>
      <c r="E2727" s="90" t="str">
        <f>VLOOKUP(B2727&amp;C2727,Divipola!$C$2:$F$1138,4,FALSE)</f>
        <v>05495</v>
      </c>
      <c r="F2727" s="4"/>
      <c r="G2727" s="101"/>
      <c r="H2727" s="101"/>
      <c r="I2727" s="101"/>
      <c r="J2727" s="101">
        <v>900</v>
      </c>
      <c r="K2727" s="101">
        <v>200</v>
      </c>
      <c r="L2727" s="101"/>
      <c r="M2727" s="101">
        <v>200</v>
      </c>
      <c r="N2727" s="101"/>
      <c r="O2727" s="101"/>
      <c r="P2727" s="101"/>
      <c r="Q2727" s="101"/>
      <c r="R2727" s="101"/>
      <c r="S2727" s="101"/>
      <c r="T2727" s="101"/>
      <c r="U2727" s="101"/>
      <c r="V2727" s="101"/>
      <c r="W2727" s="19"/>
      <c r="X2727" s="17"/>
      <c r="Y2727" s="5">
        <f t="shared" si="262"/>
        <v>0</v>
      </c>
      <c r="Z2727" s="5">
        <f t="shared" si="263"/>
        <v>0</v>
      </c>
      <c r="AA2727" s="5">
        <f t="shared" si="264"/>
        <v>0</v>
      </c>
      <c r="AB2727" s="5">
        <f t="shared" si="265"/>
        <v>0</v>
      </c>
      <c r="AC2727" s="5"/>
      <c r="AD2727" s="5">
        <v>0</v>
      </c>
      <c r="AE2727" s="5">
        <f t="shared" si="266"/>
        <v>0</v>
      </c>
      <c r="AF2727" s="70">
        <v>0</v>
      </c>
      <c r="AG2727" s="17"/>
      <c r="AH2727" s="18"/>
      <c r="AI2727" s="47" t="s">
        <v>4346</v>
      </c>
      <c r="AJ2727" s="73" t="s">
        <v>4347</v>
      </c>
      <c r="AK2727" s="45"/>
      <c r="AL2727" s="89" t="s">
        <v>2798</v>
      </c>
      <c r="AM2727" s="121" t="s">
        <v>5102</v>
      </c>
      <c r="AN2727" s="19"/>
      <c r="AO2727" s="19"/>
      <c r="AP2727" s="19"/>
      <c r="AQ2727" s="19"/>
      <c r="AR2727" s="19"/>
      <c r="AS2727" s="19"/>
      <c r="AT2727" s="19"/>
      <c r="AU2727" s="19"/>
      <c r="AV2727" s="19"/>
      <c r="AW2727" s="19"/>
      <c r="AX2727" s="19"/>
      <c r="AY2727" s="19"/>
      <c r="AZ2727" s="19"/>
      <c r="BA2727" s="19"/>
      <c r="BB2727" s="19"/>
      <c r="BC2727" s="19"/>
      <c r="BD2727" s="19"/>
      <c r="BE2727" s="19"/>
      <c r="BF2727" s="19"/>
      <c r="BG2727" s="19"/>
      <c r="BH2727" s="19"/>
      <c r="BI2727" s="19"/>
      <c r="BJ2727" s="19"/>
      <c r="BK2727" s="19"/>
      <c r="BL2727" s="19"/>
      <c r="BM2727" s="19"/>
      <c r="BN2727" s="19"/>
      <c r="BO2727" s="19"/>
      <c r="BP2727" s="19"/>
      <c r="BQ2727" s="19"/>
      <c r="BR2727" s="19"/>
      <c r="BS2727" s="19"/>
      <c r="BT2727" s="19"/>
      <c r="BU2727" s="19"/>
      <c r="BV2727" s="19"/>
      <c r="BW2727" s="19"/>
      <c r="BX2727" s="19"/>
      <c r="BY2727" s="19"/>
      <c r="BZ2727" s="19"/>
      <c r="CA2727" s="19"/>
      <c r="CB2727" s="19"/>
      <c r="CC2727" s="19"/>
      <c r="CD2727" s="139"/>
      <c r="CE2727" s="138"/>
      <c r="CF2727" s="139"/>
      <c r="CG2727" s="138"/>
      <c r="CH2727" s="139"/>
      <c r="CI2727" s="138"/>
      <c r="CJ2727" s="72"/>
      <c r="CK2727" s="139"/>
      <c r="CL2727" s="71"/>
      <c r="CM2727" s="139"/>
      <c r="CN2727" s="138"/>
      <c r="CO2727" s="138"/>
      <c r="CP2727" s="138"/>
      <c r="CQ2727" s="139"/>
      <c r="CR2727" s="138"/>
      <c r="CS2727" s="45"/>
      <c r="CT2727" s="138"/>
      <c r="CU2727" s="45"/>
      <c r="CV2727" s="99">
        <f t="shared" si="267"/>
        <v>0</v>
      </c>
      <c r="CW2727" s="139"/>
      <c r="CX2727" s="138"/>
      <c r="CY2727" s="138"/>
      <c r="CZ2727" s="138"/>
      <c r="DA2727" s="139"/>
      <c r="DB2727" s="138"/>
      <c r="DC2727" s="45"/>
      <c r="DD2727" s="138"/>
      <c r="DE2727" s="45"/>
      <c r="DF2727" s="46"/>
    </row>
    <row r="2728" spans="1:110" s="42" customFormat="1" ht="84" x14ac:dyDescent="0.2">
      <c r="A2728" s="89">
        <v>40869</v>
      </c>
      <c r="B2728" s="151" t="s">
        <v>4261</v>
      </c>
      <c r="C2728" s="90" t="s">
        <v>4303</v>
      </c>
      <c r="D2728" s="90" t="s">
        <v>2865</v>
      </c>
      <c r="E2728" s="90" t="str">
        <f>VLOOKUP(B2728&amp;C2728,Divipola!$C$2:$F$1138,4,FALSE)</f>
        <v>15480</v>
      </c>
      <c r="F2728" s="4"/>
      <c r="G2728" s="101"/>
      <c r="H2728" s="101"/>
      <c r="I2728" s="101"/>
      <c r="J2728" s="101"/>
      <c r="K2728" s="101"/>
      <c r="L2728" s="101"/>
      <c r="M2728" s="101"/>
      <c r="N2728" s="101"/>
      <c r="O2728" s="101"/>
      <c r="P2728" s="101">
        <v>1</v>
      </c>
      <c r="Q2728" s="101"/>
      <c r="R2728" s="101"/>
      <c r="S2728" s="101"/>
      <c r="T2728" s="101"/>
      <c r="U2728" s="101"/>
      <c r="V2728" s="101"/>
      <c r="W2728" s="19"/>
      <c r="X2728" s="17"/>
      <c r="Y2728" s="5">
        <f t="shared" si="262"/>
        <v>0</v>
      </c>
      <c r="Z2728" s="5">
        <f t="shared" si="263"/>
        <v>0</v>
      </c>
      <c r="AA2728" s="5">
        <f t="shared" si="264"/>
        <v>0</v>
      </c>
      <c r="AB2728" s="5">
        <f t="shared" si="265"/>
        <v>0</v>
      </c>
      <c r="AC2728" s="5"/>
      <c r="AD2728" s="5">
        <v>0</v>
      </c>
      <c r="AE2728" s="5">
        <f t="shared" si="266"/>
        <v>0</v>
      </c>
      <c r="AF2728" s="70">
        <v>0</v>
      </c>
      <c r="AG2728" s="17"/>
      <c r="AH2728" s="18"/>
      <c r="AI2728" s="47" t="s">
        <v>4346</v>
      </c>
      <c r="AJ2728" s="73" t="s">
        <v>4347</v>
      </c>
      <c r="AK2728" s="45"/>
      <c r="AL2728" s="17" t="s">
        <v>5531</v>
      </c>
      <c r="AM2728" s="121" t="s">
        <v>5101</v>
      </c>
      <c r="AN2728" s="19"/>
      <c r="AO2728" s="19"/>
      <c r="AP2728" s="19"/>
      <c r="AQ2728" s="19"/>
      <c r="AR2728" s="19"/>
      <c r="AS2728" s="19"/>
      <c r="AT2728" s="19"/>
      <c r="AU2728" s="19"/>
      <c r="AV2728" s="19"/>
      <c r="AW2728" s="19"/>
      <c r="AX2728" s="19"/>
      <c r="AY2728" s="19"/>
      <c r="AZ2728" s="19"/>
      <c r="BA2728" s="19"/>
      <c r="BB2728" s="19"/>
      <c r="BC2728" s="19"/>
      <c r="BD2728" s="19"/>
      <c r="BE2728" s="19"/>
      <c r="BF2728" s="19"/>
      <c r="BG2728" s="19"/>
      <c r="BH2728" s="19"/>
      <c r="BI2728" s="19"/>
      <c r="BJ2728" s="19"/>
      <c r="BK2728" s="19"/>
      <c r="BL2728" s="19"/>
      <c r="BM2728" s="19"/>
      <c r="BN2728" s="19"/>
      <c r="BO2728" s="19"/>
      <c r="BP2728" s="19"/>
      <c r="BQ2728" s="19"/>
      <c r="BR2728" s="19"/>
      <c r="BS2728" s="19"/>
      <c r="BT2728" s="19"/>
      <c r="BU2728" s="19"/>
      <c r="BV2728" s="19"/>
      <c r="BW2728" s="19"/>
      <c r="BX2728" s="19"/>
      <c r="BY2728" s="19"/>
      <c r="BZ2728" s="19"/>
      <c r="CA2728" s="19"/>
      <c r="CB2728" s="19"/>
      <c r="CC2728" s="19"/>
      <c r="CD2728" s="139"/>
      <c r="CE2728" s="138"/>
      <c r="CF2728" s="139"/>
      <c r="CG2728" s="138"/>
      <c r="CH2728" s="139"/>
      <c r="CI2728" s="138"/>
      <c r="CJ2728" s="72"/>
      <c r="CK2728" s="139"/>
      <c r="CL2728" s="71"/>
      <c r="CM2728" s="139"/>
      <c r="CN2728" s="138"/>
      <c r="CO2728" s="138"/>
      <c r="CP2728" s="138"/>
      <c r="CQ2728" s="139"/>
      <c r="CR2728" s="138"/>
      <c r="CS2728" s="45"/>
      <c r="CT2728" s="138"/>
      <c r="CU2728" s="45"/>
      <c r="CV2728" s="99">
        <f t="shared" si="267"/>
        <v>0</v>
      </c>
      <c r="CW2728" s="139"/>
      <c r="CX2728" s="138"/>
      <c r="CY2728" s="138"/>
      <c r="CZ2728" s="138"/>
      <c r="DA2728" s="139"/>
      <c r="DB2728" s="138"/>
      <c r="DC2728" s="45"/>
      <c r="DD2728" s="138"/>
      <c r="DE2728" s="45"/>
      <c r="DF2728" s="46"/>
    </row>
    <row r="2729" spans="1:110" s="42" customFormat="1" ht="84" x14ac:dyDescent="0.2">
      <c r="A2729" s="89">
        <v>40869</v>
      </c>
      <c r="B2729" s="151" t="s">
        <v>2225</v>
      </c>
      <c r="C2729" s="90" t="s">
        <v>1882</v>
      </c>
      <c r="D2729" s="90" t="s">
        <v>4264</v>
      </c>
      <c r="E2729" s="90" t="str">
        <f>VLOOKUP(B2729&amp;C2729,Divipola!$C$2:$F$1138,4,FALSE)</f>
        <v>27425</v>
      </c>
      <c r="F2729" s="4"/>
      <c r="G2729" s="101"/>
      <c r="H2729" s="101"/>
      <c r="I2729" s="101"/>
      <c r="J2729" s="101"/>
      <c r="K2729" s="101"/>
      <c r="L2729" s="101"/>
      <c r="M2729" s="101"/>
      <c r="N2729" s="101"/>
      <c r="O2729" s="101"/>
      <c r="P2729" s="101"/>
      <c r="Q2729" s="101"/>
      <c r="R2729" s="101"/>
      <c r="S2729" s="101"/>
      <c r="T2729" s="101"/>
      <c r="U2729" s="101"/>
      <c r="V2729" s="101"/>
      <c r="W2729" s="19"/>
      <c r="X2729" s="17"/>
      <c r="Y2729" s="5">
        <f t="shared" si="262"/>
        <v>0</v>
      </c>
      <c r="Z2729" s="5">
        <f t="shared" si="263"/>
        <v>0</v>
      </c>
      <c r="AA2729" s="5">
        <f t="shared" si="264"/>
        <v>0</v>
      </c>
      <c r="AB2729" s="5">
        <f t="shared" si="265"/>
        <v>0</v>
      </c>
      <c r="AC2729" s="5"/>
      <c r="AD2729" s="5">
        <v>0</v>
      </c>
      <c r="AE2729" s="5">
        <f t="shared" si="266"/>
        <v>0</v>
      </c>
      <c r="AF2729" s="70">
        <v>0</v>
      </c>
      <c r="AG2729" s="17"/>
      <c r="AH2729" s="18"/>
      <c r="AI2729" s="47" t="s">
        <v>4336</v>
      </c>
      <c r="AJ2729" s="73" t="s">
        <v>4337</v>
      </c>
      <c r="AK2729" s="45"/>
      <c r="AL2729" s="17"/>
      <c r="AM2729" s="121" t="s">
        <v>5094</v>
      </c>
      <c r="AN2729" s="19"/>
      <c r="AO2729" s="19"/>
      <c r="AP2729" s="19"/>
      <c r="AQ2729" s="19"/>
      <c r="AR2729" s="19"/>
      <c r="AS2729" s="19"/>
      <c r="AT2729" s="19"/>
      <c r="AU2729" s="19"/>
      <c r="AV2729" s="19"/>
      <c r="AW2729" s="19"/>
      <c r="AX2729" s="19"/>
      <c r="AY2729" s="19"/>
      <c r="AZ2729" s="19"/>
      <c r="BA2729" s="19"/>
      <c r="BB2729" s="19"/>
      <c r="BC2729" s="19"/>
      <c r="BD2729" s="19"/>
      <c r="BE2729" s="19"/>
      <c r="BF2729" s="19"/>
      <c r="BG2729" s="19"/>
      <c r="BH2729" s="19"/>
      <c r="BI2729" s="19"/>
      <c r="BJ2729" s="19"/>
      <c r="BK2729" s="19"/>
      <c r="BL2729" s="19"/>
      <c r="BM2729" s="19"/>
      <c r="BN2729" s="19"/>
      <c r="BO2729" s="19"/>
      <c r="BP2729" s="19"/>
      <c r="BQ2729" s="19"/>
      <c r="BR2729" s="19"/>
      <c r="BS2729" s="19"/>
      <c r="BT2729" s="19"/>
      <c r="BU2729" s="19"/>
      <c r="BV2729" s="19"/>
      <c r="BW2729" s="19"/>
      <c r="BX2729" s="19"/>
      <c r="BY2729" s="19"/>
      <c r="BZ2729" s="19"/>
      <c r="CA2729" s="19"/>
      <c r="CB2729" s="19"/>
      <c r="CC2729" s="19"/>
      <c r="CD2729" s="139"/>
      <c r="CE2729" s="138"/>
      <c r="CF2729" s="139"/>
      <c r="CG2729" s="138"/>
      <c r="CH2729" s="139"/>
      <c r="CI2729" s="138"/>
      <c r="CJ2729" s="72"/>
      <c r="CK2729" s="139"/>
      <c r="CL2729" s="71"/>
      <c r="CM2729" s="139"/>
      <c r="CN2729" s="138"/>
      <c r="CO2729" s="138"/>
      <c r="CP2729" s="138"/>
      <c r="CQ2729" s="139"/>
      <c r="CR2729" s="138"/>
      <c r="CS2729" s="45"/>
      <c r="CT2729" s="138"/>
      <c r="CU2729" s="45"/>
      <c r="CV2729" s="99">
        <f t="shared" si="267"/>
        <v>0</v>
      </c>
      <c r="CW2729" s="139"/>
      <c r="CX2729" s="138"/>
      <c r="CY2729" s="138"/>
      <c r="CZ2729" s="138"/>
      <c r="DA2729" s="139"/>
      <c r="DB2729" s="138"/>
      <c r="DC2729" s="45"/>
      <c r="DD2729" s="138"/>
      <c r="DE2729" s="45"/>
      <c r="DF2729" s="46"/>
    </row>
    <row r="2730" spans="1:110" s="42" customFormat="1" ht="108" x14ac:dyDescent="0.2">
      <c r="A2730" s="89">
        <v>40869</v>
      </c>
      <c r="B2730" s="151" t="s">
        <v>4344</v>
      </c>
      <c r="C2730" s="90" t="s">
        <v>1663</v>
      </c>
      <c r="D2730" s="90" t="s">
        <v>2362</v>
      </c>
      <c r="E2730" s="90" t="str">
        <f>VLOOKUP(B2730&amp;C2730,Divipola!$C$2:$F$1138,4,FALSE)</f>
        <v>25123</v>
      </c>
      <c r="F2730" s="4"/>
      <c r="G2730" s="101"/>
      <c r="H2730" s="101"/>
      <c r="I2730" s="101"/>
      <c r="J2730" s="101"/>
      <c r="K2730" s="101"/>
      <c r="L2730" s="101"/>
      <c r="M2730" s="101"/>
      <c r="N2730" s="101">
        <v>3</v>
      </c>
      <c r="O2730" s="101"/>
      <c r="P2730" s="101"/>
      <c r="Q2730" s="101"/>
      <c r="R2730" s="101"/>
      <c r="S2730" s="101"/>
      <c r="T2730" s="101"/>
      <c r="U2730" s="101"/>
      <c r="V2730" s="101"/>
      <c r="W2730" s="19"/>
      <c r="X2730" s="17"/>
      <c r="Y2730" s="5">
        <f t="shared" si="262"/>
        <v>0</v>
      </c>
      <c r="Z2730" s="5">
        <f t="shared" si="263"/>
        <v>0</v>
      </c>
      <c r="AA2730" s="5">
        <f t="shared" si="264"/>
        <v>0</v>
      </c>
      <c r="AB2730" s="5">
        <f t="shared" si="265"/>
        <v>0</v>
      </c>
      <c r="AC2730" s="5"/>
      <c r="AD2730" s="5">
        <v>0</v>
      </c>
      <c r="AE2730" s="5">
        <f t="shared" si="266"/>
        <v>0</v>
      </c>
      <c r="AF2730" s="70">
        <v>0</v>
      </c>
      <c r="AG2730" s="17"/>
      <c r="AH2730" s="18"/>
      <c r="AI2730" s="47" t="s">
        <v>4336</v>
      </c>
      <c r="AJ2730" s="73" t="s">
        <v>4337</v>
      </c>
      <c r="AK2730" s="45"/>
      <c r="AL2730" s="17"/>
      <c r="AM2730" s="121" t="s">
        <v>5106</v>
      </c>
      <c r="AN2730" s="19"/>
      <c r="AO2730" s="19"/>
      <c r="AP2730" s="19"/>
      <c r="AQ2730" s="19"/>
      <c r="AR2730" s="19"/>
      <c r="AS2730" s="19"/>
      <c r="AT2730" s="19"/>
      <c r="AU2730" s="19"/>
      <c r="AV2730" s="19"/>
      <c r="AW2730" s="19"/>
      <c r="AX2730" s="19"/>
      <c r="AY2730" s="19"/>
      <c r="AZ2730" s="19"/>
      <c r="BA2730" s="19"/>
      <c r="BB2730" s="19"/>
      <c r="BC2730" s="19"/>
      <c r="BD2730" s="19"/>
      <c r="BE2730" s="19"/>
      <c r="BF2730" s="19"/>
      <c r="BG2730" s="19"/>
      <c r="BH2730" s="19"/>
      <c r="BI2730" s="19"/>
      <c r="BJ2730" s="19"/>
      <c r="BK2730" s="19"/>
      <c r="BL2730" s="19"/>
      <c r="BM2730" s="19"/>
      <c r="BN2730" s="19"/>
      <c r="BO2730" s="19"/>
      <c r="BP2730" s="19"/>
      <c r="BQ2730" s="19"/>
      <c r="BR2730" s="19"/>
      <c r="BS2730" s="19"/>
      <c r="BT2730" s="19"/>
      <c r="BU2730" s="19"/>
      <c r="BV2730" s="19"/>
      <c r="BW2730" s="19"/>
      <c r="BX2730" s="19"/>
      <c r="BY2730" s="19"/>
      <c r="BZ2730" s="19"/>
      <c r="CA2730" s="19"/>
      <c r="CB2730" s="19"/>
      <c r="CC2730" s="19"/>
      <c r="CD2730" s="139"/>
      <c r="CE2730" s="138"/>
      <c r="CF2730" s="139"/>
      <c r="CG2730" s="138"/>
      <c r="CH2730" s="139"/>
      <c r="CI2730" s="138"/>
      <c r="CJ2730" s="72"/>
      <c r="CK2730" s="139"/>
      <c r="CL2730" s="71"/>
      <c r="CM2730" s="139"/>
      <c r="CN2730" s="138"/>
      <c r="CO2730" s="138"/>
      <c r="CP2730" s="138"/>
      <c r="CQ2730" s="139"/>
      <c r="CR2730" s="138"/>
      <c r="CS2730" s="45"/>
      <c r="CT2730" s="138"/>
      <c r="CU2730" s="45"/>
      <c r="CV2730" s="99">
        <f t="shared" si="267"/>
        <v>0</v>
      </c>
      <c r="CW2730" s="139"/>
      <c r="CX2730" s="138"/>
      <c r="CY2730" s="138"/>
      <c r="CZ2730" s="138"/>
      <c r="DA2730" s="139"/>
      <c r="DB2730" s="138"/>
      <c r="DC2730" s="45"/>
      <c r="DD2730" s="138"/>
      <c r="DE2730" s="45"/>
      <c r="DF2730" s="46"/>
    </row>
    <row r="2731" spans="1:110" s="42" customFormat="1" ht="48" x14ac:dyDescent="0.2">
      <c r="A2731" s="89">
        <v>40869</v>
      </c>
      <c r="B2731" s="151" t="s">
        <v>4344</v>
      </c>
      <c r="C2731" s="90" t="s">
        <v>3473</v>
      </c>
      <c r="D2731" s="90" t="s">
        <v>4264</v>
      </c>
      <c r="E2731" s="90" t="str">
        <f>VLOOKUP(B2731&amp;C2731,Divipola!$C$2:$F$1138,4,FALSE)</f>
        <v>25878</v>
      </c>
      <c r="F2731" s="4"/>
      <c r="G2731" s="101"/>
      <c r="H2731" s="101"/>
      <c r="I2731" s="101"/>
      <c r="J2731" s="101">
        <v>180</v>
      </c>
      <c r="K2731" s="101">
        <v>50</v>
      </c>
      <c r="L2731" s="101"/>
      <c r="M2731" s="101">
        <v>50</v>
      </c>
      <c r="N2731" s="101"/>
      <c r="O2731" s="101"/>
      <c r="P2731" s="101"/>
      <c r="Q2731" s="101"/>
      <c r="R2731" s="101"/>
      <c r="S2731" s="101"/>
      <c r="T2731" s="101">
        <v>1</v>
      </c>
      <c r="U2731" s="101"/>
      <c r="V2731" s="101"/>
      <c r="W2731" s="19"/>
      <c r="X2731" s="17"/>
      <c r="Y2731" s="5">
        <f t="shared" si="262"/>
        <v>0</v>
      </c>
      <c r="Z2731" s="5">
        <f t="shared" si="263"/>
        <v>0</v>
      </c>
      <c r="AA2731" s="5">
        <f t="shared" si="264"/>
        <v>0</v>
      </c>
      <c r="AB2731" s="5">
        <f t="shared" si="265"/>
        <v>0</v>
      </c>
      <c r="AC2731" s="5"/>
      <c r="AD2731" s="5">
        <v>0</v>
      </c>
      <c r="AE2731" s="5">
        <f t="shared" si="266"/>
        <v>0</v>
      </c>
      <c r="AF2731" s="70">
        <v>0</v>
      </c>
      <c r="AG2731" s="17"/>
      <c r="AH2731" s="18"/>
      <c r="AI2731" s="47" t="s">
        <v>4336</v>
      </c>
      <c r="AJ2731" s="73" t="s">
        <v>4337</v>
      </c>
      <c r="AK2731" s="45"/>
      <c r="AL2731" s="17"/>
      <c r="AM2731" s="121" t="s">
        <v>5108</v>
      </c>
      <c r="AN2731" s="19"/>
      <c r="AO2731" s="19"/>
      <c r="AP2731" s="19"/>
      <c r="AQ2731" s="19"/>
      <c r="AR2731" s="19"/>
      <c r="AS2731" s="19"/>
      <c r="AT2731" s="19"/>
      <c r="AU2731" s="19"/>
      <c r="AV2731" s="19"/>
      <c r="AW2731" s="19"/>
      <c r="AX2731" s="19"/>
      <c r="AY2731" s="19"/>
      <c r="AZ2731" s="19"/>
      <c r="BA2731" s="19"/>
      <c r="BB2731" s="19"/>
      <c r="BC2731" s="19"/>
      <c r="BD2731" s="19"/>
      <c r="BE2731" s="19"/>
      <c r="BF2731" s="19"/>
      <c r="BG2731" s="19"/>
      <c r="BH2731" s="19"/>
      <c r="BI2731" s="19"/>
      <c r="BJ2731" s="19"/>
      <c r="BK2731" s="19"/>
      <c r="BL2731" s="19"/>
      <c r="BM2731" s="19"/>
      <c r="BN2731" s="19"/>
      <c r="BO2731" s="19"/>
      <c r="BP2731" s="19"/>
      <c r="BQ2731" s="19"/>
      <c r="BR2731" s="19"/>
      <c r="BS2731" s="19"/>
      <c r="BT2731" s="19"/>
      <c r="BU2731" s="19"/>
      <c r="BV2731" s="19"/>
      <c r="BW2731" s="19"/>
      <c r="BX2731" s="19"/>
      <c r="BY2731" s="19"/>
      <c r="BZ2731" s="19"/>
      <c r="CA2731" s="19"/>
      <c r="CB2731" s="19"/>
      <c r="CC2731" s="19"/>
      <c r="CD2731" s="139"/>
      <c r="CE2731" s="138"/>
      <c r="CF2731" s="139"/>
      <c r="CG2731" s="138"/>
      <c r="CH2731" s="139"/>
      <c r="CI2731" s="138"/>
      <c r="CJ2731" s="72"/>
      <c r="CK2731" s="139"/>
      <c r="CL2731" s="71"/>
      <c r="CM2731" s="139"/>
      <c r="CN2731" s="138"/>
      <c r="CO2731" s="138"/>
      <c r="CP2731" s="138"/>
      <c r="CQ2731" s="139"/>
      <c r="CR2731" s="138"/>
      <c r="CS2731" s="45"/>
      <c r="CT2731" s="138"/>
      <c r="CU2731" s="45"/>
      <c r="CV2731" s="99">
        <f t="shared" si="267"/>
        <v>0</v>
      </c>
      <c r="CW2731" s="139"/>
      <c r="CX2731" s="138"/>
      <c r="CY2731" s="138"/>
      <c r="CZ2731" s="138"/>
      <c r="DA2731" s="139"/>
      <c r="DB2731" s="138"/>
      <c r="DC2731" s="45"/>
      <c r="DD2731" s="138"/>
      <c r="DE2731" s="45"/>
      <c r="DF2731" s="46"/>
    </row>
    <row r="2732" spans="1:110" s="42" customFormat="1" ht="72" x14ac:dyDescent="0.2">
      <c r="A2732" s="89">
        <v>40869</v>
      </c>
      <c r="B2732" s="151" t="s">
        <v>4344</v>
      </c>
      <c r="C2732" s="90" t="s">
        <v>2286</v>
      </c>
      <c r="D2732" s="90" t="s">
        <v>4264</v>
      </c>
      <c r="E2732" s="90" t="str">
        <f>VLOOKUP(B2732&amp;C2732,Divipola!$C$2:$F$1138,4,FALSE)</f>
        <v>25297</v>
      </c>
      <c r="F2732" s="4"/>
      <c r="G2732" s="101"/>
      <c r="H2732" s="101"/>
      <c r="I2732" s="101"/>
      <c r="J2732" s="101">
        <v>5</v>
      </c>
      <c r="K2732" s="101">
        <v>1</v>
      </c>
      <c r="L2732" s="101"/>
      <c r="M2732" s="101">
        <v>1</v>
      </c>
      <c r="N2732" s="101"/>
      <c r="O2732" s="101"/>
      <c r="P2732" s="101"/>
      <c r="Q2732" s="101"/>
      <c r="R2732" s="101"/>
      <c r="S2732" s="101"/>
      <c r="T2732" s="101"/>
      <c r="U2732" s="101"/>
      <c r="V2732" s="101"/>
      <c r="W2732" s="19"/>
      <c r="X2732" s="17"/>
      <c r="Y2732" s="5">
        <f t="shared" si="262"/>
        <v>0</v>
      </c>
      <c r="Z2732" s="5">
        <f t="shared" si="263"/>
        <v>0</v>
      </c>
      <c r="AA2732" s="5">
        <f t="shared" si="264"/>
        <v>0</v>
      </c>
      <c r="AB2732" s="5">
        <f t="shared" si="265"/>
        <v>0</v>
      </c>
      <c r="AC2732" s="5"/>
      <c r="AD2732" s="5">
        <v>0</v>
      </c>
      <c r="AE2732" s="5">
        <f t="shared" si="266"/>
        <v>0</v>
      </c>
      <c r="AF2732" s="70">
        <v>0</v>
      </c>
      <c r="AG2732" s="17"/>
      <c r="AH2732" s="18"/>
      <c r="AI2732" s="47" t="s">
        <v>4336</v>
      </c>
      <c r="AJ2732" s="73" t="s">
        <v>4337</v>
      </c>
      <c r="AK2732" s="45"/>
      <c r="AL2732" s="17"/>
      <c r="AM2732" s="121" t="s">
        <v>5109</v>
      </c>
      <c r="AN2732" s="19"/>
      <c r="AO2732" s="19"/>
      <c r="AP2732" s="19"/>
      <c r="AQ2732" s="19"/>
      <c r="AR2732" s="19"/>
      <c r="AS2732" s="19"/>
      <c r="AT2732" s="19"/>
      <c r="AU2732" s="19"/>
      <c r="AV2732" s="19"/>
      <c r="AW2732" s="19"/>
      <c r="AX2732" s="19"/>
      <c r="AY2732" s="19"/>
      <c r="AZ2732" s="19"/>
      <c r="BA2732" s="19"/>
      <c r="BB2732" s="19"/>
      <c r="BC2732" s="19"/>
      <c r="BD2732" s="19"/>
      <c r="BE2732" s="19"/>
      <c r="BF2732" s="19"/>
      <c r="BG2732" s="19"/>
      <c r="BH2732" s="19"/>
      <c r="BI2732" s="19"/>
      <c r="BJ2732" s="19"/>
      <c r="BK2732" s="19"/>
      <c r="BL2732" s="19"/>
      <c r="BM2732" s="19"/>
      <c r="BN2732" s="19"/>
      <c r="BO2732" s="19"/>
      <c r="BP2732" s="19"/>
      <c r="BQ2732" s="19"/>
      <c r="BR2732" s="19"/>
      <c r="BS2732" s="19"/>
      <c r="BT2732" s="19"/>
      <c r="BU2732" s="19"/>
      <c r="BV2732" s="19"/>
      <c r="BW2732" s="19"/>
      <c r="BX2732" s="19"/>
      <c r="BY2732" s="19"/>
      <c r="BZ2732" s="19"/>
      <c r="CA2732" s="19"/>
      <c r="CB2732" s="19"/>
      <c r="CC2732" s="19"/>
      <c r="CD2732" s="139"/>
      <c r="CE2732" s="138"/>
      <c r="CF2732" s="139"/>
      <c r="CG2732" s="138"/>
      <c r="CH2732" s="139"/>
      <c r="CI2732" s="138"/>
      <c r="CJ2732" s="72"/>
      <c r="CK2732" s="139"/>
      <c r="CL2732" s="71"/>
      <c r="CM2732" s="139"/>
      <c r="CN2732" s="138"/>
      <c r="CO2732" s="138"/>
      <c r="CP2732" s="138"/>
      <c r="CQ2732" s="139"/>
      <c r="CR2732" s="138"/>
      <c r="CS2732" s="45"/>
      <c r="CT2732" s="138"/>
      <c r="CU2732" s="45"/>
      <c r="CV2732" s="99">
        <f t="shared" si="267"/>
        <v>0</v>
      </c>
      <c r="CW2732" s="139"/>
      <c r="CX2732" s="138"/>
      <c r="CY2732" s="138"/>
      <c r="CZ2732" s="138"/>
      <c r="DA2732" s="139"/>
      <c r="DB2732" s="138"/>
      <c r="DC2732" s="45"/>
      <c r="DD2732" s="138"/>
      <c r="DE2732" s="45"/>
      <c r="DF2732" s="46"/>
    </row>
    <row r="2733" spans="1:110" s="42" customFormat="1" ht="72" x14ac:dyDescent="0.2">
      <c r="A2733" s="89">
        <v>40869</v>
      </c>
      <c r="B2733" s="151" t="s">
        <v>4344</v>
      </c>
      <c r="C2733" s="90" t="s">
        <v>4231</v>
      </c>
      <c r="D2733" s="90" t="s">
        <v>2362</v>
      </c>
      <c r="E2733" s="90" t="str">
        <f>VLOOKUP(B2733&amp;C2733,Divipola!$C$2:$F$1138,4,FALSE)</f>
        <v>25290</v>
      </c>
      <c r="F2733" s="4"/>
      <c r="G2733" s="101"/>
      <c r="H2733" s="101"/>
      <c r="I2733" s="101"/>
      <c r="J2733" s="101">
        <v>8</v>
      </c>
      <c r="K2733" s="101">
        <v>2</v>
      </c>
      <c r="L2733" s="101">
        <v>2</v>
      </c>
      <c r="M2733" s="101"/>
      <c r="N2733" s="101">
        <v>1</v>
      </c>
      <c r="O2733" s="101"/>
      <c r="P2733" s="101"/>
      <c r="Q2733" s="101"/>
      <c r="R2733" s="101"/>
      <c r="S2733" s="101"/>
      <c r="T2733" s="101"/>
      <c r="U2733" s="101"/>
      <c r="V2733" s="101"/>
      <c r="W2733" s="19"/>
      <c r="X2733" s="17"/>
      <c r="Y2733" s="5">
        <f t="shared" si="262"/>
        <v>0</v>
      </c>
      <c r="Z2733" s="5">
        <f t="shared" si="263"/>
        <v>0</v>
      </c>
      <c r="AA2733" s="5">
        <f t="shared" si="264"/>
        <v>0</v>
      </c>
      <c r="AB2733" s="5">
        <f t="shared" si="265"/>
        <v>0</v>
      </c>
      <c r="AC2733" s="5"/>
      <c r="AD2733" s="5">
        <v>0</v>
      </c>
      <c r="AE2733" s="5">
        <f t="shared" si="266"/>
        <v>0</v>
      </c>
      <c r="AF2733" s="70">
        <v>0</v>
      </c>
      <c r="AG2733" s="17"/>
      <c r="AH2733" s="18"/>
      <c r="AI2733" s="47" t="s">
        <v>4336</v>
      </c>
      <c r="AJ2733" s="73" t="s">
        <v>4337</v>
      </c>
      <c r="AK2733" s="45"/>
      <c r="AL2733" s="17"/>
      <c r="AM2733" s="121" t="s">
        <v>5112</v>
      </c>
      <c r="AN2733" s="19"/>
      <c r="AO2733" s="19"/>
      <c r="AP2733" s="19"/>
      <c r="AQ2733" s="19"/>
      <c r="AR2733" s="19"/>
      <c r="AS2733" s="19"/>
      <c r="AT2733" s="19"/>
      <c r="AU2733" s="19"/>
      <c r="AV2733" s="19"/>
      <c r="AW2733" s="19"/>
      <c r="AX2733" s="19"/>
      <c r="AY2733" s="19"/>
      <c r="AZ2733" s="19"/>
      <c r="BA2733" s="19"/>
      <c r="BB2733" s="19"/>
      <c r="BC2733" s="19"/>
      <c r="BD2733" s="19"/>
      <c r="BE2733" s="19"/>
      <c r="BF2733" s="19"/>
      <c r="BG2733" s="19"/>
      <c r="BH2733" s="19"/>
      <c r="BI2733" s="19"/>
      <c r="BJ2733" s="19"/>
      <c r="BK2733" s="19"/>
      <c r="BL2733" s="19"/>
      <c r="BM2733" s="19"/>
      <c r="BN2733" s="19"/>
      <c r="BO2733" s="19"/>
      <c r="BP2733" s="19"/>
      <c r="BQ2733" s="19"/>
      <c r="BR2733" s="19"/>
      <c r="BS2733" s="19"/>
      <c r="BT2733" s="19"/>
      <c r="BU2733" s="19"/>
      <c r="BV2733" s="19"/>
      <c r="BW2733" s="19"/>
      <c r="BX2733" s="19"/>
      <c r="BY2733" s="19"/>
      <c r="BZ2733" s="19"/>
      <c r="CA2733" s="19"/>
      <c r="CB2733" s="19"/>
      <c r="CC2733" s="19"/>
      <c r="CD2733" s="139"/>
      <c r="CE2733" s="138"/>
      <c r="CF2733" s="139"/>
      <c r="CG2733" s="138"/>
      <c r="CH2733" s="139"/>
      <c r="CI2733" s="138"/>
      <c r="CJ2733" s="72"/>
      <c r="CK2733" s="139"/>
      <c r="CL2733" s="71"/>
      <c r="CM2733" s="139"/>
      <c r="CN2733" s="138"/>
      <c r="CO2733" s="138"/>
      <c r="CP2733" s="138"/>
      <c r="CQ2733" s="139"/>
      <c r="CR2733" s="138"/>
      <c r="CS2733" s="45"/>
      <c r="CT2733" s="138"/>
      <c r="CU2733" s="45"/>
      <c r="CV2733" s="99">
        <f t="shared" si="267"/>
        <v>0</v>
      </c>
      <c r="CW2733" s="139"/>
      <c r="CX2733" s="138"/>
      <c r="CY2733" s="138"/>
      <c r="CZ2733" s="138"/>
      <c r="DA2733" s="139"/>
      <c r="DB2733" s="138"/>
      <c r="DC2733" s="45"/>
      <c r="DD2733" s="138"/>
      <c r="DE2733" s="45"/>
      <c r="DF2733" s="46"/>
    </row>
    <row r="2734" spans="1:110" s="42" customFormat="1" ht="84" x14ac:dyDescent="0.2">
      <c r="A2734" s="89">
        <v>40869</v>
      </c>
      <c r="B2734" s="151" t="s">
        <v>4344</v>
      </c>
      <c r="C2734" s="90" t="s">
        <v>2206</v>
      </c>
      <c r="D2734" s="90" t="s">
        <v>4264</v>
      </c>
      <c r="E2734" s="90" t="str">
        <f>VLOOKUP(B2734&amp;C2734,Divipola!$C$2:$F$1138,4,FALSE)</f>
        <v>25035</v>
      </c>
      <c r="F2734" s="4"/>
      <c r="G2734" s="101"/>
      <c r="H2734" s="101"/>
      <c r="I2734" s="101"/>
      <c r="J2734" s="101">
        <v>28</v>
      </c>
      <c r="K2734" s="101">
        <v>7</v>
      </c>
      <c r="L2734" s="101"/>
      <c r="M2734" s="101">
        <v>3</v>
      </c>
      <c r="N2734" s="101">
        <v>1</v>
      </c>
      <c r="O2734" s="101">
        <v>1</v>
      </c>
      <c r="P2734" s="101"/>
      <c r="Q2734" s="101">
        <v>1</v>
      </c>
      <c r="R2734" s="101"/>
      <c r="S2734" s="101"/>
      <c r="T2734" s="101"/>
      <c r="U2734" s="101"/>
      <c r="V2734" s="101"/>
      <c r="W2734" s="19"/>
      <c r="X2734" s="17"/>
      <c r="Y2734" s="5">
        <f t="shared" si="262"/>
        <v>0</v>
      </c>
      <c r="Z2734" s="5">
        <f t="shared" si="263"/>
        <v>0</v>
      </c>
      <c r="AA2734" s="5">
        <f t="shared" si="264"/>
        <v>0</v>
      </c>
      <c r="AB2734" s="5">
        <f t="shared" si="265"/>
        <v>0</v>
      </c>
      <c r="AC2734" s="5"/>
      <c r="AD2734" s="5">
        <v>0</v>
      </c>
      <c r="AE2734" s="5">
        <f t="shared" si="266"/>
        <v>0</v>
      </c>
      <c r="AF2734" s="70">
        <v>0</v>
      </c>
      <c r="AG2734" s="17"/>
      <c r="AH2734" s="18"/>
      <c r="AI2734" s="47" t="s">
        <v>4336</v>
      </c>
      <c r="AJ2734" s="73" t="s">
        <v>4337</v>
      </c>
      <c r="AK2734" s="45"/>
      <c r="AL2734" s="17"/>
      <c r="AM2734" s="121" t="s">
        <v>5113</v>
      </c>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39"/>
      <c r="CE2734" s="138"/>
      <c r="CF2734" s="139"/>
      <c r="CG2734" s="138"/>
      <c r="CH2734" s="139"/>
      <c r="CI2734" s="138"/>
      <c r="CJ2734" s="72"/>
      <c r="CK2734" s="139"/>
      <c r="CL2734" s="71"/>
      <c r="CM2734" s="139"/>
      <c r="CN2734" s="138"/>
      <c r="CO2734" s="138"/>
      <c r="CP2734" s="138"/>
      <c r="CQ2734" s="139"/>
      <c r="CR2734" s="138"/>
      <c r="CS2734" s="45"/>
      <c r="CT2734" s="138"/>
      <c r="CU2734" s="45"/>
      <c r="CV2734" s="99">
        <f t="shared" si="267"/>
        <v>0</v>
      </c>
      <c r="CW2734" s="139"/>
      <c r="CX2734" s="138"/>
      <c r="CY2734" s="138"/>
      <c r="CZ2734" s="138"/>
      <c r="DA2734" s="139"/>
      <c r="DB2734" s="138"/>
      <c r="DC2734" s="45"/>
      <c r="DD2734" s="138"/>
      <c r="DE2734" s="45"/>
      <c r="DF2734" s="46"/>
    </row>
    <row r="2735" spans="1:110" s="42" customFormat="1" ht="84" x14ac:dyDescent="0.2">
      <c r="A2735" s="89">
        <v>40869</v>
      </c>
      <c r="B2735" s="151" t="s">
        <v>4344</v>
      </c>
      <c r="C2735" s="90" t="s">
        <v>1027</v>
      </c>
      <c r="D2735" s="90" t="s">
        <v>4264</v>
      </c>
      <c r="E2735" s="90" t="str">
        <f>VLOOKUP(B2735&amp;C2735,Divipola!$C$2:$F$1138,4,FALSE)</f>
        <v>25224</v>
      </c>
      <c r="F2735" s="4"/>
      <c r="G2735" s="101"/>
      <c r="H2735" s="101"/>
      <c r="I2735" s="101"/>
      <c r="J2735" s="101">
        <v>8</v>
      </c>
      <c r="K2735" s="101">
        <v>2</v>
      </c>
      <c r="L2735" s="101"/>
      <c r="M2735" s="101">
        <v>2</v>
      </c>
      <c r="N2735" s="101">
        <v>1</v>
      </c>
      <c r="O2735" s="101"/>
      <c r="P2735" s="101"/>
      <c r="Q2735" s="101"/>
      <c r="R2735" s="101"/>
      <c r="S2735" s="101"/>
      <c r="T2735" s="101"/>
      <c r="U2735" s="101"/>
      <c r="V2735" s="101"/>
      <c r="W2735" s="19"/>
      <c r="X2735" s="17"/>
      <c r="Y2735" s="5">
        <f t="shared" si="262"/>
        <v>0</v>
      </c>
      <c r="Z2735" s="5">
        <f t="shared" si="263"/>
        <v>0</v>
      </c>
      <c r="AA2735" s="5">
        <f t="shared" si="264"/>
        <v>0</v>
      </c>
      <c r="AB2735" s="5">
        <f t="shared" si="265"/>
        <v>0</v>
      </c>
      <c r="AC2735" s="5"/>
      <c r="AD2735" s="5">
        <v>0</v>
      </c>
      <c r="AE2735" s="5">
        <f t="shared" si="266"/>
        <v>0</v>
      </c>
      <c r="AF2735" s="70">
        <v>0</v>
      </c>
      <c r="AG2735" s="17"/>
      <c r="AH2735" s="18"/>
      <c r="AI2735" s="47" t="s">
        <v>4336</v>
      </c>
      <c r="AJ2735" s="73" t="s">
        <v>4337</v>
      </c>
      <c r="AK2735" s="45"/>
      <c r="AL2735" s="17"/>
      <c r="AM2735" s="121" t="s">
        <v>5115</v>
      </c>
      <c r="AN2735" s="19"/>
      <c r="AO2735" s="19"/>
      <c r="AP2735" s="19"/>
      <c r="AQ2735" s="19"/>
      <c r="AR2735" s="19"/>
      <c r="AS2735" s="19"/>
      <c r="AT2735" s="19"/>
      <c r="AU2735" s="19"/>
      <c r="AV2735" s="19"/>
      <c r="AW2735" s="19"/>
      <c r="AX2735" s="19"/>
      <c r="AY2735" s="19"/>
      <c r="AZ2735" s="19"/>
      <c r="BA2735" s="19"/>
      <c r="BB2735" s="19"/>
      <c r="BC2735" s="19"/>
      <c r="BD2735" s="19"/>
      <c r="BE2735" s="19"/>
      <c r="BF2735" s="19"/>
      <c r="BG2735" s="19"/>
      <c r="BH2735" s="19"/>
      <c r="BI2735" s="19"/>
      <c r="BJ2735" s="19"/>
      <c r="BK2735" s="19"/>
      <c r="BL2735" s="19"/>
      <c r="BM2735" s="19"/>
      <c r="BN2735" s="19"/>
      <c r="BO2735" s="19"/>
      <c r="BP2735" s="19"/>
      <c r="BQ2735" s="19"/>
      <c r="BR2735" s="19"/>
      <c r="BS2735" s="19"/>
      <c r="BT2735" s="19"/>
      <c r="BU2735" s="19"/>
      <c r="BV2735" s="19"/>
      <c r="BW2735" s="19"/>
      <c r="BX2735" s="19"/>
      <c r="BY2735" s="19"/>
      <c r="BZ2735" s="19"/>
      <c r="CA2735" s="19"/>
      <c r="CB2735" s="19"/>
      <c r="CC2735" s="19"/>
      <c r="CD2735" s="139"/>
      <c r="CE2735" s="138"/>
      <c r="CF2735" s="139"/>
      <c r="CG2735" s="138"/>
      <c r="CH2735" s="139"/>
      <c r="CI2735" s="138"/>
      <c r="CJ2735" s="72"/>
      <c r="CK2735" s="139"/>
      <c r="CL2735" s="71"/>
      <c r="CM2735" s="139"/>
      <c r="CN2735" s="138"/>
      <c r="CO2735" s="138"/>
      <c r="CP2735" s="138"/>
      <c r="CQ2735" s="139"/>
      <c r="CR2735" s="138"/>
      <c r="CS2735" s="45"/>
      <c r="CT2735" s="138"/>
      <c r="CU2735" s="45"/>
      <c r="CV2735" s="99">
        <f t="shared" si="267"/>
        <v>0</v>
      </c>
      <c r="CW2735" s="139"/>
      <c r="CX2735" s="138"/>
      <c r="CY2735" s="138"/>
      <c r="CZ2735" s="138"/>
      <c r="DA2735" s="139"/>
      <c r="DB2735" s="138"/>
      <c r="DC2735" s="45"/>
      <c r="DD2735" s="138"/>
      <c r="DE2735" s="45"/>
      <c r="DF2735" s="46"/>
    </row>
    <row r="2736" spans="1:110" s="42" customFormat="1" ht="108" x14ac:dyDescent="0.2">
      <c r="A2736" s="89">
        <v>40869</v>
      </c>
      <c r="B2736" s="151" t="s">
        <v>4219</v>
      </c>
      <c r="C2736" s="90" t="s">
        <v>209</v>
      </c>
      <c r="D2736" s="90" t="s">
        <v>2362</v>
      </c>
      <c r="E2736" s="90" t="str">
        <f>VLOOKUP(B2736&amp;C2736,Divipola!$C$2:$F$1138,4,FALSE)</f>
        <v>41206</v>
      </c>
      <c r="F2736" s="4"/>
      <c r="G2736" s="101"/>
      <c r="H2736" s="101"/>
      <c r="I2736" s="101"/>
      <c r="J2736" s="101">
        <v>9</v>
      </c>
      <c r="K2736" s="101">
        <v>1</v>
      </c>
      <c r="L2736" s="101">
        <v>1</v>
      </c>
      <c r="M2736" s="101"/>
      <c r="N2736" s="101">
        <v>1</v>
      </c>
      <c r="O2736" s="101"/>
      <c r="P2736" s="101"/>
      <c r="Q2736" s="101"/>
      <c r="R2736" s="101"/>
      <c r="S2736" s="101"/>
      <c r="T2736" s="101"/>
      <c r="U2736" s="101"/>
      <c r="V2736" s="101">
        <v>8</v>
      </c>
      <c r="W2736" s="19"/>
      <c r="X2736" s="17"/>
      <c r="Y2736" s="5">
        <f t="shared" si="262"/>
        <v>0</v>
      </c>
      <c r="Z2736" s="5">
        <f t="shared" si="263"/>
        <v>0</v>
      </c>
      <c r="AA2736" s="5">
        <f t="shared" si="264"/>
        <v>0</v>
      </c>
      <c r="AB2736" s="5">
        <f t="shared" si="265"/>
        <v>0</v>
      </c>
      <c r="AC2736" s="5"/>
      <c r="AD2736" s="5">
        <v>0</v>
      </c>
      <c r="AE2736" s="5">
        <f t="shared" si="266"/>
        <v>0</v>
      </c>
      <c r="AF2736" s="70">
        <v>0</v>
      </c>
      <c r="AG2736" s="17"/>
      <c r="AH2736" s="18"/>
      <c r="AI2736" s="47" t="s">
        <v>4346</v>
      </c>
      <c r="AJ2736" s="73" t="s">
        <v>4347</v>
      </c>
      <c r="AK2736" s="45"/>
      <c r="AL2736" s="89" t="s">
        <v>2798</v>
      </c>
      <c r="AM2736" s="121" t="s">
        <v>5099</v>
      </c>
      <c r="AN2736" s="19"/>
      <c r="AO2736" s="19"/>
      <c r="AP2736" s="19"/>
      <c r="AQ2736" s="19"/>
      <c r="AR2736" s="19"/>
      <c r="AS2736" s="19"/>
      <c r="AT2736" s="19"/>
      <c r="AU2736" s="19"/>
      <c r="AV2736" s="19"/>
      <c r="AW2736" s="19"/>
      <c r="AX2736" s="19"/>
      <c r="AY2736" s="19"/>
      <c r="AZ2736" s="19"/>
      <c r="BA2736" s="19"/>
      <c r="BB2736" s="19"/>
      <c r="BC2736" s="19"/>
      <c r="BD2736" s="19"/>
      <c r="BE2736" s="19"/>
      <c r="BF2736" s="19"/>
      <c r="BG2736" s="19"/>
      <c r="BH2736" s="19"/>
      <c r="BI2736" s="19"/>
      <c r="BJ2736" s="19"/>
      <c r="BK2736" s="19"/>
      <c r="BL2736" s="19"/>
      <c r="BM2736" s="19"/>
      <c r="BN2736" s="19"/>
      <c r="BO2736" s="19"/>
      <c r="BP2736" s="19"/>
      <c r="BQ2736" s="19"/>
      <c r="BR2736" s="19"/>
      <c r="BS2736" s="19"/>
      <c r="BT2736" s="19"/>
      <c r="BU2736" s="19"/>
      <c r="BV2736" s="19"/>
      <c r="BW2736" s="19"/>
      <c r="BX2736" s="19"/>
      <c r="BY2736" s="19"/>
      <c r="BZ2736" s="19"/>
      <c r="CA2736" s="19"/>
      <c r="CB2736" s="19"/>
      <c r="CC2736" s="19"/>
      <c r="CD2736" s="139"/>
      <c r="CE2736" s="138"/>
      <c r="CF2736" s="139"/>
      <c r="CG2736" s="138"/>
      <c r="CH2736" s="139"/>
      <c r="CI2736" s="138"/>
      <c r="CJ2736" s="72"/>
      <c r="CK2736" s="139"/>
      <c r="CL2736" s="71"/>
      <c r="CM2736" s="139"/>
      <c r="CN2736" s="138"/>
      <c r="CO2736" s="138"/>
      <c r="CP2736" s="138"/>
      <c r="CQ2736" s="139"/>
      <c r="CR2736" s="138"/>
      <c r="CS2736" s="45"/>
      <c r="CT2736" s="138"/>
      <c r="CU2736" s="45"/>
      <c r="CV2736" s="99">
        <f t="shared" si="267"/>
        <v>0</v>
      </c>
      <c r="CW2736" s="139"/>
      <c r="CX2736" s="138"/>
      <c r="CY2736" s="138"/>
      <c r="CZ2736" s="138"/>
      <c r="DA2736" s="139"/>
      <c r="DB2736" s="138"/>
      <c r="DC2736" s="45"/>
      <c r="DD2736" s="138"/>
      <c r="DE2736" s="45"/>
      <c r="DF2736" s="46"/>
    </row>
    <row r="2737" spans="1:110" s="42" customFormat="1" ht="48" x14ac:dyDescent="0.2">
      <c r="A2737" s="89">
        <v>40869</v>
      </c>
      <c r="B2737" s="151" t="s">
        <v>4350</v>
      </c>
      <c r="C2737" s="90" t="s">
        <v>4351</v>
      </c>
      <c r="D2737" s="90" t="s">
        <v>2362</v>
      </c>
      <c r="E2737" s="90" t="str">
        <f>VLOOKUP(B2737&amp;C2737,Divipola!$C$2:$F$1138,4,FALSE)</f>
        <v>63001</v>
      </c>
      <c r="F2737" s="4"/>
      <c r="G2737" s="101"/>
      <c r="H2737" s="101"/>
      <c r="I2737" s="101"/>
      <c r="J2737" s="101">
        <v>9</v>
      </c>
      <c r="K2737" s="101">
        <v>2</v>
      </c>
      <c r="L2737" s="101">
        <v>1</v>
      </c>
      <c r="M2737" s="101">
        <v>1</v>
      </c>
      <c r="N2737" s="101"/>
      <c r="O2737" s="101"/>
      <c r="P2737" s="101"/>
      <c r="Q2737" s="101"/>
      <c r="R2737" s="101"/>
      <c r="S2737" s="101"/>
      <c r="T2737" s="101"/>
      <c r="U2737" s="101"/>
      <c r="V2737" s="101"/>
      <c r="W2737" s="19"/>
      <c r="X2737" s="17"/>
      <c r="Y2737" s="5">
        <f t="shared" si="262"/>
        <v>0</v>
      </c>
      <c r="Z2737" s="5">
        <f t="shared" si="263"/>
        <v>0</v>
      </c>
      <c r="AA2737" s="5">
        <f t="shared" si="264"/>
        <v>0</v>
      </c>
      <c r="AB2737" s="5">
        <f t="shared" si="265"/>
        <v>0</v>
      </c>
      <c r="AC2737" s="5"/>
      <c r="AD2737" s="5">
        <v>0</v>
      </c>
      <c r="AE2737" s="5">
        <f t="shared" si="266"/>
        <v>0</v>
      </c>
      <c r="AF2737" s="70">
        <v>0</v>
      </c>
      <c r="AG2737" s="17"/>
      <c r="AH2737" s="18"/>
      <c r="AI2737" s="47" t="s">
        <v>4346</v>
      </c>
      <c r="AJ2737" s="73" t="s">
        <v>4347</v>
      </c>
      <c r="AK2737" s="45"/>
      <c r="AL2737" s="17" t="s">
        <v>5051</v>
      </c>
      <c r="AM2737" s="121" t="s">
        <v>5100</v>
      </c>
      <c r="AN2737" s="19"/>
      <c r="AO2737" s="19"/>
      <c r="AP2737" s="19"/>
      <c r="AQ2737" s="19"/>
      <c r="AR2737" s="19"/>
      <c r="AS2737" s="19"/>
      <c r="AT2737" s="19"/>
      <c r="AU2737" s="19"/>
      <c r="AV2737" s="19"/>
      <c r="AW2737" s="19"/>
      <c r="AX2737" s="19"/>
      <c r="AY2737" s="19"/>
      <c r="AZ2737" s="19"/>
      <c r="BA2737" s="19"/>
      <c r="BB2737" s="19"/>
      <c r="BC2737" s="19"/>
      <c r="BD2737" s="19"/>
      <c r="BE2737" s="19"/>
      <c r="BF2737" s="19"/>
      <c r="BG2737" s="19"/>
      <c r="BH2737" s="19"/>
      <c r="BI2737" s="19"/>
      <c r="BJ2737" s="19"/>
      <c r="BK2737" s="19"/>
      <c r="BL2737" s="19"/>
      <c r="BM2737" s="19"/>
      <c r="BN2737" s="19"/>
      <c r="BO2737" s="19"/>
      <c r="BP2737" s="19"/>
      <c r="BQ2737" s="19"/>
      <c r="BR2737" s="19"/>
      <c r="BS2737" s="19"/>
      <c r="BT2737" s="19"/>
      <c r="BU2737" s="19"/>
      <c r="BV2737" s="19"/>
      <c r="BW2737" s="19"/>
      <c r="BX2737" s="19"/>
      <c r="BY2737" s="19"/>
      <c r="BZ2737" s="19"/>
      <c r="CA2737" s="19"/>
      <c r="CB2737" s="19"/>
      <c r="CC2737" s="19"/>
      <c r="CD2737" s="139"/>
      <c r="CE2737" s="138"/>
      <c r="CF2737" s="139"/>
      <c r="CG2737" s="138"/>
      <c r="CH2737" s="139"/>
      <c r="CI2737" s="138"/>
      <c r="CJ2737" s="72"/>
      <c r="CK2737" s="139"/>
      <c r="CL2737" s="71"/>
      <c r="CM2737" s="139"/>
      <c r="CN2737" s="138"/>
      <c r="CO2737" s="138"/>
      <c r="CP2737" s="138"/>
      <c r="CQ2737" s="139"/>
      <c r="CR2737" s="138"/>
      <c r="CS2737" s="45"/>
      <c r="CT2737" s="138"/>
      <c r="CU2737" s="45"/>
      <c r="CV2737" s="99">
        <f t="shared" si="267"/>
        <v>0</v>
      </c>
      <c r="CW2737" s="139"/>
      <c r="CX2737" s="138"/>
      <c r="CY2737" s="138"/>
      <c r="CZ2737" s="138"/>
      <c r="DA2737" s="139"/>
      <c r="DB2737" s="138"/>
      <c r="DC2737" s="45"/>
      <c r="DD2737" s="138"/>
      <c r="DE2737" s="45"/>
      <c r="DF2737" s="46"/>
    </row>
    <row r="2738" spans="1:110" s="42" customFormat="1" ht="36" x14ac:dyDescent="0.2">
      <c r="A2738" s="89">
        <v>40869</v>
      </c>
      <c r="B2738" s="151" t="s">
        <v>4350</v>
      </c>
      <c r="C2738" s="90" t="s">
        <v>4351</v>
      </c>
      <c r="D2738" s="90" t="s">
        <v>2362</v>
      </c>
      <c r="E2738" s="90" t="str">
        <f>VLOOKUP(B2738&amp;C2738,Divipola!$C$2:$F$1138,4,FALSE)</f>
        <v>63001</v>
      </c>
      <c r="F2738" s="4"/>
      <c r="G2738" s="101"/>
      <c r="H2738" s="101"/>
      <c r="I2738" s="101"/>
      <c r="J2738" s="101">
        <v>5</v>
      </c>
      <c r="K2738" s="101">
        <v>1</v>
      </c>
      <c r="L2738" s="101"/>
      <c r="M2738" s="101">
        <v>1</v>
      </c>
      <c r="N2738" s="101"/>
      <c r="O2738" s="101"/>
      <c r="P2738" s="101"/>
      <c r="Q2738" s="101"/>
      <c r="R2738" s="101"/>
      <c r="S2738" s="101"/>
      <c r="T2738" s="101"/>
      <c r="U2738" s="101"/>
      <c r="V2738" s="101"/>
      <c r="W2738" s="19"/>
      <c r="X2738" s="17"/>
      <c r="Y2738" s="5">
        <f t="shared" si="262"/>
        <v>0</v>
      </c>
      <c r="Z2738" s="5">
        <f t="shared" si="263"/>
        <v>0</v>
      </c>
      <c r="AA2738" s="5">
        <f t="shared" si="264"/>
        <v>0</v>
      </c>
      <c r="AB2738" s="5">
        <f t="shared" si="265"/>
        <v>0</v>
      </c>
      <c r="AC2738" s="5"/>
      <c r="AD2738" s="5">
        <v>0</v>
      </c>
      <c r="AE2738" s="5">
        <f t="shared" si="266"/>
        <v>0</v>
      </c>
      <c r="AF2738" s="70">
        <v>0</v>
      </c>
      <c r="AG2738" s="17"/>
      <c r="AH2738" s="18"/>
      <c r="AI2738" s="47" t="s">
        <v>4346</v>
      </c>
      <c r="AJ2738" s="73" t="s">
        <v>4347</v>
      </c>
      <c r="AK2738" s="45"/>
      <c r="AL2738" s="17" t="s">
        <v>5051</v>
      </c>
      <c r="AM2738" s="121" t="s">
        <v>5105</v>
      </c>
      <c r="AN2738" s="19"/>
      <c r="AO2738" s="19"/>
      <c r="AP2738" s="19"/>
      <c r="AQ2738" s="19"/>
      <c r="AR2738" s="19"/>
      <c r="AS2738" s="19"/>
      <c r="AT2738" s="19"/>
      <c r="AU2738" s="19"/>
      <c r="AV2738" s="19"/>
      <c r="AW2738" s="19"/>
      <c r="AX2738" s="19"/>
      <c r="AY2738" s="19"/>
      <c r="AZ2738" s="19"/>
      <c r="BA2738" s="19"/>
      <c r="BB2738" s="19"/>
      <c r="BC2738" s="19"/>
      <c r="BD2738" s="19"/>
      <c r="BE2738" s="19"/>
      <c r="BF2738" s="19"/>
      <c r="BG2738" s="19"/>
      <c r="BH2738" s="19"/>
      <c r="BI2738" s="19"/>
      <c r="BJ2738" s="19"/>
      <c r="BK2738" s="19"/>
      <c r="BL2738" s="19"/>
      <c r="BM2738" s="19"/>
      <c r="BN2738" s="19"/>
      <c r="BO2738" s="19"/>
      <c r="BP2738" s="19"/>
      <c r="BQ2738" s="19"/>
      <c r="BR2738" s="19"/>
      <c r="BS2738" s="19"/>
      <c r="BT2738" s="19"/>
      <c r="BU2738" s="19"/>
      <c r="BV2738" s="19"/>
      <c r="BW2738" s="19"/>
      <c r="BX2738" s="19"/>
      <c r="BY2738" s="19"/>
      <c r="BZ2738" s="19"/>
      <c r="CA2738" s="19"/>
      <c r="CB2738" s="19"/>
      <c r="CC2738" s="19"/>
      <c r="CD2738" s="139"/>
      <c r="CE2738" s="138"/>
      <c r="CF2738" s="139"/>
      <c r="CG2738" s="138"/>
      <c r="CH2738" s="139"/>
      <c r="CI2738" s="138"/>
      <c r="CJ2738" s="72"/>
      <c r="CK2738" s="139"/>
      <c r="CL2738" s="71"/>
      <c r="CM2738" s="139"/>
      <c r="CN2738" s="138"/>
      <c r="CO2738" s="138"/>
      <c r="CP2738" s="138"/>
      <c r="CQ2738" s="139"/>
      <c r="CR2738" s="138"/>
      <c r="CS2738" s="45"/>
      <c r="CT2738" s="138"/>
      <c r="CU2738" s="45"/>
      <c r="CV2738" s="99">
        <f t="shared" si="267"/>
        <v>0</v>
      </c>
      <c r="CW2738" s="139"/>
      <c r="CX2738" s="138"/>
      <c r="CY2738" s="138"/>
      <c r="CZ2738" s="138"/>
      <c r="DA2738" s="139"/>
      <c r="DB2738" s="138"/>
      <c r="DC2738" s="45"/>
      <c r="DD2738" s="138"/>
      <c r="DE2738" s="45"/>
      <c r="DF2738" s="46"/>
    </row>
    <row r="2739" spans="1:110" s="42" customFormat="1" ht="36" x14ac:dyDescent="0.2">
      <c r="A2739" s="89">
        <v>40869</v>
      </c>
      <c r="B2739" s="151" t="s">
        <v>3316</v>
      </c>
      <c r="C2739" s="90" t="s">
        <v>805</v>
      </c>
      <c r="D2739" s="90" t="s">
        <v>2362</v>
      </c>
      <c r="E2739" s="90" t="str">
        <f>VLOOKUP(B2739&amp;C2739,Divipola!$C$2:$F$1138,4,FALSE)</f>
        <v>73347</v>
      </c>
      <c r="F2739" s="4"/>
      <c r="G2739" s="101">
        <v>1</v>
      </c>
      <c r="H2739" s="101">
        <v>1</v>
      </c>
      <c r="I2739" s="101"/>
      <c r="J2739" s="101">
        <v>5</v>
      </c>
      <c r="K2739" s="101">
        <v>1</v>
      </c>
      <c r="L2739" s="101">
        <v>1</v>
      </c>
      <c r="M2739" s="101"/>
      <c r="N2739" s="101"/>
      <c r="O2739" s="101"/>
      <c r="P2739" s="101"/>
      <c r="Q2739" s="101"/>
      <c r="R2739" s="101"/>
      <c r="S2739" s="101"/>
      <c r="T2739" s="101"/>
      <c r="U2739" s="101"/>
      <c r="V2739" s="101"/>
      <c r="W2739" s="19"/>
      <c r="X2739" s="17"/>
      <c r="Y2739" s="5">
        <f t="shared" si="262"/>
        <v>0</v>
      </c>
      <c r="Z2739" s="5">
        <f t="shared" si="263"/>
        <v>0</v>
      </c>
      <c r="AA2739" s="5">
        <f t="shared" si="264"/>
        <v>0</v>
      </c>
      <c r="AB2739" s="5">
        <f t="shared" si="265"/>
        <v>0</v>
      </c>
      <c r="AC2739" s="5"/>
      <c r="AD2739" s="5">
        <v>0</v>
      </c>
      <c r="AE2739" s="5">
        <f t="shared" si="266"/>
        <v>0</v>
      </c>
      <c r="AF2739" s="70">
        <v>0</v>
      </c>
      <c r="AG2739" s="17"/>
      <c r="AH2739" s="18"/>
      <c r="AI2739" s="47" t="s">
        <v>4346</v>
      </c>
      <c r="AJ2739" s="73" t="s">
        <v>4347</v>
      </c>
      <c r="AK2739" s="45"/>
      <c r="AL2739" s="17" t="s">
        <v>5534</v>
      </c>
      <c r="AM2739" s="121" t="s">
        <v>5104</v>
      </c>
      <c r="AN2739" s="19"/>
      <c r="AO2739" s="19"/>
      <c r="AP2739" s="19"/>
      <c r="AQ2739" s="19"/>
      <c r="AR2739" s="19"/>
      <c r="AS2739" s="19"/>
      <c r="AT2739" s="19"/>
      <c r="AU2739" s="19"/>
      <c r="AV2739" s="19"/>
      <c r="AW2739" s="19"/>
      <c r="AX2739" s="19"/>
      <c r="AY2739" s="19"/>
      <c r="AZ2739" s="19"/>
      <c r="BA2739" s="19"/>
      <c r="BB2739" s="19"/>
      <c r="BC2739" s="19"/>
      <c r="BD2739" s="19"/>
      <c r="BE2739" s="19"/>
      <c r="BF2739" s="19"/>
      <c r="BG2739" s="19"/>
      <c r="BH2739" s="19"/>
      <c r="BI2739" s="19"/>
      <c r="BJ2739" s="19"/>
      <c r="BK2739" s="19"/>
      <c r="BL2739" s="19"/>
      <c r="BM2739" s="19"/>
      <c r="BN2739" s="19"/>
      <c r="BO2739" s="19"/>
      <c r="BP2739" s="19"/>
      <c r="BQ2739" s="19"/>
      <c r="BR2739" s="19"/>
      <c r="BS2739" s="19"/>
      <c r="BT2739" s="19"/>
      <c r="BU2739" s="19"/>
      <c r="BV2739" s="19"/>
      <c r="BW2739" s="19"/>
      <c r="BX2739" s="19"/>
      <c r="BY2739" s="19"/>
      <c r="BZ2739" s="19"/>
      <c r="CA2739" s="19"/>
      <c r="CB2739" s="19"/>
      <c r="CC2739" s="19"/>
      <c r="CD2739" s="139"/>
      <c r="CE2739" s="138"/>
      <c r="CF2739" s="139"/>
      <c r="CG2739" s="138"/>
      <c r="CH2739" s="139"/>
      <c r="CI2739" s="138"/>
      <c r="CJ2739" s="72"/>
      <c r="CK2739" s="139"/>
      <c r="CL2739" s="71"/>
      <c r="CM2739" s="139"/>
      <c r="CN2739" s="138"/>
      <c r="CO2739" s="138"/>
      <c r="CP2739" s="138"/>
      <c r="CQ2739" s="139"/>
      <c r="CR2739" s="138"/>
      <c r="CS2739" s="45"/>
      <c r="CT2739" s="138"/>
      <c r="CU2739" s="45"/>
      <c r="CV2739" s="99">
        <f t="shared" si="267"/>
        <v>0</v>
      </c>
      <c r="CW2739" s="139"/>
      <c r="CX2739" s="138"/>
      <c r="CY2739" s="138"/>
      <c r="CZ2739" s="138"/>
      <c r="DA2739" s="139"/>
      <c r="DB2739" s="138"/>
      <c r="DC2739" s="45"/>
      <c r="DD2739" s="138"/>
      <c r="DE2739" s="45"/>
      <c r="DF2739" s="46"/>
    </row>
    <row r="2740" spans="1:110" s="42" customFormat="1" ht="60" x14ac:dyDescent="0.2">
      <c r="A2740" s="89">
        <v>40869</v>
      </c>
      <c r="B2740" s="151" t="s">
        <v>4244</v>
      </c>
      <c r="C2740" s="90" t="s">
        <v>3157</v>
      </c>
      <c r="D2740" s="90" t="s">
        <v>4264</v>
      </c>
      <c r="E2740" s="90" t="str">
        <f>VLOOKUP(B2740&amp;C2740,Divipola!$C$2:$F$1138,4,FALSE)</f>
        <v>76122</v>
      </c>
      <c r="F2740" s="4"/>
      <c r="G2740" s="101"/>
      <c r="H2740" s="101"/>
      <c r="I2740" s="101"/>
      <c r="J2740" s="101">
        <v>18</v>
      </c>
      <c r="K2740" s="101">
        <v>5</v>
      </c>
      <c r="L2740" s="101"/>
      <c r="M2740" s="101">
        <v>5</v>
      </c>
      <c r="N2740" s="101"/>
      <c r="O2740" s="101"/>
      <c r="P2740" s="101"/>
      <c r="Q2740" s="101"/>
      <c r="R2740" s="101"/>
      <c r="S2740" s="101"/>
      <c r="T2740" s="101"/>
      <c r="U2740" s="101"/>
      <c r="V2740" s="101"/>
      <c r="W2740" s="19"/>
      <c r="X2740" s="17"/>
      <c r="Y2740" s="5">
        <f t="shared" si="262"/>
        <v>0</v>
      </c>
      <c r="Z2740" s="5">
        <f t="shared" si="263"/>
        <v>0</v>
      </c>
      <c r="AA2740" s="5">
        <f t="shared" si="264"/>
        <v>0</v>
      </c>
      <c r="AB2740" s="5">
        <f t="shared" si="265"/>
        <v>0</v>
      </c>
      <c r="AC2740" s="5"/>
      <c r="AD2740" s="5">
        <v>0</v>
      </c>
      <c r="AE2740" s="5">
        <f t="shared" si="266"/>
        <v>0</v>
      </c>
      <c r="AF2740" s="70">
        <v>0</v>
      </c>
      <c r="AG2740" s="17"/>
      <c r="AH2740" s="18"/>
      <c r="AI2740" s="47" t="s">
        <v>4346</v>
      </c>
      <c r="AJ2740" s="73" t="s">
        <v>4347</v>
      </c>
      <c r="AK2740" s="45"/>
      <c r="AL2740" s="89" t="s">
        <v>2798</v>
      </c>
      <c r="AM2740" s="121" t="s">
        <v>5097</v>
      </c>
      <c r="AN2740" s="19"/>
      <c r="AO2740" s="19"/>
      <c r="AP2740" s="19"/>
      <c r="AQ2740" s="19"/>
      <c r="AR2740" s="19"/>
      <c r="AS2740" s="19"/>
      <c r="AT2740" s="19"/>
      <c r="AU2740" s="19"/>
      <c r="AV2740" s="19"/>
      <c r="AW2740" s="19"/>
      <c r="AX2740" s="19"/>
      <c r="AY2740" s="19"/>
      <c r="AZ2740" s="19"/>
      <c r="BA2740" s="19"/>
      <c r="BB2740" s="19"/>
      <c r="BC2740" s="19"/>
      <c r="BD2740" s="19"/>
      <c r="BE2740" s="19"/>
      <c r="BF2740" s="19"/>
      <c r="BG2740" s="19"/>
      <c r="BH2740" s="19"/>
      <c r="BI2740" s="19"/>
      <c r="BJ2740" s="19"/>
      <c r="BK2740" s="19"/>
      <c r="BL2740" s="19"/>
      <c r="BM2740" s="19"/>
      <c r="BN2740" s="19"/>
      <c r="BO2740" s="19"/>
      <c r="BP2740" s="19"/>
      <c r="BQ2740" s="19"/>
      <c r="BR2740" s="19"/>
      <c r="BS2740" s="19"/>
      <c r="BT2740" s="19"/>
      <c r="BU2740" s="19"/>
      <c r="BV2740" s="19"/>
      <c r="BW2740" s="19"/>
      <c r="BX2740" s="19"/>
      <c r="BY2740" s="19"/>
      <c r="BZ2740" s="19"/>
      <c r="CA2740" s="19"/>
      <c r="CB2740" s="19"/>
      <c r="CC2740" s="19"/>
      <c r="CD2740" s="139"/>
      <c r="CE2740" s="138"/>
      <c r="CF2740" s="139"/>
      <c r="CG2740" s="138"/>
      <c r="CH2740" s="139"/>
      <c r="CI2740" s="138"/>
      <c r="CJ2740" s="72"/>
      <c r="CK2740" s="139"/>
      <c r="CL2740" s="71"/>
      <c r="CM2740" s="139"/>
      <c r="CN2740" s="138"/>
      <c r="CO2740" s="138"/>
      <c r="CP2740" s="138"/>
      <c r="CQ2740" s="139"/>
      <c r="CR2740" s="138"/>
      <c r="CS2740" s="45"/>
      <c r="CT2740" s="138"/>
      <c r="CU2740" s="45"/>
      <c r="CV2740" s="99">
        <f t="shared" si="267"/>
        <v>0</v>
      </c>
      <c r="CW2740" s="139"/>
      <c r="CX2740" s="138"/>
      <c r="CY2740" s="138"/>
      <c r="CZ2740" s="138"/>
      <c r="DA2740" s="139"/>
      <c r="DB2740" s="138"/>
      <c r="DC2740" s="45"/>
      <c r="DD2740" s="138"/>
      <c r="DE2740" s="45"/>
      <c r="DF2740" s="46"/>
    </row>
    <row r="2741" spans="1:110" s="42" customFormat="1" ht="48" x14ac:dyDescent="0.2">
      <c r="A2741" s="89">
        <v>40869</v>
      </c>
      <c r="B2741" s="151" t="s">
        <v>860</v>
      </c>
      <c r="C2741" s="90" t="s">
        <v>424</v>
      </c>
      <c r="D2741" s="90" t="s">
        <v>4264</v>
      </c>
      <c r="E2741" s="90" t="str">
        <f>VLOOKUP(B2741&amp;C2741,Divipola!$C$2:$F$1138,4,FALSE)</f>
        <v>50606</v>
      </c>
      <c r="F2741" s="4"/>
      <c r="G2741" s="101"/>
      <c r="H2741" s="101"/>
      <c r="I2741" s="101"/>
      <c r="J2741" s="101">
        <v>20</v>
      </c>
      <c r="K2741" s="101">
        <v>4</v>
      </c>
      <c r="L2741" s="101"/>
      <c r="M2741" s="101">
        <v>4</v>
      </c>
      <c r="N2741" s="101"/>
      <c r="O2741" s="101"/>
      <c r="P2741" s="101"/>
      <c r="Q2741" s="101"/>
      <c r="R2741" s="101"/>
      <c r="S2741" s="101"/>
      <c r="T2741" s="101"/>
      <c r="U2741" s="101"/>
      <c r="V2741" s="101"/>
      <c r="W2741" s="19"/>
      <c r="X2741" s="17"/>
      <c r="Y2741" s="5">
        <f t="shared" si="262"/>
        <v>0</v>
      </c>
      <c r="Z2741" s="5">
        <f t="shared" si="263"/>
        <v>0</v>
      </c>
      <c r="AA2741" s="5">
        <f t="shared" si="264"/>
        <v>0</v>
      </c>
      <c r="AB2741" s="5">
        <f t="shared" si="265"/>
        <v>0</v>
      </c>
      <c r="AC2741" s="5"/>
      <c r="AD2741" s="5">
        <v>0</v>
      </c>
      <c r="AE2741" s="5">
        <f t="shared" si="266"/>
        <v>0</v>
      </c>
      <c r="AF2741" s="70">
        <v>0</v>
      </c>
      <c r="AG2741" s="17"/>
      <c r="AH2741" s="18"/>
      <c r="AI2741" s="47" t="s">
        <v>4336</v>
      </c>
      <c r="AJ2741" s="73" t="s">
        <v>4337</v>
      </c>
      <c r="AK2741" s="45"/>
      <c r="AL2741" s="17"/>
      <c r="AM2741" s="121" t="s">
        <v>5125</v>
      </c>
      <c r="AN2741" s="19"/>
      <c r="AO2741" s="19"/>
      <c r="AP2741" s="19"/>
      <c r="AQ2741" s="19"/>
      <c r="AR2741" s="19"/>
      <c r="AS2741" s="19"/>
      <c r="AT2741" s="19"/>
      <c r="AU2741" s="19"/>
      <c r="AV2741" s="19"/>
      <c r="AW2741" s="19"/>
      <c r="AX2741" s="19"/>
      <c r="AY2741" s="19"/>
      <c r="AZ2741" s="19"/>
      <c r="BA2741" s="19"/>
      <c r="BB2741" s="19"/>
      <c r="BC2741" s="19"/>
      <c r="BD2741" s="19"/>
      <c r="BE2741" s="19"/>
      <c r="BF2741" s="19"/>
      <c r="BG2741" s="19"/>
      <c r="BH2741" s="19"/>
      <c r="BI2741" s="19"/>
      <c r="BJ2741" s="19"/>
      <c r="BK2741" s="19"/>
      <c r="BL2741" s="19"/>
      <c r="BM2741" s="19"/>
      <c r="BN2741" s="19"/>
      <c r="BO2741" s="19"/>
      <c r="BP2741" s="19"/>
      <c r="BQ2741" s="19"/>
      <c r="BR2741" s="19"/>
      <c r="BS2741" s="19"/>
      <c r="BT2741" s="19"/>
      <c r="BU2741" s="19"/>
      <c r="BV2741" s="19"/>
      <c r="BW2741" s="19"/>
      <c r="BX2741" s="19"/>
      <c r="BY2741" s="19"/>
      <c r="BZ2741" s="19"/>
      <c r="CA2741" s="19"/>
      <c r="CB2741" s="19"/>
      <c r="CC2741" s="19"/>
      <c r="CD2741" s="139"/>
      <c r="CE2741" s="138"/>
      <c r="CF2741" s="139"/>
      <c r="CG2741" s="138"/>
      <c r="CH2741" s="139"/>
      <c r="CI2741" s="138"/>
      <c r="CJ2741" s="72"/>
      <c r="CK2741" s="139"/>
      <c r="CL2741" s="71"/>
      <c r="CM2741" s="139"/>
      <c r="CN2741" s="138"/>
      <c r="CO2741" s="138"/>
      <c r="CP2741" s="138"/>
      <c r="CQ2741" s="139"/>
      <c r="CR2741" s="138"/>
      <c r="CS2741" s="45"/>
      <c r="CT2741" s="138"/>
      <c r="CU2741" s="45"/>
      <c r="CV2741" s="99">
        <f t="shared" si="267"/>
        <v>0</v>
      </c>
      <c r="CW2741" s="139"/>
      <c r="CX2741" s="138"/>
      <c r="CY2741" s="138"/>
      <c r="CZ2741" s="138"/>
      <c r="DA2741" s="139"/>
      <c r="DB2741" s="138"/>
      <c r="DC2741" s="45"/>
      <c r="DD2741" s="138"/>
      <c r="DE2741" s="45"/>
      <c r="DF2741" s="46"/>
    </row>
    <row r="2742" spans="1:110" s="42" customFormat="1" ht="48" x14ac:dyDescent="0.2">
      <c r="A2742" s="89">
        <v>40869</v>
      </c>
      <c r="B2742" s="197" t="s">
        <v>1116</v>
      </c>
      <c r="C2742" s="90" t="s">
        <v>1116</v>
      </c>
      <c r="D2742" s="90" t="s">
        <v>2362</v>
      </c>
      <c r="E2742" s="90" t="str">
        <f>VLOOKUP(B2742&amp;C2742,Divipola!$C$2:$F$1138,4,FALSE)</f>
        <v>11001</v>
      </c>
      <c r="F2742" s="4"/>
      <c r="G2742" s="101"/>
      <c r="H2742" s="101"/>
      <c r="I2742" s="101"/>
      <c r="J2742" s="101">
        <v>342</v>
      </c>
      <c r="K2742" s="101">
        <v>79</v>
      </c>
      <c r="L2742" s="101"/>
      <c r="M2742" s="101">
        <v>79</v>
      </c>
      <c r="N2742" s="101"/>
      <c r="O2742" s="101"/>
      <c r="P2742" s="101"/>
      <c r="Q2742" s="101"/>
      <c r="R2742" s="101"/>
      <c r="S2742" s="101"/>
      <c r="T2742" s="101"/>
      <c r="U2742" s="101"/>
      <c r="V2742" s="101"/>
      <c r="W2742" s="19"/>
      <c r="X2742" s="17"/>
      <c r="Y2742" s="5">
        <f t="shared" si="262"/>
        <v>0</v>
      </c>
      <c r="Z2742" s="5">
        <f t="shared" si="263"/>
        <v>0</v>
      </c>
      <c r="AA2742" s="5">
        <f t="shared" si="264"/>
        <v>0</v>
      </c>
      <c r="AB2742" s="5">
        <f t="shared" si="265"/>
        <v>0</v>
      </c>
      <c r="AC2742" s="5"/>
      <c r="AD2742" s="5">
        <v>0</v>
      </c>
      <c r="AE2742" s="5">
        <f t="shared" si="266"/>
        <v>0</v>
      </c>
      <c r="AF2742" s="70">
        <v>0</v>
      </c>
      <c r="AG2742" s="17"/>
      <c r="AH2742" s="18"/>
      <c r="AI2742" s="47" t="s">
        <v>4336</v>
      </c>
      <c r="AJ2742" s="73" t="s">
        <v>4337</v>
      </c>
      <c r="AK2742" s="45"/>
      <c r="AL2742" s="17"/>
      <c r="AM2742" s="121" t="s">
        <v>5126</v>
      </c>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39"/>
      <c r="CE2742" s="138"/>
      <c r="CF2742" s="139"/>
      <c r="CG2742" s="138"/>
      <c r="CH2742" s="139"/>
      <c r="CI2742" s="138"/>
      <c r="CJ2742" s="72"/>
      <c r="CK2742" s="139"/>
      <c r="CL2742" s="71"/>
      <c r="CM2742" s="139"/>
      <c r="CN2742" s="138"/>
      <c r="CO2742" s="138"/>
      <c r="CP2742" s="138"/>
      <c r="CQ2742" s="139"/>
      <c r="CR2742" s="138"/>
      <c r="CS2742" s="45"/>
      <c r="CT2742" s="138"/>
      <c r="CU2742" s="45"/>
      <c r="CV2742" s="99">
        <f t="shared" si="267"/>
        <v>0</v>
      </c>
      <c r="CW2742" s="139"/>
      <c r="CX2742" s="138"/>
      <c r="CY2742" s="138"/>
      <c r="CZ2742" s="138"/>
      <c r="DA2742" s="139"/>
      <c r="DB2742" s="138"/>
      <c r="DC2742" s="45"/>
      <c r="DD2742" s="138"/>
      <c r="DE2742" s="45"/>
      <c r="DF2742" s="46"/>
    </row>
    <row r="2743" spans="1:110" s="42" customFormat="1" x14ac:dyDescent="0.2">
      <c r="A2743" s="89">
        <v>40869</v>
      </c>
      <c r="B2743" s="151" t="s">
        <v>4326</v>
      </c>
      <c r="C2743" s="90" t="s">
        <v>4345</v>
      </c>
      <c r="D2743" s="90" t="s">
        <v>4264</v>
      </c>
      <c r="E2743" s="90">
        <f>VLOOKUP(B2743&amp;C2743,Divipola!$C$2:$F$1138,4,FALSE)</f>
        <v>8</v>
      </c>
      <c r="F2743" s="4"/>
      <c r="G2743" s="208"/>
      <c r="H2743" s="208"/>
      <c r="I2743" s="208"/>
      <c r="J2743" s="208"/>
      <c r="K2743" s="208"/>
      <c r="L2743" s="208"/>
      <c r="M2743" s="208"/>
      <c r="N2743" s="208"/>
      <c r="O2743" s="208"/>
      <c r="P2743" s="208"/>
      <c r="Q2743" s="208"/>
      <c r="R2743" s="208"/>
      <c r="S2743" s="208"/>
      <c r="T2743" s="208"/>
      <c r="U2743" s="208"/>
      <c r="V2743" s="208"/>
      <c r="W2743" s="19"/>
      <c r="X2743" s="17"/>
      <c r="Y2743" s="5">
        <f t="shared" si="262"/>
        <v>421748300</v>
      </c>
      <c r="Z2743" s="5">
        <f t="shared" si="263"/>
        <v>212500000</v>
      </c>
      <c r="AA2743" s="5">
        <f t="shared" si="264"/>
        <v>0</v>
      </c>
      <c r="AB2743" s="5">
        <f t="shared" si="265"/>
        <v>0</v>
      </c>
      <c r="AC2743" s="5"/>
      <c r="AD2743" s="5">
        <v>0</v>
      </c>
      <c r="AE2743" s="5">
        <f t="shared" si="266"/>
        <v>634248300</v>
      </c>
      <c r="AF2743" s="70">
        <v>0</v>
      </c>
      <c r="AG2743" s="17"/>
      <c r="AH2743" s="18"/>
      <c r="AI2743" s="47" t="s">
        <v>4346</v>
      </c>
      <c r="AJ2743" s="73" t="s">
        <v>4347</v>
      </c>
      <c r="AK2743" s="45"/>
      <c r="AL2743" s="17"/>
      <c r="AM2743" s="20"/>
      <c r="AN2743" s="19"/>
      <c r="AO2743" s="19"/>
      <c r="AP2743" s="19"/>
      <c r="AQ2743" s="19"/>
      <c r="AR2743" s="19"/>
      <c r="AS2743" s="19"/>
      <c r="AT2743" s="19"/>
      <c r="AU2743" s="19"/>
      <c r="AV2743" s="19"/>
      <c r="AW2743" s="19"/>
      <c r="AX2743" s="19"/>
      <c r="AY2743" s="19"/>
      <c r="AZ2743" s="19">
        <v>2500</v>
      </c>
      <c r="BA2743" s="19">
        <f>1250*56000+1250*56000</f>
        <v>140000000</v>
      </c>
      <c r="BB2743" s="19"/>
      <c r="BC2743" s="19"/>
      <c r="BD2743" s="19"/>
      <c r="BE2743" s="19"/>
      <c r="BF2743" s="19"/>
      <c r="BG2743" s="19"/>
      <c r="BH2743" s="19"/>
      <c r="BI2743" s="19"/>
      <c r="BJ2743" s="19"/>
      <c r="BK2743" s="19"/>
      <c r="BL2743" s="19"/>
      <c r="BM2743" s="19"/>
      <c r="BN2743" s="19"/>
      <c r="BO2743" s="19"/>
      <c r="BP2743" s="19"/>
      <c r="BQ2743" s="19"/>
      <c r="BR2743" s="19"/>
      <c r="BS2743" s="19"/>
      <c r="BT2743" s="19"/>
      <c r="BU2743" s="19"/>
      <c r="BV2743" s="19"/>
      <c r="BW2743" s="19"/>
      <c r="BX2743" s="19"/>
      <c r="BY2743" s="19"/>
      <c r="BZ2743" s="19"/>
      <c r="CA2743" s="19"/>
      <c r="CB2743" s="19"/>
      <c r="CC2743" s="19"/>
      <c r="CD2743" s="139"/>
      <c r="CE2743" s="138"/>
      <c r="CF2743" s="139"/>
      <c r="CG2743" s="138"/>
      <c r="CH2743" s="139">
        <v>2500</v>
      </c>
      <c r="CI2743" s="138">
        <f>1250*18000+1250*17999.72</f>
        <v>44999650</v>
      </c>
      <c r="CJ2743" s="72"/>
      <c r="CK2743" s="139"/>
      <c r="CL2743" s="71"/>
      <c r="CM2743" s="139"/>
      <c r="CN2743" s="138">
        <v>2500</v>
      </c>
      <c r="CO2743" s="138">
        <f>1250*18000+1250*17999.72</f>
        <v>44999650</v>
      </c>
      <c r="CP2743" s="138">
        <v>2500</v>
      </c>
      <c r="CQ2743" s="139">
        <f>1250*37000+1250*36999.36</f>
        <v>92499200</v>
      </c>
      <c r="CR2743" s="138">
        <v>2500</v>
      </c>
      <c r="CS2743" s="45">
        <f>1250*39700+1250*39699.84</f>
        <v>99249800</v>
      </c>
      <c r="CT2743" s="138"/>
      <c r="CU2743" s="45"/>
      <c r="CV2743" s="99">
        <f t="shared" si="267"/>
        <v>421748300</v>
      </c>
      <c r="CW2743" s="139"/>
      <c r="CX2743" s="138"/>
      <c r="CY2743" s="138">
        <v>2500</v>
      </c>
      <c r="CZ2743" s="138">
        <f>1250*85000+1250*85000</f>
        <v>212500000</v>
      </c>
      <c r="DA2743" s="139"/>
      <c r="DB2743" s="138"/>
      <c r="DC2743" s="45"/>
      <c r="DD2743" s="138"/>
      <c r="DE2743" s="45"/>
      <c r="DF2743" s="46"/>
    </row>
    <row r="2744" spans="1:110" s="42" customFormat="1" ht="48" x14ac:dyDescent="0.2">
      <c r="A2744" s="89">
        <v>40869</v>
      </c>
      <c r="B2744" s="16" t="s">
        <v>3533</v>
      </c>
      <c r="C2744" s="16" t="s">
        <v>1415</v>
      </c>
      <c r="D2744" s="16" t="s">
        <v>2362</v>
      </c>
      <c r="E2744" s="90" t="str">
        <f>VLOOKUP(B2744&amp;C2744,Divipola!$C$2:$F$1138,4,FALSE)</f>
        <v>17665</v>
      </c>
      <c r="F2744" s="4"/>
      <c r="G2744" s="208"/>
      <c r="H2744" s="208"/>
      <c r="I2744" s="208"/>
      <c r="J2744" s="208"/>
      <c r="K2744" s="208"/>
      <c r="L2744" s="208"/>
      <c r="M2744" s="208">
        <v>5</v>
      </c>
      <c r="N2744" s="208"/>
      <c r="O2744" s="208"/>
      <c r="P2744" s="208"/>
      <c r="Q2744" s="208"/>
      <c r="R2744" s="208"/>
      <c r="S2744" s="208"/>
      <c r="T2744" s="208"/>
      <c r="U2744" s="208"/>
      <c r="V2744" s="208"/>
      <c r="W2744" s="19"/>
      <c r="X2744" s="17"/>
      <c r="Y2744" s="5">
        <f t="shared" si="262"/>
        <v>0</v>
      </c>
      <c r="Z2744" s="5">
        <f t="shared" si="263"/>
        <v>0</v>
      </c>
      <c r="AA2744" s="5">
        <f t="shared" si="264"/>
        <v>0</v>
      </c>
      <c r="AB2744" s="5">
        <f t="shared" si="265"/>
        <v>0</v>
      </c>
      <c r="AC2744" s="5"/>
      <c r="AD2744" s="5">
        <v>0</v>
      </c>
      <c r="AE2744" s="5">
        <f t="shared" si="266"/>
        <v>0</v>
      </c>
      <c r="AF2744" s="70">
        <v>0</v>
      </c>
      <c r="AG2744" s="17"/>
      <c r="AH2744" s="18"/>
      <c r="AI2744" s="47" t="s">
        <v>4336</v>
      </c>
      <c r="AJ2744" s="73" t="s">
        <v>4337</v>
      </c>
      <c r="AK2744" s="45"/>
      <c r="AL2744" s="17"/>
      <c r="AM2744" s="20" t="s">
        <v>5146</v>
      </c>
      <c r="AN2744" s="19"/>
      <c r="AO2744" s="19"/>
      <c r="AP2744" s="19"/>
      <c r="AQ2744" s="19"/>
      <c r="AR2744" s="19"/>
      <c r="AS2744" s="19"/>
      <c r="AT2744" s="19"/>
      <c r="AU2744" s="19"/>
      <c r="AV2744" s="19"/>
      <c r="AW2744" s="19"/>
      <c r="AX2744" s="19"/>
      <c r="AY2744" s="19"/>
      <c r="AZ2744" s="19"/>
      <c r="BA2744" s="19"/>
      <c r="BB2744" s="19"/>
      <c r="BC2744" s="19"/>
      <c r="BD2744" s="19"/>
      <c r="BE2744" s="19"/>
      <c r="BF2744" s="19"/>
      <c r="BG2744" s="19"/>
      <c r="BH2744" s="19"/>
      <c r="BI2744" s="19"/>
      <c r="BJ2744" s="19"/>
      <c r="BK2744" s="19"/>
      <c r="BL2744" s="19"/>
      <c r="BM2744" s="19"/>
      <c r="BN2744" s="19"/>
      <c r="BO2744" s="19"/>
      <c r="BP2744" s="19"/>
      <c r="BQ2744" s="19"/>
      <c r="BR2744" s="19"/>
      <c r="BS2744" s="19"/>
      <c r="BT2744" s="19"/>
      <c r="BU2744" s="19"/>
      <c r="BV2744" s="19"/>
      <c r="BW2744" s="19"/>
      <c r="BX2744" s="19"/>
      <c r="BY2744" s="19"/>
      <c r="BZ2744" s="19"/>
      <c r="CA2744" s="19"/>
      <c r="CB2744" s="19"/>
      <c r="CC2744" s="19"/>
      <c r="CD2744" s="139"/>
      <c r="CE2744" s="138"/>
      <c r="CF2744" s="139"/>
      <c r="CG2744" s="138"/>
      <c r="CH2744" s="139"/>
      <c r="CI2744" s="138"/>
      <c r="CJ2744" s="72"/>
      <c r="CK2744" s="139"/>
      <c r="CL2744" s="71"/>
      <c r="CM2744" s="139"/>
      <c r="CN2744" s="138"/>
      <c r="CO2744" s="138"/>
      <c r="CP2744" s="138"/>
      <c r="CQ2744" s="139"/>
      <c r="CR2744" s="138"/>
      <c r="CS2744" s="45"/>
      <c r="CT2744" s="138"/>
      <c r="CU2744" s="45"/>
      <c r="CV2744" s="99">
        <f t="shared" si="267"/>
        <v>0</v>
      </c>
      <c r="CW2744" s="139"/>
      <c r="CX2744" s="138"/>
      <c r="CY2744" s="138"/>
      <c r="CZ2744" s="138"/>
      <c r="DA2744" s="139"/>
      <c r="DB2744" s="138"/>
      <c r="DC2744" s="45"/>
      <c r="DD2744" s="138"/>
      <c r="DE2744" s="45"/>
      <c r="DF2744" s="46"/>
    </row>
    <row r="2745" spans="1:110" s="42" customFormat="1" ht="60" x14ac:dyDescent="0.2">
      <c r="A2745" s="89">
        <v>40869</v>
      </c>
      <c r="B2745" s="151" t="s">
        <v>4282</v>
      </c>
      <c r="C2745" s="90" t="s">
        <v>1611</v>
      </c>
      <c r="D2745" s="90" t="s">
        <v>4264</v>
      </c>
      <c r="E2745" s="90" t="str">
        <f>VLOOKUP(B2745&amp;C2745,Divipola!$C$2:$F$1138,4,FALSE)</f>
        <v>23466</v>
      </c>
      <c r="F2745" s="4"/>
      <c r="G2745" s="101"/>
      <c r="H2745" s="101"/>
      <c r="I2745" s="101"/>
      <c r="J2745" s="101">
        <v>2425</v>
      </c>
      <c r="K2745" s="101">
        <v>485</v>
      </c>
      <c r="L2745" s="101"/>
      <c r="M2745" s="101">
        <v>485</v>
      </c>
      <c r="N2745" s="101"/>
      <c r="O2745" s="101"/>
      <c r="P2745" s="101"/>
      <c r="Q2745" s="101"/>
      <c r="R2745" s="101"/>
      <c r="S2745" s="101"/>
      <c r="T2745" s="101"/>
      <c r="U2745" s="101"/>
      <c r="V2745" s="101"/>
      <c r="W2745" s="19"/>
      <c r="X2745" s="17"/>
      <c r="Y2745" s="5">
        <f t="shared" si="262"/>
        <v>0</v>
      </c>
      <c r="Z2745" s="5">
        <f t="shared" si="263"/>
        <v>0</v>
      </c>
      <c r="AA2745" s="5">
        <f t="shared" si="264"/>
        <v>0</v>
      </c>
      <c r="AB2745" s="5">
        <f t="shared" si="265"/>
        <v>0</v>
      </c>
      <c r="AC2745" s="5"/>
      <c r="AD2745" s="5">
        <v>0</v>
      </c>
      <c r="AE2745" s="5">
        <f t="shared" si="266"/>
        <v>0</v>
      </c>
      <c r="AF2745" s="70">
        <v>0</v>
      </c>
      <c r="AG2745" s="17"/>
      <c r="AH2745" s="18"/>
      <c r="AI2745" s="47" t="s">
        <v>4346</v>
      </c>
      <c r="AJ2745" s="73" t="s">
        <v>4347</v>
      </c>
      <c r="AK2745" s="45"/>
      <c r="AL2745" s="89" t="s">
        <v>2798</v>
      </c>
      <c r="AM2745" s="121" t="s">
        <v>5165</v>
      </c>
      <c r="AN2745" s="19"/>
      <c r="AO2745" s="19"/>
      <c r="AP2745" s="19"/>
      <c r="AQ2745" s="19"/>
      <c r="AR2745" s="19"/>
      <c r="AS2745" s="19"/>
      <c r="AT2745" s="19"/>
      <c r="AU2745" s="19"/>
      <c r="AV2745" s="19"/>
      <c r="AW2745" s="19"/>
      <c r="AX2745" s="19"/>
      <c r="AY2745" s="19"/>
      <c r="AZ2745" s="19"/>
      <c r="BA2745" s="19"/>
      <c r="BB2745" s="19"/>
      <c r="BC2745" s="19"/>
      <c r="BD2745" s="19"/>
      <c r="BE2745" s="19"/>
      <c r="BF2745" s="19"/>
      <c r="BG2745" s="19"/>
      <c r="BH2745" s="19"/>
      <c r="BI2745" s="19"/>
      <c r="BJ2745" s="19"/>
      <c r="BK2745" s="19"/>
      <c r="BL2745" s="19"/>
      <c r="BM2745" s="19"/>
      <c r="BN2745" s="19"/>
      <c r="BO2745" s="19"/>
      <c r="BP2745" s="19"/>
      <c r="BQ2745" s="19"/>
      <c r="BR2745" s="19"/>
      <c r="BS2745" s="19"/>
      <c r="BT2745" s="19"/>
      <c r="BU2745" s="19"/>
      <c r="BV2745" s="19"/>
      <c r="BW2745" s="19"/>
      <c r="BX2745" s="19"/>
      <c r="BY2745" s="19"/>
      <c r="BZ2745" s="19"/>
      <c r="CA2745" s="19"/>
      <c r="CB2745" s="19"/>
      <c r="CC2745" s="19"/>
      <c r="CD2745" s="139"/>
      <c r="CE2745" s="138"/>
      <c r="CF2745" s="139"/>
      <c r="CG2745" s="138"/>
      <c r="CH2745" s="139"/>
      <c r="CI2745" s="138"/>
      <c r="CJ2745" s="72"/>
      <c r="CK2745" s="139"/>
      <c r="CL2745" s="71"/>
      <c r="CM2745" s="139"/>
      <c r="CN2745" s="138"/>
      <c r="CO2745" s="138"/>
      <c r="CP2745" s="138"/>
      <c r="CQ2745" s="139"/>
      <c r="CR2745" s="138"/>
      <c r="CS2745" s="45"/>
      <c r="CT2745" s="138"/>
      <c r="CU2745" s="45"/>
      <c r="CV2745" s="99">
        <f t="shared" si="267"/>
        <v>0</v>
      </c>
      <c r="CW2745" s="139"/>
      <c r="CX2745" s="138"/>
      <c r="CY2745" s="138"/>
      <c r="CZ2745" s="138"/>
      <c r="DA2745" s="139"/>
      <c r="DB2745" s="138"/>
      <c r="DC2745" s="45"/>
      <c r="DD2745" s="138"/>
      <c r="DE2745" s="45"/>
      <c r="DF2745" s="46"/>
    </row>
    <row r="2746" spans="1:110" s="42" customFormat="1" ht="36" x14ac:dyDescent="0.2">
      <c r="A2746" s="89">
        <v>40869</v>
      </c>
      <c r="B2746" s="151" t="s">
        <v>4282</v>
      </c>
      <c r="C2746" s="90" t="s">
        <v>854</v>
      </c>
      <c r="D2746" s="90" t="s">
        <v>4264</v>
      </c>
      <c r="E2746" s="90" t="str">
        <f>VLOOKUP(B2746&amp;C2746,Divipola!$C$2:$F$1138,4,FALSE)</f>
        <v>23068</v>
      </c>
      <c r="F2746" s="4"/>
      <c r="G2746" s="101"/>
      <c r="H2746" s="101"/>
      <c r="I2746" s="101"/>
      <c r="J2746" s="101">
        <v>23500</v>
      </c>
      <c r="K2746" s="101">
        <v>4700</v>
      </c>
      <c r="L2746" s="101"/>
      <c r="M2746" s="101">
        <v>4700</v>
      </c>
      <c r="N2746" s="101"/>
      <c r="O2746" s="101"/>
      <c r="P2746" s="101"/>
      <c r="Q2746" s="101"/>
      <c r="R2746" s="101"/>
      <c r="S2746" s="101"/>
      <c r="T2746" s="101"/>
      <c r="U2746" s="101"/>
      <c r="V2746" s="101"/>
      <c r="W2746" s="19"/>
      <c r="X2746" s="17"/>
      <c r="Y2746" s="5">
        <f t="shared" si="262"/>
        <v>0</v>
      </c>
      <c r="Z2746" s="5">
        <f t="shared" si="263"/>
        <v>0</v>
      </c>
      <c r="AA2746" s="5">
        <f t="shared" si="264"/>
        <v>0</v>
      </c>
      <c r="AB2746" s="5">
        <f t="shared" si="265"/>
        <v>0</v>
      </c>
      <c r="AC2746" s="5"/>
      <c r="AD2746" s="5">
        <v>0</v>
      </c>
      <c r="AE2746" s="5">
        <f t="shared" si="266"/>
        <v>0</v>
      </c>
      <c r="AF2746" s="70">
        <v>0</v>
      </c>
      <c r="AG2746" s="17"/>
      <c r="AH2746" s="18"/>
      <c r="AI2746" s="47" t="s">
        <v>4346</v>
      </c>
      <c r="AJ2746" s="73" t="s">
        <v>4347</v>
      </c>
      <c r="AK2746" s="45"/>
      <c r="AL2746" s="17" t="s">
        <v>5533</v>
      </c>
      <c r="AM2746" s="121" t="s">
        <v>5166</v>
      </c>
      <c r="AN2746" s="19"/>
      <c r="AO2746" s="19"/>
      <c r="AP2746" s="19"/>
      <c r="AQ2746" s="19"/>
      <c r="AR2746" s="19"/>
      <c r="AS2746" s="19"/>
      <c r="AT2746" s="19"/>
      <c r="AU2746" s="19"/>
      <c r="AV2746" s="19"/>
      <c r="AW2746" s="19"/>
      <c r="AX2746" s="19"/>
      <c r="AY2746" s="19"/>
      <c r="AZ2746" s="19"/>
      <c r="BA2746" s="19"/>
      <c r="BB2746" s="19"/>
      <c r="BC2746" s="19"/>
      <c r="BD2746" s="19"/>
      <c r="BE2746" s="19"/>
      <c r="BF2746" s="19"/>
      <c r="BG2746" s="19"/>
      <c r="BH2746" s="19"/>
      <c r="BI2746" s="19"/>
      <c r="BJ2746" s="19"/>
      <c r="BK2746" s="19"/>
      <c r="BL2746" s="19"/>
      <c r="BM2746" s="19"/>
      <c r="BN2746" s="19"/>
      <c r="BO2746" s="19"/>
      <c r="BP2746" s="19"/>
      <c r="BQ2746" s="19"/>
      <c r="BR2746" s="19"/>
      <c r="BS2746" s="19"/>
      <c r="BT2746" s="19"/>
      <c r="BU2746" s="19"/>
      <c r="BV2746" s="19"/>
      <c r="BW2746" s="19"/>
      <c r="BX2746" s="19"/>
      <c r="BY2746" s="19"/>
      <c r="BZ2746" s="19"/>
      <c r="CA2746" s="19"/>
      <c r="CB2746" s="19"/>
      <c r="CC2746" s="19"/>
      <c r="CD2746" s="139"/>
      <c r="CE2746" s="138"/>
      <c r="CF2746" s="139"/>
      <c r="CG2746" s="138"/>
      <c r="CH2746" s="139"/>
      <c r="CI2746" s="138"/>
      <c r="CJ2746" s="72"/>
      <c r="CK2746" s="139"/>
      <c r="CL2746" s="71"/>
      <c r="CM2746" s="139"/>
      <c r="CN2746" s="138"/>
      <c r="CO2746" s="138"/>
      <c r="CP2746" s="138"/>
      <c r="CQ2746" s="139"/>
      <c r="CR2746" s="138"/>
      <c r="CS2746" s="45"/>
      <c r="CT2746" s="138"/>
      <c r="CU2746" s="45"/>
      <c r="CV2746" s="99">
        <f t="shared" si="267"/>
        <v>0</v>
      </c>
      <c r="CW2746" s="139"/>
      <c r="CX2746" s="138"/>
      <c r="CY2746" s="138"/>
      <c r="CZ2746" s="138"/>
      <c r="DA2746" s="139"/>
      <c r="DB2746" s="138"/>
      <c r="DC2746" s="45"/>
      <c r="DD2746" s="138"/>
      <c r="DE2746" s="45"/>
      <c r="DF2746" s="46"/>
    </row>
    <row r="2747" spans="1:110" s="42" customFormat="1" ht="36" x14ac:dyDescent="0.2">
      <c r="A2747" s="89">
        <v>40869</v>
      </c>
      <c r="B2747" s="151" t="s">
        <v>4282</v>
      </c>
      <c r="C2747" s="90" t="s">
        <v>2203</v>
      </c>
      <c r="D2747" s="90" t="s">
        <v>4264</v>
      </c>
      <c r="E2747" s="90" t="str">
        <f>VLOOKUP(B2747&amp;C2747,Divipola!$C$2:$F$1138,4,FALSE)</f>
        <v>23079</v>
      </c>
      <c r="F2747" s="4"/>
      <c r="G2747" s="101"/>
      <c r="H2747" s="101"/>
      <c r="I2747" s="101"/>
      <c r="J2747" s="101"/>
      <c r="K2747" s="101"/>
      <c r="L2747" s="101"/>
      <c r="M2747" s="101"/>
      <c r="N2747" s="101"/>
      <c r="O2747" s="101"/>
      <c r="P2747" s="101"/>
      <c r="Q2747" s="101"/>
      <c r="R2747" s="101"/>
      <c r="S2747" s="101"/>
      <c r="T2747" s="101"/>
      <c r="U2747" s="101"/>
      <c r="V2747" s="101"/>
      <c r="W2747" s="19"/>
      <c r="X2747" s="17"/>
      <c r="Y2747" s="5">
        <f t="shared" si="262"/>
        <v>0</v>
      </c>
      <c r="Z2747" s="5">
        <f t="shared" si="263"/>
        <v>0</v>
      </c>
      <c r="AA2747" s="5">
        <f t="shared" si="264"/>
        <v>0</v>
      </c>
      <c r="AB2747" s="5">
        <f t="shared" si="265"/>
        <v>0</v>
      </c>
      <c r="AC2747" s="5"/>
      <c r="AD2747" s="5">
        <v>0</v>
      </c>
      <c r="AE2747" s="5">
        <f t="shared" si="266"/>
        <v>0</v>
      </c>
      <c r="AF2747" s="70">
        <v>0</v>
      </c>
      <c r="AG2747" s="17"/>
      <c r="AH2747" s="18"/>
      <c r="AI2747" s="47" t="s">
        <v>4346</v>
      </c>
      <c r="AJ2747" s="73" t="s">
        <v>4347</v>
      </c>
      <c r="AK2747" s="45"/>
      <c r="AL2747" s="17" t="s">
        <v>5533</v>
      </c>
      <c r="AM2747" s="121" t="s">
        <v>5167</v>
      </c>
      <c r="AN2747" s="19"/>
      <c r="AO2747" s="19"/>
      <c r="AP2747" s="19"/>
      <c r="AQ2747" s="19"/>
      <c r="AR2747" s="19"/>
      <c r="AS2747" s="19"/>
      <c r="AT2747" s="19"/>
      <c r="AU2747" s="19"/>
      <c r="AV2747" s="19"/>
      <c r="AW2747" s="19"/>
      <c r="AX2747" s="19"/>
      <c r="AY2747" s="19"/>
      <c r="AZ2747" s="19"/>
      <c r="BA2747" s="19"/>
      <c r="BB2747" s="19"/>
      <c r="BC2747" s="19"/>
      <c r="BD2747" s="19"/>
      <c r="BE2747" s="19"/>
      <c r="BF2747" s="19"/>
      <c r="BG2747" s="19"/>
      <c r="BH2747" s="19"/>
      <c r="BI2747" s="19"/>
      <c r="BJ2747" s="19"/>
      <c r="BK2747" s="19"/>
      <c r="BL2747" s="19"/>
      <c r="BM2747" s="19"/>
      <c r="BN2747" s="19"/>
      <c r="BO2747" s="19"/>
      <c r="BP2747" s="19"/>
      <c r="BQ2747" s="19"/>
      <c r="BR2747" s="19"/>
      <c r="BS2747" s="19"/>
      <c r="BT2747" s="19"/>
      <c r="BU2747" s="19"/>
      <c r="BV2747" s="19"/>
      <c r="BW2747" s="19"/>
      <c r="BX2747" s="19"/>
      <c r="BY2747" s="19"/>
      <c r="BZ2747" s="19"/>
      <c r="CA2747" s="19"/>
      <c r="CB2747" s="19"/>
      <c r="CC2747" s="19"/>
      <c r="CD2747" s="139"/>
      <c r="CE2747" s="138"/>
      <c r="CF2747" s="139"/>
      <c r="CG2747" s="138"/>
      <c r="CH2747" s="139"/>
      <c r="CI2747" s="138"/>
      <c r="CJ2747" s="72"/>
      <c r="CK2747" s="139"/>
      <c r="CL2747" s="71"/>
      <c r="CM2747" s="139"/>
      <c r="CN2747" s="138"/>
      <c r="CO2747" s="138"/>
      <c r="CP2747" s="138"/>
      <c r="CQ2747" s="139"/>
      <c r="CR2747" s="138"/>
      <c r="CS2747" s="45"/>
      <c r="CT2747" s="138"/>
      <c r="CU2747" s="45"/>
      <c r="CV2747" s="99">
        <f t="shared" si="267"/>
        <v>0</v>
      </c>
      <c r="CW2747" s="139"/>
      <c r="CX2747" s="138"/>
      <c r="CY2747" s="138"/>
      <c r="CZ2747" s="138"/>
      <c r="DA2747" s="139"/>
      <c r="DB2747" s="138"/>
      <c r="DC2747" s="45"/>
      <c r="DD2747" s="138"/>
      <c r="DE2747" s="45"/>
      <c r="DF2747" s="46"/>
    </row>
    <row r="2748" spans="1:110" s="42" customFormat="1" ht="36" x14ac:dyDescent="0.2">
      <c r="A2748" s="89">
        <v>40869</v>
      </c>
      <c r="B2748" s="151" t="s">
        <v>4282</v>
      </c>
      <c r="C2748" s="90" t="s">
        <v>3529</v>
      </c>
      <c r="D2748" s="90" t="s">
        <v>4264</v>
      </c>
      <c r="E2748" s="90" t="str">
        <f>VLOOKUP(B2748&amp;C2748,Divipola!$C$2:$F$1138,4,FALSE)</f>
        <v>23350</v>
      </c>
      <c r="F2748" s="4"/>
      <c r="G2748" s="101"/>
      <c r="H2748" s="101"/>
      <c r="I2748" s="101"/>
      <c r="J2748" s="101"/>
      <c r="K2748" s="101"/>
      <c r="L2748" s="101"/>
      <c r="M2748" s="101"/>
      <c r="N2748" s="101"/>
      <c r="O2748" s="101"/>
      <c r="P2748" s="101"/>
      <c r="Q2748" s="101"/>
      <c r="R2748" s="101"/>
      <c r="S2748" s="101"/>
      <c r="T2748" s="101"/>
      <c r="U2748" s="101"/>
      <c r="V2748" s="101"/>
      <c r="W2748" s="19"/>
      <c r="X2748" s="17"/>
      <c r="Y2748" s="5">
        <f t="shared" si="262"/>
        <v>0</v>
      </c>
      <c r="Z2748" s="5">
        <f t="shared" si="263"/>
        <v>0</v>
      </c>
      <c r="AA2748" s="5">
        <f t="shared" si="264"/>
        <v>0</v>
      </c>
      <c r="AB2748" s="5">
        <f t="shared" si="265"/>
        <v>0</v>
      </c>
      <c r="AC2748" s="5"/>
      <c r="AD2748" s="5">
        <v>0</v>
      </c>
      <c r="AE2748" s="5">
        <f t="shared" si="266"/>
        <v>0</v>
      </c>
      <c r="AF2748" s="70">
        <v>0</v>
      </c>
      <c r="AG2748" s="17"/>
      <c r="AH2748" s="18"/>
      <c r="AI2748" s="47" t="s">
        <v>4346</v>
      </c>
      <c r="AJ2748" s="73" t="s">
        <v>4347</v>
      </c>
      <c r="AK2748" s="45"/>
      <c r="AL2748" s="17" t="s">
        <v>5533</v>
      </c>
      <c r="AM2748" s="121" t="s">
        <v>5167</v>
      </c>
      <c r="AN2748" s="19"/>
      <c r="AO2748" s="19"/>
      <c r="AP2748" s="19"/>
      <c r="AQ2748" s="19"/>
      <c r="AR2748" s="19"/>
      <c r="AS2748" s="19"/>
      <c r="AT2748" s="19"/>
      <c r="AU2748" s="19"/>
      <c r="AV2748" s="19"/>
      <c r="AW2748" s="19"/>
      <c r="AX2748" s="19"/>
      <c r="AY2748" s="19"/>
      <c r="AZ2748" s="19"/>
      <c r="BA2748" s="19"/>
      <c r="BB2748" s="19"/>
      <c r="BC2748" s="19"/>
      <c r="BD2748" s="19"/>
      <c r="BE2748" s="19"/>
      <c r="BF2748" s="19"/>
      <c r="BG2748" s="19"/>
      <c r="BH2748" s="19"/>
      <c r="BI2748" s="19"/>
      <c r="BJ2748" s="19"/>
      <c r="BK2748" s="19"/>
      <c r="BL2748" s="19"/>
      <c r="BM2748" s="19"/>
      <c r="BN2748" s="19"/>
      <c r="BO2748" s="19"/>
      <c r="BP2748" s="19"/>
      <c r="BQ2748" s="19"/>
      <c r="BR2748" s="19"/>
      <c r="BS2748" s="19"/>
      <c r="BT2748" s="19"/>
      <c r="BU2748" s="19"/>
      <c r="BV2748" s="19"/>
      <c r="BW2748" s="19"/>
      <c r="BX2748" s="19"/>
      <c r="BY2748" s="19"/>
      <c r="BZ2748" s="19"/>
      <c r="CA2748" s="19"/>
      <c r="CB2748" s="19"/>
      <c r="CC2748" s="19"/>
      <c r="CD2748" s="139"/>
      <c r="CE2748" s="138"/>
      <c r="CF2748" s="139"/>
      <c r="CG2748" s="138"/>
      <c r="CH2748" s="139"/>
      <c r="CI2748" s="138"/>
      <c r="CJ2748" s="72"/>
      <c r="CK2748" s="139"/>
      <c r="CL2748" s="71"/>
      <c r="CM2748" s="139"/>
      <c r="CN2748" s="138"/>
      <c r="CO2748" s="138"/>
      <c r="CP2748" s="138"/>
      <c r="CQ2748" s="139"/>
      <c r="CR2748" s="138"/>
      <c r="CS2748" s="45"/>
      <c r="CT2748" s="138"/>
      <c r="CU2748" s="45"/>
      <c r="CV2748" s="99">
        <f t="shared" si="267"/>
        <v>0</v>
      </c>
      <c r="CW2748" s="139"/>
      <c r="CX2748" s="138"/>
      <c r="CY2748" s="138"/>
      <c r="CZ2748" s="138"/>
      <c r="DA2748" s="139"/>
      <c r="DB2748" s="138"/>
      <c r="DC2748" s="45"/>
      <c r="DD2748" s="138"/>
      <c r="DE2748" s="45"/>
      <c r="DF2748" s="46"/>
    </row>
    <row r="2749" spans="1:110" s="42" customFormat="1" ht="36" x14ac:dyDescent="0.2">
      <c r="A2749" s="89">
        <v>40869</v>
      </c>
      <c r="B2749" s="151" t="s">
        <v>4261</v>
      </c>
      <c r="C2749" s="90" t="s">
        <v>1252</v>
      </c>
      <c r="D2749" s="90" t="s">
        <v>2362</v>
      </c>
      <c r="E2749" s="90" t="str">
        <f>VLOOKUP(B2749&amp;C2749,Divipola!$C$2:$F$1138,4,FALSE)</f>
        <v>15537</v>
      </c>
      <c r="F2749" s="4"/>
      <c r="G2749" s="101"/>
      <c r="H2749" s="101"/>
      <c r="I2749" s="101"/>
      <c r="J2749" s="101">
        <v>100</v>
      </c>
      <c r="K2749" s="101">
        <v>20</v>
      </c>
      <c r="L2749" s="101"/>
      <c r="M2749" s="101">
        <v>20</v>
      </c>
      <c r="N2749" s="101"/>
      <c r="O2749" s="101"/>
      <c r="P2749" s="101"/>
      <c r="Q2749" s="101"/>
      <c r="R2749" s="101"/>
      <c r="S2749" s="101"/>
      <c r="T2749" s="101"/>
      <c r="U2749" s="101"/>
      <c r="V2749" s="101"/>
      <c r="W2749" s="19"/>
      <c r="X2749" s="17"/>
      <c r="Y2749" s="5">
        <f t="shared" si="262"/>
        <v>0</v>
      </c>
      <c r="Z2749" s="5">
        <f t="shared" si="263"/>
        <v>0</v>
      </c>
      <c r="AA2749" s="5">
        <f t="shared" si="264"/>
        <v>0</v>
      </c>
      <c r="AB2749" s="5">
        <f t="shared" si="265"/>
        <v>0</v>
      </c>
      <c r="AC2749" s="5"/>
      <c r="AD2749" s="5">
        <v>0</v>
      </c>
      <c r="AE2749" s="5">
        <f t="shared" si="266"/>
        <v>0</v>
      </c>
      <c r="AF2749" s="70">
        <v>0</v>
      </c>
      <c r="AG2749" s="17"/>
      <c r="AH2749" s="18"/>
      <c r="AI2749" s="47" t="s">
        <v>4346</v>
      </c>
      <c r="AJ2749" s="73" t="s">
        <v>4347</v>
      </c>
      <c r="AK2749" s="45"/>
      <c r="AL2749" s="17" t="s">
        <v>5531</v>
      </c>
      <c r="AM2749" s="121" t="s">
        <v>5203</v>
      </c>
      <c r="AN2749" s="19"/>
      <c r="AO2749" s="19"/>
      <c r="AP2749" s="19"/>
      <c r="AQ2749" s="19"/>
      <c r="AR2749" s="19"/>
      <c r="AS2749" s="19"/>
      <c r="AT2749" s="19"/>
      <c r="AU2749" s="19"/>
      <c r="AV2749" s="19"/>
      <c r="AW2749" s="19"/>
      <c r="AX2749" s="19"/>
      <c r="AY2749" s="19"/>
      <c r="AZ2749" s="19"/>
      <c r="BA2749" s="19"/>
      <c r="BB2749" s="19"/>
      <c r="BC2749" s="19"/>
      <c r="BD2749" s="19"/>
      <c r="BE2749" s="19"/>
      <c r="BF2749" s="19"/>
      <c r="BG2749" s="19"/>
      <c r="BH2749" s="19"/>
      <c r="BI2749" s="19"/>
      <c r="BJ2749" s="19"/>
      <c r="BK2749" s="19"/>
      <c r="BL2749" s="19"/>
      <c r="BM2749" s="19"/>
      <c r="BN2749" s="19"/>
      <c r="BO2749" s="19"/>
      <c r="BP2749" s="19"/>
      <c r="BQ2749" s="19"/>
      <c r="BR2749" s="19"/>
      <c r="BS2749" s="19"/>
      <c r="BT2749" s="19"/>
      <c r="BU2749" s="19"/>
      <c r="BV2749" s="19"/>
      <c r="BW2749" s="19"/>
      <c r="BX2749" s="19"/>
      <c r="BY2749" s="19"/>
      <c r="BZ2749" s="19"/>
      <c r="CA2749" s="19"/>
      <c r="CB2749" s="19"/>
      <c r="CC2749" s="19"/>
      <c r="CD2749" s="139"/>
      <c r="CE2749" s="138"/>
      <c r="CF2749" s="139"/>
      <c r="CG2749" s="138"/>
      <c r="CH2749" s="139"/>
      <c r="CI2749" s="138"/>
      <c r="CJ2749" s="72"/>
      <c r="CK2749" s="139"/>
      <c r="CL2749" s="71"/>
      <c r="CM2749" s="139"/>
      <c r="CN2749" s="138"/>
      <c r="CO2749" s="138"/>
      <c r="CP2749" s="138"/>
      <c r="CQ2749" s="139"/>
      <c r="CR2749" s="138"/>
      <c r="CS2749" s="45"/>
      <c r="CT2749" s="138"/>
      <c r="CU2749" s="45"/>
      <c r="CV2749" s="99">
        <f t="shared" si="267"/>
        <v>0</v>
      </c>
      <c r="CW2749" s="139"/>
      <c r="CX2749" s="138"/>
      <c r="CY2749" s="138"/>
      <c r="CZ2749" s="138"/>
      <c r="DA2749" s="139"/>
      <c r="DB2749" s="138"/>
      <c r="DC2749" s="45"/>
      <c r="DD2749" s="138"/>
      <c r="DE2749" s="45"/>
      <c r="DF2749" s="46"/>
    </row>
    <row r="2750" spans="1:110" s="42" customFormat="1" ht="108" x14ac:dyDescent="0.2">
      <c r="A2750" s="89">
        <v>40869</v>
      </c>
      <c r="B2750" s="151" t="s">
        <v>2225</v>
      </c>
      <c r="C2750" s="90" t="s">
        <v>1869</v>
      </c>
      <c r="D2750" s="90" t="s">
        <v>4264</v>
      </c>
      <c r="E2750" s="90" t="str">
        <f>VLOOKUP(B2750&amp;C2750,Divipola!$C$2:$F$1138,4,FALSE)</f>
        <v>27150</v>
      </c>
      <c r="F2750" s="4"/>
      <c r="G2750" s="208"/>
      <c r="H2750" s="208"/>
      <c r="I2750" s="208"/>
      <c r="J2750" s="208">
        <v>7442</v>
      </c>
      <c r="K2750" s="208">
        <v>2145</v>
      </c>
      <c r="L2750" s="208"/>
      <c r="M2750" s="208">
        <v>50</v>
      </c>
      <c r="N2750" s="208"/>
      <c r="O2750" s="208"/>
      <c r="P2750" s="208"/>
      <c r="Q2750" s="208"/>
      <c r="R2750" s="208"/>
      <c r="S2750" s="208"/>
      <c r="T2750" s="208"/>
      <c r="U2750" s="208"/>
      <c r="V2750" s="208"/>
      <c r="W2750" s="19"/>
      <c r="X2750" s="17"/>
      <c r="Y2750" s="5">
        <f t="shared" si="262"/>
        <v>0</v>
      </c>
      <c r="Z2750" s="5">
        <f t="shared" si="263"/>
        <v>191400000</v>
      </c>
      <c r="AA2750" s="5">
        <f t="shared" si="264"/>
        <v>11278100</v>
      </c>
      <c r="AB2750" s="5">
        <f t="shared" si="265"/>
        <v>0</v>
      </c>
      <c r="AC2750" s="5"/>
      <c r="AD2750" s="5">
        <v>0</v>
      </c>
      <c r="AE2750" s="5">
        <f t="shared" si="266"/>
        <v>202678100</v>
      </c>
      <c r="AF2750" s="70">
        <v>0</v>
      </c>
      <c r="AG2750" s="17"/>
      <c r="AH2750" s="18"/>
      <c r="AI2750" s="47" t="s">
        <v>4346</v>
      </c>
      <c r="AJ2750" s="73" t="s">
        <v>4347</v>
      </c>
      <c r="AK2750" s="45"/>
      <c r="AL2750" s="17"/>
      <c r="AM2750" s="20" t="s">
        <v>5560</v>
      </c>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39"/>
      <c r="CE2750" s="138"/>
      <c r="CF2750" s="139"/>
      <c r="CG2750" s="138"/>
      <c r="CH2750" s="139"/>
      <c r="CI2750" s="138"/>
      <c r="CJ2750" s="72"/>
      <c r="CK2750" s="139"/>
      <c r="CL2750" s="71"/>
      <c r="CM2750" s="139"/>
      <c r="CN2750" s="138"/>
      <c r="CO2750" s="138"/>
      <c r="CP2750" s="138"/>
      <c r="CQ2750" s="139"/>
      <c r="CR2750" s="138"/>
      <c r="CS2750" s="45"/>
      <c r="CT2750" s="138"/>
      <c r="CU2750" s="45"/>
      <c r="CV2750" s="99">
        <f t="shared" si="267"/>
        <v>0</v>
      </c>
      <c r="CW2750" s="139"/>
      <c r="CX2750" s="138"/>
      <c r="CY2750" s="138">
        <v>2200</v>
      </c>
      <c r="CZ2750" s="138">
        <f>2200*87000</f>
        <v>191400000</v>
      </c>
      <c r="DA2750" s="139"/>
      <c r="DB2750" s="138"/>
      <c r="DC2750" s="45">
        <v>500</v>
      </c>
      <c r="DD2750" s="138">
        <f>500*21999.4+2000*139.2</f>
        <v>11278100</v>
      </c>
      <c r="DE2750" s="45"/>
      <c r="DF2750" s="46"/>
    </row>
    <row r="2751" spans="1:110" s="42" customFormat="1" ht="60" x14ac:dyDescent="0.2">
      <c r="A2751" s="89">
        <v>40869</v>
      </c>
      <c r="B2751" s="16" t="s">
        <v>2218</v>
      </c>
      <c r="C2751" s="16" t="s">
        <v>4307</v>
      </c>
      <c r="D2751" s="16" t="s">
        <v>4264</v>
      </c>
      <c r="E2751" s="90" t="str">
        <f>VLOOKUP(B2751&amp;C2751,Divipola!$C$2:$F$1138,4,FALSE)</f>
        <v>05789</v>
      </c>
      <c r="F2751" s="4"/>
      <c r="G2751" s="208"/>
      <c r="H2751" s="208"/>
      <c r="I2751" s="208"/>
      <c r="J2751" s="208"/>
      <c r="K2751" s="208"/>
      <c r="L2751" s="208"/>
      <c r="M2751" s="208"/>
      <c r="N2751" s="208"/>
      <c r="O2751" s="208"/>
      <c r="P2751" s="208"/>
      <c r="Q2751" s="208"/>
      <c r="R2751" s="208"/>
      <c r="S2751" s="208"/>
      <c r="T2751" s="208"/>
      <c r="U2751" s="208"/>
      <c r="V2751" s="208"/>
      <c r="W2751" s="19"/>
      <c r="X2751" s="17"/>
      <c r="Y2751" s="5">
        <f t="shared" si="262"/>
        <v>0</v>
      </c>
      <c r="Z2751" s="5">
        <f t="shared" si="263"/>
        <v>34000000</v>
      </c>
      <c r="AA2751" s="5">
        <f t="shared" si="264"/>
        <v>35773536</v>
      </c>
      <c r="AB2751" s="5">
        <f t="shared" si="265"/>
        <v>0</v>
      </c>
      <c r="AC2751" s="143">
        <f>2000*1349.08+1500*7954.12+1500*2811.84+2000*1804.96+1000*798.08</f>
        <v>23255100</v>
      </c>
      <c r="AD2751" s="5">
        <v>0</v>
      </c>
      <c r="AE2751" s="5">
        <f t="shared" si="266"/>
        <v>93028636</v>
      </c>
      <c r="AF2751" s="70">
        <v>0</v>
      </c>
      <c r="AG2751" s="17"/>
      <c r="AH2751" s="18"/>
      <c r="AI2751" s="47" t="s">
        <v>4346</v>
      </c>
      <c r="AJ2751" s="73" t="s">
        <v>4347</v>
      </c>
      <c r="AK2751" s="45"/>
      <c r="AL2751" s="17"/>
      <c r="AM2751" s="154" t="s">
        <v>5434</v>
      </c>
      <c r="AN2751" s="19"/>
      <c r="AO2751" s="19"/>
      <c r="AP2751" s="19"/>
      <c r="AQ2751" s="19"/>
      <c r="AR2751" s="19"/>
      <c r="AS2751" s="19"/>
      <c r="AT2751" s="19"/>
      <c r="AU2751" s="19"/>
      <c r="AV2751" s="19"/>
      <c r="AW2751" s="19"/>
      <c r="AX2751" s="19"/>
      <c r="AY2751" s="19"/>
      <c r="AZ2751" s="19"/>
      <c r="BA2751" s="19"/>
      <c r="BB2751" s="19"/>
      <c r="BC2751" s="19"/>
      <c r="BD2751" s="19"/>
      <c r="BE2751" s="19"/>
      <c r="BF2751" s="19"/>
      <c r="BG2751" s="19"/>
      <c r="BH2751" s="19"/>
      <c r="BI2751" s="19"/>
      <c r="BJ2751" s="19"/>
      <c r="BK2751" s="19"/>
      <c r="BL2751" s="19"/>
      <c r="BM2751" s="19"/>
      <c r="BN2751" s="19"/>
      <c r="BO2751" s="19"/>
      <c r="BP2751" s="19"/>
      <c r="BQ2751" s="19"/>
      <c r="BR2751" s="19"/>
      <c r="BS2751" s="19"/>
      <c r="BT2751" s="19"/>
      <c r="BU2751" s="19"/>
      <c r="BV2751" s="19"/>
      <c r="BW2751" s="19"/>
      <c r="BX2751" s="19"/>
      <c r="BY2751" s="19"/>
      <c r="BZ2751" s="19"/>
      <c r="CA2751" s="19"/>
      <c r="CB2751" s="19"/>
      <c r="CC2751" s="19"/>
      <c r="CD2751" s="139"/>
      <c r="CE2751" s="138"/>
      <c r="CF2751" s="139"/>
      <c r="CG2751" s="138"/>
      <c r="CH2751" s="139"/>
      <c r="CI2751" s="138"/>
      <c r="CJ2751" s="72"/>
      <c r="CK2751" s="139"/>
      <c r="CL2751" s="71"/>
      <c r="CM2751" s="139"/>
      <c r="CN2751" s="138"/>
      <c r="CO2751" s="138"/>
      <c r="CP2751" s="138"/>
      <c r="CQ2751" s="139"/>
      <c r="CR2751" s="138"/>
      <c r="CS2751" s="45"/>
      <c r="CT2751" s="138"/>
      <c r="CU2751" s="45"/>
      <c r="CV2751" s="99">
        <f t="shared" si="267"/>
        <v>0</v>
      </c>
      <c r="CW2751" s="139"/>
      <c r="CX2751" s="138"/>
      <c r="CY2751" s="138">
        <v>400</v>
      </c>
      <c r="CZ2751" s="138">
        <f>400*85000</f>
        <v>34000000</v>
      </c>
      <c r="DA2751" s="139"/>
      <c r="DB2751" s="138"/>
      <c r="DC2751" s="45">
        <f>600+600</f>
        <v>1200</v>
      </c>
      <c r="DD2751" s="138">
        <f>600*23423.88+600*33898.68+4800*150+1200*550</f>
        <v>35773536</v>
      </c>
      <c r="DE2751" s="45"/>
      <c r="DF2751" s="46"/>
    </row>
    <row r="2752" spans="1:110" s="42" customFormat="1" ht="84" x14ac:dyDescent="0.2">
      <c r="A2752" s="89">
        <v>40869</v>
      </c>
      <c r="B2752" s="151" t="s">
        <v>4219</v>
      </c>
      <c r="C2752" s="90" t="s">
        <v>3495</v>
      </c>
      <c r="D2752" s="90" t="s">
        <v>4264</v>
      </c>
      <c r="E2752" s="90" t="str">
        <f>VLOOKUP(B2752&amp;C2752,Divipola!$C$2:$F$1138,4,FALSE)</f>
        <v>41078</v>
      </c>
      <c r="F2752" s="4"/>
      <c r="G2752" s="101"/>
      <c r="H2752" s="101"/>
      <c r="I2752" s="101"/>
      <c r="J2752" s="101">
        <v>85</v>
      </c>
      <c r="K2752" s="101">
        <v>17</v>
      </c>
      <c r="L2752" s="101"/>
      <c r="M2752" s="101">
        <v>16</v>
      </c>
      <c r="N2752" s="101">
        <v>4</v>
      </c>
      <c r="O2752" s="101"/>
      <c r="P2752" s="101"/>
      <c r="Q2752" s="101">
        <v>1</v>
      </c>
      <c r="R2752" s="101">
        <v>1</v>
      </c>
      <c r="S2752" s="101"/>
      <c r="T2752" s="101"/>
      <c r="U2752" s="19"/>
      <c r="V2752" s="101">
        <v>1</v>
      </c>
      <c r="W2752" s="19"/>
      <c r="X2752" s="17"/>
      <c r="Y2752" s="5">
        <f t="shared" si="262"/>
        <v>0</v>
      </c>
      <c r="Z2752" s="5">
        <f t="shared" si="263"/>
        <v>0</v>
      </c>
      <c r="AA2752" s="5">
        <f t="shared" si="264"/>
        <v>0</v>
      </c>
      <c r="AB2752" s="5">
        <f t="shared" si="265"/>
        <v>0</v>
      </c>
      <c r="AC2752" s="5"/>
      <c r="AD2752" s="5">
        <v>0</v>
      </c>
      <c r="AE2752" s="5">
        <f t="shared" si="266"/>
        <v>0</v>
      </c>
      <c r="AF2752" s="70">
        <v>0</v>
      </c>
      <c r="AG2752" s="17"/>
      <c r="AH2752" s="18"/>
      <c r="AI2752" s="47" t="s">
        <v>4346</v>
      </c>
      <c r="AJ2752" s="73" t="s">
        <v>4347</v>
      </c>
      <c r="AK2752" s="45"/>
      <c r="AL2752" s="89" t="s">
        <v>2798</v>
      </c>
      <c r="AM2752" s="121" t="s">
        <v>5495</v>
      </c>
      <c r="AN2752" s="19"/>
      <c r="AO2752" s="19"/>
      <c r="AP2752" s="19"/>
      <c r="AQ2752" s="19"/>
      <c r="AR2752" s="19"/>
      <c r="AS2752" s="19"/>
      <c r="AT2752" s="19"/>
      <c r="AU2752" s="19"/>
      <c r="AV2752" s="19"/>
      <c r="AW2752" s="19"/>
      <c r="AX2752" s="19"/>
      <c r="AY2752" s="19"/>
      <c r="AZ2752" s="19"/>
      <c r="BA2752" s="19"/>
      <c r="BB2752" s="19"/>
      <c r="BC2752" s="19"/>
      <c r="BD2752" s="19"/>
      <c r="BE2752" s="19"/>
      <c r="BF2752" s="19"/>
      <c r="BG2752" s="19"/>
      <c r="BH2752" s="19"/>
      <c r="BI2752" s="19"/>
      <c r="BJ2752" s="19"/>
      <c r="BK2752" s="19"/>
      <c r="BL2752" s="19"/>
      <c r="BM2752" s="19"/>
      <c r="BN2752" s="19"/>
      <c r="BO2752" s="19"/>
      <c r="BP2752" s="19"/>
      <c r="BQ2752" s="19"/>
      <c r="BR2752" s="19"/>
      <c r="BS2752" s="19"/>
      <c r="BT2752" s="19"/>
      <c r="BU2752" s="19"/>
      <c r="BV2752" s="19"/>
      <c r="BW2752" s="19"/>
      <c r="BX2752" s="19"/>
      <c r="BY2752" s="19"/>
      <c r="BZ2752" s="19"/>
      <c r="CA2752" s="19"/>
      <c r="CB2752" s="19"/>
      <c r="CC2752" s="19"/>
      <c r="CD2752" s="139"/>
      <c r="CE2752" s="138"/>
      <c r="CF2752" s="139"/>
      <c r="CG2752" s="138"/>
      <c r="CH2752" s="139"/>
      <c r="CI2752" s="138"/>
      <c r="CJ2752" s="72"/>
      <c r="CK2752" s="139"/>
      <c r="CL2752" s="71"/>
      <c r="CM2752" s="139"/>
      <c r="CN2752" s="138"/>
      <c r="CO2752" s="138"/>
      <c r="CP2752" s="138"/>
      <c r="CQ2752" s="139"/>
      <c r="CR2752" s="138"/>
      <c r="CS2752" s="45"/>
      <c r="CT2752" s="138"/>
      <c r="CU2752" s="45"/>
      <c r="CV2752" s="99">
        <f t="shared" si="267"/>
        <v>0</v>
      </c>
      <c r="CW2752" s="139"/>
      <c r="CX2752" s="138"/>
      <c r="CY2752" s="138"/>
      <c r="CZ2752" s="138"/>
      <c r="DA2752" s="139"/>
      <c r="DB2752" s="138"/>
      <c r="DC2752" s="45"/>
      <c r="DD2752" s="138"/>
      <c r="DE2752" s="45"/>
      <c r="DF2752" s="46"/>
    </row>
    <row r="2753" spans="1:110" s="42" customFormat="1" ht="36" x14ac:dyDescent="0.2">
      <c r="A2753" s="89">
        <v>40869</v>
      </c>
      <c r="B2753" s="151" t="s">
        <v>4387</v>
      </c>
      <c r="C2753" s="90" t="s">
        <v>4362</v>
      </c>
      <c r="D2753" s="90" t="s">
        <v>2362</v>
      </c>
      <c r="E2753" s="90" t="str">
        <f>VLOOKUP(B2753&amp;C2753,Divipola!$C$2:$F$1138,4,FALSE)</f>
        <v>52693</v>
      </c>
      <c r="F2753" s="4"/>
      <c r="G2753" s="101"/>
      <c r="H2753" s="101"/>
      <c r="I2753" s="101"/>
      <c r="J2753" s="101"/>
      <c r="K2753" s="101"/>
      <c r="L2753" s="101"/>
      <c r="M2753" s="101"/>
      <c r="N2753" s="101"/>
      <c r="O2753" s="101"/>
      <c r="P2753" s="101"/>
      <c r="Q2753" s="101"/>
      <c r="R2753" s="101"/>
      <c r="S2753" s="101"/>
      <c r="T2753" s="101">
        <v>1</v>
      </c>
      <c r="U2753" s="101"/>
      <c r="V2753" s="264"/>
      <c r="W2753" s="19"/>
      <c r="X2753" s="17"/>
      <c r="Y2753" s="5">
        <f t="shared" si="262"/>
        <v>0</v>
      </c>
      <c r="Z2753" s="5">
        <f t="shared" si="263"/>
        <v>0</v>
      </c>
      <c r="AA2753" s="5">
        <f t="shared" si="264"/>
        <v>0</v>
      </c>
      <c r="AB2753" s="5">
        <f t="shared" si="265"/>
        <v>0</v>
      </c>
      <c r="AC2753" s="5"/>
      <c r="AD2753" s="5">
        <v>0</v>
      </c>
      <c r="AE2753" s="5">
        <f t="shared" si="266"/>
        <v>0</v>
      </c>
      <c r="AF2753" s="70">
        <v>0</v>
      </c>
      <c r="AG2753" s="17"/>
      <c r="AH2753" s="18"/>
      <c r="AI2753" s="47" t="s">
        <v>4336</v>
      </c>
      <c r="AJ2753" s="73" t="s">
        <v>4337</v>
      </c>
      <c r="AK2753" s="45"/>
      <c r="AL2753" s="17"/>
      <c r="AM2753" s="121" t="s">
        <v>5616</v>
      </c>
      <c r="AN2753" s="19"/>
      <c r="AO2753" s="19"/>
      <c r="AP2753" s="19"/>
      <c r="AQ2753" s="19"/>
      <c r="AR2753" s="19"/>
      <c r="AS2753" s="19"/>
      <c r="AT2753" s="19"/>
      <c r="AU2753" s="19"/>
      <c r="AV2753" s="19"/>
      <c r="AW2753" s="19"/>
      <c r="AX2753" s="19"/>
      <c r="AY2753" s="19"/>
      <c r="AZ2753" s="19"/>
      <c r="BA2753" s="19"/>
      <c r="BB2753" s="19"/>
      <c r="BC2753" s="19"/>
      <c r="BD2753" s="19"/>
      <c r="BE2753" s="19"/>
      <c r="BF2753" s="19"/>
      <c r="BG2753" s="19"/>
      <c r="BH2753" s="19"/>
      <c r="BI2753" s="19"/>
      <c r="BJ2753" s="19"/>
      <c r="BK2753" s="19"/>
      <c r="BL2753" s="19"/>
      <c r="BM2753" s="19"/>
      <c r="BN2753" s="19"/>
      <c r="BO2753" s="19"/>
      <c r="BP2753" s="19"/>
      <c r="BQ2753" s="19"/>
      <c r="BR2753" s="19"/>
      <c r="BS2753" s="19"/>
      <c r="BT2753" s="19"/>
      <c r="BU2753" s="19"/>
      <c r="BV2753" s="19"/>
      <c r="BW2753" s="19"/>
      <c r="BX2753" s="19"/>
      <c r="BY2753" s="19"/>
      <c r="BZ2753" s="19"/>
      <c r="CA2753" s="19"/>
      <c r="CB2753" s="19"/>
      <c r="CC2753" s="19"/>
      <c r="CD2753" s="139"/>
      <c r="CE2753" s="138"/>
      <c r="CF2753" s="139"/>
      <c r="CG2753" s="138"/>
      <c r="CH2753" s="139"/>
      <c r="CI2753" s="138"/>
      <c r="CJ2753" s="72"/>
      <c r="CK2753" s="139"/>
      <c r="CL2753" s="71"/>
      <c r="CM2753" s="139"/>
      <c r="CN2753" s="138"/>
      <c r="CO2753" s="138"/>
      <c r="CP2753" s="138"/>
      <c r="CQ2753" s="139"/>
      <c r="CR2753" s="138"/>
      <c r="CS2753" s="45"/>
      <c r="CT2753" s="138"/>
      <c r="CU2753" s="45"/>
      <c r="CV2753" s="99">
        <f t="shared" si="267"/>
        <v>0</v>
      </c>
      <c r="CW2753" s="139"/>
      <c r="CX2753" s="138"/>
      <c r="CY2753" s="138"/>
      <c r="CZ2753" s="138"/>
      <c r="DA2753" s="139"/>
      <c r="DB2753" s="138"/>
      <c r="DC2753" s="45"/>
      <c r="DD2753" s="138"/>
      <c r="DE2753" s="45"/>
      <c r="DF2753" s="46"/>
    </row>
    <row r="2754" spans="1:110" s="42" customFormat="1" ht="84" x14ac:dyDescent="0.2">
      <c r="A2754" s="89">
        <v>40870</v>
      </c>
      <c r="B2754" s="151" t="s">
        <v>4344</v>
      </c>
      <c r="C2754" s="90" t="s">
        <v>4223</v>
      </c>
      <c r="D2754" s="90" t="s">
        <v>4264</v>
      </c>
      <c r="E2754" s="90" t="str">
        <f>VLOOKUP(B2754&amp;C2754,Divipola!$C$2:$F$1138,4,FALSE)</f>
        <v>25815</v>
      </c>
      <c r="F2754" s="4"/>
      <c r="G2754" s="101"/>
      <c r="H2754" s="101"/>
      <c r="I2754" s="101"/>
      <c r="J2754" s="101"/>
      <c r="K2754" s="101"/>
      <c r="L2754" s="101"/>
      <c r="M2754" s="101"/>
      <c r="N2754" s="101"/>
      <c r="O2754" s="101"/>
      <c r="P2754" s="101"/>
      <c r="Q2754" s="101"/>
      <c r="R2754" s="101"/>
      <c r="S2754" s="101"/>
      <c r="T2754" s="101"/>
      <c r="U2754" s="101"/>
      <c r="V2754" s="101"/>
      <c r="W2754" s="19"/>
      <c r="X2754" s="17"/>
      <c r="Y2754" s="5">
        <f t="shared" ref="Y2754:Y2817" si="268">CV2754</f>
        <v>0</v>
      </c>
      <c r="Z2754" s="5">
        <f t="shared" ref="Z2754:Z2817" si="269">CZ2754</f>
        <v>0</v>
      </c>
      <c r="AA2754" s="5">
        <f t="shared" ref="AA2754:AA2817" si="270">DB2754+DD2754</f>
        <v>0</v>
      </c>
      <c r="AB2754" s="5">
        <f t="shared" ref="AB2754:AB2817" si="271">CX2754</f>
        <v>0</v>
      </c>
      <c r="AC2754" s="5"/>
      <c r="AD2754" s="5">
        <v>0</v>
      </c>
      <c r="AE2754" s="5">
        <f t="shared" ref="AE2754:AE2817" si="272">Y2754+Z2754+AA2754+AB2754+AC2754+AD2754</f>
        <v>0</v>
      </c>
      <c r="AF2754" s="70">
        <v>0</v>
      </c>
      <c r="AG2754" s="17"/>
      <c r="AH2754" s="18"/>
      <c r="AI2754" s="47" t="s">
        <v>4336</v>
      </c>
      <c r="AJ2754" s="73" t="s">
        <v>4337</v>
      </c>
      <c r="AK2754" s="45"/>
      <c r="AL2754" s="17"/>
      <c r="AM2754" s="121" t="s">
        <v>5110</v>
      </c>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c r="BV2754" s="19"/>
      <c r="BW2754" s="19"/>
      <c r="BX2754" s="19"/>
      <c r="BY2754" s="19"/>
      <c r="BZ2754" s="19"/>
      <c r="CA2754" s="19"/>
      <c r="CB2754" s="19"/>
      <c r="CC2754" s="19"/>
      <c r="CD2754" s="139"/>
      <c r="CE2754" s="138"/>
      <c r="CF2754" s="139"/>
      <c r="CG2754" s="138"/>
      <c r="CH2754" s="139"/>
      <c r="CI2754" s="138"/>
      <c r="CJ2754" s="72"/>
      <c r="CK2754" s="139"/>
      <c r="CL2754" s="71"/>
      <c r="CM2754" s="139"/>
      <c r="CN2754" s="138"/>
      <c r="CO2754" s="138"/>
      <c r="CP2754" s="138"/>
      <c r="CQ2754" s="139"/>
      <c r="CR2754" s="138"/>
      <c r="CS2754" s="45"/>
      <c r="CT2754" s="138"/>
      <c r="CU2754" s="45"/>
      <c r="CV2754" s="99">
        <f t="shared" si="267"/>
        <v>0</v>
      </c>
      <c r="CW2754" s="139"/>
      <c r="CX2754" s="138"/>
      <c r="CY2754" s="138"/>
      <c r="CZ2754" s="138"/>
      <c r="DA2754" s="139"/>
      <c r="DB2754" s="138"/>
      <c r="DC2754" s="45"/>
      <c r="DD2754" s="138"/>
      <c r="DE2754" s="45"/>
      <c r="DF2754" s="46"/>
    </row>
    <row r="2755" spans="1:110" s="42" customFormat="1" ht="48" x14ac:dyDescent="0.2">
      <c r="A2755" s="89">
        <v>40870</v>
      </c>
      <c r="B2755" s="151" t="s">
        <v>4344</v>
      </c>
      <c r="C2755" s="90" t="s">
        <v>4231</v>
      </c>
      <c r="D2755" s="90" t="s">
        <v>4264</v>
      </c>
      <c r="E2755" s="90" t="str">
        <f>VLOOKUP(B2755&amp;C2755,Divipola!$C$2:$F$1138,4,FALSE)</f>
        <v>25290</v>
      </c>
      <c r="F2755" s="4"/>
      <c r="G2755" s="101"/>
      <c r="H2755" s="101"/>
      <c r="I2755" s="101"/>
      <c r="J2755" s="101">
        <v>2</v>
      </c>
      <c r="K2755" s="101">
        <v>1</v>
      </c>
      <c r="L2755" s="101">
        <v>1</v>
      </c>
      <c r="M2755" s="101"/>
      <c r="N2755" s="101"/>
      <c r="O2755" s="101"/>
      <c r="P2755" s="101"/>
      <c r="Q2755" s="101"/>
      <c r="R2755" s="101"/>
      <c r="S2755" s="101"/>
      <c r="T2755" s="101"/>
      <c r="U2755" s="101"/>
      <c r="V2755" s="101"/>
      <c r="W2755" s="19"/>
      <c r="X2755" s="17"/>
      <c r="Y2755" s="5">
        <f t="shared" si="268"/>
        <v>0</v>
      </c>
      <c r="Z2755" s="5">
        <f t="shared" si="269"/>
        <v>0</v>
      </c>
      <c r="AA2755" s="5">
        <f t="shared" si="270"/>
        <v>0</v>
      </c>
      <c r="AB2755" s="5">
        <f t="shared" si="271"/>
        <v>0</v>
      </c>
      <c r="AC2755" s="5"/>
      <c r="AD2755" s="5">
        <v>0</v>
      </c>
      <c r="AE2755" s="5">
        <f t="shared" si="272"/>
        <v>0</v>
      </c>
      <c r="AF2755" s="70">
        <v>0</v>
      </c>
      <c r="AG2755" s="17"/>
      <c r="AH2755" s="18"/>
      <c r="AI2755" s="47" t="s">
        <v>4336</v>
      </c>
      <c r="AJ2755" s="73" t="s">
        <v>4337</v>
      </c>
      <c r="AK2755" s="45"/>
      <c r="AL2755" s="17"/>
      <c r="AM2755" s="121" t="s">
        <v>5111</v>
      </c>
      <c r="AN2755" s="19"/>
      <c r="AO2755" s="19"/>
      <c r="AP2755" s="19"/>
      <c r="AQ2755" s="19"/>
      <c r="AR2755" s="19"/>
      <c r="AS2755" s="19"/>
      <c r="AT2755" s="19"/>
      <c r="AU2755" s="19"/>
      <c r="AV2755" s="19"/>
      <c r="AW2755" s="19"/>
      <c r="AX2755" s="19"/>
      <c r="AY2755" s="19"/>
      <c r="AZ2755" s="19"/>
      <c r="BA2755" s="19"/>
      <c r="BB2755" s="19"/>
      <c r="BC2755" s="19"/>
      <c r="BD2755" s="19"/>
      <c r="BE2755" s="19"/>
      <c r="BF2755" s="19"/>
      <c r="BG2755" s="19"/>
      <c r="BH2755" s="19"/>
      <c r="BI2755" s="19"/>
      <c r="BJ2755" s="19"/>
      <c r="BK2755" s="19"/>
      <c r="BL2755" s="19"/>
      <c r="BM2755" s="19"/>
      <c r="BN2755" s="19"/>
      <c r="BO2755" s="19"/>
      <c r="BP2755" s="19"/>
      <c r="BQ2755" s="19"/>
      <c r="BR2755" s="19"/>
      <c r="BS2755" s="19"/>
      <c r="BT2755" s="19"/>
      <c r="BU2755" s="19"/>
      <c r="BV2755" s="19"/>
      <c r="BW2755" s="19"/>
      <c r="BX2755" s="19"/>
      <c r="BY2755" s="19"/>
      <c r="BZ2755" s="19"/>
      <c r="CA2755" s="19"/>
      <c r="CB2755" s="19"/>
      <c r="CC2755" s="19"/>
      <c r="CD2755" s="139"/>
      <c r="CE2755" s="138"/>
      <c r="CF2755" s="139"/>
      <c r="CG2755" s="138"/>
      <c r="CH2755" s="139"/>
      <c r="CI2755" s="138"/>
      <c r="CJ2755" s="72"/>
      <c r="CK2755" s="139"/>
      <c r="CL2755" s="71"/>
      <c r="CM2755" s="139"/>
      <c r="CN2755" s="138"/>
      <c r="CO2755" s="138"/>
      <c r="CP2755" s="138"/>
      <c r="CQ2755" s="139"/>
      <c r="CR2755" s="138"/>
      <c r="CS2755" s="45"/>
      <c r="CT2755" s="138"/>
      <c r="CU2755" s="45"/>
      <c r="CV2755" s="99">
        <f t="shared" ref="CV2755:CV2818" si="273">AO2755+AQ2755+AS2755+AU2755+AW2755+AY2755+BA2755+BC2755+BE2755+BG2755+BI2755+BK2755+BM2755+BO2755+BQ2755+BS2755+BU2755+BW2755+BY2755+CA2755+CC2755+CE2755+CG2755+CI2755+CK2755+CM2755+CO2755+CQ2755+CS2755+CU2755</f>
        <v>0</v>
      </c>
      <c r="CW2755" s="139"/>
      <c r="CX2755" s="138"/>
      <c r="CY2755" s="138"/>
      <c r="CZ2755" s="138"/>
      <c r="DA2755" s="139"/>
      <c r="DB2755" s="138"/>
      <c r="DC2755" s="45"/>
      <c r="DD2755" s="138"/>
      <c r="DE2755" s="45"/>
      <c r="DF2755" s="46"/>
    </row>
    <row r="2756" spans="1:110" s="42" customFormat="1" ht="60" x14ac:dyDescent="0.2">
      <c r="A2756" s="89">
        <v>40870</v>
      </c>
      <c r="B2756" s="151" t="s">
        <v>4344</v>
      </c>
      <c r="C2756" s="90" t="s">
        <v>3546</v>
      </c>
      <c r="D2756" s="90" t="s">
        <v>2362</v>
      </c>
      <c r="E2756" s="90" t="str">
        <f>VLOOKUP(B2756&amp;C2756,Divipola!$C$2:$F$1138,4,FALSE)</f>
        <v>25181</v>
      </c>
      <c r="F2756" s="4"/>
      <c r="G2756" s="101"/>
      <c r="H2756" s="101"/>
      <c r="I2756" s="101"/>
      <c r="J2756" s="101">
        <v>5</v>
      </c>
      <c r="K2756" s="101">
        <v>1</v>
      </c>
      <c r="L2756" s="101">
        <v>1</v>
      </c>
      <c r="M2756" s="101"/>
      <c r="N2756" s="101"/>
      <c r="O2756" s="101"/>
      <c r="P2756" s="101"/>
      <c r="Q2756" s="101"/>
      <c r="R2756" s="101"/>
      <c r="S2756" s="101"/>
      <c r="T2756" s="101"/>
      <c r="U2756" s="101"/>
      <c r="V2756" s="101"/>
      <c r="W2756" s="19"/>
      <c r="X2756" s="17"/>
      <c r="Y2756" s="5">
        <f t="shared" si="268"/>
        <v>0</v>
      </c>
      <c r="Z2756" s="5">
        <f t="shared" si="269"/>
        <v>0</v>
      </c>
      <c r="AA2756" s="5">
        <f t="shared" si="270"/>
        <v>0</v>
      </c>
      <c r="AB2756" s="5">
        <f t="shared" si="271"/>
        <v>0</v>
      </c>
      <c r="AC2756" s="5"/>
      <c r="AD2756" s="5">
        <v>0</v>
      </c>
      <c r="AE2756" s="5">
        <f t="shared" si="272"/>
        <v>0</v>
      </c>
      <c r="AF2756" s="70">
        <v>0</v>
      </c>
      <c r="AG2756" s="17"/>
      <c r="AH2756" s="18"/>
      <c r="AI2756" s="47" t="s">
        <v>4336</v>
      </c>
      <c r="AJ2756" s="73" t="s">
        <v>4337</v>
      </c>
      <c r="AK2756" s="45"/>
      <c r="AL2756" s="17"/>
      <c r="AM2756" s="121" t="s">
        <v>5114</v>
      </c>
      <c r="AN2756" s="19"/>
      <c r="AO2756" s="19"/>
      <c r="AP2756" s="19"/>
      <c r="AQ2756" s="19"/>
      <c r="AR2756" s="19"/>
      <c r="AS2756" s="19"/>
      <c r="AT2756" s="19"/>
      <c r="AU2756" s="19"/>
      <c r="AV2756" s="19"/>
      <c r="AW2756" s="19"/>
      <c r="AX2756" s="19"/>
      <c r="AY2756" s="19"/>
      <c r="AZ2756" s="19"/>
      <c r="BA2756" s="19"/>
      <c r="BB2756" s="19"/>
      <c r="BC2756" s="19"/>
      <c r="BD2756" s="19"/>
      <c r="BE2756" s="19"/>
      <c r="BF2756" s="19"/>
      <c r="BG2756" s="19"/>
      <c r="BH2756" s="19"/>
      <c r="BI2756" s="19"/>
      <c r="BJ2756" s="19"/>
      <c r="BK2756" s="19"/>
      <c r="BL2756" s="19"/>
      <c r="BM2756" s="19"/>
      <c r="BN2756" s="19"/>
      <c r="BO2756" s="19"/>
      <c r="BP2756" s="19"/>
      <c r="BQ2756" s="19"/>
      <c r="BR2756" s="19"/>
      <c r="BS2756" s="19"/>
      <c r="BT2756" s="19"/>
      <c r="BU2756" s="19"/>
      <c r="BV2756" s="19"/>
      <c r="BW2756" s="19"/>
      <c r="BX2756" s="19"/>
      <c r="BY2756" s="19"/>
      <c r="BZ2756" s="19"/>
      <c r="CA2756" s="19"/>
      <c r="CB2756" s="19"/>
      <c r="CC2756" s="19"/>
      <c r="CD2756" s="139"/>
      <c r="CE2756" s="138"/>
      <c r="CF2756" s="139"/>
      <c r="CG2756" s="138"/>
      <c r="CH2756" s="139"/>
      <c r="CI2756" s="138"/>
      <c r="CJ2756" s="72"/>
      <c r="CK2756" s="139"/>
      <c r="CL2756" s="71"/>
      <c r="CM2756" s="139"/>
      <c r="CN2756" s="138"/>
      <c r="CO2756" s="138"/>
      <c r="CP2756" s="138"/>
      <c r="CQ2756" s="139"/>
      <c r="CR2756" s="138"/>
      <c r="CS2756" s="45"/>
      <c r="CT2756" s="138"/>
      <c r="CU2756" s="45"/>
      <c r="CV2756" s="99">
        <f t="shared" si="273"/>
        <v>0</v>
      </c>
      <c r="CW2756" s="139"/>
      <c r="CX2756" s="138"/>
      <c r="CY2756" s="138"/>
      <c r="CZ2756" s="138"/>
      <c r="DA2756" s="139"/>
      <c r="DB2756" s="138"/>
      <c r="DC2756" s="45"/>
      <c r="DD2756" s="138"/>
      <c r="DE2756" s="45"/>
      <c r="DF2756" s="46"/>
    </row>
    <row r="2757" spans="1:110" s="42" customFormat="1" ht="84" x14ac:dyDescent="0.2">
      <c r="A2757" s="89">
        <v>40870</v>
      </c>
      <c r="B2757" s="151" t="s">
        <v>4387</v>
      </c>
      <c r="C2757" s="90" t="s">
        <v>4362</v>
      </c>
      <c r="D2757" s="90" t="s">
        <v>2362</v>
      </c>
      <c r="E2757" s="90" t="str">
        <f>VLOOKUP(B2757&amp;C2757,Divipola!$C$2:$F$1138,4,FALSE)</f>
        <v>52693</v>
      </c>
      <c r="F2757" s="4"/>
      <c r="G2757" s="101"/>
      <c r="H2757" s="101"/>
      <c r="I2757" s="101"/>
      <c r="J2757" s="101"/>
      <c r="K2757" s="101"/>
      <c r="L2757" s="101"/>
      <c r="M2757" s="101"/>
      <c r="N2757" s="101">
        <v>1</v>
      </c>
      <c r="O2757" s="101"/>
      <c r="P2757" s="101"/>
      <c r="Q2757" s="101"/>
      <c r="R2757" s="101"/>
      <c r="S2757" s="101"/>
      <c r="T2757" s="101"/>
      <c r="U2757" s="101"/>
      <c r="V2757" s="101"/>
      <c r="W2757" s="19"/>
      <c r="X2757" s="17"/>
      <c r="Y2757" s="5">
        <f t="shared" si="268"/>
        <v>0</v>
      </c>
      <c r="Z2757" s="5">
        <f t="shared" si="269"/>
        <v>0</v>
      </c>
      <c r="AA2757" s="5">
        <f t="shared" si="270"/>
        <v>0</v>
      </c>
      <c r="AB2757" s="5">
        <f t="shared" si="271"/>
        <v>0</v>
      </c>
      <c r="AC2757" s="5"/>
      <c r="AD2757" s="5">
        <v>0</v>
      </c>
      <c r="AE2757" s="5">
        <f t="shared" si="272"/>
        <v>0</v>
      </c>
      <c r="AF2757" s="70">
        <v>0</v>
      </c>
      <c r="AG2757" s="17"/>
      <c r="AH2757" s="18"/>
      <c r="AI2757" s="47" t="s">
        <v>4336</v>
      </c>
      <c r="AJ2757" s="73" t="s">
        <v>4337</v>
      </c>
      <c r="AK2757" s="45"/>
      <c r="AL2757" s="17"/>
      <c r="AM2757" s="121" t="s">
        <v>5117</v>
      </c>
      <c r="AN2757" s="19"/>
      <c r="AO2757" s="19"/>
      <c r="AP2757" s="19"/>
      <c r="AQ2757" s="19"/>
      <c r="AR2757" s="19"/>
      <c r="AS2757" s="19"/>
      <c r="AT2757" s="19"/>
      <c r="AU2757" s="19"/>
      <c r="AV2757" s="19"/>
      <c r="AW2757" s="19"/>
      <c r="AX2757" s="19"/>
      <c r="AY2757" s="19"/>
      <c r="AZ2757" s="19"/>
      <c r="BA2757" s="19"/>
      <c r="BB2757" s="19"/>
      <c r="BC2757" s="19"/>
      <c r="BD2757" s="19"/>
      <c r="BE2757" s="19"/>
      <c r="BF2757" s="19"/>
      <c r="BG2757" s="19"/>
      <c r="BH2757" s="19"/>
      <c r="BI2757" s="19"/>
      <c r="BJ2757" s="19"/>
      <c r="BK2757" s="19"/>
      <c r="BL2757" s="19"/>
      <c r="BM2757" s="19"/>
      <c r="BN2757" s="19"/>
      <c r="BO2757" s="19"/>
      <c r="BP2757" s="19"/>
      <c r="BQ2757" s="19"/>
      <c r="BR2757" s="19"/>
      <c r="BS2757" s="19"/>
      <c r="BT2757" s="19"/>
      <c r="BU2757" s="19"/>
      <c r="BV2757" s="19"/>
      <c r="BW2757" s="19"/>
      <c r="BX2757" s="19"/>
      <c r="BY2757" s="19"/>
      <c r="BZ2757" s="19"/>
      <c r="CA2757" s="19"/>
      <c r="CB2757" s="19"/>
      <c r="CC2757" s="19"/>
      <c r="CD2757" s="139"/>
      <c r="CE2757" s="138"/>
      <c r="CF2757" s="139"/>
      <c r="CG2757" s="138"/>
      <c r="CH2757" s="139"/>
      <c r="CI2757" s="138"/>
      <c r="CJ2757" s="72"/>
      <c r="CK2757" s="139"/>
      <c r="CL2757" s="71"/>
      <c r="CM2757" s="139"/>
      <c r="CN2757" s="138"/>
      <c r="CO2757" s="138"/>
      <c r="CP2757" s="138"/>
      <c r="CQ2757" s="139"/>
      <c r="CR2757" s="138"/>
      <c r="CS2757" s="45"/>
      <c r="CT2757" s="138"/>
      <c r="CU2757" s="45"/>
      <c r="CV2757" s="99">
        <f t="shared" si="273"/>
        <v>0</v>
      </c>
      <c r="CW2757" s="139"/>
      <c r="CX2757" s="138"/>
      <c r="CY2757" s="138"/>
      <c r="CZ2757" s="138"/>
      <c r="DA2757" s="139"/>
      <c r="DB2757" s="138"/>
      <c r="DC2757" s="45"/>
      <c r="DD2757" s="138"/>
      <c r="DE2757" s="45"/>
      <c r="DF2757" s="46"/>
    </row>
    <row r="2758" spans="1:110" s="42" customFormat="1" ht="72" x14ac:dyDescent="0.2">
      <c r="A2758" s="89">
        <v>40870</v>
      </c>
      <c r="B2758" s="151" t="s">
        <v>4350</v>
      </c>
      <c r="C2758" s="90" t="s">
        <v>4351</v>
      </c>
      <c r="D2758" s="90" t="s">
        <v>2362</v>
      </c>
      <c r="E2758" s="90" t="str">
        <f>VLOOKUP(B2758&amp;C2758,Divipola!$C$2:$F$1138,4,FALSE)</f>
        <v>63001</v>
      </c>
      <c r="F2758" s="4"/>
      <c r="G2758" s="101"/>
      <c r="H2758" s="101"/>
      <c r="I2758" s="101"/>
      <c r="J2758" s="101"/>
      <c r="K2758" s="101"/>
      <c r="L2758" s="101"/>
      <c r="M2758" s="101"/>
      <c r="N2758" s="101">
        <v>1</v>
      </c>
      <c r="O2758" s="101"/>
      <c r="P2758" s="101"/>
      <c r="Q2758" s="101"/>
      <c r="R2758" s="101"/>
      <c r="S2758" s="101"/>
      <c r="T2758" s="101"/>
      <c r="U2758" s="101"/>
      <c r="V2758" s="101"/>
      <c r="W2758" s="19"/>
      <c r="X2758" s="17"/>
      <c r="Y2758" s="5">
        <f t="shared" si="268"/>
        <v>0</v>
      </c>
      <c r="Z2758" s="5">
        <f t="shared" si="269"/>
        <v>0</v>
      </c>
      <c r="AA2758" s="5">
        <f t="shared" si="270"/>
        <v>0</v>
      </c>
      <c r="AB2758" s="5">
        <f t="shared" si="271"/>
        <v>0</v>
      </c>
      <c r="AC2758" s="5"/>
      <c r="AD2758" s="5">
        <v>0</v>
      </c>
      <c r="AE2758" s="5">
        <f t="shared" si="272"/>
        <v>0</v>
      </c>
      <c r="AF2758" s="70">
        <v>0</v>
      </c>
      <c r="AG2758" s="17"/>
      <c r="AH2758" s="18"/>
      <c r="AI2758" s="47" t="s">
        <v>4346</v>
      </c>
      <c r="AJ2758" s="73" t="s">
        <v>4347</v>
      </c>
      <c r="AK2758" s="45"/>
      <c r="AL2758" s="17" t="s">
        <v>5051</v>
      </c>
      <c r="AM2758" s="121" t="s">
        <v>5119</v>
      </c>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39"/>
      <c r="CE2758" s="138"/>
      <c r="CF2758" s="139"/>
      <c r="CG2758" s="138"/>
      <c r="CH2758" s="139"/>
      <c r="CI2758" s="138"/>
      <c r="CJ2758" s="72"/>
      <c r="CK2758" s="139"/>
      <c r="CL2758" s="71"/>
      <c r="CM2758" s="139"/>
      <c r="CN2758" s="138"/>
      <c r="CO2758" s="138"/>
      <c r="CP2758" s="138"/>
      <c r="CQ2758" s="139"/>
      <c r="CR2758" s="138"/>
      <c r="CS2758" s="45"/>
      <c r="CT2758" s="138"/>
      <c r="CU2758" s="45"/>
      <c r="CV2758" s="99">
        <f t="shared" si="273"/>
        <v>0</v>
      </c>
      <c r="CW2758" s="139"/>
      <c r="CX2758" s="138"/>
      <c r="CY2758" s="138"/>
      <c r="CZ2758" s="138"/>
      <c r="DA2758" s="139"/>
      <c r="DB2758" s="138"/>
      <c r="DC2758" s="45"/>
      <c r="DD2758" s="138"/>
      <c r="DE2758" s="45"/>
      <c r="DF2758" s="46"/>
    </row>
    <row r="2759" spans="1:110" s="42" customFormat="1" ht="72" x14ac:dyDescent="0.2">
      <c r="A2759" s="89">
        <v>40870</v>
      </c>
      <c r="B2759" s="151" t="s">
        <v>4221</v>
      </c>
      <c r="C2759" s="90" t="s">
        <v>4299</v>
      </c>
      <c r="D2759" s="90" t="s">
        <v>4298</v>
      </c>
      <c r="E2759" s="90" t="str">
        <f>VLOOKUP(B2759&amp;C2759,Divipola!$C$2:$F$1138,4,FALSE)</f>
        <v>54001</v>
      </c>
      <c r="F2759" s="4"/>
      <c r="G2759" s="101"/>
      <c r="H2759" s="101">
        <v>2</v>
      </c>
      <c r="I2759" s="101"/>
      <c r="J2759" s="101"/>
      <c r="K2759" s="101"/>
      <c r="L2759" s="101">
        <v>1</v>
      </c>
      <c r="M2759" s="101"/>
      <c r="N2759" s="101"/>
      <c r="O2759" s="101"/>
      <c r="P2759" s="101"/>
      <c r="Q2759" s="101"/>
      <c r="R2759" s="101"/>
      <c r="S2759" s="101"/>
      <c r="T2759" s="101"/>
      <c r="U2759" s="101"/>
      <c r="V2759" s="101"/>
      <c r="W2759" s="19"/>
      <c r="X2759" s="17"/>
      <c r="Y2759" s="5">
        <f t="shared" si="268"/>
        <v>0</v>
      </c>
      <c r="Z2759" s="5">
        <f t="shared" si="269"/>
        <v>0</v>
      </c>
      <c r="AA2759" s="5">
        <f t="shared" si="270"/>
        <v>0</v>
      </c>
      <c r="AB2759" s="5">
        <f t="shared" si="271"/>
        <v>0</v>
      </c>
      <c r="AC2759" s="5"/>
      <c r="AD2759" s="5">
        <v>0</v>
      </c>
      <c r="AE2759" s="5">
        <f t="shared" si="272"/>
        <v>0</v>
      </c>
      <c r="AF2759" s="70">
        <v>0</v>
      </c>
      <c r="AG2759" s="17"/>
      <c r="AH2759" s="18"/>
      <c r="AI2759" s="47" t="s">
        <v>4346</v>
      </c>
      <c r="AJ2759" s="73" t="s">
        <v>5262</v>
      </c>
      <c r="AK2759" s="45"/>
      <c r="AL2759" s="17" t="s">
        <v>5263</v>
      </c>
      <c r="AM2759" s="121" t="s">
        <v>5120</v>
      </c>
      <c r="AN2759" s="19"/>
      <c r="AO2759" s="19"/>
      <c r="AP2759" s="19"/>
      <c r="AQ2759" s="19"/>
      <c r="AR2759" s="19"/>
      <c r="AS2759" s="19"/>
      <c r="AT2759" s="19"/>
      <c r="AU2759" s="19"/>
      <c r="AV2759" s="19"/>
      <c r="AW2759" s="19"/>
      <c r="AX2759" s="19"/>
      <c r="AY2759" s="19"/>
      <c r="AZ2759" s="19"/>
      <c r="BA2759" s="19"/>
      <c r="BB2759" s="19"/>
      <c r="BC2759" s="19"/>
      <c r="BD2759" s="19"/>
      <c r="BE2759" s="19"/>
      <c r="BF2759" s="19"/>
      <c r="BG2759" s="19"/>
      <c r="BH2759" s="19"/>
      <c r="BI2759" s="19"/>
      <c r="BJ2759" s="19"/>
      <c r="BK2759" s="19"/>
      <c r="BL2759" s="19"/>
      <c r="BM2759" s="19"/>
      <c r="BN2759" s="19"/>
      <c r="BO2759" s="19"/>
      <c r="BP2759" s="19"/>
      <c r="BQ2759" s="19"/>
      <c r="BR2759" s="19"/>
      <c r="BS2759" s="19"/>
      <c r="BT2759" s="19"/>
      <c r="BU2759" s="19"/>
      <c r="BV2759" s="19"/>
      <c r="BW2759" s="19"/>
      <c r="BX2759" s="19"/>
      <c r="BY2759" s="19"/>
      <c r="BZ2759" s="19"/>
      <c r="CA2759" s="19"/>
      <c r="CB2759" s="19"/>
      <c r="CC2759" s="19"/>
      <c r="CD2759" s="139"/>
      <c r="CE2759" s="138"/>
      <c r="CF2759" s="139"/>
      <c r="CG2759" s="138"/>
      <c r="CH2759" s="139"/>
      <c r="CI2759" s="138"/>
      <c r="CJ2759" s="72"/>
      <c r="CK2759" s="139"/>
      <c r="CL2759" s="71"/>
      <c r="CM2759" s="139"/>
      <c r="CN2759" s="138"/>
      <c r="CO2759" s="138"/>
      <c r="CP2759" s="138"/>
      <c r="CQ2759" s="139"/>
      <c r="CR2759" s="138"/>
      <c r="CS2759" s="45"/>
      <c r="CT2759" s="138"/>
      <c r="CU2759" s="45"/>
      <c r="CV2759" s="99">
        <f t="shared" si="273"/>
        <v>0</v>
      </c>
      <c r="CW2759" s="139"/>
      <c r="CX2759" s="138"/>
      <c r="CY2759" s="138"/>
      <c r="CZ2759" s="138"/>
      <c r="DA2759" s="139"/>
      <c r="DB2759" s="138"/>
      <c r="DC2759" s="45"/>
      <c r="DD2759" s="138"/>
      <c r="DE2759" s="45"/>
      <c r="DF2759" s="46"/>
    </row>
    <row r="2760" spans="1:110" s="42" customFormat="1" ht="264" x14ac:dyDescent="0.2">
      <c r="A2760" s="89">
        <v>40870</v>
      </c>
      <c r="B2760" s="151" t="s">
        <v>4350</v>
      </c>
      <c r="C2760" s="90" t="s">
        <v>3361</v>
      </c>
      <c r="D2760" s="90" t="s">
        <v>2362</v>
      </c>
      <c r="E2760" s="90" t="str">
        <f>VLOOKUP(B2760&amp;C2760,Divipola!$C$2:$F$1138,4,FALSE)</f>
        <v>63548</v>
      </c>
      <c r="F2760" s="4"/>
      <c r="G2760" s="101"/>
      <c r="H2760" s="101"/>
      <c r="I2760" s="101"/>
      <c r="J2760" s="101">
        <v>20</v>
      </c>
      <c r="K2760" s="101">
        <v>4</v>
      </c>
      <c r="L2760" s="101"/>
      <c r="M2760" s="101">
        <v>4</v>
      </c>
      <c r="N2760" s="101"/>
      <c r="O2760" s="101">
        <v>1</v>
      </c>
      <c r="P2760" s="101"/>
      <c r="Q2760" s="101"/>
      <c r="R2760" s="101"/>
      <c r="S2760" s="101"/>
      <c r="T2760" s="101"/>
      <c r="U2760" s="101"/>
      <c r="V2760" s="101"/>
      <c r="W2760" s="19"/>
      <c r="X2760" s="17"/>
      <c r="Y2760" s="5">
        <f t="shared" si="268"/>
        <v>0</v>
      </c>
      <c r="Z2760" s="5">
        <f t="shared" si="269"/>
        <v>0</v>
      </c>
      <c r="AA2760" s="5">
        <f t="shared" si="270"/>
        <v>0</v>
      </c>
      <c r="AB2760" s="5">
        <f t="shared" si="271"/>
        <v>0</v>
      </c>
      <c r="AC2760" s="5"/>
      <c r="AD2760" s="5">
        <v>0</v>
      </c>
      <c r="AE2760" s="5">
        <f t="shared" si="272"/>
        <v>0</v>
      </c>
      <c r="AF2760" s="70">
        <v>0</v>
      </c>
      <c r="AG2760" s="17"/>
      <c r="AH2760" s="18"/>
      <c r="AI2760" s="47" t="s">
        <v>4346</v>
      </c>
      <c r="AJ2760" s="73" t="s">
        <v>4347</v>
      </c>
      <c r="AK2760" s="45"/>
      <c r="AL2760" s="17" t="s">
        <v>5051</v>
      </c>
      <c r="AM2760" s="121" t="s">
        <v>5121</v>
      </c>
      <c r="AN2760" s="19"/>
      <c r="AO2760" s="19"/>
      <c r="AP2760" s="19"/>
      <c r="AQ2760" s="19"/>
      <c r="AR2760" s="19"/>
      <c r="AS2760" s="19"/>
      <c r="AT2760" s="19"/>
      <c r="AU2760" s="19"/>
      <c r="AV2760" s="19"/>
      <c r="AW2760" s="19"/>
      <c r="AX2760" s="19"/>
      <c r="AY2760" s="19"/>
      <c r="AZ2760" s="19"/>
      <c r="BA2760" s="19"/>
      <c r="BB2760" s="19"/>
      <c r="BC2760" s="19"/>
      <c r="BD2760" s="19"/>
      <c r="BE2760" s="19"/>
      <c r="BF2760" s="19"/>
      <c r="BG2760" s="19"/>
      <c r="BH2760" s="19"/>
      <c r="BI2760" s="19"/>
      <c r="BJ2760" s="19"/>
      <c r="BK2760" s="19"/>
      <c r="BL2760" s="19"/>
      <c r="BM2760" s="19"/>
      <c r="BN2760" s="19"/>
      <c r="BO2760" s="19"/>
      <c r="BP2760" s="19"/>
      <c r="BQ2760" s="19"/>
      <c r="BR2760" s="19"/>
      <c r="BS2760" s="19"/>
      <c r="BT2760" s="19"/>
      <c r="BU2760" s="19"/>
      <c r="BV2760" s="19"/>
      <c r="BW2760" s="19"/>
      <c r="BX2760" s="19"/>
      <c r="BY2760" s="19"/>
      <c r="BZ2760" s="19"/>
      <c r="CA2760" s="19"/>
      <c r="CB2760" s="19"/>
      <c r="CC2760" s="19"/>
      <c r="CD2760" s="139"/>
      <c r="CE2760" s="138"/>
      <c r="CF2760" s="139"/>
      <c r="CG2760" s="138"/>
      <c r="CH2760" s="139"/>
      <c r="CI2760" s="138"/>
      <c r="CJ2760" s="72"/>
      <c r="CK2760" s="139"/>
      <c r="CL2760" s="71"/>
      <c r="CM2760" s="139"/>
      <c r="CN2760" s="138"/>
      <c r="CO2760" s="138"/>
      <c r="CP2760" s="138"/>
      <c r="CQ2760" s="139"/>
      <c r="CR2760" s="138"/>
      <c r="CS2760" s="45"/>
      <c r="CT2760" s="138"/>
      <c r="CU2760" s="45"/>
      <c r="CV2760" s="99">
        <f t="shared" si="273"/>
        <v>0</v>
      </c>
      <c r="CW2760" s="139"/>
      <c r="CX2760" s="138"/>
      <c r="CY2760" s="138"/>
      <c r="CZ2760" s="138"/>
      <c r="DA2760" s="139"/>
      <c r="DB2760" s="138"/>
      <c r="DC2760" s="45"/>
      <c r="DD2760" s="138"/>
      <c r="DE2760" s="45"/>
      <c r="DF2760" s="46"/>
    </row>
    <row r="2761" spans="1:110" s="42" customFormat="1" ht="108" x14ac:dyDescent="0.2">
      <c r="A2761" s="89">
        <v>40870</v>
      </c>
      <c r="B2761" s="151" t="s">
        <v>4350</v>
      </c>
      <c r="C2761" s="90" t="s">
        <v>4282</v>
      </c>
      <c r="D2761" s="90" t="s">
        <v>4264</v>
      </c>
      <c r="E2761" s="90" t="str">
        <f>VLOOKUP(B2761&amp;C2761,Divipola!$C$2:$F$1138,4,FALSE)</f>
        <v>63212</v>
      </c>
      <c r="F2761" s="4"/>
      <c r="G2761" s="101"/>
      <c r="H2761" s="101"/>
      <c r="I2761" s="101"/>
      <c r="J2761" s="101"/>
      <c r="K2761" s="101"/>
      <c r="L2761" s="101"/>
      <c r="M2761" s="101"/>
      <c r="N2761" s="101"/>
      <c r="O2761" s="101"/>
      <c r="P2761" s="101"/>
      <c r="Q2761" s="101">
        <v>1</v>
      </c>
      <c r="R2761" s="101"/>
      <c r="S2761" s="101"/>
      <c r="T2761" s="101"/>
      <c r="U2761" s="101"/>
      <c r="V2761" s="101"/>
      <c r="W2761" s="19"/>
      <c r="X2761" s="17"/>
      <c r="Y2761" s="5">
        <f t="shared" si="268"/>
        <v>0</v>
      </c>
      <c r="Z2761" s="5">
        <f t="shared" si="269"/>
        <v>0</v>
      </c>
      <c r="AA2761" s="5">
        <f t="shared" si="270"/>
        <v>0</v>
      </c>
      <c r="AB2761" s="5">
        <f t="shared" si="271"/>
        <v>0</v>
      </c>
      <c r="AC2761" s="5"/>
      <c r="AD2761" s="5">
        <v>0</v>
      </c>
      <c r="AE2761" s="5">
        <f t="shared" si="272"/>
        <v>0</v>
      </c>
      <c r="AF2761" s="70">
        <v>0</v>
      </c>
      <c r="AG2761" s="17"/>
      <c r="AH2761" s="18"/>
      <c r="AI2761" s="47" t="s">
        <v>4346</v>
      </c>
      <c r="AJ2761" s="73" t="s">
        <v>4347</v>
      </c>
      <c r="AK2761" s="45"/>
      <c r="AL2761" s="17" t="s">
        <v>5051</v>
      </c>
      <c r="AM2761" s="121" t="s">
        <v>5122</v>
      </c>
      <c r="AN2761" s="19"/>
      <c r="AO2761" s="19"/>
      <c r="AP2761" s="19"/>
      <c r="AQ2761" s="19"/>
      <c r="AR2761" s="19"/>
      <c r="AS2761" s="19"/>
      <c r="AT2761" s="19"/>
      <c r="AU2761" s="19"/>
      <c r="AV2761" s="19"/>
      <c r="AW2761" s="19"/>
      <c r="AX2761" s="19"/>
      <c r="AY2761" s="19"/>
      <c r="AZ2761" s="19"/>
      <c r="BA2761" s="19"/>
      <c r="BB2761" s="19"/>
      <c r="BC2761" s="19"/>
      <c r="BD2761" s="19"/>
      <c r="BE2761" s="19"/>
      <c r="BF2761" s="19"/>
      <c r="BG2761" s="19"/>
      <c r="BH2761" s="19"/>
      <c r="BI2761" s="19"/>
      <c r="BJ2761" s="19"/>
      <c r="BK2761" s="19"/>
      <c r="BL2761" s="19"/>
      <c r="BM2761" s="19"/>
      <c r="BN2761" s="19"/>
      <c r="BO2761" s="19"/>
      <c r="BP2761" s="19"/>
      <c r="BQ2761" s="19"/>
      <c r="BR2761" s="19"/>
      <c r="BS2761" s="19"/>
      <c r="BT2761" s="19"/>
      <c r="BU2761" s="19"/>
      <c r="BV2761" s="19"/>
      <c r="BW2761" s="19"/>
      <c r="BX2761" s="19"/>
      <c r="BY2761" s="19"/>
      <c r="BZ2761" s="19"/>
      <c r="CA2761" s="19"/>
      <c r="CB2761" s="19"/>
      <c r="CC2761" s="19"/>
      <c r="CD2761" s="139"/>
      <c r="CE2761" s="138"/>
      <c r="CF2761" s="139"/>
      <c r="CG2761" s="138"/>
      <c r="CH2761" s="139"/>
      <c r="CI2761" s="138"/>
      <c r="CJ2761" s="72"/>
      <c r="CK2761" s="139"/>
      <c r="CL2761" s="71"/>
      <c r="CM2761" s="139"/>
      <c r="CN2761" s="138"/>
      <c r="CO2761" s="138"/>
      <c r="CP2761" s="138"/>
      <c r="CQ2761" s="139"/>
      <c r="CR2761" s="138"/>
      <c r="CS2761" s="45"/>
      <c r="CT2761" s="138"/>
      <c r="CU2761" s="45"/>
      <c r="CV2761" s="99">
        <f t="shared" si="273"/>
        <v>0</v>
      </c>
      <c r="CW2761" s="139"/>
      <c r="CX2761" s="138"/>
      <c r="CY2761" s="138"/>
      <c r="CZ2761" s="138"/>
      <c r="DA2761" s="139"/>
      <c r="DB2761" s="138"/>
      <c r="DC2761" s="45"/>
      <c r="DD2761" s="138"/>
      <c r="DE2761" s="45"/>
      <c r="DF2761" s="46"/>
    </row>
    <row r="2762" spans="1:110" s="42" customFormat="1" ht="108" x14ac:dyDescent="0.2">
      <c r="A2762" s="89">
        <v>40870</v>
      </c>
      <c r="B2762" s="197" t="s">
        <v>1116</v>
      </c>
      <c r="C2762" s="90" t="s">
        <v>1116</v>
      </c>
      <c r="D2762" s="90" t="s">
        <v>4298</v>
      </c>
      <c r="E2762" s="90" t="str">
        <f>VLOOKUP(B2762&amp;C2762,Divipola!$C$2:$F$1138,4,FALSE)</f>
        <v>11001</v>
      </c>
      <c r="F2762" s="4"/>
      <c r="G2762" s="101"/>
      <c r="H2762" s="101">
        <v>6</v>
      </c>
      <c r="I2762" s="101"/>
      <c r="J2762" s="101"/>
      <c r="K2762" s="101"/>
      <c r="L2762" s="101">
        <v>1</v>
      </c>
      <c r="M2762" s="101"/>
      <c r="N2762" s="101"/>
      <c r="O2762" s="101"/>
      <c r="P2762" s="101"/>
      <c r="Q2762" s="101"/>
      <c r="R2762" s="101"/>
      <c r="S2762" s="101"/>
      <c r="T2762" s="101"/>
      <c r="U2762" s="101"/>
      <c r="V2762" s="101"/>
      <c r="W2762" s="19"/>
      <c r="X2762" s="17"/>
      <c r="Y2762" s="5">
        <f t="shared" si="268"/>
        <v>0</v>
      </c>
      <c r="Z2762" s="5">
        <f t="shared" si="269"/>
        <v>0</v>
      </c>
      <c r="AA2762" s="5">
        <f t="shared" si="270"/>
        <v>0</v>
      </c>
      <c r="AB2762" s="5">
        <f t="shared" si="271"/>
        <v>0</v>
      </c>
      <c r="AC2762" s="5"/>
      <c r="AD2762" s="5">
        <v>0</v>
      </c>
      <c r="AE2762" s="5">
        <f t="shared" si="272"/>
        <v>0</v>
      </c>
      <c r="AF2762" s="70">
        <v>0</v>
      </c>
      <c r="AG2762" s="17"/>
      <c r="AH2762" s="18"/>
      <c r="AI2762" s="47" t="s">
        <v>4336</v>
      </c>
      <c r="AJ2762" s="73" t="s">
        <v>4337</v>
      </c>
      <c r="AK2762" s="45"/>
      <c r="AL2762" s="17"/>
      <c r="AM2762" s="121" t="s">
        <v>5123</v>
      </c>
      <c r="AN2762" s="19"/>
      <c r="AO2762" s="19"/>
      <c r="AP2762" s="19"/>
      <c r="AQ2762" s="19"/>
      <c r="AR2762" s="19"/>
      <c r="AS2762" s="19"/>
      <c r="AT2762" s="19"/>
      <c r="AU2762" s="19"/>
      <c r="AV2762" s="19"/>
      <c r="AW2762" s="19"/>
      <c r="AX2762" s="19"/>
      <c r="AY2762" s="19"/>
      <c r="AZ2762" s="19"/>
      <c r="BA2762" s="19"/>
      <c r="BB2762" s="19"/>
      <c r="BC2762" s="19"/>
      <c r="BD2762" s="19"/>
      <c r="BE2762" s="19"/>
      <c r="BF2762" s="19"/>
      <c r="BG2762" s="19"/>
      <c r="BH2762" s="19"/>
      <c r="BI2762" s="19"/>
      <c r="BJ2762" s="19"/>
      <c r="BK2762" s="19"/>
      <c r="BL2762" s="19"/>
      <c r="BM2762" s="19"/>
      <c r="BN2762" s="19"/>
      <c r="BO2762" s="19"/>
      <c r="BP2762" s="19"/>
      <c r="BQ2762" s="19"/>
      <c r="BR2762" s="19"/>
      <c r="BS2762" s="19"/>
      <c r="BT2762" s="19"/>
      <c r="BU2762" s="19"/>
      <c r="BV2762" s="19"/>
      <c r="BW2762" s="19"/>
      <c r="BX2762" s="19"/>
      <c r="BY2762" s="19"/>
      <c r="BZ2762" s="19"/>
      <c r="CA2762" s="19"/>
      <c r="CB2762" s="19"/>
      <c r="CC2762" s="19"/>
      <c r="CD2762" s="139"/>
      <c r="CE2762" s="138"/>
      <c r="CF2762" s="139"/>
      <c r="CG2762" s="138"/>
      <c r="CH2762" s="139"/>
      <c r="CI2762" s="138"/>
      <c r="CJ2762" s="72"/>
      <c r="CK2762" s="139"/>
      <c r="CL2762" s="71"/>
      <c r="CM2762" s="139"/>
      <c r="CN2762" s="138"/>
      <c r="CO2762" s="138"/>
      <c r="CP2762" s="138"/>
      <c r="CQ2762" s="139"/>
      <c r="CR2762" s="138"/>
      <c r="CS2762" s="45"/>
      <c r="CT2762" s="138"/>
      <c r="CU2762" s="45"/>
      <c r="CV2762" s="99">
        <f t="shared" si="273"/>
        <v>0</v>
      </c>
      <c r="CW2762" s="139"/>
      <c r="CX2762" s="138"/>
      <c r="CY2762" s="138"/>
      <c r="CZ2762" s="138"/>
      <c r="DA2762" s="139"/>
      <c r="DB2762" s="138"/>
      <c r="DC2762" s="45"/>
      <c r="DD2762" s="138"/>
      <c r="DE2762" s="45"/>
      <c r="DF2762" s="46"/>
    </row>
    <row r="2763" spans="1:110" s="42" customFormat="1" ht="48" x14ac:dyDescent="0.2">
      <c r="A2763" s="89">
        <v>40870</v>
      </c>
      <c r="B2763" s="151" t="s">
        <v>2226</v>
      </c>
      <c r="C2763" s="90" t="s">
        <v>2263</v>
      </c>
      <c r="D2763" s="90" t="s">
        <v>4264</v>
      </c>
      <c r="E2763" s="90" t="str">
        <f>VLOOKUP(B2763&amp;C2763,Divipola!$C$2:$F$1138,4,FALSE)</f>
        <v>68780</v>
      </c>
      <c r="F2763" s="4"/>
      <c r="G2763" s="101"/>
      <c r="H2763" s="101"/>
      <c r="I2763" s="101"/>
      <c r="J2763" s="101"/>
      <c r="K2763" s="101"/>
      <c r="L2763" s="101"/>
      <c r="M2763" s="101"/>
      <c r="N2763" s="101"/>
      <c r="O2763" s="101"/>
      <c r="P2763" s="101"/>
      <c r="Q2763" s="101"/>
      <c r="R2763" s="101"/>
      <c r="S2763" s="101">
        <v>1</v>
      </c>
      <c r="T2763" s="101"/>
      <c r="U2763" s="101"/>
      <c r="V2763" s="101"/>
      <c r="W2763" s="19"/>
      <c r="X2763" s="17"/>
      <c r="Y2763" s="5">
        <f t="shared" si="268"/>
        <v>0</v>
      </c>
      <c r="Z2763" s="5">
        <f t="shared" si="269"/>
        <v>0</v>
      </c>
      <c r="AA2763" s="5">
        <f t="shared" si="270"/>
        <v>0</v>
      </c>
      <c r="AB2763" s="5">
        <f t="shared" si="271"/>
        <v>0</v>
      </c>
      <c r="AC2763" s="5"/>
      <c r="AD2763" s="5">
        <v>0</v>
      </c>
      <c r="AE2763" s="5">
        <f t="shared" si="272"/>
        <v>0</v>
      </c>
      <c r="AF2763" s="70">
        <v>0</v>
      </c>
      <c r="AG2763" s="17"/>
      <c r="AH2763" s="18"/>
      <c r="AI2763" s="47" t="s">
        <v>4346</v>
      </c>
      <c r="AJ2763" s="73" t="s">
        <v>4347</v>
      </c>
      <c r="AK2763" s="45"/>
      <c r="AL2763" s="17" t="s">
        <v>5534</v>
      </c>
      <c r="AM2763" s="121" t="s">
        <v>5124</v>
      </c>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c r="BV2763" s="19"/>
      <c r="BW2763" s="19"/>
      <c r="BX2763" s="19"/>
      <c r="BY2763" s="19"/>
      <c r="BZ2763" s="19"/>
      <c r="CA2763" s="19"/>
      <c r="CB2763" s="19"/>
      <c r="CC2763" s="19"/>
      <c r="CD2763" s="139"/>
      <c r="CE2763" s="138"/>
      <c r="CF2763" s="139"/>
      <c r="CG2763" s="138"/>
      <c r="CH2763" s="139"/>
      <c r="CI2763" s="138"/>
      <c r="CJ2763" s="72"/>
      <c r="CK2763" s="139"/>
      <c r="CL2763" s="71"/>
      <c r="CM2763" s="139"/>
      <c r="CN2763" s="138"/>
      <c r="CO2763" s="138"/>
      <c r="CP2763" s="138"/>
      <c r="CQ2763" s="139"/>
      <c r="CR2763" s="138"/>
      <c r="CS2763" s="45"/>
      <c r="CT2763" s="138"/>
      <c r="CU2763" s="45"/>
      <c r="CV2763" s="99">
        <f t="shared" si="273"/>
        <v>0</v>
      </c>
      <c r="CW2763" s="139"/>
      <c r="CX2763" s="138"/>
      <c r="CY2763" s="138"/>
      <c r="CZ2763" s="138"/>
      <c r="DA2763" s="139"/>
      <c r="DB2763" s="138"/>
      <c r="DC2763" s="45"/>
      <c r="DD2763" s="138"/>
      <c r="DE2763" s="45"/>
      <c r="DF2763" s="46"/>
    </row>
    <row r="2764" spans="1:110" s="42" customFormat="1" x14ac:dyDescent="0.2">
      <c r="A2764" s="89">
        <v>40870</v>
      </c>
      <c r="B2764" s="151" t="s">
        <v>2225</v>
      </c>
      <c r="C2764" s="90" t="s">
        <v>3465</v>
      </c>
      <c r="D2764" s="90" t="s">
        <v>4264</v>
      </c>
      <c r="E2764" s="90" t="str">
        <f>VLOOKUP(B2764&amp;C2764,Divipola!$C$2:$F$1138,4,FALSE)</f>
        <v>27491</v>
      </c>
      <c r="F2764" s="4"/>
      <c r="G2764" s="208"/>
      <c r="H2764" s="208"/>
      <c r="I2764" s="208"/>
      <c r="J2764" s="208"/>
      <c r="K2764" s="208"/>
      <c r="L2764" s="208"/>
      <c r="M2764" s="208"/>
      <c r="N2764" s="208"/>
      <c r="O2764" s="208"/>
      <c r="P2764" s="208"/>
      <c r="Q2764" s="208"/>
      <c r="R2764" s="208"/>
      <c r="S2764" s="208"/>
      <c r="T2764" s="208"/>
      <c r="U2764" s="208"/>
      <c r="V2764" s="208"/>
      <c r="W2764" s="19"/>
      <c r="X2764" s="17"/>
      <c r="Y2764" s="5">
        <f t="shared" si="268"/>
        <v>0</v>
      </c>
      <c r="Z2764" s="5">
        <f t="shared" si="269"/>
        <v>156600000</v>
      </c>
      <c r="AA2764" s="5">
        <f t="shared" si="270"/>
        <v>0</v>
      </c>
      <c r="AB2764" s="5">
        <f t="shared" si="271"/>
        <v>0</v>
      </c>
      <c r="AC2764" s="5"/>
      <c r="AD2764" s="5">
        <v>0</v>
      </c>
      <c r="AE2764" s="5">
        <f t="shared" si="272"/>
        <v>156600000</v>
      </c>
      <c r="AF2764" s="70">
        <v>0</v>
      </c>
      <c r="AG2764" s="17"/>
      <c r="AH2764" s="18"/>
      <c r="AI2764" s="47" t="s">
        <v>4346</v>
      </c>
      <c r="AJ2764" s="73" t="s">
        <v>4347</v>
      </c>
      <c r="AK2764" s="45"/>
      <c r="AL2764" s="17"/>
      <c r="AM2764" s="20"/>
      <c r="AN2764" s="19"/>
      <c r="AO2764" s="19"/>
      <c r="AP2764" s="19"/>
      <c r="AQ2764" s="19"/>
      <c r="AR2764" s="19"/>
      <c r="AS2764" s="19"/>
      <c r="AT2764" s="19"/>
      <c r="AU2764" s="19"/>
      <c r="AV2764" s="19"/>
      <c r="AW2764" s="19"/>
      <c r="AX2764" s="19"/>
      <c r="AY2764" s="19"/>
      <c r="AZ2764" s="19"/>
      <c r="BA2764" s="19"/>
      <c r="BB2764" s="19"/>
      <c r="BC2764" s="19"/>
      <c r="BD2764" s="19"/>
      <c r="BE2764" s="19"/>
      <c r="BF2764" s="19"/>
      <c r="BG2764" s="19"/>
      <c r="BH2764" s="19"/>
      <c r="BI2764" s="19"/>
      <c r="BJ2764" s="19"/>
      <c r="BK2764" s="19"/>
      <c r="BL2764" s="19"/>
      <c r="BM2764" s="19"/>
      <c r="BN2764" s="19"/>
      <c r="BO2764" s="19"/>
      <c r="BP2764" s="19"/>
      <c r="BQ2764" s="19"/>
      <c r="BR2764" s="19"/>
      <c r="BS2764" s="19"/>
      <c r="BT2764" s="19"/>
      <c r="BU2764" s="19"/>
      <c r="BV2764" s="19"/>
      <c r="BW2764" s="19"/>
      <c r="BX2764" s="19"/>
      <c r="BY2764" s="19"/>
      <c r="BZ2764" s="19"/>
      <c r="CA2764" s="19"/>
      <c r="CB2764" s="19"/>
      <c r="CC2764" s="19"/>
      <c r="CD2764" s="139"/>
      <c r="CE2764" s="138"/>
      <c r="CF2764" s="139"/>
      <c r="CG2764" s="138"/>
      <c r="CH2764" s="139"/>
      <c r="CI2764" s="138"/>
      <c r="CJ2764" s="72"/>
      <c r="CK2764" s="139"/>
      <c r="CL2764" s="71"/>
      <c r="CM2764" s="139"/>
      <c r="CN2764" s="138"/>
      <c r="CO2764" s="138"/>
      <c r="CP2764" s="138"/>
      <c r="CQ2764" s="139"/>
      <c r="CR2764" s="138"/>
      <c r="CS2764" s="45"/>
      <c r="CT2764" s="138"/>
      <c r="CU2764" s="45"/>
      <c r="CV2764" s="99">
        <f t="shared" si="273"/>
        <v>0</v>
      </c>
      <c r="CW2764" s="139"/>
      <c r="CX2764" s="138"/>
      <c r="CY2764" s="138">
        <v>1800</v>
      </c>
      <c r="CZ2764" s="138">
        <f>1800*87000</f>
        <v>156600000</v>
      </c>
      <c r="DA2764" s="139"/>
      <c r="DB2764" s="138"/>
      <c r="DC2764" s="45"/>
      <c r="DD2764" s="138"/>
      <c r="DE2764" s="45"/>
      <c r="DF2764" s="46"/>
    </row>
    <row r="2765" spans="1:110" s="42" customFormat="1" ht="48" x14ac:dyDescent="0.2">
      <c r="A2765" s="89">
        <v>40871</v>
      </c>
      <c r="B2765" s="16" t="s">
        <v>4352</v>
      </c>
      <c r="C2765" s="16" t="s">
        <v>2511</v>
      </c>
      <c r="D2765" s="90" t="s">
        <v>4264</v>
      </c>
      <c r="E2765" s="90" t="str">
        <f>VLOOKUP(B2765&amp;C2765,Divipola!$C$2:$F$1138,4,FALSE)</f>
        <v>13433</v>
      </c>
      <c r="F2765" s="4"/>
      <c r="G2765" s="208"/>
      <c r="H2765" s="208"/>
      <c r="I2765" s="208"/>
      <c r="J2765" s="208"/>
      <c r="K2765" s="208"/>
      <c r="L2765" s="208"/>
      <c r="M2765" s="208"/>
      <c r="N2765" s="208">
        <v>1</v>
      </c>
      <c r="O2765" s="208"/>
      <c r="P2765" s="208"/>
      <c r="Q2765" s="208"/>
      <c r="R2765" s="208"/>
      <c r="S2765" s="208"/>
      <c r="T2765" s="208"/>
      <c r="U2765" s="208"/>
      <c r="V2765" s="208"/>
      <c r="W2765" s="19"/>
      <c r="X2765" s="17"/>
      <c r="Y2765" s="5">
        <f t="shared" si="268"/>
        <v>0</v>
      </c>
      <c r="Z2765" s="5">
        <f t="shared" si="269"/>
        <v>0</v>
      </c>
      <c r="AA2765" s="5">
        <f t="shared" si="270"/>
        <v>0</v>
      </c>
      <c r="AB2765" s="5">
        <f t="shared" si="271"/>
        <v>0</v>
      </c>
      <c r="AC2765" s="5"/>
      <c r="AD2765" s="5">
        <v>40000000</v>
      </c>
      <c r="AE2765" s="5">
        <f t="shared" si="272"/>
        <v>40000000</v>
      </c>
      <c r="AF2765" s="70">
        <v>0</v>
      </c>
      <c r="AG2765" s="17"/>
      <c r="AH2765" s="18"/>
      <c r="AI2765" s="47" t="s">
        <v>4346</v>
      </c>
      <c r="AJ2765" s="73" t="s">
        <v>4347</v>
      </c>
      <c r="AK2765" s="45"/>
      <c r="AL2765" s="17"/>
      <c r="AM2765" s="20" t="s">
        <v>5118</v>
      </c>
      <c r="AN2765" s="19"/>
      <c r="AO2765" s="19"/>
      <c r="AP2765" s="19"/>
      <c r="AQ2765" s="19"/>
      <c r="AR2765" s="19"/>
      <c r="AS2765" s="19"/>
      <c r="AT2765" s="19"/>
      <c r="AU2765" s="19"/>
      <c r="AV2765" s="19"/>
      <c r="AW2765" s="19"/>
      <c r="AX2765" s="19"/>
      <c r="AY2765" s="19"/>
      <c r="AZ2765" s="19"/>
      <c r="BA2765" s="19"/>
      <c r="BB2765" s="19"/>
      <c r="BC2765" s="19"/>
      <c r="BD2765" s="19"/>
      <c r="BE2765" s="19"/>
      <c r="BF2765" s="19"/>
      <c r="BG2765" s="19"/>
      <c r="BH2765" s="19"/>
      <c r="BI2765" s="19"/>
      <c r="BJ2765" s="19"/>
      <c r="BK2765" s="19"/>
      <c r="BL2765" s="19"/>
      <c r="BM2765" s="19"/>
      <c r="BN2765" s="19"/>
      <c r="BO2765" s="19"/>
      <c r="BP2765" s="19"/>
      <c r="BQ2765" s="19"/>
      <c r="BR2765" s="19"/>
      <c r="BS2765" s="19"/>
      <c r="BT2765" s="19"/>
      <c r="BU2765" s="19"/>
      <c r="BV2765" s="19"/>
      <c r="BW2765" s="19"/>
      <c r="BX2765" s="19"/>
      <c r="BY2765" s="19"/>
      <c r="BZ2765" s="19"/>
      <c r="CA2765" s="19"/>
      <c r="CB2765" s="19"/>
      <c r="CC2765" s="19"/>
      <c r="CD2765" s="139"/>
      <c r="CE2765" s="138"/>
      <c r="CF2765" s="139"/>
      <c r="CG2765" s="138"/>
      <c r="CH2765" s="139"/>
      <c r="CI2765" s="138"/>
      <c r="CJ2765" s="72"/>
      <c r="CK2765" s="139"/>
      <c r="CL2765" s="71"/>
      <c r="CM2765" s="139"/>
      <c r="CN2765" s="138"/>
      <c r="CO2765" s="138"/>
      <c r="CP2765" s="138"/>
      <c r="CQ2765" s="139"/>
      <c r="CR2765" s="138"/>
      <c r="CS2765" s="45"/>
      <c r="CT2765" s="138"/>
      <c r="CU2765" s="45"/>
      <c r="CV2765" s="99">
        <f t="shared" si="273"/>
        <v>0</v>
      </c>
      <c r="CW2765" s="139"/>
      <c r="CX2765" s="138"/>
      <c r="CY2765" s="138"/>
      <c r="CZ2765" s="138"/>
      <c r="DA2765" s="139"/>
      <c r="DB2765" s="138"/>
      <c r="DC2765" s="45"/>
      <c r="DD2765" s="138"/>
      <c r="DE2765" s="45"/>
      <c r="DF2765" s="46"/>
    </row>
    <row r="2766" spans="1:110" s="42" customFormat="1" ht="318.75" x14ac:dyDescent="0.2">
      <c r="A2766" s="89">
        <v>40871</v>
      </c>
      <c r="B2766" s="151" t="s">
        <v>4344</v>
      </c>
      <c r="C2766" s="90" t="s">
        <v>3450</v>
      </c>
      <c r="D2766" s="90" t="s">
        <v>4264</v>
      </c>
      <c r="E2766" s="90" t="str">
        <f>VLOOKUP(B2766&amp;C2766,Divipola!$C$2:$F$1138,4,FALSE)</f>
        <v>25175</v>
      </c>
      <c r="F2766" s="4"/>
      <c r="G2766" s="101"/>
      <c r="H2766" s="101"/>
      <c r="I2766" s="101"/>
      <c r="J2766" s="101">
        <v>40</v>
      </c>
      <c r="K2766" s="101">
        <v>8</v>
      </c>
      <c r="L2766" s="101"/>
      <c r="M2766" s="101">
        <v>8</v>
      </c>
      <c r="N2766" s="101"/>
      <c r="O2766" s="101"/>
      <c r="P2766" s="101"/>
      <c r="Q2766" s="101"/>
      <c r="R2766" s="101"/>
      <c r="S2766" s="101"/>
      <c r="T2766" s="101"/>
      <c r="U2766" s="101"/>
      <c r="V2766" s="101"/>
      <c r="W2766" s="19"/>
      <c r="X2766" s="17"/>
      <c r="Y2766" s="5">
        <f t="shared" si="268"/>
        <v>0</v>
      </c>
      <c r="Z2766" s="5">
        <f t="shared" si="269"/>
        <v>0</v>
      </c>
      <c r="AA2766" s="5">
        <f t="shared" si="270"/>
        <v>0</v>
      </c>
      <c r="AB2766" s="5">
        <f t="shared" si="271"/>
        <v>0</v>
      </c>
      <c r="AC2766" s="5"/>
      <c r="AD2766" s="5">
        <v>0</v>
      </c>
      <c r="AE2766" s="5">
        <f t="shared" si="272"/>
        <v>0</v>
      </c>
      <c r="AF2766" s="70">
        <v>0</v>
      </c>
      <c r="AG2766" s="17"/>
      <c r="AH2766" s="18"/>
      <c r="AI2766" s="47" t="s">
        <v>4336</v>
      </c>
      <c r="AJ2766" s="73" t="s">
        <v>4337</v>
      </c>
      <c r="AK2766" s="45"/>
      <c r="AL2766" s="17"/>
      <c r="AM2766" s="228" t="s">
        <v>5128</v>
      </c>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39"/>
      <c r="CE2766" s="138"/>
      <c r="CF2766" s="139"/>
      <c r="CG2766" s="138"/>
      <c r="CH2766" s="139"/>
      <c r="CI2766" s="138"/>
      <c r="CJ2766" s="72"/>
      <c r="CK2766" s="139"/>
      <c r="CL2766" s="71"/>
      <c r="CM2766" s="139"/>
      <c r="CN2766" s="138"/>
      <c r="CO2766" s="138"/>
      <c r="CP2766" s="138"/>
      <c r="CQ2766" s="139"/>
      <c r="CR2766" s="138"/>
      <c r="CS2766" s="45"/>
      <c r="CT2766" s="138"/>
      <c r="CU2766" s="45"/>
      <c r="CV2766" s="99">
        <f t="shared" si="273"/>
        <v>0</v>
      </c>
      <c r="CW2766" s="139"/>
      <c r="CX2766" s="138"/>
      <c r="CY2766" s="138"/>
      <c r="CZ2766" s="138"/>
      <c r="DA2766" s="139"/>
      <c r="DB2766" s="138"/>
      <c r="DC2766" s="45"/>
      <c r="DD2766" s="138"/>
      <c r="DE2766" s="45"/>
      <c r="DF2766" s="46"/>
    </row>
    <row r="2767" spans="1:110" s="42" customFormat="1" ht="60" x14ac:dyDescent="0.2">
      <c r="A2767" s="89">
        <v>40871</v>
      </c>
      <c r="B2767" s="151" t="s">
        <v>4219</v>
      </c>
      <c r="C2767" s="90" t="s">
        <v>2232</v>
      </c>
      <c r="D2767" s="90" t="s">
        <v>2362</v>
      </c>
      <c r="E2767" s="90" t="str">
        <f>VLOOKUP(B2767&amp;C2767,Divipola!$C$2:$F$1138,4,FALSE)</f>
        <v>41551</v>
      </c>
      <c r="F2767" s="4"/>
      <c r="G2767" s="101"/>
      <c r="H2767" s="101"/>
      <c r="I2767" s="101"/>
      <c r="J2767" s="101">
        <v>6</v>
      </c>
      <c r="K2767" s="101">
        <v>1</v>
      </c>
      <c r="L2767" s="101">
        <v>1</v>
      </c>
      <c r="M2767" s="101"/>
      <c r="N2767" s="101"/>
      <c r="O2767" s="101"/>
      <c r="P2767" s="101"/>
      <c r="Q2767" s="101"/>
      <c r="R2767" s="101"/>
      <c r="S2767" s="101"/>
      <c r="T2767" s="101"/>
      <c r="U2767" s="101"/>
      <c r="V2767" s="101"/>
      <c r="W2767" s="19"/>
      <c r="X2767" s="17"/>
      <c r="Y2767" s="5">
        <f t="shared" si="268"/>
        <v>0</v>
      </c>
      <c r="Z2767" s="5">
        <f t="shared" si="269"/>
        <v>0</v>
      </c>
      <c r="AA2767" s="5">
        <f t="shared" si="270"/>
        <v>0</v>
      </c>
      <c r="AB2767" s="5">
        <f t="shared" si="271"/>
        <v>0</v>
      </c>
      <c r="AC2767" s="5"/>
      <c r="AD2767" s="5">
        <v>0</v>
      </c>
      <c r="AE2767" s="5">
        <f t="shared" si="272"/>
        <v>0</v>
      </c>
      <c r="AF2767" s="70">
        <v>0</v>
      </c>
      <c r="AG2767" s="17"/>
      <c r="AH2767" s="18"/>
      <c r="AI2767" s="47" t="s">
        <v>4346</v>
      </c>
      <c r="AJ2767" s="73" t="s">
        <v>4347</v>
      </c>
      <c r="AK2767" s="45"/>
      <c r="AL2767" s="89" t="s">
        <v>2798</v>
      </c>
      <c r="AM2767" s="121" t="s">
        <v>5129</v>
      </c>
      <c r="AN2767" s="19"/>
      <c r="AO2767" s="19"/>
      <c r="AP2767" s="19"/>
      <c r="AQ2767" s="19"/>
      <c r="AR2767" s="19"/>
      <c r="AS2767" s="19"/>
      <c r="AT2767" s="19"/>
      <c r="AU2767" s="19"/>
      <c r="AV2767" s="19"/>
      <c r="AW2767" s="19"/>
      <c r="AX2767" s="19"/>
      <c r="AY2767" s="19"/>
      <c r="AZ2767" s="19"/>
      <c r="BA2767" s="19"/>
      <c r="BB2767" s="19"/>
      <c r="BC2767" s="19"/>
      <c r="BD2767" s="19"/>
      <c r="BE2767" s="19"/>
      <c r="BF2767" s="19"/>
      <c r="BG2767" s="19"/>
      <c r="BH2767" s="19"/>
      <c r="BI2767" s="19"/>
      <c r="BJ2767" s="19"/>
      <c r="BK2767" s="19"/>
      <c r="BL2767" s="19"/>
      <c r="BM2767" s="19"/>
      <c r="BN2767" s="19"/>
      <c r="BO2767" s="19"/>
      <c r="BP2767" s="19"/>
      <c r="BQ2767" s="19"/>
      <c r="BR2767" s="19"/>
      <c r="BS2767" s="19"/>
      <c r="BT2767" s="19"/>
      <c r="BU2767" s="19"/>
      <c r="BV2767" s="19"/>
      <c r="BW2767" s="19"/>
      <c r="BX2767" s="19"/>
      <c r="BY2767" s="19"/>
      <c r="BZ2767" s="19"/>
      <c r="CA2767" s="19"/>
      <c r="CB2767" s="19"/>
      <c r="CC2767" s="19"/>
      <c r="CD2767" s="139"/>
      <c r="CE2767" s="138"/>
      <c r="CF2767" s="139"/>
      <c r="CG2767" s="138"/>
      <c r="CH2767" s="139"/>
      <c r="CI2767" s="138"/>
      <c r="CJ2767" s="72"/>
      <c r="CK2767" s="139"/>
      <c r="CL2767" s="71"/>
      <c r="CM2767" s="139"/>
      <c r="CN2767" s="138"/>
      <c r="CO2767" s="138"/>
      <c r="CP2767" s="138"/>
      <c r="CQ2767" s="139"/>
      <c r="CR2767" s="138"/>
      <c r="CS2767" s="45"/>
      <c r="CT2767" s="138"/>
      <c r="CU2767" s="45"/>
      <c r="CV2767" s="99">
        <f t="shared" si="273"/>
        <v>0</v>
      </c>
      <c r="CW2767" s="139"/>
      <c r="CX2767" s="138"/>
      <c r="CY2767" s="138"/>
      <c r="CZ2767" s="138"/>
      <c r="DA2767" s="139"/>
      <c r="DB2767" s="138"/>
      <c r="DC2767" s="45"/>
      <c r="DD2767" s="138"/>
      <c r="DE2767" s="45"/>
      <c r="DF2767" s="46"/>
    </row>
    <row r="2768" spans="1:110" s="42" customFormat="1" ht="60" x14ac:dyDescent="0.2">
      <c r="A2768" s="89">
        <v>40871</v>
      </c>
      <c r="B2768" s="151" t="s">
        <v>874</v>
      </c>
      <c r="C2768" s="90" t="s">
        <v>724</v>
      </c>
      <c r="D2768" s="90" t="s">
        <v>4264</v>
      </c>
      <c r="E2768" s="90" t="str">
        <f>VLOOKUP(B2768&amp;C2768,Divipola!$C$2:$F$1138,4,FALSE)</f>
        <v>44430</v>
      </c>
      <c r="F2768" s="4"/>
      <c r="G2768" s="101"/>
      <c r="H2768" s="101"/>
      <c r="I2768" s="101"/>
      <c r="J2768" s="101">
        <v>6000</v>
      </c>
      <c r="K2768" s="101">
        <v>1200</v>
      </c>
      <c r="L2768" s="101"/>
      <c r="M2768" s="101">
        <v>1200</v>
      </c>
      <c r="N2768" s="101"/>
      <c r="O2768" s="101"/>
      <c r="P2768" s="101"/>
      <c r="Q2768" s="101"/>
      <c r="R2768" s="101"/>
      <c r="S2768" s="101"/>
      <c r="T2768" s="101"/>
      <c r="U2768" s="101"/>
      <c r="V2768" s="101"/>
      <c r="W2768" s="19"/>
      <c r="X2768" s="17"/>
      <c r="Y2768" s="5">
        <f t="shared" si="268"/>
        <v>0</v>
      </c>
      <c r="Z2768" s="5">
        <f t="shared" si="269"/>
        <v>104400000</v>
      </c>
      <c r="AA2768" s="5">
        <f t="shared" si="270"/>
        <v>0</v>
      </c>
      <c r="AB2768" s="5">
        <f t="shared" si="271"/>
        <v>0</v>
      </c>
      <c r="AC2768" s="5"/>
      <c r="AD2768" s="5">
        <v>0</v>
      </c>
      <c r="AE2768" s="5">
        <f t="shared" si="272"/>
        <v>104400000</v>
      </c>
      <c r="AF2768" s="70">
        <v>0</v>
      </c>
      <c r="AG2768" s="17"/>
      <c r="AH2768" s="18"/>
      <c r="AI2768" s="47" t="s">
        <v>4346</v>
      </c>
      <c r="AJ2768" s="73" t="s">
        <v>4347</v>
      </c>
      <c r="AK2768" s="45"/>
      <c r="AL2768" s="17"/>
      <c r="AM2768" s="121" t="s">
        <v>5133</v>
      </c>
      <c r="AN2768" s="19"/>
      <c r="AO2768" s="19"/>
      <c r="AP2768" s="19"/>
      <c r="AQ2768" s="19"/>
      <c r="AR2768" s="19"/>
      <c r="AS2768" s="19"/>
      <c r="AT2768" s="19"/>
      <c r="AU2768" s="19"/>
      <c r="AV2768" s="19"/>
      <c r="AW2768" s="19"/>
      <c r="AX2768" s="19"/>
      <c r="AY2768" s="19"/>
      <c r="AZ2768" s="19"/>
      <c r="BA2768" s="19"/>
      <c r="BB2768" s="19"/>
      <c r="BC2768" s="19"/>
      <c r="BD2768" s="19"/>
      <c r="BE2768" s="19"/>
      <c r="BF2768" s="19"/>
      <c r="BG2768" s="19"/>
      <c r="BH2768" s="19"/>
      <c r="BI2768" s="19"/>
      <c r="BJ2768" s="19"/>
      <c r="BK2768" s="19"/>
      <c r="BL2768" s="19"/>
      <c r="BM2768" s="19"/>
      <c r="BN2768" s="19"/>
      <c r="BO2768" s="19"/>
      <c r="BP2768" s="19"/>
      <c r="BQ2768" s="19"/>
      <c r="BR2768" s="19"/>
      <c r="BS2768" s="19"/>
      <c r="BT2768" s="19"/>
      <c r="BU2768" s="19"/>
      <c r="BV2768" s="19"/>
      <c r="BW2768" s="19"/>
      <c r="BX2768" s="19"/>
      <c r="BY2768" s="19"/>
      <c r="BZ2768" s="19"/>
      <c r="CA2768" s="19"/>
      <c r="CB2768" s="19"/>
      <c r="CC2768" s="19"/>
      <c r="CD2768" s="139"/>
      <c r="CE2768" s="138"/>
      <c r="CF2768" s="139"/>
      <c r="CG2768" s="138"/>
      <c r="CH2768" s="139"/>
      <c r="CI2768" s="138"/>
      <c r="CJ2768" s="72"/>
      <c r="CK2768" s="139"/>
      <c r="CL2768" s="71"/>
      <c r="CM2768" s="139"/>
      <c r="CN2768" s="138"/>
      <c r="CO2768" s="138"/>
      <c r="CP2768" s="138"/>
      <c r="CQ2768" s="139"/>
      <c r="CR2768" s="138"/>
      <c r="CS2768" s="45"/>
      <c r="CT2768" s="138"/>
      <c r="CU2768" s="45"/>
      <c r="CV2768" s="99">
        <f t="shared" si="273"/>
        <v>0</v>
      </c>
      <c r="CW2768" s="139"/>
      <c r="CX2768" s="138"/>
      <c r="CY2768" s="138">
        <v>1200</v>
      </c>
      <c r="CZ2768" s="138">
        <f>1200*87000</f>
        <v>104400000</v>
      </c>
      <c r="DA2768" s="139"/>
      <c r="DB2768" s="138"/>
      <c r="DC2768" s="45"/>
      <c r="DD2768" s="138"/>
      <c r="DE2768" s="45"/>
      <c r="DF2768" s="46"/>
    </row>
    <row r="2769" spans="1:110" s="42" customFormat="1" ht="48" x14ac:dyDescent="0.2">
      <c r="A2769" s="89">
        <v>40871</v>
      </c>
      <c r="B2769" s="151" t="s">
        <v>874</v>
      </c>
      <c r="C2769" s="90" t="s">
        <v>710</v>
      </c>
      <c r="D2769" s="90" t="s">
        <v>4264</v>
      </c>
      <c r="E2769" s="90" t="str">
        <f>VLOOKUP(B2769&amp;C2769,Divipola!$C$2:$F$1138,4,FALSE)</f>
        <v>44090</v>
      </c>
      <c r="F2769" s="4"/>
      <c r="G2769" s="101"/>
      <c r="H2769" s="101"/>
      <c r="I2769" s="101"/>
      <c r="J2769" s="101"/>
      <c r="K2769" s="101"/>
      <c r="L2769" s="101"/>
      <c r="M2769" s="101"/>
      <c r="N2769" s="101"/>
      <c r="O2769" s="101"/>
      <c r="P2769" s="101"/>
      <c r="Q2769" s="101"/>
      <c r="R2769" s="101"/>
      <c r="S2769" s="101"/>
      <c r="T2769" s="101"/>
      <c r="U2769" s="101"/>
      <c r="V2769" s="101"/>
      <c r="W2769" s="19"/>
      <c r="X2769" s="17"/>
      <c r="Y2769" s="5">
        <f t="shared" si="268"/>
        <v>0</v>
      </c>
      <c r="Z2769" s="5">
        <f t="shared" si="269"/>
        <v>0</v>
      </c>
      <c r="AA2769" s="5">
        <f t="shared" si="270"/>
        <v>0</v>
      </c>
      <c r="AB2769" s="5">
        <f t="shared" si="271"/>
        <v>0</v>
      </c>
      <c r="AC2769" s="5"/>
      <c r="AD2769" s="5">
        <v>0</v>
      </c>
      <c r="AE2769" s="5">
        <f t="shared" si="272"/>
        <v>0</v>
      </c>
      <c r="AF2769" s="70">
        <v>0</v>
      </c>
      <c r="AG2769" s="17"/>
      <c r="AH2769" s="18"/>
      <c r="AI2769" s="47" t="s">
        <v>4336</v>
      </c>
      <c r="AJ2769" s="73" t="s">
        <v>4337</v>
      </c>
      <c r="AK2769" s="45"/>
      <c r="AL2769" s="17"/>
      <c r="AM2769" s="121" t="s">
        <v>5134</v>
      </c>
      <c r="AN2769" s="19"/>
      <c r="AO2769" s="19"/>
      <c r="AP2769" s="19"/>
      <c r="AQ2769" s="19"/>
      <c r="AR2769" s="19"/>
      <c r="AS2769" s="19"/>
      <c r="AT2769" s="19"/>
      <c r="AU2769" s="19"/>
      <c r="AV2769" s="19"/>
      <c r="AW2769" s="19"/>
      <c r="AX2769" s="19"/>
      <c r="AY2769" s="19"/>
      <c r="AZ2769" s="19"/>
      <c r="BA2769" s="19"/>
      <c r="BB2769" s="19"/>
      <c r="BC2769" s="19"/>
      <c r="BD2769" s="19"/>
      <c r="BE2769" s="19"/>
      <c r="BF2769" s="19"/>
      <c r="BG2769" s="19"/>
      <c r="BH2769" s="19"/>
      <c r="BI2769" s="19"/>
      <c r="BJ2769" s="19"/>
      <c r="BK2769" s="19"/>
      <c r="BL2769" s="19"/>
      <c r="BM2769" s="19"/>
      <c r="BN2769" s="19"/>
      <c r="BO2769" s="19"/>
      <c r="BP2769" s="19"/>
      <c r="BQ2769" s="19"/>
      <c r="BR2769" s="19"/>
      <c r="BS2769" s="19"/>
      <c r="BT2769" s="19"/>
      <c r="BU2769" s="19"/>
      <c r="BV2769" s="19"/>
      <c r="BW2769" s="19"/>
      <c r="BX2769" s="19"/>
      <c r="BY2769" s="19"/>
      <c r="BZ2769" s="19"/>
      <c r="CA2769" s="19"/>
      <c r="CB2769" s="19"/>
      <c r="CC2769" s="19"/>
      <c r="CD2769" s="139"/>
      <c r="CE2769" s="138"/>
      <c r="CF2769" s="139"/>
      <c r="CG2769" s="138"/>
      <c r="CH2769" s="139"/>
      <c r="CI2769" s="138"/>
      <c r="CJ2769" s="72"/>
      <c r="CK2769" s="139"/>
      <c r="CL2769" s="71"/>
      <c r="CM2769" s="139"/>
      <c r="CN2769" s="138"/>
      <c r="CO2769" s="138"/>
      <c r="CP2769" s="138"/>
      <c r="CQ2769" s="139"/>
      <c r="CR2769" s="138"/>
      <c r="CS2769" s="45"/>
      <c r="CT2769" s="138"/>
      <c r="CU2769" s="45"/>
      <c r="CV2769" s="99">
        <f t="shared" si="273"/>
        <v>0</v>
      </c>
      <c r="CW2769" s="139"/>
      <c r="CX2769" s="138"/>
      <c r="CY2769" s="138"/>
      <c r="CZ2769" s="138"/>
      <c r="DA2769" s="139"/>
      <c r="DB2769" s="138"/>
      <c r="DC2769" s="45"/>
      <c r="DD2769" s="138"/>
      <c r="DE2769" s="45"/>
      <c r="DF2769" s="46"/>
    </row>
    <row r="2770" spans="1:110" s="42" customFormat="1" ht="48" x14ac:dyDescent="0.2">
      <c r="A2770" s="89">
        <v>40871</v>
      </c>
      <c r="B2770" s="151" t="s">
        <v>874</v>
      </c>
      <c r="C2770" s="90" t="s">
        <v>710</v>
      </c>
      <c r="D2770" s="90" t="s">
        <v>4264</v>
      </c>
      <c r="E2770" s="90" t="str">
        <f>VLOOKUP(B2770&amp;C2770,Divipola!$C$2:$F$1138,4,FALSE)</f>
        <v>44090</v>
      </c>
      <c r="F2770" s="4"/>
      <c r="G2770" s="194"/>
      <c r="H2770" s="194"/>
      <c r="I2770" s="194"/>
      <c r="J2770" s="194">
        <v>1500</v>
      </c>
      <c r="K2770" s="194">
        <v>300</v>
      </c>
      <c r="L2770" s="194"/>
      <c r="M2770" s="194">
        <v>300</v>
      </c>
      <c r="N2770" s="194"/>
      <c r="O2770" s="194"/>
      <c r="P2770" s="194"/>
      <c r="Q2770" s="194"/>
      <c r="R2770" s="194"/>
      <c r="S2770" s="194"/>
      <c r="T2770" s="194"/>
      <c r="U2770" s="194"/>
      <c r="V2770" s="194"/>
      <c r="W2770" s="19"/>
      <c r="X2770" s="17"/>
      <c r="Y2770" s="5">
        <f t="shared" si="268"/>
        <v>0</v>
      </c>
      <c r="Z2770" s="5">
        <f t="shared" si="269"/>
        <v>26100000</v>
      </c>
      <c r="AA2770" s="5">
        <f t="shared" si="270"/>
        <v>0</v>
      </c>
      <c r="AB2770" s="5">
        <f t="shared" si="271"/>
        <v>0</v>
      </c>
      <c r="AC2770" s="5"/>
      <c r="AD2770" s="5">
        <v>0</v>
      </c>
      <c r="AE2770" s="5">
        <f t="shared" si="272"/>
        <v>26100000</v>
      </c>
      <c r="AF2770" s="70">
        <v>0</v>
      </c>
      <c r="AG2770" s="17"/>
      <c r="AH2770" s="18"/>
      <c r="AI2770" s="47" t="s">
        <v>4346</v>
      </c>
      <c r="AJ2770" s="73" t="s">
        <v>4347</v>
      </c>
      <c r="AK2770" s="45"/>
      <c r="AL2770" s="17"/>
      <c r="AM2770" s="195" t="s">
        <v>5135</v>
      </c>
      <c r="AN2770" s="19"/>
      <c r="AO2770" s="19"/>
      <c r="AP2770" s="19"/>
      <c r="AQ2770" s="19"/>
      <c r="AR2770" s="19"/>
      <c r="AS2770" s="19"/>
      <c r="AT2770" s="19"/>
      <c r="AU2770" s="19"/>
      <c r="AV2770" s="19"/>
      <c r="AW2770" s="19"/>
      <c r="AX2770" s="19"/>
      <c r="AY2770" s="19"/>
      <c r="AZ2770" s="19"/>
      <c r="BA2770" s="19"/>
      <c r="BB2770" s="19"/>
      <c r="BC2770" s="19"/>
      <c r="BD2770" s="19"/>
      <c r="BE2770" s="19"/>
      <c r="BF2770" s="19"/>
      <c r="BG2770" s="19"/>
      <c r="BH2770" s="19"/>
      <c r="BI2770" s="19"/>
      <c r="BJ2770" s="19"/>
      <c r="BK2770" s="19"/>
      <c r="BL2770" s="19"/>
      <c r="BM2770" s="19"/>
      <c r="BN2770" s="19"/>
      <c r="BO2770" s="19"/>
      <c r="BP2770" s="19"/>
      <c r="BQ2770" s="19"/>
      <c r="BR2770" s="19"/>
      <c r="BS2770" s="19"/>
      <c r="BT2770" s="19"/>
      <c r="BU2770" s="19"/>
      <c r="BV2770" s="19"/>
      <c r="BW2770" s="19"/>
      <c r="BX2770" s="19"/>
      <c r="BY2770" s="19"/>
      <c r="BZ2770" s="19"/>
      <c r="CA2770" s="19"/>
      <c r="CB2770" s="19"/>
      <c r="CC2770" s="19"/>
      <c r="CD2770" s="139"/>
      <c r="CE2770" s="138"/>
      <c r="CF2770" s="139"/>
      <c r="CG2770" s="138"/>
      <c r="CH2770" s="139"/>
      <c r="CI2770" s="138"/>
      <c r="CJ2770" s="72"/>
      <c r="CK2770" s="139"/>
      <c r="CL2770" s="71"/>
      <c r="CM2770" s="139"/>
      <c r="CN2770" s="138"/>
      <c r="CO2770" s="138"/>
      <c r="CP2770" s="138"/>
      <c r="CQ2770" s="139"/>
      <c r="CR2770" s="138"/>
      <c r="CS2770" s="45"/>
      <c r="CT2770" s="138"/>
      <c r="CU2770" s="45"/>
      <c r="CV2770" s="99">
        <f t="shared" si="273"/>
        <v>0</v>
      </c>
      <c r="CW2770" s="139"/>
      <c r="CX2770" s="138"/>
      <c r="CY2770" s="138">
        <v>300</v>
      </c>
      <c r="CZ2770" s="138">
        <f>300*87000</f>
        <v>26100000</v>
      </c>
      <c r="DA2770" s="139"/>
      <c r="DB2770" s="138"/>
      <c r="DC2770" s="45"/>
      <c r="DD2770" s="138"/>
      <c r="DE2770" s="45"/>
      <c r="DF2770" s="46"/>
    </row>
    <row r="2771" spans="1:110" s="42" customFormat="1" x14ac:dyDescent="0.2">
      <c r="A2771" s="89">
        <v>40871</v>
      </c>
      <c r="B2771" s="151" t="s">
        <v>4386</v>
      </c>
      <c r="C2771" s="90" t="s">
        <v>4345</v>
      </c>
      <c r="D2771" s="90" t="s">
        <v>4264</v>
      </c>
      <c r="E2771" s="90">
        <f>VLOOKUP(B2771&amp;C2771,Divipola!$C$2:$F$1138,4,FALSE)</f>
        <v>20</v>
      </c>
      <c r="F2771" s="4"/>
      <c r="G2771" s="208"/>
      <c r="H2771" s="208"/>
      <c r="I2771" s="208"/>
      <c r="J2771" s="208"/>
      <c r="K2771" s="208"/>
      <c r="L2771" s="208"/>
      <c r="M2771" s="208"/>
      <c r="N2771" s="208"/>
      <c r="O2771" s="208"/>
      <c r="P2771" s="208"/>
      <c r="Q2771" s="208"/>
      <c r="R2771" s="208"/>
      <c r="S2771" s="208"/>
      <c r="T2771" s="208"/>
      <c r="U2771" s="208"/>
      <c r="V2771" s="208"/>
      <c r="W2771" s="19"/>
      <c r="X2771" s="17"/>
      <c r="Y2771" s="5">
        <f t="shared" si="268"/>
        <v>24999972</v>
      </c>
      <c r="Z2771" s="5">
        <f t="shared" si="269"/>
        <v>0</v>
      </c>
      <c r="AA2771" s="5">
        <f t="shared" si="270"/>
        <v>0</v>
      </c>
      <c r="AB2771" s="5">
        <f t="shared" si="271"/>
        <v>135024000</v>
      </c>
      <c r="AC2771" s="5"/>
      <c r="AD2771" s="5">
        <v>0</v>
      </c>
      <c r="AE2771" s="5">
        <f t="shared" si="272"/>
        <v>160023972</v>
      </c>
      <c r="AF2771" s="70">
        <v>0</v>
      </c>
      <c r="AG2771" s="17"/>
      <c r="AH2771" s="18"/>
      <c r="AI2771" s="47" t="s">
        <v>4346</v>
      </c>
      <c r="AJ2771" s="73" t="s">
        <v>4347</v>
      </c>
      <c r="AK2771" s="45"/>
      <c r="AL2771" s="17"/>
      <c r="AM2771" s="20"/>
      <c r="AN2771" s="19"/>
      <c r="AO2771" s="19"/>
      <c r="AP2771" s="19"/>
      <c r="AQ2771" s="19"/>
      <c r="AR2771" s="19"/>
      <c r="AS2771" s="19"/>
      <c r="AT2771" s="19"/>
      <c r="AU2771" s="19"/>
      <c r="AV2771" s="19"/>
      <c r="AW2771" s="19"/>
      <c r="AX2771" s="19"/>
      <c r="AY2771" s="19"/>
      <c r="AZ2771" s="19"/>
      <c r="BA2771" s="19"/>
      <c r="BB2771" s="19"/>
      <c r="BC2771" s="19"/>
      <c r="BD2771" s="19"/>
      <c r="BE2771" s="19"/>
      <c r="BF2771" s="19"/>
      <c r="BG2771" s="19"/>
      <c r="BH2771" s="19"/>
      <c r="BI2771" s="19"/>
      <c r="BJ2771" s="19"/>
      <c r="BK2771" s="19"/>
      <c r="BL2771" s="19"/>
      <c r="BM2771" s="19"/>
      <c r="BN2771" s="19"/>
      <c r="BO2771" s="19"/>
      <c r="BP2771" s="19"/>
      <c r="BQ2771" s="19"/>
      <c r="BR2771" s="19"/>
      <c r="BS2771" s="19"/>
      <c r="BT2771" s="19"/>
      <c r="BU2771" s="19"/>
      <c r="BV2771" s="19"/>
      <c r="BW2771" s="19"/>
      <c r="BX2771" s="19"/>
      <c r="BY2771" s="19"/>
      <c r="BZ2771" s="19">
        <v>50</v>
      </c>
      <c r="CA2771" s="19">
        <f>50*499999.44</f>
        <v>24999972</v>
      </c>
      <c r="CB2771" s="19"/>
      <c r="CC2771" s="19"/>
      <c r="CD2771" s="139"/>
      <c r="CE2771" s="138"/>
      <c r="CF2771" s="139"/>
      <c r="CG2771" s="138"/>
      <c r="CH2771" s="139"/>
      <c r="CI2771" s="138"/>
      <c r="CJ2771" s="72"/>
      <c r="CK2771" s="139"/>
      <c r="CL2771" s="71"/>
      <c r="CM2771" s="139"/>
      <c r="CN2771" s="138"/>
      <c r="CO2771" s="138"/>
      <c r="CP2771" s="138"/>
      <c r="CQ2771" s="139"/>
      <c r="CR2771" s="138"/>
      <c r="CS2771" s="45"/>
      <c r="CT2771" s="138"/>
      <c r="CU2771" s="45"/>
      <c r="CV2771" s="99">
        <f t="shared" si="273"/>
        <v>24999972</v>
      </c>
      <c r="CW2771" s="139">
        <v>150000</v>
      </c>
      <c r="CX2771" s="138">
        <f>150000*900.16</f>
        <v>135024000</v>
      </c>
      <c r="CY2771" s="138"/>
      <c r="CZ2771" s="138"/>
      <c r="DA2771" s="139"/>
      <c r="DB2771" s="138"/>
      <c r="DC2771" s="45"/>
      <c r="DD2771" s="138"/>
      <c r="DE2771" s="45"/>
      <c r="DF2771" s="46"/>
    </row>
    <row r="2772" spans="1:110" s="42" customFormat="1" ht="48" x14ac:dyDescent="0.2">
      <c r="A2772" s="89">
        <v>40871</v>
      </c>
      <c r="B2772" s="151" t="s">
        <v>4261</v>
      </c>
      <c r="C2772" s="90" t="s">
        <v>2864</v>
      </c>
      <c r="D2772" s="90" t="s">
        <v>4264</v>
      </c>
      <c r="E2772" s="90" t="str">
        <f>VLOOKUP(B2772&amp;C2772,Divipola!$C$2:$F$1138,4,FALSE)</f>
        <v>15299</v>
      </c>
      <c r="F2772" s="4"/>
      <c r="G2772" s="101"/>
      <c r="H2772" s="101"/>
      <c r="I2772" s="101"/>
      <c r="J2772" s="101">
        <v>169</v>
      </c>
      <c r="K2772" s="101">
        <v>43</v>
      </c>
      <c r="L2772" s="101"/>
      <c r="M2772" s="101">
        <v>43</v>
      </c>
      <c r="N2772" s="101"/>
      <c r="O2772" s="101"/>
      <c r="P2772" s="101"/>
      <c r="Q2772" s="101"/>
      <c r="R2772" s="101"/>
      <c r="S2772" s="101"/>
      <c r="T2772" s="101"/>
      <c r="U2772" s="101"/>
      <c r="V2772" s="101"/>
      <c r="W2772" s="19"/>
      <c r="X2772" s="17"/>
      <c r="Y2772" s="5">
        <f t="shared" si="268"/>
        <v>0</v>
      </c>
      <c r="Z2772" s="5">
        <f t="shared" si="269"/>
        <v>0</v>
      </c>
      <c r="AA2772" s="5">
        <f t="shared" si="270"/>
        <v>0</v>
      </c>
      <c r="AB2772" s="5">
        <f t="shared" si="271"/>
        <v>0</v>
      </c>
      <c r="AC2772" s="5"/>
      <c r="AD2772" s="5">
        <v>0</v>
      </c>
      <c r="AE2772" s="5">
        <f t="shared" si="272"/>
        <v>0</v>
      </c>
      <c r="AF2772" s="70">
        <v>0</v>
      </c>
      <c r="AG2772" s="17"/>
      <c r="AH2772" s="18"/>
      <c r="AI2772" s="47" t="s">
        <v>4346</v>
      </c>
      <c r="AJ2772" s="73" t="s">
        <v>4347</v>
      </c>
      <c r="AK2772" s="45"/>
      <c r="AL2772" s="17" t="s">
        <v>5531</v>
      </c>
      <c r="AM2772" s="121" t="s">
        <v>5204</v>
      </c>
      <c r="AN2772" s="19"/>
      <c r="AO2772" s="19"/>
      <c r="AP2772" s="19"/>
      <c r="AQ2772" s="19"/>
      <c r="AR2772" s="19"/>
      <c r="AS2772" s="19"/>
      <c r="AT2772" s="19"/>
      <c r="AU2772" s="19"/>
      <c r="AV2772" s="19"/>
      <c r="AW2772" s="19"/>
      <c r="AX2772" s="19"/>
      <c r="AY2772" s="19"/>
      <c r="AZ2772" s="19"/>
      <c r="BA2772" s="19"/>
      <c r="BB2772" s="19"/>
      <c r="BC2772" s="19"/>
      <c r="BD2772" s="19"/>
      <c r="BE2772" s="19"/>
      <c r="BF2772" s="19"/>
      <c r="BG2772" s="19"/>
      <c r="BH2772" s="19"/>
      <c r="BI2772" s="19"/>
      <c r="BJ2772" s="19"/>
      <c r="BK2772" s="19"/>
      <c r="BL2772" s="19"/>
      <c r="BM2772" s="19"/>
      <c r="BN2772" s="19"/>
      <c r="BO2772" s="19"/>
      <c r="BP2772" s="19"/>
      <c r="BQ2772" s="19"/>
      <c r="BR2772" s="19"/>
      <c r="BS2772" s="19"/>
      <c r="BT2772" s="19"/>
      <c r="BU2772" s="19"/>
      <c r="BV2772" s="19"/>
      <c r="BW2772" s="19"/>
      <c r="BX2772" s="19"/>
      <c r="BY2772" s="19"/>
      <c r="BZ2772" s="19"/>
      <c r="CA2772" s="19"/>
      <c r="CB2772" s="19"/>
      <c r="CC2772" s="19"/>
      <c r="CD2772" s="139"/>
      <c r="CE2772" s="138"/>
      <c r="CF2772" s="139"/>
      <c r="CG2772" s="138"/>
      <c r="CH2772" s="139"/>
      <c r="CI2772" s="138"/>
      <c r="CJ2772" s="72"/>
      <c r="CK2772" s="139"/>
      <c r="CL2772" s="71"/>
      <c r="CM2772" s="139"/>
      <c r="CN2772" s="138"/>
      <c r="CO2772" s="138"/>
      <c r="CP2772" s="138"/>
      <c r="CQ2772" s="139"/>
      <c r="CR2772" s="138"/>
      <c r="CS2772" s="45"/>
      <c r="CT2772" s="138"/>
      <c r="CU2772" s="45"/>
      <c r="CV2772" s="99">
        <f t="shared" si="273"/>
        <v>0</v>
      </c>
      <c r="CW2772" s="139"/>
      <c r="CX2772" s="138"/>
      <c r="CY2772" s="138"/>
      <c r="CZ2772" s="138"/>
      <c r="DA2772" s="139"/>
      <c r="DB2772" s="138"/>
      <c r="DC2772" s="45"/>
      <c r="DD2772" s="138"/>
      <c r="DE2772" s="45"/>
      <c r="DF2772" s="46"/>
    </row>
    <row r="2773" spans="1:110" s="42" customFormat="1" ht="36" x14ac:dyDescent="0.2">
      <c r="A2773" s="89">
        <v>40871</v>
      </c>
      <c r="B2773" s="151" t="s">
        <v>2225</v>
      </c>
      <c r="C2773" s="90" t="s">
        <v>1985</v>
      </c>
      <c r="D2773" s="90" t="s">
        <v>4264</v>
      </c>
      <c r="E2773" s="90" t="str">
        <f>VLOOKUP(B2773&amp;C2773,Divipola!$C$2:$F$1138,4,FALSE)</f>
        <v>27135</v>
      </c>
      <c r="F2773" s="4"/>
      <c r="G2773" s="194"/>
      <c r="H2773" s="194"/>
      <c r="I2773" s="194"/>
      <c r="J2773" s="194">
        <v>1776</v>
      </c>
      <c r="K2773" s="194">
        <v>378</v>
      </c>
      <c r="L2773" s="194"/>
      <c r="M2773" s="194">
        <v>378</v>
      </c>
      <c r="N2773" s="194"/>
      <c r="O2773" s="194"/>
      <c r="P2773" s="194"/>
      <c r="Q2773" s="194"/>
      <c r="R2773" s="194"/>
      <c r="S2773" s="194"/>
      <c r="T2773" s="194"/>
      <c r="U2773" s="194"/>
      <c r="V2773" s="194"/>
      <c r="W2773" s="19"/>
      <c r="X2773" s="17"/>
      <c r="Y2773" s="5">
        <f t="shared" si="268"/>
        <v>0</v>
      </c>
      <c r="Z2773" s="5">
        <f t="shared" si="269"/>
        <v>34000004</v>
      </c>
      <c r="AA2773" s="5">
        <f t="shared" si="270"/>
        <v>0</v>
      </c>
      <c r="AB2773" s="5">
        <f t="shared" si="271"/>
        <v>0</v>
      </c>
      <c r="AC2773" s="5"/>
      <c r="AD2773" s="5">
        <v>0</v>
      </c>
      <c r="AE2773" s="5">
        <f t="shared" si="272"/>
        <v>34000004</v>
      </c>
      <c r="AF2773" s="70">
        <v>0</v>
      </c>
      <c r="AG2773" s="17"/>
      <c r="AH2773" s="18"/>
      <c r="AI2773" s="47" t="s">
        <v>4346</v>
      </c>
      <c r="AJ2773" s="73" t="s">
        <v>4347</v>
      </c>
      <c r="AK2773" s="45"/>
      <c r="AL2773" s="17"/>
      <c r="AM2773" s="195" t="s">
        <v>5506</v>
      </c>
      <c r="AN2773" s="19"/>
      <c r="AO2773" s="19"/>
      <c r="AP2773" s="19"/>
      <c r="AQ2773" s="19"/>
      <c r="AR2773" s="19"/>
      <c r="AS2773" s="19"/>
      <c r="AT2773" s="19"/>
      <c r="AU2773" s="19"/>
      <c r="AV2773" s="19"/>
      <c r="AW2773" s="19"/>
      <c r="AX2773" s="19"/>
      <c r="AY2773" s="19"/>
      <c r="AZ2773" s="19"/>
      <c r="BA2773" s="19"/>
      <c r="BB2773" s="19"/>
      <c r="BC2773" s="19"/>
      <c r="BD2773" s="19"/>
      <c r="BE2773" s="19"/>
      <c r="BF2773" s="19"/>
      <c r="BG2773" s="19"/>
      <c r="BH2773" s="19"/>
      <c r="BI2773" s="19"/>
      <c r="BJ2773" s="19"/>
      <c r="BK2773" s="19"/>
      <c r="BL2773" s="19"/>
      <c r="BM2773" s="19"/>
      <c r="BN2773" s="19"/>
      <c r="BO2773" s="19"/>
      <c r="BP2773" s="19"/>
      <c r="BQ2773" s="19"/>
      <c r="BR2773" s="19"/>
      <c r="BS2773" s="19"/>
      <c r="BT2773" s="19"/>
      <c r="BU2773" s="19"/>
      <c r="BV2773" s="19"/>
      <c r="BW2773" s="19"/>
      <c r="BX2773" s="19"/>
      <c r="BY2773" s="19"/>
      <c r="BZ2773" s="19"/>
      <c r="CA2773" s="19"/>
      <c r="CB2773" s="19"/>
      <c r="CC2773" s="19"/>
      <c r="CD2773" s="139"/>
      <c r="CE2773" s="138"/>
      <c r="CF2773" s="139"/>
      <c r="CG2773" s="138"/>
      <c r="CH2773" s="139"/>
      <c r="CI2773" s="138"/>
      <c r="CJ2773" s="72"/>
      <c r="CK2773" s="139"/>
      <c r="CL2773" s="71"/>
      <c r="CM2773" s="139"/>
      <c r="CN2773" s="138"/>
      <c r="CO2773" s="138"/>
      <c r="CP2773" s="138"/>
      <c r="CQ2773" s="139"/>
      <c r="CR2773" s="138"/>
      <c r="CS2773" s="45"/>
      <c r="CT2773" s="138"/>
      <c r="CU2773" s="45"/>
      <c r="CV2773" s="99">
        <f t="shared" si="273"/>
        <v>0</v>
      </c>
      <c r="CW2773" s="139"/>
      <c r="CX2773" s="138"/>
      <c r="CY2773" s="138">
        <v>400</v>
      </c>
      <c r="CZ2773" s="138">
        <f>400*85000.01</f>
        <v>34000004</v>
      </c>
      <c r="DA2773" s="139"/>
      <c r="DB2773" s="138"/>
      <c r="DC2773" s="45"/>
      <c r="DD2773" s="138"/>
      <c r="DE2773" s="45"/>
      <c r="DF2773" s="46"/>
    </row>
    <row r="2774" spans="1:110" s="42" customFormat="1" ht="72" x14ac:dyDescent="0.2">
      <c r="A2774" s="89">
        <v>40872</v>
      </c>
      <c r="B2774" s="16" t="s">
        <v>4221</v>
      </c>
      <c r="C2774" s="16" t="s">
        <v>3354</v>
      </c>
      <c r="D2774" s="90" t="s">
        <v>4264</v>
      </c>
      <c r="E2774" s="90" t="str">
        <f>VLOOKUP(B2774&amp;C2774,Divipola!$C$2:$F$1138,4,FALSE)</f>
        <v>54239</v>
      </c>
      <c r="F2774" s="4"/>
      <c r="G2774" s="208"/>
      <c r="H2774" s="208"/>
      <c r="I2774" s="208"/>
      <c r="J2774" s="208"/>
      <c r="K2774" s="208"/>
      <c r="L2774" s="208"/>
      <c r="M2774" s="208"/>
      <c r="N2774" s="208"/>
      <c r="O2774" s="208"/>
      <c r="P2774" s="208"/>
      <c r="Q2774" s="208"/>
      <c r="R2774" s="208"/>
      <c r="S2774" s="208"/>
      <c r="T2774" s="208"/>
      <c r="U2774" s="208"/>
      <c r="V2774" s="208"/>
      <c r="W2774" s="19"/>
      <c r="X2774" s="17"/>
      <c r="Y2774" s="5">
        <f t="shared" si="268"/>
        <v>0</v>
      </c>
      <c r="Z2774" s="5">
        <f t="shared" si="269"/>
        <v>0</v>
      </c>
      <c r="AA2774" s="5">
        <f t="shared" si="270"/>
        <v>0</v>
      </c>
      <c r="AB2774" s="5">
        <f t="shared" si="271"/>
        <v>0</v>
      </c>
      <c r="AC2774" s="5"/>
      <c r="AD2774" s="5">
        <v>249988617</v>
      </c>
      <c r="AE2774" s="5">
        <f t="shared" si="272"/>
        <v>249988617</v>
      </c>
      <c r="AF2774" s="70">
        <v>0</v>
      </c>
      <c r="AG2774" s="17"/>
      <c r="AH2774" s="18"/>
      <c r="AI2774" s="47" t="s">
        <v>4346</v>
      </c>
      <c r="AJ2774" s="73" t="s">
        <v>4347</v>
      </c>
      <c r="AK2774" s="45"/>
      <c r="AL2774" s="17"/>
      <c r="AM2774" s="20" t="s">
        <v>5132</v>
      </c>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39"/>
      <c r="CE2774" s="138"/>
      <c r="CF2774" s="139"/>
      <c r="CG2774" s="138"/>
      <c r="CH2774" s="139"/>
      <c r="CI2774" s="138"/>
      <c r="CJ2774" s="72"/>
      <c r="CK2774" s="139"/>
      <c r="CL2774" s="71"/>
      <c r="CM2774" s="139"/>
      <c r="CN2774" s="138"/>
      <c r="CO2774" s="138"/>
      <c r="CP2774" s="138"/>
      <c r="CQ2774" s="139"/>
      <c r="CR2774" s="138"/>
      <c r="CS2774" s="45"/>
      <c r="CT2774" s="138"/>
      <c r="CU2774" s="45"/>
      <c r="CV2774" s="99">
        <f t="shared" si="273"/>
        <v>0</v>
      </c>
      <c r="CW2774" s="139"/>
      <c r="CX2774" s="138"/>
      <c r="CY2774" s="138"/>
      <c r="CZ2774" s="138"/>
      <c r="DA2774" s="139"/>
      <c r="DB2774" s="138"/>
      <c r="DC2774" s="45"/>
      <c r="DD2774" s="138"/>
      <c r="DE2774" s="45"/>
      <c r="DF2774" s="46"/>
    </row>
    <row r="2775" spans="1:110" s="42" customFormat="1" ht="72" x14ac:dyDescent="0.2">
      <c r="A2775" s="89">
        <v>40872</v>
      </c>
      <c r="B2775" s="151" t="s">
        <v>4296</v>
      </c>
      <c r="C2775" s="90" t="s">
        <v>4246</v>
      </c>
      <c r="D2775" s="90" t="s">
        <v>3346</v>
      </c>
      <c r="E2775" s="90" t="str">
        <f>VLOOKUP(B2775&amp;C2775,Divipola!$C$2:$F$1138,4,FALSE)</f>
        <v>19212</v>
      </c>
      <c r="F2775" s="4"/>
      <c r="G2775" s="194"/>
      <c r="H2775" s="194"/>
      <c r="I2775" s="194"/>
      <c r="J2775" s="194">
        <v>500</v>
      </c>
      <c r="K2775" s="194">
        <v>100</v>
      </c>
      <c r="L2775" s="194"/>
      <c r="M2775" s="194">
        <v>100</v>
      </c>
      <c r="N2775" s="194"/>
      <c r="O2775" s="194"/>
      <c r="P2775" s="194"/>
      <c r="Q2775" s="194"/>
      <c r="R2775" s="194"/>
      <c r="S2775" s="194"/>
      <c r="T2775" s="194"/>
      <c r="U2775" s="194"/>
      <c r="V2775" s="194"/>
      <c r="W2775" s="19"/>
      <c r="X2775" s="17"/>
      <c r="Y2775" s="5">
        <f t="shared" si="268"/>
        <v>0</v>
      </c>
      <c r="Z2775" s="5">
        <f t="shared" si="269"/>
        <v>0</v>
      </c>
      <c r="AA2775" s="5">
        <f t="shared" si="270"/>
        <v>0</v>
      </c>
      <c r="AB2775" s="5">
        <f t="shared" si="271"/>
        <v>0</v>
      </c>
      <c r="AC2775" s="5"/>
      <c r="AD2775" s="5">
        <v>0</v>
      </c>
      <c r="AE2775" s="5">
        <f t="shared" si="272"/>
        <v>0</v>
      </c>
      <c r="AF2775" s="70">
        <v>0</v>
      </c>
      <c r="AG2775" s="17"/>
      <c r="AH2775" s="18"/>
      <c r="AI2775" s="47" t="s">
        <v>4336</v>
      </c>
      <c r="AJ2775" s="73" t="s">
        <v>4337</v>
      </c>
      <c r="AK2775" s="45"/>
      <c r="AL2775" s="17"/>
      <c r="AM2775" s="195" t="s">
        <v>5136</v>
      </c>
      <c r="AN2775" s="19"/>
      <c r="AO2775" s="19"/>
      <c r="AP2775" s="19"/>
      <c r="AQ2775" s="19"/>
      <c r="AR2775" s="19"/>
      <c r="AS2775" s="19"/>
      <c r="AT2775" s="19"/>
      <c r="AU2775" s="19"/>
      <c r="AV2775" s="19"/>
      <c r="AW2775" s="19"/>
      <c r="AX2775" s="19"/>
      <c r="AY2775" s="19"/>
      <c r="AZ2775" s="19"/>
      <c r="BA2775" s="19"/>
      <c r="BB2775" s="19"/>
      <c r="BC2775" s="19"/>
      <c r="BD2775" s="19"/>
      <c r="BE2775" s="19"/>
      <c r="BF2775" s="19"/>
      <c r="BG2775" s="19"/>
      <c r="BH2775" s="19"/>
      <c r="BI2775" s="19"/>
      <c r="BJ2775" s="19"/>
      <c r="BK2775" s="19"/>
      <c r="BL2775" s="19"/>
      <c r="BM2775" s="19"/>
      <c r="BN2775" s="19"/>
      <c r="BO2775" s="19"/>
      <c r="BP2775" s="19"/>
      <c r="BQ2775" s="19"/>
      <c r="BR2775" s="19"/>
      <c r="BS2775" s="19"/>
      <c r="BT2775" s="19"/>
      <c r="BU2775" s="19"/>
      <c r="BV2775" s="19"/>
      <c r="BW2775" s="19"/>
      <c r="BX2775" s="19"/>
      <c r="BY2775" s="19"/>
      <c r="BZ2775" s="19"/>
      <c r="CA2775" s="19"/>
      <c r="CB2775" s="19"/>
      <c r="CC2775" s="19"/>
      <c r="CD2775" s="139"/>
      <c r="CE2775" s="138"/>
      <c r="CF2775" s="139"/>
      <c r="CG2775" s="138"/>
      <c r="CH2775" s="139"/>
      <c r="CI2775" s="138"/>
      <c r="CJ2775" s="72"/>
      <c r="CK2775" s="139"/>
      <c r="CL2775" s="71"/>
      <c r="CM2775" s="139"/>
      <c r="CN2775" s="138"/>
      <c r="CO2775" s="138"/>
      <c r="CP2775" s="138"/>
      <c r="CQ2775" s="139"/>
      <c r="CR2775" s="138"/>
      <c r="CS2775" s="45"/>
      <c r="CT2775" s="138"/>
      <c r="CU2775" s="45"/>
      <c r="CV2775" s="99">
        <f t="shared" si="273"/>
        <v>0</v>
      </c>
      <c r="CW2775" s="139"/>
      <c r="CX2775" s="138"/>
      <c r="CY2775" s="138"/>
      <c r="CZ2775" s="138"/>
      <c r="DA2775" s="139"/>
      <c r="DB2775" s="138"/>
      <c r="DC2775" s="45"/>
      <c r="DD2775" s="138"/>
      <c r="DE2775" s="45"/>
      <c r="DF2775" s="46"/>
    </row>
    <row r="2776" spans="1:110" s="42" customFormat="1" ht="36" x14ac:dyDescent="0.2">
      <c r="A2776" s="89">
        <v>40872</v>
      </c>
      <c r="B2776" s="151" t="s">
        <v>4344</v>
      </c>
      <c r="C2776" s="90" t="s">
        <v>1792</v>
      </c>
      <c r="D2776" s="90" t="s">
        <v>2362</v>
      </c>
      <c r="E2776" s="90" t="str">
        <f>VLOOKUP(B2776&amp;C2776,Divipola!$C$2:$F$1138,4,FALSE)</f>
        <v>25662</v>
      </c>
      <c r="F2776" s="4"/>
      <c r="G2776" s="101"/>
      <c r="H2776" s="101"/>
      <c r="I2776" s="101"/>
      <c r="J2776" s="101">
        <v>17</v>
      </c>
      <c r="K2776" s="101">
        <v>4</v>
      </c>
      <c r="L2776" s="101"/>
      <c r="M2776" s="101">
        <v>4</v>
      </c>
      <c r="N2776" s="101"/>
      <c r="O2776" s="101"/>
      <c r="P2776" s="101"/>
      <c r="Q2776" s="101"/>
      <c r="R2776" s="101"/>
      <c r="S2776" s="101"/>
      <c r="T2776" s="101"/>
      <c r="U2776" s="101"/>
      <c r="V2776" s="101"/>
      <c r="W2776" s="19"/>
      <c r="X2776" s="17"/>
      <c r="Y2776" s="5">
        <f t="shared" si="268"/>
        <v>0</v>
      </c>
      <c r="Z2776" s="5">
        <f t="shared" si="269"/>
        <v>0</v>
      </c>
      <c r="AA2776" s="5">
        <f t="shared" si="270"/>
        <v>0</v>
      </c>
      <c r="AB2776" s="5">
        <f t="shared" si="271"/>
        <v>0</v>
      </c>
      <c r="AC2776" s="5"/>
      <c r="AD2776" s="5">
        <v>0</v>
      </c>
      <c r="AE2776" s="5">
        <f t="shared" si="272"/>
        <v>0</v>
      </c>
      <c r="AF2776" s="70">
        <v>0</v>
      </c>
      <c r="AG2776" s="17"/>
      <c r="AH2776" s="18"/>
      <c r="AI2776" s="47" t="s">
        <v>4336</v>
      </c>
      <c r="AJ2776" s="73" t="s">
        <v>4337</v>
      </c>
      <c r="AK2776" s="45"/>
      <c r="AL2776" s="17"/>
      <c r="AM2776" s="121" t="s">
        <v>5151</v>
      </c>
      <c r="AN2776" s="19"/>
      <c r="AO2776" s="19"/>
      <c r="AP2776" s="19"/>
      <c r="AQ2776" s="19"/>
      <c r="AR2776" s="19"/>
      <c r="AS2776" s="19"/>
      <c r="AT2776" s="19"/>
      <c r="AU2776" s="19"/>
      <c r="AV2776" s="19"/>
      <c r="AW2776" s="19"/>
      <c r="AX2776" s="19"/>
      <c r="AY2776" s="19"/>
      <c r="AZ2776" s="19"/>
      <c r="BA2776" s="19"/>
      <c r="BB2776" s="19"/>
      <c r="BC2776" s="19"/>
      <c r="BD2776" s="19"/>
      <c r="BE2776" s="19"/>
      <c r="BF2776" s="19"/>
      <c r="BG2776" s="19"/>
      <c r="BH2776" s="19"/>
      <c r="BI2776" s="19"/>
      <c r="BJ2776" s="19"/>
      <c r="BK2776" s="19"/>
      <c r="BL2776" s="19"/>
      <c r="BM2776" s="19"/>
      <c r="BN2776" s="19"/>
      <c r="BO2776" s="19"/>
      <c r="BP2776" s="19"/>
      <c r="BQ2776" s="19"/>
      <c r="BR2776" s="19"/>
      <c r="BS2776" s="19"/>
      <c r="BT2776" s="19"/>
      <c r="BU2776" s="19"/>
      <c r="BV2776" s="19"/>
      <c r="BW2776" s="19"/>
      <c r="BX2776" s="19"/>
      <c r="BY2776" s="19"/>
      <c r="BZ2776" s="19"/>
      <c r="CA2776" s="19"/>
      <c r="CB2776" s="19"/>
      <c r="CC2776" s="19"/>
      <c r="CD2776" s="139"/>
      <c r="CE2776" s="138"/>
      <c r="CF2776" s="139"/>
      <c r="CG2776" s="138"/>
      <c r="CH2776" s="139"/>
      <c r="CI2776" s="138"/>
      <c r="CJ2776" s="72"/>
      <c r="CK2776" s="139"/>
      <c r="CL2776" s="71"/>
      <c r="CM2776" s="139"/>
      <c r="CN2776" s="138"/>
      <c r="CO2776" s="138"/>
      <c r="CP2776" s="138"/>
      <c r="CQ2776" s="139"/>
      <c r="CR2776" s="138"/>
      <c r="CS2776" s="45"/>
      <c r="CT2776" s="138"/>
      <c r="CU2776" s="45"/>
      <c r="CV2776" s="99">
        <f t="shared" si="273"/>
        <v>0</v>
      </c>
      <c r="CW2776" s="139"/>
      <c r="CX2776" s="138"/>
      <c r="CY2776" s="138"/>
      <c r="CZ2776" s="138"/>
      <c r="DA2776" s="139"/>
      <c r="DB2776" s="138"/>
      <c r="DC2776" s="45"/>
      <c r="DD2776" s="138"/>
      <c r="DE2776" s="45"/>
      <c r="DF2776" s="46"/>
    </row>
    <row r="2777" spans="1:110" s="42" customFormat="1" ht="48" x14ac:dyDescent="0.2">
      <c r="A2777" s="89">
        <v>40872</v>
      </c>
      <c r="B2777" s="151" t="s">
        <v>4344</v>
      </c>
      <c r="C2777" s="90" t="s">
        <v>1754</v>
      </c>
      <c r="D2777" s="90" t="s">
        <v>2362</v>
      </c>
      <c r="E2777" s="90" t="str">
        <f>VLOOKUP(B2777&amp;C2777,Divipola!$C$2:$F$1138,4,FALSE)</f>
        <v>25438</v>
      </c>
      <c r="F2777" s="4"/>
      <c r="G2777" s="101"/>
      <c r="H2777" s="101"/>
      <c r="I2777" s="101"/>
      <c r="J2777" s="101">
        <v>6</v>
      </c>
      <c r="K2777" s="101">
        <v>2</v>
      </c>
      <c r="L2777" s="101"/>
      <c r="M2777" s="101">
        <v>2</v>
      </c>
      <c r="N2777" s="101"/>
      <c r="O2777" s="101"/>
      <c r="P2777" s="101"/>
      <c r="Q2777" s="101"/>
      <c r="R2777" s="101"/>
      <c r="S2777" s="101"/>
      <c r="T2777" s="101"/>
      <c r="U2777" s="101"/>
      <c r="V2777" s="101"/>
      <c r="W2777" s="19"/>
      <c r="X2777" s="17"/>
      <c r="Y2777" s="5">
        <f t="shared" si="268"/>
        <v>0</v>
      </c>
      <c r="Z2777" s="5">
        <f t="shared" si="269"/>
        <v>0</v>
      </c>
      <c r="AA2777" s="5">
        <f t="shared" si="270"/>
        <v>0</v>
      </c>
      <c r="AB2777" s="5">
        <f t="shared" si="271"/>
        <v>0</v>
      </c>
      <c r="AC2777" s="5"/>
      <c r="AD2777" s="5">
        <v>0</v>
      </c>
      <c r="AE2777" s="5">
        <f t="shared" si="272"/>
        <v>0</v>
      </c>
      <c r="AF2777" s="70">
        <v>0</v>
      </c>
      <c r="AG2777" s="17"/>
      <c r="AH2777" s="18"/>
      <c r="AI2777" s="47" t="s">
        <v>4336</v>
      </c>
      <c r="AJ2777" s="73" t="s">
        <v>4337</v>
      </c>
      <c r="AK2777" s="45"/>
      <c r="AL2777" s="17"/>
      <c r="AM2777" s="121" t="s">
        <v>5152</v>
      </c>
      <c r="AN2777" s="19"/>
      <c r="AO2777" s="19"/>
      <c r="AP2777" s="19"/>
      <c r="AQ2777" s="19"/>
      <c r="AR2777" s="19"/>
      <c r="AS2777" s="19"/>
      <c r="AT2777" s="19"/>
      <c r="AU2777" s="19"/>
      <c r="AV2777" s="19"/>
      <c r="AW2777" s="19"/>
      <c r="AX2777" s="19"/>
      <c r="AY2777" s="19"/>
      <c r="AZ2777" s="19"/>
      <c r="BA2777" s="19"/>
      <c r="BB2777" s="19"/>
      <c r="BC2777" s="19"/>
      <c r="BD2777" s="19"/>
      <c r="BE2777" s="19"/>
      <c r="BF2777" s="19"/>
      <c r="BG2777" s="19"/>
      <c r="BH2777" s="19"/>
      <c r="BI2777" s="19"/>
      <c r="BJ2777" s="19"/>
      <c r="BK2777" s="19"/>
      <c r="BL2777" s="19"/>
      <c r="BM2777" s="19"/>
      <c r="BN2777" s="19"/>
      <c r="BO2777" s="19"/>
      <c r="BP2777" s="19"/>
      <c r="BQ2777" s="19"/>
      <c r="BR2777" s="19"/>
      <c r="BS2777" s="19"/>
      <c r="BT2777" s="19"/>
      <c r="BU2777" s="19"/>
      <c r="BV2777" s="19"/>
      <c r="BW2777" s="19"/>
      <c r="BX2777" s="19"/>
      <c r="BY2777" s="19"/>
      <c r="BZ2777" s="19"/>
      <c r="CA2777" s="19"/>
      <c r="CB2777" s="19"/>
      <c r="CC2777" s="19"/>
      <c r="CD2777" s="139"/>
      <c r="CE2777" s="138"/>
      <c r="CF2777" s="139"/>
      <c r="CG2777" s="138"/>
      <c r="CH2777" s="139"/>
      <c r="CI2777" s="138"/>
      <c r="CJ2777" s="72"/>
      <c r="CK2777" s="139"/>
      <c r="CL2777" s="71"/>
      <c r="CM2777" s="139"/>
      <c r="CN2777" s="138"/>
      <c r="CO2777" s="138"/>
      <c r="CP2777" s="138"/>
      <c r="CQ2777" s="139"/>
      <c r="CR2777" s="138"/>
      <c r="CS2777" s="45"/>
      <c r="CT2777" s="138"/>
      <c r="CU2777" s="45"/>
      <c r="CV2777" s="99">
        <f t="shared" si="273"/>
        <v>0</v>
      </c>
      <c r="CW2777" s="139"/>
      <c r="CX2777" s="138"/>
      <c r="CY2777" s="138"/>
      <c r="CZ2777" s="138"/>
      <c r="DA2777" s="139"/>
      <c r="DB2777" s="138"/>
      <c r="DC2777" s="45"/>
      <c r="DD2777" s="138"/>
      <c r="DE2777" s="45"/>
      <c r="DF2777" s="46"/>
    </row>
    <row r="2778" spans="1:110" s="42" customFormat="1" ht="48" x14ac:dyDescent="0.2">
      <c r="A2778" s="89">
        <v>40872</v>
      </c>
      <c r="B2778" s="151" t="s">
        <v>4344</v>
      </c>
      <c r="C2778" s="90" t="s">
        <v>4231</v>
      </c>
      <c r="D2778" s="90" t="s">
        <v>2362</v>
      </c>
      <c r="E2778" s="90" t="str">
        <f>VLOOKUP(B2778&amp;C2778,Divipola!$C$2:$F$1138,4,FALSE)</f>
        <v>25290</v>
      </c>
      <c r="F2778" s="4"/>
      <c r="G2778" s="101"/>
      <c r="H2778" s="101"/>
      <c r="I2778" s="101"/>
      <c r="J2778" s="101"/>
      <c r="K2778" s="101"/>
      <c r="L2778" s="101"/>
      <c r="M2778" s="101"/>
      <c r="N2778" s="101">
        <v>1</v>
      </c>
      <c r="O2778" s="101"/>
      <c r="P2778" s="101"/>
      <c r="Q2778" s="101"/>
      <c r="R2778" s="101"/>
      <c r="S2778" s="101"/>
      <c r="T2778" s="101"/>
      <c r="U2778" s="101"/>
      <c r="V2778" s="101"/>
      <c r="W2778" s="19"/>
      <c r="X2778" s="17"/>
      <c r="Y2778" s="5">
        <f t="shared" si="268"/>
        <v>0</v>
      </c>
      <c r="Z2778" s="5">
        <f t="shared" si="269"/>
        <v>0</v>
      </c>
      <c r="AA2778" s="5">
        <f t="shared" si="270"/>
        <v>0</v>
      </c>
      <c r="AB2778" s="5">
        <f t="shared" si="271"/>
        <v>0</v>
      </c>
      <c r="AC2778" s="5"/>
      <c r="AD2778" s="5">
        <v>0</v>
      </c>
      <c r="AE2778" s="5">
        <f t="shared" si="272"/>
        <v>0</v>
      </c>
      <c r="AF2778" s="70">
        <v>0</v>
      </c>
      <c r="AG2778" s="17"/>
      <c r="AH2778" s="18"/>
      <c r="AI2778" s="47" t="s">
        <v>4336</v>
      </c>
      <c r="AJ2778" s="73" t="s">
        <v>4337</v>
      </c>
      <c r="AK2778" s="45"/>
      <c r="AL2778" s="17"/>
      <c r="AM2778" s="121" t="s">
        <v>5153</v>
      </c>
      <c r="AN2778" s="19"/>
      <c r="AO2778" s="19"/>
      <c r="AP2778" s="19"/>
      <c r="AQ2778" s="19"/>
      <c r="AR2778" s="19"/>
      <c r="AS2778" s="19"/>
      <c r="AT2778" s="19"/>
      <c r="AU2778" s="19"/>
      <c r="AV2778" s="19"/>
      <c r="AW2778" s="19"/>
      <c r="AX2778" s="19"/>
      <c r="AY2778" s="19"/>
      <c r="AZ2778" s="19"/>
      <c r="BA2778" s="19"/>
      <c r="BB2778" s="19"/>
      <c r="BC2778" s="19"/>
      <c r="BD2778" s="19"/>
      <c r="BE2778" s="19"/>
      <c r="BF2778" s="19"/>
      <c r="BG2778" s="19"/>
      <c r="BH2778" s="19"/>
      <c r="BI2778" s="19"/>
      <c r="BJ2778" s="19"/>
      <c r="BK2778" s="19"/>
      <c r="BL2778" s="19"/>
      <c r="BM2778" s="19"/>
      <c r="BN2778" s="19"/>
      <c r="BO2778" s="19"/>
      <c r="BP2778" s="19"/>
      <c r="BQ2778" s="19"/>
      <c r="BR2778" s="19"/>
      <c r="BS2778" s="19"/>
      <c r="BT2778" s="19"/>
      <c r="BU2778" s="19"/>
      <c r="BV2778" s="19"/>
      <c r="BW2778" s="19"/>
      <c r="BX2778" s="19"/>
      <c r="BY2778" s="19"/>
      <c r="BZ2778" s="19"/>
      <c r="CA2778" s="19"/>
      <c r="CB2778" s="19"/>
      <c r="CC2778" s="19"/>
      <c r="CD2778" s="139"/>
      <c r="CE2778" s="138"/>
      <c r="CF2778" s="139"/>
      <c r="CG2778" s="138"/>
      <c r="CH2778" s="139"/>
      <c r="CI2778" s="138"/>
      <c r="CJ2778" s="72"/>
      <c r="CK2778" s="139"/>
      <c r="CL2778" s="71"/>
      <c r="CM2778" s="139"/>
      <c r="CN2778" s="138"/>
      <c r="CO2778" s="138"/>
      <c r="CP2778" s="138"/>
      <c r="CQ2778" s="139"/>
      <c r="CR2778" s="138"/>
      <c r="CS2778" s="45"/>
      <c r="CT2778" s="138"/>
      <c r="CU2778" s="45"/>
      <c r="CV2778" s="99">
        <f t="shared" si="273"/>
        <v>0</v>
      </c>
      <c r="CW2778" s="139"/>
      <c r="CX2778" s="138"/>
      <c r="CY2778" s="138"/>
      <c r="CZ2778" s="138"/>
      <c r="DA2778" s="139"/>
      <c r="DB2778" s="138"/>
      <c r="DC2778" s="45"/>
      <c r="DD2778" s="138"/>
      <c r="DE2778" s="45"/>
      <c r="DF2778" s="46"/>
    </row>
    <row r="2779" spans="1:110" s="42" customFormat="1" ht="60" x14ac:dyDescent="0.2">
      <c r="A2779" s="89">
        <v>40872</v>
      </c>
      <c r="B2779" s="16" t="s">
        <v>3533</v>
      </c>
      <c r="C2779" s="16" t="s">
        <v>1424</v>
      </c>
      <c r="D2779" s="16" t="s">
        <v>2362</v>
      </c>
      <c r="E2779" s="90" t="str">
        <f>VLOOKUP(B2779&amp;C2779,Divipola!$C$2:$F$1138,4,FALSE)</f>
        <v>17877</v>
      </c>
      <c r="F2779" s="4"/>
      <c r="G2779" s="208"/>
      <c r="H2779" s="208"/>
      <c r="I2779" s="208"/>
      <c r="J2779" s="208"/>
      <c r="K2779" s="208"/>
      <c r="L2779" s="208"/>
      <c r="M2779" s="208"/>
      <c r="N2779" s="208"/>
      <c r="O2779" s="208"/>
      <c r="P2779" s="208"/>
      <c r="Q2779" s="208"/>
      <c r="R2779" s="208"/>
      <c r="S2779" s="208"/>
      <c r="T2779" s="208"/>
      <c r="U2779" s="208"/>
      <c r="V2779" s="208"/>
      <c r="W2779" s="19"/>
      <c r="X2779" s="17"/>
      <c r="Y2779" s="5">
        <f t="shared" si="268"/>
        <v>0</v>
      </c>
      <c r="Z2779" s="5">
        <f t="shared" si="269"/>
        <v>0</v>
      </c>
      <c r="AA2779" s="5">
        <f t="shared" si="270"/>
        <v>0</v>
      </c>
      <c r="AB2779" s="5">
        <f t="shared" si="271"/>
        <v>0</v>
      </c>
      <c r="AC2779" s="5"/>
      <c r="AD2779" s="5">
        <v>241586532</v>
      </c>
      <c r="AE2779" s="5">
        <f t="shared" si="272"/>
        <v>241586532</v>
      </c>
      <c r="AF2779" s="70">
        <v>0</v>
      </c>
      <c r="AG2779" s="17"/>
      <c r="AH2779" s="18"/>
      <c r="AI2779" s="47" t="s">
        <v>4346</v>
      </c>
      <c r="AJ2779" s="73" t="s">
        <v>4347</v>
      </c>
      <c r="AK2779" s="45"/>
      <c r="AL2779" s="17"/>
      <c r="AM2779" s="20" t="s">
        <v>5268</v>
      </c>
      <c r="AN2779" s="19"/>
      <c r="AO2779" s="19"/>
      <c r="AP2779" s="19"/>
      <c r="AQ2779" s="19"/>
      <c r="AR2779" s="19"/>
      <c r="AS2779" s="19"/>
      <c r="AT2779" s="19"/>
      <c r="AU2779" s="19"/>
      <c r="AV2779" s="19"/>
      <c r="AW2779" s="19"/>
      <c r="AX2779" s="19"/>
      <c r="AY2779" s="19"/>
      <c r="AZ2779" s="19"/>
      <c r="BA2779" s="19"/>
      <c r="BB2779" s="19"/>
      <c r="BC2779" s="19"/>
      <c r="BD2779" s="19"/>
      <c r="BE2779" s="19"/>
      <c r="BF2779" s="19"/>
      <c r="BG2779" s="19"/>
      <c r="BH2779" s="19"/>
      <c r="BI2779" s="19"/>
      <c r="BJ2779" s="19"/>
      <c r="BK2779" s="19"/>
      <c r="BL2779" s="19"/>
      <c r="BM2779" s="19"/>
      <c r="BN2779" s="19"/>
      <c r="BO2779" s="19"/>
      <c r="BP2779" s="19"/>
      <c r="BQ2779" s="19"/>
      <c r="BR2779" s="19"/>
      <c r="BS2779" s="19"/>
      <c r="BT2779" s="19"/>
      <c r="BU2779" s="19"/>
      <c r="BV2779" s="19"/>
      <c r="BW2779" s="19"/>
      <c r="BX2779" s="19"/>
      <c r="BY2779" s="19"/>
      <c r="BZ2779" s="19"/>
      <c r="CA2779" s="19"/>
      <c r="CB2779" s="19"/>
      <c r="CC2779" s="19"/>
      <c r="CD2779" s="139"/>
      <c r="CE2779" s="138"/>
      <c r="CF2779" s="139"/>
      <c r="CG2779" s="138"/>
      <c r="CH2779" s="139"/>
      <c r="CI2779" s="138"/>
      <c r="CJ2779" s="72"/>
      <c r="CK2779" s="139"/>
      <c r="CL2779" s="71"/>
      <c r="CM2779" s="139"/>
      <c r="CN2779" s="138"/>
      <c r="CO2779" s="138"/>
      <c r="CP2779" s="138"/>
      <c r="CQ2779" s="139"/>
      <c r="CR2779" s="138"/>
      <c r="CS2779" s="45"/>
      <c r="CT2779" s="138"/>
      <c r="CU2779" s="45"/>
      <c r="CV2779" s="99">
        <f t="shared" si="273"/>
        <v>0</v>
      </c>
      <c r="CW2779" s="139"/>
      <c r="CX2779" s="138"/>
      <c r="CY2779" s="138"/>
      <c r="CZ2779" s="138"/>
      <c r="DA2779" s="139"/>
      <c r="DB2779" s="138"/>
      <c r="DC2779" s="45"/>
      <c r="DD2779" s="138"/>
      <c r="DE2779" s="45"/>
      <c r="DF2779" s="46"/>
    </row>
    <row r="2780" spans="1:110" s="42" customFormat="1" ht="144" x14ac:dyDescent="0.2">
      <c r="A2780" s="89">
        <v>40872</v>
      </c>
      <c r="B2780" s="16" t="s">
        <v>4296</v>
      </c>
      <c r="C2780" s="16" t="s">
        <v>4384</v>
      </c>
      <c r="D2780" s="16" t="s">
        <v>4264</v>
      </c>
      <c r="E2780" s="90" t="str">
        <f>VLOOKUP(B2780&amp;C2780,Divipola!$C$2:$F$1138,4,FALSE)</f>
        <v>19355</v>
      </c>
      <c r="F2780" s="4"/>
      <c r="G2780" s="208"/>
      <c r="H2780" s="208"/>
      <c r="I2780" s="208"/>
      <c r="J2780" s="208">
        <f>700*5</f>
        <v>3500</v>
      </c>
      <c r="K2780" s="208">
        <v>700</v>
      </c>
      <c r="L2780" s="208"/>
      <c r="M2780" s="208"/>
      <c r="N2780" s="208"/>
      <c r="O2780" s="208"/>
      <c r="P2780" s="208"/>
      <c r="Q2780" s="208"/>
      <c r="R2780" s="208"/>
      <c r="S2780" s="208"/>
      <c r="T2780" s="208"/>
      <c r="U2780" s="208"/>
      <c r="V2780" s="208"/>
      <c r="W2780" s="19"/>
      <c r="X2780" s="17"/>
      <c r="Y2780" s="5">
        <f t="shared" si="268"/>
        <v>0</v>
      </c>
      <c r="Z2780" s="5">
        <f t="shared" si="269"/>
        <v>59500000</v>
      </c>
      <c r="AA2780" s="5">
        <f t="shared" si="270"/>
        <v>22556200</v>
      </c>
      <c r="AB2780" s="5">
        <f t="shared" si="271"/>
        <v>0</v>
      </c>
      <c r="AC2780" s="5"/>
      <c r="AD2780" s="5">
        <v>25000000</v>
      </c>
      <c r="AE2780" s="5">
        <f t="shared" si="272"/>
        <v>107056200</v>
      </c>
      <c r="AF2780" s="70">
        <v>0</v>
      </c>
      <c r="AG2780" s="17"/>
      <c r="AH2780" s="18"/>
      <c r="AI2780" s="47" t="s">
        <v>4346</v>
      </c>
      <c r="AJ2780" s="73" t="s">
        <v>4347</v>
      </c>
      <c r="AK2780" s="45"/>
      <c r="AL2780" s="17"/>
      <c r="AM2780" s="20" t="s">
        <v>5522</v>
      </c>
      <c r="AN2780" s="19"/>
      <c r="AO2780" s="19"/>
      <c r="AP2780" s="19"/>
      <c r="AQ2780" s="19"/>
      <c r="AR2780" s="19"/>
      <c r="AS2780" s="19"/>
      <c r="AT2780" s="19"/>
      <c r="AU2780" s="19"/>
      <c r="AV2780" s="19"/>
      <c r="AW2780" s="19"/>
      <c r="AX2780" s="19"/>
      <c r="AY2780" s="19"/>
      <c r="AZ2780" s="19"/>
      <c r="BA2780" s="19"/>
      <c r="BB2780" s="19"/>
      <c r="BC2780" s="19"/>
      <c r="BD2780" s="19"/>
      <c r="BE2780" s="19"/>
      <c r="BF2780" s="19"/>
      <c r="BG2780" s="19"/>
      <c r="BH2780" s="19"/>
      <c r="BI2780" s="19"/>
      <c r="BJ2780" s="19"/>
      <c r="BK2780" s="19"/>
      <c r="BL2780" s="19"/>
      <c r="BM2780" s="19"/>
      <c r="BN2780" s="19"/>
      <c r="BO2780" s="19"/>
      <c r="BP2780" s="19"/>
      <c r="BQ2780" s="19"/>
      <c r="BR2780" s="19"/>
      <c r="BS2780" s="19"/>
      <c r="BT2780" s="19"/>
      <c r="BU2780" s="19"/>
      <c r="BV2780" s="19"/>
      <c r="BW2780" s="19"/>
      <c r="BX2780" s="19"/>
      <c r="BY2780" s="19"/>
      <c r="BZ2780" s="19"/>
      <c r="CA2780" s="19"/>
      <c r="CB2780" s="19"/>
      <c r="CC2780" s="19"/>
      <c r="CD2780" s="139"/>
      <c r="CE2780" s="138"/>
      <c r="CF2780" s="139"/>
      <c r="CG2780" s="138"/>
      <c r="CH2780" s="139"/>
      <c r="CI2780" s="138"/>
      <c r="CJ2780" s="72"/>
      <c r="CK2780" s="139"/>
      <c r="CL2780" s="71"/>
      <c r="CM2780" s="139"/>
      <c r="CN2780" s="138"/>
      <c r="CO2780" s="138"/>
      <c r="CP2780" s="138"/>
      <c r="CQ2780" s="139"/>
      <c r="CR2780" s="138"/>
      <c r="CS2780" s="45"/>
      <c r="CT2780" s="138"/>
      <c r="CU2780" s="45"/>
      <c r="CV2780" s="99">
        <f t="shared" si="273"/>
        <v>0</v>
      </c>
      <c r="CW2780" s="139"/>
      <c r="CX2780" s="138"/>
      <c r="CY2780" s="138">
        <v>700</v>
      </c>
      <c r="CZ2780" s="138">
        <f>700*85000</f>
        <v>59500000</v>
      </c>
      <c r="DA2780" s="139"/>
      <c r="DB2780" s="138"/>
      <c r="DC2780" s="45">
        <v>1000</v>
      </c>
      <c r="DD2780" s="138">
        <f>1000*21999.4+4000*139.2</f>
        <v>22556200</v>
      </c>
      <c r="DE2780" s="45"/>
      <c r="DF2780" s="46"/>
    </row>
    <row r="2781" spans="1:110" s="42" customFormat="1" ht="36" x14ac:dyDescent="0.2">
      <c r="A2781" s="89">
        <v>40872</v>
      </c>
      <c r="B2781" s="151" t="s">
        <v>4387</v>
      </c>
      <c r="C2781" s="90" t="s">
        <v>441</v>
      </c>
      <c r="D2781" s="90" t="s">
        <v>4264</v>
      </c>
      <c r="E2781" s="90" t="str">
        <f>VLOOKUP(B2781&amp;C2781,Divipola!$C$2:$F$1138,4,FALSE)</f>
        <v>52036</v>
      </c>
      <c r="F2781" s="4"/>
      <c r="G2781" s="101"/>
      <c r="H2781" s="101"/>
      <c r="I2781" s="101"/>
      <c r="J2781" s="101"/>
      <c r="K2781" s="101"/>
      <c r="L2781" s="101"/>
      <c r="M2781" s="101"/>
      <c r="N2781" s="101"/>
      <c r="O2781" s="101"/>
      <c r="P2781" s="101"/>
      <c r="Q2781" s="101"/>
      <c r="R2781" s="101">
        <v>1</v>
      </c>
      <c r="S2781" s="101"/>
      <c r="T2781" s="101"/>
      <c r="U2781" s="101"/>
      <c r="V2781" s="264"/>
      <c r="W2781" s="19"/>
      <c r="X2781" s="17"/>
      <c r="Y2781" s="5">
        <f t="shared" si="268"/>
        <v>0</v>
      </c>
      <c r="Z2781" s="5">
        <f t="shared" si="269"/>
        <v>0</v>
      </c>
      <c r="AA2781" s="5">
        <f t="shared" si="270"/>
        <v>0</v>
      </c>
      <c r="AB2781" s="5">
        <f t="shared" si="271"/>
        <v>0</v>
      </c>
      <c r="AC2781" s="5"/>
      <c r="AD2781" s="5">
        <v>0</v>
      </c>
      <c r="AE2781" s="5">
        <f t="shared" si="272"/>
        <v>0</v>
      </c>
      <c r="AF2781" s="70">
        <v>0</v>
      </c>
      <c r="AG2781" s="17"/>
      <c r="AH2781" s="18"/>
      <c r="AI2781" s="47" t="s">
        <v>4336</v>
      </c>
      <c r="AJ2781" s="73" t="s">
        <v>4337</v>
      </c>
      <c r="AK2781" s="45"/>
      <c r="AL2781" s="17"/>
      <c r="AM2781" s="121" t="s">
        <v>5617</v>
      </c>
      <c r="AN2781" s="19"/>
      <c r="AO2781" s="19"/>
      <c r="AP2781" s="19"/>
      <c r="AQ2781" s="19"/>
      <c r="AR2781" s="19"/>
      <c r="AS2781" s="19"/>
      <c r="AT2781" s="19"/>
      <c r="AU2781" s="19"/>
      <c r="AV2781" s="19"/>
      <c r="AW2781" s="19"/>
      <c r="AX2781" s="19"/>
      <c r="AY2781" s="19"/>
      <c r="AZ2781" s="19"/>
      <c r="BA2781" s="19"/>
      <c r="BB2781" s="19"/>
      <c r="BC2781" s="19"/>
      <c r="BD2781" s="19"/>
      <c r="BE2781" s="19"/>
      <c r="BF2781" s="19"/>
      <c r="BG2781" s="19"/>
      <c r="BH2781" s="19"/>
      <c r="BI2781" s="19"/>
      <c r="BJ2781" s="19"/>
      <c r="BK2781" s="19"/>
      <c r="BL2781" s="19"/>
      <c r="BM2781" s="19"/>
      <c r="BN2781" s="19"/>
      <c r="BO2781" s="19"/>
      <c r="BP2781" s="19"/>
      <c r="BQ2781" s="19"/>
      <c r="BR2781" s="19"/>
      <c r="BS2781" s="19"/>
      <c r="BT2781" s="19"/>
      <c r="BU2781" s="19"/>
      <c r="BV2781" s="19"/>
      <c r="BW2781" s="19"/>
      <c r="BX2781" s="19"/>
      <c r="BY2781" s="19"/>
      <c r="BZ2781" s="19"/>
      <c r="CA2781" s="19"/>
      <c r="CB2781" s="19"/>
      <c r="CC2781" s="19"/>
      <c r="CD2781" s="139"/>
      <c r="CE2781" s="138"/>
      <c r="CF2781" s="139"/>
      <c r="CG2781" s="138"/>
      <c r="CH2781" s="139"/>
      <c r="CI2781" s="138"/>
      <c r="CJ2781" s="72"/>
      <c r="CK2781" s="139"/>
      <c r="CL2781" s="71"/>
      <c r="CM2781" s="139"/>
      <c r="CN2781" s="138"/>
      <c r="CO2781" s="138"/>
      <c r="CP2781" s="138"/>
      <c r="CQ2781" s="139"/>
      <c r="CR2781" s="138"/>
      <c r="CS2781" s="45"/>
      <c r="CT2781" s="138"/>
      <c r="CU2781" s="45"/>
      <c r="CV2781" s="99">
        <f t="shared" si="273"/>
        <v>0</v>
      </c>
      <c r="CW2781" s="139"/>
      <c r="CX2781" s="138"/>
      <c r="CY2781" s="138"/>
      <c r="CZ2781" s="138"/>
      <c r="DA2781" s="139"/>
      <c r="DB2781" s="138"/>
      <c r="DC2781" s="45"/>
      <c r="DD2781" s="138"/>
      <c r="DE2781" s="45"/>
      <c r="DF2781" s="46"/>
    </row>
    <row r="2782" spans="1:110" s="42" customFormat="1" ht="60" x14ac:dyDescent="0.2">
      <c r="A2782" s="89">
        <v>40873</v>
      </c>
      <c r="B2782" s="151" t="s">
        <v>3533</v>
      </c>
      <c r="C2782" s="90" t="s">
        <v>4208</v>
      </c>
      <c r="D2782" s="90" t="s">
        <v>2362</v>
      </c>
      <c r="E2782" s="90" t="str">
        <f>VLOOKUP(B2782&amp;C2782,Divipola!$C$2:$F$1138,4,FALSE)</f>
        <v>17272</v>
      </c>
      <c r="F2782" s="4"/>
      <c r="G2782" s="194"/>
      <c r="H2782" s="194"/>
      <c r="I2782" s="194"/>
      <c r="J2782" s="194">
        <v>60</v>
      </c>
      <c r="K2782" s="194">
        <v>12</v>
      </c>
      <c r="L2782" s="194"/>
      <c r="M2782" s="194">
        <v>12</v>
      </c>
      <c r="N2782" s="194"/>
      <c r="O2782" s="194"/>
      <c r="P2782" s="194"/>
      <c r="Q2782" s="194"/>
      <c r="R2782" s="194"/>
      <c r="S2782" s="194"/>
      <c r="T2782" s="194"/>
      <c r="U2782" s="194"/>
      <c r="V2782" s="194"/>
      <c r="W2782" s="19"/>
      <c r="X2782" s="17"/>
      <c r="Y2782" s="5">
        <f t="shared" si="268"/>
        <v>0</v>
      </c>
      <c r="Z2782" s="5">
        <f t="shared" si="269"/>
        <v>0</v>
      </c>
      <c r="AA2782" s="5">
        <f t="shared" si="270"/>
        <v>0</v>
      </c>
      <c r="AB2782" s="5">
        <f t="shared" si="271"/>
        <v>0</v>
      </c>
      <c r="AC2782" s="5"/>
      <c r="AD2782" s="5">
        <v>0</v>
      </c>
      <c r="AE2782" s="5">
        <f t="shared" si="272"/>
        <v>0</v>
      </c>
      <c r="AF2782" s="70">
        <v>0</v>
      </c>
      <c r="AG2782" s="17"/>
      <c r="AH2782" s="18"/>
      <c r="AI2782" s="47" t="s">
        <v>4336</v>
      </c>
      <c r="AJ2782" s="73" t="s">
        <v>4337</v>
      </c>
      <c r="AK2782" s="45"/>
      <c r="AL2782" s="17"/>
      <c r="AM2782" s="195" t="s">
        <v>5137</v>
      </c>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39"/>
      <c r="CE2782" s="138"/>
      <c r="CF2782" s="139"/>
      <c r="CG2782" s="138"/>
      <c r="CH2782" s="139"/>
      <c r="CI2782" s="138"/>
      <c r="CJ2782" s="72"/>
      <c r="CK2782" s="139"/>
      <c r="CL2782" s="71"/>
      <c r="CM2782" s="139"/>
      <c r="CN2782" s="138"/>
      <c r="CO2782" s="138"/>
      <c r="CP2782" s="138"/>
      <c r="CQ2782" s="139"/>
      <c r="CR2782" s="138"/>
      <c r="CS2782" s="45"/>
      <c r="CT2782" s="138"/>
      <c r="CU2782" s="45"/>
      <c r="CV2782" s="99">
        <f t="shared" si="273"/>
        <v>0</v>
      </c>
      <c r="CW2782" s="139"/>
      <c r="CX2782" s="138"/>
      <c r="CY2782" s="138"/>
      <c r="CZ2782" s="138"/>
      <c r="DA2782" s="139"/>
      <c r="DB2782" s="138"/>
      <c r="DC2782" s="45"/>
      <c r="DD2782" s="138"/>
      <c r="DE2782" s="45"/>
      <c r="DF2782" s="46"/>
    </row>
    <row r="2783" spans="1:110" s="42" customFormat="1" ht="60" x14ac:dyDescent="0.2">
      <c r="A2783" s="89">
        <v>40873</v>
      </c>
      <c r="B2783" s="151" t="s">
        <v>2226</v>
      </c>
      <c r="C2783" s="90" t="s">
        <v>626</v>
      </c>
      <c r="D2783" s="90" t="s">
        <v>4264</v>
      </c>
      <c r="E2783" s="90" t="str">
        <f>VLOOKUP(B2783&amp;C2783,Divipola!$C$2:$F$1138,4,FALSE)</f>
        <v>68147</v>
      </c>
      <c r="F2783" s="4"/>
      <c r="G2783" s="194"/>
      <c r="H2783" s="194"/>
      <c r="I2783" s="194"/>
      <c r="J2783" s="194">
        <v>20</v>
      </c>
      <c r="K2783" s="194">
        <v>4</v>
      </c>
      <c r="L2783" s="194"/>
      <c r="M2783" s="194">
        <v>4</v>
      </c>
      <c r="N2783" s="194"/>
      <c r="O2783" s="194"/>
      <c r="P2783" s="194"/>
      <c r="Q2783" s="194"/>
      <c r="R2783" s="194"/>
      <c r="S2783" s="194"/>
      <c r="T2783" s="194"/>
      <c r="U2783" s="194"/>
      <c r="V2783" s="194"/>
      <c r="W2783" s="19"/>
      <c r="X2783" s="17"/>
      <c r="Y2783" s="5">
        <f t="shared" si="268"/>
        <v>0</v>
      </c>
      <c r="Z2783" s="5">
        <f t="shared" si="269"/>
        <v>0</v>
      </c>
      <c r="AA2783" s="5">
        <f t="shared" si="270"/>
        <v>0</v>
      </c>
      <c r="AB2783" s="5">
        <f t="shared" si="271"/>
        <v>0</v>
      </c>
      <c r="AC2783" s="5"/>
      <c r="AD2783" s="5">
        <v>0</v>
      </c>
      <c r="AE2783" s="5">
        <f t="shared" si="272"/>
        <v>0</v>
      </c>
      <c r="AF2783" s="70">
        <v>0</v>
      </c>
      <c r="AG2783" s="17"/>
      <c r="AH2783" s="18"/>
      <c r="AI2783" s="47" t="s">
        <v>4346</v>
      </c>
      <c r="AJ2783" s="73" t="s">
        <v>4347</v>
      </c>
      <c r="AK2783" s="45"/>
      <c r="AL2783" s="17" t="s">
        <v>5534</v>
      </c>
      <c r="AM2783" s="195" t="s">
        <v>5138</v>
      </c>
      <c r="AN2783" s="19"/>
      <c r="AO2783" s="19"/>
      <c r="AP2783" s="19"/>
      <c r="AQ2783" s="19"/>
      <c r="AR2783" s="19"/>
      <c r="AS2783" s="19"/>
      <c r="AT2783" s="19"/>
      <c r="AU2783" s="19"/>
      <c r="AV2783" s="19"/>
      <c r="AW2783" s="19"/>
      <c r="AX2783" s="19"/>
      <c r="AY2783" s="19"/>
      <c r="AZ2783" s="19"/>
      <c r="BA2783" s="19"/>
      <c r="BB2783" s="19"/>
      <c r="BC2783" s="19"/>
      <c r="BD2783" s="19"/>
      <c r="BE2783" s="19"/>
      <c r="BF2783" s="19"/>
      <c r="BG2783" s="19"/>
      <c r="BH2783" s="19"/>
      <c r="BI2783" s="19"/>
      <c r="BJ2783" s="19"/>
      <c r="BK2783" s="19"/>
      <c r="BL2783" s="19"/>
      <c r="BM2783" s="19"/>
      <c r="BN2783" s="19"/>
      <c r="BO2783" s="19"/>
      <c r="BP2783" s="19"/>
      <c r="BQ2783" s="19"/>
      <c r="BR2783" s="19"/>
      <c r="BS2783" s="19"/>
      <c r="BT2783" s="19"/>
      <c r="BU2783" s="19"/>
      <c r="BV2783" s="19"/>
      <c r="BW2783" s="19"/>
      <c r="BX2783" s="19"/>
      <c r="BY2783" s="19"/>
      <c r="BZ2783" s="19"/>
      <c r="CA2783" s="19"/>
      <c r="CB2783" s="19"/>
      <c r="CC2783" s="19"/>
      <c r="CD2783" s="139"/>
      <c r="CE2783" s="138"/>
      <c r="CF2783" s="139"/>
      <c r="CG2783" s="138"/>
      <c r="CH2783" s="139"/>
      <c r="CI2783" s="138"/>
      <c r="CJ2783" s="72"/>
      <c r="CK2783" s="139"/>
      <c r="CL2783" s="71"/>
      <c r="CM2783" s="139"/>
      <c r="CN2783" s="138"/>
      <c r="CO2783" s="138"/>
      <c r="CP2783" s="138"/>
      <c r="CQ2783" s="139"/>
      <c r="CR2783" s="138"/>
      <c r="CS2783" s="45"/>
      <c r="CT2783" s="138"/>
      <c r="CU2783" s="45"/>
      <c r="CV2783" s="99">
        <f t="shared" si="273"/>
        <v>0</v>
      </c>
      <c r="CW2783" s="139"/>
      <c r="CX2783" s="138"/>
      <c r="CY2783" s="138"/>
      <c r="CZ2783" s="138"/>
      <c r="DA2783" s="139"/>
      <c r="DB2783" s="138"/>
      <c r="DC2783" s="45"/>
      <c r="DD2783" s="138"/>
      <c r="DE2783" s="45"/>
      <c r="DF2783" s="46"/>
    </row>
    <row r="2784" spans="1:110" s="42" customFormat="1" ht="60" x14ac:dyDescent="0.2">
      <c r="A2784" s="89">
        <v>40873</v>
      </c>
      <c r="B2784" s="151" t="s">
        <v>2218</v>
      </c>
      <c r="C2784" s="90" t="s">
        <v>4266</v>
      </c>
      <c r="D2784" s="90" t="s">
        <v>4264</v>
      </c>
      <c r="E2784" s="90" t="str">
        <f>VLOOKUP(B2784&amp;C2784,Divipola!$C$2:$F$1138,4,FALSE)</f>
        <v>05088</v>
      </c>
      <c r="F2784" s="4"/>
      <c r="G2784" s="194"/>
      <c r="H2784" s="194"/>
      <c r="I2784" s="194"/>
      <c r="J2784" s="194">
        <v>90</v>
      </c>
      <c r="K2784" s="194">
        <v>18</v>
      </c>
      <c r="L2784" s="194">
        <v>18</v>
      </c>
      <c r="M2784" s="194"/>
      <c r="N2784" s="194"/>
      <c r="O2784" s="194"/>
      <c r="P2784" s="194"/>
      <c r="Q2784" s="194"/>
      <c r="R2784" s="194"/>
      <c r="S2784" s="194"/>
      <c r="T2784" s="194"/>
      <c r="U2784" s="194"/>
      <c r="V2784" s="194"/>
      <c r="W2784" s="19"/>
      <c r="X2784" s="17"/>
      <c r="Y2784" s="5">
        <f t="shared" si="268"/>
        <v>0</v>
      </c>
      <c r="Z2784" s="5">
        <f t="shared" si="269"/>
        <v>0</v>
      </c>
      <c r="AA2784" s="5">
        <f t="shared" si="270"/>
        <v>0</v>
      </c>
      <c r="AB2784" s="5">
        <f t="shared" si="271"/>
        <v>0</v>
      </c>
      <c r="AC2784" s="5"/>
      <c r="AD2784" s="5">
        <v>0</v>
      </c>
      <c r="AE2784" s="5">
        <f t="shared" si="272"/>
        <v>0</v>
      </c>
      <c r="AF2784" s="70">
        <v>0</v>
      </c>
      <c r="AG2784" s="17"/>
      <c r="AH2784" s="18"/>
      <c r="AI2784" s="47" t="s">
        <v>4346</v>
      </c>
      <c r="AJ2784" s="73" t="s">
        <v>4347</v>
      </c>
      <c r="AK2784" s="45"/>
      <c r="AL2784" s="89" t="s">
        <v>2798</v>
      </c>
      <c r="AM2784" s="195" t="s">
        <v>5139</v>
      </c>
      <c r="AN2784" s="19"/>
      <c r="AO2784" s="19"/>
      <c r="AP2784" s="19"/>
      <c r="AQ2784" s="19"/>
      <c r="AR2784" s="19"/>
      <c r="AS2784" s="19"/>
      <c r="AT2784" s="19"/>
      <c r="AU2784" s="19"/>
      <c r="AV2784" s="19"/>
      <c r="AW2784" s="19"/>
      <c r="AX2784" s="19"/>
      <c r="AY2784" s="19"/>
      <c r="AZ2784" s="19"/>
      <c r="BA2784" s="19"/>
      <c r="BB2784" s="19"/>
      <c r="BC2784" s="19"/>
      <c r="BD2784" s="19"/>
      <c r="BE2784" s="19"/>
      <c r="BF2784" s="19"/>
      <c r="BG2784" s="19"/>
      <c r="BH2784" s="19"/>
      <c r="BI2784" s="19"/>
      <c r="BJ2784" s="19"/>
      <c r="BK2784" s="19"/>
      <c r="BL2784" s="19"/>
      <c r="BM2784" s="19"/>
      <c r="BN2784" s="19"/>
      <c r="BO2784" s="19"/>
      <c r="BP2784" s="19"/>
      <c r="BQ2784" s="19"/>
      <c r="BR2784" s="19"/>
      <c r="BS2784" s="19"/>
      <c r="BT2784" s="19"/>
      <c r="BU2784" s="19"/>
      <c r="BV2784" s="19"/>
      <c r="BW2784" s="19"/>
      <c r="BX2784" s="19"/>
      <c r="BY2784" s="19"/>
      <c r="BZ2784" s="19"/>
      <c r="CA2784" s="19"/>
      <c r="CB2784" s="19"/>
      <c r="CC2784" s="19"/>
      <c r="CD2784" s="139"/>
      <c r="CE2784" s="138"/>
      <c r="CF2784" s="139"/>
      <c r="CG2784" s="138"/>
      <c r="CH2784" s="139"/>
      <c r="CI2784" s="138"/>
      <c r="CJ2784" s="72"/>
      <c r="CK2784" s="139"/>
      <c r="CL2784" s="71"/>
      <c r="CM2784" s="139"/>
      <c r="CN2784" s="138"/>
      <c r="CO2784" s="138"/>
      <c r="CP2784" s="138"/>
      <c r="CQ2784" s="139"/>
      <c r="CR2784" s="138"/>
      <c r="CS2784" s="45"/>
      <c r="CT2784" s="138"/>
      <c r="CU2784" s="45"/>
      <c r="CV2784" s="99">
        <f t="shared" si="273"/>
        <v>0</v>
      </c>
      <c r="CW2784" s="139"/>
      <c r="CX2784" s="138"/>
      <c r="CY2784" s="138"/>
      <c r="CZ2784" s="138"/>
      <c r="DA2784" s="139"/>
      <c r="DB2784" s="138"/>
      <c r="DC2784" s="45"/>
      <c r="DD2784" s="138"/>
      <c r="DE2784" s="45"/>
      <c r="DF2784" s="46"/>
    </row>
    <row r="2785" spans="1:110" s="42" customFormat="1" ht="108" x14ac:dyDescent="0.2">
      <c r="A2785" s="89">
        <v>40873</v>
      </c>
      <c r="B2785" s="151" t="s">
        <v>4308</v>
      </c>
      <c r="C2785" s="90" t="s">
        <v>4309</v>
      </c>
      <c r="D2785" s="90" t="s">
        <v>4264</v>
      </c>
      <c r="E2785" s="90" t="str">
        <f>VLOOKUP(B2785&amp;C2785,Divipola!$C$2:$F$1138,4,FALSE)</f>
        <v>47245</v>
      </c>
      <c r="F2785" s="4"/>
      <c r="G2785" s="194"/>
      <c r="H2785" s="194"/>
      <c r="I2785" s="194"/>
      <c r="J2785" s="194">
        <f>6456*4</f>
        <v>25824</v>
      </c>
      <c r="K2785" s="194">
        <v>6456</v>
      </c>
      <c r="L2785" s="194"/>
      <c r="M2785" s="194">
        <v>4200</v>
      </c>
      <c r="N2785" s="194">
        <v>2</v>
      </c>
      <c r="O2785" s="194"/>
      <c r="P2785" s="194"/>
      <c r="Q2785" s="194"/>
      <c r="R2785" s="194"/>
      <c r="S2785" s="194"/>
      <c r="T2785" s="194"/>
      <c r="U2785" s="194"/>
      <c r="V2785" s="194"/>
      <c r="W2785" s="19"/>
      <c r="X2785" s="17"/>
      <c r="Y2785" s="5">
        <f t="shared" si="268"/>
        <v>185000000</v>
      </c>
      <c r="Z2785" s="5">
        <f t="shared" si="269"/>
        <v>425000000</v>
      </c>
      <c r="AA2785" s="5">
        <f t="shared" si="270"/>
        <v>0</v>
      </c>
      <c r="AB2785" s="5">
        <f t="shared" si="271"/>
        <v>0</v>
      </c>
      <c r="AC2785" s="5"/>
      <c r="AD2785" s="5">
        <v>0</v>
      </c>
      <c r="AE2785" s="5">
        <f t="shared" si="272"/>
        <v>610000000</v>
      </c>
      <c r="AF2785" s="70">
        <v>0</v>
      </c>
      <c r="AG2785" s="17"/>
      <c r="AH2785" s="18"/>
      <c r="AI2785" s="47" t="s">
        <v>4346</v>
      </c>
      <c r="AJ2785" s="73" t="s">
        <v>4347</v>
      </c>
      <c r="AK2785" s="45"/>
      <c r="AL2785" s="17" t="s">
        <v>5534</v>
      </c>
      <c r="AM2785" s="195" t="s">
        <v>5565</v>
      </c>
      <c r="AN2785" s="19"/>
      <c r="AO2785" s="19"/>
      <c r="AP2785" s="19"/>
      <c r="AQ2785" s="19"/>
      <c r="AR2785" s="19"/>
      <c r="AS2785" s="19"/>
      <c r="AT2785" s="19"/>
      <c r="AU2785" s="19"/>
      <c r="AV2785" s="19"/>
      <c r="AW2785" s="19"/>
      <c r="AX2785" s="19"/>
      <c r="AY2785" s="19"/>
      <c r="AZ2785" s="19"/>
      <c r="BA2785" s="19"/>
      <c r="BB2785" s="19"/>
      <c r="BC2785" s="19"/>
      <c r="BD2785" s="19"/>
      <c r="BE2785" s="19"/>
      <c r="BF2785" s="19"/>
      <c r="BG2785" s="19"/>
      <c r="BH2785" s="19"/>
      <c r="BI2785" s="19"/>
      <c r="BJ2785" s="19"/>
      <c r="BK2785" s="19"/>
      <c r="BL2785" s="19"/>
      <c r="BM2785" s="19"/>
      <c r="BN2785" s="19"/>
      <c r="BO2785" s="19"/>
      <c r="BP2785" s="19"/>
      <c r="BQ2785" s="19"/>
      <c r="BR2785" s="19"/>
      <c r="BS2785" s="19"/>
      <c r="BT2785" s="19"/>
      <c r="BU2785" s="19"/>
      <c r="BV2785" s="19"/>
      <c r="BW2785" s="19"/>
      <c r="BX2785" s="19"/>
      <c r="BY2785" s="19"/>
      <c r="BZ2785" s="19"/>
      <c r="CA2785" s="19"/>
      <c r="CB2785" s="19"/>
      <c r="CC2785" s="19"/>
      <c r="CD2785" s="139"/>
      <c r="CE2785" s="138"/>
      <c r="CF2785" s="139"/>
      <c r="CG2785" s="138"/>
      <c r="CH2785" s="139"/>
      <c r="CI2785" s="138"/>
      <c r="CJ2785" s="72"/>
      <c r="CK2785" s="139"/>
      <c r="CL2785" s="71"/>
      <c r="CM2785" s="139"/>
      <c r="CN2785" s="138"/>
      <c r="CO2785" s="138"/>
      <c r="CP2785" s="138">
        <v>5000</v>
      </c>
      <c r="CQ2785" s="139">
        <f>5000*37000</f>
        <v>185000000</v>
      </c>
      <c r="CR2785" s="138"/>
      <c r="CS2785" s="45"/>
      <c r="CT2785" s="138"/>
      <c r="CU2785" s="45"/>
      <c r="CV2785" s="99">
        <f t="shared" si="273"/>
        <v>185000000</v>
      </c>
      <c r="CW2785" s="139"/>
      <c r="CX2785" s="138"/>
      <c r="CY2785" s="138">
        <v>5000</v>
      </c>
      <c r="CZ2785" s="138">
        <f>5000*85000</f>
        <v>425000000</v>
      </c>
      <c r="DA2785" s="139"/>
      <c r="DB2785" s="138"/>
      <c r="DC2785" s="45"/>
      <c r="DD2785" s="138"/>
      <c r="DE2785" s="45"/>
      <c r="DF2785" s="46"/>
    </row>
    <row r="2786" spans="1:110" s="42" customFormat="1" ht="96" x14ac:dyDescent="0.2">
      <c r="A2786" s="89">
        <v>40873</v>
      </c>
      <c r="B2786" s="151" t="s">
        <v>4308</v>
      </c>
      <c r="C2786" s="90" t="s">
        <v>787</v>
      </c>
      <c r="D2786" s="90" t="s">
        <v>4264</v>
      </c>
      <c r="E2786" s="90" t="str">
        <f>VLOOKUP(B2786&amp;C2786,Divipola!$C$2:$F$1138,4,FALSE)</f>
        <v>47707</v>
      </c>
      <c r="F2786" s="4"/>
      <c r="G2786" s="194"/>
      <c r="H2786" s="194"/>
      <c r="I2786" s="194"/>
      <c r="J2786" s="194">
        <f>1750*4</f>
        <v>7000</v>
      </c>
      <c r="K2786" s="194">
        <v>1750</v>
      </c>
      <c r="L2786" s="194"/>
      <c r="M2786" s="194">
        <v>399</v>
      </c>
      <c r="N2786" s="194"/>
      <c r="O2786" s="194"/>
      <c r="P2786" s="194"/>
      <c r="Q2786" s="194"/>
      <c r="R2786" s="194"/>
      <c r="S2786" s="194"/>
      <c r="T2786" s="194"/>
      <c r="U2786" s="194"/>
      <c r="V2786" s="194"/>
      <c r="W2786" s="19"/>
      <c r="X2786" s="17"/>
      <c r="Y2786" s="5">
        <f t="shared" si="268"/>
        <v>0</v>
      </c>
      <c r="Z2786" s="5">
        <f t="shared" si="269"/>
        <v>0</v>
      </c>
      <c r="AA2786" s="5">
        <f t="shared" si="270"/>
        <v>0</v>
      </c>
      <c r="AB2786" s="5">
        <f t="shared" si="271"/>
        <v>0</v>
      </c>
      <c r="AC2786" s="5"/>
      <c r="AD2786" s="5">
        <v>0</v>
      </c>
      <c r="AE2786" s="5">
        <f t="shared" si="272"/>
        <v>0</v>
      </c>
      <c r="AF2786" s="70">
        <v>0</v>
      </c>
      <c r="AG2786" s="17"/>
      <c r="AH2786" s="18"/>
      <c r="AI2786" s="47" t="s">
        <v>4346</v>
      </c>
      <c r="AJ2786" s="73" t="s">
        <v>4347</v>
      </c>
      <c r="AK2786" s="45"/>
      <c r="AL2786" s="17" t="s">
        <v>5534</v>
      </c>
      <c r="AM2786" s="195" t="s">
        <v>5569</v>
      </c>
      <c r="AN2786" s="19"/>
      <c r="AO2786" s="19"/>
      <c r="AP2786" s="19"/>
      <c r="AQ2786" s="19"/>
      <c r="AR2786" s="19"/>
      <c r="AS2786" s="19"/>
      <c r="AT2786" s="19"/>
      <c r="AU2786" s="19"/>
      <c r="AV2786" s="19"/>
      <c r="AW2786" s="19"/>
      <c r="AX2786" s="19"/>
      <c r="AY2786" s="19"/>
      <c r="AZ2786" s="19"/>
      <c r="BA2786" s="19"/>
      <c r="BB2786" s="19"/>
      <c r="BC2786" s="19"/>
      <c r="BD2786" s="19"/>
      <c r="BE2786" s="19"/>
      <c r="BF2786" s="19"/>
      <c r="BG2786" s="19"/>
      <c r="BH2786" s="19"/>
      <c r="BI2786" s="19"/>
      <c r="BJ2786" s="19"/>
      <c r="BK2786" s="19"/>
      <c r="BL2786" s="19"/>
      <c r="BM2786" s="19"/>
      <c r="BN2786" s="19"/>
      <c r="BO2786" s="19"/>
      <c r="BP2786" s="19"/>
      <c r="BQ2786" s="19"/>
      <c r="BR2786" s="19"/>
      <c r="BS2786" s="19"/>
      <c r="BT2786" s="19"/>
      <c r="BU2786" s="19"/>
      <c r="BV2786" s="19"/>
      <c r="BW2786" s="19"/>
      <c r="BX2786" s="19"/>
      <c r="BY2786" s="19"/>
      <c r="BZ2786" s="19"/>
      <c r="CA2786" s="19"/>
      <c r="CB2786" s="19"/>
      <c r="CC2786" s="19"/>
      <c r="CD2786" s="139"/>
      <c r="CE2786" s="138"/>
      <c r="CF2786" s="139"/>
      <c r="CG2786" s="138"/>
      <c r="CH2786" s="139"/>
      <c r="CI2786" s="138"/>
      <c r="CJ2786" s="72"/>
      <c r="CK2786" s="139"/>
      <c r="CL2786" s="71"/>
      <c r="CM2786" s="139"/>
      <c r="CN2786" s="138"/>
      <c r="CO2786" s="138"/>
      <c r="CP2786" s="138"/>
      <c r="CQ2786" s="139"/>
      <c r="CR2786" s="138"/>
      <c r="CS2786" s="45"/>
      <c r="CT2786" s="138"/>
      <c r="CU2786" s="45"/>
      <c r="CV2786" s="99">
        <f t="shared" si="273"/>
        <v>0</v>
      </c>
      <c r="CW2786" s="139"/>
      <c r="CX2786" s="138"/>
      <c r="CY2786" s="138"/>
      <c r="CZ2786" s="138"/>
      <c r="DA2786" s="139"/>
      <c r="DB2786" s="138"/>
      <c r="DC2786" s="45"/>
      <c r="DD2786" s="138"/>
      <c r="DE2786" s="45"/>
      <c r="DF2786" s="46"/>
    </row>
    <row r="2787" spans="1:110" s="42" customFormat="1" ht="48" x14ac:dyDescent="0.2">
      <c r="A2787" s="89">
        <v>40873</v>
      </c>
      <c r="B2787" s="151" t="s">
        <v>2218</v>
      </c>
      <c r="C2787" s="90" t="s">
        <v>3822</v>
      </c>
      <c r="D2787" s="90" t="s">
        <v>4264</v>
      </c>
      <c r="E2787" s="90" t="str">
        <f>VLOOKUP(B2787&amp;C2787,Divipola!$C$2:$F$1138,4,FALSE)</f>
        <v>05051</v>
      </c>
      <c r="F2787" s="4"/>
      <c r="G2787" s="194"/>
      <c r="H2787" s="194"/>
      <c r="I2787" s="194"/>
      <c r="J2787" s="194">
        <v>70</v>
      </c>
      <c r="K2787" s="194">
        <v>15</v>
      </c>
      <c r="L2787" s="194"/>
      <c r="M2787" s="194">
        <v>15</v>
      </c>
      <c r="N2787" s="194"/>
      <c r="O2787" s="194"/>
      <c r="P2787" s="194"/>
      <c r="Q2787" s="194"/>
      <c r="R2787" s="194"/>
      <c r="S2787" s="194"/>
      <c r="T2787" s="194"/>
      <c r="U2787" s="194"/>
      <c r="V2787" s="194"/>
      <c r="W2787" s="19"/>
      <c r="X2787" s="17"/>
      <c r="Y2787" s="5">
        <f t="shared" si="268"/>
        <v>0</v>
      </c>
      <c r="Z2787" s="5">
        <f t="shared" si="269"/>
        <v>0</v>
      </c>
      <c r="AA2787" s="5">
        <f t="shared" si="270"/>
        <v>0</v>
      </c>
      <c r="AB2787" s="5">
        <f t="shared" si="271"/>
        <v>0</v>
      </c>
      <c r="AC2787" s="5"/>
      <c r="AD2787" s="5">
        <v>0</v>
      </c>
      <c r="AE2787" s="5">
        <f t="shared" si="272"/>
        <v>0</v>
      </c>
      <c r="AF2787" s="70">
        <v>0</v>
      </c>
      <c r="AG2787" s="17"/>
      <c r="AH2787" s="18"/>
      <c r="AI2787" s="47" t="s">
        <v>4346</v>
      </c>
      <c r="AJ2787" s="73" t="s">
        <v>4347</v>
      </c>
      <c r="AK2787" s="45"/>
      <c r="AL2787" s="89" t="s">
        <v>2798</v>
      </c>
      <c r="AM2787" s="195" t="s">
        <v>5140</v>
      </c>
      <c r="AN2787" s="19"/>
      <c r="AO2787" s="19"/>
      <c r="AP2787" s="19"/>
      <c r="AQ2787" s="19"/>
      <c r="AR2787" s="19"/>
      <c r="AS2787" s="19"/>
      <c r="AT2787" s="19"/>
      <c r="AU2787" s="19"/>
      <c r="AV2787" s="19"/>
      <c r="AW2787" s="19"/>
      <c r="AX2787" s="19"/>
      <c r="AY2787" s="19"/>
      <c r="AZ2787" s="19"/>
      <c r="BA2787" s="19"/>
      <c r="BB2787" s="19"/>
      <c r="BC2787" s="19"/>
      <c r="BD2787" s="19"/>
      <c r="BE2787" s="19"/>
      <c r="BF2787" s="19"/>
      <c r="BG2787" s="19"/>
      <c r="BH2787" s="19"/>
      <c r="BI2787" s="19"/>
      <c r="BJ2787" s="19"/>
      <c r="BK2787" s="19"/>
      <c r="BL2787" s="19"/>
      <c r="BM2787" s="19"/>
      <c r="BN2787" s="19"/>
      <c r="BO2787" s="19"/>
      <c r="BP2787" s="19"/>
      <c r="BQ2787" s="19"/>
      <c r="BR2787" s="19"/>
      <c r="BS2787" s="19"/>
      <c r="BT2787" s="19"/>
      <c r="BU2787" s="19"/>
      <c r="BV2787" s="19"/>
      <c r="BW2787" s="19"/>
      <c r="BX2787" s="19"/>
      <c r="BY2787" s="19"/>
      <c r="BZ2787" s="19"/>
      <c r="CA2787" s="19"/>
      <c r="CB2787" s="19"/>
      <c r="CC2787" s="19"/>
      <c r="CD2787" s="139"/>
      <c r="CE2787" s="138"/>
      <c r="CF2787" s="139"/>
      <c r="CG2787" s="138"/>
      <c r="CH2787" s="139"/>
      <c r="CI2787" s="138"/>
      <c r="CJ2787" s="72"/>
      <c r="CK2787" s="139"/>
      <c r="CL2787" s="71"/>
      <c r="CM2787" s="139"/>
      <c r="CN2787" s="138"/>
      <c r="CO2787" s="138"/>
      <c r="CP2787" s="138"/>
      <c r="CQ2787" s="139"/>
      <c r="CR2787" s="138"/>
      <c r="CS2787" s="45"/>
      <c r="CT2787" s="138"/>
      <c r="CU2787" s="45"/>
      <c r="CV2787" s="99">
        <f t="shared" si="273"/>
        <v>0</v>
      </c>
      <c r="CW2787" s="139"/>
      <c r="CX2787" s="138"/>
      <c r="CY2787" s="138"/>
      <c r="CZ2787" s="138"/>
      <c r="DA2787" s="139"/>
      <c r="DB2787" s="138"/>
      <c r="DC2787" s="45"/>
      <c r="DD2787" s="138"/>
      <c r="DE2787" s="45"/>
      <c r="DF2787" s="46"/>
    </row>
    <row r="2788" spans="1:110" s="42" customFormat="1" ht="96" x14ac:dyDescent="0.2">
      <c r="A2788" s="89">
        <v>40873</v>
      </c>
      <c r="B2788" s="151" t="s">
        <v>3533</v>
      </c>
      <c r="C2788" s="90" t="s">
        <v>862</v>
      </c>
      <c r="D2788" s="90" t="s">
        <v>2362</v>
      </c>
      <c r="E2788" s="90" t="str">
        <f>VLOOKUP(B2788&amp;C2788,Divipola!$C$2:$F$1138,4,FALSE)</f>
        <v>17001</v>
      </c>
      <c r="F2788" s="4"/>
      <c r="G2788" s="194"/>
      <c r="H2788" s="194"/>
      <c r="I2788" s="194"/>
      <c r="J2788" s="194">
        <v>245</v>
      </c>
      <c r="K2788" s="194">
        <v>49</v>
      </c>
      <c r="L2788" s="194"/>
      <c r="M2788" s="194">
        <v>49</v>
      </c>
      <c r="N2788" s="194"/>
      <c r="O2788" s="194"/>
      <c r="P2788" s="194"/>
      <c r="Q2788" s="194"/>
      <c r="R2788" s="194"/>
      <c r="S2788" s="194"/>
      <c r="T2788" s="194"/>
      <c r="U2788" s="194"/>
      <c r="V2788" s="194"/>
      <c r="W2788" s="19"/>
      <c r="X2788" s="17"/>
      <c r="Y2788" s="5">
        <f t="shared" si="268"/>
        <v>0</v>
      </c>
      <c r="Z2788" s="5">
        <f t="shared" si="269"/>
        <v>0</v>
      </c>
      <c r="AA2788" s="5">
        <f t="shared" si="270"/>
        <v>0</v>
      </c>
      <c r="AB2788" s="5">
        <f t="shared" si="271"/>
        <v>0</v>
      </c>
      <c r="AC2788" s="5"/>
      <c r="AD2788" s="5">
        <v>0</v>
      </c>
      <c r="AE2788" s="5">
        <f t="shared" si="272"/>
        <v>0</v>
      </c>
      <c r="AF2788" s="70">
        <v>0</v>
      </c>
      <c r="AG2788" s="17"/>
      <c r="AH2788" s="18"/>
      <c r="AI2788" s="47" t="s">
        <v>4346</v>
      </c>
      <c r="AJ2788" s="73" t="s">
        <v>4347</v>
      </c>
      <c r="AK2788" s="45"/>
      <c r="AL2788" s="17"/>
      <c r="AM2788" s="195" t="s">
        <v>5141</v>
      </c>
      <c r="AN2788" s="19"/>
      <c r="AO2788" s="19"/>
      <c r="AP2788" s="19"/>
      <c r="AQ2788" s="19"/>
      <c r="AR2788" s="19"/>
      <c r="AS2788" s="19"/>
      <c r="AT2788" s="19"/>
      <c r="AU2788" s="19"/>
      <c r="AV2788" s="19"/>
      <c r="AW2788" s="19"/>
      <c r="AX2788" s="19"/>
      <c r="AY2788" s="19"/>
      <c r="AZ2788" s="19"/>
      <c r="BA2788" s="19"/>
      <c r="BB2788" s="19"/>
      <c r="BC2788" s="19"/>
      <c r="BD2788" s="19"/>
      <c r="BE2788" s="19"/>
      <c r="BF2788" s="19"/>
      <c r="BG2788" s="19"/>
      <c r="BH2788" s="19"/>
      <c r="BI2788" s="19"/>
      <c r="BJ2788" s="19"/>
      <c r="BK2788" s="19"/>
      <c r="BL2788" s="19"/>
      <c r="BM2788" s="19"/>
      <c r="BN2788" s="19"/>
      <c r="BO2788" s="19"/>
      <c r="BP2788" s="19"/>
      <c r="BQ2788" s="19"/>
      <c r="BR2788" s="19"/>
      <c r="BS2788" s="19"/>
      <c r="BT2788" s="19"/>
      <c r="BU2788" s="19"/>
      <c r="BV2788" s="19"/>
      <c r="BW2788" s="19"/>
      <c r="BX2788" s="19"/>
      <c r="BY2788" s="19"/>
      <c r="BZ2788" s="19"/>
      <c r="CA2788" s="19"/>
      <c r="CB2788" s="19"/>
      <c r="CC2788" s="19"/>
      <c r="CD2788" s="139"/>
      <c r="CE2788" s="138"/>
      <c r="CF2788" s="139"/>
      <c r="CG2788" s="138"/>
      <c r="CH2788" s="139"/>
      <c r="CI2788" s="138"/>
      <c r="CJ2788" s="72"/>
      <c r="CK2788" s="139"/>
      <c r="CL2788" s="71"/>
      <c r="CM2788" s="139"/>
      <c r="CN2788" s="138"/>
      <c r="CO2788" s="138"/>
      <c r="CP2788" s="138"/>
      <c r="CQ2788" s="139"/>
      <c r="CR2788" s="138"/>
      <c r="CS2788" s="45"/>
      <c r="CT2788" s="138"/>
      <c r="CU2788" s="45"/>
      <c r="CV2788" s="99">
        <f t="shared" si="273"/>
        <v>0</v>
      </c>
      <c r="CW2788" s="139"/>
      <c r="CX2788" s="138"/>
      <c r="CY2788" s="138"/>
      <c r="CZ2788" s="138"/>
      <c r="DA2788" s="139"/>
      <c r="DB2788" s="138"/>
      <c r="DC2788" s="45"/>
      <c r="DD2788" s="138"/>
      <c r="DE2788" s="45"/>
      <c r="DF2788" s="46"/>
    </row>
    <row r="2789" spans="1:110" s="42" customFormat="1" ht="22.5" x14ac:dyDescent="0.2">
      <c r="A2789" s="89">
        <v>40873</v>
      </c>
      <c r="B2789" s="151" t="s">
        <v>4348</v>
      </c>
      <c r="C2789" s="90" t="s">
        <v>4365</v>
      </c>
      <c r="D2789" s="90" t="s">
        <v>4298</v>
      </c>
      <c r="E2789" s="90" t="str">
        <f>VLOOKUP(B2789&amp;C2789,Divipola!$C$2:$F$1138,4,FALSE)</f>
        <v>66682</v>
      </c>
      <c r="F2789" s="4"/>
      <c r="G2789" s="101"/>
      <c r="H2789" s="101"/>
      <c r="I2789" s="101"/>
      <c r="J2789" s="101">
        <v>5</v>
      </c>
      <c r="K2789" s="101">
        <v>1</v>
      </c>
      <c r="L2789" s="101">
        <v>1</v>
      </c>
      <c r="M2789" s="101"/>
      <c r="N2789" s="101"/>
      <c r="O2789" s="101"/>
      <c r="P2789" s="101"/>
      <c r="Q2789" s="101"/>
      <c r="R2789" s="101"/>
      <c r="S2789" s="101"/>
      <c r="T2789" s="101"/>
      <c r="U2789" s="101"/>
      <c r="V2789" s="101"/>
      <c r="W2789" s="19"/>
      <c r="X2789" s="17"/>
      <c r="Y2789" s="5">
        <f t="shared" si="268"/>
        <v>0</v>
      </c>
      <c r="Z2789" s="5">
        <f t="shared" si="269"/>
        <v>0</v>
      </c>
      <c r="AA2789" s="5">
        <f t="shared" si="270"/>
        <v>0</v>
      </c>
      <c r="AB2789" s="5">
        <f t="shared" si="271"/>
        <v>0</v>
      </c>
      <c r="AC2789" s="5"/>
      <c r="AD2789" s="5">
        <v>0</v>
      </c>
      <c r="AE2789" s="5">
        <f t="shared" si="272"/>
        <v>0</v>
      </c>
      <c r="AF2789" s="70">
        <v>0</v>
      </c>
      <c r="AG2789" s="17"/>
      <c r="AH2789" s="18"/>
      <c r="AI2789" s="47" t="s">
        <v>4336</v>
      </c>
      <c r="AJ2789" s="73" t="s">
        <v>4337</v>
      </c>
      <c r="AK2789" s="45"/>
      <c r="AL2789" s="17" t="s">
        <v>5534</v>
      </c>
      <c r="AM2789" s="121" t="s">
        <v>5147</v>
      </c>
      <c r="AN2789" s="19"/>
      <c r="AO2789" s="19"/>
      <c r="AP2789" s="19"/>
      <c r="AQ2789" s="19"/>
      <c r="AR2789" s="19"/>
      <c r="AS2789" s="19"/>
      <c r="AT2789" s="19"/>
      <c r="AU2789" s="19"/>
      <c r="AV2789" s="19"/>
      <c r="AW2789" s="19"/>
      <c r="AX2789" s="19"/>
      <c r="AY2789" s="19"/>
      <c r="AZ2789" s="19"/>
      <c r="BA2789" s="19"/>
      <c r="BB2789" s="19"/>
      <c r="BC2789" s="19"/>
      <c r="BD2789" s="19"/>
      <c r="BE2789" s="19"/>
      <c r="BF2789" s="19"/>
      <c r="BG2789" s="19"/>
      <c r="BH2789" s="19"/>
      <c r="BI2789" s="19"/>
      <c r="BJ2789" s="19"/>
      <c r="BK2789" s="19"/>
      <c r="BL2789" s="19"/>
      <c r="BM2789" s="19"/>
      <c r="BN2789" s="19"/>
      <c r="BO2789" s="19"/>
      <c r="BP2789" s="19"/>
      <c r="BQ2789" s="19"/>
      <c r="BR2789" s="19"/>
      <c r="BS2789" s="19"/>
      <c r="BT2789" s="19"/>
      <c r="BU2789" s="19"/>
      <c r="BV2789" s="19"/>
      <c r="BW2789" s="19"/>
      <c r="BX2789" s="19"/>
      <c r="BY2789" s="19"/>
      <c r="BZ2789" s="19"/>
      <c r="CA2789" s="19"/>
      <c r="CB2789" s="19"/>
      <c r="CC2789" s="19"/>
      <c r="CD2789" s="139"/>
      <c r="CE2789" s="138"/>
      <c r="CF2789" s="139"/>
      <c r="CG2789" s="138"/>
      <c r="CH2789" s="139"/>
      <c r="CI2789" s="138"/>
      <c r="CJ2789" s="72"/>
      <c r="CK2789" s="139"/>
      <c r="CL2789" s="71"/>
      <c r="CM2789" s="139"/>
      <c r="CN2789" s="138"/>
      <c r="CO2789" s="138"/>
      <c r="CP2789" s="138"/>
      <c r="CQ2789" s="139"/>
      <c r="CR2789" s="138"/>
      <c r="CS2789" s="45"/>
      <c r="CT2789" s="138"/>
      <c r="CU2789" s="45"/>
      <c r="CV2789" s="99">
        <f t="shared" si="273"/>
        <v>0</v>
      </c>
      <c r="CW2789" s="139"/>
      <c r="CX2789" s="138"/>
      <c r="CY2789" s="138"/>
      <c r="CZ2789" s="138"/>
      <c r="DA2789" s="139"/>
      <c r="DB2789" s="138"/>
      <c r="DC2789" s="45"/>
      <c r="DD2789" s="138"/>
      <c r="DE2789" s="45"/>
      <c r="DF2789" s="46"/>
    </row>
    <row r="2790" spans="1:110" s="42" customFormat="1" ht="36" x14ac:dyDescent="0.2">
      <c r="A2790" s="89">
        <v>40873</v>
      </c>
      <c r="B2790" s="151" t="s">
        <v>4344</v>
      </c>
      <c r="C2790" s="90" t="s">
        <v>2210</v>
      </c>
      <c r="D2790" s="90" t="s">
        <v>4264</v>
      </c>
      <c r="E2790" s="90" t="str">
        <f>VLOOKUP(B2790&amp;C2790,Divipola!$C$2:$F$1138,4,FALSE)</f>
        <v>25288</v>
      </c>
      <c r="F2790" s="4"/>
      <c r="G2790" s="101"/>
      <c r="H2790" s="101"/>
      <c r="I2790" s="101"/>
      <c r="J2790" s="101">
        <v>11</v>
      </c>
      <c r="K2790" s="101">
        <v>2</v>
      </c>
      <c r="L2790" s="101"/>
      <c r="M2790" s="101">
        <v>2</v>
      </c>
      <c r="N2790" s="101"/>
      <c r="O2790" s="101"/>
      <c r="P2790" s="101"/>
      <c r="Q2790" s="101"/>
      <c r="R2790" s="101"/>
      <c r="S2790" s="101"/>
      <c r="T2790" s="101"/>
      <c r="U2790" s="101"/>
      <c r="V2790" s="101"/>
      <c r="W2790" s="19"/>
      <c r="X2790" s="17"/>
      <c r="Y2790" s="5">
        <f t="shared" si="268"/>
        <v>0</v>
      </c>
      <c r="Z2790" s="5">
        <f t="shared" si="269"/>
        <v>0</v>
      </c>
      <c r="AA2790" s="5">
        <f t="shared" si="270"/>
        <v>0</v>
      </c>
      <c r="AB2790" s="5">
        <f t="shared" si="271"/>
        <v>0</v>
      </c>
      <c r="AC2790" s="5"/>
      <c r="AD2790" s="5">
        <v>0</v>
      </c>
      <c r="AE2790" s="5">
        <f t="shared" si="272"/>
        <v>0</v>
      </c>
      <c r="AF2790" s="70">
        <v>0</v>
      </c>
      <c r="AG2790" s="17"/>
      <c r="AH2790" s="18"/>
      <c r="AI2790" s="47" t="s">
        <v>4336</v>
      </c>
      <c r="AJ2790" s="73" t="s">
        <v>4337</v>
      </c>
      <c r="AK2790" s="45"/>
      <c r="AL2790" s="17"/>
      <c r="AM2790" s="121" t="s">
        <v>5148</v>
      </c>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39"/>
      <c r="CE2790" s="138"/>
      <c r="CF2790" s="139"/>
      <c r="CG2790" s="138"/>
      <c r="CH2790" s="139"/>
      <c r="CI2790" s="138"/>
      <c r="CJ2790" s="72"/>
      <c r="CK2790" s="139"/>
      <c r="CL2790" s="71"/>
      <c r="CM2790" s="139"/>
      <c r="CN2790" s="138"/>
      <c r="CO2790" s="138"/>
      <c r="CP2790" s="138"/>
      <c r="CQ2790" s="139"/>
      <c r="CR2790" s="138"/>
      <c r="CS2790" s="45"/>
      <c r="CT2790" s="138"/>
      <c r="CU2790" s="45"/>
      <c r="CV2790" s="99">
        <f t="shared" si="273"/>
        <v>0</v>
      </c>
      <c r="CW2790" s="139"/>
      <c r="CX2790" s="138"/>
      <c r="CY2790" s="138"/>
      <c r="CZ2790" s="138"/>
      <c r="DA2790" s="139"/>
      <c r="DB2790" s="138"/>
      <c r="DC2790" s="45"/>
      <c r="DD2790" s="138"/>
      <c r="DE2790" s="45"/>
      <c r="DF2790" s="46"/>
    </row>
    <row r="2791" spans="1:110" s="42" customFormat="1" ht="48" x14ac:dyDescent="0.2">
      <c r="A2791" s="89">
        <v>40873</v>
      </c>
      <c r="B2791" s="151" t="s">
        <v>4344</v>
      </c>
      <c r="C2791" s="90" t="s">
        <v>3324</v>
      </c>
      <c r="D2791" s="90" t="s">
        <v>4264</v>
      </c>
      <c r="E2791" s="90" t="str">
        <f>VLOOKUP(B2791&amp;C2791,Divipola!$C$2:$F$1138,4,FALSE)</f>
        <v>25843</v>
      </c>
      <c r="F2791" s="4"/>
      <c r="G2791" s="101"/>
      <c r="H2791" s="101"/>
      <c r="I2791" s="101"/>
      <c r="J2791" s="101"/>
      <c r="K2791" s="101"/>
      <c r="L2791" s="101"/>
      <c r="M2791" s="101"/>
      <c r="N2791" s="101">
        <v>1</v>
      </c>
      <c r="O2791" s="101"/>
      <c r="P2791" s="101"/>
      <c r="Q2791" s="101"/>
      <c r="R2791" s="101"/>
      <c r="S2791" s="101"/>
      <c r="T2791" s="101"/>
      <c r="U2791" s="101"/>
      <c r="V2791" s="101"/>
      <c r="W2791" s="19"/>
      <c r="X2791" s="17"/>
      <c r="Y2791" s="5">
        <f t="shared" si="268"/>
        <v>0</v>
      </c>
      <c r="Z2791" s="5">
        <f t="shared" si="269"/>
        <v>0</v>
      </c>
      <c r="AA2791" s="5">
        <f t="shared" si="270"/>
        <v>0</v>
      </c>
      <c r="AB2791" s="5">
        <f t="shared" si="271"/>
        <v>0</v>
      </c>
      <c r="AC2791" s="5"/>
      <c r="AD2791" s="5">
        <v>0</v>
      </c>
      <c r="AE2791" s="5">
        <f t="shared" si="272"/>
        <v>0</v>
      </c>
      <c r="AF2791" s="70">
        <v>0</v>
      </c>
      <c r="AG2791" s="17"/>
      <c r="AH2791" s="18"/>
      <c r="AI2791" s="47" t="s">
        <v>4336</v>
      </c>
      <c r="AJ2791" s="73" t="s">
        <v>4337</v>
      </c>
      <c r="AK2791" s="45"/>
      <c r="AL2791" s="17"/>
      <c r="AM2791" s="121" t="s">
        <v>5149</v>
      </c>
      <c r="AN2791" s="19"/>
      <c r="AO2791" s="19"/>
      <c r="AP2791" s="19"/>
      <c r="AQ2791" s="19"/>
      <c r="AR2791" s="19"/>
      <c r="AS2791" s="19"/>
      <c r="AT2791" s="19"/>
      <c r="AU2791" s="19"/>
      <c r="AV2791" s="19"/>
      <c r="AW2791" s="19"/>
      <c r="AX2791" s="19"/>
      <c r="AY2791" s="19"/>
      <c r="AZ2791" s="19"/>
      <c r="BA2791" s="19"/>
      <c r="BB2791" s="19"/>
      <c r="BC2791" s="19"/>
      <c r="BD2791" s="19"/>
      <c r="BE2791" s="19"/>
      <c r="BF2791" s="19"/>
      <c r="BG2791" s="19"/>
      <c r="BH2791" s="19"/>
      <c r="BI2791" s="19"/>
      <c r="BJ2791" s="19"/>
      <c r="BK2791" s="19"/>
      <c r="BL2791" s="19"/>
      <c r="BM2791" s="19"/>
      <c r="BN2791" s="19"/>
      <c r="BO2791" s="19"/>
      <c r="BP2791" s="19"/>
      <c r="BQ2791" s="19"/>
      <c r="BR2791" s="19"/>
      <c r="BS2791" s="19"/>
      <c r="BT2791" s="19"/>
      <c r="BU2791" s="19"/>
      <c r="BV2791" s="19"/>
      <c r="BW2791" s="19"/>
      <c r="BX2791" s="19"/>
      <c r="BY2791" s="19"/>
      <c r="BZ2791" s="19"/>
      <c r="CA2791" s="19"/>
      <c r="CB2791" s="19"/>
      <c r="CC2791" s="19"/>
      <c r="CD2791" s="139"/>
      <c r="CE2791" s="138"/>
      <c r="CF2791" s="139"/>
      <c r="CG2791" s="138"/>
      <c r="CH2791" s="139"/>
      <c r="CI2791" s="138"/>
      <c r="CJ2791" s="72"/>
      <c r="CK2791" s="139"/>
      <c r="CL2791" s="71"/>
      <c r="CM2791" s="139"/>
      <c r="CN2791" s="138"/>
      <c r="CO2791" s="138"/>
      <c r="CP2791" s="138"/>
      <c r="CQ2791" s="139"/>
      <c r="CR2791" s="138"/>
      <c r="CS2791" s="45"/>
      <c r="CT2791" s="138"/>
      <c r="CU2791" s="45"/>
      <c r="CV2791" s="99">
        <f t="shared" si="273"/>
        <v>0</v>
      </c>
      <c r="CW2791" s="139"/>
      <c r="CX2791" s="138"/>
      <c r="CY2791" s="138"/>
      <c r="CZ2791" s="138"/>
      <c r="DA2791" s="139"/>
      <c r="DB2791" s="138"/>
      <c r="DC2791" s="45"/>
      <c r="DD2791" s="138"/>
      <c r="DE2791" s="45"/>
      <c r="DF2791" s="46"/>
    </row>
    <row r="2792" spans="1:110" s="42" customFormat="1" ht="60" x14ac:dyDescent="0.2">
      <c r="A2792" s="89">
        <v>40873</v>
      </c>
      <c r="B2792" s="151" t="s">
        <v>4344</v>
      </c>
      <c r="C2792" s="90" t="s">
        <v>2215</v>
      </c>
      <c r="D2792" s="90" t="s">
        <v>2865</v>
      </c>
      <c r="E2792" s="90" t="str">
        <f>VLOOKUP(B2792&amp;C2792,Divipola!$C$2:$F$1138,4,FALSE)</f>
        <v>25407</v>
      </c>
      <c r="F2792" s="4"/>
      <c r="G2792" s="101"/>
      <c r="H2792" s="101">
        <v>4</v>
      </c>
      <c r="I2792" s="101"/>
      <c r="J2792" s="101"/>
      <c r="K2792" s="101"/>
      <c r="L2792" s="101"/>
      <c r="M2792" s="101"/>
      <c r="N2792" s="101"/>
      <c r="O2792" s="101"/>
      <c r="P2792" s="101"/>
      <c r="Q2792" s="101"/>
      <c r="R2792" s="101"/>
      <c r="S2792" s="101"/>
      <c r="T2792" s="101"/>
      <c r="U2792" s="101"/>
      <c r="V2792" s="101"/>
      <c r="W2792" s="19"/>
      <c r="X2792" s="17"/>
      <c r="Y2792" s="5">
        <f t="shared" si="268"/>
        <v>0</v>
      </c>
      <c r="Z2792" s="5">
        <f t="shared" si="269"/>
        <v>0</v>
      </c>
      <c r="AA2792" s="5">
        <f t="shared" si="270"/>
        <v>0</v>
      </c>
      <c r="AB2792" s="5">
        <f t="shared" si="271"/>
        <v>0</v>
      </c>
      <c r="AC2792" s="5"/>
      <c r="AD2792" s="5">
        <v>0</v>
      </c>
      <c r="AE2792" s="5">
        <f t="shared" si="272"/>
        <v>0</v>
      </c>
      <c r="AF2792" s="70">
        <v>0</v>
      </c>
      <c r="AG2792" s="17"/>
      <c r="AH2792" s="18"/>
      <c r="AI2792" s="47" t="s">
        <v>4336</v>
      </c>
      <c r="AJ2792" s="73" t="s">
        <v>4337</v>
      </c>
      <c r="AK2792" s="45"/>
      <c r="AL2792" s="17"/>
      <c r="AM2792" s="121" t="s">
        <v>5150</v>
      </c>
      <c r="AN2792" s="19"/>
      <c r="AO2792" s="19"/>
      <c r="AP2792" s="19"/>
      <c r="AQ2792" s="19"/>
      <c r="AR2792" s="19"/>
      <c r="AS2792" s="19"/>
      <c r="AT2792" s="19"/>
      <c r="AU2792" s="19"/>
      <c r="AV2792" s="19"/>
      <c r="AW2792" s="19"/>
      <c r="AX2792" s="19"/>
      <c r="AY2792" s="19"/>
      <c r="AZ2792" s="19"/>
      <c r="BA2792" s="19"/>
      <c r="BB2792" s="19"/>
      <c r="BC2792" s="19"/>
      <c r="BD2792" s="19"/>
      <c r="BE2792" s="19"/>
      <c r="BF2792" s="19"/>
      <c r="BG2792" s="19"/>
      <c r="BH2792" s="19"/>
      <c r="BI2792" s="19"/>
      <c r="BJ2792" s="19"/>
      <c r="BK2792" s="19"/>
      <c r="BL2792" s="19"/>
      <c r="BM2792" s="19"/>
      <c r="BN2792" s="19"/>
      <c r="BO2792" s="19"/>
      <c r="BP2792" s="19"/>
      <c r="BQ2792" s="19"/>
      <c r="BR2792" s="19"/>
      <c r="BS2792" s="19"/>
      <c r="BT2792" s="19"/>
      <c r="BU2792" s="19"/>
      <c r="BV2792" s="19"/>
      <c r="BW2792" s="19"/>
      <c r="BX2792" s="19"/>
      <c r="BY2792" s="19"/>
      <c r="BZ2792" s="19"/>
      <c r="CA2792" s="19"/>
      <c r="CB2792" s="19"/>
      <c r="CC2792" s="19"/>
      <c r="CD2792" s="139"/>
      <c r="CE2792" s="138"/>
      <c r="CF2792" s="139"/>
      <c r="CG2792" s="138"/>
      <c r="CH2792" s="139"/>
      <c r="CI2792" s="138"/>
      <c r="CJ2792" s="72"/>
      <c r="CK2792" s="139"/>
      <c r="CL2792" s="71"/>
      <c r="CM2792" s="139"/>
      <c r="CN2792" s="138"/>
      <c r="CO2792" s="138"/>
      <c r="CP2792" s="138"/>
      <c r="CQ2792" s="139"/>
      <c r="CR2792" s="138"/>
      <c r="CS2792" s="45"/>
      <c r="CT2792" s="138"/>
      <c r="CU2792" s="45"/>
      <c r="CV2792" s="99">
        <f t="shared" si="273"/>
        <v>0</v>
      </c>
      <c r="CW2792" s="139"/>
      <c r="CX2792" s="138"/>
      <c r="CY2792" s="138"/>
      <c r="CZ2792" s="138"/>
      <c r="DA2792" s="139"/>
      <c r="DB2792" s="138"/>
      <c r="DC2792" s="45"/>
      <c r="DD2792" s="138"/>
      <c r="DE2792" s="45"/>
      <c r="DF2792" s="46"/>
    </row>
    <row r="2793" spans="1:110" s="42" customFormat="1" ht="156" x14ac:dyDescent="0.2">
      <c r="A2793" s="89">
        <v>40873</v>
      </c>
      <c r="B2793" s="151" t="s">
        <v>4296</v>
      </c>
      <c r="C2793" s="90" t="s">
        <v>4246</v>
      </c>
      <c r="D2793" s="90" t="s">
        <v>4264</v>
      </c>
      <c r="E2793" s="90" t="str">
        <f>VLOOKUP(B2793&amp;C2793,Divipola!$C$2:$F$1138,4,FALSE)</f>
        <v>19212</v>
      </c>
      <c r="F2793" s="4"/>
      <c r="G2793" s="194"/>
      <c r="H2793" s="194"/>
      <c r="I2793" s="194"/>
      <c r="J2793" s="194">
        <v>650</v>
      </c>
      <c r="K2793" s="194">
        <v>130</v>
      </c>
      <c r="L2793" s="194"/>
      <c r="M2793" s="194">
        <v>130</v>
      </c>
      <c r="N2793" s="194">
        <v>6</v>
      </c>
      <c r="O2793" s="194"/>
      <c r="P2793" s="194"/>
      <c r="Q2793" s="194">
        <v>2</v>
      </c>
      <c r="R2793" s="194"/>
      <c r="S2793" s="194"/>
      <c r="T2793" s="194"/>
      <c r="U2793" s="194"/>
      <c r="V2793" s="194"/>
      <c r="W2793" s="19"/>
      <c r="X2793" s="17"/>
      <c r="Y2793" s="5">
        <f t="shared" si="268"/>
        <v>0</v>
      </c>
      <c r="Z2793" s="5">
        <f t="shared" si="269"/>
        <v>0</v>
      </c>
      <c r="AA2793" s="5">
        <f t="shared" si="270"/>
        <v>0</v>
      </c>
      <c r="AB2793" s="5">
        <f t="shared" si="271"/>
        <v>0</v>
      </c>
      <c r="AC2793" s="5"/>
      <c r="AD2793" s="5">
        <v>0</v>
      </c>
      <c r="AE2793" s="5">
        <f t="shared" si="272"/>
        <v>0</v>
      </c>
      <c r="AF2793" s="70">
        <v>0</v>
      </c>
      <c r="AG2793" s="17"/>
      <c r="AH2793" s="18"/>
      <c r="AI2793" s="47" t="s">
        <v>4336</v>
      </c>
      <c r="AJ2793" s="73" t="s">
        <v>4337</v>
      </c>
      <c r="AK2793" s="45"/>
      <c r="AL2793" s="17"/>
      <c r="AM2793" s="195" t="s">
        <v>5232</v>
      </c>
      <c r="AN2793" s="19"/>
      <c r="AO2793" s="19"/>
      <c r="AP2793" s="19"/>
      <c r="AQ2793" s="19"/>
      <c r="AR2793" s="19"/>
      <c r="AS2793" s="19"/>
      <c r="AT2793" s="19"/>
      <c r="AU2793" s="19"/>
      <c r="AV2793" s="19"/>
      <c r="AW2793" s="19"/>
      <c r="AX2793" s="19"/>
      <c r="AY2793" s="19"/>
      <c r="AZ2793" s="19"/>
      <c r="BA2793" s="19"/>
      <c r="BB2793" s="19"/>
      <c r="BC2793" s="19"/>
      <c r="BD2793" s="19"/>
      <c r="BE2793" s="19"/>
      <c r="BF2793" s="19"/>
      <c r="BG2793" s="19"/>
      <c r="BH2793" s="19"/>
      <c r="BI2793" s="19"/>
      <c r="BJ2793" s="19"/>
      <c r="BK2793" s="19"/>
      <c r="BL2793" s="19"/>
      <c r="BM2793" s="19"/>
      <c r="BN2793" s="19"/>
      <c r="BO2793" s="19"/>
      <c r="BP2793" s="19"/>
      <c r="BQ2793" s="19"/>
      <c r="BR2793" s="19"/>
      <c r="BS2793" s="19"/>
      <c r="BT2793" s="19"/>
      <c r="BU2793" s="19"/>
      <c r="BV2793" s="19"/>
      <c r="BW2793" s="19"/>
      <c r="BX2793" s="19"/>
      <c r="BY2793" s="19"/>
      <c r="BZ2793" s="19"/>
      <c r="CA2793" s="19"/>
      <c r="CB2793" s="19"/>
      <c r="CC2793" s="19"/>
      <c r="CD2793" s="139"/>
      <c r="CE2793" s="138"/>
      <c r="CF2793" s="139"/>
      <c r="CG2793" s="138"/>
      <c r="CH2793" s="139"/>
      <c r="CI2793" s="138"/>
      <c r="CJ2793" s="72"/>
      <c r="CK2793" s="139"/>
      <c r="CL2793" s="71"/>
      <c r="CM2793" s="139"/>
      <c r="CN2793" s="138"/>
      <c r="CO2793" s="138"/>
      <c r="CP2793" s="138"/>
      <c r="CQ2793" s="139"/>
      <c r="CR2793" s="138"/>
      <c r="CS2793" s="45"/>
      <c r="CT2793" s="138"/>
      <c r="CU2793" s="45"/>
      <c r="CV2793" s="99">
        <f t="shared" si="273"/>
        <v>0</v>
      </c>
      <c r="CW2793" s="139"/>
      <c r="CX2793" s="138"/>
      <c r="CY2793" s="138"/>
      <c r="CZ2793" s="138"/>
      <c r="DA2793" s="139"/>
      <c r="DB2793" s="138"/>
      <c r="DC2793" s="45"/>
      <c r="DD2793" s="138"/>
      <c r="DE2793" s="45"/>
      <c r="DF2793" s="46"/>
    </row>
    <row r="2794" spans="1:110" s="42" customFormat="1" ht="36" x14ac:dyDescent="0.2">
      <c r="A2794" s="89">
        <v>40873</v>
      </c>
      <c r="B2794" s="151" t="s">
        <v>4348</v>
      </c>
      <c r="C2794" s="90" t="s">
        <v>3302</v>
      </c>
      <c r="D2794" s="90" t="s">
        <v>4264</v>
      </c>
      <c r="E2794" s="90" t="str">
        <f>VLOOKUP(B2794&amp;C2794,Divipola!$C$2:$F$1138,4,FALSE)</f>
        <v>66045</v>
      </c>
      <c r="F2794" s="4"/>
      <c r="G2794" s="101"/>
      <c r="H2794" s="101"/>
      <c r="I2794" s="101"/>
      <c r="J2794" s="101">
        <v>4</v>
      </c>
      <c r="K2794" s="101">
        <v>1</v>
      </c>
      <c r="L2794" s="101"/>
      <c r="M2794" s="101">
        <v>1</v>
      </c>
      <c r="N2794" s="101"/>
      <c r="O2794" s="101"/>
      <c r="P2794" s="101"/>
      <c r="Q2794" s="101"/>
      <c r="R2794" s="101"/>
      <c r="S2794" s="101"/>
      <c r="T2794" s="101"/>
      <c r="U2794" s="101"/>
      <c r="V2794" s="101"/>
      <c r="W2794" s="19"/>
      <c r="X2794" s="17"/>
      <c r="Y2794" s="5">
        <f t="shared" si="268"/>
        <v>0</v>
      </c>
      <c r="Z2794" s="5">
        <f t="shared" si="269"/>
        <v>0</v>
      </c>
      <c r="AA2794" s="5">
        <f t="shared" si="270"/>
        <v>0</v>
      </c>
      <c r="AB2794" s="5">
        <f t="shared" si="271"/>
        <v>0</v>
      </c>
      <c r="AC2794" s="5"/>
      <c r="AD2794" s="5">
        <v>0</v>
      </c>
      <c r="AE2794" s="5">
        <f t="shared" si="272"/>
        <v>0</v>
      </c>
      <c r="AF2794" s="70">
        <v>0</v>
      </c>
      <c r="AG2794" s="17"/>
      <c r="AH2794" s="18"/>
      <c r="AI2794" s="47" t="s">
        <v>4346</v>
      </c>
      <c r="AJ2794" s="73" t="s">
        <v>4347</v>
      </c>
      <c r="AK2794" s="45"/>
      <c r="AL2794" s="17" t="s">
        <v>5534</v>
      </c>
      <c r="AM2794" s="121" t="s">
        <v>5360</v>
      </c>
      <c r="AN2794" s="19"/>
      <c r="AO2794" s="19"/>
      <c r="AP2794" s="19"/>
      <c r="AQ2794" s="19"/>
      <c r="AR2794" s="19"/>
      <c r="AS2794" s="19"/>
      <c r="AT2794" s="19"/>
      <c r="AU2794" s="19"/>
      <c r="AV2794" s="19"/>
      <c r="AW2794" s="19"/>
      <c r="AX2794" s="19"/>
      <c r="AY2794" s="19"/>
      <c r="AZ2794" s="19"/>
      <c r="BA2794" s="19"/>
      <c r="BB2794" s="19"/>
      <c r="BC2794" s="19"/>
      <c r="BD2794" s="19"/>
      <c r="BE2794" s="19"/>
      <c r="BF2794" s="19"/>
      <c r="BG2794" s="19"/>
      <c r="BH2794" s="19"/>
      <c r="BI2794" s="19"/>
      <c r="BJ2794" s="19"/>
      <c r="BK2794" s="19"/>
      <c r="BL2794" s="19"/>
      <c r="BM2794" s="19"/>
      <c r="BN2794" s="19"/>
      <c r="BO2794" s="19"/>
      <c r="BP2794" s="19"/>
      <c r="BQ2794" s="19"/>
      <c r="BR2794" s="19"/>
      <c r="BS2794" s="19"/>
      <c r="BT2794" s="19"/>
      <c r="BU2794" s="19"/>
      <c r="BV2794" s="19"/>
      <c r="BW2794" s="19"/>
      <c r="BX2794" s="19"/>
      <c r="BY2794" s="19"/>
      <c r="BZ2794" s="19"/>
      <c r="CA2794" s="19"/>
      <c r="CB2794" s="19"/>
      <c r="CC2794" s="19"/>
      <c r="CD2794" s="139"/>
      <c r="CE2794" s="138"/>
      <c r="CF2794" s="139"/>
      <c r="CG2794" s="138"/>
      <c r="CH2794" s="139"/>
      <c r="CI2794" s="138"/>
      <c r="CJ2794" s="72"/>
      <c r="CK2794" s="139"/>
      <c r="CL2794" s="71"/>
      <c r="CM2794" s="139"/>
      <c r="CN2794" s="138"/>
      <c r="CO2794" s="138"/>
      <c r="CP2794" s="138"/>
      <c r="CQ2794" s="139"/>
      <c r="CR2794" s="138"/>
      <c r="CS2794" s="45"/>
      <c r="CT2794" s="138"/>
      <c r="CU2794" s="45"/>
      <c r="CV2794" s="99">
        <f t="shared" si="273"/>
        <v>0</v>
      </c>
      <c r="CW2794" s="139"/>
      <c r="CX2794" s="138"/>
      <c r="CY2794" s="138"/>
      <c r="CZ2794" s="138"/>
      <c r="DA2794" s="139"/>
      <c r="DB2794" s="138"/>
      <c r="DC2794" s="45"/>
      <c r="DD2794" s="138"/>
      <c r="DE2794" s="45"/>
      <c r="DF2794" s="46"/>
    </row>
    <row r="2795" spans="1:110" s="42" customFormat="1" ht="132" x14ac:dyDescent="0.2">
      <c r="A2795" s="89">
        <v>40873</v>
      </c>
      <c r="B2795" s="151" t="s">
        <v>4296</v>
      </c>
      <c r="C2795" s="90" t="s">
        <v>1485</v>
      </c>
      <c r="D2795" s="90" t="s">
        <v>2362</v>
      </c>
      <c r="E2795" s="90" t="str">
        <f>VLOOKUP(B2795&amp;C2795,Divipola!$C$2:$F$1138,4,FALSE)</f>
        <v>19392</v>
      </c>
      <c r="F2795" s="4"/>
      <c r="G2795" s="101"/>
      <c r="H2795" s="101"/>
      <c r="I2795" s="101"/>
      <c r="J2795" s="101">
        <f>144*5</f>
        <v>720</v>
      </c>
      <c r="K2795" s="101">
        <v>144</v>
      </c>
      <c r="L2795" s="101"/>
      <c r="M2795" s="101">
        <v>144</v>
      </c>
      <c r="N2795" s="101"/>
      <c r="O2795" s="101"/>
      <c r="P2795" s="101"/>
      <c r="Q2795" s="101"/>
      <c r="R2795" s="101"/>
      <c r="S2795" s="101"/>
      <c r="T2795" s="101"/>
      <c r="U2795" s="101"/>
      <c r="V2795" s="101"/>
      <c r="W2795" s="19"/>
      <c r="X2795" s="17"/>
      <c r="Y2795" s="5">
        <f t="shared" si="268"/>
        <v>65927757.840000004</v>
      </c>
      <c r="Z2795" s="5">
        <f t="shared" si="269"/>
        <v>55760000</v>
      </c>
      <c r="AA2795" s="5">
        <f t="shared" si="270"/>
        <v>37340748</v>
      </c>
      <c r="AB2795" s="5">
        <f t="shared" si="271"/>
        <v>0</v>
      </c>
      <c r="AC2795" s="5"/>
      <c r="AD2795" s="5">
        <v>0</v>
      </c>
      <c r="AE2795" s="5">
        <f t="shared" si="272"/>
        <v>159028505.84</v>
      </c>
      <c r="AF2795" s="70">
        <v>0</v>
      </c>
      <c r="AG2795" s="17"/>
      <c r="AH2795" s="18"/>
      <c r="AI2795" s="47" t="s">
        <v>4346</v>
      </c>
      <c r="AJ2795" s="73" t="s">
        <v>4347</v>
      </c>
      <c r="AK2795" s="45"/>
      <c r="AL2795" s="17"/>
      <c r="AM2795" s="121" t="s">
        <v>5450</v>
      </c>
      <c r="AN2795" s="19"/>
      <c r="AO2795" s="19"/>
      <c r="AP2795" s="19"/>
      <c r="AQ2795" s="19"/>
      <c r="AR2795" s="19"/>
      <c r="AS2795" s="19"/>
      <c r="AT2795" s="19"/>
      <c r="AU2795" s="19"/>
      <c r="AV2795" s="19"/>
      <c r="AW2795" s="19"/>
      <c r="AX2795" s="19"/>
      <c r="AY2795" s="19"/>
      <c r="AZ2795" s="19">
        <v>541</v>
      </c>
      <c r="BA2795" s="19">
        <f>541*55999</f>
        <v>30295459</v>
      </c>
      <c r="BB2795" s="19"/>
      <c r="BC2795" s="19"/>
      <c r="BD2795" s="19"/>
      <c r="BE2795" s="19"/>
      <c r="BF2795" s="19"/>
      <c r="BG2795" s="19"/>
      <c r="BH2795" s="19"/>
      <c r="BI2795" s="19"/>
      <c r="BJ2795" s="19"/>
      <c r="BK2795" s="19"/>
      <c r="BL2795" s="19"/>
      <c r="BM2795" s="19"/>
      <c r="BN2795" s="19"/>
      <c r="BO2795" s="19"/>
      <c r="BP2795" s="19"/>
      <c r="BQ2795" s="19"/>
      <c r="BR2795" s="19"/>
      <c r="BS2795" s="19"/>
      <c r="BT2795" s="19"/>
      <c r="BU2795" s="19"/>
      <c r="BV2795" s="19"/>
      <c r="BW2795" s="19"/>
      <c r="BX2795" s="19"/>
      <c r="BY2795" s="19"/>
      <c r="BZ2795" s="19"/>
      <c r="CA2795" s="19"/>
      <c r="CB2795" s="19"/>
      <c r="CC2795" s="19"/>
      <c r="CD2795" s="139"/>
      <c r="CE2795" s="138"/>
      <c r="CF2795" s="139"/>
      <c r="CG2795" s="138"/>
      <c r="CH2795" s="139"/>
      <c r="CI2795" s="138"/>
      <c r="CJ2795" s="72">
        <v>541</v>
      </c>
      <c r="CK2795" s="139">
        <f>541*20999.48</f>
        <v>11360718.68</v>
      </c>
      <c r="CL2795" s="71"/>
      <c r="CM2795" s="139"/>
      <c r="CN2795" s="138"/>
      <c r="CO2795" s="138"/>
      <c r="CP2795" s="138">
        <v>656</v>
      </c>
      <c r="CQ2795" s="139">
        <f>656*36999.36</f>
        <v>24271580.16</v>
      </c>
      <c r="CR2795" s="138"/>
      <c r="CS2795" s="45"/>
      <c r="CT2795" s="138"/>
      <c r="CU2795" s="45"/>
      <c r="CV2795" s="99">
        <f t="shared" si="273"/>
        <v>65927757.840000004</v>
      </c>
      <c r="CW2795" s="139"/>
      <c r="CX2795" s="138"/>
      <c r="CY2795" s="138">
        <v>656</v>
      </c>
      <c r="CZ2795" s="138">
        <f>656*85000</f>
        <v>55760000</v>
      </c>
      <c r="DA2795" s="139"/>
      <c r="DB2795" s="138"/>
      <c r="DC2795" s="45">
        <f>2000+300</f>
        <v>2300</v>
      </c>
      <c r="DD2795" s="138">
        <f>2000*14800.44+300*25799.56</f>
        <v>37340748</v>
      </c>
      <c r="DE2795" s="45"/>
      <c r="DF2795" s="46"/>
    </row>
    <row r="2796" spans="1:110" s="42" customFormat="1" ht="48" x14ac:dyDescent="0.2">
      <c r="A2796" s="89">
        <v>40874</v>
      </c>
      <c r="B2796" s="151" t="s">
        <v>4344</v>
      </c>
      <c r="C2796" s="90" t="s">
        <v>2209</v>
      </c>
      <c r="D2796" s="90" t="s">
        <v>4264</v>
      </c>
      <c r="E2796" s="90" t="str">
        <f>VLOOKUP(B2796&amp;C2796,Divipola!$C$2:$F$1138,4,FALSE)</f>
        <v>25214</v>
      </c>
      <c r="F2796" s="4"/>
      <c r="G2796" s="101"/>
      <c r="H2796" s="101"/>
      <c r="I2796" s="101"/>
      <c r="J2796" s="101"/>
      <c r="K2796" s="101"/>
      <c r="L2796" s="101"/>
      <c r="M2796" s="101"/>
      <c r="N2796" s="101"/>
      <c r="O2796" s="101"/>
      <c r="P2796" s="101"/>
      <c r="Q2796" s="101"/>
      <c r="R2796" s="101"/>
      <c r="S2796" s="101"/>
      <c r="T2796" s="101"/>
      <c r="U2796" s="101"/>
      <c r="V2796" s="101"/>
      <c r="W2796" s="19"/>
      <c r="X2796" s="17"/>
      <c r="Y2796" s="5">
        <f t="shared" si="268"/>
        <v>0</v>
      </c>
      <c r="Z2796" s="5">
        <f t="shared" si="269"/>
        <v>0</v>
      </c>
      <c r="AA2796" s="5">
        <f t="shared" si="270"/>
        <v>0</v>
      </c>
      <c r="AB2796" s="5">
        <f t="shared" si="271"/>
        <v>0</v>
      </c>
      <c r="AC2796" s="5"/>
      <c r="AD2796" s="5">
        <v>0</v>
      </c>
      <c r="AE2796" s="5">
        <f t="shared" si="272"/>
        <v>0</v>
      </c>
      <c r="AF2796" s="70">
        <v>0</v>
      </c>
      <c r="AG2796" s="17"/>
      <c r="AH2796" s="18"/>
      <c r="AI2796" s="47" t="s">
        <v>4336</v>
      </c>
      <c r="AJ2796" s="73" t="s">
        <v>4337</v>
      </c>
      <c r="AK2796" s="45"/>
      <c r="AL2796" s="17"/>
      <c r="AM2796" s="121" t="s">
        <v>5143</v>
      </c>
      <c r="AN2796" s="19"/>
      <c r="AO2796" s="19"/>
      <c r="AP2796" s="19"/>
      <c r="AQ2796" s="19"/>
      <c r="AR2796" s="19"/>
      <c r="AS2796" s="19"/>
      <c r="AT2796" s="19"/>
      <c r="AU2796" s="19"/>
      <c r="AV2796" s="19"/>
      <c r="AW2796" s="19"/>
      <c r="AX2796" s="19"/>
      <c r="AY2796" s="19"/>
      <c r="AZ2796" s="19"/>
      <c r="BA2796" s="19"/>
      <c r="BB2796" s="19"/>
      <c r="BC2796" s="19"/>
      <c r="BD2796" s="19"/>
      <c r="BE2796" s="19"/>
      <c r="BF2796" s="19"/>
      <c r="BG2796" s="19"/>
      <c r="BH2796" s="19"/>
      <c r="BI2796" s="19"/>
      <c r="BJ2796" s="19"/>
      <c r="BK2796" s="19"/>
      <c r="BL2796" s="19"/>
      <c r="BM2796" s="19"/>
      <c r="BN2796" s="19"/>
      <c r="BO2796" s="19"/>
      <c r="BP2796" s="19"/>
      <c r="BQ2796" s="19"/>
      <c r="BR2796" s="19"/>
      <c r="BS2796" s="19"/>
      <c r="BT2796" s="19"/>
      <c r="BU2796" s="19"/>
      <c r="BV2796" s="19"/>
      <c r="BW2796" s="19"/>
      <c r="BX2796" s="19"/>
      <c r="BY2796" s="19"/>
      <c r="BZ2796" s="19"/>
      <c r="CA2796" s="19"/>
      <c r="CB2796" s="19"/>
      <c r="CC2796" s="19"/>
      <c r="CD2796" s="139"/>
      <c r="CE2796" s="138"/>
      <c r="CF2796" s="139"/>
      <c r="CG2796" s="138"/>
      <c r="CH2796" s="139"/>
      <c r="CI2796" s="138"/>
      <c r="CJ2796" s="72"/>
      <c r="CK2796" s="139"/>
      <c r="CL2796" s="71"/>
      <c r="CM2796" s="139"/>
      <c r="CN2796" s="138"/>
      <c r="CO2796" s="138"/>
      <c r="CP2796" s="138"/>
      <c r="CQ2796" s="139"/>
      <c r="CR2796" s="138"/>
      <c r="CS2796" s="45"/>
      <c r="CT2796" s="138"/>
      <c r="CU2796" s="45"/>
      <c r="CV2796" s="99">
        <f t="shared" si="273"/>
        <v>0</v>
      </c>
      <c r="CW2796" s="139"/>
      <c r="CX2796" s="138"/>
      <c r="CY2796" s="138"/>
      <c r="CZ2796" s="138"/>
      <c r="DA2796" s="139"/>
      <c r="DB2796" s="138"/>
      <c r="DC2796" s="45"/>
      <c r="DD2796" s="138"/>
      <c r="DE2796" s="45"/>
      <c r="DF2796" s="46"/>
    </row>
    <row r="2797" spans="1:110" s="42" customFormat="1" ht="60" x14ac:dyDescent="0.2">
      <c r="A2797" s="89">
        <v>40874</v>
      </c>
      <c r="B2797" s="151" t="s">
        <v>4344</v>
      </c>
      <c r="C2797" s="90" t="s">
        <v>2206</v>
      </c>
      <c r="D2797" s="90" t="s">
        <v>4264</v>
      </c>
      <c r="E2797" s="90" t="str">
        <f>VLOOKUP(B2797&amp;C2797,Divipola!$C$2:$F$1138,4,FALSE)</f>
        <v>25035</v>
      </c>
      <c r="F2797" s="4"/>
      <c r="G2797" s="101"/>
      <c r="H2797" s="101"/>
      <c r="I2797" s="101"/>
      <c r="J2797" s="101">
        <v>30</v>
      </c>
      <c r="K2797" s="101">
        <v>6</v>
      </c>
      <c r="L2797" s="101"/>
      <c r="M2797" s="101">
        <v>6</v>
      </c>
      <c r="N2797" s="101">
        <v>1</v>
      </c>
      <c r="O2797" s="101"/>
      <c r="P2797" s="101"/>
      <c r="Q2797" s="101"/>
      <c r="R2797" s="101"/>
      <c r="S2797" s="101"/>
      <c r="T2797" s="101"/>
      <c r="U2797" s="101"/>
      <c r="V2797" s="101"/>
      <c r="W2797" s="19"/>
      <c r="X2797" s="17"/>
      <c r="Y2797" s="5">
        <f t="shared" si="268"/>
        <v>0</v>
      </c>
      <c r="Z2797" s="5">
        <f t="shared" si="269"/>
        <v>0</v>
      </c>
      <c r="AA2797" s="5">
        <f t="shared" si="270"/>
        <v>0</v>
      </c>
      <c r="AB2797" s="5">
        <f t="shared" si="271"/>
        <v>0</v>
      </c>
      <c r="AC2797" s="5"/>
      <c r="AD2797" s="5">
        <v>0</v>
      </c>
      <c r="AE2797" s="5">
        <f t="shared" si="272"/>
        <v>0</v>
      </c>
      <c r="AF2797" s="70">
        <v>0</v>
      </c>
      <c r="AG2797" s="17"/>
      <c r="AH2797" s="18"/>
      <c r="AI2797" s="47" t="s">
        <v>4336</v>
      </c>
      <c r="AJ2797" s="73" t="s">
        <v>4337</v>
      </c>
      <c r="AK2797" s="45"/>
      <c r="AL2797" s="17"/>
      <c r="AM2797" s="121" t="s">
        <v>5144</v>
      </c>
      <c r="AN2797" s="19"/>
      <c r="AO2797" s="19"/>
      <c r="AP2797" s="19"/>
      <c r="AQ2797" s="19"/>
      <c r="AR2797" s="19"/>
      <c r="AS2797" s="19"/>
      <c r="AT2797" s="19"/>
      <c r="AU2797" s="19"/>
      <c r="AV2797" s="19"/>
      <c r="AW2797" s="19"/>
      <c r="AX2797" s="19"/>
      <c r="AY2797" s="19"/>
      <c r="AZ2797" s="19"/>
      <c r="BA2797" s="19"/>
      <c r="BB2797" s="19"/>
      <c r="BC2797" s="19"/>
      <c r="BD2797" s="19"/>
      <c r="BE2797" s="19"/>
      <c r="BF2797" s="19"/>
      <c r="BG2797" s="19"/>
      <c r="BH2797" s="19"/>
      <c r="BI2797" s="19"/>
      <c r="BJ2797" s="19"/>
      <c r="BK2797" s="19"/>
      <c r="BL2797" s="19"/>
      <c r="BM2797" s="19"/>
      <c r="BN2797" s="19"/>
      <c r="BO2797" s="19"/>
      <c r="BP2797" s="19"/>
      <c r="BQ2797" s="19"/>
      <c r="BR2797" s="19"/>
      <c r="BS2797" s="19"/>
      <c r="BT2797" s="19"/>
      <c r="BU2797" s="19"/>
      <c r="BV2797" s="19"/>
      <c r="BW2797" s="19"/>
      <c r="BX2797" s="19"/>
      <c r="BY2797" s="19"/>
      <c r="BZ2797" s="19"/>
      <c r="CA2797" s="19"/>
      <c r="CB2797" s="19"/>
      <c r="CC2797" s="19"/>
      <c r="CD2797" s="139"/>
      <c r="CE2797" s="138"/>
      <c r="CF2797" s="139"/>
      <c r="CG2797" s="138"/>
      <c r="CH2797" s="139"/>
      <c r="CI2797" s="138"/>
      <c r="CJ2797" s="72"/>
      <c r="CK2797" s="139"/>
      <c r="CL2797" s="71"/>
      <c r="CM2797" s="139"/>
      <c r="CN2797" s="138"/>
      <c r="CO2797" s="138"/>
      <c r="CP2797" s="138"/>
      <c r="CQ2797" s="139"/>
      <c r="CR2797" s="138"/>
      <c r="CS2797" s="45"/>
      <c r="CT2797" s="138"/>
      <c r="CU2797" s="45"/>
      <c r="CV2797" s="99">
        <f t="shared" si="273"/>
        <v>0</v>
      </c>
      <c r="CW2797" s="139"/>
      <c r="CX2797" s="138"/>
      <c r="CY2797" s="138"/>
      <c r="CZ2797" s="138"/>
      <c r="DA2797" s="139"/>
      <c r="DB2797" s="138"/>
      <c r="DC2797" s="45"/>
      <c r="DD2797" s="138"/>
      <c r="DE2797" s="45"/>
      <c r="DF2797" s="46"/>
    </row>
    <row r="2798" spans="1:110" s="42" customFormat="1" ht="132" x14ac:dyDescent="0.2">
      <c r="A2798" s="89">
        <v>40874</v>
      </c>
      <c r="B2798" s="151" t="s">
        <v>4350</v>
      </c>
      <c r="C2798" s="90" t="s">
        <v>3535</v>
      </c>
      <c r="D2798" s="90" t="s">
        <v>2362</v>
      </c>
      <c r="E2798" s="90" t="str">
        <f>VLOOKUP(B2798&amp;C2798,Divipola!$C$2:$F$1138,4,FALSE)</f>
        <v>63130</v>
      </c>
      <c r="F2798" s="4"/>
      <c r="G2798" s="208"/>
      <c r="H2798" s="208"/>
      <c r="I2798" s="208"/>
      <c r="J2798" s="208"/>
      <c r="K2798" s="208"/>
      <c r="L2798" s="208"/>
      <c r="M2798" s="208"/>
      <c r="N2798" s="208">
        <v>5</v>
      </c>
      <c r="O2798" s="208"/>
      <c r="P2798" s="208"/>
      <c r="Q2798" s="208"/>
      <c r="R2798" s="208"/>
      <c r="S2798" s="208"/>
      <c r="T2798" s="208"/>
      <c r="U2798" s="208"/>
      <c r="V2798" s="208"/>
      <c r="W2798" s="19"/>
      <c r="X2798" s="17"/>
      <c r="Y2798" s="5">
        <f t="shared" si="268"/>
        <v>0</v>
      </c>
      <c r="Z2798" s="5">
        <f t="shared" si="269"/>
        <v>0</v>
      </c>
      <c r="AA2798" s="5">
        <f t="shared" si="270"/>
        <v>0</v>
      </c>
      <c r="AB2798" s="5">
        <f t="shared" si="271"/>
        <v>0</v>
      </c>
      <c r="AC2798" s="5"/>
      <c r="AD2798" s="5">
        <v>0</v>
      </c>
      <c r="AE2798" s="5">
        <f t="shared" si="272"/>
        <v>0</v>
      </c>
      <c r="AF2798" s="70">
        <v>0</v>
      </c>
      <c r="AG2798" s="17"/>
      <c r="AH2798" s="18"/>
      <c r="AI2798" s="47" t="s">
        <v>4346</v>
      </c>
      <c r="AJ2798" s="73" t="s">
        <v>4347</v>
      </c>
      <c r="AK2798" s="45"/>
      <c r="AL2798" s="17" t="s">
        <v>5051</v>
      </c>
      <c r="AM2798" s="121" t="s">
        <v>5145</v>
      </c>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39"/>
      <c r="CE2798" s="138"/>
      <c r="CF2798" s="139"/>
      <c r="CG2798" s="138"/>
      <c r="CH2798" s="139"/>
      <c r="CI2798" s="138"/>
      <c r="CJ2798" s="72"/>
      <c r="CK2798" s="139"/>
      <c r="CL2798" s="71"/>
      <c r="CM2798" s="139"/>
      <c r="CN2798" s="138"/>
      <c r="CO2798" s="138"/>
      <c r="CP2798" s="138"/>
      <c r="CQ2798" s="139"/>
      <c r="CR2798" s="138"/>
      <c r="CS2798" s="45"/>
      <c r="CT2798" s="138"/>
      <c r="CU2798" s="45"/>
      <c r="CV2798" s="99">
        <f t="shared" si="273"/>
        <v>0</v>
      </c>
      <c r="CW2798" s="139"/>
      <c r="CX2798" s="138"/>
      <c r="CY2798" s="138"/>
      <c r="CZ2798" s="138"/>
      <c r="DA2798" s="139"/>
      <c r="DB2798" s="138"/>
      <c r="DC2798" s="45"/>
      <c r="DD2798" s="138"/>
      <c r="DE2798" s="45"/>
      <c r="DF2798" s="46"/>
    </row>
    <row r="2799" spans="1:110" s="42" customFormat="1" ht="84" x14ac:dyDescent="0.2">
      <c r="A2799" s="89">
        <v>40874</v>
      </c>
      <c r="B2799" s="151" t="s">
        <v>4326</v>
      </c>
      <c r="C2799" s="90" t="s">
        <v>2427</v>
      </c>
      <c r="D2799" s="90" t="s">
        <v>4264</v>
      </c>
      <c r="E2799" s="90" t="str">
        <f>VLOOKUP(B2799&amp;C2799,Divipola!$C$2:$F$1138,4,FALSE)</f>
        <v>08421</v>
      </c>
      <c r="F2799" s="4"/>
      <c r="G2799" s="101"/>
      <c r="H2799" s="101"/>
      <c r="I2799" s="101"/>
      <c r="J2799" s="101">
        <v>1750</v>
      </c>
      <c r="K2799" s="101">
        <v>350</v>
      </c>
      <c r="L2799" s="101"/>
      <c r="M2799" s="101">
        <v>350</v>
      </c>
      <c r="N2799" s="101"/>
      <c r="O2799" s="101"/>
      <c r="P2799" s="101"/>
      <c r="Q2799" s="101"/>
      <c r="R2799" s="101"/>
      <c r="S2799" s="101"/>
      <c r="T2799" s="101"/>
      <c r="U2799" s="101"/>
      <c r="V2799" s="101"/>
      <c r="W2799" s="19"/>
      <c r="X2799" s="17"/>
      <c r="Y2799" s="5">
        <f t="shared" si="268"/>
        <v>0</v>
      </c>
      <c r="Z2799" s="5">
        <f t="shared" si="269"/>
        <v>0</v>
      </c>
      <c r="AA2799" s="5">
        <f t="shared" si="270"/>
        <v>0</v>
      </c>
      <c r="AB2799" s="5">
        <f t="shared" si="271"/>
        <v>0</v>
      </c>
      <c r="AC2799" s="5"/>
      <c r="AD2799" s="5">
        <v>0</v>
      </c>
      <c r="AE2799" s="5">
        <f t="shared" si="272"/>
        <v>0</v>
      </c>
      <c r="AF2799" s="70">
        <v>0</v>
      </c>
      <c r="AG2799" s="17"/>
      <c r="AH2799" s="18"/>
      <c r="AI2799" s="47" t="s">
        <v>4346</v>
      </c>
      <c r="AJ2799" s="73" t="s">
        <v>4347</v>
      </c>
      <c r="AK2799" s="45"/>
      <c r="AL2799" s="89" t="s">
        <v>2798</v>
      </c>
      <c r="AM2799" s="121" t="s">
        <v>5190</v>
      </c>
      <c r="AN2799" s="19"/>
      <c r="AO2799" s="19"/>
      <c r="AP2799" s="19"/>
      <c r="AQ2799" s="19"/>
      <c r="AR2799" s="19"/>
      <c r="AS2799" s="19"/>
      <c r="AT2799" s="19"/>
      <c r="AU2799" s="19"/>
      <c r="AV2799" s="19"/>
      <c r="AW2799" s="19"/>
      <c r="AX2799" s="19"/>
      <c r="AY2799" s="19"/>
      <c r="AZ2799" s="19"/>
      <c r="BA2799" s="19"/>
      <c r="BB2799" s="19"/>
      <c r="BC2799" s="19"/>
      <c r="BD2799" s="19"/>
      <c r="BE2799" s="19"/>
      <c r="BF2799" s="19"/>
      <c r="BG2799" s="19"/>
      <c r="BH2799" s="19"/>
      <c r="BI2799" s="19"/>
      <c r="BJ2799" s="19"/>
      <c r="BK2799" s="19"/>
      <c r="BL2799" s="19"/>
      <c r="BM2799" s="19"/>
      <c r="BN2799" s="19"/>
      <c r="BO2799" s="19"/>
      <c r="BP2799" s="19"/>
      <c r="BQ2799" s="19"/>
      <c r="BR2799" s="19"/>
      <c r="BS2799" s="19"/>
      <c r="BT2799" s="19"/>
      <c r="BU2799" s="19"/>
      <c r="BV2799" s="19"/>
      <c r="BW2799" s="19"/>
      <c r="BX2799" s="19"/>
      <c r="BY2799" s="19"/>
      <c r="BZ2799" s="19"/>
      <c r="CA2799" s="19"/>
      <c r="CB2799" s="19"/>
      <c r="CC2799" s="19"/>
      <c r="CD2799" s="139"/>
      <c r="CE2799" s="138"/>
      <c r="CF2799" s="139"/>
      <c r="CG2799" s="138"/>
      <c r="CH2799" s="139"/>
      <c r="CI2799" s="138"/>
      <c r="CJ2799" s="72"/>
      <c r="CK2799" s="139"/>
      <c r="CL2799" s="71"/>
      <c r="CM2799" s="139"/>
      <c r="CN2799" s="138"/>
      <c r="CO2799" s="138"/>
      <c r="CP2799" s="138"/>
      <c r="CQ2799" s="139"/>
      <c r="CR2799" s="138"/>
      <c r="CS2799" s="45"/>
      <c r="CT2799" s="138"/>
      <c r="CU2799" s="45"/>
      <c r="CV2799" s="99">
        <f t="shared" si="273"/>
        <v>0</v>
      </c>
      <c r="CW2799" s="139"/>
      <c r="CX2799" s="138"/>
      <c r="CY2799" s="138"/>
      <c r="CZ2799" s="138"/>
      <c r="DA2799" s="139"/>
      <c r="DB2799" s="138"/>
      <c r="DC2799" s="45"/>
      <c r="DD2799" s="138"/>
      <c r="DE2799" s="45"/>
      <c r="DF2799" s="46"/>
    </row>
    <row r="2800" spans="1:110" s="42" customFormat="1" ht="36" x14ac:dyDescent="0.2">
      <c r="A2800" s="89">
        <v>40874</v>
      </c>
      <c r="B2800" s="151" t="s">
        <v>4344</v>
      </c>
      <c r="C2800" s="90" t="s">
        <v>4517</v>
      </c>
      <c r="D2800" s="90" t="s">
        <v>4264</v>
      </c>
      <c r="E2800" s="90" t="str">
        <f>VLOOKUP(B2800&amp;C2800,Divipola!$C$2:$F$1138,4,FALSE)</f>
        <v>25851</v>
      </c>
      <c r="F2800" s="4"/>
      <c r="G2800" s="101"/>
      <c r="H2800" s="101"/>
      <c r="I2800" s="101"/>
      <c r="J2800" s="101">
        <v>368</v>
      </c>
      <c r="K2800" s="101">
        <v>100</v>
      </c>
      <c r="L2800" s="101"/>
      <c r="M2800" s="101">
        <v>100</v>
      </c>
      <c r="N2800" s="101"/>
      <c r="O2800" s="101"/>
      <c r="P2800" s="101"/>
      <c r="Q2800" s="101"/>
      <c r="R2800" s="101"/>
      <c r="S2800" s="101"/>
      <c r="T2800" s="101"/>
      <c r="U2800" s="101"/>
      <c r="V2800" s="101"/>
      <c r="W2800" s="19"/>
      <c r="X2800" s="17"/>
      <c r="Y2800" s="5">
        <f t="shared" si="268"/>
        <v>0</v>
      </c>
      <c r="Z2800" s="5">
        <f t="shared" si="269"/>
        <v>0</v>
      </c>
      <c r="AA2800" s="5">
        <f t="shared" si="270"/>
        <v>0</v>
      </c>
      <c r="AB2800" s="5">
        <f t="shared" si="271"/>
        <v>0</v>
      </c>
      <c r="AC2800" s="5"/>
      <c r="AD2800" s="5">
        <v>0</v>
      </c>
      <c r="AE2800" s="5">
        <f t="shared" si="272"/>
        <v>0</v>
      </c>
      <c r="AF2800" s="70">
        <v>0</v>
      </c>
      <c r="AG2800" s="17"/>
      <c r="AH2800" s="18"/>
      <c r="AI2800" s="47" t="s">
        <v>4336</v>
      </c>
      <c r="AJ2800" s="73" t="s">
        <v>4337</v>
      </c>
      <c r="AK2800" s="45"/>
      <c r="AL2800" s="17"/>
      <c r="AM2800" s="121" t="s">
        <v>5170</v>
      </c>
      <c r="AN2800" s="19"/>
      <c r="AO2800" s="19"/>
      <c r="AP2800" s="19"/>
      <c r="AQ2800" s="19"/>
      <c r="AR2800" s="19"/>
      <c r="AS2800" s="19"/>
      <c r="AT2800" s="19"/>
      <c r="AU2800" s="19"/>
      <c r="AV2800" s="19"/>
      <c r="AW2800" s="19"/>
      <c r="AX2800" s="19"/>
      <c r="AY2800" s="19"/>
      <c r="AZ2800" s="19"/>
      <c r="BA2800" s="19"/>
      <c r="BB2800" s="19"/>
      <c r="BC2800" s="19"/>
      <c r="BD2800" s="19"/>
      <c r="BE2800" s="19"/>
      <c r="BF2800" s="19"/>
      <c r="BG2800" s="19"/>
      <c r="BH2800" s="19"/>
      <c r="BI2800" s="19"/>
      <c r="BJ2800" s="19"/>
      <c r="BK2800" s="19"/>
      <c r="BL2800" s="19"/>
      <c r="BM2800" s="19"/>
      <c r="BN2800" s="19"/>
      <c r="BO2800" s="19"/>
      <c r="BP2800" s="19"/>
      <c r="BQ2800" s="19"/>
      <c r="BR2800" s="19"/>
      <c r="BS2800" s="19"/>
      <c r="BT2800" s="19"/>
      <c r="BU2800" s="19"/>
      <c r="BV2800" s="19"/>
      <c r="BW2800" s="19"/>
      <c r="BX2800" s="19"/>
      <c r="BY2800" s="19"/>
      <c r="BZ2800" s="19"/>
      <c r="CA2800" s="19"/>
      <c r="CB2800" s="19"/>
      <c r="CC2800" s="19"/>
      <c r="CD2800" s="139"/>
      <c r="CE2800" s="138"/>
      <c r="CF2800" s="139"/>
      <c r="CG2800" s="138"/>
      <c r="CH2800" s="139"/>
      <c r="CI2800" s="138"/>
      <c r="CJ2800" s="72"/>
      <c r="CK2800" s="139"/>
      <c r="CL2800" s="71"/>
      <c r="CM2800" s="139"/>
      <c r="CN2800" s="138"/>
      <c r="CO2800" s="138"/>
      <c r="CP2800" s="138"/>
      <c r="CQ2800" s="139"/>
      <c r="CR2800" s="138"/>
      <c r="CS2800" s="45"/>
      <c r="CT2800" s="138"/>
      <c r="CU2800" s="45"/>
      <c r="CV2800" s="99">
        <f t="shared" si="273"/>
        <v>0</v>
      </c>
      <c r="CW2800" s="139"/>
      <c r="CX2800" s="138"/>
      <c r="CY2800" s="138"/>
      <c r="CZ2800" s="138"/>
      <c r="DA2800" s="139"/>
      <c r="DB2800" s="138"/>
      <c r="DC2800" s="45"/>
      <c r="DD2800" s="138"/>
      <c r="DE2800" s="45"/>
      <c r="DF2800" s="46"/>
    </row>
    <row r="2801" spans="1:110" s="42" customFormat="1" ht="36" x14ac:dyDescent="0.2">
      <c r="A2801" s="89">
        <v>40874</v>
      </c>
      <c r="B2801" s="151" t="s">
        <v>4344</v>
      </c>
      <c r="C2801" s="90" t="s">
        <v>2209</v>
      </c>
      <c r="D2801" s="90" t="s">
        <v>4264</v>
      </c>
      <c r="E2801" s="90" t="str">
        <f>VLOOKUP(B2801&amp;C2801,Divipola!$C$2:$F$1138,4,FALSE)</f>
        <v>25214</v>
      </c>
      <c r="F2801" s="4"/>
      <c r="G2801" s="101"/>
      <c r="H2801" s="101"/>
      <c r="I2801" s="101"/>
      <c r="J2801" s="101">
        <v>100</v>
      </c>
      <c r="K2801" s="101">
        <v>22</v>
      </c>
      <c r="L2801" s="101"/>
      <c r="M2801" s="101">
        <v>22</v>
      </c>
      <c r="N2801" s="101"/>
      <c r="O2801" s="101"/>
      <c r="P2801" s="101"/>
      <c r="Q2801" s="101"/>
      <c r="R2801" s="101"/>
      <c r="S2801" s="101"/>
      <c r="T2801" s="101"/>
      <c r="U2801" s="101"/>
      <c r="V2801" s="101"/>
      <c r="W2801" s="19"/>
      <c r="X2801" s="17"/>
      <c r="Y2801" s="5">
        <f t="shared" si="268"/>
        <v>0</v>
      </c>
      <c r="Z2801" s="5">
        <f t="shared" si="269"/>
        <v>0</v>
      </c>
      <c r="AA2801" s="5">
        <f t="shared" si="270"/>
        <v>0</v>
      </c>
      <c r="AB2801" s="5">
        <f t="shared" si="271"/>
        <v>0</v>
      </c>
      <c r="AC2801" s="5"/>
      <c r="AD2801" s="5">
        <v>0</v>
      </c>
      <c r="AE2801" s="5">
        <f t="shared" si="272"/>
        <v>0</v>
      </c>
      <c r="AF2801" s="70">
        <v>0</v>
      </c>
      <c r="AG2801" s="17"/>
      <c r="AH2801" s="18"/>
      <c r="AI2801" s="47" t="s">
        <v>4336</v>
      </c>
      <c r="AJ2801" s="73" t="s">
        <v>4337</v>
      </c>
      <c r="AK2801" s="45"/>
      <c r="AL2801" s="17"/>
      <c r="AM2801" s="121" t="s">
        <v>5171</v>
      </c>
      <c r="AN2801" s="19"/>
      <c r="AO2801" s="19"/>
      <c r="AP2801" s="19"/>
      <c r="AQ2801" s="19"/>
      <c r="AR2801" s="19"/>
      <c r="AS2801" s="19"/>
      <c r="AT2801" s="19"/>
      <c r="AU2801" s="19"/>
      <c r="AV2801" s="19"/>
      <c r="AW2801" s="19"/>
      <c r="AX2801" s="19"/>
      <c r="AY2801" s="19"/>
      <c r="AZ2801" s="19"/>
      <c r="BA2801" s="19"/>
      <c r="BB2801" s="19"/>
      <c r="BC2801" s="19"/>
      <c r="BD2801" s="19"/>
      <c r="BE2801" s="19"/>
      <c r="BF2801" s="19"/>
      <c r="BG2801" s="19"/>
      <c r="BH2801" s="19"/>
      <c r="BI2801" s="19"/>
      <c r="BJ2801" s="19"/>
      <c r="BK2801" s="19"/>
      <c r="BL2801" s="19"/>
      <c r="BM2801" s="19"/>
      <c r="BN2801" s="19"/>
      <c r="BO2801" s="19"/>
      <c r="BP2801" s="19"/>
      <c r="BQ2801" s="19"/>
      <c r="BR2801" s="19"/>
      <c r="BS2801" s="19"/>
      <c r="BT2801" s="19"/>
      <c r="BU2801" s="19"/>
      <c r="BV2801" s="19"/>
      <c r="BW2801" s="19"/>
      <c r="BX2801" s="19"/>
      <c r="BY2801" s="19"/>
      <c r="BZ2801" s="19"/>
      <c r="CA2801" s="19"/>
      <c r="CB2801" s="19"/>
      <c r="CC2801" s="19"/>
      <c r="CD2801" s="139"/>
      <c r="CE2801" s="138"/>
      <c r="CF2801" s="139"/>
      <c r="CG2801" s="138"/>
      <c r="CH2801" s="139"/>
      <c r="CI2801" s="138"/>
      <c r="CJ2801" s="72"/>
      <c r="CK2801" s="139"/>
      <c r="CL2801" s="71"/>
      <c r="CM2801" s="139"/>
      <c r="CN2801" s="138"/>
      <c r="CO2801" s="138"/>
      <c r="CP2801" s="138"/>
      <c r="CQ2801" s="139"/>
      <c r="CR2801" s="138"/>
      <c r="CS2801" s="45"/>
      <c r="CT2801" s="138"/>
      <c r="CU2801" s="45"/>
      <c r="CV2801" s="99">
        <f t="shared" si="273"/>
        <v>0</v>
      </c>
      <c r="CW2801" s="139"/>
      <c r="CX2801" s="138"/>
      <c r="CY2801" s="138"/>
      <c r="CZ2801" s="138"/>
      <c r="DA2801" s="139"/>
      <c r="DB2801" s="138"/>
      <c r="DC2801" s="45"/>
      <c r="DD2801" s="138"/>
      <c r="DE2801" s="45"/>
      <c r="DF2801" s="46"/>
    </row>
    <row r="2802" spans="1:110" s="42" customFormat="1" ht="36" x14ac:dyDescent="0.2">
      <c r="A2802" s="89">
        <v>40874</v>
      </c>
      <c r="B2802" s="151" t="s">
        <v>4296</v>
      </c>
      <c r="C2802" s="90" t="s">
        <v>4378</v>
      </c>
      <c r="D2802" s="90" t="s">
        <v>4298</v>
      </c>
      <c r="E2802" s="90" t="str">
        <f>VLOOKUP(B2802&amp;C2802,Divipola!$C$2:$F$1138,4,FALSE)</f>
        <v>19533</v>
      </c>
      <c r="F2802" s="4"/>
      <c r="G2802" s="194"/>
      <c r="H2802" s="194"/>
      <c r="I2802" s="194"/>
      <c r="J2802" s="194">
        <v>40</v>
      </c>
      <c r="K2802" s="194">
        <v>8</v>
      </c>
      <c r="L2802" s="194">
        <v>8</v>
      </c>
      <c r="M2802" s="194"/>
      <c r="N2802" s="194"/>
      <c r="O2802" s="194"/>
      <c r="P2802" s="194"/>
      <c r="Q2802" s="194"/>
      <c r="R2802" s="194"/>
      <c r="S2802" s="194"/>
      <c r="T2802" s="194"/>
      <c r="U2802" s="194"/>
      <c r="V2802" s="194"/>
      <c r="W2802" s="19"/>
      <c r="X2802" s="17"/>
      <c r="Y2802" s="5">
        <f t="shared" si="268"/>
        <v>0</v>
      </c>
      <c r="Z2802" s="5">
        <f t="shared" si="269"/>
        <v>0</v>
      </c>
      <c r="AA2802" s="5">
        <f t="shared" si="270"/>
        <v>0</v>
      </c>
      <c r="AB2802" s="5">
        <f t="shared" si="271"/>
        <v>0</v>
      </c>
      <c r="AC2802" s="5"/>
      <c r="AD2802" s="5">
        <v>0</v>
      </c>
      <c r="AE2802" s="5">
        <f t="shared" si="272"/>
        <v>0</v>
      </c>
      <c r="AF2802" s="70">
        <v>0</v>
      </c>
      <c r="AG2802" s="17"/>
      <c r="AH2802" s="18"/>
      <c r="AI2802" s="47" t="s">
        <v>4336</v>
      </c>
      <c r="AJ2802" s="73" t="s">
        <v>4337</v>
      </c>
      <c r="AK2802" s="45"/>
      <c r="AL2802" s="17"/>
      <c r="AM2802" s="195" t="s">
        <v>5229</v>
      </c>
      <c r="AN2802" s="19"/>
      <c r="AO2802" s="19"/>
      <c r="AP2802" s="19"/>
      <c r="AQ2802" s="19"/>
      <c r="AR2802" s="19"/>
      <c r="AS2802" s="19"/>
      <c r="AT2802" s="19"/>
      <c r="AU2802" s="19"/>
      <c r="AV2802" s="19"/>
      <c r="AW2802" s="19"/>
      <c r="AX2802" s="19"/>
      <c r="AY2802" s="19"/>
      <c r="AZ2802" s="19"/>
      <c r="BA2802" s="19"/>
      <c r="BB2802" s="19"/>
      <c r="BC2802" s="19"/>
      <c r="BD2802" s="19"/>
      <c r="BE2802" s="19"/>
      <c r="BF2802" s="19"/>
      <c r="BG2802" s="19"/>
      <c r="BH2802" s="19"/>
      <c r="BI2802" s="19"/>
      <c r="BJ2802" s="19"/>
      <c r="BK2802" s="19"/>
      <c r="BL2802" s="19"/>
      <c r="BM2802" s="19"/>
      <c r="BN2802" s="19"/>
      <c r="BO2802" s="19"/>
      <c r="BP2802" s="19"/>
      <c r="BQ2802" s="19"/>
      <c r="BR2802" s="19"/>
      <c r="BS2802" s="19"/>
      <c r="BT2802" s="19"/>
      <c r="BU2802" s="19"/>
      <c r="BV2802" s="19"/>
      <c r="BW2802" s="19"/>
      <c r="BX2802" s="19"/>
      <c r="BY2802" s="19"/>
      <c r="BZ2802" s="19"/>
      <c r="CA2802" s="19"/>
      <c r="CB2802" s="19"/>
      <c r="CC2802" s="19"/>
      <c r="CD2802" s="139"/>
      <c r="CE2802" s="138"/>
      <c r="CF2802" s="139"/>
      <c r="CG2802" s="138"/>
      <c r="CH2802" s="139"/>
      <c r="CI2802" s="138"/>
      <c r="CJ2802" s="72"/>
      <c r="CK2802" s="139"/>
      <c r="CL2802" s="71"/>
      <c r="CM2802" s="139"/>
      <c r="CN2802" s="138"/>
      <c r="CO2802" s="138"/>
      <c r="CP2802" s="138"/>
      <c r="CQ2802" s="139"/>
      <c r="CR2802" s="138"/>
      <c r="CS2802" s="45"/>
      <c r="CT2802" s="138"/>
      <c r="CU2802" s="45"/>
      <c r="CV2802" s="99">
        <f t="shared" si="273"/>
        <v>0</v>
      </c>
      <c r="CW2802" s="139"/>
      <c r="CX2802" s="138"/>
      <c r="CY2802" s="138"/>
      <c r="CZ2802" s="138"/>
      <c r="DA2802" s="139"/>
      <c r="DB2802" s="138"/>
      <c r="DC2802" s="45"/>
      <c r="DD2802" s="138"/>
      <c r="DE2802" s="45"/>
      <c r="DF2802" s="46"/>
    </row>
    <row r="2803" spans="1:110" s="42" customFormat="1" ht="36" x14ac:dyDescent="0.2">
      <c r="A2803" s="89">
        <v>40874</v>
      </c>
      <c r="B2803" s="151" t="s">
        <v>4348</v>
      </c>
      <c r="C2803" s="90" t="s">
        <v>3302</v>
      </c>
      <c r="D2803" s="90" t="s">
        <v>2362</v>
      </c>
      <c r="E2803" s="90" t="str">
        <f>VLOOKUP(B2803&amp;C2803,Divipola!$C$2:$F$1138,4,FALSE)</f>
        <v>66045</v>
      </c>
      <c r="F2803" s="4"/>
      <c r="G2803" s="101"/>
      <c r="H2803" s="101"/>
      <c r="I2803" s="101"/>
      <c r="J2803" s="101">
        <v>45</v>
      </c>
      <c r="K2803" s="101">
        <v>9</v>
      </c>
      <c r="L2803" s="101"/>
      <c r="M2803" s="101">
        <v>9</v>
      </c>
      <c r="N2803" s="101">
        <v>3</v>
      </c>
      <c r="O2803" s="101"/>
      <c r="P2803" s="101"/>
      <c r="Q2803" s="101"/>
      <c r="R2803" s="101"/>
      <c r="S2803" s="101"/>
      <c r="T2803" s="101"/>
      <c r="U2803" s="101"/>
      <c r="V2803" s="101"/>
      <c r="W2803" s="19"/>
      <c r="X2803" s="17"/>
      <c r="Y2803" s="5">
        <f t="shared" si="268"/>
        <v>0</v>
      </c>
      <c r="Z2803" s="5">
        <f t="shared" si="269"/>
        <v>0</v>
      </c>
      <c r="AA2803" s="5">
        <f t="shared" si="270"/>
        <v>0</v>
      </c>
      <c r="AB2803" s="5">
        <f t="shared" si="271"/>
        <v>0</v>
      </c>
      <c r="AC2803" s="5"/>
      <c r="AD2803" s="5">
        <v>0</v>
      </c>
      <c r="AE2803" s="5">
        <f t="shared" si="272"/>
        <v>0</v>
      </c>
      <c r="AF2803" s="70">
        <v>0</v>
      </c>
      <c r="AG2803" s="17"/>
      <c r="AH2803" s="18"/>
      <c r="AI2803" s="47" t="s">
        <v>4346</v>
      </c>
      <c r="AJ2803" s="73" t="s">
        <v>4347</v>
      </c>
      <c r="AK2803" s="45"/>
      <c r="AL2803" s="17" t="s">
        <v>5534</v>
      </c>
      <c r="AM2803" s="121" t="s">
        <v>5361</v>
      </c>
      <c r="AN2803" s="19"/>
      <c r="AO2803" s="19"/>
      <c r="AP2803" s="19"/>
      <c r="AQ2803" s="19"/>
      <c r="AR2803" s="19"/>
      <c r="AS2803" s="19"/>
      <c r="AT2803" s="19"/>
      <c r="AU2803" s="19"/>
      <c r="AV2803" s="19"/>
      <c r="AW2803" s="1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c r="BW2803" s="19"/>
      <c r="BX2803" s="19"/>
      <c r="BY2803" s="19"/>
      <c r="BZ2803" s="19"/>
      <c r="CA2803" s="19"/>
      <c r="CB2803" s="19"/>
      <c r="CC2803" s="19"/>
      <c r="CD2803" s="139"/>
      <c r="CE2803" s="138"/>
      <c r="CF2803" s="139"/>
      <c r="CG2803" s="138"/>
      <c r="CH2803" s="139"/>
      <c r="CI2803" s="138"/>
      <c r="CJ2803" s="72"/>
      <c r="CK2803" s="139"/>
      <c r="CL2803" s="71"/>
      <c r="CM2803" s="139"/>
      <c r="CN2803" s="138"/>
      <c r="CO2803" s="138"/>
      <c r="CP2803" s="138"/>
      <c r="CQ2803" s="139"/>
      <c r="CR2803" s="138"/>
      <c r="CS2803" s="45"/>
      <c r="CT2803" s="138"/>
      <c r="CU2803" s="45"/>
      <c r="CV2803" s="99">
        <f t="shared" si="273"/>
        <v>0</v>
      </c>
      <c r="CW2803" s="139"/>
      <c r="CX2803" s="138"/>
      <c r="CY2803" s="138"/>
      <c r="CZ2803" s="138"/>
      <c r="DA2803" s="139"/>
      <c r="DB2803" s="138"/>
      <c r="DC2803" s="45"/>
      <c r="DD2803" s="138"/>
      <c r="DE2803" s="45"/>
      <c r="DF2803" s="46"/>
    </row>
    <row r="2804" spans="1:110" s="42" customFormat="1" ht="72" x14ac:dyDescent="0.2">
      <c r="A2804" s="89">
        <v>40875</v>
      </c>
      <c r="B2804" s="16" t="s">
        <v>4221</v>
      </c>
      <c r="C2804" s="90" t="s">
        <v>2235</v>
      </c>
      <c r="D2804" s="90" t="s">
        <v>4264</v>
      </c>
      <c r="E2804" s="90" t="str">
        <f>VLOOKUP(B2804&amp;C2804,Divipola!$C$2:$F$1138,4,FALSE)</f>
        <v>54810</v>
      </c>
      <c r="F2804" s="4"/>
      <c r="G2804" s="101"/>
      <c r="H2804" s="101"/>
      <c r="I2804" s="101">
        <v>1</v>
      </c>
      <c r="J2804" s="101"/>
      <c r="K2804" s="101"/>
      <c r="L2804" s="101"/>
      <c r="M2804" s="101"/>
      <c r="N2804" s="101"/>
      <c r="O2804" s="101"/>
      <c r="P2804" s="101"/>
      <c r="Q2804" s="101"/>
      <c r="R2804" s="101"/>
      <c r="S2804" s="101"/>
      <c r="T2804" s="101"/>
      <c r="U2804" s="101"/>
      <c r="V2804" s="101"/>
      <c r="W2804" s="19"/>
      <c r="X2804" s="17"/>
      <c r="Y2804" s="5">
        <f t="shared" si="268"/>
        <v>0</v>
      </c>
      <c r="Z2804" s="5">
        <f t="shared" si="269"/>
        <v>0</v>
      </c>
      <c r="AA2804" s="5">
        <f t="shared" si="270"/>
        <v>0</v>
      </c>
      <c r="AB2804" s="5">
        <f t="shared" si="271"/>
        <v>0</v>
      </c>
      <c r="AC2804" s="5"/>
      <c r="AD2804" s="5">
        <v>0</v>
      </c>
      <c r="AE2804" s="5">
        <f t="shared" si="272"/>
        <v>0</v>
      </c>
      <c r="AF2804" s="70">
        <v>0</v>
      </c>
      <c r="AG2804" s="17"/>
      <c r="AH2804" s="18"/>
      <c r="AI2804" s="47" t="s">
        <v>4336</v>
      </c>
      <c r="AJ2804" s="73" t="s">
        <v>4337</v>
      </c>
      <c r="AK2804" s="45"/>
      <c r="AL2804" s="17"/>
      <c r="AM2804" s="121" t="s">
        <v>5154</v>
      </c>
      <c r="AN2804" s="19"/>
      <c r="AO2804" s="19"/>
      <c r="AP2804" s="19"/>
      <c r="AQ2804" s="19"/>
      <c r="AR2804" s="19"/>
      <c r="AS2804" s="19"/>
      <c r="AT2804" s="19"/>
      <c r="AU2804" s="19"/>
      <c r="AV2804" s="19"/>
      <c r="AW2804" s="19"/>
      <c r="AX2804" s="19"/>
      <c r="AY2804" s="19"/>
      <c r="AZ2804" s="19"/>
      <c r="BA2804" s="19"/>
      <c r="BB2804" s="19"/>
      <c r="BC2804" s="19"/>
      <c r="BD2804" s="19"/>
      <c r="BE2804" s="19"/>
      <c r="BF2804" s="19"/>
      <c r="BG2804" s="19"/>
      <c r="BH2804" s="19"/>
      <c r="BI2804" s="19"/>
      <c r="BJ2804" s="19"/>
      <c r="BK2804" s="19"/>
      <c r="BL2804" s="19"/>
      <c r="BM2804" s="19"/>
      <c r="BN2804" s="19"/>
      <c r="BO2804" s="19"/>
      <c r="BP2804" s="19"/>
      <c r="BQ2804" s="19"/>
      <c r="BR2804" s="19"/>
      <c r="BS2804" s="19"/>
      <c r="BT2804" s="19"/>
      <c r="BU2804" s="19"/>
      <c r="BV2804" s="19"/>
      <c r="BW2804" s="19"/>
      <c r="BX2804" s="19"/>
      <c r="BY2804" s="19"/>
      <c r="BZ2804" s="19"/>
      <c r="CA2804" s="19"/>
      <c r="CB2804" s="19"/>
      <c r="CC2804" s="19"/>
      <c r="CD2804" s="139"/>
      <c r="CE2804" s="138"/>
      <c r="CF2804" s="139"/>
      <c r="CG2804" s="138"/>
      <c r="CH2804" s="139"/>
      <c r="CI2804" s="138"/>
      <c r="CJ2804" s="72"/>
      <c r="CK2804" s="139"/>
      <c r="CL2804" s="71"/>
      <c r="CM2804" s="139"/>
      <c r="CN2804" s="138"/>
      <c r="CO2804" s="138"/>
      <c r="CP2804" s="138"/>
      <c r="CQ2804" s="139"/>
      <c r="CR2804" s="138"/>
      <c r="CS2804" s="45"/>
      <c r="CT2804" s="138"/>
      <c r="CU2804" s="45"/>
      <c r="CV2804" s="99">
        <f t="shared" si="273"/>
        <v>0</v>
      </c>
      <c r="CW2804" s="139"/>
      <c r="CX2804" s="138"/>
      <c r="CY2804" s="138"/>
      <c r="CZ2804" s="138"/>
      <c r="DA2804" s="139"/>
      <c r="DB2804" s="138"/>
      <c r="DC2804" s="45"/>
      <c r="DD2804" s="138"/>
      <c r="DE2804" s="45"/>
      <c r="DF2804" s="46"/>
    </row>
    <row r="2805" spans="1:110" s="42" customFormat="1" ht="72" x14ac:dyDescent="0.2">
      <c r="A2805" s="89">
        <v>40875</v>
      </c>
      <c r="B2805" s="16" t="s">
        <v>4221</v>
      </c>
      <c r="C2805" s="90" t="s">
        <v>4299</v>
      </c>
      <c r="D2805" s="90" t="s">
        <v>2362</v>
      </c>
      <c r="E2805" s="90" t="str">
        <f>VLOOKUP(B2805&amp;C2805,Divipola!$C$2:$F$1138,4,FALSE)</f>
        <v>54001</v>
      </c>
      <c r="F2805" s="4"/>
      <c r="G2805" s="101"/>
      <c r="H2805" s="101"/>
      <c r="I2805" s="101"/>
      <c r="J2805" s="101">
        <v>40</v>
      </c>
      <c r="K2805" s="101">
        <v>2</v>
      </c>
      <c r="L2805" s="101"/>
      <c r="M2805" s="101">
        <v>2</v>
      </c>
      <c r="N2805" s="101"/>
      <c r="O2805" s="101"/>
      <c r="P2805" s="101"/>
      <c r="Q2805" s="101"/>
      <c r="R2805" s="101"/>
      <c r="S2805" s="101"/>
      <c r="T2805" s="101"/>
      <c r="U2805" s="101"/>
      <c r="V2805" s="101"/>
      <c r="W2805" s="19"/>
      <c r="X2805" s="17"/>
      <c r="Y2805" s="5">
        <f t="shared" si="268"/>
        <v>0</v>
      </c>
      <c r="Z2805" s="5">
        <f t="shared" si="269"/>
        <v>0</v>
      </c>
      <c r="AA2805" s="5">
        <f t="shared" si="270"/>
        <v>0</v>
      </c>
      <c r="AB2805" s="5">
        <f t="shared" si="271"/>
        <v>0</v>
      </c>
      <c r="AC2805" s="5"/>
      <c r="AD2805" s="5">
        <v>0</v>
      </c>
      <c r="AE2805" s="5">
        <f t="shared" si="272"/>
        <v>0</v>
      </c>
      <c r="AF2805" s="70">
        <v>0</v>
      </c>
      <c r="AG2805" s="17"/>
      <c r="AH2805" s="18"/>
      <c r="AI2805" s="47" t="s">
        <v>4346</v>
      </c>
      <c r="AJ2805" s="73" t="s">
        <v>5262</v>
      </c>
      <c r="AK2805" s="45"/>
      <c r="AL2805" s="17" t="s">
        <v>5263</v>
      </c>
      <c r="AM2805" s="121" t="s">
        <v>5155</v>
      </c>
      <c r="AN2805" s="19"/>
      <c r="AO2805" s="19"/>
      <c r="AP2805" s="19"/>
      <c r="AQ2805" s="19"/>
      <c r="AR2805" s="19"/>
      <c r="AS2805" s="19"/>
      <c r="AT2805" s="19"/>
      <c r="AU2805" s="19"/>
      <c r="AV2805" s="19"/>
      <c r="AW2805" s="19"/>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c r="BW2805" s="19"/>
      <c r="BX2805" s="19"/>
      <c r="BY2805" s="19"/>
      <c r="BZ2805" s="19"/>
      <c r="CA2805" s="19"/>
      <c r="CB2805" s="19"/>
      <c r="CC2805" s="19"/>
      <c r="CD2805" s="139"/>
      <c r="CE2805" s="138"/>
      <c r="CF2805" s="139"/>
      <c r="CG2805" s="138"/>
      <c r="CH2805" s="139"/>
      <c r="CI2805" s="138"/>
      <c r="CJ2805" s="72"/>
      <c r="CK2805" s="139"/>
      <c r="CL2805" s="71"/>
      <c r="CM2805" s="139"/>
      <c r="CN2805" s="138"/>
      <c r="CO2805" s="138"/>
      <c r="CP2805" s="138"/>
      <c r="CQ2805" s="139"/>
      <c r="CR2805" s="138"/>
      <c r="CS2805" s="45"/>
      <c r="CT2805" s="138"/>
      <c r="CU2805" s="45"/>
      <c r="CV2805" s="99">
        <f t="shared" si="273"/>
        <v>0</v>
      </c>
      <c r="CW2805" s="139"/>
      <c r="CX2805" s="138"/>
      <c r="CY2805" s="138"/>
      <c r="CZ2805" s="138"/>
      <c r="DA2805" s="139"/>
      <c r="DB2805" s="138"/>
      <c r="DC2805" s="45"/>
      <c r="DD2805" s="138"/>
      <c r="DE2805" s="45"/>
      <c r="DF2805" s="46"/>
    </row>
    <row r="2806" spans="1:110" s="42" customFormat="1" ht="84" x14ac:dyDescent="0.2">
      <c r="A2806" s="89">
        <v>40875</v>
      </c>
      <c r="B2806" s="16" t="s">
        <v>4221</v>
      </c>
      <c r="C2806" s="90" t="s">
        <v>4299</v>
      </c>
      <c r="D2806" s="90" t="s">
        <v>4264</v>
      </c>
      <c r="E2806" s="90" t="str">
        <f>VLOOKUP(B2806&amp;C2806,Divipola!$C$2:$F$1138,4,FALSE)</f>
        <v>54001</v>
      </c>
      <c r="F2806" s="4"/>
      <c r="G2806" s="101"/>
      <c r="H2806" s="101"/>
      <c r="I2806" s="101"/>
      <c r="J2806" s="101">
        <v>100</v>
      </c>
      <c r="K2806" s="101">
        <v>20</v>
      </c>
      <c r="L2806" s="101"/>
      <c r="M2806" s="101">
        <v>20</v>
      </c>
      <c r="N2806" s="101"/>
      <c r="O2806" s="101">
        <v>1</v>
      </c>
      <c r="P2806" s="101"/>
      <c r="Q2806" s="101"/>
      <c r="R2806" s="101"/>
      <c r="S2806" s="101"/>
      <c r="T2806" s="101"/>
      <c r="U2806" s="101"/>
      <c r="V2806" s="101"/>
      <c r="W2806" s="19"/>
      <c r="X2806" s="17"/>
      <c r="Y2806" s="5">
        <f t="shared" si="268"/>
        <v>0</v>
      </c>
      <c r="Z2806" s="5">
        <f t="shared" si="269"/>
        <v>0</v>
      </c>
      <c r="AA2806" s="5">
        <f t="shared" si="270"/>
        <v>0</v>
      </c>
      <c r="AB2806" s="5">
        <f t="shared" si="271"/>
        <v>0</v>
      </c>
      <c r="AC2806" s="5"/>
      <c r="AD2806" s="5">
        <v>0</v>
      </c>
      <c r="AE2806" s="5">
        <f t="shared" si="272"/>
        <v>0</v>
      </c>
      <c r="AF2806" s="70">
        <v>0</v>
      </c>
      <c r="AG2806" s="17"/>
      <c r="AH2806" s="18"/>
      <c r="AI2806" s="47" t="s">
        <v>4346</v>
      </c>
      <c r="AJ2806" s="73" t="s">
        <v>5262</v>
      </c>
      <c r="AK2806" s="45"/>
      <c r="AL2806" s="17" t="s">
        <v>5263</v>
      </c>
      <c r="AM2806" s="121" t="s">
        <v>5156</v>
      </c>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39"/>
      <c r="CE2806" s="138"/>
      <c r="CF2806" s="139"/>
      <c r="CG2806" s="138"/>
      <c r="CH2806" s="139"/>
      <c r="CI2806" s="138"/>
      <c r="CJ2806" s="72"/>
      <c r="CK2806" s="139"/>
      <c r="CL2806" s="71"/>
      <c r="CM2806" s="139"/>
      <c r="CN2806" s="138"/>
      <c r="CO2806" s="138"/>
      <c r="CP2806" s="138"/>
      <c r="CQ2806" s="139"/>
      <c r="CR2806" s="138"/>
      <c r="CS2806" s="45"/>
      <c r="CT2806" s="138"/>
      <c r="CU2806" s="45"/>
      <c r="CV2806" s="99">
        <f t="shared" si="273"/>
        <v>0</v>
      </c>
      <c r="CW2806" s="139"/>
      <c r="CX2806" s="138"/>
      <c r="CY2806" s="138"/>
      <c r="CZ2806" s="138"/>
      <c r="DA2806" s="139"/>
      <c r="DB2806" s="138"/>
      <c r="DC2806" s="45"/>
      <c r="DD2806" s="138"/>
      <c r="DE2806" s="45"/>
      <c r="DF2806" s="46"/>
    </row>
    <row r="2807" spans="1:110" s="42" customFormat="1" ht="48" x14ac:dyDescent="0.2">
      <c r="A2807" s="89">
        <v>40875</v>
      </c>
      <c r="B2807" s="151" t="s">
        <v>4221</v>
      </c>
      <c r="C2807" s="90" t="s">
        <v>3392</v>
      </c>
      <c r="D2807" s="90" t="s">
        <v>4264</v>
      </c>
      <c r="E2807" s="90" t="str">
        <f>VLOOKUP(B2807&amp;C2807,Divipola!$C$2:$F$1138,4,FALSE)</f>
        <v>54172</v>
      </c>
      <c r="F2807" s="4"/>
      <c r="G2807" s="101"/>
      <c r="H2807" s="101"/>
      <c r="I2807" s="101"/>
      <c r="J2807" s="101">
        <v>25</v>
      </c>
      <c r="K2807" s="101">
        <v>5</v>
      </c>
      <c r="L2807" s="101"/>
      <c r="M2807" s="101">
        <v>5</v>
      </c>
      <c r="N2807" s="101"/>
      <c r="O2807" s="101"/>
      <c r="P2807" s="101"/>
      <c r="Q2807" s="101"/>
      <c r="R2807" s="101"/>
      <c r="S2807" s="101"/>
      <c r="T2807" s="101"/>
      <c r="U2807" s="101"/>
      <c r="V2807" s="101"/>
      <c r="W2807" s="19"/>
      <c r="X2807" s="17"/>
      <c r="Y2807" s="5">
        <f t="shared" si="268"/>
        <v>0</v>
      </c>
      <c r="Z2807" s="5">
        <f t="shared" si="269"/>
        <v>0</v>
      </c>
      <c r="AA2807" s="5">
        <f t="shared" si="270"/>
        <v>0</v>
      </c>
      <c r="AB2807" s="5">
        <f t="shared" si="271"/>
        <v>0</v>
      </c>
      <c r="AC2807" s="5"/>
      <c r="AD2807" s="5">
        <v>0</v>
      </c>
      <c r="AE2807" s="5">
        <f t="shared" si="272"/>
        <v>0</v>
      </c>
      <c r="AF2807" s="70">
        <v>0</v>
      </c>
      <c r="AG2807" s="17"/>
      <c r="AH2807" s="18"/>
      <c r="AI2807" s="47" t="s">
        <v>4336</v>
      </c>
      <c r="AJ2807" s="73" t="s">
        <v>4337</v>
      </c>
      <c r="AK2807" s="45"/>
      <c r="AL2807" s="17"/>
      <c r="AM2807" s="121" t="s">
        <v>5161</v>
      </c>
      <c r="AN2807" s="19"/>
      <c r="AO2807" s="19"/>
      <c r="AP2807" s="19"/>
      <c r="AQ2807" s="19"/>
      <c r="AR2807" s="19"/>
      <c r="AS2807" s="19"/>
      <c r="AT2807" s="19"/>
      <c r="AU2807" s="19"/>
      <c r="AV2807" s="19"/>
      <c r="AW2807" s="19"/>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c r="BW2807" s="19"/>
      <c r="BX2807" s="19"/>
      <c r="BY2807" s="19"/>
      <c r="BZ2807" s="19"/>
      <c r="CA2807" s="19"/>
      <c r="CB2807" s="19"/>
      <c r="CC2807" s="19"/>
      <c r="CD2807" s="139"/>
      <c r="CE2807" s="138"/>
      <c r="CF2807" s="139"/>
      <c r="CG2807" s="138"/>
      <c r="CH2807" s="139"/>
      <c r="CI2807" s="138"/>
      <c r="CJ2807" s="72"/>
      <c r="CK2807" s="139"/>
      <c r="CL2807" s="71"/>
      <c r="CM2807" s="139"/>
      <c r="CN2807" s="138"/>
      <c r="CO2807" s="138"/>
      <c r="CP2807" s="138"/>
      <c r="CQ2807" s="139"/>
      <c r="CR2807" s="138"/>
      <c r="CS2807" s="45"/>
      <c r="CT2807" s="138"/>
      <c r="CU2807" s="45"/>
      <c r="CV2807" s="99">
        <f t="shared" si="273"/>
        <v>0</v>
      </c>
      <c r="CW2807" s="139"/>
      <c r="CX2807" s="138"/>
      <c r="CY2807" s="138"/>
      <c r="CZ2807" s="138"/>
      <c r="DA2807" s="139"/>
      <c r="DB2807" s="138"/>
      <c r="DC2807" s="45"/>
      <c r="DD2807" s="138"/>
      <c r="DE2807" s="45"/>
      <c r="DF2807" s="46"/>
    </row>
    <row r="2808" spans="1:110" s="42" customFormat="1" ht="168" x14ac:dyDescent="0.2">
      <c r="A2808" s="89">
        <v>40875</v>
      </c>
      <c r="B2808" s="151" t="s">
        <v>4221</v>
      </c>
      <c r="C2808" s="90" t="s">
        <v>2237</v>
      </c>
      <c r="D2808" s="90" t="s">
        <v>2865</v>
      </c>
      <c r="E2808" s="90" t="str">
        <f>VLOOKUP(B2808&amp;C2808,Divipola!$C$2:$F$1138,4,FALSE)</f>
        <v>54261</v>
      </c>
      <c r="F2808" s="4"/>
      <c r="G2808" s="101"/>
      <c r="H2808" s="101"/>
      <c r="I2808" s="101"/>
      <c r="J2808" s="101"/>
      <c r="K2808" s="101"/>
      <c r="L2808" s="101"/>
      <c r="M2808" s="101"/>
      <c r="N2808" s="101"/>
      <c r="O2808" s="101">
        <v>1</v>
      </c>
      <c r="P2808" s="101"/>
      <c r="Q2808" s="101"/>
      <c r="R2808" s="101"/>
      <c r="S2808" s="101"/>
      <c r="T2808" s="101"/>
      <c r="U2808" s="101"/>
      <c r="V2808" s="101"/>
      <c r="W2808" s="19"/>
      <c r="X2808" s="17"/>
      <c r="Y2808" s="5">
        <f t="shared" si="268"/>
        <v>0</v>
      </c>
      <c r="Z2808" s="5">
        <f t="shared" si="269"/>
        <v>0</v>
      </c>
      <c r="AA2808" s="5">
        <f t="shared" si="270"/>
        <v>0</v>
      </c>
      <c r="AB2808" s="5">
        <f t="shared" si="271"/>
        <v>0</v>
      </c>
      <c r="AC2808" s="5"/>
      <c r="AD2808" s="5">
        <v>0</v>
      </c>
      <c r="AE2808" s="5">
        <f t="shared" si="272"/>
        <v>0</v>
      </c>
      <c r="AF2808" s="70">
        <v>0</v>
      </c>
      <c r="AG2808" s="17"/>
      <c r="AH2808" s="18"/>
      <c r="AI2808" s="47" t="s">
        <v>4336</v>
      </c>
      <c r="AJ2808" s="73" t="s">
        <v>4337</v>
      </c>
      <c r="AK2808" s="45"/>
      <c r="AL2808" s="17"/>
      <c r="AM2808" s="121" t="s">
        <v>5162</v>
      </c>
      <c r="AN2808" s="19"/>
      <c r="AO2808" s="19"/>
      <c r="AP2808" s="19"/>
      <c r="AQ2808" s="19"/>
      <c r="AR2808" s="19"/>
      <c r="AS2808" s="19"/>
      <c r="AT2808" s="19"/>
      <c r="AU2808" s="19"/>
      <c r="AV2808" s="19"/>
      <c r="AW2808" s="19"/>
      <c r="AX2808" s="19"/>
      <c r="AY2808" s="19"/>
      <c r="AZ2808" s="19"/>
      <c r="BA2808" s="19"/>
      <c r="BB2808" s="19"/>
      <c r="BC2808" s="19"/>
      <c r="BD2808" s="19"/>
      <c r="BE2808" s="19"/>
      <c r="BF2808" s="19"/>
      <c r="BG2808" s="19"/>
      <c r="BH2808" s="19"/>
      <c r="BI2808" s="19"/>
      <c r="BJ2808" s="19"/>
      <c r="BK2808" s="19"/>
      <c r="BL2808" s="19"/>
      <c r="BM2808" s="19"/>
      <c r="BN2808" s="19"/>
      <c r="BO2808" s="19"/>
      <c r="BP2808" s="19"/>
      <c r="BQ2808" s="19"/>
      <c r="BR2808" s="19"/>
      <c r="BS2808" s="19"/>
      <c r="BT2808" s="19"/>
      <c r="BU2808" s="19"/>
      <c r="BV2808" s="19"/>
      <c r="BW2808" s="19"/>
      <c r="BX2808" s="19"/>
      <c r="BY2808" s="19"/>
      <c r="BZ2808" s="19"/>
      <c r="CA2808" s="19"/>
      <c r="CB2808" s="19"/>
      <c r="CC2808" s="19"/>
      <c r="CD2808" s="139"/>
      <c r="CE2808" s="138"/>
      <c r="CF2808" s="139"/>
      <c r="CG2808" s="138"/>
      <c r="CH2808" s="139"/>
      <c r="CI2808" s="138"/>
      <c r="CJ2808" s="72"/>
      <c r="CK2808" s="139"/>
      <c r="CL2808" s="71"/>
      <c r="CM2808" s="139"/>
      <c r="CN2808" s="138"/>
      <c r="CO2808" s="138"/>
      <c r="CP2808" s="138"/>
      <c r="CQ2808" s="139"/>
      <c r="CR2808" s="138"/>
      <c r="CS2808" s="45"/>
      <c r="CT2808" s="138"/>
      <c r="CU2808" s="45"/>
      <c r="CV2808" s="99">
        <f t="shared" si="273"/>
        <v>0</v>
      </c>
      <c r="CW2808" s="139"/>
      <c r="CX2808" s="138"/>
      <c r="CY2808" s="138"/>
      <c r="CZ2808" s="138"/>
      <c r="DA2808" s="139"/>
      <c r="DB2808" s="138"/>
      <c r="DC2808" s="45"/>
      <c r="DD2808" s="138"/>
      <c r="DE2808" s="45"/>
      <c r="DF2808" s="46"/>
    </row>
    <row r="2809" spans="1:110" s="42" customFormat="1" ht="132" x14ac:dyDescent="0.2">
      <c r="A2809" s="89">
        <v>40875</v>
      </c>
      <c r="B2809" s="151" t="s">
        <v>4296</v>
      </c>
      <c r="C2809" s="90" t="s">
        <v>4378</v>
      </c>
      <c r="D2809" s="90" t="s">
        <v>4264</v>
      </c>
      <c r="E2809" s="90" t="str">
        <f>VLOOKUP(B2809&amp;C2809,Divipola!$C$2:$F$1138,4,FALSE)</f>
        <v>19533</v>
      </c>
      <c r="F2809" s="4"/>
      <c r="G2809" s="194"/>
      <c r="H2809" s="194"/>
      <c r="I2809" s="194"/>
      <c r="J2809" s="194">
        <v>45</v>
      </c>
      <c r="K2809" s="194">
        <v>9</v>
      </c>
      <c r="L2809" s="194"/>
      <c r="M2809" s="194">
        <v>9</v>
      </c>
      <c r="N2809" s="194"/>
      <c r="O2809" s="194"/>
      <c r="P2809" s="194"/>
      <c r="Q2809" s="194">
        <v>2</v>
      </c>
      <c r="R2809" s="194"/>
      <c r="S2809" s="194"/>
      <c r="T2809" s="194">
        <v>1</v>
      </c>
      <c r="U2809" s="194"/>
      <c r="V2809" s="194">
        <v>15</v>
      </c>
      <c r="W2809" s="19"/>
      <c r="X2809" s="17"/>
      <c r="Y2809" s="5">
        <f t="shared" si="268"/>
        <v>0</v>
      </c>
      <c r="Z2809" s="5">
        <f t="shared" si="269"/>
        <v>0</v>
      </c>
      <c r="AA2809" s="5">
        <f t="shared" si="270"/>
        <v>0</v>
      </c>
      <c r="AB2809" s="5">
        <f t="shared" si="271"/>
        <v>0</v>
      </c>
      <c r="AC2809" s="5"/>
      <c r="AD2809" s="5">
        <v>0</v>
      </c>
      <c r="AE2809" s="5">
        <f t="shared" si="272"/>
        <v>0</v>
      </c>
      <c r="AF2809" s="70">
        <v>0</v>
      </c>
      <c r="AG2809" s="17"/>
      <c r="AH2809" s="18"/>
      <c r="AI2809" s="47" t="s">
        <v>4336</v>
      </c>
      <c r="AJ2809" s="73" t="s">
        <v>4337</v>
      </c>
      <c r="AK2809" s="45"/>
      <c r="AL2809" s="17"/>
      <c r="AM2809" s="195" t="s">
        <v>5230</v>
      </c>
      <c r="AN2809" s="19"/>
      <c r="AO2809" s="19"/>
      <c r="AP2809" s="19"/>
      <c r="AQ2809" s="19"/>
      <c r="AR2809" s="19"/>
      <c r="AS2809" s="19"/>
      <c r="AT2809" s="19"/>
      <c r="AU2809" s="19"/>
      <c r="AV2809" s="19"/>
      <c r="AW2809" s="19"/>
      <c r="AX2809" s="19"/>
      <c r="AY2809" s="19"/>
      <c r="AZ2809" s="19"/>
      <c r="BA2809" s="19"/>
      <c r="BB2809" s="19"/>
      <c r="BC2809" s="19"/>
      <c r="BD2809" s="19"/>
      <c r="BE2809" s="19"/>
      <c r="BF2809" s="19"/>
      <c r="BG2809" s="19"/>
      <c r="BH2809" s="19"/>
      <c r="BI2809" s="19"/>
      <c r="BJ2809" s="19"/>
      <c r="BK2809" s="19"/>
      <c r="BL2809" s="19"/>
      <c r="BM2809" s="19"/>
      <c r="BN2809" s="19"/>
      <c r="BO2809" s="19"/>
      <c r="BP2809" s="19"/>
      <c r="BQ2809" s="19"/>
      <c r="BR2809" s="19"/>
      <c r="BS2809" s="19"/>
      <c r="BT2809" s="19"/>
      <c r="BU2809" s="19"/>
      <c r="BV2809" s="19"/>
      <c r="BW2809" s="19"/>
      <c r="BX2809" s="19"/>
      <c r="BY2809" s="19"/>
      <c r="BZ2809" s="19"/>
      <c r="CA2809" s="19"/>
      <c r="CB2809" s="19"/>
      <c r="CC2809" s="19"/>
      <c r="CD2809" s="139"/>
      <c r="CE2809" s="138"/>
      <c r="CF2809" s="139"/>
      <c r="CG2809" s="138"/>
      <c r="CH2809" s="139"/>
      <c r="CI2809" s="138"/>
      <c r="CJ2809" s="72"/>
      <c r="CK2809" s="139"/>
      <c r="CL2809" s="71"/>
      <c r="CM2809" s="139"/>
      <c r="CN2809" s="138"/>
      <c r="CO2809" s="138"/>
      <c r="CP2809" s="138"/>
      <c r="CQ2809" s="139"/>
      <c r="CR2809" s="138"/>
      <c r="CS2809" s="45"/>
      <c r="CT2809" s="138"/>
      <c r="CU2809" s="45"/>
      <c r="CV2809" s="99">
        <f t="shared" si="273"/>
        <v>0</v>
      </c>
      <c r="CW2809" s="139"/>
      <c r="CX2809" s="138"/>
      <c r="CY2809" s="138"/>
      <c r="CZ2809" s="138"/>
      <c r="DA2809" s="139"/>
      <c r="DB2809" s="138"/>
      <c r="DC2809" s="45"/>
      <c r="DD2809" s="138"/>
      <c r="DE2809" s="45"/>
      <c r="DF2809" s="46"/>
    </row>
    <row r="2810" spans="1:110" s="42" customFormat="1" ht="36" x14ac:dyDescent="0.2">
      <c r="A2810" s="89">
        <v>40875</v>
      </c>
      <c r="B2810" s="151" t="s">
        <v>4308</v>
      </c>
      <c r="C2810" s="106" t="s">
        <v>789</v>
      </c>
      <c r="D2810" s="90" t="s">
        <v>4264</v>
      </c>
      <c r="E2810" s="90" t="str">
        <f>VLOOKUP(B2810&amp;C2810,Divipola!$C$2:$F$1138,4,FALSE)</f>
        <v>47720</v>
      </c>
      <c r="F2810" s="4"/>
      <c r="G2810" s="101"/>
      <c r="H2810" s="101"/>
      <c r="I2810" s="101"/>
      <c r="J2810" s="101">
        <v>6740</v>
      </c>
      <c r="K2810" s="101">
        <v>1348</v>
      </c>
      <c r="L2810" s="101"/>
      <c r="M2810" s="101">
        <v>1348</v>
      </c>
      <c r="N2810" s="101">
        <v>2</v>
      </c>
      <c r="O2810" s="101"/>
      <c r="P2810" s="101"/>
      <c r="Q2810" s="101"/>
      <c r="R2810" s="101"/>
      <c r="S2810" s="101"/>
      <c r="T2810" s="101"/>
      <c r="U2810" s="101"/>
      <c r="V2810" s="101"/>
      <c r="W2810" s="19"/>
      <c r="X2810" s="17"/>
      <c r="Y2810" s="5">
        <f t="shared" si="268"/>
        <v>0</v>
      </c>
      <c r="Z2810" s="5">
        <f t="shared" si="269"/>
        <v>0</v>
      </c>
      <c r="AA2810" s="5">
        <f t="shared" si="270"/>
        <v>0</v>
      </c>
      <c r="AB2810" s="5">
        <f t="shared" si="271"/>
        <v>0</v>
      </c>
      <c r="AC2810" s="5"/>
      <c r="AD2810" s="5">
        <v>0</v>
      </c>
      <c r="AE2810" s="5">
        <f t="shared" si="272"/>
        <v>0</v>
      </c>
      <c r="AF2810" s="70">
        <v>0</v>
      </c>
      <c r="AG2810" s="17"/>
      <c r="AH2810" s="18"/>
      <c r="AI2810" s="47" t="s">
        <v>4346</v>
      </c>
      <c r="AJ2810" s="73" t="s">
        <v>4347</v>
      </c>
      <c r="AK2810" s="45"/>
      <c r="AL2810" s="17" t="s">
        <v>5534</v>
      </c>
      <c r="AM2810" s="121" t="s">
        <v>5354</v>
      </c>
      <c r="AN2810" s="19"/>
      <c r="AO2810" s="19"/>
      <c r="AP2810" s="19"/>
      <c r="AQ2810" s="19"/>
      <c r="AR2810" s="19"/>
      <c r="AS2810" s="19"/>
      <c r="AT2810" s="19"/>
      <c r="AU2810" s="19"/>
      <c r="AV2810" s="19"/>
      <c r="AW2810" s="19"/>
      <c r="AX2810" s="19"/>
      <c r="AY2810" s="19"/>
      <c r="AZ2810" s="19"/>
      <c r="BA2810" s="19"/>
      <c r="BB2810" s="19"/>
      <c r="BC2810" s="19"/>
      <c r="BD2810" s="19"/>
      <c r="BE2810" s="19"/>
      <c r="BF2810" s="19"/>
      <c r="BG2810" s="19"/>
      <c r="BH2810" s="19"/>
      <c r="BI2810" s="19"/>
      <c r="BJ2810" s="19"/>
      <c r="BK2810" s="19"/>
      <c r="BL2810" s="19"/>
      <c r="BM2810" s="19"/>
      <c r="BN2810" s="19"/>
      <c r="BO2810" s="19"/>
      <c r="BP2810" s="19"/>
      <c r="BQ2810" s="19"/>
      <c r="BR2810" s="19"/>
      <c r="BS2810" s="19"/>
      <c r="BT2810" s="19"/>
      <c r="BU2810" s="19"/>
      <c r="BV2810" s="19"/>
      <c r="BW2810" s="19"/>
      <c r="BX2810" s="19"/>
      <c r="BY2810" s="19"/>
      <c r="BZ2810" s="19"/>
      <c r="CA2810" s="19"/>
      <c r="CB2810" s="19"/>
      <c r="CC2810" s="19"/>
      <c r="CD2810" s="139"/>
      <c r="CE2810" s="138"/>
      <c r="CF2810" s="139"/>
      <c r="CG2810" s="138"/>
      <c r="CH2810" s="139"/>
      <c r="CI2810" s="138"/>
      <c r="CJ2810" s="72"/>
      <c r="CK2810" s="139"/>
      <c r="CL2810" s="71"/>
      <c r="CM2810" s="139"/>
      <c r="CN2810" s="138"/>
      <c r="CO2810" s="138"/>
      <c r="CP2810" s="138"/>
      <c r="CQ2810" s="139"/>
      <c r="CR2810" s="138"/>
      <c r="CS2810" s="45"/>
      <c r="CT2810" s="138"/>
      <c r="CU2810" s="45"/>
      <c r="CV2810" s="99">
        <f t="shared" si="273"/>
        <v>0</v>
      </c>
      <c r="CW2810" s="139"/>
      <c r="CX2810" s="138"/>
      <c r="CY2810" s="138"/>
      <c r="CZ2810" s="138"/>
      <c r="DA2810" s="139"/>
      <c r="DB2810" s="138"/>
      <c r="DC2810" s="45"/>
      <c r="DD2810" s="138"/>
      <c r="DE2810" s="45"/>
      <c r="DF2810" s="46"/>
    </row>
    <row r="2811" spans="1:110" s="42" customFormat="1" ht="60" x14ac:dyDescent="0.2">
      <c r="A2811" s="89">
        <v>40875</v>
      </c>
      <c r="B2811" s="151" t="s">
        <v>4387</v>
      </c>
      <c r="C2811" s="90" t="s">
        <v>518</v>
      </c>
      <c r="D2811" s="90" t="s">
        <v>4264</v>
      </c>
      <c r="E2811" s="90" t="str">
        <f>VLOOKUP(B2811&amp;C2811,Divipola!$C$2:$F$1138,4,FALSE)</f>
        <v>52585</v>
      </c>
      <c r="F2811" s="4"/>
      <c r="G2811" s="101"/>
      <c r="H2811" s="101"/>
      <c r="I2811" s="101"/>
      <c r="J2811" s="101"/>
      <c r="K2811" s="101"/>
      <c r="L2811" s="101"/>
      <c r="M2811" s="101"/>
      <c r="N2811" s="101">
        <v>1</v>
      </c>
      <c r="O2811" s="101"/>
      <c r="P2811" s="101"/>
      <c r="Q2811" s="101"/>
      <c r="R2811" s="101"/>
      <c r="S2811" s="101"/>
      <c r="T2811" s="101"/>
      <c r="U2811" s="101">
        <v>1</v>
      </c>
      <c r="V2811" s="264"/>
      <c r="W2811" s="19"/>
      <c r="X2811" s="17"/>
      <c r="Y2811" s="5">
        <f t="shared" si="268"/>
        <v>0</v>
      </c>
      <c r="Z2811" s="5">
        <f t="shared" si="269"/>
        <v>0</v>
      </c>
      <c r="AA2811" s="5">
        <f t="shared" si="270"/>
        <v>0</v>
      </c>
      <c r="AB2811" s="5">
        <f t="shared" si="271"/>
        <v>0</v>
      </c>
      <c r="AC2811" s="5"/>
      <c r="AD2811" s="5">
        <v>0</v>
      </c>
      <c r="AE2811" s="5">
        <f t="shared" si="272"/>
        <v>0</v>
      </c>
      <c r="AF2811" s="70">
        <v>0</v>
      </c>
      <c r="AG2811" s="17"/>
      <c r="AH2811" s="18"/>
      <c r="AI2811" s="47" t="s">
        <v>4336</v>
      </c>
      <c r="AJ2811" s="73" t="s">
        <v>4337</v>
      </c>
      <c r="AK2811" s="45"/>
      <c r="AL2811" s="17"/>
      <c r="AM2811" s="121" t="s">
        <v>5618</v>
      </c>
      <c r="AN2811" s="19"/>
      <c r="AO2811" s="19"/>
      <c r="AP2811" s="19"/>
      <c r="AQ2811" s="19"/>
      <c r="AR2811" s="19"/>
      <c r="AS2811" s="19"/>
      <c r="AT2811" s="19"/>
      <c r="AU2811" s="19"/>
      <c r="AV2811" s="19"/>
      <c r="AW2811" s="19"/>
      <c r="AX2811" s="19"/>
      <c r="AY2811" s="19"/>
      <c r="AZ2811" s="19"/>
      <c r="BA2811" s="19"/>
      <c r="BB2811" s="19"/>
      <c r="BC2811" s="19"/>
      <c r="BD2811" s="19"/>
      <c r="BE2811" s="19"/>
      <c r="BF2811" s="19"/>
      <c r="BG2811" s="19"/>
      <c r="BH2811" s="19"/>
      <c r="BI2811" s="19"/>
      <c r="BJ2811" s="19"/>
      <c r="BK2811" s="19"/>
      <c r="BL2811" s="19"/>
      <c r="BM2811" s="19"/>
      <c r="BN2811" s="19"/>
      <c r="BO2811" s="19"/>
      <c r="BP2811" s="19"/>
      <c r="BQ2811" s="19"/>
      <c r="BR2811" s="19"/>
      <c r="BS2811" s="19"/>
      <c r="BT2811" s="19"/>
      <c r="BU2811" s="19"/>
      <c r="BV2811" s="19"/>
      <c r="BW2811" s="19"/>
      <c r="BX2811" s="19"/>
      <c r="BY2811" s="19"/>
      <c r="BZ2811" s="19"/>
      <c r="CA2811" s="19"/>
      <c r="CB2811" s="19"/>
      <c r="CC2811" s="19"/>
      <c r="CD2811" s="139"/>
      <c r="CE2811" s="138"/>
      <c r="CF2811" s="139"/>
      <c r="CG2811" s="138"/>
      <c r="CH2811" s="139"/>
      <c r="CI2811" s="138"/>
      <c r="CJ2811" s="72"/>
      <c r="CK2811" s="139"/>
      <c r="CL2811" s="71"/>
      <c r="CM2811" s="139"/>
      <c r="CN2811" s="138"/>
      <c r="CO2811" s="138"/>
      <c r="CP2811" s="138"/>
      <c r="CQ2811" s="139"/>
      <c r="CR2811" s="138"/>
      <c r="CS2811" s="45"/>
      <c r="CT2811" s="138"/>
      <c r="CU2811" s="45"/>
      <c r="CV2811" s="99">
        <f t="shared" si="273"/>
        <v>0</v>
      </c>
      <c r="CW2811" s="139"/>
      <c r="CX2811" s="138"/>
      <c r="CY2811" s="138"/>
      <c r="CZ2811" s="138"/>
      <c r="DA2811" s="139"/>
      <c r="DB2811" s="138"/>
      <c r="DC2811" s="45"/>
      <c r="DD2811" s="138"/>
      <c r="DE2811" s="45"/>
      <c r="DF2811" s="46"/>
    </row>
    <row r="2812" spans="1:110" s="42" customFormat="1" ht="348" x14ac:dyDescent="0.2">
      <c r="A2812" s="89">
        <v>40876</v>
      </c>
      <c r="B2812" s="16" t="s">
        <v>4221</v>
      </c>
      <c r="C2812" s="90" t="s">
        <v>4300</v>
      </c>
      <c r="D2812" s="90" t="s">
        <v>4264</v>
      </c>
      <c r="E2812" s="90" t="str">
        <f>VLOOKUP(B2812&amp;C2812,Divipola!$C$2:$F$1138,4,FALSE)</f>
        <v>54874</v>
      </c>
      <c r="F2812" s="4"/>
      <c r="G2812" s="101"/>
      <c r="H2812" s="101"/>
      <c r="I2812" s="101"/>
      <c r="J2812" s="101">
        <v>105</v>
      </c>
      <c r="K2812" s="101">
        <v>21</v>
      </c>
      <c r="L2812" s="101"/>
      <c r="M2812" s="101">
        <v>21</v>
      </c>
      <c r="N2812" s="101"/>
      <c r="O2812" s="101">
        <v>1</v>
      </c>
      <c r="P2812" s="101"/>
      <c r="Q2812" s="101"/>
      <c r="R2812" s="101"/>
      <c r="S2812" s="101"/>
      <c r="T2812" s="101"/>
      <c r="U2812" s="101"/>
      <c r="V2812" s="101"/>
      <c r="W2812" s="19"/>
      <c r="X2812" s="17"/>
      <c r="Y2812" s="5">
        <f t="shared" si="268"/>
        <v>18600000</v>
      </c>
      <c r="Z2812" s="5">
        <f t="shared" si="269"/>
        <v>17000000</v>
      </c>
      <c r="AA2812" s="5">
        <f t="shared" si="270"/>
        <v>0</v>
      </c>
      <c r="AB2812" s="5">
        <f t="shared" si="271"/>
        <v>0</v>
      </c>
      <c r="AC2812" s="159">
        <f>50*90319.92</f>
        <v>4515996</v>
      </c>
      <c r="AD2812" s="5">
        <v>0</v>
      </c>
      <c r="AE2812" s="5">
        <f t="shared" si="272"/>
        <v>40115996</v>
      </c>
      <c r="AF2812" s="70">
        <v>0</v>
      </c>
      <c r="AG2812" s="17"/>
      <c r="AH2812" s="18"/>
      <c r="AI2812" s="47" t="s">
        <v>4346</v>
      </c>
      <c r="AJ2812" s="73" t="s">
        <v>4347</v>
      </c>
      <c r="AK2812" s="45"/>
      <c r="AL2812" s="17"/>
      <c r="AM2812" s="121" t="s">
        <v>5261</v>
      </c>
      <c r="AN2812" s="19"/>
      <c r="AO2812" s="19"/>
      <c r="AP2812" s="19"/>
      <c r="AQ2812" s="19"/>
      <c r="AR2812" s="19"/>
      <c r="AS2812" s="19"/>
      <c r="AT2812" s="19"/>
      <c r="AU2812" s="19"/>
      <c r="AV2812" s="19"/>
      <c r="AW2812" s="19"/>
      <c r="AX2812" s="19"/>
      <c r="AY2812" s="19"/>
      <c r="AZ2812" s="19">
        <v>200</v>
      </c>
      <c r="BA2812" s="19">
        <f>200*56000</f>
        <v>11200000</v>
      </c>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c r="BW2812" s="19"/>
      <c r="BX2812" s="19"/>
      <c r="BY2812" s="19"/>
      <c r="BZ2812" s="19"/>
      <c r="CA2812" s="19"/>
      <c r="CB2812" s="19"/>
      <c r="CC2812" s="19"/>
      <c r="CD2812" s="139"/>
      <c r="CE2812" s="138"/>
      <c r="CF2812" s="139"/>
      <c r="CG2812" s="138"/>
      <c r="CH2812" s="139"/>
      <c r="CI2812" s="138"/>
      <c r="CJ2812" s="72"/>
      <c r="CK2812" s="139"/>
      <c r="CL2812" s="71"/>
      <c r="CM2812" s="139"/>
      <c r="CN2812" s="138"/>
      <c r="CO2812" s="138"/>
      <c r="CP2812" s="138">
        <v>200</v>
      </c>
      <c r="CQ2812" s="139">
        <f>200*37000</f>
        <v>7400000</v>
      </c>
      <c r="CR2812" s="138"/>
      <c r="CS2812" s="45"/>
      <c r="CT2812" s="138"/>
      <c r="CU2812" s="45"/>
      <c r="CV2812" s="99">
        <f t="shared" si="273"/>
        <v>18600000</v>
      </c>
      <c r="CW2812" s="139"/>
      <c r="CX2812" s="138"/>
      <c r="CY2812" s="138">
        <v>200</v>
      </c>
      <c r="CZ2812" s="138">
        <f>200*85000</f>
        <v>17000000</v>
      </c>
      <c r="DA2812" s="139"/>
      <c r="DB2812" s="138"/>
      <c r="DC2812" s="45"/>
      <c r="DD2812" s="138"/>
      <c r="DE2812" s="45"/>
      <c r="DF2812" s="46"/>
    </row>
    <row r="2813" spans="1:110" s="42" customFormat="1" ht="72" x14ac:dyDescent="0.2">
      <c r="A2813" s="89">
        <v>40876</v>
      </c>
      <c r="B2813" s="151" t="s">
        <v>4219</v>
      </c>
      <c r="C2813" s="90" t="s">
        <v>697</v>
      </c>
      <c r="D2813" s="90" t="s">
        <v>2362</v>
      </c>
      <c r="E2813" s="90" t="str">
        <f>VLOOKUP(B2813&amp;C2813,Divipola!$C$2:$F$1138,4,FALSE)</f>
        <v>41791</v>
      </c>
      <c r="F2813" s="4"/>
      <c r="G2813" s="101"/>
      <c r="H2813" s="101"/>
      <c r="I2813" s="101"/>
      <c r="J2813" s="101">
        <v>15</v>
      </c>
      <c r="K2813" s="101">
        <v>3</v>
      </c>
      <c r="L2813" s="101"/>
      <c r="M2813" s="101">
        <v>3</v>
      </c>
      <c r="N2813" s="101"/>
      <c r="O2813" s="101"/>
      <c r="P2813" s="101"/>
      <c r="Q2813" s="101"/>
      <c r="R2813" s="101"/>
      <c r="S2813" s="101"/>
      <c r="T2813" s="101"/>
      <c r="U2813" s="101"/>
      <c r="V2813" s="101"/>
      <c r="W2813" s="19"/>
      <c r="X2813" s="17"/>
      <c r="Y2813" s="5">
        <f t="shared" si="268"/>
        <v>0</v>
      </c>
      <c r="Z2813" s="5">
        <f t="shared" si="269"/>
        <v>0</v>
      </c>
      <c r="AA2813" s="5">
        <f t="shared" si="270"/>
        <v>0</v>
      </c>
      <c r="AB2813" s="5">
        <f t="shared" si="271"/>
        <v>0</v>
      </c>
      <c r="AC2813" s="5"/>
      <c r="AD2813" s="5">
        <v>0</v>
      </c>
      <c r="AE2813" s="5">
        <f t="shared" si="272"/>
        <v>0</v>
      </c>
      <c r="AF2813" s="70">
        <v>0</v>
      </c>
      <c r="AG2813" s="17"/>
      <c r="AH2813" s="18"/>
      <c r="AI2813" s="47" t="s">
        <v>4346</v>
      </c>
      <c r="AJ2813" s="73" t="s">
        <v>4347</v>
      </c>
      <c r="AK2813" s="45"/>
      <c r="AL2813" s="89" t="s">
        <v>2798</v>
      </c>
      <c r="AM2813" s="121" t="s">
        <v>5157</v>
      </c>
      <c r="AN2813" s="19"/>
      <c r="AO2813" s="19"/>
      <c r="AP2813" s="19"/>
      <c r="AQ2813" s="19"/>
      <c r="AR2813" s="19"/>
      <c r="AS2813" s="19"/>
      <c r="AT2813" s="19"/>
      <c r="AU2813" s="19"/>
      <c r="AV2813" s="19"/>
      <c r="AW2813" s="19"/>
      <c r="AX2813" s="19"/>
      <c r="AY2813" s="19"/>
      <c r="AZ2813" s="19"/>
      <c r="BA2813" s="19"/>
      <c r="BB2813" s="19"/>
      <c r="BC2813" s="19"/>
      <c r="BD2813" s="19"/>
      <c r="BE2813" s="19"/>
      <c r="BF2813" s="19"/>
      <c r="BG2813" s="19"/>
      <c r="BH2813" s="19"/>
      <c r="BI2813" s="19"/>
      <c r="BJ2813" s="19"/>
      <c r="BK2813" s="19"/>
      <c r="BL2813" s="19"/>
      <c r="BM2813" s="19"/>
      <c r="BN2813" s="19"/>
      <c r="BO2813" s="19"/>
      <c r="BP2813" s="19"/>
      <c r="BQ2813" s="19"/>
      <c r="BR2813" s="19"/>
      <c r="BS2813" s="19"/>
      <c r="BT2813" s="19"/>
      <c r="BU2813" s="19"/>
      <c r="BV2813" s="19"/>
      <c r="BW2813" s="19"/>
      <c r="BX2813" s="19"/>
      <c r="BY2813" s="19"/>
      <c r="BZ2813" s="19"/>
      <c r="CA2813" s="19"/>
      <c r="CB2813" s="19"/>
      <c r="CC2813" s="19"/>
      <c r="CD2813" s="139"/>
      <c r="CE2813" s="138"/>
      <c r="CF2813" s="139"/>
      <c r="CG2813" s="138"/>
      <c r="CH2813" s="139"/>
      <c r="CI2813" s="138"/>
      <c r="CJ2813" s="72"/>
      <c r="CK2813" s="139"/>
      <c r="CL2813" s="71"/>
      <c r="CM2813" s="139"/>
      <c r="CN2813" s="138"/>
      <c r="CO2813" s="138"/>
      <c r="CP2813" s="138"/>
      <c r="CQ2813" s="139"/>
      <c r="CR2813" s="138"/>
      <c r="CS2813" s="45"/>
      <c r="CT2813" s="138"/>
      <c r="CU2813" s="45"/>
      <c r="CV2813" s="99">
        <f t="shared" si="273"/>
        <v>0</v>
      </c>
      <c r="CW2813" s="139"/>
      <c r="CX2813" s="138"/>
      <c r="CY2813" s="138"/>
      <c r="CZ2813" s="138"/>
      <c r="DA2813" s="139"/>
      <c r="DB2813" s="138"/>
      <c r="DC2813" s="45"/>
      <c r="DD2813" s="138"/>
      <c r="DE2813" s="45"/>
      <c r="DF2813" s="46"/>
    </row>
    <row r="2814" spans="1:110" s="42" customFormat="1" ht="60" x14ac:dyDescent="0.2">
      <c r="A2814" s="89">
        <v>40876</v>
      </c>
      <c r="B2814" s="151" t="s">
        <v>2218</v>
      </c>
      <c r="C2814" s="90" t="s">
        <v>2259</v>
      </c>
      <c r="D2814" s="90" t="s">
        <v>2362</v>
      </c>
      <c r="E2814" s="90" t="str">
        <f>VLOOKUP(B2814&amp;C2814,Divipola!$C$2:$F$1138,4,FALSE)</f>
        <v>05079</v>
      </c>
      <c r="F2814" s="4"/>
      <c r="G2814" s="101">
        <v>2</v>
      </c>
      <c r="H2814" s="101"/>
      <c r="I2814" s="101"/>
      <c r="J2814" s="101">
        <v>15</v>
      </c>
      <c r="K2814" s="101">
        <v>3</v>
      </c>
      <c r="L2814" s="101">
        <v>3</v>
      </c>
      <c r="M2814" s="101"/>
      <c r="N2814" s="101">
        <v>1</v>
      </c>
      <c r="O2814" s="101"/>
      <c r="P2814" s="101"/>
      <c r="Q2814" s="101"/>
      <c r="R2814" s="101"/>
      <c r="S2814" s="101"/>
      <c r="T2814" s="101"/>
      <c r="U2814" s="101"/>
      <c r="V2814" s="101"/>
      <c r="W2814" s="19"/>
      <c r="X2814" s="17"/>
      <c r="Y2814" s="5">
        <f t="shared" si="268"/>
        <v>0</v>
      </c>
      <c r="Z2814" s="5">
        <f t="shared" si="269"/>
        <v>0</v>
      </c>
      <c r="AA2814" s="5">
        <f t="shared" si="270"/>
        <v>0</v>
      </c>
      <c r="AB2814" s="5">
        <f t="shared" si="271"/>
        <v>0</v>
      </c>
      <c r="AC2814" s="5"/>
      <c r="AD2814" s="5">
        <v>0</v>
      </c>
      <c r="AE2814" s="5">
        <f t="shared" si="272"/>
        <v>0</v>
      </c>
      <c r="AF2814" s="70">
        <v>0</v>
      </c>
      <c r="AG2814" s="17"/>
      <c r="AH2814" s="18"/>
      <c r="AI2814" s="47" t="s">
        <v>4346</v>
      </c>
      <c r="AJ2814" s="73" t="s">
        <v>4347</v>
      </c>
      <c r="AK2814" s="45"/>
      <c r="AL2814" s="89" t="s">
        <v>2798</v>
      </c>
      <c r="AM2814" s="121" t="s">
        <v>5172</v>
      </c>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39"/>
      <c r="CE2814" s="138"/>
      <c r="CF2814" s="139"/>
      <c r="CG2814" s="138"/>
      <c r="CH2814" s="139"/>
      <c r="CI2814" s="138"/>
      <c r="CJ2814" s="72"/>
      <c r="CK2814" s="139"/>
      <c r="CL2814" s="71"/>
      <c r="CM2814" s="139"/>
      <c r="CN2814" s="138"/>
      <c r="CO2814" s="138"/>
      <c r="CP2814" s="138"/>
      <c r="CQ2814" s="139"/>
      <c r="CR2814" s="138"/>
      <c r="CS2814" s="45"/>
      <c r="CT2814" s="138"/>
      <c r="CU2814" s="45"/>
      <c r="CV2814" s="99">
        <f t="shared" si="273"/>
        <v>0</v>
      </c>
      <c r="CW2814" s="139"/>
      <c r="CX2814" s="138"/>
      <c r="CY2814" s="138"/>
      <c r="CZ2814" s="138"/>
      <c r="DA2814" s="139"/>
      <c r="DB2814" s="138"/>
      <c r="DC2814" s="45"/>
      <c r="DD2814" s="138"/>
      <c r="DE2814" s="45"/>
      <c r="DF2814" s="46"/>
    </row>
    <row r="2815" spans="1:110" s="42" customFormat="1" ht="96" x14ac:dyDescent="0.2">
      <c r="A2815" s="89">
        <v>40876</v>
      </c>
      <c r="B2815" s="197" t="s">
        <v>1116</v>
      </c>
      <c r="C2815" s="90" t="s">
        <v>1116</v>
      </c>
      <c r="D2815" s="90" t="s">
        <v>4264</v>
      </c>
      <c r="E2815" s="90" t="str">
        <f>VLOOKUP(B2815&amp;C2815,Divipola!$C$2:$F$1138,4,FALSE)</f>
        <v>11001</v>
      </c>
      <c r="F2815" s="4"/>
      <c r="G2815" s="101"/>
      <c r="H2815" s="101"/>
      <c r="I2815" s="101"/>
      <c r="J2815" s="101">
        <v>150</v>
      </c>
      <c r="K2815" s="101">
        <v>30</v>
      </c>
      <c r="L2815" s="101"/>
      <c r="M2815" s="101">
        <v>30</v>
      </c>
      <c r="N2815" s="101">
        <v>1</v>
      </c>
      <c r="O2815" s="101"/>
      <c r="P2815" s="101"/>
      <c r="Q2815" s="101"/>
      <c r="R2815" s="101"/>
      <c r="S2815" s="101"/>
      <c r="T2815" s="101"/>
      <c r="U2815" s="101"/>
      <c r="V2815" s="101"/>
      <c r="W2815" s="19"/>
      <c r="X2815" s="17"/>
      <c r="Y2815" s="5">
        <f t="shared" si="268"/>
        <v>0</v>
      </c>
      <c r="Z2815" s="5">
        <f t="shared" si="269"/>
        <v>0</v>
      </c>
      <c r="AA2815" s="5">
        <f t="shared" si="270"/>
        <v>0</v>
      </c>
      <c r="AB2815" s="5">
        <f t="shared" si="271"/>
        <v>0</v>
      </c>
      <c r="AC2815" s="5"/>
      <c r="AD2815" s="5">
        <v>0</v>
      </c>
      <c r="AE2815" s="5">
        <f t="shared" si="272"/>
        <v>0</v>
      </c>
      <c r="AF2815" s="70">
        <v>0</v>
      </c>
      <c r="AG2815" s="17"/>
      <c r="AH2815" s="18"/>
      <c r="AI2815" s="47" t="s">
        <v>4336</v>
      </c>
      <c r="AJ2815" s="73" t="s">
        <v>4337</v>
      </c>
      <c r="AK2815" s="45"/>
      <c r="AL2815" s="17"/>
      <c r="AM2815" s="121" t="s">
        <v>5158</v>
      </c>
      <c r="AN2815" s="19"/>
      <c r="AO2815" s="19"/>
      <c r="AP2815" s="19"/>
      <c r="AQ2815" s="19"/>
      <c r="AR2815" s="19"/>
      <c r="AS2815" s="19"/>
      <c r="AT2815" s="19"/>
      <c r="AU2815" s="19"/>
      <c r="AV2815" s="19"/>
      <c r="AW2815" s="19"/>
      <c r="AX2815" s="19"/>
      <c r="AY2815" s="19"/>
      <c r="AZ2815" s="19"/>
      <c r="BA2815" s="19"/>
      <c r="BB2815" s="19"/>
      <c r="BC2815" s="19"/>
      <c r="BD2815" s="19"/>
      <c r="BE2815" s="19"/>
      <c r="BF2815" s="19"/>
      <c r="BG2815" s="19"/>
      <c r="BH2815" s="19"/>
      <c r="BI2815" s="19"/>
      <c r="BJ2815" s="19"/>
      <c r="BK2815" s="19"/>
      <c r="BL2815" s="19"/>
      <c r="BM2815" s="19"/>
      <c r="BN2815" s="19"/>
      <c r="BO2815" s="19"/>
      <c r="BP2815" s="19"/>
      <c r="BQ2815" s="19"/>
      <c r="BR2815" s="19"/>
      <c r="BS2815" s="19"/>
      <c r="BT2815" s="19"/>
      <c r="BU2815" s="19"/>
      <c r="BV2815" s="19"/>
      <c r="BW2815" s="19"/>
      <c r="BX2815" s="19"/>
      <c r="BY2815" s="19"/>
      <c r="BZ2815" s="19"/>
      <c r="CA2815" s="19"/>
      <c r="CB2815" s="19"/>
      <c r="CC2815" s="19"/>
      <c r="CD2815" s="139"/>
      <c r="CE2815" s="138"/>
      <c r="CF2815" s="139"/>
      <c r="CG2815" s="138"/>
      <c r="CH2815" s="139"/>
      <c r="CI2815" s="138"/>
      <c r="CJ2815" s="72"/>
      <c r="CK2815" s="139"/>
      <c r="CL2815" s="71"/>
      <c r="CM2815" s="139"/>
      <c r="CN2815" s="138"/>
      <c r="CO2815" s="138"/>
      <c r="CP2815" s="138"/>
      <c r="CQ2815" s="139"/>
      <c r="CR2815" s="138"/>
      <c r="CS2815" s="45"/>
      <c r="CT2815" s="138"/>
      <c r="CU2815" s="45"/>
      <c r="CV2815" s="99">
        <f t="shared" si="273"/>
        <v>0</v>
      </c>
      <c r="CW2815" s="139"/>
      <c r="CX2815" s="138"/>
      <c r="CY2815" s="138"/>
      <c r="CZ2815" s="138"/>
      <c r="DA2815" s="139"/>
      <c r="DB2815" s="138"/>
      <c r="DC2815" s="45"/>
      <c r="DD2815" s="138"/>
      <c r="DE2815" s="45"/>
      <c r="DF2815" s="46"/>
    </row>
    <row r="2816" spans="1:110" s="42" customFormat="1" ht="48" x14ac:dyDescent="0.2">
      <c r="A2816" s="89">
        <v>40876</v>
      </c>
      <c r="B2816" s="16" t="s">
        <v>4244</v>
      </c>
      <c r="C2816" s="16" t="s">
        <v>3179</v>
      </c>
      <c r="D2816" s="90" t="s">
        <v>4264</v>
      </c>
      <c r="E2816" s="90" t="str">
        <f>VLOOKUP(B2816&amp;C2816,Divipola!$C$2:$F$1138,4,FALSE)</f>
        <v>76616</v>
      </c>
      <c r="F2816" s="4"/>
      <c r="G2816" s="208"/>
      <c r="H2816" s="208"/>
      <c r="I2816" s="208"/>
      <c r="J2816" s="208"/>
      <c r="K2816" s="208"/>
      <c r="L2816" s="208"/>
      <c r="M2816" s="208"/>
      <c r="N2816" s="208"/>
      <c r="O2816" s="208"/>
      <c r="P2816" s="208"/>
      <c r="Q2816" s="208"/>
      <c r="R2816" s="208"/>
      <c r="S2816" s="208"/>
      <c r="T2816" s="208"/>
      <c r="U2816" s="208"/>
      <c r="V2816" s="208"/>
      <c r="W2816" s="19"/>
      <c r="X2816" s="17"/>
      <c r="Y2816" s="5">
        <f t="shared" si="268"/>
        <v>0</v>
      </c>
      <c r="Z2816" s="5">
        <f t="shared" si="269"/>
        <v>0</v>
      </c>
      <c r="AA2816" s="5">
        <f t="shared" si="270"/>
        <v>0</v>
      </c>
      <c r="AB2816" s="5">
        <f t="shared" si="271"/>
        <v>0</v>
      </c>
      <c r="AC2816" s="5"/>
      <c r="AD2816" s="5">
        <v>15000000</v>
      </c>
      <c r="AE2816" s="5">
        <f t="shared" si="272"/>
        <v>15000000</v>
      </c>
      <c r="AF2816" s="70">
        <v>0</v>
      </c>
      <c r="AG2816" s="17"/>
      <c r="AH2816" s="18"/>
      <c r="AI2816" s="47" t="s">
        <v>4346</v>
      </c>
      <c r="AJ2816" s="73" t="s">
        <v>4347</v>
      </c>
      <c r="AK2816" s="45"/>
      <c r="AL2816" s="89" t="s">
        <v>2798</v>
      </c>
      <c r="AM2816" s="20" t="s">
        <v>5159</v>
      </c>
      <c r="AN2816" s="19"/>
      <c r="AO2816" s="19"/>
      <c r="AP2816" s="19"/>
      <c r="AQ2816" s="19"/>
      <c r="AR2816" s="19"/>
      <c r="AS2816" s="19"/>
      <c r="AT2816" s="19"/>
      <c r="AU2816" s="19"/>
      <c r="AV2816" s="19"/>
      <c r="AW2816" s="19"/>
      <c r="AX2816" s="19"/>
      <c r="AY2816" s="19"/>
      <c r="AZ2816" s="19"/>
      <c r="BA2816" s="19"/>
      <c r="BB2816" s="19"/>
      <c r="BC2816" s="19"/>
      <c r="BD2816" s="19"/>
      <c r="BE2816" s="19"/>
      <c r="BF2816" s="19"/>
      <c r="BG2816" s="19"/>
      <c r="BH2816" s="19"/>
      <c r="BI2816" s="19"/>
      <c r="BJ2816" s="19"/>
      <c r="BK2816" s="19"/>
      <c r="BL2816" s="19"/>
      <c r="BM2816" s="19"/>
      <c r="BN2816" s="19"/>
      <c r="BO2816" s="19"/>
      <c r="BP2816" s="19"/>
      <c r="BQ2816" s="19"/>
      <c r="BR2816" s="19"/>
      <c r="BS2816" s="19"/>
      <c r="BT2816" s="19"/>
      <c r="BU2816" s="19"/>
      <c r="BV2816" s="19"/>
      <c r="BW2816" s="19"/>
      <c r="BX2816" s="19"/>
      <c r="BY2816" s="19"/>
      <c r="BZ2816" s="19"/>
      <c r="CA2816" s="19"/>
      <c r="CB2816" s="19"/>
      <c r="CC2816" s="19"/>
      <c r="CD2816" s="139"/>
      <c r="CE2816" s="138"/>
      <c r="CF2816" s="139"/>
      <c r="CG2816" s="138"/>
      <c r="CH2816" s="139"/>
      <c r="CI2816" s="138"/>
      <c r="CJ2816" s="72"/>
      <c r="CK2816" s="139"/>
      <c r="CL2816" s="71"/>
      <c r="CM2816" s="139"/>
      <c r="CN2816" s="138"/>
      <c r="CO2816" s="138"/>
      <c r="CP2816" s="138"/>
      <c r="CQ2816" s="139"/>
      <c r="CR2816" s="138"/>
      <c r="CS2816" s="45"/>
      <c r="CT2816" s="138"/>
      <c r="CU2816" s="45"/>
      <c r="CV2816" s="99">
        <f t="shared" si="273"/>
        <v>0</v>
      </c>
      <c r="CW2816" s="139"/>
      <c r="CX2816" s="138"/>
      <c r="CY2816" s="138"/>
      <c r="CZ2816" s="138"/>
      <c r="DA2816" s="139"/>
      <c r="DB2816" s="138"/>
      <c r="DC2816" s="45"/>
      <c r="DD2816" s="138"/>
      <c r="DE2816" s="45"/>
      <c r="DF2816" s="46"/>
    </row>
    <row r="2817" spans="1:110" s="42" customFormat="1" ht="36" x14ac:dyDescent="0.2">
      <c r="A2817" s="89">
        <v>40876</v>
      </c>
      <c r="B2817" s="151" t="s">
        <v>2226</v>
      </c>
      <c r="C2817" s="90" t="s">
        <v>2261</v>
      </c>
      <c r="D2817" s="90" t="s">
        <v>2362</v>
      </c>
      <c r="E2817" s="90" t="str">
        <f>VLOOKUP(B2817&amp;C2817,Divipola!$C$2:$F$1138,4,FALSE)</f>
        <v>68615</v>
      </c>
      <c r="F2817" s="4"/>
      <c r="G2817" s="101">
        <v>3</v>
      </c>
      <c r="H2817" s="101">
        <v>2</v>
      </c>
      <c r="I2817" s="101"/>
      <c r="J2817" s="101">
        <v>5</v>
      </c>
      <c r="K2817" s="101">
        <v>1</v>
      </c>
      <c r="L2817" s="101">
        <v>1</v>
      </c>
      <c r="M2817" s="101"/>
      <c r="N2817" s="101"/>
      <c r="O2817" s="101"/>
      <c r="P2817" s="101"/>
      <c r="Q2817" s="101"/>
      <c r="R2817" s="101"/>
      <c r="S2817" s="101"/>
      <c r="T2817" s="101"/>
      <c r="U2817" s="101"/>
      <c r="V2817" s="101"/>
      <c r="W2817" s="19"/>
      <c r="X2817" s="17"/>
      <c r="Y2817" s="5">
        <f t="shared" si="268"/>
        <v>0</v>
      </c>
      <c r="Z2817" s="5">
        <f t="shared" si="269"/>
        <v>0</v>
      </c>
      <c r="AA2817" s="5">
        <f t="shared" si="270"/>
        <v>0</v>
      </c>
      <c r="AB2817" s="5">
        <f t="shared" si="271"/>
        <v>0</v>
      </c>
      <c r="AC2817" s="5"/>
      <c r="AD2817" s="5">
        <v>0</v>
      </c>
      <c r="AE2817" s="5">
        <f t="shared" si="272"/>
        <v>0</v>
      </c>
      <c r="AF2817" s="70">
        <v>0</v>
      </c>
      <c r="AG2817" s="17"/>
      <c r="AH2817" s="18"/>
      <c r="AI2817" s="47" t="s">
        <v>4346</v>
      </c>
      <c r="AJ2817" s="73" t="s">
        <v>4347</v>
      </c>
      <c r="AK2817" s="45"/>
      <c r="AL2817" s="17" t="s">
        <v>5534</v>
      </c>
      <c r="AM2817" s="121" t="s">
        <v>5160</v>
      </c>
      <c r="AN2817" s="19"/>
      <c r="AO2817" s="19"/>
      <c r="AP2817" s="19"/>
      <c r="AQ2817" s="19"/>
      <c r="AR2817" s="19"/>
      <c r="AS2817" s="19"/>
      <c r="AT2817" s="19"/>
      <c r="AU2817" s="19"/>
      <c r="AV2817" s="19"/>
      <c r="AW2817" s="19"/>
      <c r="AX2817" s="19"/>
      <c r="AY2817" s="19"/>
      <c r="AZ2817" s="19"/>
      <c r="BA2817" s="19"/>
      <c r="BB2817" s="19"/>
      <c r="BC2817" s="19"/>
      <c r="BD2817" s="19"/>
      <c r="BE2817" s="19"/>
      <c r="BF2817" s="19"/>
      <c r="BG2817" s="19"/>
      <c r="BH2817" s="19"/>
      <c r="BI2817" s="19"/>
      <c r="BJ2817" s="19"/>
      <c r="BK2817" s="19"/>
      <c r="BL2817" s="19"/>
      <c r="BM2817" s="19"/>
      <c r="BN2817" s="19"/>
      <c r="BO2817" s="19"/>
      <c r="BP2817" s="19"/>
      <c r="BQ2817" s="19"/>
      <c r="BR2817" s="19"/>
      <c r="BS2817" s="19"/>
      <c r="BT2817" s="19"/>
      <c r="BU2817" s="19"/>
      <c r="BV2817" s="19"/>
      <c r="BW2817" s="19"/>
      <c r="BX2817" s="19"/>
      <c r="BY2817" s="19"/>
      <c r="BZ2817" s="19"/>
      <c r="CA2817" s="19"/>
      <c r="CB2817" s="19"/>
      <c r="CC2817" s="19"/>
      <c r="CD2817" s="139"/>
      <c r="CE2817" s="138"/>
      <c r="CF2817" s="139"/>
      <c r="CG2817" s="138"/>
      <c r="CH2817" s="139"/>
      <c r="CI2817" s="138"/>
      <c r="CJ2817" s="72"/>
      <c r="CK2817" s="139"/>
      <c r="CL2817" s="71"/>
      <c r="CM2817" s="139"/>
      <c r="CN2817" s="138"/>
      <c r="CO2817" s="138"/>
      <c r="CP2817" s="138"/>
      <c r="CQ2817" s="139"/>
      <c r="CR2817" s="138"/>
      <c r="CS2817" s="45"/>
      <c r="CT2817" s="138"/>
      <c r="CU2817" s="45"/>
      <c r="CV2817" s="99">
        <f t="shared" si="273"/>
        <v>0</v>
      </c>
      <c r="CW2817" s="139"/>
      <c r="CX2817" s="138"/>
      <c r="CY2817" s="138"/>
      <c r="CZ2817" s="138"/>
      <c r="DA2817" s="139"/>
      <c r="DB2817" s="138"/>
      <c r="DC2817" s="45"/>
      <c r="DD2817" s="138"/>
      <c r="DE2817" s="45"/>
      <c r="DF2817" s="46"/>
    </row>
    <row r="2818" spans="1:110" s="42" customFormat="1" ht="84" x14ac:dyDescent="0.2">
      <c r="A2818" s="89">
        <v>40876</v>
      </c>
      <c r="B2818" s="151" t="s">
        <v>4352</v>
      </c>
      <c r="C2818" s="90" t="s">
        <v>4358</v>
      </c>
      <c r="D2818" s="90" t="s">
        <v>4264</v>
      </c>
      <c r="E2818" s="90" t="str">
        <f>VLOOKUP(B2818&amp;C2818,Divipola!$C$2:$F$1138,4,FALSE)</f>
        <v>13001</v>
      </c>
      <c r="F2818" s="4"/>
      <c r="G2818" s="101"/>
      <c r="H2818" s="101"/>
      <c r="I2818" s="101"/>
      <c r="J2818" s="101"/>
      <c r="K2818" s="101"/>
      <c r="L2818" s="101"/>
      <c r="M2818" s="101"/>
      <c r="N2818" s="101"/>
      <c r="O2818" s="101"/>
      <c r="P2818" s="101">
        <v>1</v>
      </c>
      <c r="Q2818" s="101"/>
      <c r="R2818" s="101"/>
      <c r="S2818" s="101"/>
      <c r="T2818" s="101"/>
      <c r="U2818" s="101"/>
      <c r="V2818" s="101"/>
      <c r="W2818" s="19"/>
      <c r="X2818" s="17"/>
      <c r="Y2818" s="5">
        <f t="shared" ref="Y2818:Y2881" si="274">CV2818</f>
        <v>0</v>
      </c>
      <c r="Z2818" s="5">
        <f t="shared" ref="Z2818:Z2881" si="275">CZ2818</f>
        <v>0</v>
      </c>
      <c r="AA2818" s="5">
        <f t="shared" ref="AA2818:AA2881" si="276">DB2818+DD2818</f>
        <v>0</v>
      </c>
      <c r="AB2818" s="5">
        <f t="shared" ref="AB2818:AB2881" si="277">CX2818</f>
        <v>0</v>
      </c>
      <c r="AC2818" s="5"/>
      <c r="AD2818" s="5">
        <v>0</v>
      </c>
      <c r="AE2818" s="5">
        <f t="shared" ref="AE2818:AE2881" si="278">Y2818+Z2818+AA2818+AB2818+AC2818+AD2818</f>
        <v>0</v>
      </c>
      <c r="AF2818" s="70">
        <v>0</v>
      </c>
      <c r="AG2818" s="17"/>
      <c r="AH2818" s="18"/>
      <c r="AI2818" s="47" t="s">
        <v>4336</v>
      </c>
      <c r="AJ2818" s="73" t="s">
        <v>4337</v>
      </c>
      <c r="AK2818" s="45"/>
      <c r="AL2818" s="17"/>
      <c r="AM2818" s="121" t="s">
        <v>5163</v>
      </c>
      <c r="AN2818" s="19"/>
      <c r="AO2818" s="19"/>
      <c r="AP2818" s="19"/>
      <c r="AQ2818" s="19"/>
      <c r="AR2818" s="19"/>
      <c r="AS2818" s="19"/>
      <c r="AT2818" s="19"/>
      <c r="AU2818" s="19"/>
      <c r="AV2818" s="19"/>
      <c r="AW2818" s="19"/>
      <c r="AX2818" s="19"/>
      <c r="AY2818" s="19"/>
      <c r="AZ2818" s="19"/>
      <c r="BA2818" s="19"/>
      <c r="BB2818" s="19"/>
      <c r="BC2818" s="19"/>
      <c r="BD2818" s="19"/>
      <c r="BE2818" s="19"/>
      <c r="BF2818" s="19"/>
      <c r="BG2818" s="19"/>
      <c r="BH2818" s="19"/>
      <c r="BI2818" s="19"/>
      <c r="BJ2818" s="19"/>
      <c r="BK2818" s="19"/>
      <c r="BL2818" s="19"/>
      <c r="BM2818" s="19"/>
      <c r="BN2818" s="19"/>
      <c r="BO2818" s="19"/>
      <c r="BP2818" s="19"/>
      <c r="BQ2818" s="19"/>
      <c r="BR2818" s="19"/>
      <c r="BS2818" s="19"/>
      <c r="BT2818" s="19"/>
      <c r="BU2818" s="19"/>
      <c r="BV2818" s="19"/>
      <c r="BW2818" s="19"/>
      <c r="BX2818" s="19"/>
      <c r="BY2818" s="19"/>
      <c r="BZ2818" s="19"/>
      <c r="CA2818" s="19"/>
      <c r="CB2818" s="19"/>
      <c r="CC2818" s="19"/>
      <c r="CD2818" s="139"/>
      <c r="CE2818" s="138"/>
      <c r="CF2818" s="139"/>
      <c r="CG2818" s="138"/>
      <c r="CH2818" s="139"/>
      <c r="CI2818" s="138"/>
      <c r="CJ2818" s="72"/>
      <c r="CK2818" s="139"/>
      <c r="CL2818" s="71"/>
      <c r="CM2818" s="139"/>
      <c r="CN2818" s="138"/>
      <c r="CO2818" s="138"/>
      <c r="CP2818" s="138"/>
      <c r="CQ2818" s="139"/>
      <c r="CR2818" s="138"/>
      <c r="CS2818" s="45"/>
      <c r="CT2818" s="138"/>
      <c r="CU2818" s="45"/>
      <c r="CV2818" s="99">
        <f t="shared" si="273"/>
        <v>0</v>
      </c>
      <c r="CW2818" s="139"/>
      <c r="CX2818" s="138"/>
      <c r="CY2818" s="138"/>
      <c r="CZ2818" s="138"/>
      <c r="DA2818" s="139"/>
      <c r="DB2818" s="138"/>
      <c r="DC2818" s="45"/>
      <c r="DD2818" s="138"/>
      <c r="DE2818" s="45"/>
      <c r="DF2818" s="46"/>
    </row>
    <row r="2819" spans="1:110" s="42" customFormat="1" ht="36" x14ac:dyDescent="0.2">
      <c r="A2819" s="89">
        <v>40876</v>
      </c>
      <c r="B2819" s="151" t="s">
        <v>3316</v>
      </c>
      <c r="C2819" s="90" t="s">
        <v>3299</v>
      </c>
      <c r="D2819" s="90" t="s">
        <v>2362</v>
      </c>
      <c r="E2819" s="90" t="str">
        <f>VLOOKUP(B2819&amp;C2819,Divipola!$C$2:$F$1138,4,FALSE)</f>
        <v>73449</v>
      </c>
      <c r="F2819" s="4"/>
      <c r="G2819" s="101"/>
      <c r="H2819" s="101"/>
      <c r="I2819" s="101"/>
      <c r="J2819" s="101"/>
      <c r="K2819" s="101"/>
      <c r="L2819" s="101"/>
      <c r="M2819" s="101"/>
      <c r="N2819" s="101">
        <v>1</v>
      </c>
      <c r="O2819" s="101"/>
      <c r="P2819" s="101"/>
      <c r="Q2819" s="101"/>
      <c r="R2819" s="101"/>
      <c r="S2819" s="101"/>
      <c r="T2819" s="101"/>
      <c r="U2819" s="101"/>
      <c r="V2819" s="101"/>
      <c r="W2819" s="19"/>
      <c r="X2819" s="17"/>
      <c r="Y2819" s="5">
        <f t="shared" si="274"/>
        <v>0</v>
      </c>
      <c r="Z2819" s="5">
        <f t="shared" si="275"/>
        <v>0</v>
      </c>
      <c r="AA2819" s="5">
        <f t="shared" si="276"/>
        <v>0</v>
      </c>
      <c r="AB2819" s="5">
        <f t="shared" si="277"/>
        <v>0</v>
      </c>
      <c r="AC2819" s="5"/>
      <c r="AD2819" s="5">
        <v>0</v>
      </c>
      <c r="AE2819" s="5">
        <f t="shared" si="278"/>
        <v>0</v>
      </c>
      <c r="AF2819" s="70">
        <v>0</v>
      </c>
      <c r="AG2819" s="17"/>
      <c r="AH2819" s="18"/>
      <c r="AI2819" s="47" t="s">
        <v>4346</v>
      </c>
      <c r="AJ2819" s="73" t="s">
        <v>4347</v>
      </c>
      <c r="AK2819" s="45"/>
      <c r="AL2819" s="17" t="s">
        <v>5534</v>
      </c>
      <c r="AM2819" s="121" t="s">
        <v>5164</v>
      </c>
      <c r="AN2819" s="19"/>
      <c r="AO2819" s="19"/>
      <c r="AP2819" s="19"/>
      <c r="AQ2819" s="19"/>
      <c r="AR2819" s="19"/>
      <c r="AS2819" s="19"/>
      <c r="AT2819" s="19"/>
      <c r="AU2819" s="19"/>
      <c r="AV2819" s="19"/>
      <c r="AW2819" s="19"/>
      <c r="AX2819" s="19"/>
      <c r="AY2819" s="19"/>
      <c r="AZ2819" s="19"/>
      <c r="BA2819" s="19"/>
      <c r="BB2819" s="19"/>
      <c r="BC2819" s="19"/>
      <c r="BD2819" s="19"/>
      <c r="BE2819" s="19"/>
      <c r="BF2819" s="19"/>
      <c r="BG2819" s="19"/>
      <c r="BH2819" s="19"/>
      <c r="BI2819" s="19"/>
      <c r="BJ2819" s="19"/>
      <c r="BK2819" s="19"/>
      <c r="BL2819" s="19"/>
      <c r="BM2819" s="19"/>
      <c r="BN2819" s="19"/>
      <c r="BO2819" s="19"/>
      <c r="BP2819" s="19"/>
      <c r="BQ2819" s="19"/>
      <c r="BR2819" s="19"/>
      <c r="BS2819" s="19"/>
      <c r="BT2819" s="19"/>
      <c r="BU2819" s="19"/>
      <c r="BV2819" s="19"/>
      <c r="BW2819" s="19"/>
      <c r="BX2819" s="19"/>
      <c r="BY2819" s="19"/>
      <c r="BZ2819" s="19"/>
      <c r="CA2819" s="19"/>
      <c r="CB2819" s="19"/>
      <c r="CC2819" s="19"/>
      <c r="CD2819" s="139"/>
      <c r="CE2819" s="138"/>
      <c r="CF2819" s="139"/>
      <c r="CG2819" s="138"/>
      <c r="CH2819" s="139"/>
      <c r="CI2819" s="138"/>
      <c r="CJ2819" s="72"/>
      <c r="CK2819" s="139"/>
      <c r="CL2819" s="71"/>
      <c r="CM2819" s="139"/>
      <c r="CN2819" s="138"/>
      <c r="CO2819" s="138"/>
      <c r="CP2819" s="138"/>
      <c r="CQ2819" s="139"/>
      <c r="CR2819" s="138"/>
      <c r="CS2819" s="45"/>
      <c r="CT2819" s="138"/>
      <c r="CU2819" s="45"/>
      <c r="CV2819" s="99">
        <f t="shared" ref="CV2819:CV2882" si="279">AO2819+AQ2819+AS2819+AU2819+AW2819+AY2819+BA2819+BC2819+BE2819+BG2819+BI2819+BK2819+BM2819+BO2819+BQ2819+BS2819+BU2819+BW2819+BY2819+CA2819+CC2819+CE2819+CG2819+CI2819+CK2819+CM2819+CO2819+CQ2819+CS2819+CU2819</f>
        <v>0</v>
      </c>
      <c r="CW2819" s="139"/>
      <c r="CX2819" s="138"/>
      <c r="CY2819" s="138"/>
      <c r="CZ2819" s="138"/>
      <c r="DA2819" s="139"/>
      <c r="DB2819" s="138"/>
      <c r="DC2819" s="45"/>
      <c r="DD2819" s="138"/>
      <c r="DE2819" s="45"/>
      <c r="DF2819" s="46"/>
    </row>
    <row r="2820" spans="1:110" s="42" customFormat="1" ht="48" x14ac:dyDescent="0.2">
      <c r="A2820" s="89">
        <v>40876</v>
      </c>
      <c r="B2820" s="151" t="s">
        <v>4282</v>
      </c>
      <c r="C2820" s="90" t="s">
        <v>1634</v>
      </c>
      <c r="D2820" s="90" t="s">
        <v>4264</v>
      </c>
      <c r="E2820" s="90" t="str">
        <f>VLOOKUP(B2820&amp;C2820,Divipola!$C$2:$F$1138,4,FALSE)</f>
        <v>23675</v>
      </c>
      <c r="F2820" s="4"/>
      <c r="G2820" s="101"/>
      <c r="H2820" s="101"/>
      <c r="I2820" s="101"/>
      <c r="J2820" s="101">
        <v>300</v>
      </c>
      <c r="K2820" s="101">
        <v>60</v>
      </c>
      <c r="L2820" s="101"/>
      <c r="M2820" s="101">
        <v>60</v>
      </c>
      <c r="N2820" s="101"/>
      <c r="O2820" s="101"/>
      <c r="P2820" s="101"/>
      <c r="Q2820" s="101"/>
      <c r="R2820" s="101"/>
      <c r="S2820" s="101"/>
      <c r="T2820" s="101"/>
      <c r="U2820" s="101"/>
      <c r="V2820" s="101"/>
      <c r="W2820" s="19"/>
      <c r="X2820" s="17"/>
      <c r="Y2820" s="5">
        <f t="shared" si="274"/>
        <v>0</v>
      </c>
      <c r="Z2820" s="5">
        <f t="shared" si="275"/>
        <v>0</v>
      </c>
      <c r="AA2820" s="5">
        <f t="shared" si="276"/>
        <v>0</v>
      </c>
      <c r="AB2820" s="5">
        <f t="shared" si="277"/>
        <v>0</v>
      </c>
      <c r="AC2820" s="5"/>
      <c r="AD2820" s="5">
        <v>0</v>
      </c>
      <c r="AE2820" s="5">
        <f t="shared" si="278"/>
        <v>0</v>
      </c>
      <c r="AF2820" s="70">
        <v>0</v>
      </c>
      <c r="AG2820" s="17"/>
      <c r="AH2820" s="18"/>
      <c r="AI2820" s="47" t="s">
        <v>4346</v>
      </c>
      <c r="AJ2820" s="73" t="s">
        <v>4347</v>
      </c>
      <c r="AK2820" s="45"/>
      <c r="AL2820" s="17" t="s">
        <v>5533</v>
      </c>
      <c r="AM2820" s="121" t="s">
        <v>5168</v>
      </c>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19"/>
      <c r="BW2820" s="19"/>
      <c r="BX2820" s="19"/>
      <c r="BY2820" s="19"/>
      <c r="BZ2820" s="19"/>
      <c r="CA2820" s="19"/>
      <c r="CB2820" s="19"/>
      <c r="CC2820" s="19"/>
      <c r="CD2820" s="139"/>
      <c r="CE2820" s="138"/>
      <c r="CF2820" s="139"/>
      <c r="CG2820" s="138"/>
      <c r="CH2820" s="139"/>
      <c r="CI2820" s="138"/>
      <c r="CJ2820" s="72"/>
      <c r="CK2820" s="139"/>
      <c r="CL2820" s="71"/>
      <c r="CM2820" s="139"/>
      <c r="CN2820" s="138"/>
      <c r="CO2820" s="138"/>
      <c r="CP2820" s="138"/>
      <c r="CQ2820" s="139"/>
      <c r="CR2820" s="138"/>
      <c r="CS2820" s="45"/>
      <c r="CT2820" s="138"/>
      <c r="CU2820" s="45"/>
      <c r="CV2820" s="99">
        <f t="shared" si="279"/>
        <v>0</v>
      </c>
      <c r="CW2820" s="139"/>
      <c r="CX2820" s="138"/>
      <c r="CY2820" s="138"/>
      <c r="CZ2820" s="138"/>
      <c r="DA2820" s="139"/>
      <c r="DB2820" s="138"/>
      <c r="DC2820" s="45"/>
      <c r="DD2820" s="138"/>
      <c r="DE2820" s="45"/>
      <c r="DF2820" s="46"/>
    </row>
    <row r="2821" spans="1:110" s="42" customFormat="1" ht="36" x14ac:dyDescent="0.2">
      <c r="A2821" s="89">
        <v>40876</v>
      </c>
      <c r="B2821" s="151" t="s">
        <v>4387</v>
      </c>
      <c r="C2821" s="90" t="s">
        <v>485</v>
      </c>
      <c r="D2821" s="90" t="s">
        <v>4264</v>
      </c>
      <c r="E2821" s="90" t="str">
        <f>VLOOKUP(B2821&amp;C2821,Divipola!$C$2:$F$1138,4,FALSE)</f>
        <v>52356</v>
      </c>
      <c r="F2821" s="4"/>
      <c r="G2821" s="101"/>
      <c r="H2821" s="101"/>
      <c r="I2821" s="101"/>
      <c r="J2821" s="101">
        <v>18</v>
      </c>
      <c r="K2821" s="101">
        <v>4</v>
      </c>
      <c r="L2821" s="101"/>
      <c r="M2821" s="101">
        <v>4</v>
      </c>
      <c r="N2821" s="101"/>
      <c r="O2821" s="101"/>
      <c r="P2821" s="101"/>
      <c r="Q2821" s="101"/>
      <c r="R2821" s="101"/>
      <c r="S2821" s="101"/>
      <c r="T2821" s="101"/>
      <c r="U2821" s="101"/>
      <c r="V2821" s="101"/>
      <c r="W2821" s="19"/>
      <c r="X2821" s="17"/>
      <c r="Y2821" s="5">
        <f t="shared" si="274"/>
        <v>0</v>
      </c>
      <c r="Z2821" s="5">
        <f t="shared" si="275"/>
        <v>0</v>
      </c>
      <c r="AA2821" s="5">
        <f t="shared" si="276"/>
        <v>0</v>
      </c>
      <c r="AB2821" s="5">
        <f t="shared" si="277"/>
        <v>0</v>
      </c>
      <c r="AC2821" s="5"/>
      <c r="AD2821" s="5">
        <v>0</v>
      </c>
      <c r="AE2821" s="5">
        <f t="shared" si="278"/>
        <v>0</v>
      </c>
      <c r="AF2821" s="70">
        <v>0</v>
      </c>
      <c r="AG2821" s="17"/>
      <c r="AH2821" s="18"/>
      <c r="AI2821" s="47" t="s">
        <v>4336</v>
      </c>
      <c r="AJ2821" s="73" t="s">
        <v>4337</v>
      </c>
      <c r="AK2821" s="45"/>
      <c r="AL2821" s="17"/>
      <c r="AM2821" s="121" t="s">
        <v>5169</v>
      </c>
      <c r="AN2821" s="19"/>
      <c r="AO2821" s="19"/>
      <c r="AP2821" s="19"/>
      <c r="AQ2821" s="19"/>
      <c r="AR2821" s="19"/>
      <c r="AS2821" s="19"/>
      <c r="AT2821" s="19"/>
      <c r="AU2821" s="19"/>
      <c r="AV2821" s="19"/>
      <c r="AW2821" s="19"/>
      <c r="AX2821" s="19"/>
      <c r="AY2821" s="19"/>
      <c r="AZ2821" s="19"/>
      <c r="BA2821" s="19"/>
      <c r="BB2821" s="19"/>
      <c r="BC2821" s="19"/>
      <c r="BD2821" s="19"/>
      <c r="BE2821" s="19"/>
      <c r="BF2821" s="19"/>
      <c r="BG2821" s="19"/>
      <c r="BH2821" s="19"/>
      <c r="BI2821" s="19"/>
      <c r="BJ2821" s="19"/>
      <c r="BK2821" s="19"/>
      <c r="BL2821" s="19"/>
      <c r="BM2821" s="19"/>
      <c r="BN2821" s="19"/>
      <c r="BO2821" s="19"/>
      <c r="BP2821" s="19"/>
      <c r="BQ2821" s="19"/>
      <c r="BR2821" s="19"/>
      <c r="BS2821" s="19"/>
      <c r="BT2821" s="19"/>
      <c r="BU2821" s="19"/>
      <c r="BV2821" s="19"/>
      <c r="BW2821" s="19"/>
      <c r="BX2821" s="19"/>
      <c r="BY2821" s="19"/>
      <c r="BZ2821" s="19"/>
      <c r="CA2821" s="19"/>
      <c r="CB2821" s="19"/>
      <c r="CC2821" s="19"/>
      <c r="CD2821" s="139"/>
      <c r="CE2821" s="138"/>
      <c r="CF2821" s="139"/>
      <c r="CG2821" s="138"/>
      <c r="CH2821" s="139"/>
      <c r="CI2821" s="138"/>
      <c r="CJ2821" s="72"/>
      <c r="CK2821" s="139"/>
      <c r="CL2821" s="71"/>
      <c r="CM2821" s="139"/>
      <c r="CN2821" s="138"/>
      <c r="CO2821" s="138"/>
      <c r="CP2821" s="138"/>
      <c r="CQ2821" s="139"/>
      <c r="CR2821" s="138"/>
      <c r="CS2821" s="45"/>
      <c r="CT2821" s="138"/>
      <c r="CU2821" s="45"/>
      <c r="CV2821" s="99">
        <f t="shared" si="279"/>
        <v>0</v>
      </c>
      <c r="CW2821" s="139"/>
      <c r="CX2821" s="138"/>
      <c r="CY2821" s="138"/>
      <c r="CZ2821" s="138"/>
      <c r="DA2821" s="139"/>
      <c r="DB2821" s="138"/>
      <c r="DC2821" s="45"/>
      <c r="DD2821" s="138"/>
      <c r="DE2821" s="45"/>
      <c r="DF2821" s="46"/>
    </row>
    <row r="2822" spans="1:110" s="42" customFormat="1" ht="60" x14ac:dyDescent="0.2">
      <c r="A2822" s="89">
        <v>40876</v>
      </c>
      <c r="B2822" s="151" t="s">
        <v>4219</v>
      </c>
      <c r="C2822" s="90" t="s">
        <v>3498</v>
      </c>
      <c r="D2822" s="90" t="s">
        <v>2362</v>
      </c>
      <c r="E2822" s="90" t="str">
        <f>VLOOKUP(B2822&amp;C2822,Divipola!$C$2:$F$1138,4,FALSE)</f>
        <v>41799</v>
      </c>
      <c r="F2822" s="4"/>
      <c r="G2822" s="101"/>
      <c r="H2822" s="101"/>
      <c r="I2822" s="101"/>
      <c r="J2822" s="101"/>
      <c r="K2822" s="101"/>
      <c r="L2822" s="101"/>
      <c r="M2822" s="101"/>
      <c r="N2822" s="101">
        <v>3</v>
      </c>
      <c r="O2822" s="101"/>
      <c r="P2822" s="101"/>
      <c r="Q2822" s="101"/>
      <c r="R2822" s="101"/>
      <c r="S2822" s="101"/>
      <c r="T2822" s="101"/>
      <c r="U2822" s="101"/>
      <c r="V2822" s="101"/>
      <c r="W2822" s="19"/>
      <c r="X2822" s="17"/>
      <c r="Y2822" s="5">
        <f t="shared" si="274"/>
        <v>0</v>
      </c>
      <c r="Z2822" s="5">
        <f t="shared" si="275"/>
        <v>0</v>
      </c>
      <c r="AA2822" s="5">
        <f t="shared" si="276"/>
        <v>0</v>
      </c>
      <c r="AB2822" s="5">
        <f t="shared" si="277"/>
        <v>0</v>
      </c>
      <c r="AC2822" s="5"/>
      <c r="AD2822" s="5">
        <v>0</v>
      </c>
      <c r="AE2822" s="5">
        <f t="shared" si="278"/>
        <v>0</v>
      </c>
      <c r="AF2822" s="70">
        <v>0</v>
      </c>
      <c r="AG2822" s="17"/>
      <c r="AH2822" s="18"/>
      <c r="AI2822" s="47" t="s">
        <v>4346</v>
      </c>
      <c r="AJ2822" s="73" t="s">
        <v>4347</v>
      </c>
      <c r="AK2822" s="45"/>
      <c r="AL2822" s="89" t="s">
        <v>2798</v>
      </c>
      <c r="AM2822" s="121" t="s">
        <v>5173</v>
      </c>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39"/>
      <c r="CE2822" s="138"/>
      <c r="CF2822" s="139"/>
      <c r="CG2822" s="138"/>
      <c r="CH2822" s="139"/>
      <c r="CI2822" s="138"/>
      <c r="CJ2822" s="72"/>
      <c r="CK2822" s="139"/>
      <c r="CL2822" s="71"/>
      <c r="CM2822" s="139"/>
      <c r="CN2822" s="138"/>
      <c r="CO2822" s="138"/>
      <c r="CP2822" s="138"/>
      <c r="CQ2822" s="139"/>
      <c r="CR2822" s="138"/>
      <c r="CS2822" s="45"/>
      <c r="CT2822" s="138"/>
      <c r="CU2822" s="45"/>
      <c r="CV2822" s="99">
        <f t="shared" si="279"/>
        <v>0</v>
      </c>
      <c r="CW2822" s="139"/>
      <c r="CX2822" s="138"/>
      <c r="CY2822" s="138"/>
      <c r="CZ2822" s="138"/>
      <c r="DA2822" s="139"/>
      <c r="DB2822" s="138"/>
      <c r="DC2822" s="45"/>
      <c r="DD2822" s="138"/>
      <c r="DE2822" s="45"/>
      <c r="DF2822" s="46"/>
    </row>
    <row r="2823" spans="1:110" s="42" customFormat="1" ht="36" x14ac:dyDescent="0.2">
      <c r="A2823" s="89">
        <v>40876</v>
      </c>
      <c r="B2823" s="151" t="s">
        <v>4219</v>
      </c>
      <c r="C2823" s="90" t="s">
        <v>3503</v>
      </c>
      <c r="D2823" s="90" t="s">
        <v>2362</v>
      </c>
      <c r="E2823" s="90" t="str">
        <f>VLOOKUP(B2823&amp;C2823,Divipola!$C$2:$F$1138,4,FALSE)</f>
        <v>41001</v>
      </c>
      <c r="F2823" s="4"/>
      <c r="G2823" s="101"/>
      <c r="H2823" s="101"/>
      <c r="I2823" s="101"/>
      <c r="J2823" s="101" t="s">
        <v>4265</v>
      </c>
      <c r="K2823" s="101">
        <v>4</v>
      </c>
      <c r="L2823" s="101">
        <v>1</v>
      </c>
      <c r="M2823" s="101">
        <v>3</v>
      </c>
      <c r="N2823" s="101"/>
      <c r="O2823" s="101"/>
      <c r="P2823" s="101"/>
      <c r="Q2823" s="101"/>
      <c r="R2823" s="101"/>
      <c r="S2823" s="101"/>
      <c r="T2823" s="101"/>
      <c r="U2823" s="101"/>
      <c r="V2823" s="101"/>
      <c r="W2823" s="19"/>
      <c r="X2823" s="17"/>
      <c r="Y2823" s="5">
        <f t="shared" si="274"/>
        <v>0</v>
      </c>
      <c r="Z2823" s="5">
        <f t="shared" si="275"/>
        <v>0</v>
      </c>
      <c r="AA2823" s="5">
        <f t="shared" si="276"/>
        <v>0</v>
      </c>
      <c r="AB2823" s="5">
        <f t="shared" si="277"/>
        <v>0</v>
      </c>
      <c r="AC2823" s="5"/>
      <c r="AD2823" s="5">
        <v>0</v>
      </c>
      <c r="AE2823" s="5">
        <f t="shared" si="278"/>
        <v>0</v>
      </c>
      <c r="AF2823" s="70">
        <v>0</v>
      </c>
      <c r="AG2823" s="17"/>
      <c r="AH2823" s="18"/>
      <c r="AI2823" s="47" t="s">
        <v>4346</v>
      </c>
      <c r="AJ2823" s="73" t="s">
        <v>4347</v>
      </c>
      <c r="AK2823" s="45"/>
      <c r="AL2823" s="89" t="s">
        <v>2798</v>
      </c>
      <c r="AM2823" s="121" t="s">
        <v>5174</v>
      </c>
      <c r="AN2823" s="19"/>
      <c r="AO2823" s="19"/>
      <c r="AP2823" s="19"/>
      <c r="AQ2823" s="19"/>
      <c r="AR2823" s="19"/>
      <c r="AS2823" s="19"/>
      <c r="AT2823" s="19"/>
      <c r="AU2823" s="19"/>
      <c r="AV2823" s="19"/>
      <c r="AW2823" s="19"/>
      <c r="AX2823" s="19"/>
      <c r="AY2823" s="19"/>
      <c r="AZ2823" s="19"/>
      <c r="BA2823" s="19"/>
      <c r="BB2823" s="19"/>
      <c r="BC2823" s="19"/>
      <c r="BD2823" s="19"/>
      <c r="BE2823" s="19"/>
      <c r="BF2823" s="19"/>
      <c r="BG2823" s="19"/>
      <c r="BH2823" s="19"/>
      <c r="BI2823" s="19"/>
      <c r="BJ2823" s="19"/>
      <c r="BK2823" s="19"/>
      <c r="BL2823" s="19"/>
      <c r="BM2823" s="19"/>
      <c r="BN2823" s="19"/>
      <c r="BO2823" s="19"/>
      <c r="BP2823" s="19"/>
      <c r="BQ2823" s="19"/>
      <c r="BR2823" s="19"/>
      <c r="BS2823" s="19"/>
      <c r="BT2823" s="19"/>
      <c r="BU2823" s="19"/>
      <c r="BV2823" s="19"/>
      <c r="BW2823" s="19"/>
      <c r="BX2823" s="19"/>
      <c r="BY2823" s="19"/>
      <c r="BZ2823" s="19"/>
      <c r="CA2823" s="19"/>
      <c r="CB2823" s="19"/>
      <c r="CC2823" s="19"/>
      <c r="CD2823" s="139"/>
      <c r="CE2823" s="138"/>
      <c r="CF2823" s="139"/>
      <c r="CG2823" s="138"/>
      <c r="CH2823" s="139"/>
      <c r="CI2823" s="138"/>
      <c r="CJ2823" s="72"/>
      <c r="CK2823" s="139"/>
      <c r="CL2823" s="71"/>
      <c r="CM2823" s="139"/>
      <c r="CN2823" s="138"/>
      <c r="CO2823" s="138"/>
      <c r="CP2823" s="138"/>
      <c r="CQ2823" s="139"/>
      <c r="CR2823" s="138"/>
      <c r="CS2823" s="45"/>
      <c r="CT2823" s="138"/>
      <c r="CU2823" s="45"/>
      <c r="CV2823" s="99">
        <f t="shared" si="279"/>
        <v>0</v>
      </c>
      <c r="CW2823" s="139"/>
      <c r="CX2823" s="138"/>
      <c r="CY2823" s="138"/>
      <c r="CZ2823" s="138"/>
      <c r="DA2823" s="139"/>
      <c r="DB2823" s="138"/>
      <c r="DC2823" s="45"/>
      <c r="DD2823" s="138"/>
      <c r="DE2823" s="45"/>
      <c r="DF2823" s="46"/>
    </row>
    <row r="2824" spans="1:110" s="42" customFormat="1" ht="24" x14ac:dyDescent="0.2">
      <c r="A2824" s="89">
        <v>40876</v>
      </c>
      <c r="B2824" s="151" t="s">
        <v>4219</v>
      </c>
      <c r="C2824" s="90" t="s">
        <v>3353</v>
      </c>
      <c r="D2824" s="90" t="s">
        <v>2362</v>
      </c>
      <c r="E2824" s="90" t="str">
        <f>VLOOKUP(B2824&amp;C2824,Divipola!$C$2:$F$1138,4,FALSE)</f>
        <v>41357</v>
      </c>
      <c r="F2824" s="4"/>
      <c r="G2824" s="101"/>
      <c r="H2824" s="101"/>
      <c r="I2824" s="101"/>
      <c r="J2824" s="101"/>
      <c r="K2824" s="101"/>
      <c r="L2824" s="101"/>
      <c r="M2824" s="101"/>
      <c r="N2824" s="101">
        <v>1</v>
      </c>
      <c r="O2824" s="101"/>
      <c r="P2824" s="101"/>
      <c r="Q2824" s="101"/>
      <c r="R2824" s="101"/>
      <c r="S2824" s="101"/>
      <c r="T2824" s="101"/>
      <c r="U2824" s="101"/>
      <c r="V2824" s="101"/>
      <c r="W2824" s="19"/>
      <c r="X2824" s="17"/>
      <c r="Y2824" s="5">
        <f t="shared" si="274"/>
        <v>0</v>
      </c>
      <c r="Z2824" s="5">
        <f t="shared" si="275"/>
        <v>0</v>
      </c>
      <c r="AA2824" s="5">
        <f t="shared" si="276"/>
        <v>0</v>
      </c>
      <c r="AB2824" s="5">
        <f t="shared" si="277"/>
        <v>0</v>
      </c>
      <c r="AC2824" s="5"/>
      <c r="AD2824" s="5">
        <v>0</v>
      </c>
      <c r="AE2824" s="5">
        <f t="shared" si="278"/>
        <v>0</v>
      </c>
      <c r="AF2824" s="70">
        <v>0</v>
      </c>
      <c r="AG2824" s="17"/>
      <c r="AH2824" s="18"/>
      <c r="AI2824" s="47" t="s">
        <v>4346</v>
      </c>
      <c r="AJ2824" s="73" t="s">
        <v>4347</v>
      </c>
      <c r="AK2824" s="45"/>
      <c r="AL2824" s="89" t="s">
        <v>2798</v>
      </c>
      <c r="AM2824" s="121" t="s">
        <v>5175</v>
      </c>
      <c r="AN2824" s="19"/>
      <c r="AO2824" s="19"/>
      <c r="AP2824" s="19"/>
      <c r="AQ2824" s="19"/>
      <c r="AR2824" s="19"/>
      <c r="AS2824" s="19"/>
      <c r="AT2824" s="19"/>
      <c r="AU2824" s="19"/>
      <c r="AV2824" s="19"/>
      <c r="AW2824" s="19"/>
      <c r="AX2824" s="19"/>
      <c r="AY2824" s="19"/>
      <c r="AZ2824" s="19"/>
      <c r="BA2824" s="19"/>
      <c r="BB2824" s="19"/>
      <c r="BC2824" s="19"/>
      <c r="BD2824" s="19"/>
      <c r="BE2824" s="19"/>
      <c r="BF2824" s="19"/>
      <c r="BG2824" s="19"/>
      <c r="BH2824" s="19"/>
      <c r="BI2824" s="19"/>
      <c r="BJ2824" s="19"/>
      <c r="BK2824" s="19"/>
      <c r="BL2824" s="19"/>
      <c r="BM2824" s="19"/>
      <c r="BN2824" s="19"/>
      <c r="BO2824" s="19"/>
      <c r="BP2824" s="19"/>
      <c r="BQ2824" s="19"/>
      <c r="BR2824" s="19"/>
      <c r="BS2824" s="19"/>
      <c r="BT2824" s="19"/>
      <c r="BU2824" s="19"/>
      <c r="BV2824" s="19"/>
      <c r="BW2824" s="19"/>
      <c r="BX2824" s="19"/>
      <c r="BY2824" s="19"/>
      <c r="BZ2824" s="19"/>
      <c r="CA2824" s="19"/>
      <c r="CB2824" s="19"/>
      <c r="CC2824" s="19"/>
      <c r="CD2824" s="139"/>
      <c r="CE2824" s="138"/>
      <c r="CF2824" s="139"/>
      <c r="CG2824" s="138"/>
      <c r="CH2824" s="139"/>
      <c r="CI2824" s="138"/>
      <c r="CJ2824" s="72"/>
      <c r="CK2824" s="139"/>
      <c r="CL2824" s="71"/>
      <c r="CM2824" s="139"/>
      <c r="CN2824" s="138"/>
      <c r="CO2824" s="138"/>
      <c r="CP2824" s="138"/>
      <c r="CQ2824" s="139"/>
      <c r="CR2824" s="138"/>
      <c r="CS2824" s="45"/>
      <c r="CT2824" s="138"/>
      <c r="CU2824" s="45"/>
      <c r="CV2824" s="99">
        <f t="shared" si="279"/>
        <v>0</v>
      </c>
      <c r="CW2824" s="139"/>
      <c r="CX2824" s="138"/>
      <c r="CY2824" s="138"/>
      <c r="CZ2824" s="138"/>
      <c r="DA2824" s="139"/>
      <c r="DB2824" s="138"/>
      <c r="DC2824" s="45"/>
      <c r="DD2824" s="138"/>
      <c r="DE2824" s="45"/>
      <c r="DF2824" s="46"/>
    </row>
    <row r="2825" spans="1:110" s="42" customFormat="1" ht="36" x14ac:dyDescent="0.2">
      <c r="A2825" s="89">
        <v>40876</v>
      </c>
      <c r="B2825" s="151" t="s">
        <v>4219</v>
      </c>
      <c r="C2825" s="90" t="s">
        <v>209</v>
      </c>
      <c r="D2825" s="90" t="s">
        <v>2362</v>
      </c>
      <c r="E2825" s="90" t="str">
        <f>VLOOKUP(B2825&amp;C2825,Divipola!$C$2:$F$1138,4,FALSE)</f>
        <v>41206</v>
      </c>
      <c r="F2825" s="4"/>
      <c r="G2825" s="101"/>
      <c r="H2825" s="101"/>
      <c r="I2825" s="101"/>
      <c r="J2825" s="101">
        <v>3</v>
      </c>
      <c r="K2825" s="101">
        <v>1</v>
      </c>
      <c r="L2825" s="101">
        <v>1</v>
      </c>
      <c r="M2825" s="101"/>
      <c r="N2825" s="101"/>
      <c r="O2825" s="101"/>
      <c r="P2825" s="101"/>
      <c r="Q2825" s="101"/>
      <c r="R2825" s="101"/>
      <c r="S2825" s="101"/>
      <c r="T2825" s="101"/>
      <c r="U2825" s="101"/>
      <c r="V2825" s="101"/>
      <c r="W2825" s="19"/>
      <c r="X2825" s="17"/>
      <c r="Y2825" s="5">
        <f t="shared" si="274"/>
        <v>0</v>
      </c>
      <c r="Z2825" s="5">
        <f t="shared" si="275"/>
        <v>0</v>
      </c>
      <c r="AA2825" s="5">
        <f t="shared" si="276"/>
        <v>0</v>
      </c>
      <c r="AB2825" s="5">
        <f t="shared" si="277"/>
        <v>0</v>
      </c>
      <c r="AC2825" s="5"/>
      <c r="AD2825" s="5">
        <v>0</v>
      </c>
      <c r="AE2825" s="5">
        <f t="shared" si="278"/>
        <v>0</v>
      </c>
      <c r="AF2825" s="70">
        <v>0</v>
      </c>
      <c r="AG2825" s="17"/>
      <c r="AH2825" s="18"/>
      <c r="AI2825" s="47" t="s">
        <v>4346</v>
      </c>
      <c r="AJ2825" s="73" t="s">
        <v>4347</v>
      </c>
      <c r="AK2825" s="45"/>
      <c r="AL2825" s="89" t="s">
        <v>2798</v>
      </c>
      <c r="AM2825" s="121" t="s">
        <v>5176</v>
      </c>
      <c r="AN2825" s="19"/>
      <c r="AO2825" s="19"/>
      <c r="AP2825" s="19"/>
      <c r="AQ2825" s="19"/>
      <c r="AR2825" s="19"/>
      <c r="AS2825" s="19"/>
      <c r="AT2825" s="19"/>
      <c r="AU2825" s="19"/>
      <c r="AV2825" s="19"/>
      <c r="AW2825" s="19"/>
      <c r="AX2825" s="19"/>
      <c r="AY2825" s="19"/>
      <c r="AZ2825" s="19"/>
      <c r="BA2825" s="19"/>
      <c r="BB2825" s="19"/>
      <c r="BC2825" s="19"/>
      <c r="BD2825" s="19"/>
      <c r="BE2825" s="19"/>
      <c r="BF2825" s="19"/>
      <c r="BG2825" s="19"/>
      <c r="BH2825" s="19"/>
      <c r="BI2825" s="19"/>
      <c r="BJ2825" s="19"/>
      <c r="BK2825" s="19"/>
      <c r="BL2825" s="19"/>
      <c r="BM2825" s="19"/>
      <c r="BN2825" s="19"/>
      <c r="BO2825" s="19"/>
      <c r="BP2825" s="19"/>
      <c r="BQ2825" s="19"/>
      <c r="BR2825" s="19"/>
      <c r="BS2825" s="19"/>
      <c r="BT2825" s="19"/>
      <c r="BU2825" s="19"/>
      <c r="BV2825" s="19"/>
      <c r="BW2825" s="19"/>
      <c r="BX2825" s="19"/>
      <c r="BY2825" s="19"/>
      <c r="BZ2825" s="19"/>
      <c r="CA2825" s="19"/>
      <c r="CB2825" s="19"/>
      <c r="CC2825" s="19"/>
      <c r="CD2825" s="139"/>
      <c r="CE2825" s="138"/>
      <c r="CF2825" s="139"/>
      <c r="CG2825" s="138"/>
      <c r="CH2825" s="139"/>
      <c r="CI2825" s="138"/>
      <c r="CJ2825" s="72"/>
      <c r="CK2825" s="139"/>
      <c r="CL2825" s="71"/>
      <c r="CM2825" s="139"/>
      <c r="CN2825" s="138"/>
      <c r="CO2825" s="138"/>
      <c r="CP2825" s="138"/>
      <c r="CQ2825" s="139"/>
      <c r="CR2825" s="138"/>
      <c r="CS2825" s="45"/>
      <c r="CT2825" s="138"/>
      <c r="CU2825" s="45"/>
      <c r="CV2825" s="99">
        <f t="shared" si="279"/>
        <v>0</v>
      </c>
      <c r="CW2825" s="139"/>
      <c r="CX2825" s="138"/>
      <c r="CY2825" s="138"/>
      <c r="CZ2825" s="138"/>
      <c r="DA2825" s="139"/>
      <c r="DB2825" s="138"/>
      <c r="DC2825" s="45"/>
      <c r="DD2825" s="138"/>
      <c r="DE2825" s="45"/>
      <c r="DF2825" s="46"/>
    </row>
    <row r="2826" spans="1:110" s="42" customFormat="1" ht="36" x14ac:dyDescent="0.2">
      <c r="A2826" s="89">
        <v>40876</v>
      </c>
      <c r="B2826" s="151" t="s">
        <v>4219</v>
      </c>
      <c r="C2826" s="90" t="s">
        <v>4255</v>
      </c>
      <c r="D2826" s="90" t="s">
        <v>2362</v>
      </c>
      <c r="E2826" s="90" t="str">
        <f>VLOOKUP(B2826&amp;C2826,Divipola!$C$2:$F$1138,4,FALSE)</f>
        <v>41396</v>
      </c>
      <c r="F2826" s="4"/>
      <c r="G2826" s="101"/>
      <c r="H2826" s="101"/>
      <c r="I2826" s="101"/>
      <c r="J2826" s="101">
        <v>5</v>
      </c>
      <c r="K2826" s="101">
        <v>1</v>
      </c>
      <c r="L2826" s="101"/>
      <c r="M2826" s="101">
        <v>1</v>
      </c>
      <c r="N2826" s="101"/>
      <c r="O2826" s="101"/>
      <c r="P2826" s="101"/>
      <c r="Q2826" s="101"/>
      <c r="R2826" s="101"/>
      <c r="S2826" s="101"/>
      <c r="T2826" s="101"/>
      <c r="U2826" s="101"/>
      <c r="V2826" s="101"/>
      <c r="W2826" s="19"/>
      <c r="X2826" s="17"/>
      <c r="Y2826" s="5">
        <f t="shared" si="274"/>
        <v>0</v>
      </c>
      <c r="Z2826" s="5">
        <f t="shared" si="275"/>
        <v>0</v>
      </c>
      <c r="AA2826" s="5">
        <f t="shared" si="276"/>
        <v>0</v>
      </c>
      <c r="AB2826" s="5">
        <f t="shared" si="277"/>
        <v>0</v>
      </c>
      <c r="AC2826" s="5"/>
      <c r="AD2826" s="5">
        <v>0</v>
      </c>
      <c r="AE2826" s="5">
        <f t="shared" si="278"/>
        <v>0</v>
      </c>
      <c r="AF2826" s="70">
        <v>0</v>
      </c>
      <c r="AG2826" s="17"/>
      <c r="AH2826" s="18"/>
      <c r="AI2826" s="47" t="s">
        <v>4346</v>
      </c>
      <c r="AJ2826" s="73" t="s">
        <v>4347</v>
      </c>
      <c r="AK2826" s="45"/>
      <c r="AL2826" s="89" t="s">
        <v>2798</v>
      </c>
      <c r="AM2826" s="121" t="s">
        <v>5177</v>
      </c>
      <c r="AN2826" s="19"/>
      <c r="AO2826" s="19"/>
      <c r="AP2826" s="19"/>
      <c r="AQ2826" s="19"/>
      <c r="AR2826" s="19"/>
      <c r="AS2826" s="19"/>
      <c r="AT2826" s="19"/>
      <c r="AU2826" s="19"/>
      <c r="AV2826" s="19"/>
      <c r="AW2826" s="19"/>
      <c r="AX2826" s="19"/>
      <c r="AY2826" s="19"/>
      <c r="AZ2826" s="19"/>
      <c r="BA2826" s="19"/>
      <c r="BB2826" s="19"/>
      <c r="BC2826" s="19"/>
      <c r="BD2826" s="19"/>
      <c r="BE2826" s="19"/>
      <c r="BF2826" s="19"/>
      <c r="BG2826" s="19"/>
      <c r="BH2826" s="19"/>
      <c r="BI2826" s="19"/>
      <c r="BJ2826" s="19"/>
      <c r="BK2826" s="19"/>
      <c r="BL2826" s="19"/>
      <c r="BM2826" s="19"/>
      <c r="BN2826" s="19"/>
      <c r="BO2826" s="19"/>
      <c r="BP2826" s="19"/>
      <c r="BQ2826" s="19"/>
      <c r="BR2826" s="19"/>
      <c r="BS2826" s="19"/>
      <c r="BT2826" s="19"/>
      <c r="BU2826" s="19"/>
      <c r="BV2826" s="19"/>
      <c r="BW2826" s="19"/>
      <c r="BX2826" s="19"/>
      <c r="BY2826" s="19"/>
      <c r="BZ2826" s="19"/>
      <c r="CA2826" s="19"/>
      <c r="CB2826" s="19"/>
      <c r="CC2826" s="19"/>
      <c r="CD2826" s="139"/>
      <c r="CE2826" s="138"/>
      <c r="CF2826" s="139"/>
      <c r="CG2826" s="138"/>
      <c r="CH2826" s="139"/>
      <c r="CI2826" s="138"/>
      <c r="CJ2826" s="72"/>
      <c r="CK2826" s="139"/>
      <c r="CL2826" s="71"/>
      <c r="CM2826" s="139"/>
      <c r="CN2826" s="138"/>
      <c r="CO2826" s="138"/>
      <c r="CP2826" s="138"/>
      <c r="CQ2826" s="139"/>
      <c r="CR2826" s="138"/>
      <c r="CS2826" s="45"/>
      <c r="CT2826" s="138"/>
      <c r="CU2826" s="45"/>
      <c r="CV2826" s="99">
        <f t="shared" si="279"/>
        <v>0</v>
      </c>
      <c r="CW2826" s="139"/>
      <c r="CX2826" s="138"/>
      <c r="CY2826" s="138"/>
      <c r="CZ2826" s="138"/>
      <c r="DA2826" s="139"/>
      <c r="DB2826" s="138"/>
      <c r="DC2826" s="45"/>
      <c r="DD2826" s="138"/>
      <c r="DE2826" s="45"/>
      <c r="DF2826" s="46"/>
    </row>
    <row r="2827" spans="1:110" s="42" customFormat="1" ht="48" x14ac:dyDescent="0.2">
      <c r="A2827" s="89">
        <v>40876</v>
      </c>
      <c r="B2827" s="151" t="s">
        <v>4219</v>
      </c>
      <c r="C2827" s="90" t="s">
        <v>697</v>
      </c>
      <c r="D2827" s="90" t="s">
        <v>2362</v>
      </c>
      <c r="E2827" s="90" t="str">
        <f>VLOOKUP(B2827&amp;C2827,Divipola!$C$2:$F$1138,4,FALSE)</f>
        <v>41791</v>
      </c>
      <c r="F2827" s="4"/>
      <c r="G2827" s="101"/>
      <c r="H2827" s="101"/>
      <c r="I2827" s="101"/>
      <c r="J2827" s="101">
        <v>5</v>
      </c>
      <c r="K2827" s="101">
        <v>1</v>
      </c>
      <c r="L2827" s="101"/>
      <c r="M2827" s="101">
        <v>1</v>
      </c>
      <c r="N2827" s="101"/>
      <c r="O2827" s="101"/>
      <c r="P2827" s="101"/>
      <c r="Q2827" s="101"/>
      <c r="R2827" s="101"/>
      <c r="S2827" s="101"/>
      <c r="T2827" s="101"/>
      <c r="U2827" s="101"/>
      <c r="V2827" s="101"/>
      <c r="W2827" s="19"/>
      <c r="X2827" s="17"/>
      <c r="Y2827" s="5">
        <f t="shared" si="274"/>
        <v>0</v>
      </c>
      <c r="Z2827" s="5">
        <f t="shared" si="275"/>
        <v>0</v>
      </c>
      <c r="AA2827" s="5">
        <f t="shared" si="276"/>
        <v>0</v>
      </c>
      <c r="AB2827" s="5">
        <f t="shared" si="277"/>
        <v>0</v>
      </c>
      <c r="AC2827" s="5"/>
      <c r="AD2827" s="5">
        <v>0</v>
      </c>
      <c r="AE2827" s="5">
        <f t="shared" si="278"/>
        <v>0</v>
      </c>
      <c r="AF2827" s="70">
        <v>0</v>
      </c>
      <c r="AG2827" s="17"/>
      <c r="AH2827" s="18"/>
      <c r="AI2827" s="47" t="s">
        <v>4346</v>
      </c>
      <c r="AJ2827" s="73" t="s">
        <v>4347</v>
      </c>
      <c r="AK2827" s="45"/>
      <c r="AL2827" s="89" t="s">
        <v>2798</v>
      </c>
      <c r="AM2827" s="121" t="s">
        <v>5178</v>
      </c>
      <c r="AN2827" s="19"/>
      <c r="AO2827" s="19"/>
      <c r="AP2827" s="19"/>
      <c r="AQ2827" s="19"/>
      <c r="AR2827" s="19"/>
      <c r="AS2827" s="19"/>
      <c r="AT2827" s="19"/>
      <c r="AU2827" s="19"/>
      <c r="AV2827" s="19"/>
      <c r="AW2827" s="19"/>
      <c r="AX2827" s="19"/>
      <c r="AY2827" s="19"/>
      <c r="AZ2827" s="19"/>
      <c r="BA2827" s="19"/>
      <c r="BB2827" s="19"/>
      <c r="BC2827" s="19"/>
      <c r="BD2827" s="19"/>
      <c r="BE2827" s="19"/>
      <c r="BF2827" s="19"/>
      <c r="BG2827" s="19"/>
      <c r="BH2827" s="19"/>
      <c r="BI2827" s="19"/>
      <c r="BJ2827" s="19"/>
      <c r="BK2827" s="19"/>
      <c r="BL2827" s="19"/>
      <c r="BM2827" s="19"/>
      <c r="BN2827" s="19"/>
      <c r="BO2827" s="19"/>
      <c r="BP2827" s="19"/>
      <c r="BQ2827" s="19"/>
      <c r="BR2827" s="19"/>
      <c r="BS2827" s="19"/>
      <c r="BT2827" s="19"/>
      <c r="BU2827" s="19"/>
      <c r="BV2827" s="19"/>
      <c r="BW2827" s="19"/>
      <c r="BX2827" s="19"/>
      <c r="BY2827" s="19"/>
      <c r="BZ2827" s="19"/>
      <c r="CA2827" s="19"/>
      <c r="CB2827" s="19"/>
      <c r="CC2827" s="19"/>
      <c r="CD2827" s="139"/>
      <c r="CE2827" s="138"/>
      <c r="CF2827" s="139"/>
      <c r="CG2827" s="138"/>
      <c r="CH2827" s="139"/>
      <c r="CI2827" s="138"/>
      <c r="CJ2827" s="72"/>
      <c r="CK2827" s="139"/>
      <c r="CL2827" s="71"/>
      <c r="CM2827" s="139"/>
      <c r="CN2827" s="138"/>
      <c r="CO2827" s="138"/>
      <c r="CP2827" s="138"/>
      <c r="CQ2827" s="139"/>
      <c r="CR2827" s="138"/>
      <c r="CS2827" s="45"/>
      <c r="CT2827" s="138"/>
      <c r="CU2827" s="45"/>
      <c r="CV2827" s="99">
        <f t="shared" si="279"/>
        <v>0</v>
      </c>
      <c r="CW2827" s="139"/>
      <c r="CX2827" s="138"/>
      <c r="CY2827" s="138"/>
      <c r="CZ2827" s="138"/>
      <c r="DA2827" s="139"/>
      <c r="DB2827" s="138"/>
      <c r="DC2827" s="45"/>
      <c r="DD2827" s="138"/>
      <c r="DE2827" s="45"/>
      <c r="DF2827" s="46"/>
    </row>
    <row r="2828" spans="1:110" s="42" customFormat="1" ht="72" x14ac:dyDescent="0.2">
      <c r="A2828" s="89">
        <v>40876</v>
      </c>
      <c r="B2828" s="90" t="s">
        <v>4244</v>
      </c>
      <c r="C2828" s="90" t="s">
        <v>4322</v>
      </c>
      <c r="D2828" s="90" t="s">
        <v>4264</v>
      </c>
      <c r="E2828" s="90" t="str">
        <f>VLOOKUP(B2828&amp;C2828,Divipola!$C$2:$F$1138,4,FALSE)</f>
        <v>76109</v>
      </c>
      <c r="F2828" s="4"/>
      <c r="G2828" s="101"/>
      <c r="H2828" s="101"/>
      <c r="I2828" s="101"/>
      <c r="J2828" s="101">
        <v>250</v>
      </c>
      <c r="K2828" s="101">
        <v>50</v>
      </c>
      <c r="L2828" s="101"/>
      <c r="M2828" s="101">
        <v>50</v>
      </c>
      <c r="N2828" s="101"/>
      <c r="O2828" s="101"/>
      <c r="P2828" s="101"/>
      <c r="Q2828" s="101"/>
      <c r="R2828" s="101"/>
      <c r="S2828" s="101"/>
      <c r="T2828" s="101"/>
      <c r="U2828" s="101"/>
      <c r="V2828" s="101"/>
      <c r="W2828" s="19"/>
      <c r="X2828" s="17"/>
      <c r="Y2828" s="5">
        <f t="shared" si="274"/>
        <v>0</v>
      </c>
      <c r="Z2828" s="5">
        <f t="shared" si="275"/>
        <v>0</v>
      </c>
      <c r="AA2828" s="5">
        <f t="shared" si="276"/>
        <v>0</v>
      </c>
      <c r="AB2828" s="5">
        <f t="shared" si="277"/>
        <v>0</v>
      </c>
      <c r="AC2828" s="5"/>
      <c r="AD2828" s="5">
        <v>0</v>
      </c>
      <c r="AE2828" s="5">
        <f t="shared" si="278"/>
        <v>0</v>
      </c>
      <c r="AF2828" s="70">
        <v>0</v>
      </c>
      <c r="AG2828" s="17"/>
      <c r="AH2828" s="18"/>
      <c r="AI2828" s="47" t="s">
        <v>4346</v>
      </c>
      <c r="AJ2828" s="73" t="s">
        <v>4347</v>
      </c>
      <c r="AK2828" s="45"/>
      <c r="AL2828" s="89" t="s">
        <v>2798</v>
      </c>
      <c r="AM2828" s="121" t="s">
        <v>5179</v>
      </c>
      <c r="AN2828" s="19"/>
      <c r="AO2828" s="19"/>
      <c r="AP2828" s="19"/>
      <c r="AQ2828" s="19"/>
      <c r="AR2828" s="19"/>
      <c r="AS2828" s="19"/>
      <c r="AT2828" s="19"/>
      <c r="AU2828" s="19"/>
      <c r="AV2828" s="19"/>
      <c r="AW2828" s="19"/>
      <c r="AX2828" s="19"/>
      <c r="AY2828" s="19"/>
      <c r="AZ2828" s="19"/>
      <c r="BA2828" s="19"/>
      <c r="BB2828" s="19"/>
      <c r="BC2828" s="19"/>
      <c r="BD2828" s="19"/>
      <c r="BE2828" s="19"/>
      <c r="BF2828" s="19"/>
      <c r="BG2828" s="19"/>
      <c r="BH2828" s="19"/>
      <c r="BI2828" s="19"/>
      <c r="BJ2828" s="19"/>
      <c r="BK2828" s="19"/>
      <c r="BL2828" s="19"/>
      <c r="BM2828" s="19"/>
      <c r="BN2828" s="19"/>
      <c r="BO2828" s="19"/>
      <c r="BP2828" s="19"/>
      <c r="BQ2828" s="19"/>
      <c r="BR2828" s="19"/>
      <c r="BS2828" s="19"/>
      <c r="BT2828" s="19"/>
      <c r="BU2828" s="19"/>
      <c r="BV2828" s="19"/>
      <c r="BW2828" s="19"/>
      <c r="BX2828" s="19"/>
      <c r="BY2828" s="19"/>
      <c r="BZ2828" s="19"/>
      <c r="CA2828" s="19"/>
      <c r="CB2828" s="19"/>
      <c r="CC2828" s="19"/>
      <c r="CD2828" s="139"/>
      <c r="CE2828" s="138"/>
      <c r="CF2828" s="139"/>
      <c r="CG2828" s="138"/>
      <c r="CH2828" s="139"/>
      <c r="CI2828" s="138"/>
      <c r="CJ2828" s="72"/>
      <c r="CK2828" s="139"/>
      <c r="CL2828" s="71"/>
      <c r="CM2828" s="139"/>
      <c r="CN2828" s="138"/>
      <c r="CO2828" s="138"/>
      <c r="CP2828" s="138"/>
      <c r="CQ2828" s="139"/>
      <c r="CR2828" s="138"/>
      <c r="CS2828" s="45"/>
      <c r="CT2828" s="138"/>
      <c r="CU2828" s="45"/>
      <c r="CV2828" s="99">
        <f t="shared" si="279"/>
        <v>0</v>
      </c>
      <c r="CW2828" s="139"/>
      <c r="CX2828" s="138"/>
      <c r="CY2828" s="138"/>
      <c r="CZ2828" s="138"/>
      <c r="DA2828" s="139"/>
      <c r="DB2828" s="138"/>
      <c r="DC2828" s="45"/>
      <c r="DD2828" s="138"/>
      <c r="DE2828" s="45"/>
      <c r="DF2828" s="46"/>
    </row>
    <row r="2829" spans="1:110" s="42" customFormat="1" ht="60" x14ac:dyDescent="0.2">
      <c r="A2829" s="89">
        <v>40876</v>
      </c>
      <c r="B2829" s="90" t="s">
        <v>4244</v>
      </c>
      <c r="C2829" s="90" t="s">
        <v>3145</v>
      </c>
      <c r="D2829" s="90" t="s">
        <v>4264</v>
      </c>
      <c r="E2829" s="90" t="str">
        <f>VLOOKUP(B2829&amp;C2829,Divipola!$C$2:$F$1138,4,FALSE)</f>
        <v>76020</v>
      </c>
      <c r="F2829" s="4"/>
      <c r="G2829" s="101"/>
      <c r="H2829" s="101"/>
      <c r="I2829" s="101"/>
      <c r="J2829" s="101"/>
      <c r="K2829" s="101"/>
      <c r="L2829" s="101"/>
      <c r="M2829" s="101"/>
      <c r="N2829" s="101"/>
      <c r="O2829" s="101"/>
      <c r="P2829" s="101"/>
      <c r="Q2829" s="101">
        <v>1</v>
      </c>
      <c r="R2829" s="101"/>
      <c r="S2829" s="101"/>
      <c r="T2829" s="101"/>
      <c r="U2829" s="101"/>
      <c r="V2829" s="101"/>
      <c r="W2829" s="19"/>
      <c r="X2829" s="17"/>
      <c r="Y2829" s="5">
        <f t="shared" si="274"/>
        <v>0</v>
      </c>
      <c r="Z2829" s="5">
        <f t="shared" si="275"/>
        <v>0</v>
      </c>
      <c r="AA2829" s="5">
        <f t="shared" si="276"/>
        <v>0</v>
      </c>
      <c r="AB2829" s="5">
        <f t="shared" si="277"/>
        <v>0</v>
      </c>
      <c r="AC2829" s="5"/>
      <c r="AD2829" s="5">
        <v>0</v>
      </c>
      <c r="AE2829" s="5">
        <f t="shared" si="278"/>
        <v>0</v>
      </c>
      <c r="AF2829" s="70">
        <v>0</v>
      </c>
      <c r="AG2829" s="17"/>
      <c r="AH2829" s="18"/>
      <c r="AI2829" s="47" t="s">
        <v>4346</v>
      </c>
      <c r="AJ2829" s="73" t="s">
        <v>4347</v>
      </c>
      <c r="AK2829" s="45"/>
      <c r="AL2829" s="89" t="s">
        <v>2798</v>
      </c>
      <c r="AM2829" s="121" t="s">
        <v>5180</v>
      </c>
      <c r="AN2829" s="19"/>
      <c r="AO2829" s="19"/>
      <c r="AP2829" s="19"/>
      <c r="AQ2829" s="19"/>
      <c r="AR2829" s="19"/>
      <c r="AS2829" s="19"/>
      <c r="AT2829" s="19"/>
      <c r="AU2829" s="19"/>
      <c r="AV2829" s="19"/>
      <c r="AW2829" s="19"/>
      <c r="AX2829" s="19"/>
      <c r="AY2829" s="19"/>
      <c r="AZ2829" s="19"/>
      <c r="BA2829" s="19"/>
      <c r="BB2829" s="19"/>
      <c r="BC2829" s="19"/>
      <c r="BD2829" s="19"/>
      <c r="BE2829" s="19"/>
      <c r="BF2829" s="19"/>
      <c r="BG2829" s="19"/>
      <c r="BH2829" s="19"/>
      <c r="BI2829" s="19"/>
      <c r="BJ2829" s="19"/>
      <c r="BK2829" s="19"/>
      <c r="BL2829" s="19"/>
      <c r="BM2829" s="19"/>
      <c r="BN2829" s="19"/>
      <c r="BO2829" s="19"/>
      <c r="BP2829" s="19"/>
      <c r="BQ2829" s="19"/>
      <c r="BR2829" s="19"/>
      <c r="BS2829" s="19"/>
      <c r="BT2829" s="19"/>
      <c r="BU2829" s="19"/>
      <c r="BV2829" s="19"/>
      <c r="BW2829" s="19"/>
      <c r="BX2829" s="19"/>
      <c r="BY2829" s="19"/>
      <c r="BZ2829" s="19"/>
      <c r="CA2829" s="19"/>
      <c r="CB2829" s="19"/>
      <c r="CC2829" s="19"/>
      <c r="CD2829" s="139"/>
      <c r="CE2829" s="138"/>
      <c r="CF2829" s="139"/>
      <c r="CG2829" s="138"/>
      <c r="CH2829" s="139"/>
      <c r="CI2829" s="138"/>
      <c r="CJ2829" s="72"/>
      <c r="CK2829" s="139"/>
      <c r="CL2829" s="71"/>
      <c r="CM2829" s="139"/>
      <c r="CN2829" s="138"/>
      <c r="CO2829" s="138"/>
      <c r="CP2829" s="138"/>
      <c r="CQ2829" s="139"/>
      <c r="CR2829" s="138"/>
      <c r="CS2829" s="45"/>
      <c r="CT2829" s="138"/>
      <c r="CU2829" s="45"/>
      <c r="CV2829" s="99">
        <f t="shared" si="279"/>
        <v>0</v>
      </c>
      <c r="CW2829" s="139"/>
      <c r="CX2829" s="138"/>
      <c r="CY2829" s="138"/>
      <c r="CZ2829" s="138"/>
      <c r="DA2829" s="139"/>
      <c r="DB2829" s="138"/>
      <c r="DC2829" s="45"/>
      <c r="DD2829" s="138"/>
      <c r="DE2829" s="45"/>
      <c r="DF2829" s="46"/>
    </row>
    <row r="2830" spans="1:110" s="42" customFormat="1" ht="60" x14ac:dyDescent="0.2">
      <c r="A2830" s="89">
        <v>40876</v>
      </c>
      <c r="B2830" s="90" t="s">
        <v>4244</v>
      </c>
      <c r="C2830" s="90" t="s">
        <v>3555</v>
      </c>
      <c r="D2830" s="90" t="s">
        <v>2362</v>
      </c>
      <c r="E2830" s="90" t="str">
        <f>VLOOKUP(B2830&amp;C2830,Divipola!$C$2:$F$1138,4,FALSE)</f>
        <v>76246</v>
      </c>
      <c r="F2830" s="4"/>
      <c r="G2830" s="101"/>
      <c r="H2830" s="101"/>
      <c r="I2830" s="101"/>
      <c r="J2830" s="101"/>
      <c r="K2830" s="101"/>
      <c r="L2830" s="101"/>
      <c r="M2830" s="101"/>
      <c r="N2830" s="101"/>
      <c r="O2830" s="101"/>
      <c r="P2830" s="101"/>
      <c r="Q2830" s="101"/>
      <c r="R2830" s="101"/>
      <c r="S2830" s="101"/>
      <c r="T2830" s="101"/>
      <c r="U2830" s="101"/>
      <c r="V2830" s="101"/>
      <c r="W2830" s="19"/>
      <c r="X2830" s="17"/>
      <c r="Y2830" s="5">
        <f t="shared" si="274"/>
        <v>0</v>
      </c>
      <c r="Z2830" s="5">
        <f t="shared" si="275"/>
        <v>0</v>
      </c>
      <c r="AA2830" s="5">
        <f t="shared" si="276"/>
        <v>0</v>
      </c>
      <c r="AB2830" s="5">
        <f t="shared" si="277"/>
        <v>0</v>
      </c>
      <c r="AC2830" s="5"/>
      <c r="AD2830" s="5">
        <v>0</v>
      </c>
      <c r="AE2830" s="5">
        <f t="shared" si="278"/>
        <v>0</v>
      </c>
      <c r="AF2830" s="70">
        <v>0</v>
      </c>
      <c r="AG2830" s="17"/>
      <c r="AH2830" s="18"/>
      <c r="AI2830" s="47" t="s">
        <v>4346</v>
      </c>
      <c r="AJ2830" s="73" t="s">
        <v>4347</v>
      </c>
      <c r="AK2830" s="45"/>
      <c r="AL2830" s="89" t="s">
        <v>2798</v>
      </c>
      <c r="AM2830" s="121" t="s">
        <v>5181</v>
      </c>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39"/>
      <c r="CE2830" s="138"/>
      <c r="CF2830" s="139"/>
      <c r="CG2830" s="138"/>
      <c r="CH2830" s="139"/>
      <c r="CI2830" s="138"/>
      <c r="CJ2830" s="72"/>
      <c r="CK2830" s="139"/>
      <c r="CL2830" s="71"/>
      <c r="CM2830" s="139"/>
      <c r="CN2830" s="138"/>
      <c r="CO2830" s="138"/>
      <c r="CP2830" s="138"/>
      <c r="CQ2830" s="139"/>
      <c r="CR2830" s="138"/>
      <c r="CS2830" s="45"/>
      <c r="CT2830" s="138"/>
      <c r="CU2830" s="45"/>
      <c r="CV2830" s="99">
        <f t="shared" si="279"/>
        <v>0</v>
      </c>
      <c r="CW2830" s="139"/>
      <c r="CX2830" s="138"/>
      <c r="CY2830" s="138"/>
      <c r="CZ2830" s="138"/>
      <c r="DA2830" s="139"/>
      <c r="DB2830" s="138"/>
      <c r="DC2830" s="45"/>
      <c r="DD2830" s="138"/>
      <c r="DE2830" s="45"/>
      <c r="DF2830" s="46"/>
    </row>
    <row r="2831" spans="1:110" s="42" customFormat="1" ht="96" x14ac:dyDescent="0.2">
      <c r="A2831" s="89">
        <v>40876</v>
      </c>
      <c r="B2831" s="90" t="s">
        <v>4244</v>
      </c>
      <c r="C2831" s="90" t="s">
        <v>3167</v>
      </c>
      <c r="D2831" s="90" t="s">
        <v>2362</v>
      </c>
      <c r="E2831" s="90" t="str">
        <f>VLOOKUP(B2831&amp;C2831,Divipola!$C$2:$F$1138,4,FALSE)</f>
        <v>76275</v>
      </c>
      <c r="F2831" s="4"/>
      <c r="G2831" s="101"/>
      <c r="H2831" s="101"/>
      <c r="I2831" s="101"/>
      <c r="J2831" s="101">
        <v>725</v>
      </c>
      <c r="K2831" s="101">
        <v>145</v>
      </c>
      <c r="L2831" s="101"/>
      <c r="M2831" s="101">
        <v>145</v>
      </c>
      <c r="N2831" s="101"/>
      <c r="O2831" s="101"/>
      <c r="P2831" s="101"/>
      <c r="Q2831" s="101"/>
      <c r="R2831" s="101"/>
      <c r="S2831" s="101"/>
      <c r="T2831" s="101"/>
      <c r="U2831" s="101"/>
      <c r="V2831" s="101"/>
      <c r="W2831" s="19"/>
      <c r="X2831" s="17"/>
      <c r="Y2831" s="5">
        <f t="shared" si="274"/>
        <v>0</v>
      </c>
      <c r="Z2831" s="5">
        <f t="shared" si="275"/>
        <v>0</v>
      </c>
      <c r="AA2831" s="5">
        <f t="shared" si="276"/>
        <v>0</v>
      </c>
      <c r="AB2831" s="5">
        <f t="shared" si="277"/>
        <v>0</v>
      </c>
      <c r="AC2831" s="5"/>
      <c r="AD2831" s="5">
        <v>0</v>
      </c>
      <c r="AE2831" s="5">
        <f t="shared" si="278"/>
        <v>0</v>
      </c>
      <c r="AF2831" s="70">
        <v>0</v>
      </c>
      <c r="AG2831" s="17"/>
      <c r="AH2831" s="18"/>
      <c r="AI2831" s="47" t="s">
        <v>4346</v>
      </c>
      <c r="AJ2831" s="73" t="s">
        <v>4347</v>
      </c>
      <c r="AK2831" s="45"/>
      <c r="AL2831" s="89" t="s">
        <v>2798</v>
      </c>
      <c r="AM2831" s="121" t="s">
        <v>5182</v>
      </c>
      <c r="AN2831" s="19"/>
      <c r="AO2831" s="19"/>
      <c r="AP2831" s="19"/>
      <c r="AQ2831" s="19"/>
      <c r="AR2831" s="19"/>
      <c r="AS2831" s="19"/>
      <c r="AT2831" s="19"/>
      <c r="AU2831" s="19"/>
      <c r="AV2831" s="19"/>
      <c r="AW2831" s="19"/>
      <c r="AX2831" s="19"/>
      <c r="AY2831" s="19"/>
      <c r="AZ2831" s="19"/>
      <c r="BA2831" s="19"/>
      <c r="BB2831" s="19"/>
      <c r="BC2831" s="19"/>
      <c r="BD2831" s="19"/>
      <c r="BE2831" s="19"/>
      <c r="BF2831" s="19"/>
      <c r="BG2831" s="19"/>
      <c r="BH2831" s="19"/>
      <c r="BI2831" s="19"/>
      <c r="BJ2831" s="19"/>
      <c r="BK2831" s="19"/>
      <c r="BL2831" s="19"/>
      <c r="BM2831" s="19"/>
      <c r="BN2831" s="19"/>
      <c r="BO2831" s="19"/>
      <c r="BP2831" s="19"/>
      <c r="BQ2831" s="19"/>
      <c r="BR2831" s="19"/>
      <c r="BS2831" s="19"/>
      <c r="BT2831" s="19"/>
      <c r="BU2831" s="19"/>
      <c r="BV2831" s="19"/>
      <c r="BW2831" s="19"/>
      <c r="BX2831" s="19"/>
      <c r="BY2831" s="19"/>
      <c r="BZ2831" s="19"/>
      <c r="CA2831" s="19"/>
      <c r="CB2831" s="19"/>
      <c r="CC2831" s="19"/>
      <c r="CD2831" s="139"/>
      <c r="CE2831" s="138"/>
      <c r="CF2831" s="139"/>
      <c r="CG2831" s="138"/>
      <c r="CH2831" s="139"/>
      <c r="CI2831" s="138"/>
      <c r="CJ2831" s="72"/>
      <c r="CK2831" s="139"/>
      <c r="CL2831" s="71"/>
      <c r="CM2831" s="139"/>
      <c r="CN2831" s="138"/>
      <c r="CO2831" s="138"/>
      <c r="CP2831" s="138"/>
      <c r="CQ2831" s="139"/>
      <c r="CR2831" s="138"/>
      <c r="CS2831" s="45"/>
      <c r="CT2831" s="138"/>
      <c r="CU2831" s="45"/>
      <c r="CV2831" s="99">
        <f t="shared" si="279"/>
        <v>0</v>
      </c>
      <c r="CW2831" s="139"/>
      <c r="CX2831" s="138"/>
      <c r="CY2831" s="138"/>
      <c r="CZ2831" s="138"/>
      <c r="DA2831" s="139"/>
      <c r="DB2831" s="138"/>
      <c r="DC2831" s="45"/>
      <c r="DD2831" s="138"/>
      <c r="DE2831" s="45"/>
      <c r="DF2831" s="46"/>
    </row>
    <row r="2832" spans="1:110" s="42" customFormat="1" ht="36" x14ac:dyDescent="0.2">
      <c r="A2832" s="89">
        <v>40876</v>
      </c>
      <c r="B2832" s="90" t="s">
        <v>4244</v>
      </c>
      <c r="C2832" s="90" t="s">
        <v>4226</v>
      </c>
      <c r="D2832" s="90" t="s">
        <v>4264</v>
      </c>
      <c r="E2832" s="90" t="str">
        <f>VLOOKUP(B2832&amp;C2832,Divipola!$C$2:$F$1138,4,FALSE)</f>
        <v>76364</v>
      </c>
      <c r="F2832" s="4"/>
      <c r="G2832" s="101"/>
      <c r="H2832" s="101"/>
      <c r="I2832" s="101"/>
      <c r="J2832" s="101">
        <v>13</v>
      </c>
      <c r="K2832" s="101">
        <v>3</v>
      </c>
      <c r="L2832" s="101"/>
      <c r="M2832" s="101">
        <v>3</v>
      </c>
      <c r="N2832" s="101"/>
      <c r="O2832" s="101"/>
      <c r="P2832" s="101"/>
      <c r="Q2832" s="101"/>
      <c r="R2832" s="101"/>
      <c r="S2832" s="101"/>
      <c r="T2832" s="101"/>
      <c r="U2832" s="101"/>
      <c r="V2832" s="101"/>
      <c r="W2832" s="19"/>
      <c r="X2832" s="17"/>
      <c r="Y2832" s="5">
        <f t="shared" si="274"/>
        <v>0</v>
      </c>
      <c r="Z2832" s="5">
        <f t="shared" si="275"/>
        <v>0</v>
      </c>
      <c r="AA2832" s="5">
        <f t="shared" si="276"/>
        <v>0</v>
      </c>
      <c r="AB2832" s="5">
        <f t="shared" si="277"/>
        <v>0</v>
      </c>
      <c r="AC2832" s="5"/>
      <c r="AD2832" s="5">
        <v>0</v>
      </c>
      <c r="AE2832" s="5">
        <f t="shared" si="278"/>
        <v>0</v>
      </c>
      <c r="AF2832" s="70">
        <v>0</v>
      </c>
      <c r="AG2832" s="17"/>
      <c r="AH2832" s="18"/>
      <c r="AI2832" s="47" t="s">
        <v>4346</v>
      </c>
      <c r="AJ2832" s="73" t="s">
        <v>4347</v>
      </c>
      <c r="AK2832" s="45"/>
      <c r="AL2832" s="89" t="s">
        <v>2798</v>
      </c>
      <c r="AM2832" s="121" t="s">
        <v>5183</v>
      </c>
      <c r="AN2832" s="19"/>
      <c r="AO2832" s="19"/>
      <c r="AP2832" s="19"/>
      <c r="AQ2832" s="19"/>
      <c r="AR2832" s="19"/>
      <c r="AS2832" s="19"/>
      <c r="AT2832" s="19"/>
      <c r="AU2832" s="19"/>
      <c r="AV2832" s="19"/>
      <c r="AW2832" s="19"/>
      <c r="AX2832" s="19"/>
      <c r="AY2832" s="19"/>
      <c r="AZ2832" s="19"/>
      <c r="BA2832" s="19"/>
      <c r="BB2832" s="19"/>
      <c r="BC2832" s="19"/>
      <c r="BD2832" s="19"/>
      <c r="BE2832" s="19"/>
      <c r="BF2832" s="19"/>
      <c r="BG2832" s="19"/>
      <c r="BH2832" s="19"/>
      <c r="BI2832" s="19"/>
      <c r="BJ2832" s="19"/>
      <c r="BK2832" s="19"/>
      <c r="BL2832" s="19"/>
      <c r="BM2832" s="19"/>
      <c r="BN2832" s="19"/>
      <c r="BO2832" s="19"/>
      <c r="BP2832" s="19"/>
      <c r="BQ2832" s="19"/>
      <c r="BR2832" s="19"/>
      <c r="BS2832" s="19"/>
      <c r="BT2832" s="19"/>
      <c r="BU2832" s="19"/>
      <c r="BV2832" s="19"/>
      <c r="BW2832" s="19"/>
      <c r="BX2832" s="19"/>
      <c r="BY2832" s="19"/>
      <c r="BZ2832" s="19"/>
      <c r="CA2832" s="19"/>
      <c r="CB2832" s="19"/>
      <c r="CC2832" s="19"/>
      <c r="CD2832" s="139"/>
      <c r="CE2832" s="138"/>
      <c r="CF2832" s="139"/>
      <c r="CG2832" s="138"/>
      <c r="CH2832" s="139"/>
      <c r="CI2832" s="138"/>
      <c r="CJ2832" s="72"/>
      <c r="CK2832" s="139"/>
      <c r="CL2832" s="71"/>
      <c r="CM2832" s="139"/>
      <c r="CN2832" s="138"/>
      <c r="CO2832" s="138"/>
      <c r="CP2832" s="138"/>
      <c r="CQ2832" s="139"/>
      <c r="CR2832" s="138"/>
      <c r="CS2832" s="45"/>
      <c r="CT2832" s="138"/>
      <c r="CU2832" s="45"/>
      <c r="CV2832" s="99">
        <f t="shared" si="279"/>
        <v>0</v>
      </c>
      <c r="CW2832" s="139"/>
      <c r="CX2832" s="138"/>
      <c r="CY2832" s="138"/>
      <c r="CZ2832" s="138"/>
      <c r="DA2832" s="139"/>
      <c r="DB2832" s="138"/>
      <c r="DC2832" s="45"/>
      <c r="DD2832" s="138"/>
      <c r="DE2832" s="45"/>
      <c r="DF2832" s="46"/>
    </row>
    <row r="2833" spans="1:110" s="42" customFormat="1" ht="84" x14ac:dyDescent="0.2">
      <c r="A2833" s="89">
        <v>40876</v>
      </c>
      <c r="B2833" s="90" t="s">
        <v>4244</v>
      </c>
      <c r="C2833" s="90" t="s">
        <v>4322</v>
      </c>
      <c r="D2833" s="90" t="s">
        <v>3311</v>
      </c>
      <c r="E2833" s="90" t="str">
        <f>VLOOKUP(B2833&amp;C2833,Divipola!$C$2:$F$1138,4,FALSE)</f>
        <v>76109</v>
      </c>
      <c r="F2833" s="4"/>
      <c r="G2833" s="101"/>
      <c r="H2833" s="101">
        <v>8</v>
      </c>
      <c r="I2833" s="101"/>
      <c r="J2833" s="101"/>
      <c r="K2833" s="101"/>
      <c r="L2833" s="101"/>
      <c r="M2833" s="101"/>
      <c r="N2833" s="101"/>
      <c r="O2833" s="101"/>
      <c r="P2833" s="101"/>
      <c r="Q2833" s="101"/>
      <c r="R2833" s="101"/>
      <c r="S2833" s="101"/>
      <c r="T2833" s="101"/>
      <c r="U2833" s="101"/>
      <c r="V2833" s="101"/>
      <c r="W2833" s="19"/>
      <c r="X2833" s="17"/>
      <c r="Y2833" s="5">
        <f t="shared" si="274"/>
        <v>0</v>
      </c>
      <c r="Z2833" s="5">
        <f t="shared" si="275"/>
        <v>0</v>
      </c>
      <c r="AA2833" s="5">
        <f t="shared" si="276"/>
        <v>0</v>
      </c>
      <c r="AB2833" s="5">
        <f t="shared" si="277"/>
        <v>0</v>
      </c>
      <c r="AC2833" s="5"/>
      <c r="AD2833" s="5">
        <v>0</v>
      </c>
      <c r="AE2833" s="5">
        <f t="shared" si="278"/>
        <v>0</v>
      </c>
      <c r="AF2833" s="70">
        <v>0</v>
      </c>
      <c r="AG2833" s="17"/>
      <c r="AH2833" s="18"/>
      <c r="AI2833" s="47" t="s">
        <v>4346</v>
      </c>
      <c r="AJ2833" s="73" t="s">
        <v>4347</v>
      </c>
      <c r="AK2833" s="45"/>
      <c r="AL2833" s="89" t="s">
        <v>2798</v>
      </c>
      <c r="AM2833" s="121" t="s">
        <v>5184</v>
      </c>
      <c r="AN2833" s="19"/>
      <c r="AO2833" s="19"/>
      <c r="AP2833" s="19"/>
      <c r="AQ2833" s="19"/>
      <c r="AR2833" s="19"/>
      <c r="AS2833" s="19"/>
      <c r="AT2833" s="19"/>
      <c r="AU2833" s="19"/>
      <c r="AV2833" s="19"/>
      <c r="AW2833" s="19"/>
      <c r="AX2833" s="19"/>
      <c r="AY2833" s="19"/>
      <c r="AZ2833" s="19"/>
      <c r="BA2833" s="19"/>
      <c r="BB2833" s="19"/>
      <c r="BC2833" s="19"/>
      <c r="BD2833" s="19"/>
      <c r="BE2833" s="19"/>
      <c r="BF2833" s="19"/>
      <c r="BG2833" s="19"/>
      <c r="BH2833" s="19"/>
      <c r="BI2833" s="19"/>
      <c r="BJ2833" s="19"/>
      <c r="BK2833" s="19"/>
      <c r="BL2833" s="19"/>
      <c r="BM2833" s="19"/>
      <c r="BN2833" s="19"/>
      <c r="BO2833" s="19"/>
      <c r="BP2833" s="19"/>
      <c r="BQ2833" s="19"/>
      <c r="BR2833" s="19"/>
      <c r="BS2833" s="19"/>
      <c r="BT2833" s="19"/>
      <c r="BU2833" s="19"/>
      <c r="BV2833" s="19"/>
      <c r="BW2833" s="19"/>
      <c r="BX2833" s="19"/>
      <c r="BY2833" s="19"/>
      <c r="BZ2833" s="19"/>
      <c r="CA2833" s="19"/>
      <c r="CB2833" s="19"/>
      <c r="CC2833" s="19"/>
      <c r="CD2833" s="139"/>
      <c r="CE2833" s="138"/>
      <c r="CF2833" s="139"/>
      <c r="CG2833" s="138"/>
      <c r="CH2833" s="139"/>
      <c r="CI2833" s="138"/>
      <c r="CJ2833" s="72"/>
      <c r="CK2833" s="139"/>
      <c r="CL2833" s="71"/>
      <c r="CM2833" s="139"/>
      <c r="CN2833" s="138"/>
      <c r="CO2833" s="138"/>
      <c r="CP2833" s="138"/>
      <c r="CQ2833" s="139"/>
      <c r="CR2833" s="138"/>
      <c r="CS2833" s="45"/>
      <c r="CT2833" s="138"/>
      <c r="CU2833" s="45"/>
      <c r="CV2833" s="99">
        <f t="shared" si="279"/>
        <v>0</v>
      </c>
      <c r="CW2833" s="139"/>
      <c r="CX2833" s="138"/>
      <c r="CY2833" s="138"/>
      <c r="CZ2833" s="138"/>
      <c r="DA2833" s="139"/>
      <c r="DB2833" s="138"/>
      <c r="DC2833" s="45"/>
      <c r="DD2833" s="138"/>
      <c r="DE2833" s="45"/>
      <c r="DF2833" s="46"/>
    </row>
    <row r="2834" spans="1:110" s="42" customFormat="1" ht="60" x14ac:dyDescent="0.2">
      <c r="A2834" s="89">
        <v>40876</v>
      </c>
      <c r="B2834" s="151" t="s">
        <v>4326</v>
      </c>
      <c r="C2834" s="90" t="s">
        <v>2447</v>
      </c>
      <c r="D2834" s="90" t="s">
        <v>4264</v>
      </c>
      <c r="E2834" s="90" t="str">
        <f>VLOOKUP(B2834&amp;C2834,Divipola!$C$2:$F$1138,4,FALSE)</f>
        <v>08573</v>
      </c>
      <c r="F2834" s="4"/>
      <c r="G2834" s="101"/>
      <c r="H2834" s="101"/>
      <c r="I2834" s="101"/>
      <c r="J2834" s="101">
        <v>141</v>
      </c>
      <c r="K2834" s="101">
        <v>37</v>
      </c>
      <c r="L2834" s="101"/>
      <c r="M2834" s="101">
        <v>26</v>
      </c>
      <c r="N2834" s="101"/>
      <c r="O2834" s="101"/>
      <c r="P2834" s="101"/>
      <c r="Q2834" s="101"/>
      <c r="R2834" s="101"/>
      <c r="S2834" s="101"/>
      <c r="T2834" s="101"/>
      <c r="U2834" s="101"/>
      <c r="V2834" s="101"/>
      <c r="W2834" s="19"/>
      <c r="X2834" s="17"/>
      <c r="Y2834" s="5">
        <f t="shared" si="274"/>
        <v>0</v>
      </c>
      <c r="Z2834" s="5">
        <f t="shared" si="275"/>
        <v>0</v>
      </c>
      <c r="AA2834" s="5">
        <f t="shared" si="276"/>
        <v>0</v>
      </c>
      <c r="AB2834" s="5">
        <f t="shared" si="277"/>
        <v>0</v>
      </c>
      <c r="AC2834" s="5"/>
      <c r="AD2834" s="5">
        <v>0</v>
      </c>
      <c r="AE2834" s="5">
        <f t="shared" si="278"/>
        <v>0</v>
      </c>
      <c r="AF2834" s="70">
        <v>0</v>
      </c>
      <c r="AG2834" s="17"/>
      <c r="AH2834" s="18"/>
      <c r="AI2834" s="47" t="s">
        <v>4346</v>
      </c>
      <c r="AJ2834" s="73" t="s">
        <v>4347</v>
      </c>
      <c r="AK2834" s="45"/>
      <c r="AL2834" s="89" t="s">
        <v>2798</v>
      </c>
      <c r="AM2834" s="121" t="s">
        <v>5188</v>
      </c>
      <c r="AN2834" s="19"/>
      <c r="AO2834" s="19"/>
      <c r="AP2834" s="19"/>
      <c r="AQ2834" s="19"/>
      <c r="AR2834" s="19"/>
      <c r="AS2834" s="19"/>
      <c r="AT2834" s="19"/>
      <c r="AU2834" s="19"/>
      <c r="AV2834" s="19"/>
      <c r="AW2834" s="19"/>
      <c r="AX2834" s="19"/>
      <c r="AY2834" s="19"/>
      <c r="AZ2834" s="19"/>
      <c r="BA2834" s="19"/>
      <c r="BB2834" s="19"/>
      <c r="BC2834" s="19"/>
      <c r="BD2834" s="19"/>
      <c r="BE2834" s="19"/>
      <c r="BF2834" s="19"/>
      <c r="BG2834" s="19"/>
      <c r="BH2834" s="19"/>
      <c r="BI2834" s="19"/>
      <c r="BJ2834" s="19"/>
      <c r="BK2834" s="19"/>
      <c r="BL2834" s="19"/>
      <c r="BM2834" s="19"/>
      <c r="BN2834" s="19"/>
      <c r="BO2834" s="19"/>
      <c r="BP2834" s="19"/>
      <c r="BQ2834" s="19"/>
      <c r="BR2834" s="19"/>
      <c r="BS2834" s="19"/>
      <c r="BT2834" s="19"/>
      <c r="BU2834" s="19"/>
      <c r="BV2834" s="19"/>
      <c r="BW2834" s="19"/>
      <c r="BX2834" s="19"/>
      <c r="BY2834" s="19"/>
      <c r="BZ2834" s="19"/>
      <c r="CA2834" s="19"/>
      <c r="CB2834" s="19"/>
      <c r="CC2834" s="19"/>
      <c r="CD2834" s="139"/>
      <c r="CE2834" s="138"/>
      <c r="CF2834" s="139"/>
      <c r="CG2834" s="138"/>
      <c r="CH2834" s="139"/>
      <c r="CI2834" s="138"/>
      <c r="CJ2834" s="72"/>
      <c r="CK2834" s="139"/>
      <c r="CL2834" s="71"/>
      <c r="CM2834" s="139"/>
      <c r="CN2834" s="138"/>
      <c r="CO2834" s="138"/>
      <c r="CP2834" s="138"/>
      <c r="CQ2834" s="139"/>
      <c r="CR2834" s="138"/>
      <c r="CS2834" s="45"/>
      <c r="CT2834" s="138"/>
      <c r="CU2834" s="45"/>
      <c r="CV2834" s="99">
        <f t="shared" si="279"/>
        <v>0</v>
      </c>
      <c r="CW2834" s="139"/>
      <c r="CX2834" s="138"/>
      <c r="CY2834" s="138"/>
      <c r="CZ2834" s="138"/>
      <c r="DA2834" s="139"/>
      <c r="DB2834" s="138"/>
      <c r="DC2834" s="45"/>
      <c r="DD2834" s="138"/>
      <c r="DE2834" s="45"/>
      <c r="DF2834" s="46"/>
    </row>
    <row r="2835" spans="1:110" s="42" customFormat="1" ht="60" x14ac:dyDescent="0.2">
      <c r="A2835" s="89">
        <v>40876</v>
      </c>
      <c r="B2835" s="151" t="s">
        <v>4326</v>
      </c>
      <c r="C2835" s="90" t="s">
        <v>2467</v>
      </c>
      <c r="D2835" s="90" t="s">
        <v>2362</v>
      </c>
      <c r="E2835" s="90" t="str">
        <f>VLOOKUP(B2835&amp;C2835,Divipola!$C$2:$F$1138,4,FALSE)</f>
        <v>08832</v>
      </c>
      <c r="F2835" s="4"/>
      <c r="G2835" s="101"/>
      <c r="H2835" s="101"/>
      <c r="I2835" s="101"/>
      <c r="J2835" s="101">
        <v>75</v>
      </c>
      <c r="K2835" s="101">
        <v>15</v>
      </c>
      <c r="L2835" s="101">
        <v>15</v>
      </c>
      <c r="M2835" s="101"/>
      <c r="N2835" s="101"/>
      <c r="O2835" s="101"/>
      <c r="P2835" s="101"/>
      <c r="Q2835" s="101"/>
      <c r="R2835" s="101"/>
      <c r="S2835" s="101"/>
      <c r="T2835" s="101"/>
      <c r="U2835" s="101"/>
      <c r="V2835" s="101"/>
      <c r="W2835" s="19"/>
      <c r="X2835" s="17"/>
      <c r="Y2835" s="5">
        <f t="shared" si="274"/>
        <v>0</v>
      </c>
      <c r="Z2835" s="5">
        <f t="shared" si="275"/>
        <v>0</v>
      </c>
      <c r="AA2835" s="5">
        <f t="shared" si="276"/>
        <v>0</v>
      </c>
      <c r="AB2835" s="5">
        <f t="shared" si="277"/>
        <v>0</v>
      </c>
      <c r="AC2835" s="5"/>
      <c r="AD2835" s="5">
        <v>0</v>
      </c>
      <c r="AE2835" s="5">
        <f t="shared" si="278"/>
        <v>0</v>
      </c>
      <c r="AF2835" s="70">
        <v>0</v>
      </c>
      <c r="AG2835" s="17"/>
      <c r="AH2835" s="18"/>
      <c r="AI2835" s="47" t="s">
        <v>4346</v>
      </c>
      <c r="AJ2835" s="73" t="s">
        <v>4347</v>
      </c>
      <c r="AK2835" s="45"/>
      <c r="AL2835" s="89" t="s">
        <v>2798</v>
      </c>
      <c r="AM2835" s="121" t="s">
        <v>5191</v>
      </c>
      <c r="AN2835" s="19"/>
      <c r="AO2835" s="19"/>
      <c r="AP2835" s="19"/>
      <c r="AQ2835" s="19"/>
      <c r="AR2835" s="19"/>
      <c r="AS2835" s="19"/>
      <c r="AT2835" s="19"/>
      <c r="AU2835" s="19"/>
      <c r="AV2835" s="19"/>
      <c r="AW2835" s="19"/>
      <c r="AX2835" s="19"/>
      <c r="AY2835" s="19"/>
      <c r="AZ2835" s="19"/>
      <c r="BA2835" s="19"/>
      <c r="BB2835" s="19"/>
      <c r="BC2835" s="19"/>
      <c r="BD2835" s="19"/>
      <c r="BE2835" s="19"/>
      <c r="BF2835" s="19"/>
      <c r="BG2835" s="19"/>
      <c r="BH2835" s="19"/>
      <c r="BI2835" s="19"/>
      <c r="BJ2835" s="19"/>
      <c r="BK2835" s="19"/>
      <c r="BL2835" s="19"/>
      <c r="BM2835" s="19"/>
      <c r="BN2835" s="19"/>
      <c r="BO2835" s="19"/>
      <c r="BP2835" s="19"/>
      <c r="BQ2835" s="19"/>
      <c r="BR2835" s="19"/>
      <c r="BS2835" s="19"/>
      <c r="BT2835" s="19"/>
      <c r="BU2835" s="19"/>
      <c r="BV2835" s="19"/>
      <c r="BW2835" s="19"/>
      <c r="BX2835" s="19"/>
      <c r="BY2835" s="19"/>
      <c r="BZ2835" s="19"/>
      <c r="CA2835" s="19"/>
      <c r="CB2835" s="19"/>
      <c r="CC2835" s="19"/>
      <c r="CD2835" s="139"/>
      <c r="CE2835" s="138"/>
      <c r="CF2835" s="139"/>
      <c r="CG2835" s="138"/>
      <c r="CH2835" s="139"/>
      <c r="CI2835" s="138"/>
      <c r="CJ2835" s="72"/>
      <c r="CK2835" s="139"/>
      <c r="CL2835" s="71"/>
      <c r="CM2835" s="139"/>
      <c r="CN2835" s="138"/>
      <c r="CO2835" s="138"/>
      <c r="CP2835" s="138"/>
      <c r="CQ2835" s="139"/>
      <c r="CR2835" s="138"/>
      <c r="CS2835" s="45"/>
      <c r="CT2835" s="138"/>
      <c r="CU2835" s="45"/>
      <c r="CV2835" s="99">
        <f t="shared" si="279"/>
        <v>0</v>
      </c>
      <c r="CW2835" s="139"/>
      <c r="CX2835" s="138"/>
      <c r="CY2835" s="138"/>
      <c r="CZ2835" s="138"/>
      <c r="DA2835" s="139"/>
      <c r="DB2835" s="138"/>
      <c r="DC2835" s="45"/>
      <c r="DD2835" s="138"/>
      <c r="DE2835" s="45"/>
      <c r="DF2835" s="46"/>
    </row>
    <row r="2836" spans="1:110" s="42" customFormat="1" ht="72" x14ac:dyDescent="0.2">
      <c r="A2836" s="89">
        <v>40876</v>
      </c>
      <c r="B2836" s="151" t="s">
        <v>4352</v>
      </c>
      <c r="C2836" s="90" t="s">
        <v>4327</v>
      </c>
      <c r="D2836" s="90" t="s">
        <v>4264</v>
      </c>
      <c r="E2836" s="90" t="str">
        <f>VLOOKUP(B2836&amp;C2836,Divipola!$C$2:$F$1138,4,FALSE)</f>
        <v>13873</v>
      </c>
      <c r="F2836" s="4"/>
      <c r="G2836" s="101"/>
      <c r="H2836" s="101"/>
      <c r="I2836" s="101"/>
      <c r="J2836" s="101">
        <v>187</v>
      </c>
      <c r="K2836" s="101">
        <v>74</v>
      </c>
      <c r="L2836" s="101">
        <v>37</v>
      </c>
      <c r="M2836" s="101">
        <v>34</v>
      </c>
      <c r="N2836" s="101"/>
      <c r="O2836" s="101"/>
      <c r="P2836" s="101"/>
      <c r="Q2836" s="101"/>
      <c r="R2836" s="101"/>
      <c r="S2836" s="101"/>
      <c r="T2836" s="101">
        <v>1</v>
      </c>
      <c r="U2836" s="101"/>
      <c r="V2836" s="101"/>
      <c r="W2836" s="19"/>
      <c r="X2836" s="17"/>
      <c r="Y2836" s="5">
        <f t="shared" si="274"/>
        <v>0</v>
      </c>
      <c r="Z2836" s="5">
        <f t="shared" si="275"/>
        <v>0</v>
      </c>
      <c r="AA2836" s="5">
        <f t="shared" si="276"/>
        <v>0</v>
      </c>
      <c r="AB2836" s="5">
        <f t="shared" si="277"/>
        <v>0</v>
      </c>
      <c r="AC2836" s="5"/>
      <c r="AD2836" s="5">
        <v>0</v>
      </c>
      <c r="AE2836" s="5">
        <f t="shared" si="278"/>
        <v>0</v>
      </c>
      <c r="AF2836" s="70">
        <v>0</v>
      </c>
      <c r="AG2836" s="17"/>
      <c r="AH2836" s="18"/>
      <c r="AI2836" s="47" t="s">
        <v>4336</v>
      </c>
      <c r="AJ2836" s="73" t="s">
        <v>4337</v>
      </c>
      <c r="AK2836" s="45"/>
      <c r="AL2836" s="17"/>
      <c r="AM2836" s="121" t="s">
        <v>5193</v>
      </c>
      <c r="AN2836" s="19"/>
      <c r="AO2836" s="19"/>
      <c r="AP2836" s="19"/>
      <c r="AQ2836" s="19"/>
      <c r="AR2836" s="19"/>
      <c r="AS2836" s="19"/>
      <c r="AT2836" s="19"/>
      <c r="AU2836" s="19"/>
      <c r="AV2836" s="19"/>
      <c r="AW2836" s="19"/>
      <c r="AX2836" s="19"/>
      <c r="AY2836" s="19"/>
      <c r="AZ2836" s="19"/>
      <c r="BA2836" s="19"/>
      <c r="BB2836" s="19"/>
      <c r="BC2836" s="19"/>
      <c r="BD2836" s="19"/>
      <c r="BE2836" s="19"/>
      <c r="BF2836" s="19"/>
      <c r="BG2836" s="19"/>
      <c r="BH2836" s="19"/>
      <c r="BI2836" s="19"/>
      <c r="BJ2836" s="19"/>
      <c r="BK2836" s="19"/>
      <c r="BL2836" s="19"/>
      <c r="BM2836" s="19"/>
      <c r="BN2836" s="19"/>
      <c r="BO2836" s="19"/>
      <c r="BP2836" s="19"/>
      <c r="BQ2836" s="19"/>
      <c r="BR2836" s="19"/>
      <c r="BS2836" s="19"/>
      <c r="BT2836" s="19"/>
      <c r="BU2836" s="19"/>
      <c r="BV2836" s="19"/>
      <c r="BW2836" s="19"/>
      <c r="BX2836" s="19"/>
      <c r="BY2836" s="19"/>
      <c r="BZ2836" s="19"/>
      <c r="CA2836" s="19"/>
      <c r="CB2836" s="19"/>
      <c r="CC2836" s="19"/>
      <c r="CD2836" s="139"/>
      <c r="CE2836" s="138"/>
      <c r="CF2836" s="139"/>
      <c r="CG2836" s="138"/>
      <c r="CH2836" s="139"/>
      <c r="CI2836" s="138"/>
      <c r="CJ2836" s="72"/>
      <c r="CK2836" s="139"/>
      <c r="CL2836" s="71"/>
      <c r="CM2836" s="139"/>
      <c r="CN2836" s="138"/>
      <c r="CO2836" s="138"/>
      <c r="CP2836" s="138"/>
      <c r="CQ2836" s="139"/>
      <c r="CR2836" s="138"/>
      <c r="CS2836" s="45"/>
      <c r="CT2836" s="138"/>
      <c r="CU2836" s="45"/>
      <c r="CV2836" s="99">
        <f t="shared" si="279"/>
        <v>0</v>
      </c>
      <c r="CW2836" s="139"/>
      <c r="CX2836" s="138"/>
      <c r="CY2836" s="138"/>
      <c r="CZ2836" s="138"/>
      <c r="DA2836" s="139"/>
      <c r="DB2836" s="138"/>
      <c r="DC2836" s="45"/>
      <c r="DD2836" s="138"/>
      <c r="DE2836" s="45"/>
      <c r="DF2836" s="46"/>
    </row>
    <row r="2837" spans="1:110" s="42" customFormat="1" ht="60" x14ac:dyDescent="0.2">
      <c r="A2837" s="89">
        <v>40876</v>
      </c>
      <c r="B2837" s="151" t="s">
        <v>4296</v>
      </c>
      <c r="C2837" s="90" t="s">
        <v>3352</v>
      </c>
      <c r="D2837" s="90" t="s">
        <v>4264</v>
      </c>
      <c r="E2837" s="90" t="str">
        <f>VLOOKUP(B2837&amp;C2837,Divipola!$C$2:$F$1138,4,FALSE)</f>
        <v>19532</v>
      </c>
      <c r="F2837" s="4"/>
      <c r="G2837" s="101"/>
      <c r="H2837" s="101"/>
      <c r="I2837" s="101">
        <v>1</v>
      </c>
      <c r="J2837" s="101">
        <v>135</v>
      </c>
      <c r="K2837" s="101">
        <v>27</v>
      </c>
      <c r="L2837" s="101"/>
      <c r="M2837" s="101">
        <v>27</v>
      </c>
      <c r="N2837" s="101"/>
      <c r="O2837" s="101"/>
      <c r="P2837" s="101"/>
      <c r="Q2837" s="101"/>
      <c r="R2837" s="101"/>
      <c r="S2837" s="101"/>
      <c r="T2837" s="101"/>
      <c r="U2837" s="101"/>
      <c r="V2837" s="101">
        <v>37</v>
      </c>
      <c r="W2837" s="19"/>
      <c r="X2837" s="17"/>
      <c r="Y2837" s="5">
        <f t="shared" si="274"/>
        <v>0</v>
      </c>
      <c r="Z2837" s="5">
        <f t="shared" si="275"/>
        <v>0</v>
      </c>
      <c r="AA2837" s="5">
        <f t="shared" si="276"/>
        <v>0</v>
      </c>
      <c r="AB2837" s="5">
        <f t="shared" si="277"/>
        <v>0</v>
      </c>
      <c r="AC2837" s="5"/>
      <c r="AD2837" s="5">
        <v>0</v>
      </c>
      <c r="AE2837" s="5">
        <f t="shared" si="278"/>
        <v>0</v>
      </c>
      <c r="AF2837" s="70">
        <v>0</v>
      </c>
      <c r="AG2837" s="17"/>
      <c r="AH2837" s="18"/>
      <c r="AI2837" s="47" t="s">
        <v>4336</v>
      </c>
      <c r="AJ2837" s="73" t="s">
        <v>4337</v>
      </c>
      <c r="AK2837" s="45"/>
      <c r="AL2837" s="17"/>
      <c r="AM2837" s="121" t="s">
        <v>5194</v>
      </c>
      <c r="AN2837" s="19"/>
      <c r="AO2837" s="19"/>
      <c r="AP2837" s="19"/>
      <c r="AQ2837" s="19"/>
      <c r="AR2837" s="19"/>
      <c r="AS2837" s="19"/>
      <c r="AT2837" s="19"/>
      <c r="AU2837" s="19"/>
      <c r="AV2837" s="19"/>
      <c r="AW2837" s="19"/>
      <c r="AX2837" s="19"/>
      <c r="AY2837" s="19"/>
      <c r="AZ2837" s="19"/>
      <c r="BA2837" s="19"/>
      <c r="BB2837" s="19"/>
      <c r="BC2837" s="19"/>
      <c r="BD2837" s="19"/>
      <c r="BE2837" s="19"/>
      <c r="BF2837" s="19"/>
      <c r="BG2837" s="19"/>
      <c r="BH2837" s="19"/>
      <c r="BI2837" s="19"/>
      <c r="BJ2837" s="19"/>
      <c r="BK2837" s="19"/>
      <c r="BL2837" s="19"/>
      <c r="BM2837" s="19"/>
      <c r="BN2837" s="19"/>
      <c r="BO2837" s="19"/>
      <c r="BP2837" s="19"/>
      <c r="BQ2837" s="19"/>
      <c r="BR2837" s="19"/>
      <c r="BS2837" s="19"/>
      <c r="BT2837" s="19"/>
      <c r="BU2837" s="19"/>
      <c r="BV2837" s="19"/>
      <c r="BW2837" s="19"/>
      <c r="BX2837" s="19"/>
      <c r="BY2837" s="19"/>
      <c r="BZ2837" s="19"/>
      <c r="CA2837" s="19"/>
      <c r="CB2837" s="19"/>
      <c r="CC2837" s="19"/>
      <c r="CD2837" s="139"/>
      <c r="CE2837" s="138"/>
      <c r="CF2837" s="139"/>
      <c r="CG2837" s="138"/>
      <c r="CH2837" s="139"/>
      <c r="CI2837" s="138"/>
      <c r="CJ2837" s="72"/>
      <c r="CK2837" s="139"/>
      <c r="CL2837" s="71"/>
      <c r="CM2837" s="139"/>
      <c r="CN2837" s="138"/>
      <c r="CO2837" s="138"/>
      <c r="CP2837" s="138"/>
      <c r="CQ2837" s="139"/>
      <c r="CR2837" s="138"/>
      <c r="CS2837" s="45"/>
      <c r="CT2837" s="138"/>
      <c r="CU2837" s="45"/>
      <c r="CV2837" s="99">
        <f t="shared" si="279"/>
        <v>0</v>
      </c>
      <c r="CW2837" s="139"/>
      <c r="CX2837" s="138"/>
      <c r="CY2837" s="138"/>
      <c r="CZ2837" s="138"/>
      <c r="DA2837" s="139"/>
      <c r="DB2837" s="138"/>
      <c r="DC2837" s="45"/>
      <c r="DD2837" s="138"/>
      <c r="DE2837" s="45"/>
      <c r="DF2837" s="46"/>
    </row>
    <row r="2838" spans="1:110" s="42" customFormat="1" ht="120" x14ac:dyDescent="0.2">
      <c r="A2838" s="89">
        <v>40876</v>
      </c>
      <c r="B2838" s="151" t="s">
        <v>4386</v>
      </c>
      <c r="C2838" s="90" t="s">
        <v>1570</v>
      </c>
      <c r="D2838" s="90" t="s">
        <v>2362</v>
      </c>
      <c r="E2838" s="90" t="str">
        <f>VLOOKUP(B2838&amp;C2838,Divipola!$C$2:$F$1138,4,FALSE)</f>
        <v>20570</v>
      </c>
      <c r="F2838" s="4"/>
      <c r="G2838" s="101"/>
      <c r="H2838" s="101"/>
      <c r="I2838" s="101">
        <v>2</v>
      </c>
      <c r="J2838" s="101"/>
      <c r="K2838" s="101"/>
      <c r="L2838" s="101"/>
      <c r="M2838" s="101"/>
      <c r="N2838" s="101"/>
      <c r="O2838" s="101"/>
      <c r="P2838" s="101"/>
      <c r="Q2838" s="101"/>
      <c r="R2838" s="101"/>
      <c r="S2838" s="101"/>
      <c r="T2838" s="101"/>
      <c r="U2838" s="101"/>
      <c r="V2838" s="101"/>
      <c r="W2838" s="19"/>
      <c r="X2838" s="17"/>
      <c r="Y2838" s="5">
        <f t="shared" si="274"/>
        <v>0</v>
      </c>
      <c r="Z2838" s="5">
        <f t="shared" si="275"/>
        <v>0</v>
      </c>
      <c r="AA2838" s="5">
        <f t="shared" si="276"/>
        <v>0</v>
      </c>
      <c r="AB2838" s="5">
        <f t="shared" si="277"/>
        <v>0</v>
      </c>
      <c r="AC2838" s="5"/>
      <c r="AD2838" s="5">
        <v>0</v>
      </c>
      <c r="AE2838" s="5">
        <f t="shared" si="278"/>
        <v>0</v>
      </c>
      <c r="AF2838" s="70">
        <v>0</v>
      </c>
      <c r="AG2838" s="17"/>
      <c r="AH2838" s="18"/>
      <c r="AI2838" s="47" t="s">
        <v>4336</v>
      </c>
      <c r="AJ2838" s="73" t="s">
        <v>4337</v>
      </c>
      <c r="AK2838" s="45"/>
      <c r="AL2838" s="17"/>
      <c r="AM2838" s="121" t="s">
        <v>5195</v>
      </c>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39"/>
      <c r="CE2838" s="138"/>
      <c r="CF2838" s="139"/>
      <c r="CG2838" s="138"/>
      <c r="CH2838" s="139"/>
      <c r="CI2838" s="138"/>
      <c r="CJ2838" s="72"/>
      <c r="CK2838" s="139"/>
      <c r="CL2838" s="71"/>
      <c r="CM2838" s="139"/>
      <c r="CN2838" s="138"/>
      <c r="CO2838" s="138"/>
      <c r="CP2838" s="138"/>
      <c r="CQ2838" s="139"/>
      <c r="CR2838" s="138"/>
      <c r="CS2838" s="45"/>
      <c r="CT2838" s="138"/>
      <c r="CU2838" s="45"/>
      <c r="CV2838" s="99">
        <f t="shared" si="279"/>
        <v>0</v>
      </c>
      <c r="CW2838" s="139"/>
      <c r="CX2838" s="138"/>
      <c r="CY2838" s="138"/>
      <c r="CZ2838" s="138"/>
      <c r="DA2838" s="139"/>
      <c r="DB2838" s="138"/>
      <c r="DC2838" s="45"/>
      <c r="DD2838" s="138"/>
      <c r="DE2838" s="45"/>
      <c r="DF2838" s="46"/>
    </row>
    <row r="2839" spans="1:110" s="42" customFormat="1" ht="48" x14ac:dyDescent="0.2">
      <c r="A2839" s="89">
        <v>40876</v>
      </c>
      <c r="B2839" s="151" t="s">
        <v>4352</v>
      </c>
      <c r="C2839" s="90" t="s">
        <v>4329</v>
      </c>
      <c r="D2839" s="90" t="s">
        <v>4264</v>
      </c>
      <c r="E2839" s="90" t="str">
        <f>VLOOKUP(B2839&amp;C2839,Divipola!$C$2:$F$1138,4,FALSE)</f>
        <v>13430</v>
      </c>
      <c r="F2839" s="4"/>
      <c r="G2839" s="101"/>
      <c r="H2839" s="101"/>
      <c r="I2839" s="101"/>
      <c r="J2839" s="101">
        <v>1136</v>
      </c>
      <c r="K2839" s="101">
        <v>284</v>
      </c>
      <c r="L2839" s="101"/>
      <c r="M2839" s="101">
        <v>284</v>
      </c>
      <c r="N2839" s="101"/>
      <c r="O2839" s="101"/>
      <c r="P2839" s="101"/>
      <c r="Q2839" s="101"/>
      <c r="R2839" s="101"/>
      <c r="S2839" s="101"/>
      <c r="T2839" s="101"/>
      <c r="U2839" s="101"/>
      <c r="V2839" s="101"/>
      <c r="W2839" s="19"/>
      <c r="X2839" s="17"/>
      <c r="Y2839" s="5">
        <f t="shared" si="274"/>
        <v>0</v>
      </c>
      <c r="Z2839" s="5">
        <f t="shared" si="275"/>
        <v>0</v>
      </c>
      <c r="AA2839" s="5">
        <f t="shared" si="276"/>
        <v>0</v>
      </c>
      <c r="AB2839" s="5">
        <f t="shared" si="277"/>
        <v>0</v>
      </c>
      <c r="AC2839" s="5"/>
      <c r="AD2839" s="5">
        <v>0</v>
      </c>
      <c r="AE2839" s="5">
        <f t="shared" si="278"/>
        <v>0</v>
      </c>
      <c r="AF2839" s="70">
        <v>0</v>
      </c>
      <c r="AG2839" s="17"/>
      <c r="AH2839" s="18"/>
      <c r="AI2839" s="47" t="s">
        <v>4336</v>
      </c>
      <c r="AJ2839" s="73" t="s">
        <v>4337</v>
      </c>
      <c r="AK2839" s="45"/>
      <c r="AL2839" s="17"/>
      <c r="AM2839" s="121" t="s">
        <v>5207</v>
      </c>
      <c r="AN2839" s="19"/>
      <c r="AO2839" s="19"/>
      <c r="AP2839" s="19"/>
      <c r="AQ2839" s="19"/>
      <c r="AR2839" s="19"/>
      <c r="AS2839" s="19"/>
      <c r="AT2839" s="19"/>
      <c r="AU2839" s="19"/>
      <c r="AV2839" s="19"/>
      <c r="AW2839" s="19"/>
      <c r="AX2839" s="19"/>
      <c r="AY2839" s="19"/>
      <c r="AZ2839" s="19"/>
      <c r="BA2839" s="19"/>
      <c r="BB2839" s="19"/>
      <c r="BC2839" s="19"/>
      <c r="BD2839" s="19"/>
      <c r="BE2839" s="19"/>
      <c r="BF2839" s="19"/>
      <c r="BG2839" s="19"/>
      <c r="BH2839" s="19"/>
      <c r="BI2839" s="19"/>
      <c r="BJ2839" s="19"/>
      <c r="BK2839" s="19"/>
      <c r="BL2839" s="19"/>
      <c r="BM2839" s="19"/>
      <c r="BN2839" s="19"/>
      <c r="BO2839" s="19"/>
      <c r="BP2839" s="19"/>
      <c r="BQ2839" s="19"/>
      <c r="BR2839" s="19"/>
      <c r="BS2839" s="19"/>
      <c r="BT2839" s="19"/>
      <c r="BU2839" s="19"/>
      <c r="BV2839" s="19"/>
      <c r="BW2839" s="19"/>
      <c r="BX2839" s="19"/>
      <c r="BY2839" s="19"/>
      <c r="BZ2839" s="19"/>
      <c r="CA2839" s="19"/>
      <c r="CB2839" s="19"/>
      <c r="CC2839" s="19"/>
      <c r="CD2839" s="139"/>
      <c r="CE2839" s="138"/>
      <c r="CF2839" s="139"/>
      <c r="CG2839" s="138"/>
      <c r="CH2839" s="139"/>
      <c r="CI2839" s="138"/>
      <c r="CJ2839" s="72"/>
      <c r="CK2839" s="139"/>
      <c r="CL2839" s="71"/>
      <c r="CM2839" s="139"/>
      <c r="CN2839" s="138"/>
      <c r="CO2839" s="138"/>
      <c r="CP2839" s="138"/>
      <c r="CQ2839" s="139"/>
      <c r="CR2839" s="138"/>
      <c r="CS2839" s="45"/>
      <c r="CT2839" s="138"/>
      <c r="CU2839" s="45"/>
      <c r="CV2839" s="99">
        <f t="shared" si="279"/>
        <v>0</v>
      </c>
      <c r="CW2839" s="139"/>
      <c r="CX2839" s="138"/>
      <c r="CY2839" s="138"/>
      <c r="CZ2839" s="138"/>
      <c r="DA2839" s="139"/>
      <c r="DB2839" s="138"/>
      <c r="DC2839" s="45"/>
      <c r="DD2839" s="138"/>
      <c r="DE2839" s="45"/>
      <c r="DF2839" s="46"/>
    </row>
    <row r="2840" spans="1:110" s="42" customFormat="1" ht="36" x14ac:dyDescent="0.2">
      <c r="A2840" s="89">
        <v>40876</v>
      </c>
      <c r="B2840" s="151" t="s">
        <v>4296</v>
      </c>
      <c r="C2840" s="90" t="s">
        <v>1506</v>
      </c>
      <c r="D2840" s="90" t="s">
        <v>2362</v>
      </c>
      <c r="E2840" s="90" t="str">
        <f>VLOOKUP(B2840&amp;C2840,Divipola!$C$2:$F$1138,4,FALSE)</f>
        <v>19622</v>
      </c>
      <c r="F2840" s="4"/>
      <c r="G2840" s="101"/>
      <c r="H2840" s="101"/>
      <c r="I2840" s="101"/>
      <c r="J2840" s="101">
        <v>375</v>
      </c>
      <c r="K2840" s="101">
        <v>75</v>
      </c>
      <c r="L2840" s="101"/>
      <c r="M2840" s="101">
        <v>75</v>
      </c>
      <c r="N2840" s="101"/>
      <c r="O2840" s="101"/>
      <c r="P2840" s="101"/>
      <c r="Q2840" s="101">
        <v>2</v>
      </c>
      <c r="R2840" s="101"/>
      <c r="S2840" s="101"/>
      <c r="T2840" s="101">
        <v>5</v>
      </c>
      <c r="U2840" s="101"/>
      <c r="V2840" s="101"/>
      <c r="W2840" s="19"/>
      <c r="X2840" s="17"/>
      <c r="Y2840" s="5">
        <f t="shared" si="274"/>
        <v>0</v>
      </c>
      <c r="Z2840" s="5">
        <f t="shared" si="275"/>
        <v>0</v>
      </c>
      <c r="AA2840" s="5">
        <f t="shared" si="276"/>
        <v>0</v>
      </c>
      <c r="AB2840" s="5">
        <f t="shared" si="277"/>
        <v>0</v>
      </c>
      <c r="AC2840" s="5"/>
      <c r="AD2840" s="5">
        <v>0</v>
      </c>
      <c r="AE2840" s="5">
        <f t="shared" si="278"/>
        <v>0</v>
      </c>
      <c r="AF2840" s="70">
        <v>0</v>
      </c>
      <c r="AG2840" s="17"/>
      <c r="AH2840" s="18"/>
      <c r="AI2840" s="47" t="s">
        <v>4336</v>
      </c>
      <c r="AJ2840" s="73" t="s">
        <v>4337</v>
      </c>
      <c r="AK2840" s="45"/>
      <c r="AL2840" s="17"/>
      <c r="AM2840" s="121" t="s">
        <v>5208</v>
      </c>
      <c r="AN2840" s="19"/>
      <c r="AO2840" s="19"/>
      <c r="AP2840" s="19"/>
      <c r="AQ2840" s="19"/>
      <c r="AR2840" s="19"/>
      <c r="AS2840" s="19"/>
      <c r="AT2840" s="19"/>
      <c r="AU2840" s="19"/>
      <c r="AV2840" s="19"/>
      <c r="AW2840" s="19"/>
      <c r="AX2840" s="19"/>
      <c r="AY2840" s="19"/>
      <c r="AZ2840" s="19"/>
      <c r="BA2840" s="19"/>
      <c r="BB2840" s="19"/>
      <c r="BC2840" s="19"/>
      <c r="BD2840" s="19"/>
      <c r="BE2840" s="19"/>
      <c r="BF2840" s="19"/>
      <c r="BG2840" s="19"/>
      <c r="BH2840" s="19"/>
      <c r="BI2840" s="19"/>
      <c r="BJ2840" s="19"/>
      <c r="BK2840" s="19"/>
      <c r="BL2840" s="19"/>
      <c r="BM2840" s="19"/>
      <c r="BN2840" s="19"/>
      <c r="BO2840" s="19"/>
      <c r="BP2840" s="19"/>
      <c r="BQ2840" s="19"/>
      <c r="BR2840" s="19"/>
      <c r="BS2840" s="19"/>
      <c r="BT2840" s="19"/>
      <c r="BU2840" s="19"/>
      <c r="BV2840" s="19"/>
      <c r="BW2840" s="19"/>
      <c r="BX2840" s="19"/>
      <c r="BY2840" s="19"/>
      <c r="BZ2840" s="19"/>
      <c r="CA2840" s="19"/>
      <c r="CB2840" s="19"/>
      <c r="CC2840" s="19"/>
      <c r="CD2840" s="139"/>
      <c r="CE2840" s="138"/>
      <c r="CF2840" s="139"/>
      <c r="CG2840" s="138"/>
      <c r="CH2840" s="139"/>
      <c r="CI2840" s="138"/>
      <c r="CJ2840" s="72"/>
      <c r="CK2840" s="139"/>
      <c r="CL2840" s="71"/>
      <c r="CM2840" s="139"/>
      <c r="CN2840" s="138"/>
      <c r="CO2840" s="138"/>
      <c r="CP2840" s="138"/>
      <c r="CQ2840" s="139"/>
      <c r="CR2840" s="138"/>
      <c r="CS2840" s="45"/>
      <c r="CT2840" s="138"/>
      <c r="CU2840" s="45"/>
      <c r="CV2840" s="99">
        <f t="shared" si="279"/>
        <v>0</v>
      </c>
      <c r="CW2840" s="139"/>
      <c r="CX2840" s="138"/>
      <c r="CY2840" s="138"/>
      <c r="CZ2840" s="138"/>
      <c r="DA2840" s="139"/>
      <c r="DB2840" s="138"/>
      <c r="DC2840" s="45"/>
      <c r="DD2840" s="138"/>
      <c r="DE2840" s="45"/>
      <c r="DF2840" s="46"/>
    </row>
    <row r="2841" spans="1:110" s="42" customFormat="1" ht="409.5" x14ac:dyDescent="0.2">
      <c r="A2841" s="89">
        <v>40876</v>
      </c>
      <c r="B2841" s="151" t="s">
        <v>874</v>
      </c>
      <c r="C2841" s="90" t="s">
        <v>3541</v>
      </c>
      <c r="D2841" s="90" t="s">
        <v>4264</v>
      </c>
      <c r="E2841" s="90" t="str">
        <f>VLOOKUP(B2841&amp;C2841,Divipola!$C$2:$F$1138,4,FALSE)</f>
        <v>44001</v>
      </c>
      <c r="F2841" s="4"/>
      <c r="G2841" s="101"/>
      <c r="H2841" s="101"/>
      <c r="I2841" s="101"/>
      <c r="J2841" s="101">
        <v>37228</v>
      </c>
      <c r="K2841" s="101">
        <v>7635</v>
      </c>
      <c r="L2841" s="101">
        <v>9</v>
      </c>
      <c r="M2841" s="101">
        <f>68+56</f>
        <v>124</v>
      </c>
      <c r="N2841" s="101"/>
      <c r="O2841" s="101"/>
      <c r="P2841" s="101"/>
      <c r="Q2841" s="101"/>
      <c r="R2841" s="101"/>
      <c r="S2841" s="101"/>
      <c r="T2841" s="101"/>
      <c r="U2841" s="101"/>
      <c r="V2841" s="101"/>
      <c r="W2841" s="19"/>
      <c r="X2841" s="17"/>
      <c r="Y2841" s="5">
        <f t="shared" si="274"/>
        <v>0</v>
      </c>
      <c r="Z2841" s="5">
        <f t="shared" si="275"/>
        <v>0</v>
      </c>
      <c r="AA2841" s="5">
        <f t="shared" si="276"/>
        <v>0</v>
      </c>
      <c r="AB2841" s="5">
        <f t="shared" si="277"/>
        <v>0</v>
      </c>
      <c r="AC2841" s="5"/>
      <c r="AD2841" s="5">
        <v>0</v>
      </c>
      <c r="AE2841" s="5">
        <f t="shared" si="278"/>
        <v>0</v>
      </c>
      <c r="AF2841" s="70">
        <v>0</v>
      </c>
      <c r="AG2841" s="17"/>
      <c r="AH2841" s="18"/>
      <c r="AI2841" s="47" t="s">
        <v>4346</v>
      </c>
      <c r="AJ2841" s="73" t="s">
        <v>4347</v>
      </c>
      <c r="AK2841" s="45"/>
      <c r="AL2841" s="17"/>
      <c r="AM2841" s="121" t="s">
        <v>5221</v>
      </c>
      <c r="AN2841" s="19"/>
      <c r="AO2841" s="19"/>
      <c r="AP2841" s="19"/>
      <c r="AQ2841" s="19"/>
      <c r="AR2841" s="19"/>
      <c r="AS2841" s="19"/>
      <c r="AT2841" s="19"/>
      <c r="AU2841" s="19"/>
      <c r="AV2841" s="19"/>
      <c r="AW2841" s="19"/>
      <c r="AX2841" s="19"/>
      <c r="AY2841" s="19"/>
      <c r="AZ2841" s="19"/>
      <c r="BA2841" s="19"/>
      <c r="BB2841" s="19"/>
      <c r="BC2841" s="19"/>
      <c r="BD2841" s="19"/>
      <c r="BE2841" s="19"/>
      <c r="BF2841" s="19"/>
      <c r="BG2841" s="19"/>
      <c r="BH2841" s="19"/>
      <c r="BI2841" s="19"/>
      <c r="BJ2841" s="19"/>
      <c r="BK2841" s="19"/>
      <c r="BL2841" s="19"/>
      <c r="BM2841" s="19"/>
      <c r="BN2841" s="19"/>
      <c r="BO2841" s="19"/>
      <c r="BP2841" s="19"/>
      <c r="BQ2841" s="19"/>
      <c r="BR2841" s="19"/>
      <c r="BS2841" s="19"/>
      <c r="BT2841" s="19"/>
      <c r="BU2841" s="19"/>
      <c r="BV2841" s="19"/>
      <c r="BW2841" s="19"/>
      <c r="BX2841" s="19"/>
      <c r="BY2841" s="19"/>
      <c r="BZ2841" s="19"/>
      <c r="CA2841" s="19"/>
      <c r="CB2841" s="19"/>
      <c r="CC2841" s="19"/>
      <c r="CD2841" s="139"/>
      <c r="CE2841" s="138"/>
      <c r="CF2841" s="139"/>
      <c r="CG2841" s="138"/>
      <c r="CH2841" s="139"/>
      <c r="CI2841" s="138"/>
      <c r="CJ2841" s="72"/>
      <c r="CK2841" s="139"/>
      <c r="CL2841" s="71"/>
      <c r="CM2841" s="139"/>
      <c r="CN2841" s="138"/>
      <c r="CO2841" s="138"/>
      <c r="CP2841" s="138"/>
      <c r="CQ2841" s="139"/>
      <c r="CR2841" s="138"/>
      <c r="CS2841" s="45"/>
      <c r="CT2841" s="138"/>
      <c r="CU2841" s="45"/>
      <c r="CV2841" s="99">
        <f t="shared" si="279"/>
        <v>0</v>
      </c>
      <c r="CW2841" s="139"/>
      <c r="CX2841" s="138"/>
      <c r="CY2841" s="138"/>
      <c r="CZ2841" s="138"/>
      <c r="DA2841" s="139"/>
      <c r="DB2841" s="138"/>
      <c r="DC2841" s="45"/>
      <c r="DD2841" s="138"/>
      <c r="DE2841" s="45"/>
      <c r="DF2841" s="46"/>
    </row>
    <row r="2842" spans="1:110" s="42" customFormat="1" ht="48" x14ac:dyDescent="0.2">
      <c r="A2842" s="89">
        <v>40876</v>
      </c>
      <c r="B2842" s="151" t="s">
        <v>2225</v>
      </c>
      <c r="C2842" s="90" t="s">
        <v>3381</v>
      </c>
      <c r="D2842" s="90" t="s">
        <v>4264</v>
      </c>
      <c r="E2842" s="90" t="str">
        <f>VLOOKUP(B2842&amp;C2842,Divipola!$C$2:$F$1138,4,FALSE)</f>
        <v>27615</v>
      </c>
      <c r="F2842" s="4"/>
      <c r="G2842" s="194">
        <v>1</v>
      </c>
      <c r="H2842" s="194"/>
      <c r="I2842" s="194"/>
      <c r="J2842" s="194"/>
      <c r="K2842" s="194"/>
      <c r="L2842" s="194"/>
      <c r="M2842" s="194"/>
      <c r="N2842" s="194"/>
      <c r="O2842" s="194"/>
      <c r="P2842" s="194"/>
      <c r="Q2842" s="194"/>
      <c r="R2842" s="194"/>
      <c r="S2842" s="194"/>
      <c r="T2842" s="194"/>
      <c r="U2842" s="194"/>
      <c r="V2842" s="194"/>
      <c r="W2842" s="19"/>
      <c r="X2842" s="17"/>
      <c r="Y2842" s="5">
        <f t="shared" si="274"/>
        <v>0</v>
      </c>
      <c r="Z2842" s="5">
        <f t="shared" si="275"/>
        <v>0</v>
      </c>
      <c r="AA2842" s="5">
        <f t="shared" si="276"/>
        <v>0</v>
      </c>
      <c r="AB2842" s="5">
        <f t="shared" si="277"/>
        <v>0</v>
      </c>
      <c r="AC2842" s="5"/>
      <c r="AD2842" s="5">
        <v>0</v>
      </c>
      <c r="AE2842" s="5">
        <f t="shared" si="278"/>
        <v>0</v>
      </c>
      <c r="AF2842" s="70">
        <v>0</v>
      </c>
      <c r="AG2842" s="17"/>
      <c r="AH2842" s="18"/>
      <c r="AI2842" s="47" t="s">
        <v>4336</v>
      </c>
      <c r="AJ2842" s="73" t="s">
        <v>4337</v>
      </c>
      <c r="AK2842" s="45"/>
      <c r="AL2842" s="17"/>
      <c r="AM2842" s="195" t="s">
        <v>5228</v>
      </c>
      <c r="AN2842" s="19"/>
      <c r="AO2842" s="19"/>
      <c r="AP2842" s="19"/>
      <c r="AQ2842" s="19"/>
      <c r="AR2842" s="19"/>
      <c r="AS2842" s="19"/>
      <c r="AT2842" s="19"/>
      <c r="AU2842" s="19"/>
      <c r="AV2842" s="19"/>
      <c r="AW2842" s="19"/>
      <c r="AX2842" s="19"/>
      <c r="AY2842" s="19"/>
      <c r="AZ2842" s="19"/>
      <c r="BA2842" s="19"/>
      <c r="BB2842" s="19"/>
      <c r="BC2842" s="19"/>
      <c r="BD2842" s="19"/>
      <c r="BE2842" s="19"/>
      <c r="BF2842" s="19"/>
      <c r="BG2842" s="19"/>
      <c r="BH2842" s="19"/>
      <c r="BI2842" s="19"/>
      <c r="BJ2842" s="19"/>
      <c r="BK2842" s="19"/>
      <c r="BL2842" s="19"/>
      <c r="BM2842" s="19"/>
      <c r="BN2842" s="19"/>
      <c r="BO2842" s="19"/>
      <c r="BP2842" s="19"/>
      <c r="BQ2842" s="19"/>
      <c r="BR2842" s="19"/>
      <c r="BS2842" s="19"/>
      <c r="BT2842" s="19"/>
      <c r="BU2842" s="19"/>
      <c r="BV2842" s="19"/>
      <c r="BW2842" s="19"/>
      <c r="BX2842" s="19"/>
      <c r="BY2842" s="19"/>
      <c r="BZ2842" s="19"/>
      <c r="CA2842" s="19"/>
      <c r="CB2842" s="19"/>
      <c r="CC2842" s="19"/>
      <c r="CD2842" s="139"/>
      <c r="CE2842" s="138"/>
      <c r="CF2842" s="139"/>
      <c r="CG2842" s="138"/>
      <c r="CH2842" s="139"/>
      <c r="CI2842" s="138"/>
      <c r="CJ2842" s="72"/>
      <c r="CK2842" s="139"/>
      <c r="CL2842" s="71"/>
      <c r="CM2842" s="139"/>
      <c r="CN2842" s="138"/>
      <c r="CO2842" s="138"/>
      <c r="CP2842" s="138"/>
      <c r="CQ2842" s="139"/>
      <c r="CR2842" s="138"/>
      <c r="CS2842" s="45"/>
      <c r="CT2842" s="138"/>
      <c r="CU2842" s="45"/>
      <c r="CV2842" s="99">
        <f t="shared" si="279"/>
        <v>0</v>
      </c>
      <c r="CW2842" s="139"/>
      <c r="CX2842" s="138"/>
      <c r="CY2842" s="138"/>
      <c r="CZ2842" s="138"/>
      <c r="DA2842" s="139"/>
      <c r="DB2842" s="138"/>
      <c r="DC2842" s="45"/>
      <c r="DD2842" s="138"/>
      <c r="DE2842" s="45"/>
      <c r="DF2842" s="46"/>
    </row>
    <row r="2843" spans="1:110" s="42" customFormat="1" ht="60" x14ac:dyDescent="0.2">
      <c r="A2843" s="89">
        <v>40876</v>
      </c>
      <c r="B2843" s="151" t="s">
        <v>4221</v>
      </c>
      <c r="C2843" s="90" t="s">
        <v>3545</v>
      </c>
      <c r="D2843" s="90" t="s">
        <v>4264</v>
      </c>
      <c r="E2843" s="90" t="str">
        <f>VLOOKUP(B2843&amp;C2843,Divipola!$C$2:$F$1138,4,FALSE)</f>
        <v>54418</v>
      </c>
      <c r="F2843" s="4"/>
      <c r="G2843" s="208"/>
      <c r="H2843" s="208"/>
      <c r="I2843" s="208"/>
      <c r="J2843" s="208"/>
      <c r="K2843" s="208"/>
      <c r="L2843" s="208"/>
      <c r="M2843" s="208"/>
      <c r="N2843" s="208"/>
      <c r="O2843" s="208"/>
      <c r="P2843" s="208"/>
      <c r="Q2843" s="208"/>
      <c r="R2843" s="208"/>
      <c r="S2843" s="208"/>
      <c r="T2843" s="208"/>
      <c r="U2843" s="208"/>
      <c r="V2843" s="208"/>
      <c r="W2843" s="19"/>
      <c r="X2843" s="17"/>
      <c r="Y2843" s="5">
        <f t="shared" si="274"/>
        <v>0</v>
      </c>
      <c r="Z2843" s="5">
        <f t="shared" si="275"/>
        <v>0</v>
      </c>
      <c r="AA2843" s="5">
        <f t="shared" si="276"/>
        <v>0</v>
      </c>
      <c r="AB2843" s="5">
        <f t="shared" si="277"/>
        <v>0</v>
      </c>
      <c r="AC2843" s="159">
        <f>2000*29738.92+130*72000+200*170000+100*116999.92+100*90319.92+300*98000+300*9001.6</f>
        <v>155670304</v>
      </c>
      <c r="AD2843" s="5">
        <v>0</v>
      </c>
      <c r="AE2843" s="5">
        <f t="shared" si="278"/>
        <v>155670304</v>
      </c>
      <c r="AF2843" s="70">
        <v>0</v>
      </c>
      <c r="AG2843" s="17"/>
      <c r="AH2843" s="18"/>
      <c r="AI2843" s="47" t="s">
        <v>4346</v>
      </c>
      <c r="AJ2843" s="73" t="s">
        <v>4347</v>
      </c>
      <c r="AK2843" s="45"/>
      <c r="AL2843" s="17"/>
      <c r="AM2843" s="154" t="s">
        <v>5257</v>
      </c>
      <c r="AN2843" s="19"/>
      <c r="AO2843" s="19"/>
      <c r="AP2843" s="19"/>
      <c r="AQ2843" s="19"/>
      <c r="AR2843" s="19"/>
      <c r="AS2843" s="19"/>
      <c r="AT2843" s="19"/>
      <c r="AU2843" s="19"/>
      <c r="AV2843" s="19"/>
      <c r="AW2843" s="19"/>
      <c r="AX2843" s="19"/>
      <c r="AY2843" s="19"/>
      <c r="AZ2843" s="19"/>
      <c r="BA2843" s="19"/>
      <c r="BB2843" s="19"/>
      <c r="BC2843" s="19"/>
      <c r="BD2843" s="19"/>
      <c r="BE2843" s="19"/>
      <c r="BF2843" s="19"/>
      <c r="BG2843" s="19"/>
      <c r="BH2843" s="19"/>
      <c r="BI2843" s="19"/>
      <c r="BJ2843" s="19"/>
      <c r="BK2843" s="19"/>
      <c r="BL2843" s="19"/>
      <c r="BM2843" s="19"/>
      <c r="BN2843" s="19"/>
      <c r="BO2843" s="19"/>
      <c r="BP2843" s="19"/>
      <c r="BQ2843" s="19"/>
      <c r="BR2843" s="19"/>
      <c r="BS2843" s="19"/>
      <c r="BT2843" s="19"/>
      <c r="BU2843" s="19"/>
      <c r="BV2843" s="19"/>
      <c r="BW2843" s="19"/>
      <c r="BX2843" s="19"/>
      <c r="BY2843" s="19"/>
      <c r="BZ2843" s="19"/>
      <c r="CA2843" s="19"/>
      <c r="CB2843" s="19"/>
      <c r="CC2843" s="19"/>
      <c r="CD2843" s="139"/>
      <c r="CE2843" s="138"/>
      <c r="CF2843" s="139"/>
      <c r="CG2843" s="138"/>
      <c r="CH2843" s="139"/>
      <c r="CI2843" s="138"/>
      <c r="CJ2843" s="72"/>
      <c r="CK2843" s="139"/>
      <c r="CL2843" s="71"/>
      <c r="CM2843" s="139"/>
      <c r="CN2843" s="138"/>
      <c r="CO2843" s="138"/>
      <c r="CP2843" s="138"/>
      <c r="CQ2843" s="139"/>
      <c r="CR2843" s="138"/>
      <c r="CS2843" s="45"/>
      <c r="CT2843" s="138"/>
      <c r="CU2843" s="45"/>
      <c r="CV2843" s="99">
        <f t="shared" si="279"/>
        <v>0</v>
      </c>
      <c r="CW2843" s="139"/>
      <c r="CX2843" s="138"/>
      <c r="CY2843" s="138"/>
      <c r="CZ2843" s="138"/>
      <c r="DA2843" s="139"/>
      <c r="DB2843" s="138"/>
      <c r="DC2843" s="45"/>
      <c r="DD2843" s="138"/>
      <c r="DE2843" s="45"/>
      <c r="DF2843" s="46"/>
    </row>
    <row r="2844" spans="1:110" s="42" customFormat="1" ht="22.5" x14ac:dyDescent="0.2">
      <c r="A2844" s="89">
        <v>40876</v>
      </c>
      <c r="B2844" s="151" t="s">
        <v>4221</v>
      </c>
      <c r="C2844" s="16" t="s">
        <v>3296</v>
      </c>
      <c r="D2844" s="90" t="s">
        <v>4264</v>
      </c>
      <c r="E2844" s="90" t="str">
        <f>VLOOKUP(B2844&amp;C2844,Divipola!$C$2:$F$1138,4,FALSE)</f>
        <v>54673</v>
      </c>
      <c r="F2844" s="4"/>
      <c r="G2844" s="208"/>
      <c r="H2844" s="208"/>
      <c r="I2844" s="208"/>
      <c r="J2844" s="208"/>
      <c r="K2844" s="208"/>
      <c r="L2844" s="208"/>
      <c r="M2844" s="208"/>
      <c r="N2844" s="208"/>
      <c r="O2844" s="208"/>
      <c r="P2844" s="208"/>
      <c r="Q2844" s="208"/>
      <c r="R2844" s="208"/>
      <c r="S2844" s="208"/>
      <c r="T2844" s="208"/>
      <c r="U2844" s="208"/>
      <c r="V2844" s="208"/>
      <c r="W2844" s="19"/>
      <c r="X2844" s="17"/>
      <c r="Y2844" s="5">
        <f t="shared" si="274"/>
        <v>0</v>
      </c>
      <c r="Z2844" s="5">
        <f t="shared" si="275"/>
        <v>0</v>
      </c>
      <c r="AA2844" s="5">
        <f t="shared" si="276"/>
        <v>0</v>
      </c>
      <c r="AB2844" s="5">
        <f t="shared" si="277"/>
        <v>0</v>
      </c>
      <c r="AC2844" s="159">
        <f>50*90319.92</f>
        <v>4515996</v>
      </c>
      <c r="AD2844" s="5">
        <v>0</v>
      </c>
      <c r="AE2844" s="5">
        <f t="shared" si="278"/>
        <v>4515996</v>
      </c>
      <c r="AF2844" s="70">
        <v>0</v>
      </c>
      <c r="AG2844" s="17"/>
      <c r="AH2844" s="18"/>
      <c r="AI2844" s="47" t="s">
        <v>4346</v>
      </c>
      <c r="AJ2844" s="73" t="s">
        <v>4347</v>
      </c>
      <c r="AK2844" s="45"/>
      <c r="AL2844" s="17"/>
      <c r="AM2844" s="154" t="s">
        <v>5258</v>
      </c>
      <c r="AN2844" s="19"/>
      <c r="AO2844" s="19"/>
      <c r="AP2844" s="19"/>
      <c r="AQ2844" s="19"/>
      <c r="AR2844" s="19"/>
      <c r="AS2844" s="19"/>
      <c r="AT2844" s="19"/>
      <c r="AU2844" s="19"/>
      <c r="AV2844" s="19"/>
      <c r="AW2844" s="19"/>
      <c r="AX2844" s="19"/>
      <c r="AY2844" s="19"/>
      <c r="AZ2844" s="19"/>
      <c r="BA2844" s="19"/>
      <c r="BB2844" s="19"/>
      <c r="BC2844" s="19"/>
      <c r="BD2844" s="19"/>
      <c r="BE2844" s="19"/>
      <c r="BF2844" s="19"/>
      <c r="BG2844" s="19"/>
      <c r="BH2844" s="19"/>
      <c r="BI2844" s="19"/>
      <c r="BJ2844" s="19"/>
      <c r="BK2844" s="19"/>
      <c r="BL2844" s="19"/>
      <c r="BM2844" s="19"/>
      <c r="BN2844" s="19"/>
      <c r="BO2844" s="19"/>
      <c r="BP2844" s="19"/>
      <c r="BQ2844" s="19"/>
      <c r="BR2844" s="19"/>
      <c r="BS2844" s="19"/>
      <c r="BT2844" s="19"/>
      <c r="BU2844" s="19"/>
      <c r="BV2844" s="19"/>
      <c r="BW2844" s="19"/>
      <c r="BX2844" s="19"/>
      <c r="BY2844" s="19"/>
      <c r="BZ2844" s="19"/>
      <c r="CA2844" s="19"/>
      <c r="CB2844" s="19"/>
      <c r="CC2844" s="19"/>
      <c r="CD2844" s="139"/>
      <c r="CE2844" s="138"/>
      <c r="CF2844" s="139"/>
      <c r="CG2844" s="138"/>
      <c r="CH2844" s="139"/>
      <c r="CI2844" s="138"/>
      <c r="CJ2844" s="72"/>
      <c r="CK2844" s="139"/>
      <c r="CL2844" s="71"/>
      <c r="CM2844" s="139"/>
      <c r="CN2844" s="138"/>
      <c r="CO2844" s="138"/>
      <c r="CP2844" s="138"/>
      <c r="CQ2844" s="139"/>
      <c r="CR2844" s="138"/>
      <c r="CS2844" s="45"/>
      <c r="CT2844" s="138"/>
      <c r="CU2844" s="45"/>
      <c r="CV2844" s="99">
        <f t="shared" si="279"/>
        <v>0</v>
      </c>
      <c r="CW2844" s="139"/>
      <c r="CX2844" s="138"/>
      <c r="CY2844" s="138"/>
      <c r="CZ2844" s="138"/>
      <c r="DA2844" s="139"/>
      <c r="DB2844" s="138"/>
      <c r="DC2844" s="45"/>
      <c r="DD2844" s="138"/>
      <c r="DE2844" s="45"/>
      <c r="DF2844" s="46"/>
    </row>
    <row r="2845" spans="1:110" s="42" customFormat="1" ht="252" x14ac:dyDescent="0.2">
      <c r="A2845" s="89">
        <v>40876</v>
      </c>
      <c r="B2845" s="151" t="s">
        <v>4296</v>
      </c>
      <c r="C2845" s="90" t="s">
        <v>2252</v>
      </c>
      <c r="D2845" s="90" t="s">
        <v>4264</v>
      </c>
      <c r="E2845" s="90" t="str">
        <f>VLOOKUP(B2845&amp;C2845,Divipola!$C$2:$F$1138,4,FALSE)</f>
        <v>19513</v>
      </c>
      <c r="F2845" s="4"/>
      <c r="G2845" s="101"/>
      <c r="H2845" s="101"/>
      <c r="I2845" s="101"/>
      <c r="J2845" s="101">
        <v>200</v>
      </c>
      <c r="K2845" s="101">
        <v>40</v>
      </c>
      <c r="L2845" s="101">
        <v>40</v>
      </c>
      <c r="M2845" s="101"/>
      <c r="N2845" s="101"/>
      <c r="O2845" s="101"/>
      <c r="P2845" s="101"/>
      <c r="Q2845" s="101"/>
      <c r="R2845" s="101"/>
      <c r="S2845" s="101"/>
      <c r="T2845" s="101">
        <v>5</v>
      </c>
      <c r="U2845" s="101"/>
      <c r="V2845" s="101"/>
      <c r="W2845" s="19"/>
      <c r="X2845" s="17"/>
      <c r="Y2845" s="5">
        <f t="shared" si="274"/>
        <v>0</v>
      </c>
      <c r="Z2845" s="5">
        <f t="shared" si="275"/>
        <v>0</v>
      </c>
      <c r="AA2845" s="5">
        <f t="shared" si="276"/>
        <v>0</v>
      </c>
      <c r="AB2845" s="5">
        <f t="shared" si="277"/>
        <v>0</v>
      </c>
      <c r="AC2845" s="5"/>
      <c r="AD2845" s="5">
        <v>0</v>
      </c>
      <c r="AE2845" s="5">
        <f t="shared" si="278"/>
        <v>0</v>
      </c>
      <c r="AF2845" s="70">
        <v>0</v>
      </c>
      <c r="AG2845" s="17"/>
      <c r="AH2845" s="18"/>
      <c r="AI2845" s="47" t="s">
        <v>4336</v>
      </c>
      <c r="AJ2845" s="73" t="s">
        <v>4337</v>
      </c>
      <c r="AK2845" s="45"/>
      <c r="AL2845" s="17"/>
      <c r="AM2845" s="121" t="s">
        <v>5316</v>
      </c>
      <c r="AN2845" s="19"/>
      <c r="AO2845" s="19"/>
      <c r="AP2845" s="19"/>
      <c r="AQ2845" s="19"/>
      <c r="AR2845" s="19"/>
      <c r="AS2845" s="19"/>
      <c r="AT2845" s="19"/>
      <c r="AU2845" s="19"/>
      <c r="AV2845" s="19"/>
      <c r="AW2845" s="19"/>
      <c r="AX2845" s="19"/>
      <c r="AY2845" s="19"/>
      <c r="AZ2845" s="19"/>
      <c r="BA2845" s="19"/>
      <c r="BB2845" s="19"/>
      <c r="BC2845" s="19"/>
      <c r="BD2845" s="19"/>
      <c r="BE2845" s="19"/>
      <c r="BF2845" s="19"/>
      <c r="BG2845" s="19"/>
      <c r="BH2845" s="19"/>
      <c r="BI2845" s="19"/>
      <c r="BJ2845" s="19"/>
      <c r="BK2845" s="19"/>
      <c r="BL2845" s="19"/>
      <c r="BM2845" s="19"/>
      <c r="BN2845" s="19"/>
      <c r="BO2845" s="19"/>
      <c r="BP2845" s="19"/>
      <c r="BQ2845" s="19"/>
      <c r="BR2845" s="19"/>
      <c r="BS2845" s="19"/>
      <c r="BT2845" s="19"/>
      <c r="BU2845" s="19"/>
      <c r="BV2845" s="19"/>
      <c r="BW2845" s="19"/>
      <c r="BX2845" s="19"/>
      <c r="BY2845" s="19"/>
      <c r="BZ2845" s="19"/>
      <c r="CA2845" s="19"/>
      <c r="CB2845" s="19"/>
      <c r="CC2845" s="19"/>
      <c r="CD2845" s="139"/>
      <c r="CE2845" s="138"/>
      <c r="CF2845" s="139"/>
      <c r="CG2845" s="138"/>
      <c r="CH2845" s="139"/>
      <c r="CI2845" s="138"/>
      <c r="CJ2845" s="72"/>
      <c r="CK2845" s="139"/>
      <c r="CL2845" s="71"/>
      <c r="CM2845" s="139"/>
      <c r="CN2845" s="138"/>
      <c r="CO2845" s="138"/>
      <c r="CP2845" s="138"/>
      <c r="CQ2845" s="139"/>
      <c r="CR2845" s="138"/>
      <c r="CS2845" s="45"/>
      <c r="CT2845" s="138"/>
      <c r="CU2845" s="45"/>
      <c r="CV2845" s="99">
        <f t="shared" si="279"/>
        <v>0</v>
      </c>
      <c r="CW2845" s="139"/>
      <c r="CX2845" s="138"/>
      <c r="CY2845" s="138"/>
      <c r="CZ2845" s="138"/>
      <c r="DA2845" s="139"/>
      <c r="DB2845" s="138"/>
      <c r="DC2845" s="45"/>
      <c r="DD2845" s="138"/>
      <c r="DE2845" s="45"/>
      <c r="DF2845" s="46"/>
    </row>
    <row r="2846" spans="1:110" s="42" customFormat="1" ht="24" x14ac:dyDescent="0.2">
      <c r="A2846" s="89">
        <v>40876</v>
      </c>
      <c r="B2846" s="151" t="s">
        <v>874</v>
      </c>
      <c r="C2846" s="90" t="s">
        <v>4345</v>
      </c>
      <c r="D2846" s="90" t="s">
        <v>4264</v>
      </c>
      <c r="E2846" s="90">
        <f>VLOOKUP(B2846&amp;C2846,Divipola!$C$2:$F$1138,4,FALSE)</f>
        <v>44</v>
      </c>
      <c r="F2846" s="4"/>
      <c r="G2846" s="208"/>
      <c r="H2846" s="208"/>
      <c r="I2846" s="208"/>
      <c r="J2846" s="208"/>
      <c r="K2846" s="208"/>
      <c r="L2846" s="208"/>
      <c r="M2846" s="208"/>
      <c r="N2846" s="208"/>
      <c r="O2846" s="208"/>
      <c r="P2846" s="208"/>
      <c r="Q2846" s="208"/>
      <c r="R2846" s="208"/>
      <c r="S2846" s="208"/>
      <c r="T2846" s="208"/>
      <c r="U2846" s="208"/>
      <c r="V2846" s="208"/>
      <c r="W2846" s="19"/>
      <c r="X2846" s="17"/>
      <c r="Y2846" s="5">
        <f t="shared" si="274"/>
        <v>53069500</v>
      </c>
      <c r="Z2846" s="5">
        <f t="shared" si="275"/>
        <v>445825000</v>
      </c>
      <c r="AA2846" s="5">
        <f t="shared" si="276"/>
        <v>0</v>
      </c>
      <c r="AB2846" s="5">
        <f t="shared" si="277"/>
        <v>2731800</v>
      </c>
      <c r="AC2846" s="5"/>
      <c r="AD2846" s="5">
        <v>0</v>
      </c>
      <c r="AE2846" s="5">
        <f t="shared" si="278"/>
        <v>501626300</v>
      </c>
      <c r="AF2846" s="70">
        <v>0</v>
      </c>
      <c r="AG2846" s="17"/>
      <c r="AH2846" s="18"/>
      <c r="AI2846" s="47" t="s">
        <v>4346</v>
      </c>
      <c r="AJ2846" s="73" t="s">
        <v>4347</v>
      </c>
      <c r="AK2846" s="45"/>
      <c r="AL2846" s="17"/>
      <c r="AM2846" s="20" t="s">
        <v>5327</v>
      </c>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v>1689</v>
      </c>
      <c r="BM2846" s="19">
        <f>1689*25500</f>
        <v>43069500</v>
      </c>
      <c r="BN2846" s="19"/>
      <c r="BO2846" s="19"/>
      <c r="BP2846" s="19"/>
      <c r="BQ2846" s="19"/>
      <c r="BR2846" s="19"/>
      <c r="BS2846" s="19"/>
      <c r="BT2846" s="19"/>
      <c r="BU2846" s="19"/>
      <c r="BV2846" s="19"/>
      <c r="BW2846" s="19"/>
      <c r="BX2846" s="19"/>
      <c r="BY2846" s="19"/>
      <c r="BZ2846" s="19">
        <v>20</v>
      </c>
      <c r="CA2846" s="19">
        <f>20*500000</f>
        <v>10000000</v>
      </c>
      <c r="CB2846" s="19"/>
      <c r="CC2846" s="19"/>
      <c r="CD2846" s="139"/>
      <c r="CE2846" s="138"/>
      <c r="CF2846" s="139"/>
      <c r="CG2846" s="138"/>
      <c r="CH2846" s="139"/>
      <c r="CI2846" s="138"/>
      <c r="CJ2846" s="72"/>
      <c r="CK2846" s="139"/>
      <c r="CL2846" s="71"/>
      <c r="CM2846" s="139"/>
      <c r="CN2846" s="138"/>
      <c r="CO2846" s="138"/>
      <c r="CP2846" s="138"/>
      <c r="CQ2846" s="139"/>
      <c r="CR2846" s="138"/>
      <c r="CS2846" s="45"/>
      <c r="CT2846" s="138"/>
      <c r="CU2846" s="45"/>
      <c r="CV2846" s="99">
        <f t="shared" si="279"/>
        <v>53069500</v>
      </c>
      <c r="CW2846" s="139">
        <v>3000</v>
      </c>
      <c r="CX2846" s="138">
        <f>3000*910.6</f>
        <v>2731800</v>
      </c>
      <c r="CY2846" s="138">
        <f>5000+245</f>
        <v>5245</v>
      </c>
      <c r="CZ2846" s="138">
        <f>500*85000+245*85000+2000*85000+2500*85000</f>
        <v>445825000</v>
      </c>
      <c r="DA2846" s="139"/>
      <c r="DB2846" s="138"/>
      <c r="DC2846" s="45"/>
      <c r="DD2846" s="138"/>
      <c r="DE2846" s="45"/>
      <c r="DF2846" s="46"/>
    </row>
    <row r="2847" spans="1:110" s="42" customFormat="1" ht="48" x14ac:dyDescent="0.2">
      <c r="A2847" s="89">
        <v>40876</v>
      </c>
      <c r="B2847" s="151" t="s">
        <v>4387</v>
      </c>
      <c r="C2847" s="90" t="s">
        <v>3330</v>
      </c>
      <c r="D2847" s="90" t="s">
        <v>2362</v>
      </c>
      <c r="E2847" s="90" t="str">
        <f>VLOOKUP(B2847&amp;C2847,Divipola!$C$2:$F$1138,4,FALSE)</f>
        <v>52678</v>
      </c>
      <c r="F2847" s="4"/>
      <c r="G2847" s="194"/>
      <c r="H2847" s="194">
        <v>2</v>
      </c>
      <c r="I2847" s="194"/>
      <c r="J2847" s="194">
        <v>12</v>
      </c>
      <c r="K2847" s="194">
        <v>3</v>
      </c>
      <c r="L2847" s="194"/>
      <c r="M2847" s="194">
        <v>3</v>
      </c>
      <c r="N2847" s="194">
        <v>3</v>
      </c>
      <c r="O2847" s="194"/>
      <c r="P2847" s="194"/>
      <c r="Q2847" s="194"/>
      <c r="R2847" s="194"/>
      <c r="S2847" s="194"/>
      <c r="T2847" s="194"/>
      <c r="U2847" s="194"/>
      <c r="V2847" s="194"/>
      <c r="W2847" s="19"/>
      <c r="X2847" s="17"/>
      <c r="Y2847" s="5">
        <f t="shared" si="274"/>
        <v>0</v>
      </c>
      <c r="Z2847" s="5">
        <f t="shared" si="275"/>
        <v>0</v>
      </c>
      <c r="AA2847" s="5">
        <f t="shared" si="276"/>
        <v>0</v>
      </c>
      <c r="AB2847" s="5">
        <f t="shared" si="277"/>
        <v>0</v>
      </c>
      <c r="AC2847" s="5"/>
      <c r="AD2847" s="5">
        <v>0</v>
      </c>
      <c r="AE2847" s="5">
        <f t="shared" si="278"/>
        <v>0</v>
      </c>
      <c r="AF2847" s="70">
        <v>0</v>
      </c>
      <c r="AG2847" s="17"/>
      <c r="AH2847" s="18"/>
      <c r="AI2847" s="47" t="s">
        <v>4336</v>
      </c>
      <c r="AJ2847" s="73" t="s">
        <v>4337</v>
      </c>
      <c r="AK2847" s="45"/>
      <c r="AL2847" s="17"/>
      <c r="AM2847" s="195" t="s">
        <v>5437</v>
      </c>
      <c r="AN2847" s="19"/>
      <c r="AO2847" s="19"/>
      <c r="AP2847" s="19"/>
      <c r="AQ2847" s="19"/>
      <c r="AR2847" s="19"/>
      <c r="AS2847" s="19"/>
      <c r="AT2847" s="19"/>
      <c r="AU2847" s="19"/>
      <c r="AV2847" s="19"/>
      <c r="AW2847" s="19"/>
      <c r="AX2847" s="19"/>
      <c r="AY2847" s="19"/>
      <c r="AZ2847" s="19"/>
      <c r="BA2847" s="19"/>
      <c r="BB2847" s="19"/>
      <c r="BC2847" s="19"/>
      <c r="BD2847" s="19"/>
      <c r="BE2847" s="19"/>
      <c r="BF2847" s="19"/>
      <c r="BG2847" s="19"/>
      <c r="BH2847" s="19"/>
      <c r="BI2847" s="19"/>
      <c r="BJ2847" s="19"/>
      <c r="BK2847" s="19"/>
      <c r="BL2847" s="19"/>
      <c r="BM2847" s="19"/>
      <c r="BN2847" s="19"/>
      <c r="BO2847" s="19"/>
      <c r="BP2847" s="19"/>
      <c r="BQ2847" s="19"/>
      <c r="BR2847" s="19"/>
      <c r="BS2847" s="19"/>
      <c r="BT2847" s="19"/>
      <c r="BU2847" s="19"/>
      <c r="BV2847" s="19"/>
      <c r="BW2847" s="19"/>
      <c r="BX2847" s="19"/>
      <c r="BY2847" s="19"/>
      <c r="BZ2847" s="19"/>
      <c r="CA2847" s="19"/>
      <c r="CB2847" s="19"/>
      <c r="CC2847" s="19"/>
      <c r="CD2847" s="139"/>
      <c r="CE2847" s="138"/>
      <c r="CF2847" s="139"/>
      <c r="CG2847" s="138"/>
      <c r="CH2847" s="139"/>
      <c r="CI2847" s="138"/>
      <c r="CJ2847" s="72"/>
      <c r="CK2847" s="139"/>
      <c r="CL2847" s="71"/>
      <c r="CM2847" s="139"/>
      <c r="CN2847" s="138"/>
      <c r="CO2847" s="138"/>
      <c r="CP2847" s="138"/>
      <c r="CQ2847" s="139"/>
      <c r="CR2847" s="138"/>
      <c r="CS2847" s="45"/>
      <c r="CT2847" s="138"/>
      <c r="CU2847" s="45"/>
      <c r="CV2847" s="99">
        <f t="shared" si="279"/>
        <v>0</v>
      </c>
      <c r="CW2847" s="139"/>
      <c r="CX2847" s="138"/>
      <c r="CY2847" s="138"/>
      <c r="CZ2847" s="138"/>
      <c r="DA2847" s="139"/>
      <c r="DB2847" s="138"/>
      <c r="DC2847" s="45"/>
      <c r="DD2847" s="138"/>
      <c r="DE2847" s="45"/>
      <c r="DF2847" s="46"/>
    </row>
    <row r="2848" spans="1:110" s="42" customFormat="1" ht="36" x14ac:dyDescent="0.2">
      <c r="A2848" s="89">
        <v>40876</v>
      </c>
      <c r="B2848" s="16" t="s">
        <v>874</v>
      </c>
      <c r="C2848" s="16" t="s">
        <v>729</v>
      </c>
      <c r="D2848" s="16" t="s">
        <v>4264</v>
      </c>
      <c r="E2848" s="90" t="str">
        <f>VLOOKUP(B2848&amp;C2848,Divipola!$C$2:$F$1138,4,FALSE)</f>
        <v>44847</v>
      </c>
      <c r="F2848" s="4"/>
      <c r="G2848" s="208"/>
      <c r="H2848" s="208"/>
      <c r="I2848" s="208"/>
      <c r="J2848" s="208">
        <f>211*5</f>
        <v>1055</v>
      </c>
      <c r="K2848" s="208">
        <v>211</v>
      </c>
      <c r="L2848" s="208"/>
      <c r="M2848" s="208">
        <v>211</v>
      </c>
      <c r="N2848" s="208"/>
      <c r="O2848" s="208"/>
      <c r="P2848" s="208"/>
      <c r="Q2848" s="208"/>
      <c r="R2848" s="208"/>
      <c r="S2848" s="208"/>
      <c r="T2848" s="208"/>
      <c r="U2848" s="208"/>
      <c r="V2848" s="208"/>
      <c r="W2848" s="19"/>
      <c r="X2848" s="17"/>
      <c r="Y2848" s="5">
        <f t="shared" si="274"/>
        <v>0</v>
      </c>
      <c r="Z2848" s="5">
        <f t="shared" si="275"/>
        <v>85000000</v>
      </c>
      <c r="AA2848" s="5">
        <f t="shared" si="276"/>
        <v>22500000</v>
      </c>
      <c r="AB2848" s="5">
        <f t="shared" si="277"/>
        <v>0</v>
      </c>
      <c r="AC2848" s="5"/>
      <c r="AD2848" s="5">
        <v>0</v>
      </c>
      <c r="AE2848" s="5">
        <f t="shared" si="278"/>
        <v>107500000</v>
      </c>
      <c r="AF2848" s="70">
        <v>0</v>
      </c>
      <c r="AG2848" s="17"/>
      <c r="AH2848" s="18"/>
      <c r="AI2848" s="47" t="s">
        <v>4346</v>
      </c>
      <c r="AJ2848" s="73" t="s">
        <v>4347</v>
      </c>
      <c r="AK2848" s="45"/>
      <c r="AL2848" s="17"/>
      <c r="AM2848" s="20" t="s">
        <v>5480</v>
      </c>
      <c r="AN2848" s="19"/>
      <c r="AO2848" s="19"/>
      <c r="AP2848" s="19"/>
      <c r="AQ2848" s="19"/>
      <c r="AR2848" s="19"/>
      <c r="AS2848" s="19"/>
      <c r="AT2848" s="19"/>
      <c r="AU2848" s="19"/>
      <c r="AV2848" s="19"/>
      <c r="AW2848" s="19"/>
      <c r="AX2848" s="19"/>
      <c r="AY2848" s="19"/>
      <c r="AZ2848" s="19"/>
      <c r="BA2848" s="19"/>
      <c r="BB2848" s="19"/>
      <c r="BC2848" s="19"/>
      <c r="BD2848" s="19"/>
      <c r="BE2848" s="19"/>
      <c r="BF2848" s="19"/>
      <c r="BG2848" s="19"/>
      <c r="BH2848" s="19"/>
      <c r="BI2848" s="19"/>
      <c r="BJ2848" s="19"/>
      <c r="BK2848" s="19"/>
      <c r="BL2848" s="19"/>
      <c r="BM2848" s="19"/>
      <c r="BN2848" s="19"/>
      <c r="BO2848" s="19"/>
      <c r="BP2848" s="19"/>
      <c r="BQ2848" s="19"/>
      <c r="BR2848" s="19"/>
      <c r="BS2848" s="19"/>
      <c r="BT2848" s="19"/>
      <c r="BU2848" s="19"/>
      <c r="BV2848" s="19"/>
      <c r="BW2848" s="19"/>
      <c r="BX2848" s="19"/>
      <c r="BY2848" s="19"/>
      <c r="BZ2848" s="19"/>
      <c r="CA2848" s="19"/>
      <c r="CB2848" s="19"/>
      <c r="CC2848" s="19"/>
      <c r="CD2848" s="139"/>
      <c r="CE2848" s="138"/>
      <c r="CF2848" s="139"/>
      <c r="CG2848" s="138"/>
      <c r="CH2848" s="139"/>
      <c r="CI2848" s="138"/>
      <c r="CJ2848" s="72"/>
      <c r="CK2848" s="139"/>
      <c r="CL2848" s="71"/>
      <c r="CM2848" s="139"/>
      <c r="CN2848" s="138"/>
      <c r="CO2848" s="138"/>
      <c r="CP2848" s="138"/>
      <c r="CQ2848" s="139"/>
      <c r="CR2848" s="138"/>
      <c r="CS2848" s="45"/>
      <c r="CT2848" s="138"/>
      <c r="CU2848" s="45"/>
      <c r="CV2848" s="99">
        <f t="shared" si="279"/>
        <v>0</v>
      </c>
      <c r="CW2848" s="139"/>
      <c r="CX2848" s="138"/>
      <c r="CY2848" s="138">
        <v>1000</v>
      </c>
      <c r="CZ2848" s="138">
        <f>1000*85000</f>
        <v>85000000</v>
      </c>
      <c r="DA2848" s="139"/>
      <c r="DB2848" s="138"/>
      <c r="DC2848" s="45">
        <v>1000</v>
      </c>
      <c r="DD2848" s="138">
        <f>1000*22500</f>
        <v>22500000</v>
      </c>
      <c r="DE2848" s="45"/>
      <c r="DF2848" s="46"/>
    </row>
    <row r="2849" spans="1:110" s="42" customFormat="1" ht="24" x14ac:dyDescent="0.2">
      <c r="A2849" s="255">
        <v>40876</v>
      </c>
      <c r="B2849" s="247" t="s">
        <v>4219</v>
      </c>
      <c r="C2849" s="248" t="s">
        <v>65</v>
      </c>
      <c r="D2849" s="247" t="s">
        <v>4264</v>
      </c>
      <c r="E2849" s="90" t="str">
        <f>VLOOKUP(B2849&amp;C2849,Divipola!$C$2:$F$1138,4,FALSE)</f>
        <v>41026</v>
      </c>
      <c r="F2849" s="4"/>
      <c r="G2849" s="330"/>
      <c r="H2849" s="330"/>
      <c r="I2849" s="330"/>
      <c r="J2849" s="332">
        <v>30</v>
      </c>
      <c r="K2849" s="332">
        <v>6</v>
      </c>
      <c r="L2849" s="245"/>
      <c r="M2849" s="246">
        <v>6</v>
      </c>
      <c r="N2849" s="245"/>
      <c r="O2849" s="245"/>
      <c r="P2849" s="245"/>
      <c r="Q2849" s="245"/>
      <c r="R2849" s="245"/>
      <c r="S2849" s="245"/>
      <c r="T2849" s="245"/>
      <c r="U2849" s="245"/>
      <c r="V2849" s="245"/>
      <c r="W2849" s="19"/>
      <c r="X2849" s="17"/>
      <c r="Y2849" s="5">
        <f t="shared" si="274"/>
        <v>0</v>
      </c>
      <c r="Z2849" s="5">
        <f t="shared" si="275"/>
        <v>0</v>
      </c>
      <c r="AA2849" s="5">
        <f t="shared" si="276"/>
        <v>0</v>
      </c>
      <c r="AB2849" s="5">
        <f t="shared" si="277"/>
        <v>0</v>
      </c>
      <c r="AC2849" s="5"/>
      <c r="AD2849" s="5">
        <v>0</v>
      </c>
      <c r="AE2849" s="5">
        <f t="shared" si="278"/>
        <v>0</v>
      </c>
      <c r="AF2849" s="70">
        <v>0</v>
      </c>
      <c r="AG2849" s="17"/>
      <c r="AH2849" s="18"/>
      <c r="AI2849" s="47" t="s">
        <v>4346</v>
      </c>
      <c r="AJ2849" s="73" t="s">
        <v>4347</v>
      </c>
      <c r="AK2849" s="45"/>
      <c r="AL2849" s="89" t="s">
        <v>2798</v>
      </c>
      <c r="AM2849" s="121" t="s">
        <v>5549</v>
      </c>
      <c r="AN2849" s="19"/>
      <c r="AO2849" s="19"/>
      <c r="AP2849" s="19"/>
      <c r="AQ2849" s="19"/>
      <c r="AR2849" s="19"/>
      <c r="AS2849" s="19"/>
      <c r="AT2849" s="19"/>
      <c r="AU2849" s="19"/>
      <c r="AV2849" s="19"/>
      <c r="AW2849" s="19"/>
      <c r="AX2849" s="19"/>
      <c r="AY2849" s="19"/>
      <c r="AZ2849" s="19"/>
      <c r="BA2849" s="19"/>
      <c r="BB2849" s="19"/>
      <c r="BC2849" s="19"/>
      <c r="BD2849" s="19"/>
      <c r="BE2849" s="19"/>
      <c r="BF2849" s="19"/>
      <c r="BG2849" s="19"/>
      <c r="BH2849" s="19"/>
      <c r="BI2849" s="19"/>
      <c r="BJ2849" s="19"/>
      <c r="BK2849" s="19"/>
      <c r="BL2849" s="19"/>
      <c r="BM2849" s="19"/>
      <c r="BN2849" s="19"/>
      <c r="BO2849" s="19"/>
      <c r="BP2849" s="19"/>
      <c r="BQ2849" s="19"/>
      <c r="BR2849" s="19"/>
      <c r="BS2849" s="19"/>
      <c r="BT2849" s="19"/>
      <c r="BU2849" s="19"/>
      <c r="BV2849" s="19"/>
      <c r="BW2849" s="19"/>
      <c r="BX2849" s="19"/>
      <c r="BY2849" s="19"/>
      <c r="BZ2849" s="19"/>
      <c r="CA2849" s="19"/>
      <c r="CB2849" s="19"/>
      <c r="CC2849" s="19"/>
      <c r="CD2849" s="139"/>
      <c r="CE2849" s="138"/>
      <c r="CF2849" s="139"/>
      <c r="CG2849" s="138"/>
      <c r="CH2849" s="139"/>
      <c r="CI2849" s="138"/>
      <c r="CJ2849" s="72"/>
      <c r="CK2849" s="139"/>
      <c r="CL2849" s="71"/>
      <c r="CM2849" s="139"/>
      <c r="CN2849" s="138"/>
      <c r="CO2849" s="138"/>
      <c r="CP2849" s="138"/>
      <c r="CQ2849" s="139"/>
      <c r="CR2849" s="138"/>
      <c r="CS2849" s="45"/>
      <c r="CT2849" s="138"/>
      <c r="CU2849" s="45"/>
      <c r="CV2849" s="99">
        <f t="shared" si="279"/>
        <v>0</v>
      </c>
      <c r="CW2849" s="139"/>
      <c r="CX2849" s="138"/>
      <c r="CY2849" s="138"/>
      <c r="CZ2849" s="138"/>
      <c r="DA2849" s="139"/>
      <c r="DB2849" s="138"/>
      <c r="DC2849" s="45"/>
      <c r="DD2849" s="138"/>
      <c r="DE2849" s="45"/>
      <c r="DF2849" s="46"/>
    </row>
    <row r="2850" spans="1:110" s="42" customFormat="1" ht="24" x14ac:dyDescent="0.2">
      <c r="A2850" s="254">
        <v>40876</v>
      </c>
      <c r="B2850" s="250" t="s">
        <v>4219</v>
      </c>
      <c r="C2850" s="251" t="s">
        <v>3322</v>
      </c>
      <c r="D2850" s="252" t="s">
        <v>4264</v>
      </c>
      <c r="E2850" s="90" t="str">
        <f>VLOOKUP(B2850&amp;C2850,Divipola!$C$2:$F$1138,4,FALSE)</f>
        <v>41319</v>
      </c>
      <c r="F2850" s="4"/>
      <c r="G2850" s="327"/>
      <c r="H2850" s="327"/>
      <c r="I2850" s="327"/>
      <c r="J2850" s="328">
        <v>104</v>
      </c>
      <c r="K2850" s="328">
        <v>28</v>
      </c>
      <c r="L2850" s="245"/>
      <c r="M2850" s="246">
        <v>28</v>
      </c>
      <c r="N2850" s="245"/>
      <c r="O2850" s="245"/>
      <c r="P2850" s="245"/>
      <c r="Q2850" s="245"/>
      <c r="R2850" s="245"/>
      <c r="S2850" s="245"/>
      <c r="T2850" s="245"/>
      <c r="U2850" s="245"/>
      <c r="V2850" s="245"/>
      <c r="W2850" s="19"/>
      <c r="X2850" s="17"/>
      <c r="Y2850" s="5">
        <f t="shared" si="274"/>
        <v>0</v>
      </c>
      <c r="Z2850" s="5">
        <f t="shared" si="275"/>
        <v>0</v>
      </c>
      <c r="AA2850" s="5">
        <f t="shared" si="276"/>
        <v>0</v>
      </c>
      <c r="AB2850" s="5">
        <f t="shared" si="277"/>
        <v>0</v>
      </c>
      <c r="AC2850" s="5"/>
      <c r="AD2850" s="5">
        <v>0</v>
      </c>
      <c r="AE2850" s="5">
        <f t="shared" si="278"/>
        <v>0</v>
      </c>
      <c r="AF2850" s="70">
        <v>0</v>
      </c>
      <c r="AG2850" s="17"/>
      <c r="AH2850" s="18"/>
      <c r="AI2850" s="47" t="s">
        <v>4346</v>
      </c>
      <c r="AJ2850" s="73" t="s">
        <v>4347</v>
      </c>
      <c r="AK2850" s="45"/>
      <c r="AL2850" s="89" t="s">
        <v>2798</v>
      </c>
      <c r="AM2850" s="121" t="s">
        <v>5558</v>
      </c>
      <c r="AN2850" s="19"/>
      <c r="AO2850" s="19"/>
      <c r="AP2850" s="19"/>
      <c r="AQ2850" s="19"/>
      <c r="AR2850" s="19"/>
      <c r="AS2850" s="19"/>
      <c r="AT2850" s="19"/>
      <c r="AU2850" s="19"/>
      <c r="AV2850" s="19"/>
      <c r="AW2850" s="19"/>
      <c r="AX2850" s="19"/>
      <c r="AY2850" s="19"/>
      <c r="AZ2850" s="19"/>
      <c r="BA2850" s="19"/>
      <c r="BB2850" s="19"/>
      <c r="BC2850" s="19"/>
      <c r="BD2850" s="19"/>
      <c r="BE2850" s="19"/>
      <c r="BF2850" s="19"/>
      <c r="BG2850" s="19"/>
      <c r="BH2850" s="19"/>
      <c r="BI2850" s="19"/>
      <c r="BJ2850" s="19"/>
      <c r="BK2850" s="19"/>
      <c r="BL2850" s="19"/>
      <c r="BM2850" s="19"/>
      <c r="BN2850" s="19"/>
      <c r="BO2850" s="19"/>
      <c r="BP2850" s="19"/>
      <c r="BQ2850" s="19"/>
      <c r="BR2850" s="19"/>
      <c r="BS2850" s="19"/>
      <c r="BT2850" s="19"/>
      <c r="BU2850" s="19"/>
      <c r="BV2850" s="19"/>
      <c r="BW2850" s="19"/>
      <c r="BX2850" s="19"/>
      <c r="BY2850" s="19"/>
      <c r="BZ2850" s="19"/>
      <c r="CA2850" s="19"/>
      <c r="CB2850" s="19"/>
      <c r="CC2850" s="19"/>
      <c r="CD2850" s="139"/>
      <c r="CE2850" s="138"/>
      <c r="CF2850" s="139"/>
      <c r="CG2850" s="138"/>
      <c r="CH2850" s="139"/>
      <c r="CI2850" s="138"/>
      <c r="CJ2850" s="72"/>
      <c r="CK2850" s="139"/>
      <c r="CL2850" s="71"/>
      <c r="CM2850" s="139"/>
      <c r="CN2850" s="138"/>
      <c r="CO2850" s="138"/>
      <c r="CP2850" s="138"/>
      <c r="CQ2850" s="139"/>
      <c r="CR2850" s="138"/>
      <c r="CS2850" s="45"/>
      <c r="CT2850" s="138"/>
      <c r="CU2850" s="45"/>
      <c r="CV2850" s="99">
        <f t="shared" si="279"/>
        <v>0</v>
      </c>
      <c r="CW2850" s="139"/>
      <c r="CX2850" s="138"/>
      <c r="CY2850" s="138"/>
      <c r="CZ2850" s="138"/>
      <c r="DA2850" s="139"/>
      <c r="DB2850" s="138"/>
      <c r="DC2850" s="45"/>
      <c r="DD2850" s="138"/>
      <c r="DE2850" s="45"/>
      <c r="DF2850" s="46"/>
    </row>
    <row r="2851" spans="1:110" s="42" customFormat="1" ht="36" x14ac:dyDescent="0.2">
      <c r="A2851" s="89">
        <v>40877</v>
      </c>
      <c r="B2851" s="151" t="s">
        <v>4326</v>
      </c>
      <c r="C2851" s="90" t="s">
        <v>2430</v>
      </c>
      <c r="D2851" s="90" t="s">
        <v>4264</v>
      </c>
      <c r="E2851" s="90" t="str">
        <f>VLOOKUP(B2851&amp;C2851,Divipola!$C$2:$F$1138,4,FALSE)</f>
        <v>08433</v>
      </c>
      <c r="F2851" s="4"/>
      <c r="G2851" s="101"/>
      <c r="H2851" s="101"/>
      <c r="I2851" s="101"/>
      <c r="J2851" s="101">
        <v>500</v>
      </c>
      <c r="K2851" s="101">
        <v>100</v>
      </c>
      <c r="L2851" s="101"/>
      <c r="M2851" s="101">
        <v>100</v>
      </c>
      <c r="N2851" s="101"/>
      <c r="O2851" s="101"/>
      <c r="P2851" s="101"/>
      <c r="Q2851" s="101"/>
      <c r="R2851" s="101"/>
      <c r="S2851" s="101"/>
      <c r="T2851" s="101"/>
      <c r="U2851" s="101"/>
      <c r="V2851" s="101"/>
      <c r="W2851" s="19"/>
      <c r="X2851" s="17"/>
      <c r="Y2851" s="5">
        <f t="shared" si="274"/>
        <v>0</v>
      </c>
      <c r="Z2851" s="5">
        <f t="shared" si="275"/>
        <v>0</v>
      </c>
      <c r="AA2851" s="5">
        <f t="shared" si="276"/>
        <v>0</v>
      </c>
      <c r="AB2851" s="5">
        <f t="shared" si="277"/>
        <v>0</v>
      </c>
      <c r="AC2851" s="5"/>
      <c r="AD2851" s="5">
        <v>0</v>
      </c>
      <c r="AE2851" s="5">
        <f t="shared" si="278"/>
        <v>0</v>
      </c>
      <c r="AF2851" s="70">
        <v>0</v>
      </c>
      <c r="AG2851" s="17"/>
      <c r="AH2851" s="18"/>
      <c r="AI2851" s="47" t="s">
        <v>4346</v>
      </c>
      <c r="AJ2851" s="73" t="s">
        <v>4347</v>
      </c>
      <c r="AK2851" s="45"/>
      <c r="AL2851" s="89" t="s">
        <v>2798</v>
      </c>
      <c r="AM2851" s="121" t="s">
        <v>5187</v>
      </c>
      <c r="AN2851" s="19"/>
      <c r="AO2851" s="19"/>
      <c r="AP2851" s="19"/>
      <c r="AQ2851" s="19"/>
      <c r="AR2851" s="19"/>
      <c r="AS2851" s="19"/>
      <c r="AT2851" s="19"/>
      <c r="AU2851" s="19"/>
      <c r="AV2851" s="19"/>
      <c r="AW2851" s="19"/>
      <c r="AX2851" s="19"/>
      <c r="AY2851" s="19"/>
      <c r="AZ2851" s="19"/>
      <c r="BA2851" s="19"/>
      <c r="BB2851" s="19"/>
      <c r="BC2851" s="19"/>
      <c r="BD2851" s="19"/>
      <c r="BE2851" s="19"/>
      <c r="BF2851" s="19"/>
      <c r="BG2851" s="19"/>
      <c r="BH2851" s="19"/>
      <c r="BI2851" s="19"/>
      <c r="BJ2851" s="19"/>
      <c r="BK2851" s="19"/>
      <c r="BL2851" s="19"/>
      <c r="BM2851" s="19"/>
      <c r="BN2851" s="19"/>
      <c r="BO2851" s="19"/>
      <c r="BP2851" s="19"/>
      <c r="BQ2851" s="19"/>
      <c r="BR2851" s="19"/>
      <c r="BS2851" s="19"/>
      <c r="BT2851" s="19"/>
      <c r="BU2851" s="19"/>
      <c r="BV2851" s="19"/>
      <c r="BW2851" s="19"/>
      <c r="BX2851" s="19"/>
      <c r="BY2851" s="19"/>
      <c r="BZ2851" s="19"/>
      <c r="CA2851" s="19"/>
      <c r="CB2851" s="19"/>
      <c r="CC2851" s="19"/>
      <c r="CD2851" s="139"/>
      <c r="CE2851" s="138"/>
      <c r="CF2851" s="139"/>
      <c r="CG2851" s="138"/>
      <c r="CH2851" s="139"/>
      <c r="CI2851" s="138"/>
      <c r="CJ2851" s="72"/>
      <c r="CK2851" s="139"/>
      <c r="CL2851" s="71"/>
      <c r="CM2851" s="139"/>
      <c r="CN2851" s="138"/>
      <c r="CO2851" s="138"/>
      <c r="CP2851" s="138"/>
      <c r="CQ2851" s="139"/>
      <c r="CR2851" s="138"/>
      <c r="CS2851" s="45"/>
      <c r="CT2851" s="138"/>
      <c r="CU2851" s="45"/>
      <c r="CV2851" s="99">
        <f t="shared" si="279"/>
        <v>0</v>
      </c>
      <c r="CW2851" s="139"/>
      <c r="CX2851" s="138"/>
      <c r="CY2851" s="138"/>
      <c r="CZ2851" s="138"/>
      <c r="DA2851" s="139"/>
      <c r="DB2851" s="138"/>
      <c r="DC2851" s="45"/>
      <c r="DD2851" s="138"/>
      <c r="DE2851" s="45"/>
      <c r="DF2851" s="46"/>
    </row>
    <row r="2852" spans="1:110" s="42" customFormat="1" ht="48" x14ac:dyDescent="0.2">
      <c r="A2852" s="89">
        <v>40877</v>
      </c>
      <c r="B2852" s="151" t="s">
        <v>4326</v>
      </c>
      <c r="C2852" s="90" t="s">
        <v>4338</v>
      </c>
      <c r="D2852" s="90" t="s">
        <v>2362</v>
      </c>
      <c r="E2852" s="90" t="str">
        <f>VLOOKUP(B2852&amp;C2852,Divipola!$C$2:$F$1138,4,FALSE)</f>
        <v>08001</v>
      </c>
      <c r="F2852" s="4"/>
      <c r="G2852" s="101"/>
      <c r="H2852" s="101"/>
      <c r="I2852" s="101"/>
      <c r="J2852" s="101">
        <v>70</v>
      </c>
      <c r="K2852" s="101">
        <v>14</v>
      </c>
      <c r="L2852" s="101">
        <v>14</v>
      </c>
      <c r="M2852" s="101"/>
      <c r="N2852" s="101"/>
      <c r="O2852" s="101"/>
      <c r="P2852" s="101"/>
      <c r="Q2852" s="101"/>
      <c r="R2852" s="101"/>
      <c r="S2852" s="101"/>
      <c r="T2852" s="101"/>
      <c r="U2852" s="101"/>
      <c r="V2852" s="101"/>
      <c r="W2852" s="19"/>
      <c r="X2852" s="17"/>
      <c r="Y2852" s="5">
        <f t="shared" si="274"/>
        <v>0</v>
      </c>
      <c r="Z2852" s="5">
        <f t="shared" si="275"/>
        <v>0</v>
      </c>
      <c r="AA2852" s="5">
        <f t="shared" si="276"/>
        <v>0</v>
      </c>
      <c r="AB2852" s="5">
        <f t="shared" si="277"/>
        <v>0</v>
      </c>
      <c r="AC2852" s="5"/>
      <c r="AD2852" s="5">
        <v>0</v>
      </c>
      <c r="AE2852" s="5">
        <f t="shared" si="278"/>
        <v>0</v>
      </c>
      <c r="AF2852" s="70">
        <v>0</v>
      </c>
      <c r="AG2852" s="17"/>
      <c r="AH2852" s="18"/>
      <c r="AI2852" s="47" t="s">
        <v>4346</v>
      </c>
      <c r="AJ2852" s="73" t="s">
        <v>4347</v>
      </c>
      <c r="AK2852" s="45"/>
      <c r="AL2852" s="17"/>
      <c r="AM2852" s="121" t="s">
        <v>5189</v>
      </c>
      <c r="AN2852" s="19"/>
      <c r="AO2852" s="19"/>
      <c r="AP2852" s="19"/>
      <c r="AQ2852" s="19"/>
      <c r="AR2852" s="19"/>
      <c r="AS2852" s="19"/>
      <c r="AT2852" s="19"/>
      <c r="AU2852" s="19"/>
      <c r="AV2852" s="19"/>
      <c r="AW2852" s="19"/>
      <c r="AX2852" s="19"/>
      <c r="AY2852" s="19"/>
      <c r="AZ2852" s="19"/>
      <c r="BA2852" s="19"/>
      <c r="BB2852" s="19"/>
      <c r="BC2852" s="19"/>
      <c r="BD2852" s="19"/>
      <c r="BE2852" s="19"/>
      <c r="BF2852" s="19"/>
      <c r="BG2852" s="19"/>
      <c r="BH2852" s="19"/>
      <c r="BI2852" s="19"/>
      <c r="BJ2852" s="19"/>
      <c r="BK2852" s="19"/>
      <c r="BL2852" s="19"/>
      <c r="BM2852" s="19"/>
      <c r="BN2852" s="19"/>
      <c r="BO2852" s="19"/>
      <c r="BP2852" s="19"/>
      <c r="BQ2852" s="19"/>
      <c r="BR2852" s="19"/>
      <c r="BS2852" s="19"/>
      <c r="BT2852" s="19"/>
      <c r="BU2852" s="19"/>
      <c r="BV2852" s="19"/>
      <c r="BW2852" s="19"/>
      <c r="BX2852" s="19"/>
      <c r="BY2852" s="19"/>
      <c r="BZ2852" s="19"/>
      <c r="CA2852" s="19"/>
      <c r="CB2852" s="19"/>
      <c r="CC2852" s="19"/>
      <c r="CD2852" s="139"/>
      <c r="CE2852" s="138"/>
      <c r="CF2852" s="139"/>
      <c r="CG2852" s="138"/>
      <c r="CH2852" s="139"/>
      <c r="CI2852" s="138"/>
      <c r="CJ2852" s="72"/>
      <c r="CK2852" s="139"/>
      <c r="CL2852" s="71"/>
      <c r="CM2852" s="139"/>
      <c r="CN2852" s="138"/>
      <c r="CO2852" s="138"/>
      <c r="CP2852" s="138"/>
      <c r="CQ2852" s="139"/>
      <c r="CR2852" s="138"/>
      <c r="CS2852" s="45"/>
      <c r="CT2852" s="138"/>
      <c r="CU2852" s="45"/>
      <c r="CV2852" s="99">
        <f t="shared" si="279"/>
        <v>0</v>
      </c>
      <c r="CW2852" s="139"/>
      <c r="CX2852" s="138"/>
      <c r="CY2852" s="138"/>
      <c r="CZ2852" s="138"/>
      <c r="DA2852" s="139"/>
      <c r="DB2852" s="138"/>
      <c r="DC2852" s="45"/>
      <c r="DD2852" s="138"/>
      <c r="DE2852" s="45"/>
      <c r="DF2852" s="46"/>
    </row>
    <row r="2853" spans="1:110" s="42" customFormat="1" ht="120" x14ac:dyDescent="0.2">
      <c r="A2853" s="89">
        <v>40877</v>
      </c>
      <c r="B2853" s="151" t="s">
        <v>4282</v>
      </c>
      <c r="C2853" s="90" t="s">
        <v>4368</v>
      </c>
      <c r="D2853" s="90" t="s">
        <v>4264</v>
      </c>
      <c r="E2853" s="90" t="str">
        <f>VLOOKUP(B2853&amp;C2853,Divipola!$C$2:$F$1138,4,FALSE)</f>
        <v>23001</v>
      </c>
      <c r="F2853" s="4"/>
      <c r="G2853" s="101"/>
      <c r="H2853" s="101"/>
      <c r="I2853" s="101"/>
      <c r="J2853" s="101">
        <f>980*5</f>
        <v>4900</v>
      </c>
      <c r="K2853" s="101">
        <v>980</v>
      </c>
      <c r="L2853" s="101">
        <v>80</v>
      </c>
      <c r="M2853" s="101"/>
      <c r="N2853" s="101"/>
      <c r="O2853" s="101"/>
      <c r="P2853" s="101"/>
      <c r="Q2853" s="101"/>
      <c r="R2853" s="101"/>
      <c r="S2853" s="101"/>
      <c r="T2853" s="101"/>
      <c r="U2853" s="101"/>
      <c r="V2853" s="101"/>
      <c r="W2853" s="19"/>
      <c r="X2853" s="17"/>
      <c r="Y2853" s="5">
        <f t="shared" si="274"/>
        <v>0</v>
      </c>
      <c r="Z2853" s="5">
        <f t="shared" si="275"/>
        <v>0</v>
      </c>
      <c r="AA2853" s="5">
        <f t="shared" si="276"/>
        <v>0</v>
      </c>
      <c r="AB2853" s="5">
        <f t="shared" si="277"/>
        <v>0</v>
      </c>
      <c r="AC2853" s="5"/>
      <c r="AD2853" s="5">
        <v>0</v>
      </c>
      <c r="AE2853" s="5">
        <f t="shared" si="278"/>
        <v>0</v>
      </c>
      <c r="AF2853" s="70">
        <v>0</v>
      </c>
      <c r="AG2853" s="17"/>
      <c r="AH2853" s="18"/>
      <c r="AI2853" s="47" t="s">
        <v>4346</v>
      </c>
      <c r="AJ2853" s="73" t="s">
        <v>4347</v>
      </c>
      <c r="AK2853" s="45"/>
      <c r="AL2853" s="89" t="s">
        <v>2798</v>
      </c>
      <c r="AM2853" s="121" t="s">
        <v>5192</v>
      </c>
      <c r="AN2853" s="19"/>
      <c r="AO2853" s="19"/>
      <c r="AP2853" s="19"/>
      <c r="AQ2853" s="19"/>
      <c r="AR2853" s="19"/>
      <c r="AS2853" s="19"/>
      <c r="AT2853" s="19"/>
      <c r="AU2853" s="19"/>
      <c r="AV2853" s="19"/>
      <c r="AW2853" s="19"/>
      <c r="AX2853" s="19"/>
      <c r="AY2853" s="19"/>
      <c r="AZ2853" s="19"/>
      <c r="BA2853" s="19"/>
      <c r="BB2853" s="19"/>
      <c r="BC2853" s="19"/>
      <c r="BD2853" s="19"/>
      <c r="BE2853" s="19"/>
      <c r="BF2853" s="19"/>
      <c r="BG2853" s="19"/>
      <c r="BH2853" s="19"/>
      <c r="BI2853" s="19"/>
      <c r="BJ2853" s="19"/>
      <c r="BK2853" s="19"/>
      <c r="BL2853" s="19"/>
      <c r="BM2853" s="19"/>
      <c r="BN2853" s="19"/>
      <c r="BO2853" s="19"/>
      <c r="BP2853" s="19"/>
      <c r="BQ2853" s="19"/>
      <c r="BR2853" s="19"/>
      <c r="BS2853" s="19"/>
      <c r="BT2853" s="19"/>
      <c r="BU2853" s="19"/>
      <c r="BV2853" s="19"/>
      <c r="BW2853" s="19"/>
      <c r="BX2853" s="19"/>
      <c r="BY2853" s="19"/>
      <c r="BZ2853" s="19"/>
      <c r="CA2853" s="19"/>
      <c r="CB2853" s="19"/>
      <c r="CC2853" s="19"/>
      <c r="CD2853" s="139"/>
      <c r="CE2853" s="138"/>
      <c r="CF2853" s="139"/>
      <c r="CG2853" s="138"/>
      <c r="CH2853" s="139"/>
      <c r="CI2853" s="138"/>
      <c r="CJ2853" s="72"/>
      <c r="CK2853" s="139"/>
      <c r="CL2853" s="71"/>
      <c r="CM2853" s="139"/>
      <c r="CN2853" s="138"/>
      <c r="CO2853" s="138"/>
      <c r="CP2853" s="138"/>
      <c r="CQ2853" s="139"/>
      <c r="CR2853" s="138"/>
      <c r="CS2853" s="45"/>
      <c r="CT2853" s="138"/>
      <c r="CU2853" s="45"/>
      <c r="CV2853" s="99">
        <f t="shared" si="279"/>
        <v>0</v>
      </c>
      <c r="CW2853" s="139"/>
      <c r="CX2853" s="138"/>
      <c r="CY2853" s="138"/>
      <c r="CZ2853" s="138"/>
      <c r="DA2853" s="139"/>
      <c r="DB2853" s="138"/>
      <c r="DC2853" s="45"/>
      <c r="DD2853" s="138"/>
      <c r="DE2853" s="45"/>
      <c r="DF2853" s="46"/>
    </row>
    <row r="2854" spans="1:110" s="42" customFormat="1" ht="60" x14ac:dyDescent="0.2">
      <c r="A2854" s="89">
        <v>40877</v>
      </c>
      <c r="B2854" s="151" t="s">
        <v>4386</v>
      </c>
      <c r="C2854" s="90" t="s">
        <v>3502</v>
      </c>
      <c r="D2854" s="90" t="s">
        <v>4264</v>
      </c>
      <c r="E2854" s="90" t="str">
        <f>VLOOKUP(B2854&amp;C2854,Divipola!$C$2:$F$1138,4,FALSE)</f>
        <v>20001</v>
      </c>
      <c r="F2854" s="4"/>
      <c r="G2854" s="101"/>
      <c r="H2854" s="101"/>
      <c r="I2854" s="101"/>
      <c r="J2854" s="101"/>
      <c r="K2854" s="101"/>
      <c r="L2854" s="101"/>
      <c r="M2854" s="101"/>
      <c r="N2854" s="101"/>
      <c r="O2854" s="101"/>
      <c r="P2854" s="101"/>
      <c r="Q2854" s="101"/>
      <c r="R2854" s="101"/>
      <c r="S2854" s="101"/>
      <c r="T2854" s="101"/>
      <c r="U2854" s="101"/>
      <c r="V2854" s="101"/>
      <c r="W2854" s="19"/>
      <c r="X2854" s="17"/>
      <c r="Y2854" s="5">
        <f t="shared" si="274"/>
        <v>0</v>
      </c>
      <c r="Z2854" s="5">
        <f t="shared" si="275"/>
        <v>0</v>
      </c>
      <c r="AA2854" s="5">
        <f t="shared" si="276"/>
        <v>0</v>
      </c>
      <c r="AB2854" s="5">
        <f t="shared" si="277"/>
        <v>0</v>
      </c>
      <c r="AC2854" s="5"/>
      <c r="AD2854" s="5">
        <v>0</v>
      </c>
      <c r="AE2854" s="5">
        <f t="shared" si="278"/>
        <v>0</v>
      </c>
      <c r="AF2854" s="70">
        <v>0</v>
      </c>
      <c r="AG2854" s="17"/>
      <c r="AH2854" s="18"/>
      <c r="AI2854" s="47" t="s">
        <v>4336</v>
      </c>
      <c r="AJ2854" s="73" t="s">
        <v>4337</v>
      </c>
      <c r="AK2854" s="45"/>
      <c r="AL2854" s="17"/>
      <c r="AM2854" s="121" t="s">
        <v>5196</v>
      </c>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39"/>
      <c r="CE2854" s="138"/>
      <c r="CF2854" s="139"/>
      <c r="CG2854" s="138"/>
      <c r="CH2854" s="139"/>
      <c r="CI2854" s="138"/>
      <c r="CJ2854" s="72"/>
      <c r="CK2854" s="139"/>
      <c r="CL2854" s="71"/>
      <c r="CM2854" s="139"/>
      <c r="CN2854" s="138"/>
      <c r="CO2854" s="138"/>
      <c r="CP2854" s="138"/>
      <c r="CQ2854" s="139"/>
      <c r="CR2854" s="138"/>
      <c r="CS2854" s="45"/>
      <c r="CT2854" s="138"/>
      <c r="CU2854" s="45"/>
      <c r="CV2854" s="99">
        <f t="shared" si="279"/>
        <v>0</v>
      </c>
      <c r="CW2854" s="139"/>
      <c r="CX2854" s="138"/>
      <c r="CY2854" s="138"/>
      <c r="CZ2854" s="138"/>
      <c r="DA2854" s="139"/>
      <c r="DB2854" s="138"/>
      <c r="DC2854" s="45"/>
      <c r="DD2854" s="138"/>
      <c r="DE2854" s="45"/>
      <c r="DF2854" s="46"/>
    </row>
    <row r="2855" spans="1:110" s="42" customFormat="1" ht="144" x14ac:dyDescent="0.2">
      <c r="A2855" s="89">
        <v>40877</v>
      </c>
      <c r="B2855" s="151" t="s">
        <v>4344</v>
      </c>
      <c r="C2855" s="90" t="s">
        <v>3526</v>
      </c>
      <c r="D2855" s="90" t="s">
        <v>4264</v>
      </c>
      <c r="E2855" s="90" t="str">
        <f>VLOOKUP(B2855&amp;C2855,Divipola!$C$2:$F$1138,4,FALSE)</f>
        <v>25148</v>
      </c>
      <c r="F2855" s="4"/>
      <c r="G2855" s="101"/>
      <c r="H2855" s="101"/>
      <c r="I2855" s="101">
        <v>1</v>
      </c>
      <c r="J2855" s="101">
        <v>122</v>
      </c>
      <c r="K2855" s="101">
        <v>31</v>
      </c>
      <c r="L2855" s="101"/>
      <c r="M2855" s="101">
        <v>31</v>
      </c>
      <c r="N2855" s="101">
        <v>4</v>
      </c>
      <c r="O2855" s="101"/>
      <c r="P2855" s="101"/>
      <c r="Q2855" s="101"/>
      <c r="R2855" s="101"/>
      <c r="S2855" s="101"/>
      <c r="T2855" s="101"/>
      <c r="U2855" s="101"/>
      <c r="V2855" s="101"/>
      <c r="W2855" s="19"/>
      <c r="X2855" s="17"/>
      <c r="Y2855" s="5">
        <f t="shared" si="274"/>
        <v>0</v>
      </c>
      <c r="Z2855" s="5">
        <f t="shared" si="275"/>
        <v>0</v>
      </c>
      <c r="AA2855" s="5">
        <f t="shared" si="276"/>
        <v>0</v>
      </c>
      <c r="AB2855" s="5">
        <f t="shared" si="277"/>
        <v>0</v>
      </c>
      <c r="AC2855" s="5"/>
      <c r="AD2855" s="5">
        <v>0</v>
      </c>
      <c r="AE2855" s="5">
        <f t="shared" si="278"/>
        <v>0</v>
      </c>
      <c r="AF2855" s="70">
        <v>0</v>
      </c>
      <c r="AG2855" s="17"/>
      <c r="AH2855" s="18"/>
      <c r="AI2855" s="47" t="s">
        <v>4336</v>
      </c>
      <c r="AJ2855" s="73" t="s">
        <v>4337</v>
      </c>
      <c r="AK2855" s="45"/>
      <c r="AL2855" s="17"/>
      <c r="AM2855" s="121" t="s">
        <v>5197</v>
      </c>
      <c r="AN2855" s="19"/>
      <c r="AO2855" s="19"/>
      <c r="AP2855" s="19"/>
      <c r="AQ2855" s="19"/>
      <c r="AR2855" s="19"/>
      <c r="AS2855" s="19"/>
      <c r="AT2855" s="19"/>
      <c r="AU2855" s="19"/>
      <c r="AV2855" s="19"/>
      <c r="AW2855" s="19"/>
      <c r="AX2855" s="19"/>
      <c r="AY2855" s="19"/>
      <c r="AZ2855" s="19"/>
      <c r="BA2855" s="19"/>
      <c r="BB2855" s="19"/>
      <c r="BC2855" s="19"/>
      <c r="BD2855" s="19"/>
      <c r="BE2855" s="19"/>
      <c r="BF2855" s="19"/>
      <c r="BG2855" s="19"/>
      <c r="BH2855" s="19"/>
      <c r="BI2855" s="19"/>
      <c r="BJ2855" s="19"/>
      <c r="BK2855" s="19"/>
      <c r="BL2855" s="19"/>
      <c r="BM2855" s="19"/>
      <c r="BN2855" s="19"/>
      <c r="BO2855" s="19"/>
      <c r="BP2855" s="19"/>
      <c r="BQ2855" s="19"/>
      <c r="BR2855" s="19"/>
      <c r="BS2855" s="19"/>
      <c r="BT2855" s="19"/>
      <c r="BU2855" s="19"/>
      <c r="BV2855" s="19"/>
      <c r="BW2855" s="19"/>
      <c r="BX2855" s="19"/>
      <c r="BY2855" s="19"/>
      <c r="BZ2855" s="19"/>
      <c r="CA2855" s="19"/>
      <c r="CB2855" s="19"/>
      <c r="CC2855" s="19"/>
      <c r="CD2855" s="139"/>
      <c r="CE2855" s="138"/>
      <c r="CF2855" s="139"/>
      <c r="CG2855" s="138"/>
      <c r="CH2855" s="139"/>
      <c r="CI2855" s="138"/>
      <c r="CJ2855" s="72"/>
      <c r="CK2855" s="139"/>
      <c r="CL2855" s="71"/>
      <c r="CM2855" s="139"/>
      <c r="CN2855" s="138"/>
      <c r="CO2855" s="138"/>
      <c r="CP2855" s="138"/>
      <c r="CQ2855" s="139"/>
      <c r="CR2855" s="138"/>
      <c r="CS2855" s="45"/>
      <c r="CT2855" s="138"/>
      <c r="CU2855" s="45"/>
      <c r="CV2855" s="99">
        <f t="shared" si="279"/>
        <v>0</v>
      </c>
      <c r="CW2855" s="139"/>
      <c r="CX2855" s="138"/>
      <c r="CY2855" s="138"/>
      <c r="CZ2855" s="138"/>
      <c r="DA2855" s="139"/>
      <c r="DB2855" s="138"/>
      <c r="DC2855" s="45"/>
      <c r="DD2855" s="138"/>
      <c r="DE2855" s="45"/>
      <c r="DF2855" s="46"/>
    </row>
    <row r="2856" spans="1:110" s="42" customFormat="1" ht="60" x14ac:dyDescent="0.2">
      <c r="A2856" s="89">
        <v>40877</v>
      </c>
      <c r="B2856" s="151" t="s">
        <v>4219</v>
      </c>
      <c r="C2856" s="90" t="s">
        <v>2249</v>
      </c>
      <c r="D2856" s="90" t="s">
        <v>2362</v>
      </c>
      <c r="E2856" s="90" t="str">
        <f>VLOOKUP(B2856&amp;C2856,Divipola!$C$2:$F$1138,4,FALSE)</f>
        <v>41770</v>
      </c>
      <c r="F2856" s="4"/>
      <c r="G2856" s="101"/>
      <c r="H2856" s="101"/>
      <c r="I2856" s="101"/>
      <c r="J2856" s="101">
        <v>15</v>
      </c>
      <c r="K2856" s="101">
        <v>3</v>
      </c>
      <c r="L2856" s="101"/>
      <c r="M2856" s="101">
        <v>3</v>
      </c>
      <c r="N2856" s="101"/>
      <c r="O2856" s="101"/>
      <c r="P2856" s="101"/>
      <c r="Q2856" s="101"/>
      <c r="R2856" s="101"/>
      <c r="S2856" s="101"/>
      <c r="T2856" s="101"/>
      <c r="U2856" s="101"/>
      <c r="V2856" s="101"/>
      <c r="W2856" s="19"/>
      <c r="X2856" s="17"/>
      <c r="Y2856" s="5">
        <f t="shared" si="274"/>
        <v>0</v>
      </c>
      <c r="Z2856" s="5">
        <f t="shared" si="275"/>
        <v>0</v>
      </c>
      <c r="AA2856" s="5">
        <f t="shared" si="276"/>
        <v>0</v>
      </c>
      <c r="AB2856" s="5">
        <f t="shared" si="277"/>
        <v>0</v>
      </c>
      <c r="AC2856" s="5"/>
      <c r="AD2856" s="5">
        <v>0</v>
      </c>
      <c r="AE2856" s="5">
        <f t="shared" si="278"/>
        <v>0</v>
      </c>
      <c r="AF2856" s="70">
        <v>0</v>
      </c>
      <c r="AG2856" s="17"/>
      <c r="AH2856" s="18"/>
      <c r="AI2856" s="47" t="s">
        <v>4346</v>
      </c>
      <c r="AJ2856" s="73" t="s">
        <v>4347</v>
      </c>
      <c r="AK2856" s="45"/>
      <c r="AL2856" s="89" t="s">
        <v>2798</v>
      </c>
      <c r="AM2856" s="121" t="s">
        <v>5198</v>
      </c>
      <c r="AN2856" s="19"/>
      <c r="AO2856" s="19"/>
      <c r="AP2856" s="19"/>
      <c r="AQ2856" s="19"/>
      <c r="AR2856" s="19"/>
      <c r="AS2856" s="19"/>
      <c r="AT2856" s="19"/>
      <c r="AU2856" s="19"/>
      <c r="AV2856" s="19"/>
      <c r="AW2856" s="19"/>
      <c r="AX2856" s="19"/>
      <c r="AY2856" s="19"/>
      <c r="AZ2856" s="19"/>
      <c r="BA2856" s="19"/>
      <c r="BB2856" s="19"/>
      <c r="BC2856" s="19"/>
      <c r="BD2856" s="19"/>
      <c r="BE2856" s="19"/>
      <c r="BF2856" s="19"/>
      <c r="BG2856" s="19"/>
      <c r="BH2856" s="19"/>
      <c r="BI2856" s="19"/>
      <c r="BJ2856" s="19"/>
      <c r="BK2856" s="19"/>
      <c r="BL2856" s="19"/>
      <c r="BM2856" s="19"/>
      <c r="BN2856" s="19"/>
      <c r="BO2856" s="19"/>
      <c r="BP2856" s="19"/>
      <c r="BQ2856" s="19"/>
      <c r="BR2856" s="19"/>
      <c r="BS2856" s="19"/>
      <c r="BT2856" s="19"/>
      <c r="BU2856" s="19"/>
      <c r="BV2856" s="19"/>
      <c r="BW2856" s="19"/>
      <c r="BX2856" s="19"/>
      <c r="BY2856" s="19"/>
      <c r="BZ2856" s="19"/>
      <c r="CA2856" s="19"/>
      <c r="CB2856" s="19"/>
      <c r="CC2856" s="19"/>
      <c r="CD2856" s="139"/>
      <c r="CE2856" s="138"/>
      <c r="CF2856" s="139"/>
      <c r="CG2856" s="138"/>
      <c r="CH2856" s="139"/>
      <c r="CI2856" s="138"/>
      <c r="CJ2856" s="72"/>
      <c r="CK2856" s="139"/>
      <c r="CL2856" s="71"/>
      <c r="CM2856" s="139"/>
      <c r="CN2856" s="138"/>
      <c r="CO2856" s="138"/>
      <c r="CP2856" s="138"/>
      <c r="CQ2856" s="139"/>
      <c r="CR2856" s="138"/>
      <c r="CS2856" s="45"/>
      <c r="CT2856" s="138"/>
      <c r="CU2856" s="45"/>
      <c r="CV2856" s="99">
        <f t="shared" si="279"/>
        <v>0</v>
      </c>
      <c r="CW2856" s="139"/>
      <c r="CX2856" s="138"/>
      <c r="CY2856" s="138"/>
      <c r="CZ2856" s="138"/>
      <c r="DA2856" s="139"/>
      <c r="DB2856" s="138"/>
      <c r="DC2856" s="45"/>
      <c r="DD2856" s="138"/>
      <c r="DE2856" s="45"/>
      <c r="DF2856" s="46"/>
    </row>
    <row r="2857" spans="1:110" s="42" customFormat="1" ht="108" x14ac:dyDescent="0.2">
      <c r="A2857" s="89">
        <v>40877</v>
      </c>
      <c r="B2857" s="90" t="s">
        <v>4244</v>
      </c>
      <c r="C2857" s="90" t="s">
        <v>4226</v>
      </c>
      <c r="D2857" s="90" t="s">
        <v>2865</v>
      </c>
      <c r="E2857" s="90" t="str">
        <f>VLOOKUP(B2857&amp;C2857,Divipola!$C$2:$F$1138,4,FALSE)</f>
        <v>76364</v>
      </c>
      <c r="F2857" s="4"/>
      <c r="G2857" s="101">
        <v>2</v>
      </c>
      <c r="H2857" s="101"/>
      <c r="I2857" s="101"/>
      <c r="J2857" s="101"/>
      <c r="K2857" s="101"/>
      <c r="L2857" s="101"/>
      <c r="M2857" s="101"/>
      <c r="N2857" s="101"/>
      <c r="O2857" s="101"/>
      <c r="P2857" s="101"/>
      <c r="Q2857" s="101"/>
      <c r="R2857" s="101"/>
      <c r="S2857" s="101"/>
      <c r="T2857" s="101"/>
      <c r="U2857" s="101"/>
      <c r="V2857" s="101"/>
      <c r="W2857" s="19"/>
      <c r="X2857" s="17"/>
      <c r="Y2857" s="5">
        <f t="shared" si="274"/>
        <v>0</v>
      </c>
      <c r="Z2857" s="5">
        <f t="shared" si="275"/>
        <v>0</v>
      </c>
      <c r="AA2857" s="5">
        <f t="shared" si="276"/>
        <v>0</v>
      </c>
      <c r="AB2857" s="5">
        <f t="shared" si="277"/>
        <v>0</v>
      </c>
      <c r="AC2857" s="5"/>
      <c r="AD2857" s="5">
        <v>0</v>
      </c>
      <c r="AE2857" s="5">
        <f t="shared" si="278"/>
        <v>0</v>
      </c>
      <c r="AF2857" s="70">
        <v>0</v>
      </c>
      <c r="AG2857" s="17"/>
      <c r="AH2857" s="18"/>
      <c r="AI2857" s="47" t="s">
        <v>4346</v>
      </c>
      <c r="AJ2857" s="73" t="s">
        <v>4347</v>
      </c>
      <c r="AK2857" s="45"/>
      <c r="AL2857" s="89" t="s">
        <v>2798</v>
      </c>
      <c r="AM2857" s="121" t="s">
        <v>5199</v>
      </c>
      <c r="AN2857" s="19"/>
      <c r="AO2857" s="19"/>
      <c r="AP2857" s="19"/>
      <c r="AQ2857" s="19"/>
      <c r="AR2857" s="19"/>
      <c r="AS2857" s="19"/>
      <c r="AT2857" s="19"/>
      <c r="AU2857" s="19"/>
      <c r="AV2857" s="19"/>
      <c r="AW2857" s="19"/>
      <c r="AX2857" s="19"/>
      <c r="AY2857" s="19"/>
      <c r="AZ2857" s="19"/>
      <c r="BA2857" s="19"/>
      <c r="BB2857" s="19"/>
      <c r="BC2857" s="19"/>
      <c r="BD2857" s="19"/>
      <c r="BE2857" s="19"/>
      <c r="BF2857" s="19"/>
      <c r="BG2857" s="19"/>
      <c r="BH2857" s="19"/>
      <c r="BI2857" s="19"/>
      <c r="BJ2857" s="19"/>
      <c r="BK2857" s="19"/>
      <c r="BL2857" s="19"/>
      <c r="BM2857" s="19"/>
      <c r="BN2857" s="19"/>
      <c r="BO2857" s="19"/>
      <c r="BP2857" s="19"/>
      <c r="BQ2857" s="19"/>
      <c r="BR2857" s="19"/>
      <c r="BS2857" s="19"/>
      <c r="BT2857" s="19"/>
      <c r="BU2857" s="19"/>
      <c r="BV2857" s="19"/>
      <c r="BW2857" s="19"/>
      <c r="BX2857" s="19"/>
      <c r="BY2857" s="19"/>
      <c r="BZ2857" s="19"/>
      <c r="CA2857" s="19"/>
      <c r="CB2857" s="19"/>
      <c r="CC2857" s="19"/>
      <c r="CD2857" s="139"/>
      <c r="CE2857" s="138"/>
      <c r="CF2857" s="139"/>
      <c r="CG2857" s="138"/>
      <c r="CH2857" s="139"/>
      <c r="CI2857" s="138"/>
      <c r="CJ2857" s="72"/>
      <c r="CK2857" s="139"/>
      <c r="CL2857" s="71"/>
      <c r="CM2857" s="139"/>
      <c r="CN2857" s="138"/>
      <c r="CO2857" s="138"/>
      <c r="CP2857" s="138"/>
      <c r="CQ2857" s="139"/>
      <c r="CR2857" s="138"/>
      <c r="CS2857" s="45"/>
      <c r="CT2857" s="138"/>
      <c r="CU2857" s="45"/>
      <c r="CV2857" s="99">
        <f t="shared" si="279"/>
        <v>0</v>
      </c>
      <c r="CW2857" s="139"/>
      <c r="CX2857" s="138"/>
      <c r="CY2857" s="138"/>
      <c r="CZ2857" s="138"/>
      <c r="DA2857" s="139"/>
      <c r="DB2857" s="138"/>
      <c r="DC2857" s="45"/>
      <c r="DD2857" s="138"/>
      <c r="DE2857" s="45"/>
      <c r="DF2857" s="46"/>
    </row>
    <row r="2858" spans="1:110" s="42" customFormat="1" ht="36" x14ac:dyDescent="0.2">
      <c r="A2858" s="89">
        <v>40877</v>
      </c>
      <c r="B2858" s="151" t="s">
        <v>4221</v>
      </c>
      <c r="C2858" s="90" t="s">
        <v>4299</v>
      </c>
      <c r="D2858" s="90" t="s">
        <v>2362</v>
      </c>
      <c r="E2858" s="90" t="str">
        <f>VLOOKUP(B2858&amp;C2858,Divipola!$C$2:$F$1138,4,FALSE)</f>
        <v>54001</v>
      </c>
      <c r="F2858" s="4"/>
      <c r="G2858" s="101"/>
      <c r="H2858" s="101"/>
      <c r="I2858" s="101"/>
      <c r="J2858" s="101">
        <v>150</v>
      </c>
      <c r="K2858" s="101">
        <v>25</v>
      </c>
      <c r="L2858" s="101"/>
      <c r="M2858" s="101">
        <v>25</v>
      </c>
      <c r="N2858" s="101"/>
      <c r="O2858" s="101"/>
      <c r="P2858" s="101"/>
      <c r="Q2858" s="101"/>
      <c r="R2858" s="101"/>
      <c r="S2858" s="101"/>
      <c r="T2858" s="101"/>
      <c r="U2858" s="101"/>
      <c r="V2858" s="101"/>
      <c r="W2858" s="19"/>
      <c r="X2858" s="17"/>
      <c r="Y2858" s="5">
        <f t="shared" si="274"/>
        <v>202558300</v>
      </c>
      <c r="Z2858" s="5">
        <f t="shared" si="275"/>
        <v>170000000</v>
      </c>
      <c r="AA2858" s="5">
        <f t="shared" si="276"/>
        <v>0</v>
      </c>
      <c r="AB2858" s="5">
        <f t="shared" si="277"/>
        <v>0</v>
      </c>
      <c r="AC2858" s="5"/>
      <c r="AD2858" s="5">
        <v>0</v>
      </c>
      <c r="AE2858" s="5">
        <f t="shared" si="278"/>
        <v>372558300</v>
      </c>
      <c r="AF2858" s="70">
        <v>0</v>
      </c>
      <c r="AG2858" s="17"/>
      <c r="AH2858" s="18"/>
      <c r="AI2858" s="47" t="s">
        <v>4346</v>
      </c>
      <c r="AJ2858" s="73" t="s">
        <v>4347</v>
      </c>
      <c r="AK2858" s="45"/>
      <c r="AL2858" s="17"/>
      <c r="AM2858" s="121" t="s">
        <v>5209</v>
      </c>
      <c r="AN2858" s="19"/>
      <c r="AO2858" s="19"/>
      <c r="AP2858" s="19"/>
      <c r="AQ2858" s="19"/>
      <c r="AR2858" s="19"/>
      <c r="AS2858" s="19"/>
      <c r="AT2858" s="19"/>
      <c r="AU2858" s="19"/>
      <c r="AV2858" s="19"/>
      <c r="AW2858" s="19"/>
      <c r="AX2858" s="19"/>
      <c r="AY2858" s="19"/>
      <c r="AZ2858" s="19">
        <v>1000</v>
      </c>
      <c r="BA2858" s="19">
        <f>500*56000+500*55999</f>
        <v>55999500</v>
      </c>
      <c r="BB2858" s="19"/>
      <c r="BC2858" s="19"/>
      <c r="BD2858" s="19"/>
      <c r="BE2858" s="19"/>
      <c r="BF2858" s="19"/>
      <c r="BG2858" s="19"/>
      <c r="BH2858" s="19"/>
      <c r="BI2858" s="19"/>
      <c r="BJ2858" s="19"/>
      <c r="BK2858" s="19"/>
      <c r="BL2858" s="19"/>
      <c r="BM2858" s="19"/>
      <c r="BN2858" s="19"/>
      <c r="BO2858" s="19"/>
      <c r="BP2858" s="19"/>
      <c r="BQ2858" s="19"/>
      <c r="BR2858" s="19"/>
      <c r="BS2858" s="19"/>
      <c r="BT2858" s="19"/>
      <c r="BU2858" s="19"/>
      <c r="BV2858" s="19"/>
      <c r="BW2858" s="19"/>
      <c r="BX2858" s="19"/>
      <c r="BY2858" s="19"/>
      <c r="BZ2858" s="19">
        <v>50</v>
      </c>
      <c r="CA2858" s="19">
        <f>50*499999.44</f>
        <v>24999972</v>
      </c>
      <c r="CB2858" s="19"/>
      <c r="CC2858" s="19"/>
      <c r="CD2858" s="139"/>
      <c r="CE2858" s="138"/>
      <c r="CF2858" s="139"/>
      <c r="CG2858" s="138"/>
      <c r="CH2858" s="139"/>
      <c r="CI2858" s="138"/>
      <c r="CJ2858" s="72">
        <v>1000</v>
      </c>
      <c r="CK2858" s="139">
        <f>500*21500+500*20999.48</f>
        <v>21249740</v>
      </c>
      <c r="CL2858" s="71"/>
      <c r="CM2858" s="139"/>
      <c r="CN2858" s="138">
        <v>800</v>
      </c>
      <c r="CO2858" s="138">
        <f>800*17999.72</f>
        <v>14399776</v>
      </c>
      <c r="CP2858" s="138">
        <v>2000</v>
      </c>
      <c r="CQ2858" s="139">
        <f>1000*37000+1000*36999.36</f>
        <v>73999360</v>
      </c>
      <c r="CR2858" s="138">
        <v>300</v>
      </c>
      <c r="CS2858" s="45">
        <f>300*39699.84</f>
        <v>11909951.999999998</v>
      </c>
      <c r="CT2858" s="138"/>
      <c r="CU2858" s="45"/>
      <c r="CV2858" s="99">
        <f t="shared" si="279"/>
        <v>202558300</v>
      </c>
      <c r="CW2858" s="139"/>
      <c r="CX2858" s="138"/>
      <c r="CY2858" s="138">
        <v>2000</v>
      </c>
      <c r="CZ2858" s="138">
        <f>1000*85000+1000*85000</f>
        <v>170000000</v>
      </c>
      <c r="DA2858" s="139"/>
      <c r="DB2858" s="138"/>
      <c r="DC2858" s="45"/>
      <c r="DD2858" s="138"/>
      <c r="DE2858" s="45"/>
      <c r="DF2858" s="46"/>
    </row>
    <row r="2859" spans="1:110" s="42" customFormat="1" ht="72" x14ac:dyDescent="0.2">
      <c r="A2859" s="89">
        <v>40877</v>
      </c>
      <c r="B2859" s="151" t="s">
        <v>4348</v>
      </c>
      <c r="C2859" s="90" t="s">
        <v>3342</v>
      </c>
      <c r="D2859" s="90" t="s">
        <v>2362</v>
      </c>
      <c r="E2859" s="90" t="str">
        <f>VLOOKUP(B2859&amp;C2859,Divipola!$C$2:$F$1138,4,FALSE)</f>
        <v>66383</v>
      </c>
      <c r="F2859" s="4"/>
      <c r="G2859" s="101">
        <v>1</v>
      </c>
      <c r="H2859" s="101"/>
      <c r="I2859" s="101"/>
      <c r="J2859" s="101"/>
      <c r="K2859" s="101"/>
      <c r="L2859" s="101"/>
      <c r="M2859" s="101"/>
      <c r="N2859" s="101"/>
      <c r="O2859" s="101"/>
      <c r="P2859" s="101"/>
      <c r="Q2859" s="101"/>
      <c r="R2859" s="101"/>
      <c r="S2859" s="101"/>
      <c r="T2859" s="101"/>
      <c r="U2859" s="101"/>
      <c r="V2859" s="101"/>
      <c r="W2859" s="19"/>
      <c r="X2859" s="17"/>
      <c r="Y2859" s="5">
        <f t="shared" si="274"/>
        <v>0</v>
      </c>
      <c r="Z2859" s="5">
        <f t="shared" si="275"/>
        <v>0</v>
      </c>
      <c r="AA2859" s="5">
        <f t="shared" si="276"/>
        <v>0</v>
      </c>
      <c r="AB2859" s="5">
        <f t="shared" si="277"/>
        <v>0</v>
      </c>
      <c r="AC2859" s="5"/>
      <c r="AD2859" s="5">
        <v>0</v>
      </c>
      <c r="AE2859" s="5">
        <f t="shared" si="278"/>
        <v>0</v>
      </c>
      <c r="AF2859" s="70">
        <v>0</v>
      </c>
      <c r="AG2859" s="17"/>
      <c r="AH2859" s="18"/>
      <c r="AI2859" s="47" t="s">
        <v>4346</v>
      </c>
      <c r="AJ2859" s="73" t="s">
        <v>4347</v>
      </c>
      <c r="AK2859" s="45"/>
      <c r="AL2859" s="17" t="s">
        <v>5534</v>
      </c>
      <c r="AM2859" s="121" t="s">
        <v>5210</v>
      </c>
      <c r="AN2859" s="19"/>
      <c r="AO2859" s="19"/>
      <c r="AP2859" s="19"/>
      <c r="AQ2859" s="19"/>
      <c r="AR2859" s="19"/>
      <c r="AS2859" s="19"/>
      <c r="AT2859" s="19"/>
      <c r="AU2859" s="19"/>
      <c r="AV2859" s="19"/>
      <c r="AW2859" s="19"/>
      <c r="AX2859" s="19"/>
      <c r="AY2859" s="19"/>
      <c r="AZ2859" s="19"/>
      <c r="BA2859" s="19"/>
      <c r="BB2859" s="19"/>
      <c r="BC2859" s="19"/>
      <c r="BD2859" s="19"/>
      <c r="BE2859" s="19"/>
      <c r="BF2859" s="19"/>
      <c r="BG2859" s="19"/>
      <c r="BH2859" s="19"/>
      <c r="BI2859" s="19"/>
      <c r="BJ2859" s="19"/>
      <c r="BK2859" s="19"/>
      <c r="BL2859" s="19"/>
      <c r="BM2859" s="19"/>
      <c r="BN2859" s="19"/>
      <c r="BO2859" s="19"/>
      <c r="BP2859" s="19"/>
      <c r="BQ2859" s="19"/>
      <c r="BR2859" s="19"/>
      <c r="BS2859" s="19"/>
      <c r="BT2859" s="19"/>
      <c r="BU2859" s="19"/>
      <c r="BV2859" s="19"/>
      <c r="BW2859" s="19"/>
      <c r="BX2859" s="19"/>
      <c r="BY2859" s="19"/>
      <c r="BZ2859" s="19"/>
      <c r="CA2859" s="19"/>
      <c r="CB2859" s="19"/>
      <c r="CC2859" s="19"/>
      <c r="CD2859" s="139"/>
      <c r="CE2859" s="138"/>
      <c r="CF2859" s="139"/>
      <c r="CG2859" s="138"/>
      <c r="CH2859" s="139"/>
      <c r="CI2859" s="138"/>
      <c r="CJ2859" s="72"/>
      <c r="CK2859" s="139"/>
      <c r="CL2859" s="71"/>
      <c r="CM2859" s="139"/>
      <c r="CN2859" s="138"/>
      <c r="CO2859" s="138"/>
      <c r="CP2859" s="138"/>
      <c r="CQ2859" s="139"/>
      <c r="CR2859" s="138"/>
      <c r="CS2859" s="45"/>
      <c r="CT2859" s="138"/>
      <c r="CU2859" s="45"/>
      <c r="CV2859" s="99">
        <f t="shared" si="279"/>
        <v>0</v>
      </c>
      <c r="CW2859" s="139"/>
      <c r="CX2859" s="138"/>
      <c r="CY2859" s="138"/>
      <c r="CZ2859" s="138"/>
      <c r="DA2859" s="139"/>
      <c r="DB2859" s="138"/>
      <c r="DC2859" s="45"/>
      <c r="DD2859" s="138"/>
      <c r="DE2859" s="45"/>
      <c r="DF2859" s="46"/>
    </row>
    <row r="2860" spans="1:110" s="42" customFormat="1" ht="36" x14ac:dyDescent="0.2">
      <c r="A2860" s="89">
        <v>40877</v>
      </c>
      <c r="B2860" s="151" t="s">
        <v>4296</v>
      </c>
      <c r="C2860" s="90" t="s">
        <v>3334</v>
      </c>
      <c r="D2860" s="90" t="s">
        <v>2362</v>
      </c>
      <c r="E2860" s="90" t="str">
        <f>VLOOKUP(B2860&amp;C2860,Divipola!$C$2:$F$1138,4,FALSE)</f>
        <v>19130</v>
      </c>
      <c r="F2860" s="4"/>
      <c r="G2860" s="101"/>
      <c r="H2860" s="101"/>
      <c r="I2860" s="101"/>
      <c r="J2860" s="101">
        <v>7</v>
      </c>
      <c r="K2860" s="101">
        <v>1</v>
      </c>
      <c r="L2860" s="101">
        <v>1</v>
      </c>
      <c r="M2860" s="101"/>
      <c r="N2860" s="101"/>
      <c r="O2860" s="101"/>
      <c r="P2860" s="101"/>
      <c r="Q2860" s="101"/>
      <c r="R2860" s="101"/>
      <c r="S2860" s="101"/>
      <c r="T2860" s="101"/>
      <c r="U2860" s="101"/>
      <c r="V2860" s="101"/>
      <c r="W2860" s="19"/>
      <c r="X2860" s="17"/>
      <c r="Y2860" s="5">
        <f t="shared" si="274"/>
        <v>0</v>
      </c>
      <c r="Z2860" s="5">
        <f t="shared" si="275"/>
        <v>0</v>
      </c>
      <c r="AA2860" s="5">
        <f t="shared" si="276"/>
        <v>0</v>
      </c>
      <c r="AB2860" s="5">
        <f t="shared" si="277"/>
        <v>0</v>
      </c>
      <c r="AC2860" s="5"/>
      <c r="AD2860" s="5">
        <v>0</v>
      </c>
      <c r="AE2860" s="5">
        <f t="shared" si="278"/>
        <v>0</v>
      </c>
      <c r="AF2860" s="70">
        <v>0</v>
      </c>
      <c r="AG2860" s="17"/>
      <c r="AH2860" s="18"/>
      <c r="AI2860" s="47" t="s">
        <v>4336</v>
      </c>
      <c r="AJ2860" s="73" t="s">
        <v>4337</v>
      </c>
      <c r="AK2860" s="45"/>
      <c r="AL2860" s="17"/>
      <c r="AM2860" s="121" t="s">
        <v>5213</v>
      </c>
      <c r="AN2860" s="19"/>
      <c r="AO2860" s="19"/>
      <c r="AP2860" s="19"/>
      <c r="AQ2860" s="19"/>
      <c r="AR2860" s="19"/>
      <c r="AS2860" s="19"/>
      <c r="AT2860" s="19"/>
      <c r="AU2860" s="19"/>
      <c r="AV2860" s="19"/>
      <c r="AW2860" s="19"/>
      <c r="AX2860" s="19"/>
      <c r="AY2860" s="19"/>
      <c r="AZ2860" s="19"/>
      <c r="BA2860" s="19"/>
      <c r="BB2860" s="19"/>
      <c r="BC2860" s="19"/>
      <c r="BD2860" s="19"/>
      <c r="BE2860" s="19"/>
      <c r="BF2860" s="19"/>
      <c r="BG2860" s="19"/>
      <c r="BH2860" s="19"/>
      <c r="BI2860" s="19"/>
      <c r="BJ2860" s="19"/>
      <c r="BK2860" s="19"/>
      <c r="BL2860" s="19"/>
      <c r="BM2860" s="19"/>
      <c r="BN2860" s="19"/>
      <c r="BO2860" s="19"/>
      <c r="BP2860" s="19"/>
      <c r="BQ2860" s="19"/>
      <c r="BR2860" s="19"/>
      <c r="BS2860" s="19"/>
      <c r="BT2860" s="19"/>
      <c r="BU2860" s="19"/>
      <c r="BV2860" s="19"/>
      <c r="BW2860" s="19"/>
      <c r="BX2860" s="19"/>
      <c r="BY2860" s="19"/>
      <c r="BZ2860" s="19"/>
      <c r="CA2860" s="19"/>
      <c r="CB2860" s="19"/>
      <c r="CC2860" s="19"/>
      <c r="CD2860" s="139"/>
      <c r="CE2860" s="138"/>
      <c r="CF2860" s="139"/>
      <c r="CG2860" s="138"/>
      <c r="CH2860" s="139"/>
      <c r="CI2860" s="138"/>
      <c r="CJ2860" s="72"/>
      <c r="CK2860" s="139"/>
      <c r="CL2860" s="71"/>
      <c r="CM2860" s="139"/>
      <c r="CN2860" s="138"/>
      <c r="CO2860" s="138"/>
      <c r="CP2860" s="138"/>
      <c r="CQ2860" s="139"/>
      <c r="CR2860" s="138"/>
      <c r="CS2860" s="45"/>
      <c r="CT2860" s="138"/>
      <c r="CU2860" s="45"/>
      <c r="CV2860" s="99">
        <f t="shared" si="279"/>
        <v>0</v>
      </c>
      <c r="CW2860" s="139"/>
      <c r="CX2860" s="138"/>
      <c r="CY2860" s="138"/>
      <c r="CZ2860" s="138"/>
      <c r="DA2860" s="139"/>
      <c r="DB2860" s="138"/>
      <c r="DC2860" s="45"/>
      <c r="DD2860" s="138"/>
      <c r="DE2860" s="45"/>
      <c r="DF2860" s="46"/>
    </row>
    <row r="2861" spans="1:110" s="42" customFormat="1" ht="72" x14ac:dyDescent="0.2">
      <c r="A2861" s="89">
        <v>40877</v>
      </c>
      <c r="B2861" s="16" t="s">
        <v>4282</v>
      </c>
      <c r="C2861" s="16" t="s">
        <v>1590</v>
      </c>
      <c r="D2861" s="90" t="s">
        <v>4264</v>
      </c>
      <c r="E2861" s="90" t="str">
        <f>VLOOKUP(B2861&amp;C2861,Divipola!$C$2:$F$1138,4,FALSE)</f>
        <v>23090</v>
      </c>
      <c r="F2861" s="4"/>
      <c r="G2861" s="208"/>
      <c r="H2861" s="208"/>
      <c r="I2861" s="208"/>
      <c r="J2861" s="208">
        <f>537*5</f>
        <v>2685</v>
      </c>
      <c r="K2861" s="208">
        <v>537</v>
      </c>
      <c r="L2861" s="208">
        <v>30</v>
      </c>
      <c r="M2861" s="208"/>
      <c r="N2861" s="208"/>
      <c r="O2861" s="208"/>
      <c r="P2861" s="208"/>
      <c r="Q2861" s="208"/>
      <c r="R2861" s="208"/>
      <c r="S2861" s="208"/>
      <c r="T2861" s="208"/>
      <c r="U2861" s="208"/>
      <c r="V2861" s="208"/>
      <c r="W2861" s="19"/>
      <c r="X2861" s="17"/>
      <c r="Y2861" s="5">
        <f t="shared" si="274"/>
        <v>0</v>
      </c>
      <c r="Z2861" s="5">
        <f t="shared" si="275"/>
        <v>0</v>
      </c>
      <c r="AA2861" s="5">
        <f t="shared" si="276"/>
        <v>0</v>
      </c>
      <c r="AB2861" s="5">
        <f t="shared" si="277"/>
        <v>0</v>
      </c>
      <c r="AC2861" s="5"/>
      <c r="AD2861" s="5">
        <v>0</v>
      </c>
      <c r="AE2861" s="5">
        <f t="shared" si="278"/>
        <v>0</v>
      </c>
      <c r="AF2861" s="70">
        <v>0</v>
      </c>
      <c r="AG2861" s="17"/>
      <c r="AH2861" s="18"/>
      <c r="AI2861" s="47" t="s">
        <v>4346</v>
      </c>
      <c r="AJ2861" s="73" t="s">
        <v>4347</v>
      </c>
      <c r="AK2861" s="45"/>
      <c r="AL2861" s="89" t="s">
        <v>2798</v>
      </c>
      <c r="AM2861" s="20" t="s">
        <v>5223</v>
      </c>
      <c r="AN2861" s="19"/>
      <c r="AO2861" s="19"/>
      <c r="AP2861" s="19"/>
      <c r="AQ2861" s="19"/>
      <c r="AR2861" s="19"/>
      <c r="AS2861" s="19"/>
      <c r="AT2861" s="19"/>
      <c r="AU2861" s="19"/>
      <c r="AV2861" s="19"/>
      <c r="AW2861" s="19"/>
      <c r="AX2861" s="19"/>
      <c r="AY2861" s="19"/>
      <c r="AZ2861" s="19"/>
      <c r="BA2861" s="19"/>
      <c r="BB2861" s="19"/>
      <c r="BC2861" s="19"/>
      <c r="BD2861" s="19"/>
      <c r="BE2861" s="19"/>
      <c r="BF2861" s="19"/>
      <c r="BG2861" s="19"/>
      <c r="BH2861" s="19"/>
      <c r="BI2861" s="19"/>
      <c r="BJ2861" s="19"/>
      <c r="BK2861" s="19"/>
      <c r="BL2861" s="19"/>
      <c r="BM2861" s="19"/>
      <c r="BN2861" s="19"/>
      <c r="BO2861" s="19"/>
      <c r="BP2861" s="19"/>
      <c r="BQ2861" s="19"/>
      <c r="BR2861" s="19"/>
      <c r="BS2861" s="19"/>
      <c r="BT2861" s="19"/>
      <c r="BU2861" s="19"/>
      <c r="BV2861" s="19"/>
      <c r="BW2861" s="19"/>
      <c r="BX2861" s="19"/>
      <c r="BY2861" s="19"/>
      <c r="BZ2861" s="19"/>
      <c r="CA2861" s="19"/>
      <c r="CB2861" s="19"/>
      <c r="CC2861" s="19"/>
      <c r="CD2861" s="139"/>
      <c r="CE2861" s="138"/>
      <c r="CF2861" s="139"/>
      <c r="CG2861" s="138"/>
      <c r="CH2861" s="139"/>
      <c r="CI2861" s="138"/>
      <c r="CJ2861" s="72"/>
      <c r="CK2861" s="139"/>
      <c r="CL2861" s="71"/>
      <c r="CM2861" s="139"/>
      <c r="CN2861" s="138"/>
      <c r="CO2861" s="138"/>
      <c r="CP2861" s="138"/>
      <c r="CQ2861" s="139"/>
      <c r="CR2861" s="138"/>
      <c r="CS2861" s="45"/>
      <c r="CT2861" s="138"/>
      <c r="CU2861" s="45"/>
      <c r="CV2861" s="99">
        <f t="shared" si="279"/>
        <v>0</v>
      </c>
      <c r="CW2861" s="139"/>
      <c r="CX2861" s="138"/>
      <c r="CY2861" s="138"/>
      <c r="CZ2861" s="138"/>
      <c r="DA2861" s="139"/>
      <c r="DB2861" s="138"/>
      <c r="DC2861" s="45"/>
      <c r="DD2861" s="138"/>
      <c r="DE2861" s="45"/>
      <c r="DF2861" s="46"/>
    </row>
    <row r="2862" spans="1:110" s="42" customFormat="1" ht="24" x14ac:dyDescent="0.2">
      <c r="A2862" s="89">
        <v>40877</v>
      </c>
      <c r="B2862" s="16" t="s">
        <v>4282</v>
      </c>
      <c r="C2862" s="16" t="s">
        <v>846</v>
      </c>
      <c r="D2862" s="90" t="s">
        <v>4264</v>
      </c>
      <c r="E2862" s="90" t="str">
        <f>VLOOKUP(B2862&amp;C2862,Divipola!$C$2:$F$1138,4,FALSE)</f>
        <v>23419</v>
      </c>
      <c r="F2862" s="4"/>
      <c r="G2862" s="208"/>
      <c r="H2862" s="208"/>
      <c r="I2862" s="208"/>
      <c r="J2862" s="208">
        <f>380*5</f>
        <v>1900</v>
      </c>
      <c r="K2862" s="208">
        <v>380</v>
      </c>
      <c r="L2862" s="208">
        <v>10</v>
      </c>
      <c r="M2862" s="208"/>
      <c r="N2862" s="208"/>
      <c r="O2862" s="208"/>
      <c r="P2862" s="208"/>
      <c r="Q2862" s="208"/>
      <c r="R2862" s="208"/>
      <c r="S2862" s="208"/>
      <c r="T2862" s="208"/>
      <c r="U2862" s="208"/>
      <c r="V2862" s="208"/>
      <c r="W2862" s="19"/>
      <c r="X2862" s="17"/>
      <c r="Y2862" s="5">
        <f t="shared" si="274"/>
        <v>0</v>
      </c>
      <c r="Z2862" s="5">
        <f t="shared" si="275"/>
        <v>0</v>
      </c>
      <c r="AA2862" s="5">
        <f t="shared" si="276"/>
        <v>0</v>
      </c>
      <c r="AB2862" s="5">
        <f t="shared" si="277"/>
        <v>0</v>
      </c>
      <c r="AC2862" s="5"/>
      <c r="AD2862" s="5">
        <v>0</v>
      </c>
      <c r="AE2862" s="5">
        <f t="shared" si="278"/>
        <v>0</v>
      </c>
      <c r="AF2862" s="70">
        <v>0</v>
      </c>
      <c r="AG2862" s="17"/>
      <c r="AH2862" s="18"/>
      <c r="AI2862" s="47" t="s">
        <v>4346</v>
      </c>
      <c r="AJ2862" s="73" t="s">
        <v>4347</v>
      </c>
      <c r="AK2862" s="45"/>
      <c r="AL2862" s="17" t="s">
        <v>5533</v>
      </c>
      <c r="AM2862" s="20" t="s">
        <v>5224</v>
      </c>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39"/>
      <c r="CE2862" s="138"/>
      <c r="CF2862" s="139"/>
      <c r="CG2862" s="138"/>
      <c r="CH2862" s="139"/>
      <c r="CI2862" s="138"/>
      <c r="CJ2862" s="72"/>
      <c r="CK2862" s="139"/>
      <c r="CL2862" s="71"/>
      <c r="CM2862" s="139"/>
      <c r="CN2862" s="138"/>
      <c r="CO2862" s="138"/>
      <c r="CP2862" s="138"/>
      <c r="CQ2862" s="139"/>
      <c r="CR2862" s="138"/>
      <c r="CS2862" s="45"/>
      <c r="CT2862" s="138"/>
      <c r="CU2862" s="45"/>
      <c r="CV2862" s="99">
        <f t="shared" si="279"/>
        <v>0</v>
      </c>
      <c r="CW2862" s="139"/>
      <c r="CX2862" s="138"/>
      <c r="CY2862" s="138"/>
      <c r="CZ2862" s="138"/>
      <c r="DA2862" s="139"/>
      <c r="DB2862" s="138"/>
      <c r="DC2862" s="45"/>
      <c r="DD2862" s="138"/>
      <c r="DE2862" s="45"/>
      <c r="DF2862" s="46"/>
    </row>
    <row r="2863" spans="1:110" s="42" customFormat="1" x14ac:dyDescent="0.2">
      <c r="A2863" s="89">
        <v>40877</v>
      </c>
      <c r="B2863" s="16" t="s">
        <v>4282</v>
      </c>
      <c r="C2863" s="16" t="s">
        <v>4345</v>
      </c>
      <c r="D2863" s="90" t="s">
        <v>4264</v>
      </c>
      <c r="E2863" s="90">
        <f>VLOOKUP(B2863&amp;C2863,Divipola!$C$2:$F$1138,4,FALSE)</f>
        <v>23</v>
      </c>
      <c r="F2863" s="4"/>
      <c r="G2863" s="208"/>
      <c r="H2863" s="208"/>
      <c r="I2863" s="208"/>
      <c r="J2863" s="208"/>
      <c r="K2863" s="208"/>
      <c r="L2863" s="208"/>
      <c r="M2863" s="208"/>
      <c r="N2863" s="208"/>
      <c r="O2863" s="208"/>
      <c r="P2863" s="208"/>
      <c r="Q2863" s="208"/>
      <c r="R2863" s="208"/>
      <c r="S2863" s="208"/>
      <c r="T2863" s="208"/>
      <c r="U2863" s="208"/>
      <c r="V2863" s="208"/>
      <c r="W2863" s="19"/>
      <c r="X2863" s="17"/>
      <c r="Y2863" s="5">
        <f t="shared" si="274"/>
        <v>431915700</v>
      </c>
      <c r="Z2863" s="5">
        <f t="shared" si="275"/>
        <v>354535000</v>
      </c>
      <c r="AA2863" s="5">
        <f t="shared" si="276"/>
        <v>0</v>
      </c>
      <c r="AB2863" s="5">
        <f t="shared" si="277"/>
        <v>95004000</v>
      </c>
      <c r="AC2863" s="5"/>
      <c r="AD2863" s="5">
        <v>0</v>
      </c>
      <c r="AE2863" s="5">
        <f t="shared" si="278"/>
        <v>881454700</v>
      </c>
      <c r="AF2863" s="70">
        <v>0</v>
      </c>
      <c r="AG2863" s="17"/>
      <c r="AH2863" s="18"/>
      <c r="AI2863" s="47" t="s">
        <v>4346</v>
      </c>
      <c r="AJ2863" s="73" t="s">
        <v>4347</v>
      </c>
      <c r="AK2863" s="45"/>
      <c r="AL2863" s="17"/>
      <c r="AM2863" s="20"/>
      <c r="AN2863" s="19"/>
      <c r="AO2863" s="19"/>
      <c r="AP2863" s="19"/>
      <c r="AQ2863" s="19"/>
      <c r="AR2863" s="19"/>
      <c r="AS2863" s="19"/>
      <c r="AT2863" s="19"/>
      <c r="AU2863" s="19"/>
      <c r="AV2863" s="19"/>
      <c r="AW2863" s="19"/>
      <c r="AX2863" s="19"/>
      <c r="AY2863" s="19"/>
      <c r="AZ2863" s="19">
        <v>2000</v>
      </c>
      <c r="BA2863" s="19">
        <f>1169*56000+831*56000</f>
        <v>112000000</v>
      </c>
      <c r="BB2863" s="19"/>
      <c r="BC2863" s="19"/>
      <c r="BD2863" s="19"/>
      <c r="BE2863" s="19"/>
      <c r="BF2863" s="19"/>
      <c r="BG2863" s="19"/>
      <c r="BH2863" s="19"/>
      <c r="BI2863" s="19"/>
      <c r="BJ2863" s="19"/>
      <c r="BK2863" s="19"/>
      <c r="BL2863" s="19"/>
      <c r="BM2863" s="19"/>
      <c r="BN2863" s="19"/>
      <c r="BO2863" s="19"/>
      <c r="BP2863" s="19"/>
      <c r="BQ2863" s="19"/>
      <c r="BR2863" s="19"/>
      <c r="BS2863" s="19"/>
      <c r="BT2863" s="19"/>
      <c r="BU2863" s="19"/>
      <c r="BV2863" s="19"/>
      <c r="BW2863" s="19"/>
      <c r="BX2863" s="19"/>
      <c r="BY2863" s="19"/>
      <c r="BZ2863" s="19"/>
      <c r="CA2863" s="19"/>
      <c r="CB2863" s="19"/>
      <c r="CC2863" s="19"/>
      <c r="CD2863" s="139"/>
      <c r="CE2863" s="138"/>
      <c r="CF2863" s="139"/>
      <c r="CG2863" s="138"/>
      <c r="CH2863" s="139"/>
      <c r="CI2863" s="138"/>
      <c r="CJ2863" s="72"/>
      <c r="CK2863" s="139"/>
      <c r="CL2863" s="71"/>
      <c r="CM2863" s="139"/>
      <c r="CN2863" s="138"/>
      <c r="CO2863" s="138"/>
      <c r="CP2863" s="138">
        <v>4171</v>
      </c>
      <c r="CQ2863" s="139">
        <f>3097*37000+1074*37000</f>
        <v>154327000</v>
      </c>
      <c r="CR2863" s="138">
        <v>4171</v>
      </c>
      <c r="CS2863" s="45">
        <f>4171*39700</f>
        <v>165588700</v>
      </c>
      <c r="CT2863" s="138"/>
      <c r="CU2863" s="45"/>
      <c r="CV2863" s="99">
        <f t="shared" si="279"/>
        <v>431915700</v>
      </c>
      <c r="CW2863" s="139">
        <v>100000</v>
      </c>
      <c r="CX2863" s="138">
        <f>100000*950.04</f>
        <v>95004000</v>
      </c>
      <c r="CY2863" s="138">
        <v>4171</v>
      </c>
      <c r="CZ2863" s="138">
        <f>2171*85000+2000*85000</f>
        <v>354535000</v>
      </c>
      <c r="DA2863" s="139"/>
      <c r="DB2863" s="138"/>
      <c r="DC2863" s="45"/>
      <c r="DD2863" s="138"/>
      <c r="DE2863" s="45"/>
      <c r="DF2863" s="46"/>
    </row>
    <row r="2864" spans="1:110" s="42" customFormat="1" ht="24" x14ac:dyDescent="0.2">
      <c r="A2864" s="89">
        <v>40877</v>
      </c>
      <c r="B2864" s="16" t="s">
        <v>4221</v>
      </c>
      <c r="C2864" s="16" t="s">
        <v>4380</v>
      </c>
      <c r="D2864" s="16" t="s">
        <v>2362</v>
      </c>
      <c r="E2864" s="90" t="str">
        <f>VLOOKUP(B2864&amp;C2864,Divipola!$C$2:$F$1138,4,FALSE)</f>
        <v>54347</v>
      </c>
      <c r="F2864" s="4"/>
      <c r="G2864" s="208"/>
      <c r="H2864" s="208"/>
      <c r="I2864" s="208"/>
      <c r="J2864" s="208">
        <v>46</v>
      </c>
      <c r="K2864" s="208">
        <v>12</v>
      </c>
      <c r="L2864" s="208"/>
      <c r="M2864" s="208"/>
      <c r="N2864" s="208">
        <v>3</v>
      </c>
      <c r="O2864" s="208"/>
      <c r="P2864" s="208"/>
      <c r="Q2864" s="208"/>
      <c r="R2864" s="208"/>
      <c r="S2864" s="208"/>
      <c r="T2864" s="208"/>
      <c r="U2864" s="208"/>
      <c r="V2864" s="208"/>
      <c r="W2864" s="19"/>
      <c r="X2864" s="17"/>
      <c r="Y2864" s="5">
        <f t="shared" si="274"/>
        <v>0</v>
      </c>
      <c r="Z2864" s="5">
        <f t="shared" si="275"/>
        <v>0</v>
      </c>
      <c r="AA2864" s="5">
        <f t="shared" si="276"/>
        <v>0</v>
      </c>
      <c r="AB2864" s="5">
        <f t="shared" si="277"/>
        <v>0</v>
      </c>
      <c r="AC2864" s="159">
        <f>50*410060+50*186760+1000*21599.2</f>
        <v>51440200</v>
      </c>
      <c r="AD2864" s="5">
        <v>0</v>
      </c>
      <c r="AE2864" s="5">
        <f t="shared" si="278"/>
        <v>51440200</v>
      </c>
      <c r="AF2864" s="70">
        <v>0</v>
      </c>
      <c r="AG2864" s="17"/>
      <c r="AH2864" s="18"/>
      <c r="AI2864" s="47" t="s">
        <v>4346</v>
      </c>
      <c r="AJ2864" s="73" t="s">
        <v>4347</v>
      </c>
      <c r="AK2864" s="45"/>
      <c r="AL2864" s="17"/>
      <c r="AM2864" s="154" t="s">
        <v>5260</v>
      </c>
      <c r="AN2864" s="19"/>
      <c r="AO2864" s="19"/>
      <c r="AP2864" s="19"/>
      <c r="AQ2864" s="19"/>
      <c r="AR2864" s="19"/>
      <c r="AS2864" s="19"/>
      <c r="AT2864" s="19"/>
      <c r="AU2864" s="19"/>
      <c r="AV2864" s="19"/>
      <c r="AW2864" s="19"/>
      <c r="AX2864" s="19"/>
      <c r="AY2864" s="19"/>
      <c r="AZ2864" s="19"/>
      <c r="BA2864" s="19"/>
      <c r="BB2864" s="19"/>
      <c r="BC2864" s="19"/>
      <c r="BD2864" s="19"/>
      <c r="BE2864" s="19"/>
      <c r="BF2864" s="19"/>
      <c r="BG2864" s="19"/>
      <c r="BH2864" s="19"/>
      <c r="BI2864" s="19"/>
      <c r="BJ2864" s="19"/>
      <c r="BK2864" s="19"/>
      <c r="BL2864" s="19"/>
      <c r="BM2864" s="19"/>
      <c r="BN2864" s="19"/>
      <c r="BO2864" s="19"/>
      <c r="BP2864" s="19"/>
      <c r="BQ2864" s="19"/>
      <c r="BR2864" s="19"/>
      <c r="BS2864" s="19"/>
      <c r="BT2864" s="19"/>
      <c r="BU2864" s="19"/>
      <c r="BV2864" s="19"/>
      <c r="BW2864" s="19"/>
      <c r="BX2864" s="19"/>
      <c r="BY2864" s="19"/>
      <c r="BZ2864" s="19"/>
      <c r="CA2864" s="19"/>
      <c r="CB2864" s="19"/>
      <c r="CC2864" s="19"/>
      <c r="CD2864" s="139"/>
      <c r="CE2864" s="138"/>
      <c r="CF2864" s="139"/>
      <c r="CG2864" s="138"/>
      <c r="CH2864" s="139"/>
      <c r="CI2864" s="138"/>
      <c r="CJ2864" s="72"/>
      <c r="CK2864" s="139"/>
      <c r="CL2864" s="71"/>
      <c r="CM2864" s="139"/>
      <c r="CN2864" s="138"/>
      <c r="CO2864" s="138"/>
      <c r="CP2864" s="138"/>
      <c r="CQ2864" s="139"/>
      <c r="CR2864" s="138"/>
      <c r="CS2864" s="45"/>
      <c r="CT2864" s="138"/>
      <c r="CU2864" s="45"/>
      <c r="CV2864" s="99">
        <f t="shared" si="279"/>
        <v>0</v>
      </c>
      <c r="CW2864" s="139"/>
      <c r="CX2864" s="138"/>
      <c r="CY2864" s="138"/>
      <c r="CZ2864" s="138"/>
      <c r="DA2864" s="139"/>
      <c r="DB2864" s="138"/>
      <c r="DC2864" s="45"/>
      <c r="DD2864" s="138"/>
      <c r="DE2864" s="45"/>
      <c r="DF2864" s="46"/>
    </row>
    <row r="2865" spans="1:110" s="42" customFormat="1" ht="72" x14ac:dyDescent="0.2">
      <c r="A2865" s="89">
        <v>40877</v>
      </c>
      <c r="B2865" s="151" t="s">
        <v>4244</v>
      </c>
      <c r="C2865" s="90" t="s">
        <v>3384</v>
      </c>
      <c r="D2865" s="90" t="s">
        <v>4264</v>
      </c>
      <c r="E2865" s="90" t="str">
        <f>VLOOKUP(B2865&amp;C2865,Divipola!$C$2:$F$1138,4,FALSE)</f>
        <v>76892</v>
      </c>
      <c r="F2865" s="4"/>
      <c r="G2865" s="101">
        <v>1</v>
      </c>
      <c r="H2865" s="101"/>
      <c r="I2865" s="101"/>
      <c r="J2865" s="101"/>
      <c r="K2865" s="101"/>
      <c r="L2865" s="101"/>
      <c r="M2865" s="101"/>
      <c r="N2865" s="101"/>
      <c r="O2865" s="101"/>
      <c r="P2865" s="101"/>
      <c r="Q2865" s="101"/>
      <c r="R2865" s="101"/>
      <c r="S2865" s="101"/>
      <c r="T2865" s="101"/>
      <c r="U2865" s="101"/>
      <c r="V2865" s="101"/>
      <c r="W2865" s="19"/>
      <c r="X2865" s="17"/>
      <c r="Y2865" s="5">
        <f t="shared" si="274"/>
        <v>0</v>
      </c>
      <c r="Z2865" s="5">
        <f t="shared" si="275"/>
        <v>0</v>
      </c>
      <c r="AA2865" s="5">
        <f t="shared" si="276"/>
        <v>0</v>
      </c>
      <c r="AB2865" s="5">
        <f t="shared" si="277"/>
        <v>0</v>
      </c>
      <c r="AC2865" s="5"/>
      <c r="AD2865" s="5">
        <v>0</v>
      </c>
      <c r="AE2865" s="5">
        <f t="shared" si="278"/>
        <v>0</v>
      </c>
      <c r="AF2865" s="70">
        <v>0</v>
      </c>
      <c r="AG2865" s="17"/>
      <c r="AH2865" s="18"/>
      <c r="AI2865" s="47" t="s">
        <v>4346</v>
      </c>
      <c r="AJ2865" s="73" t="s">
        <v>4347</v>
      </c>
      <c r="AK2865" s="45"/>
      <c r="AL2865" s="89" t="s">
        <v>2798</v>
      </c>
      <c r="AM2865" s="121" t="s">
        <v>5277</v>
      </c>
      <c r="AN2865" s="19"/>
      <c r="AO2865" s="19"/>
      <c r="AP2865" s="19"/>
      <c r="AQ2865" s="19"/>
      <c r="AR2865" s="19"/>
      <c r="AS2865" s="19"/>
      <c r="AT2865" s="19"/>
      <c r="AU2865" s="19"/>
      <c r="AV2865" s="19"/>
      <c r="AW2865" s="19"/>
      <c r="AX2865" s="19"/>
      <c r="AY2865" s="19"/>
      <c r="AZ2865" s="19"/>
      <c r="BA2865" s="19"/>
      <c r="BB2865" s="19"/>
      <c r="BC2865" s="19"/>
      <c r="BD2865" s="19"/>
      <c r="BE2865" s="19"/>
      <c r="BF2865" s="19"/>
      <c r="BG2865" s="19"/>
      <c r="BH2865" s="19"/>
      <c r="BI2865" s="19"/>
      <c r="BJ2865" s="19"/>
      <c r="BK2865" s="19"/>
      <c r="BL2865" s="19"/>
      <c r="BM2865" s="19"/>
      <c r="BN2865" s="19"/>
      <c r="BO2865" s="19"/>
      <c r="BP2865" s="19"/>
      <c r="BQ2865" s="19"/>
      <c r="BR2865" s="19"/>
      <c r="BS2865" s="19"/>
      <c r="BT2865" s="19"/>
      <c r="BU2865" s="19"/>
      <c r="BV2865" s="19"/>
      <c r="BW2865" s="19"/>
      <c r="BX2865" s="19"/>
      <c r="BY2865" s="19"/>
      <c r="BZ2865" s="19"/>
      <c r="CA2865" s="19"/>
      <c r="CB2865" s="19"/>
      <c r="CC2865" s="19"/>
      <c r="CD2865" s="139"/>
      <c r="CE2865" s="138"/>
      <c r="CF2865" s="139"/>
      <c r="CG2865" s="138"/>
      <c r="CH2865" s="139"/>
      <c r="CI2865" s="138"/>
      <c r="CJ2865" s="72"/>
      <c r="CK2865" s="139"/>
      <c r="CL2865" s="71"/>
      <c r="CM2865" s="139"/>
      <c r="CN2865" s="138"/>
      <c r="CO2865" s="138"/>
      <c r="CP2865" s="138"/>
      <c r="CQ2865" s="139"/>
      <c r="CR2865" s="138"/>
      <c r="CS2865" s="45"/>
      <c r="CT2865" s="138"/>
      <c r="CU2865" s="45"/>
      <c r="CV2865" s="99">
        <f t="shared" si="279"/>
        <v>0</v>
      </c>
      <c r="CW2865" s="139"/>
      <c r="CX2865" s="138"/>
      <c r="CY2865" s="138"/>
      <c r="CZ2865" s="138"/>
      <c r="DA2865" s="139"/>
      <c r="DB2865" s="138"/>
      <c r="DC2865" s="45"/>
      <c r="DD2865" s="138"/>
      <c r="DE2865" s="45"/>
      <c r="DF2865" s="46"/>
    </row>
    <row r="2866" spans="1:110" s="42" customFormat="1" ht="60" x14ac:dyDescent="0.2">
      <c r="A2866" s="89">
        <v>40877</v>
      </c>
      <c r="B2866" s="151" t="s">
        <v>4261</v>
      </c>
      <c r="C2866" s="90" t="s">
        <v>2583</v>
      </c>
      <c r="D2866" s="90" t="s">
        <v>4264</v>
      </c>
      <c r="E2866" s="90" t="str">
        <f>VLOOKUP(B2866&amp;C2866,Divipola!$C$2:$F$1138,4,FALSE)</f>
        <v>15051</v>
      </c>
      <c r="F2866" s="4"/>
      <c r="G2866" s="101">
        <v>1</v>
      </c>
      <c r="H2866" s="101"/>
      <c r="I2866" s="101"/>
      <c r="J2866" s="101"/>
      <c r="K2866" s="101"/>
      <c r="L2866" s="101"/>
      <c r="M2866" s="101"/>
      <c r="N2866" s="101"/>
      <c r="O2866" s="101"/>
      <c r="P2866" s="101"/>
      <c r="Q2866" s="101"/>
      <c r="R2866" s="101"/>
      <c r="S2866" s="101"/>
      <c r="T2866" s="101"/>
      <c r="U2866" s="101"/>
      <c r="V2866" s="101"/>
      <c r="W2866" s="19"/>
      <c r="X2866" s="17"/>
      <c r="Y2866" s="5">
        <f t="shared" si="274"/>
        <v>0</v>
      </c>
      <c r="Z2866" s="5">
        <f t="shared" si="275"/>
        <v>0</v>
      </c>
      <c r="AA2866" s="5">
        <f t="shared" si="276"/>
        <v>0</v>
      </c>
      <c r="AB2866" s="5">
        <f t="shared" si="277"/>
        <v>0</v>
      </c>
      <c r="AC2866" s="5"/>
      <c r="AD2866" s="5">
        <v>0</v>
      </c>
      <c r="AE2866" s="5">
        <f t="shared" si="278"/>
        <v>0</v>
      </c>
      <c r="AF2866" s="70">
        <v>0</v>
      </c>
      <c r="AG2866" s="17"/>
      <c r="AH2866" s="18"/>
      <c r="AI2866" s="47" t="s">
        <v>4346</v>
      </c>
      <c r="AJ2866" s="73" t="s">
        <v>4347</v>
      </c>
      <c r="AK2866" s="45"/>
      <c r="AL2866" s="17" t="s">
        <v>5531</v>
      </c>
      <c r="AM2866" s="121" t="s">
        <v>5315</v>
      </c>
      <c r="AN2866" s="19"/>
      <c r="AO2866" s="19"/>
      <c r="AP2866" s="19"/>
      <c r="AQ2866" s="19"/>
      <c r="AR2866" s="19"/>
      <c r="AS2866" s="19"/>
      <c r="AT2866" s="19"/>
      <c r="AU2866" s="19"/>
      <c r="AV2866" s="19"/>
      <c r="AW2866" s="19"/>
      <c r="AX2866" s="19"/>
      <c r="AY2866" s="19"/>
      <c r="AZ2866" s="19"/>
      <c r="BA2866" s="19"/>
      <c r="BB2866" s="19"/>
      <c r="BC2866" s="19"/>
      <c r="BD2866" s="19"/>
      <c r="BE2866" s="19"/>
      <c r="BF2866" s="19"/>
      <c r="BG2866" s="19"/>
      <c r="BH2866" s="19"/>
      <c r="BI2866" s="19"/>
      <c r="BJ2866" s="19"/>
      <c r="BK2866" s="19"/>
      <c r="BL2866" s="19"/>
      <c r="BM2866" s="19"/>
      <c r="BN2866" s="19"/>
      <c r="BO2866" s="19"/>
      <c r="BP2866" s="19"/>
      <c r="BQ2866" s="19"/>
      <c r="BR2866" s="19"/>
      <c r="BS2866" s="19"/>
      <c r="BT2866" s="19"/>
      <c r="BU2866" s="19"/>
      <c r="BV2866" s="19"/>
      <c r="BW2866" s="19"/>
      <c r="BX2866" s="19"/>
      <c r="BY2866" s="19"/>
      <c r="BZ2866" s="19"/>
      <c r="CA2866" s="19"/>
      <c r="CB2866" s="19"/>
      <c r="CC2866" s="19"/>
      <c r="CD2866" s="139"/>
      <c r="CE2866" s="138"/>
      <c r="CF2866" s="139"/>
      <c r="CG2866" s="138"/>
      <c r="CH2866" s="139"/>
      <c r="CI2866" s="138"/>
      <c r="CJ2866" s="72"/>
      <c r="CK2866" s="139"/>
      <c r="CL2866" s="71"/>
      <c r="CM2866" s="139"/>
      <c r="CN2866" s="138"/>
      <c r="CO2866" s="138"/>
      <c r="CP2866" s="138"/>
      <c r="CQ2866" s="139"/>
      <c r="CR2866" s="138"/>
      <c r="CS2866" s="45"/>
      <c r="CT2866" s="138"/>
      <c r="CU2866" s="45"/>
      <c r="CV2866" s="99">
        <f t="shared" si="279"/>
        <v>0</v>
      </c>
      <c r="CW2866" s="139"/>
      <c r="CX2866" s="138"/>
      <c r="CY2866" s="138"/>
      <c r="CZ2866" s="138"/>
      <c r="DA2866" s="139"/>
      <c r="DB2866" s="138"/>
      <c r="DC2866" s="45"/>
      <c r="DD2866" s="138"/>
      <c r="DE2866" s="45"/>
      <c r="DF2866" s="46"/>
    </row>
    <row r="2867" spans="1:110" s="42" customFormat="1" ht="144" x14ac:dyDescent="0.2">
      <c r="A2867" s="17">
        <v>40877</v>
      </c>
      <c r="B2867" s="16" t="s">
        <v>4349</v>
      </c>
      <c r="C2867" s="16" t="s">
        <v>4349</v>
      </c>
      <c r="D2867" s="16" t="s">
        <v>4264</v>
      </c>
      <c r="E2867" s="90" t="str">
        <f>VLOOKUP(B2867&amp;C2867,Divipola!$C$2:$F$1138,4,FALSE)</f>
        <v>00000</v>
      </c>
      <c r="F2867" s="4"/>
      <c r="G2867" s="208"/>
      <c r="H2867" s="208"/>
      <c r="I2867" s="208"/>
      <c r="J2867" s="208"/>
      <c r="K2867" s="208"/>
      <c r="L2867" s="208"/>
      <c r="M2867" s="208"/>
      <c r="N2867" s="208"/>
      <c r="O2867" s="208"/>
      <c r="P2867" s="208"/>
      <c r="Q2867" s="208"/>
      <c r="R2867" s="208"/>
      <c r="S2867" s="208"/>
      <c r="T2867" s="208"/>
      <c r="U2867" s="208"/>
      <c r="V2867" s="208"/>
      <c r="W2867" s="19"/>
      <c r="X2867" s="17"/>
      <c r="Y2867" s="5">
        <f t="shared" si="274"/>
        <v>0</v>
      </c>
      <c r="Z2867" s="5">
        <f t="shared" si="275"/>
        <v>0</v>
      </c>
      <c r="AA2867" s="5">
        <f t="shared" si="276"/>
        <v>0</v>
      </c>
      <c r="AB2867" s="5">
        <f t="shared" si="277"/>
        <v>0</v>
      </c>
      <c r="AC2867" s="5">
        <v>44402480</v>
      </c>
      <c r="AD2867" s="5">
        <v>0</v>
      </c>
      <c r="AE2867" s="5">
        <f t="shared" si="278"/>
        <v>44402480</v>
      </c>
      <c r="AF2867" s="70">
        <v>0</v>
      </c>
      <c r="AG2867" s="17"/>
      <c r="AH2867" s="18"/>
      <c r="AI2867" s="47" t="s">
        <v>4346</v>
      </c>
      <c r="AJ2867" s="73" t="s">
        <v>4347</v>
      </c>
      <c r="AK2867" s="45"/>
      <c r="AL2867" s="17"/>
      <c r="AM2867" s="20" t="s">
        <v>5587</v>
      </c>
      <c r="AN2867" s="19"/>
      <c r="AO2867" s="19"/>
      <c r="AP2867" s="19"/>
      <c r="AQ2867" s="19"/>
      <c r="AR2867" s="19"/>
      <c r="AS2867" s="19"/>
      <c r="AT2867" s="19"/>
      <c r="AU2867" s="19"/>
      <c r="AV2867" s="19"/>
      <c r="AW2867" s="19"/>
      <c r="AX2867" s="19"/>
      <c r="AY2867" s="19"/>
      <c r="AZ2867" s="19"/>
      <c r="BA2867" s="19"/>
      <c r="BB2867" s="19"/>
      <c r="BC2867" s="19"/>
      <c r="BD2867" s="19"/>
      <c r="BE2867" s="19"/>
      <c r="BF2867" s="19"/>
      <c r="BG2867" s="19"/>
      <c r="BH2867" s="19"/>
      <c r="BI2867" s="19"/>
      <c r="BJ2867" s="19"/>
      <c r="BK2867" s="19"/>
      <c r="BL2867" s="19"/>
      <c r="BM2867" s="19"/>
      <c r="BN2867" s="19"/>
      <c r="BO2867" s="19"/>
      <c r="BP2867" s="19"/>
      <c r="BQ2867" s="19"/>
      <c r="BR2867" s="19"/>
      <c r="BS2867" s="19"/>
      <c r="BT2867" s="19"/>
      <c r="BU2867" s="19"/>
      <c r="BV2867" s="19"/>
      <c r="BW2867" s="19"/>
      <c r="BX2867" s="19"/>
      <c r="BY2867" s="19"/>
      <c r="BZ2867" s="19"/>
      <c r="CA2867" s="19"/>
      <c r="CB2867" s="19"/>
      <c r="CC2867" s="19"/>
      <c r="CD2867" s="139"/>
      <c r="CE2867" s="138"/>
      <c r="CF2867" s="139"/>
      <c r="CG2867" s="138"/>
      <c r="CH2867" s="139"/>
      <c r="CI2867" s="138"/>
      <c r="CJ2867" s="72"/>
      <c r="CK2867" s="139"/>
      <c r="CL2867" s="71"/>
      <c r="CM2867" s="139"/>
      <c r="CN2867" s="138"/>
      <c r="CO2867" s="138"/>
      <c r="CP2867" s="138"/>
      <c r="CQ2867" s="139"/>
      <c r="CR2867" s="138"/>
      <c r="CS2867" s="45"/>
      <c r="CT2867" s="138"/>
      <c r="CU2867" s="45"/>
      <c r="CV2867" s="99">
        <f t="shared" si="279"/>
        <v>0</v>
      </c>
      <c r="CW2867" s="139"/>
      <c r="CX2867" s="138"/>
      <c r="CY2867" s="138"/>
      <c r="CZ2867" s="138"/>
      <c r="DA2867" s="139"/>
      <c r="DB2867" s="138"/>
      <c r="DC2867" s="45"/>
      <c r="DD2867" s="138"/>
      <c r="DE2867" s="45"/>
      <c r="DF2867" s="46"/>
    </row>
    <row r="2868" spans="1:110" s="42" customFormat="1" ht="48" x14ac:dyDescent="0.2">
      <c r="A2868" s="89">
        <v>40878</v>
      </c>
      <c r="B2868" s="151" t="s">
        <v>860</v>
      </c>
      <c r="C2868" s="90" t="s">
        <v>2859</v>
      </c>
      <c r="D2868" s="90" t="s">
        <v>4264</v>
      </c>
      <c r="E2868" s="90" t="str">
        <f>VLOOKUP(B2868&amp;C2868,Divipola!$C$2:$F$1138,4,FALSE)</f>
        <v>50001</v>
      </c>
      <c r="F2868" s="4"/>
      <c r="G2868" s="101">
        <v>6</v>
      </c>
      <c r="H2868" s="101">
        <v>7</v>
      </c>
      <c r="I2868" s="101"/>
      <c r="J2868" s="101">
        <v>5284</v>
      </c>
      <c r="K2868" s="101">
        <v>1076</v>
      </c>
      <c r="L2868" s="101">
        <v>85</v>
      </c>
      <c r="M2868" s="101">
        <v>234</v>
      </c>
      <c r="N2868" s="101"/>
      <c r="O2868" s="101"/>
      <c r="P2868" s="101"/>
      <c r="Q2868" s="101"/>
      <c r="R2868" s="101"/>
      <c r="S2868" s="101"/>
      <c r="T2868" s="101"/>
      <c r="U2868" s="101"/>
      <c r="V2868" s="101"/>
      <c r="W2868" s="19"/>
      <c r="X2868" s="17"/>
      <c r="Y2868" s="5">
        <f t="shared" si="274"/>
        <v>0</v>
      </c>
      <c r="Z2868" s="5">
        <f t="shared" si="275"/>
        <v>0</v>
      </c>
      <c r="AA2868" s="5">
        <f t="shared" si="276"/>
        <v>0</v>
      </c>
      <c r="AB2868" s="5">
        <f t="shared" si="277"/>
        <v>0</v>
      </c>
      <c r="AC2868" s="5"/>
      <c r="AD2868" s="5">
        <v>0</v>
      </c>
      <c r="AE2868" s="5">
        <f t="shared" si="278"/>
        <v>0</v>
      </c>
      <c r="AF2868" s="70">
        <v>0</v>
      </c>
      <c r="AG2868" s="17"/>
      <c r="AH2868" s="18"/>
      <c r="AI2868" s="47" t="s">
        <v>4346</v>
      </c>
      <c r="AJ2868" s="73" t="s">
        <v>4347</v>
      </c>
      <c r="AK2868" s="45"/>
      <c r="AL2868" s="89" t="s">
        <v>2798</v>
      </c>
      <c r="AM2868" s="121" t="s">
        <v>5205</v>
      </c>
      <c r="AN2868" s="19"/>
      <c r="AO2868" s="19"/>
      <c r="AP2868" s="19"/>
      <c r="AQ2868" s="19"/>
      <c r="AR2868" s="19"/>
      <c r="AS2868" s="19"/>
      <c r="AT2868" s="19"/>
      <c r="AU2868" s="19"/>
      <c r="AV2868" s="19"/>
      <c r="AW2868" s="19"/>
      <c r="AX2868" s="19"/>
      <c r="AY2868" s="19"/>
      <c r="AZ2868" s="19"/>
      <c r="BA2868" s="19"/>
      <c r="BB2868" s="19"/>
      <c r="BC2868" s="19"/>
      <c r="BD2868" s="19"/>
      <c r="BE2868" s="19"/>
      <c r="BF2868" s="19"/>
      <c r="BG2868" s="19"/>
      <c r="BH2868" s="19"/>
      <c r="BI2868" s="19"/>
      <c r="BJ2868" s="19"/>
      <c r="BK2868" s="19"/>
      <c r="BL2868" s="19"/>
      <c r="BM2868" s="19"/>
      <c r="BN2868" s="19"/>
      <c r="BO2868" s="19"/>
      <c r="BP2868" s="19"/>
      <c r="BQ2868" s="19"/>
      <c r="BR2868" s="19"/>
      <c r="BS2868" s="19"/>
      <c r="BT2868" s="19"/>
      <c r="BU2868" s="19"/>
      <c r="BV2868" s="19"/>
      <c r="BW2868" s="19"/>
      <c r="BX2868" s="19"/>
      <c r="BY2868" s="19"/>
      <c r="BZ2868" s="19"/>
      <c r="CA2868" s="19"/>
      <c r="CB2868" s="19"/>
      <c r="CC2868" s="19"/>
      <c r="CD2868" s="139"/>
      <c r="CE2868" s="138"/>
      <c r="CF2868" s="139"/>
      <c r="CG2868" s="138"/>
      <c r="CH2868" s="139"/>
      <c r="CI2868" s="138"/>
      <c r="CJ2868" s="72"/>
      <c r="CK2868" s="139"/>
      <c r="CL2868" s="71"/>
      <c r="CM2868" s="139"/>
      <c r="CN2868" s="138"/>
      <c r="CO2868" s="138"/>
      <c r="CP2868" s="138"/>
      <c r="CQ2868" s="139"/>
      <c r="CR2868" s="138"/>
      <c r="CS2868" s="45"/>
      <c r="CT2868" s="138"/>
      <c r="CU2868" s="45"/>
      <c r="CV2868" s="99">
        <f t="shared" si="279"/>
        <v>0</v>
      </c>
      <c r="CW2868" s="139"/>
      <c r="CX2868" s="138"/>
      <c r="CY2868" s="138"/>
      <c r="CZ2868" s="138"/>
      <c r="DA2868" s="139"/>
      <c r="DB2868" s="138"/>
      <c r="DC2868" s="45"/>
      <c r="DD2868" s="138"/>
      <c r="DE2868" s="45"/>
      <c r="DF2868" s="46"/>
    </row>
    <row r="2869" spans="1:110" s="42" customFormat="1" ht="84" x14ac:dyDescent="0.2">
      <c r="A2869" s="89">
        <v>40878</v>
      </c>
      <c r="B2869" s="151" t="s">
        <v>860</v>
      </c>
      <c r="C2869" s="90" t="s">
        <v>4361</v>
      </c>
      <c r="D2869" s="90" t="s">
        <v>4264</v>
      </c>
      <c r="E2869" s="90" t="str">
        <f>VLOOKUP(B2869&amp;C2869,Divipola!$C$2:$F$1138,4,FALSE)</f>
        <v>50006</v>
      </c>
      <c r="F2869" s="4"/>
      <c r="G2869" s="101"/>
      <c r="H2869" s="101"/>
      <c r="I2869" s="101"/>
      <c r="J2869" s="101">
        <v>4000</v>
      </c>
      <c r="K2869" s="101">
        <v>800</v>
      </c>
      <c r="L2869" s="101"/>
      <c r="M2869" s="101">
        <v>800</v>
      </c>
      <c r="N2869" s="101"/>
      <c r="O2869" s="101"/>
      <c r="P2869" s="101"/>
      <c r="Q2869" s="101">
        <v>1</v>
      </c>
      <c r="R2869" s="101"/>
      <c r="S2869" s="101"/>
      <c r="T2869" s="101"/>
      <c r="U2869" s="101"/>
      <c r="V2869" s="101"/>
      <c r="W2869" s="19"/>
      <c r="X2869" s="17"/>
      <c r="Y2869" s="5">
        <f t="shared" si="274"/>
        <v>28000000</v>
      </c>
      <c r="Z2869" s="5">
        <f t="shared" si="275"/>
        <v>0</v>
      </c>
      <c r="AA2869" s="5">
        <f t="shared" si="276"/>
        <v>0</v>
      </c>
      <c r="AB2869" s="5">
        <f t="shared" si="277"/>
        <v>0</v>
      </c>
      <c r="AC2869" s="5">
        <f>30*2296800+2*461680</f>
        <v>69827360</v>
      </c>
      <c r="AD2869" s="5">
        <v>0</v>
      </c>
      <c r="AE2869" s="5">
        <f t="shared" si="278"/>
        <v>97827360</v>
      </c>
      <c r="AF2869" s="70">
        <v>0</v>
      </c>
      <c r="AG2869" s="17"/>
      <c r="AH2869" s="18"/>
      <c r="AI2869" s="47" t="s">
        <v>4346</v>
      </c>
      <c r="AJ2869" s="73" t="s">
        <v>4347</v>
      </c>
      <c r="AK2869" s="45"/>
      <c r="AL2869" s="89" t="s">
        <v>2798</v>
      </c>
      <c r="AM2869" s="121" t="s">
        <v>5596</v>
      </c>
      <c r="AN2869" s="19"/>
      <c r="AO2869" s="19"/>
      <c r="AP2869" s="19"/>
      <c r="AQ2869" s="19"/>
      <c r="AR2869" s="19"/>
      <c r="AS2869" s="19"/>
      <c r="AT2869" s="19"/>
      <c r="AU2869" s="19"/>
      <c r="AV2869" s="19"/>
      <c r="AW2869" s="19"/>
      <c r="AX2869" s="19"/>
      <c r="AY2869" s="19"/>
      <c r="AZ2869" s="19">
        <v>500</v>
      </c>
      <c r="BA2869" s="19">
        <f>500*56000</f>
        <v>28000000</v>
      </c>
      <c r="BB2869" s="19"/>
      <c r="BC2869" s="19"/>
      <c r="BD2869" s="19"/>
      <c r="BE2869" s="19"/>
      <c r="BF2869" s="19"/>
      <c r="BG2869" s="19"/>
      <c r="BH2869" s="19"/>
      <c r="BI2869" s="19"/>
      <c r="BJ2869" s="19"/>
      <c r="BK2869" s="19"/>
      <c r="BL2869" s="19"/>
      <c r="BM2869" s="19"/>
      <c r="BN2869" s="19"/>
      <c r="BO2869" s="19"/>
      <c r="BP2869" s="19"/>
      <c r="BQ2869" s="19"/>
      <c r="BR2869" s="19"/>
      <c r="BS2869" s="19"/>
      <c r="BT2869" s="19"/>
      <c r="BU2869" s="19"/>
      <c r="BV2869" s="19"/>
      <c r="BW2869" s="19"/>
      <c r="BX2869" s="19"/>
      <c r="BY2869" s="19"/>
      <c r="BZ2869" s="19"/>
      <c r="CA2869" s="19"/>
      <c r="CB2869" s="19"/>
      <c r="CC2869" s="19"/>
      <c r="CD2869" s="139"/>
      <c r="CE2869" s="138"/>
      <c r="CF2869" s="139"/>
      <c r="CG2869" s="138"/>
      <c r="CH2869" s="139"/>
      <c r="CI2869" s="138"/>
      <c r="CJ2869" s="72"/>
      <c r="CK2869" s="139"/>
      <c r="CL2869" s="71"/>
      <c r="CM2869" s="139"/>
      <c r="CN2869" s="138"/>
      <c r="CO2869" s="138"/>
      <c r="CP2869" s="138"/>
      <c r="CQ2869" s="139"/>
      <c r="CR2869" s="138"/>
      <c r="CS2869" s="45"/>
      <c r="CT2869" s="138"/>
      <c r="CU2869" s="45"/>
      <c r="CV2869" s="99">
        <f t="shared" si="279"/>
        <v>28000000</v>
      </c>
      <c r="CW2869" s="139"/>
      <c r="CX2869" s="138"/>
      <c r="CY2869" s="138"/>
      <c r="CZ2869" s="138"/>
      <c r="DA2869" s="139"/>
      <c r="DB2869" s="138"/>
      <c r="DC2869" s="45"/>
      <c r="DD2869" s="138"/>
      <c r="DE2869" s="45"/>
      <c r="DF2869" s="46"/>
    </row>
    <row r="2870" spans="1:110" s="42" customFormat="1" ht="48" x14ac:dyDescent="0.2">
      <c r="A2870" s="89">
        <v>40878</v>
      </c>
      <c r="B2870" s="151" t="s">
        <v>860</v>
      </c>
      <c r="C2870" s="90" t="s">
        <v>2052</v>
      </c>
      <c r="D2870" s="90" t="s">
        <v>4264</v>
      </c>
      <c r="E2870" s="90" t="str">
        <f>VLOOKUP(B2870&amp;C2870,Divipola!$C$2:$F$1138,4,FALSE)</f>
        <v>50226</v>
      </c>
      <c r="F2870" s="4"/>
      <c r="G2870" s="101"/>
      <c r="H2870" s="101"/>
      <c r="I2870" s="101"/>
      <c r="J2870" s="101">
        <v>600</v>
      </c>
      <c r="K2870" s="101">
        <v>120</v>
      </c>
      <c r="L2870" s="101"/>
      <c r="M2870" s="101">
        <v>120</v>
      </c>
      <c r="N2870" s="101"/>
      <c r="O2870" s="101"/>
      <c r="P2870" s="101"/>
      <c r="Q2870" s="101"/>
      <c r="R2870" s="101"/>
      <c r="S2870" s="101"/>
      <c r="T2870" s="101"/>
      <c r="U2870" s="101"/>
      <c r="V2870" s="101"/>
      <c r="W2870" s="19"/>
      <c r="X2870" s="17"/>
      <c r="Y2870" s="5">
        <f t="shared" si="274"/>
        <v>0</v>
      </c>
      <c r="Z2870" s="5">
        <f t="shared" si="275"/>
        <v>0</v>
      </c>
      <c r="AA2870" s="5">
        <f t="shared" si="276"/>
        <v>0</v>
      </c>
      <c r="AB2870" s="5">
        <f t="shared" si="277"/>
        <v>0</v>
      </c>
      <c r="AC2870" s="5"/>
      <c r="AD2870" s="5">
        <v>0</v>
      </c>
      <c r="AE2870" s="5">
        <f t="shared" si="278"/>
        <v>0</v>
      </c>
      <c r="AF2870" s="70">
        <v>0</v>
      </c>
      <c r="AG2870" s="17"/>
      <c r="AH2870" s="18"/>
      <c r="AI2870" s="47" t="s">
        <v>4346</v>
      </c>
      <c r="AJ2870" s="73" t="s">
        <v>4347</v>
      </c>
      <c r="AK2870" s="45"/>
      <c r="AL2870" s="89" t="s">
        <v>2798</v>
      </c>
      <c r="AM2870" s="121" t="s">
        <v>5206</v>
      </c>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39"/>
      <c r="CE2870" s="138"/>
      <c r="CF2870" s="139"/>
      <c r="CG2870" s="138"/>
      <c r="CH2870" s="139"/>
      <c r="CI2870" s="138"/>
      <c r="CJ2870" s="72"/>
      <c r="CK2870" s="139"/>
      <c r="CL2870" s="71"/>
      <c r="CM2870" s="139"/>
      <c r="CN2870" s="138"/>
      <c r="CO2870" s="138"/>
      <c r="CP2870" s="138"/>
      <c r="CQ2870" s="139"/>
      <c r="CR2870" s="138"/>
      <c r="CS2870" s="45"/>
      <c r="CT2870" s="138"/>
      <c r="CU2870" s="45"/>
      <c r="CV2870" s="99">
        <f t="shared" si="279"/>
        <v>0</v>
      </c>
      <c r="CW2870" s="139"/>
      <c r="CX2870" s="138"/>
      <c r="CY2870" s="138"/>
      <c r="CZ2870" s="138"/>
      <c r="DA2870" s="139"/>
      <c r="DB2870" s="138"/>
      <c r="DC2870" s="45"/>
      <c r="DD2870" s="138"/>
      <c r="DE2870" s="45"/>
      <c r="DF2870" s="46"/>
    </row>
    <row r="2871" spans="1:110" s="42" customFormat="1" ht="48" x14ac:dyDescent="0.2">
      <c r="A2871" s="89">
        <v>40878</v>
      </c>
      <c r="B2871" s="151" t="s">
        <v>4296</v>
      </c>
      <c r="C2871" s="90" t="s">
        <v>4297</v>
      </c>
      <c r="D2871" s="90" t="s">
        <v>2362</v>
      </c>
      <c r="E2871" s="90" t="str">
        <f>VLOOKUP(B2871&amp;C2871,Divipola!$C$2:$F$1138,4,FALSE)</f>
        <v>19001</v>
      </c>
      <c r="F2871" s="4"/>
      <c r="G2871" s="101"/>
      <c r="H2871" s="101"/>
      <c r="I2871" s="101"/>
      <c r="J2871" s="101">
        <v>229</v>
      </c>
      <c r="K2871" s="101">
        <v>44</v>
      </c>
      <c r="L2871" s="101"/>
      <c r="M2871" s="101">
        <v>44</v>
      </c>
      <c r="N2871" s="101"/>
      <c r="O2871" s="101"/>
      <c r="P2871" s="101"/>
      <c r="Q2871" s="101"/>
      <c r="R2871" s="101"/>
      <c r="S2871" s="101"/>
      <c r="T2871" s="101"/>
      <c r="U2871" s="101"/>
      <c r="V2871" s="101"/>
      <c r="W2871" s="19"/>
      <c r="X2871" s="17"/>
      <c r="Y2871" s="5">
        <f t="shared" si="274"/>
        <v>0</v>
      </c>
      <c r="Z2871" s="5">
        <f t="shared" si="275"/>
        <v>0</v>
      </c>
      <c r="AA2871" s="5">
        <f t="shared" si="276"/>
        <v>0</v>
      </c>
      <c r="AB2871" s="5">
        <f t="shared" si="277"/>
        <v>0</v>
      </c>
      <c r="AC2871" s="5"/>
      <c r="AD2871" s="5">
        <v>0</v>
      </c>
      <c r="AE2871" s="5">
        <f t="shared" si="278"/>
        <v>0</v>
      </c>
      <c r="AF2871" s="70">
        <v>0</v>
      </c>
      <c r="AG2871" s="17"/>
      <c r="AH2871" s="18"/>
      <c r="AI2871" s="47" t="s">
        <v>4336</v>
      </c>
      <c r="AJ2871" s="73" t="s">
        <v>4337</v>
      </c>
      <c r="AK2871" s="45"/>
      <c r="AL2871" s="17"/>
      <c r="AM2871" s="121" t="s">
        <v>5214</v>
      </c>
      <c r="AN2871" s="19"/>
      <c r="AO2871" s="19"/>
      <c r="AP2871" s="19"/>
      <c r="AQ2871" s="19"/>
      <c r="AR2871" s="19"/>
      <c r="AS2871" s="19"/>
      <c r="AT2871" s="19"/>
      <c r="AU2871" s="19"/>
      <c r="AV2871" s="19"/>
      <c r="AW2871" s="19"/>
      <c r="AX2871" s="19"/>
      <c r="AY2871" s="19"/>
      <c r="AZ2871" s="19"/>
      <c r="BA2871" s="19"/>
      <c r="BB2871" s="19"/>
      <c r="BC2871" s="19"/>
      <c r="BD2871" s="19"/>
      <c r="BE2871" s="19"/>
      <c r="BF2871" s="19"/>
      <c r="BG2871" s="19"/>
      <c r="BH2871" s="19"/>
      <c r="BI2871" s="19"/>
      <c r="BJ2871" s="19"/>
      <c r="BK2871" s="19"/>
      <c r="BL2871" s="19"/>
      <c r="BM2871" s="19"/>
      <c r="BN2871" s="19"/>
      <c r="BO2871" s="19"/>
      <c r="BP2871" s="19"/>
      <c r="BQ2871" s="19"/>
      <c r="BR2871" s="19"/>
      <c r="BS2871" s="19"/>
      <c r="BT2871" s="19"/>
      <c r="BU2871" s="19"/>
      <c r="BV2871" s="19"/>
      <c r="BW2871" s="19"/>
      <c r="BX2871" s="19"/>
      <c r="BY2871" s="19"/>
      <c r="BZ2871" s="19"/>
      <c r="CA2871" s="19"/>
      <c r="CB2871" s="19"/>
      <c r="CC2871" s="19"/>
      <c r="CD2871" s="139"/>
      <c r="CE2871" s="138"/>
      <c r="CF2871" s="139"/>
      <c r="CG2871" s="138"/>
      <c r="CH2871" s="139"/>
      <c r="CI2871" s="138"/>
      <c r="CJ2871" s="72"/>
      <c r="CK2871" s="139"/>
      <c r="CL2871" s="71"/>
      <c r="CM2871" s="139"/>
      <c r="CN2871" s="138"/>
      <c r="CO2871" s="138"/>
      <c r="CP2871" s="138"/>
      <c r="CQ2871" s="139"/>
      <c r="CR2871" s="138"/>
      <c r="CS2871" s="45"/>
      <c r="CT2871" s="138"/>
      <c r="CU2871" s="45"/>
      <c r="CV2871" s="99">
        <f t="shared" si="279"/>
        <v>0</v>
      </c>
      <c r="CW2871" s="139"/>
      <c r="CX2871" s="138"/>
      <c r="CY2871" s="138"/>
      <c r="CZ2871" s="138"/>
      <c r="DA2871" s="139"/>
      <c r="DB2871" s="138"/>
      <c r="DC2871" s="45"/>
      <c r="DD2871" s="138"/>
      <c r="DE2871" s="45"/>
      <c r="DF2871" s="46"/>
    </row>
    <row r="2872" spans="1:110" s="42" customFormat="1" ht="60" x14ac:dyDescent="0.2">
      <c r="A2872" s="89">
        <v>40878</v>
      </c>
      <c r="B2872" s="151" t="s">
        <v>2226</v>
      </c>
      <c r="C2872" s="90" t="s">
        <v>4371</v>
      </c>
      <c r="D2872" s="90" t="s">
        <v>2362</v>
      </c>
      <c r="E2872" s="90" t="str">
        <f>VLOOKUP(B2872&amp;C2872,Divipola!$C$2:$F$1138,4,FALSE)</f>
        <v>68444</v>
      </c>
      <c r="F2872" s="4"/>
      <c r="G2872" s="101"/>
      <c r="H2872" s="101"/>
      <c r="I2872" s="101"/>
      <c r="J2872" s="101"/>
      <c r="K2872" s="101"/>
      <c r="L2872" s="101"/>
      <c r="M2872" s="101"/>
      <c r="N2872" s="101"/>
      <c r="O2872" s="101">
        <v>1</v>
      </c>
      <c r="P2872" s="101"/>
      <c r="Q2872" s="101"/>
      <c r="R2872" s="101"/>
      <c r="S2872" s="101"/>
      <c r="T2872" s="101"/>
      <c r="U2872" s="101"/>
      <c r="V2872" s="101"/>
      <c r="W2872" s="19"/>
      <c r="X2872" s="17"/>
      <c r="Y2872" s="5">
        <f t="shared" si="274"/>
        <v>0</v>
      </c>
      <c r="Z2872" s="5">
        <f t="shared" si="275"/>
        <v>0</v>
      </c>
      <c r="AA2872" s="5">
        <f t="shared" si="276"/>
        <v>0</v>
      </c>
      <c r="AB2872" s="5">
        <f t="shared" si="277"/>
        <v>0</v>
      </c>
      <c r="AC2872" s="5"/>
      <c r="AD2872" s="5">
        <v>0</v>
      </c>
      <c r="AE2872" s="5">
        <f t="shared" si="278"/>
        <v>0</v>
      </c>
      <c r="AF2872" s="70">
        <v>0</v>
      </c>
      <c r="AG2872" s="17"/>
      <c r="AH2872" s="18"/>
      <c r="AI2872" s="47" t="s">
        <v>4336</v>
      </c>
      <c r="AJ2872" s="73" t="s">
        <v>4337</v>
      </c>
      <c r="AK2872" s="45"/>
      <c r="AL2872" s="17"/>
      <c r="AM2872" s="121" t="s">
        <v>5215</v>
      </c>
      <c r="AN2872" s="19"/>
      <c r="AO2872" s="19"/>
      <c r="AP2872" s="19"/>
      <c r="AQ2872" s="19"/>
      <c r="AR2872" s="19"/>
      <c r="AS2872" s="19"/>
      <c r="AT2872" s="19"/>
      <c r="AU2872" s="19"/>
      <c r="AV2872" s="19"/>
      <c r="AW2872" s="19"/>
      <c r="AX2872" s="19"/>
      <c r="AY2872" s="19"/>
      <c r="AZ2872" s="19"/>
      <c r="BA2872" s="19"/>
      <c r="BB2872" s="19"/>
      <c r="BC2872" s="19"/>
      <c r="BD2872" s="19"/>
      <c r="BE2872" s="19"/>
      <c r="BF2872" s="19"/>
      <c r="BG2872" s="19"/>
      <c r="BH2872" s="19"/>
      <c r="BI2872" s="19"/>
      <c r="BJ2872" s="19"/>
      <c r="BK2872" s="19"/>
      <c r="BL2872" s="19"/>
      <c r="BM2872" s="19"/>
      <c r="BN2872" s="19"/>
      <c r="BO2872" s="19"/>
      <c r="BP2872" s="19"/>
      <c r="BQ2872" s="19"/>
      <c r="BR2872" s="19"/>
      <c r="BS2872" s="19"/>
      <c r="BT2872" s="19"/>
      <c r="BU2872" s="19"/>
      <c r="BV2872" s="19"/>
      <c r="BW2872" s="19"/>
      <c r="BX2872" s="19"/>
      <c r="BY2872" s="19"/>
      <c r="BZ2872" s="19"/>
      <c r="CA2872" s="19"/>
      <c r="CB2872" s="19"/>
      <c r="CC2872" s="19"/>
      <c r="CD2872" s="139"/>
      <c r="CE2872" s="138"/>
      <c r="CF2872" s="139"/>
      <c r="CG2872" s="138"/>
      <c r="CH2872" s="139"/>
      <c r="CI2872" s="138"/>
      <c r="CJ2872" s="72"/>
      <c r="CK2872" s="139"/>
      <c r="CL2872" s="71"/>
      <c r="CM2872" s="139"/>
      <c r="CN2872" s="138"/>
      <c r="CO2872" s="138"/>
      <c r="CP2872" s="138"/>
      <c r="CQ2872" s="139"/>
      <c r="CR2872" s="138"/>
      <c r="CS2872" s="45"/>
      <c r="CT2872" s="138"/>
      <c r="CU2872" s="45"/>
      <c r="CV2872" s="99">
        <f t="shared" si="279"/>
        <v>0</v>
      </c>
      <c r="CW2872" s="139"/>
      <c r="CX2872" s="138"/>
      <c r="CY2872" s="138"/>
      <c r="CZ2872" s="138"/>
      <c r="DA2872" s="139"/>
      <c r="DB2872" s="138"/>
      <c r="DC2872" s="45"/>
      <c r="DD2872" s="138"/>
      <c r="DE2872" s="45"/>
      <c r="DF2872" s="46"/>
    </row>
    <row r="2873" spans="1:110" s="42" customFormat="1" ht="108" x14ac:dyDescent="0.2">
      <c r="A2873" s="89">
        <v>40878</v>
      </c>
      <c r="B2873" s="151" t="s">
        <v>860</v>
      </c>
      <c r="C2873" s="90" t="s">
        <v>760</v>
      </c>
      <c r="D2873" s="90" t="s">
        <v>4264</v>
      </c>
      <c r="E2873" s="90" t="str">
        <f>VLOOKUP(B2873&amp;C2873,Divipola!$C$2:$F$1138,4,FALSE)</f>
        <v>50318</v>
      </c>
      <c r="F2873" s="4"/>
      <c r="G2873" s="101">
        <v>1</v>
      </c>
      <c r="H2873" s="101"/>
      <c r="I2873" s="101"/>
      <c r="J2873" s="101">
        <v>5</v>
      </c>
      <c r="K2873" s="101">
        <v>1</v>
      </c>
      <c r="L2873" s="101">
        <v>1</v>
      </c>
      <c r="M2873" s="101"/>
      <c r="N2873" s="101"/>
      <c r="O2873" s="101"/>
      <c r="P2873" s="101"/>
      <c r="Q2873" s="101"/>
      <c r="R2873" s="101"/>
      <c r="S2873" s="101"/>
      <c r="T2873" s="101"/>
      <c r="U2873" s="101"/>
      <c r="V2873" s="101"/>
      <c r="W2873" s="19"/>
      <c r="X2873" s="17"/>
      <c r="Y2873" s="5">
        <f t="shared" si="274"/>
        <v>0</v>
      </c>
      <c r="Z2873" s="5">
        <f t="shared" si="275"/>
        <v>0</v>
      </c>
      <c r="AA2873" s="5">
        <f t="shared" si="276"/>
        <v>0</v>
      </c>
      <c r="AB2873" s="5">
        <f t="shared" si="277"/>
        <v>0</v>
      </c>
      <c r="AC2873" s="5"/>
      <c r="AD2873" s="5">
        <v>0</v>
      </c>
      <c r="AE2873" s="5">
        <f t="shared" si="278"/>
        <v>0</v>
      </c>
      <c r="AF2873" s="70">
        <v>0</v>
      </c>
      <c r="AG2873" s="17"/>
      <c r="AH2873" s="18"/>
      <c r="AI2873" s="47" t="s">
        <v>4346</v>
      </c>
      <c r="AJ2873" s="73" t="s">
        <v>4347</v>
      </c>
      <c r="AK2873" s="45"/>
      <c r="AL2873" s="89" t="s">
        <v>2798</v>
      </c>
      <c r="AM2873" s="121" t="s">
        <v>5255</v>
      </c>
      <c r="AN2873" s="19"/>
      <c r="AO2873" s="19"/>
      <c r="AP2873" s="19"/>
      <c r="AQ2873" s="19"/>
      <c r="AR2873" s="19"/>
      <c r="AS2873" s="19"/>
      <c r="AT2873" s="19"/>
      <c r="AU2873" s="19"/>
      <c r="AV2873" s="19"/>
      <c r="AW2873" s="19"/>
      <c r="AX2873" s="19"/>
      <c r="AY2873" s="19"/>
      <c r="AZ2873" s="19"/>
      <c r="BA2873" s="19"/>
      <c r="BB2873" s="19"/>
      <c r="BC2873" s="19"/>
      <c r="BD2873" s="19"/>
      <c r="BE2873" s="19"/>
      <c r="BF2873" s="19"/>
      <c r="BG2873" s="19"/>
      <c r="BH2873" s="19"/>
      <c r="BI2873" s="19"/>
      <c r="BJ2873" s="19"/>
      <c r="BK2873" s="19"/>
      <c r="BL2873" s="19"/>
      <c r="BM2873" s="19"/>
      <c r="BN2873" s="19"/>
      <c r="BO2873" s="19"/>
      <c r="BP2873" s="19"/>
      <c r="BQ2873" s="19"/>
      <c r="BR2873" s="19"/>
      <c r="BS2873" s="19"/>
      <c r="BT2873" s="19"/>
      <c r="BU2873" s="19"/>
      <c r="BV2873" s="19"/>
      <c r="BW2873" s="19"/>
      <c r="BX2873" s="19"/>
      <c r="BY2873" s="19"/>
      <c r="BZ2873" s="19"/>
      <c r="CA2873" s="19"/>
      <c r="CB2873" s="19"/>
      <c r="CC2873" s="19"/>
      <c r="CD2873" s="139"/>
      <c r="CE2873" s="138"/>
      <c r="CF2873" s="139"/>
      <c r="CG2873" s="138"/>
      <c r="CH2873" s="139"/>
      <c r="CI2873" s="138"/>
      <c r="CJ2873" s="72"/>
      <c r="CK2873" s="139"/>
      <c r="CL2873" s="71"/>
      <c r="CM2873" s="139"/>
      <c r="CN2873" s="138"/>
      <c r="CO2873" s="138"/>
      <c r="CP2873" s="138"/>
      <c r="CQ2873" s="139"/>
      <c r="CR2873" s="138"/>
      <c r="CS2873" s="45"/>
      <c r="CT2873" s="138"/>
      <c r="CU2873" s="45"/>
      <c r="CV2873" s="99">
        <f t="shared" si="279"/>
        <v>0</v>
      </c>
      <c r="CW2873" s="139"/>
      <c r="CX2873" s="138"/>
      <c r="CY2873" s="138"/>
      <c r="CZ2873" s="138"/>
      <c r="DA2873" s="139"/>
      <c r="DB2873" s="138"/>
      <c r="DC2873" s="45"/>
      <c r="DD2873" s="138"/>
      <c r="DE2873" s="45"/>
      <c r="DF2873" s="46"/>
    </row>
    <row r="2874" spans="1:110" s="42" customFormat="1" ht="60" x14ac:dyDescent="0.2">
      <c r="A2874" s="89">
        <v>40878</v>
      </c>
      <c r="B2874" s="151" t="s">
        <v>4344</v>
      </c>
      <c r="C2874" s="90" t="s">
        <v>3391</v>
      </c>
      <c r="D2874" s="90" t="s">
        <v>2362</v>
      </c>
      <c r="E2874" s="90" t="str">
        <f>VLOOKUP(B2874&amp;C2874,Divipola!$C$2:$F$1138,4,FALSE)</f>
        <v>25785</v>
      </c>
      <c r="F2874" s="4"/>
      <c r="G2874" s="101"/>
      <c r="H2874" s="101"/>
      <c r="I2874" s="101"/>
      <c r="J2874" s="101">
        <v>21</v>
      </c>
      <c r="K2874" s="101">
        <v>4</v>
      </c>
      <c r="L2874" s="101">
        <v>2</v>
      </c>
      <c r="M2874" s="101">
        <v>2</v>
      </c>
      <c r="N2874" s="101">
        <v>1</v>
      </c>
      <c r="O2874" s="101"/>
      <c r="P2874" s="101"/>
      <c r="Q2874" s="101"/>
      <c r="R2874" s="101"/>
      <c r="S2874" s="101"/>
      <c r="T2874" s="101"/>
      <c r="U2874" s="101"/>
      <c r="V2874" s="101"/>
      <c r="W2874" s="19"/>
      <c r="X2874" s="17"/>
      <c r="Y2874" s="5">
        <f t="shared" si="274"/>
        <v>0</v>
      </c>
      <c r="Z2874" s="5">
        <f t="shared" si="275"/>
        <v>0</v>
      </c>
      <c r="AA2874" s="5">
        <f t="shared" si="276"/>
        <v>0</v>
      </c>
      <c r="AB2874" s="5">
        <f t="shared" si="277"/>
        <v>0</v>
      </c>
      <c r="AC2874" s="5"/>
      <c r="AD2874" s="5">
        <v>0</v>
      </c>
      <c r="AE2874" s="5">
        <f t="shared" si="278"/>
        <v>0</v>
      </c>
      <c r="AF2874" s="70">
        <v>0</v>
      </c>
      <c r="AG2874" s="17"/>
      <c r="AH2874" s="18"/>
      <c r="AI2874" s="47" t="s">
        <v>4346</v>
      </c>
      <c r="AJ2874" s="73" t="s">
        <v>4347</v>
      </c>
      <c r="AK2874" s="45"/>
      <c r="AL2874" s="89" t="s">
        <v>2798</v>
      </c>
      <c r="AM2874" s="121" t="s">
        <v>5216</v>
      </c>
      <c r="AN2874" s="19"/>
      <c r="AO2874" s="19"/>
      <c r="AP2874" s="19"/>
      <c r="AQ2874" s="19"/>
      <c r="AR2874" s="19"/>
      <c r="AS2874" s="19"/>
      <c r="AT2874" s="19"/>
      <c r="AU2874" s="19"/>
      <c r="AV2874" s="19"/>
      <c r="AW2874" s="19"/>
      <c r="AX2874" s="19"/>
      <c r="AY2874" s="19"/>
      <c r="AZ2874" s="19"/>
      <c r="BA2874" s="19"/>
      <c r="BB2874" s="19"/>
      <c r="BC2874" s="19"/>
      <c r="BD2874" s="19"/>
      <c r="BE2874" s="19"/>
      <c r="BF2874" s="19"/>
      <c r="BG2874" s="19"/>
      <c r="BH2874" s="19"/>
      <c r="BI2874" s="19"/>
      <c r="BJ2874" s="19"/>
      <c r="BK2874" s="19"/>
      <c r="BL2874" s="19"/>
      <c r="BM2874" s="19"/>
      <c r="BN2874" s="19"/>
      <c r="BO2874" s="19"/>
      <c r="BP2874" s="19"/>
      <c r="BQ2874" s="19"/>
      <c r="BR2874" s="19"/>
      <c r="BS2874" s="19"/>
      <c r="BT2874" s="19"/>
      <c r="BU2874" s="19"/>
      <c r="BV2874" s="19"/>
      <c r="BW2874" s="19"/>
      <c r="BX2874" s="19"/>
      <c r="BY2874" s="19"/>
      <c r="BZ2874" s="19"/>
      <c r="CA2874" s="19"/>
      <c r="CB2874" s="19"/>
      <c r="CC2874" s="19"/>
      <c r="CD2874" s="139"/>
      <c r="CE2874" s="138"/>
      <c r="CF2874" s="139"/>
      <c r="CG2874" s="138"/>
      <c r="CH2874" s="139"/>
      <c r="CI2874" s="138"/>
      <c r="CJ2874" s="72"/>
      <c r="CK2874" s="139"/>
      <c r="CL2874" s="71"/>
      <c r="CM2874" s="139"/>
      <c r="CN2874" s="138"/>
      <c r="CO2874" s="138"/>
      <c r="CP2874" s="138"/>
      <c r="CQ2874" s="139"/>
      <c r="CR2874" s="138"/>
      <c r="CS2874" s="45"/>
      <c r="CT2874" s="138"/>
      <c r="CU2874" s="45"/>
      <c r="CV2874" s="99">
        <f t="shared" si="279"/>
        <v>0</v>
      </c>
      <c r="CW2874" s="139"/>
      <c r="CX2874" s="138"/>
      <c r="CY2874" s="138"/>
      <c r="CZ2874" s="138"/>
      <c r="DA2874" s="139"/>
      <c r="DB2874" s="138"/>
      <c r="DC2874" s="45"/>
      <c r="DD2874" s="138"/>
      <c r="DE2874" s="45"/>
      <c r="DF2874" s="46"/>
    </row>
    <row r="2875" spans="1:110" s="42" customFormat="1" ht="156" x14ac:dyDescent="0.2">
      <c r="A2875" s="89">
        <v>40878</v>
      </c>
      <c r="B2875" s="151" t="s">
        <v>4344</v>
      </c>
      <c r="C2875" s="90" t="s">
        <v>1699</v>
      </c>
      <c r="D2875" s="90" t="s">
        <v>4264</v>
      </c>
      <c r="E2875" s="90" t="str">
        <f>VLOOKUP(B2875&amp;C2875,Divipola!$C$2:$F$1138,4,FALSE)</f>
        <v>25286</v>
      </c>
      <c r="F2875" s="4"/>
      <c r="G2875" s="101"/>
      <c r="H2875" s="101"/>
      <c r="I2875" s="101"/>
      <c r="J2875" s="101"/>
      <c r="K2875" s="101"/>
      <c r="L2875" s="101"/>
      <c r="M2875" s="101"/>
      <c r="N2875" s="101"/>
      <c r="O2875" s="101"/>
      <c r="P2875" s="101"/>
      <c r="Q2875" s="101"/>
      <c r="R2875" s="101"/>
      <c r="S2875" s="101"/>
      <c r="T2875" s="101"/>
      <c r="U2875" s="101"/>
      <c r="V2875" s="101"/>
      <c r="W2875" s="19"/>
      <c r="X2875" s="17"/>
      <c r="Y2875" s="5">
        <f t="shared" si="274"/>
        <v>0</v>
      </c>
      <c r="Z2875" s="5">
        <f t="shared" si="275"/>
        <v>0</v>
      </c>
      <c r="AA2875" s="5">
        <f t="shared" si="276"/>
        <v>0</v>
      </c>
      <c r="AB2875" s="5">
        <f t="shared" si="277"/>
        <v>0</v>
      </c>
      <c r="AC2875" s="5"/>
      <c r="AD2875" s="5">
        <v>0</v>
      </c>
      <c r="AE2875" s="5">
        <f t="shared" si="278"/>
        <v>0</v>
      </c>
      <c r="AF2875" s="70">
        <v>0</v>
      </c>
      <c r="AG2875" s="17"/>
      <c r="AH2875" s="18"/>
      <c r="AI2875" s="47" t="s">
        <v>4346</v>
      </c>
      <c r="AJ2875" s="73" t="s">
        <v>4347</v>
      </c>
      <c r="AK2875" s="45"/>
      <c r="AL2875" s="89" t="s">
        <v>2798</v>
      </c>
      <c r="AM2875" s="121" t="s">
        <v>5322</v>
      </c>
      <c r="AN2875" s="19"/>
      <c r="AO2875" s="19"/>
      <c r="AP2875" s="19"/>
      <c r="AQ2875" s="19"/>
      <c r="AR2875" s="19"/>
      <c r="AS2875" s="19"/>
      <c r="AT2875" s="19"/>
      <c r="AU2875" s="19"/>
      <c r="AV2875" s="19"/>
      <c r="AW2875" s="19"/>
      <c r="AX2875" s="19"/>
      <c r="AY2875" s="19"/>
      <c r="AZ2875" s="19"/>
      <c r="BA2875" s="19"/>
      <c r="BB2875" s="19"/>
      <c r="BC2875" s="19"/>
      <c r="BD2875" s="19"/>
      <c r="BE2875" s="19"/>
      <c r="BF2875" s="19"/>
      <c r="BG2875" s="19"/>
      <c r="BH2875" s="19"/>
      <c r="BI2875" s="19"/>
      <c r="BJ2875" s="19"/>
      <c r="BK2875" s="19"/>
      <c r="BL2875" s="19"/>
      <c r="BM2875" s="19"/>
      <c r="BN2875" s="19"/>
      <c r="BO2875" s="19"/>
      <c r="BP2875" s="19"/>
      <c r="BQ2875" s="19"/>
      <c r="BR2875" s="19"/>
      <c r="BS2875" s="19"/>
      <c r="BT2875" s="19"/>
      <c r="BU2875" s="19"/>
      <c r="BV2875" s="19"/>
      <c r="BW2875" s="19"/>
      <c r="BX2875" s="19"/>
      <c r="BY2875" s="19"/>
      <c r="BZ2875" s="19"/>
      <c r="CA2875" s="19"/>
      <c r="CB2875" s="19"/>
      <c r="CC2875" s="19"/>
      <c r="CD2875" s="139"/>
      <c r="CE2875" s="138"/>
      <c r="CF2875" s="139"/>
      <c r="CG2875" s="138"/>
      <c r="CH2875" s="139"/>
      <c r="CI2875" s="138"/>
      <c r="CJ2875" s="72"/>
      <c r="CK2875" s="139"/>
      <c r="CL2875" s="71"/>
      <c r="CM2875" s="139"/>
      <c r="CN2875" s="138"/>
      <c r="CO2875" s="138"/>
      <c r="CP2875" s="138"/>
      <c r="CQ2875" s="139"/>
      <c r="CR2875" s="138"/>
      <c r="CS2875" s="45"/>
      <c r="CT2875" s="138"/>
      <c r="CU2875" s="45"/>
      <c r="CV2875" s="99">
        <f t="shared" si="279"/>
        <v>0</v>
      </c>
      <c r="CW2875" s="139"/>
      <c r="CX2875" s="138"/>
      <c r="CY2875" s="138"/>
      <c r="CZ2875" s="138"/>
      <c r="DA2875" s="139"/>
      <c r="DB2875" s="138"/>
      <c r="DC2875" s="45"/>
      <c r="DD2875" s="138"/>
      <c r="DE2875" s="45"/>
      <c r="DF2875" s="46"/>
    </row>
    <row r="2876" spans="1:110" s="42" customFormat="1" ht="48" x14ac:dyDescent="0.2">
      <c r="A2876" s="89">
        <v>40878</v>
      </c>
      <c r="B2876" s="151" t="s">
        <v>4344</v>
      </c>
      <c r="C2876" s="90" t="s">
        <v>3501</v>
      </c>
      <c r="D2876" s="90" t="s">
        <v>4264</v>
      </c>
      <c r="E2876" s="90" t="str">
        <f>VLOOKUP(B2876&amp;C2876,Divipola!$C$2:$F$1138,4,FALSE)</f>
        <v>25377</v>
      </c>
      <c r="F2876" s="4"/>
      <c r="G2876" s="101"/>
      <c r="H2876" s="101"/>
      <c r="I2876" s="101"/>
      <c r="J2876" s="101">
        <v>5</v>
      </c>
      <c r="K2876" s="101">
        <v>1</v>
      </c>
      <c r="L2876" s="101"/>
      <c r="M2876" s="101">
        <v>1</v>
      </c>
      <c r="N2876" s="101">
        <v>2</v>
      </c>
      <c r="O2876" s="101"/>
      <c r="P2876" s="101"/>
      <c r="Q2876" s="101"/>
      <c r="R2876" s="101"/>
      <c r="S2876" s="101"/>
      <c r="T2876" s="101"/>
      <c r="U2876" s="101"/>
      <c r="V2876" s="101"/>
      <c r="W2876" s="19"/>
      <c r="X2876" s="17"/>
      <c r="Y2876" s="5">
        <f t="shared" si="274"/>
        <v>0</v>
      </c>
      <c r="Z2876" s="5">
        <f t="shared" si="275"/>
        <v>0</v>
      </c>
      <c r="AA2876" s="5">
        <f t="shared" si="276"/>
        <v>0</v>
      </c>
      <c r="AB2876" s="5">
        <f t="shared" si="277"/>
        <v>0</v>
      </c>
      <c r="AC2876" s="5"/>
      <c r="AD2876" s="5">
        <v>0</v>
      </c>
      <c r="AE2876" s="5">
        <f t="shared" si="278"/>
        <v>0</v>
      </c>
      <c r="AF2876" s="70">
        <v>0</v>
      </c>
      <c r="AG2876" s="17"/>
      <c r="AH2876" s="18"/>
      <c r="AI2876" s="47" t="s">
        <v>4346</v>
      </c>
      <c r="AJ2876" s="73" t="s">
        <v>4347</v>
      </c>
      <c r="AK2876" s="45"/>
      <c r="AL2876" s="89" t="s">
        <v>2798</v>
      </c>
      <c r="AM2876" s="121" t="s">
        <v>5217</v>
      </c>
      <c r="AN2876" s="19"/>
      <c r="AO2876" s="19"/>
      <c r="AP2876" s="19"/>
      <c r="AQ2876" s="19"/>
      <c r="AR2876" s="19"/>
      <c r="AS2876" s="19"/>
      <c r="AT2876" s="19"/>
      <c r="AU2876" s="19"/>
      <c r="AV2876" s="19"/>
      <c r="AW2876" s="19"/>
      <c r="AX2876" s="19"/>
      <c r="AY2876" s="19"/>
      <c r="AZ2876" s="19"/>
      <c r="BA2876" s="19"/>
      <c r="BB2876" s="19"/>
      <c r="BC2876" s="19"/>
      <c r="BD2876" s="19"/>
      <c r="BE2876" s="19"/>
      <c r="BF2876" s="19"/>
      <c r="BG2876" s="19"/>
      <c r="BH2876" s="19"/>
      <c r="BI2876" s="19"/>
      <c r="BJ2876" s="19"/>
      <c r="BK2876" s="19"/>
      <c r="BL2876" s="19"/>
      <c r="BM2876" s="19"/>
      <c r="BN2876" s="19"/>
      <c r="BO2876" s="19"/>
      <c r="BP2876" s="19"/>
      <c r="BQ2876" s="19"/>
      <c r="BR2876" s="19"/>
      <c r="BS2876" s="19"/>
      <c r="BT2876" s="19"/>
      <c r="BU2876" s="19"/>
      <c r="BV2876" s="19"/>
      <c r="BW2876" s="19"/>
      <c r="BX2876" s="19"/>
      <c r="BY2876" s="19"/>
      <c r="BZ2876" s="19"/>
      <c r="CA2876" s="19"/>
      <c r="CB2876" s="19"/>
      <c r="CC2876" s="19"/>
      <c r="CD2876" s="139"/>
      <c r="CE2876" s="138"/>
      <c r="CF2876" s="139"/>
      <c r="CG2876" s="138"/>
      <c r="CH2876" s="139"/>
      <c r="CI2876" s="138"/>
      <c r="CJ2876" s="72"/>
      <c r="CK2876" s="139"/>
      <c r="CL2876" s="71"/>
      <c r="CM2876" s="139"/>
      <c r="CN2876" s="138"/>
      <c r="CO2876" s="138"/>
      <c r="CP2876" s="138"/>
      <c r="CQ2876" s="139"/>
      <c r="CR2876" s="138"/>
      <c r="CS2876" s="45"/>
      <c r="CT2876" s="138"/>
      <c r="CU2876" s="45"/>
      <c r="CV2876" s="99">
        <f t="shared" si="279"/>
        <v>0</v>
      </c>
      <c r="CW2876" s="139"/>
      <c r="CX2876" s="138"/>
      <c r="CY2876" s="138"/>
      <c r="CZ2876" s="138"/>
      <c r="DA2876" s="139"/>
      <c r="DB2876" s="138"/>
      <c r="DC2876" s="45"/>
      <c r="DD2876" s="138"/>
      <c r="DE2876" s="45"/>
      <c r="DF2876" s="46"/>
    </row>
    <row r="2877" spans="1:110" s="42" customFormat="1" ht="60" x14ac:dyDescent="0.2">
      <c r="A2877" s="89">
        <v>40878</v>
      </c>
      <c r="B2877" s="151" t="s">
        <v>4344</v>
      </c>
      <c r="C2877" s="90" t="s">
        <v>4231</v>
      </c>
      <c r="D2877" s="90" t="s">
        <v>4264</v>
      </c>
      <c r="E2877" s="90" t="str">
        <f>VLOOKUP(B2877&amp;C2877,Divipola!$C$2:$F$1138,4,FALSE)</f>
        <v>25290</v>
      </c>
      <c r="F2877" s="4"/>
      <c r="G2877" s="101"/>
      <c r="H2877" s="101"/>
      <c r="I2877" s="101"/>
      <c r="J2877" s="101">
        <v>10</v>
      </c>
      <c r="K2877" s="101">
        <v>2</v>
      </c>
      <c r="L2877" s="101"/>
      <c r="M2877" s="101">
        <v>1</v>
      </c>
      <c r="N2877" s="101"/>
      <c r="O2877" s="101"/>
      <c r="P2877" s="101"/>
      <c r="Q2877" s="101"/>
      <c r="R2877" s="101"/>
      <c r="S2877" s="101"/>
      <c r="T2877" s="101"/>
      <c r="U2877" s="101"/>
      <c r="V2877" s="101"/>
      <c r="W2877" s="19"/>
      <c r="X2877" s="17"/>
      <c r="Y2877" s="5">
        <f t="shared" si="274"/>
        <v>0</v>
      </c>
      <c r="Z2877" s="5">
        <f t="shared" si="275"/>
        <v>0</v>
      </c>
      <c r="AA2877" s="5">
        <f t="shared" si="276"/>
        <v>0</v>
      </c>
      <c r="AB2877" s="5">
        <f t="shared" si="277"/>
        <v>0</v>
      </c>
      <c r="AC2877" s="5"/>
      <c r="AD2877" s="5">
        <v>0</v>
      </c>
      <c r="AE2877" s="5">
        <f t="shared" si="278"/>
        <v>0</v>
      </c>
      <c r="AF2877" s="70">
        <v>0</v>
      </c>
      <c r="AG2877" s="17"/>
      <c r="AH2877" s="18"/>
      <c r="AI2877" s="47" t="s">
        <v>4346</v>
      </c>
      <c r="AJ2877" s="73" t="s">
        <v>4347</v>
      </c>
      <c r="AK2877" s="45"/>
      <c r="AL2877" s="89" t="s">
        <v>2798</v>
      </c>
      <c r="AM2877" s="121" t="s">
        <v>5218</v>
      </c>
      <c r="AN2877" s="19"/>
      <c r="AO2877" s="19"/>
      <c r="AP2877" s="19"/>
      <c r="AQ2877" s="19"/>
      <c r="AR2877" s="19"/>
      <c r="AS2877" s="19"/>
      <c r="AT2877" s="19"/>
      <c r="AU2877" s="19"/>
      <c r="AV2877" s="19"/>
      <c r="AW2877" s="19"/>
      <c r="AX2877" s="19"/>
      <c r="AY2877" s="19"/>
      <c r="AZ2877" s="19"/>
      <c r="BA2877" s="19"/>
      <c r="BB2877" s="19"/>
      <c r="BC2877" s="19"/>
      <c r="BD2877" s="19"/>
      <c r="BE2877" s="19"/>
      <c r="BF2877" s="19"/>
      <c r="BG2877" s="19"/>
      <c r="BH2877" s="19"/>
      <c r="BI2877" s="19"/>
      <c r="BJ2877" s="19"/>
      <c r="BK2877" s="19"/>
      <c r="BL2877" s="19"/>
      <c r="BM2877" s="19"/>
      <c r="BN2877" s="19"/>
      <c r="BO2877" s="19"/>
      <c r="BP2877" s="19"/>
      <c r="BQ2877" s="19"/>
      <c r="BR2877" s="19"/>
      <c r="BS2877" s="19"/>
      <c r="BT2877" s="19"/>
      <c r="BU2877" s="19"/>
      <c r="BV2877" s="19"/>
      <c r="BW2877" s="19"/>
      <c r="BX2877" s="19"/>
      <c r="BY2877" s="19"/>
      <c r="BZ2877" s="19"/>
      <c r="CA2877" s="19"/>
      <c r="CB2877" s="19"/>
      <c r="CC2877" s="19"/>
      <c r="CD2877" s="139"/>
      <c r="CE2877" s="138"/>
      <c r="CF2877" s="139"/>
      <c r="CG2877" s="138"/>
      <c r="CH2877" s="139"/>
      <c r="CI2877" s="138"/>
      <c r="CJ2877" s="72"/>
      <c r="CK2877" s="139"/>
      <c r="CL2877" s="71"/>
      <c r="CM2877" s="139"/>
      <c r="CN2877" s="138"/>
      <c r="CO2877" s="138"/>
      <c r="CP2877" s="138"/>
      <c r="CQ2877" s="139"/>
      <c r="CR2877" s="138"/>
      <c r="CS2877" s="45"/>
      <c r="CT2877" s="138"/>
      <c r="CU2877" s="45"/>
      <c r="CV2877" s="99">
        <f t="shared" si="279"/>
        <v>0</v>
      </c>
      <c r="CW2877" s="139"/>
      <c r="CX2877" s="138"/>
      <c r="CY2877" s="138"/>
      <c r="CZ2877" s="138"/>
      <c r="DA2877" s="139"/>
      <c r="DB2877" s="138"/>
      <c r="DC2877" s="45"/>
      <c r="DD2877" s="138"/>
      <c r="DE2877" s="45"/>
      <c r="DF2877" s="46"/>
    </row>
    <row r="2878" spans="1:110" s="42" customFormat="1" ht="60" x14ac:dyDescent="0.2">
      <c r="A2878" s="89">
        <v>40878</v>
      </c>
      <c r="B2878" s="151" t="s">
        <v>860</v>
      </c>
      <c r="C2878" s="90" t="s">
        <v>2859</v>
      </c>
      <c r="D2878" s="90" t="s">
        <v>4264</v>
      </c>
      <c r="E2878" s="90" t="str">
        <f>VLOOKUP(B2878&amp;C2878,Divipola!$C$2:$F$1138,4,FALSE)</f>
        <v>50001</v>
      </c>
      <c r="F2878" s="4"/>
      <c r="G2878" s="101"/>
      <c r="H2878" s="101"/>
      <c r="I2878" s="101"/>
      <c r="J2878" s="101">
        <v>4</v>
      </c>
      <c r="K2878" s="101">
        <v>1</v>
      </c>
      <c r="L2878" s="101"/>
      <c r="M2878" s="101">
        <v>1</v>
      </c>
      <c r="N2878" s="101"/>
      <c r="O2878" s="101"/>
      <c r="P2878" s="101"/>
      <c r="Q2878" s="101"/>
      <c r="R2878" s="101"/>
      <c r="S2878" s="101"/>
      <c r="T2878" s="101"/>
      <c r="U2878" s="101"/>
      <c r="V2878" s="101"/>
      <c r="W2878" s="19"/>
      <c r="X2878" s="17"/>
      <c r="Y2878" s="5">
        <f t="shared" si="274"/>
        <v>0</v>
      </c>
      <c r="Z2878" s="5">
        <f t="shared" si="275"/>
        <v>0</v>
      </c>
      <c r="AA2878" s="5">
        <f t="shared" si="276"/>
        <v>0</v>
      </c>
      <c r="AB2878" s="5">
        <f t="shared" si="277"/>
        <v>0</v>
      </c>
      <c r="AC2878" s="5"/>
      <c r="AD2878" s="5">
        <v>0</v>
      </c>
      <c r="AE2878" s="5">
        <f t="shared" si="278"/>
        <v>0</v>
      </c>
      <c r="AF2878" s="70">
        <v>0</v>
      </c>
      <c r="AG2878" s="17"/>
      <c r="AH2878" s="18"/>
      <c r="AI2878" s="47" t="s">
        <v>4346</v>
      </c>
      <c r="AJ2878" s="73" t="s">
        <v>4347</v>
      </c>
      <c r="AK2878" s="45"/>
      <c r="AL2878" s="89" t="s">
        <v>2798</v>
      </c>
      <c r="AM2878" s="121" t="s">
        <v>5219</v>
      </c>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39"/>
      <c r="CE2878" s="138"/>
      <c r="CF2878" s="139"/>
      <c r="CG2878" s="138"/>
      <c r="CH2878" s="139"/>
      <c r="CI2878" s="138"/>
      <c r="CJ2878" s="72"/>
      <c r="CK2878" s="139"/>
      <c r="CL2878" s="71"/>
      <c r="CM2878" s="139"/>
      <c r="CN2878" s="138"/>
      <c r="CO2878" s="138"/>
      <c r="CP2878" s="138"/>
      <c r="CQ2878" s="139"/>
      <c r="CR2878" s="138"/>
      <c r="CS2878" s="45"/>
      <c r="CT2878" s="138"/>
      <c r="CU2878" s="45"/>
      <c r="CV2878" s="99">
        <f t="shared" si="279"/>
        <v>0</v>
      </c>
      <c r="CW2878" s="139"/>
      <c r="CX2878" s="138"/>
      <c r="CY2878" s="138"/>
      <c r="CZ2878" s="138"/>
      <c r="DA2878" s="139"/>
      <c r="DB2878" s="138"/>
      <c r="DC2878" s="45"/>
      <c r="DD2878" s="138"/>
      <c r="DE2878" s="45"/>
      <c r="DF2878" s="46"/>
    </row>
    <row r="2879" spans="1:110" s="42" customFormat="1" ht="48" x14ac:dyDescent="0.2">
      <c r="A2879" s="89">
        <v>40878</v>
      </c>
      <c r="B2879" s="151" t="s">
        <v>860</v>
      </c>
      <c r="C2879" s="90" t="s">
        <v>861</v>
      </c>
      <c r="D2879" s="90" t="s">
        <v>4264</v>
      </c>
      <c r="E2879" s="90" t="str">
        <f>VLOOKUP(B2879&amp;C2879,Divipola!$C$2:$F$1138,4,FALSE)</f>
        <v>50251</v>
      </c>
      <c r="F2879" s="4"/>
      <c r="G2879" s="101"/>
      <c r="H2879" s="101"/>
      <c r="I2879" s="101"/>
      <c r="J2879" s="101">
        <v>70</v>
      </c>
      <c r="K2879" s="101">
        <v>14</v>
      </c>
      <c r="L2879" s="101"/>
      <c r="M2879" s="101">
        <v>14</v>
      </c>
      <c r="N2879" s="101"/>
      <c r="O2879" s="101">
        <v>1</v>
      </c>
      <c r="P2879" s="101"/>
      <c r="Q2879" s="101"/>
      <c r="R2879" s="101"/>
      <c r="S2879" s="101"/>
      <c r="T2879" s="101"/>
      <c r="U2879" s="101"/>
      <c r="V2879" s="101"/>
      <c r="W2879" s="19"/>
      <c r="X2879" s="17"/>
      <c r="Y2879" s="5">
        <f t="shared" si="274"/>
        <v>0</v>
      </c>
      <c r="Z2879" s="5">
        <f t="shared" si="275"/>
        <v>0</v>
      </c>
      <c r="AA2879" s="5">
        <f t="shared" si="276"/>
        <v>0</v>
      </c>
      <c r="AB2879" s="5">
        <f t="shared" si="277"/>
        <v>0</v>
      </c>
      <c r="AC2879" s="5"/>
      <c r="AD2879" s="5">
        <v>0</v>
      </c>
      <c r="AE2879" s="5">
        <f t="shared" si="278"/>
        <v>0</v>
      </c>
      <c r="AF2879" s="70">
        <v>0</v>
      </c>
      <c r="AG2879" s="17"/>
      <c r="AH2879" s="18"/>
      <c r="AI2879" s="47" t="s">
        <v>4346</v>
      </c>
      <c r="AJ2879" s="73" t="s">
        <v>4347</v>
      </c>
      <c r="AK2879" s="45"/>
      <c r="AL2879" s="89" t="s">
        <v>2798</v>
      </c>
      <c r="AM2879" s="121" t="s">
        <v>5220</v>
      </c>
      <c r="AN2879" s="19"/>
      <c r="AO2879" s="19"/>
      <c r="AP2879" s="19"/>
      <c r="AQ2879" s="19"/>
      <c r="AR2879" s="19"/>
      <c r="AS2879" s="19"/>
      <c r="AT2879" s="19"/>
      <c r="AU2879" s="19"/>
      <c r="AV2879" s="19"/>
      <c r="AW2879" s="19"/>
      <c r="AX2879" s="19"/>
      <c r="AY2879" s="19"/>
      <c r="AZ2879" s="19"/>
      <c r="BA2879" s="19"/>
      <c r="BB2879" s="19"/>
      <c r="BC2879" s="19"/>
      <c r="BD2879" s="19"/>
      <c r="BE2879" s="19"/>
      <c r="BF2879" s="19"/>
      <c r="BG2879" s="19"/>
      <c r="BH2879" s="19"/>
      <c r="BI2879" s="19"/>
      <c r="BJ2879" s="19"/>
      <c r="BK2879" s="19"/>
      <c r="BL2879" s="19"/>
      <c r="BM2879" s="19"/>
      <c r="BN2879" s="19"/>
      <c r="BO2879" s="19"/>
      <c r="BP2879" s="19"/>
      <c r="BQ2879" s="19"/>
      <c r="BR2879" s="19"/>
      <c r="BS2879" s="19"/>
      <c r="BT2879" s="19"/>
      <c r="BU2879" s="19"/>
      <c r="BV2879" s="19"/>
      <c r="BW2879" s="19"/>
      <c r="BX2879" s="19"/>
      <c r="BY2879" s="19"/>
      <c r="BZ2879" s="19"/>
      <c r="CA2879" s="19"/>
      <c r="CB2879" s="19"/>
      <c r="CC2879" s="19"/>
      <c r="CD2879" s="139"/>
      <c r="CE2879" s="138"/>
      <c r="CF2879" s="139"/>
      <c r="CG2879" s="138"/>
      <c r="CH2879" s="139"/>
      <c r="CI2879" s="138"/>
      <c r="CJ2879" s="72"/>
      <c r="CK2879" s="139"/>
      <c r="CL2879" s="71"/>
      <c r="CM2879" s="139"/>
      <c r="CN2879" s="138"/>
      <c r="CO2879" s="138"/>
      <c r="CP2879" s="138"/>
      <c r="CQ2879" s="139"/>
      <c r="CR2879" s="138"/>
      <c r="CS2879" s="45"/>
      <c r="CT2879" s="138"/>
      <c r="CU2879" s="45"/>
      <c r="CV2879" s="99">
        <f t="shared" si="279"/>
        <v>0</v>
      </c>
      <c r="CW2879" s="139"/>
      <c r="CX2879" s="138"/>
      <c r="CY2879" s="138"/>
      <c r="CZ2879" s="138"/>
      <c r="DA2879" s="139"/>
      <c r="DB2879" s="138"/>
      <c r="DC2879" s="45"/>
      <c r="DD2879" s="138"/>
      <c r="DE2879" s="45"/>
      <c r="DF2879" s="46"/>
    </row>
    <row r="2880" spans="1:110" s="42" customFormat="1" x14ac:dyDescent="0.2">
      <c r="A2880" s="89">
        <v>40878</v>
      </c>
      <c r="B2880" s="16" t="s">
        <v>860</v>
      </c>
      <c r="C2880" s="16" t="s">
        <v>4345</v>
      </c>
      <c r="D2880" s="90" t="s">
        <v>4264</v>
      </c>
      <c r="E2880" s="90">
        <f>VLOOKUP(B2880&amp;C2880,Divipola!$C$2:$F$1138,4,FALSE)</f>
        <v>50</v>
      </c>
      <c r="F2880" s="4"/>
      <c r="G2880" s="208"/>
      <c r="H2880" s="208"/>
      <c r="I2880" s="208"/>
      <c r="J2880" s="208"/>
      <c r="K2880" s="208"/>
      <c r="L2880" s="208"/>
      <c r="M2880" s="208"/>
      <c r="N2880" s="208"/>
      <c r="O2880" s="208"/>
      <c r="P2880" s="208"/>
      <c r="Q2880" s="208"/>
      <c r="R2880" s="208"/>
      <c r="S2880" s="208"/>
      <c r="T2880" s="208"/>
      <c r="U2880" s="208"/>
      <c r="V2880" s="208"/>
      <c r="W2880" s="19"/>
      <c r="X2880" s="17"/>
      <c r="Y2880" s="5">
        <f t="shared" si="274"/>
        <v>178599000</v>
      </c>
      <c r="Z2880" s="5">
        <f t="shared" si="275"/>
        <v>170000000</v>
      </c>
      <c r="AA2880" s="5">
        <f t="shared" si="276"/>
        <v>0</v>
      </c>
      <c r="AB2880" s="5">
        <f t="shared" si="277"/>
        <v>0</v>
      </c>
      <c r="AC2880" s="5"/>
      <c r="AD2880" s="5">
        <v>0</v>
      </c>
      <c r="AE2880" s="5">
        <f t="shared" si="278"/>
        <v>348599000</v>
      </c>
      <c r="AF2880" s="70">
        <v>0</v>
      </c>
      <c r="AG2880" s="17"/>
      <c r="AH2880" s="18"/>
      <c r="AI2880" s="47" t="s">
        <v>4346</v>
      </c>
      <c r="AJ2880" s="73" t="s">
        <v>4347</v>
      </c>
      <c r="AK2880" s="45"/>
      <c r="AL2880" s="17"/>
      <c r="AM2880" s="20" t="s">
        <v>2823</v>
      </c>
      <c r="AN2880" s="19"/>
      <c r="AO2880" s="19"/>
      <c r="AP2880" s="19"/>
      <c r="AQ2880" s="19"/>
      <c r="AR2880" s="19"/>
      <c r="AS2880" s="19"/>
      <c r="AT2880" s="19"/>
      <c r="AU2880" s="19"/>
      <c r="AV2880" s="19"/>
      <c r="AW2880" s="19"/>
      <c r="AX2880" s="19"/>
      <c r="AY2880" s="19"/>
      <c r="AZ2880" s="19">
        <f>200+250</f>
        <v>450</v>
      </c>
      <c r="BA2880" s="19">
        <f>200*55999+250*56000</f>
        <v>25199800</v>
      </c>
      <c r="BB2880" s="19"/>
      <c r="BC2880" s="19"/>
      <c r="BD2880" s="19"/>
      <c r="BE2880" s="19"/>
      <c r="BF2880" s="19"/>
      <c r="BG2880" s="19"/>
      <c r="BH2880" s="19"/>
      <c r="BI2880" s="19"/>
      <c r="BJ2880" s="19"/>
      <c r="BK2880" s="19"/>
      <c r="BL2880" s="19"/>
      <c r="BM2880" s="19"/>
      <c r="BN2880" s="19"/>
      <c r="BO2880" s="19"/>
      <c r="BP2880" s="19"/>
      <c r="BQ2880" s="19"/>
      <c r="BR2880" s="19"/>
      <c r="BS2880" s="19"/>
      <c r="BT2880" s="19"/>
      <c r="BU2880" s="19"/>
      <c r="BV2880" s="19"/>
      <c r="BW2880" s="19"/>
      <c r="BX2880" s="19"/>
      <c r="BY2880" s="19"/>
      <c r="BZ2880" s="19"/>
      <c r="CA2880" s="19"/>
      <c r="CB2880" s="19"/>
      <c r="CC2880" s="19"/>
      <c r="CD2880" s="139"/>
      <c r="CE2880" s="138"/>
      <c r="CF2880" s="139"/>
      <c r="CG2880" s="138"/>
      <c r="CH2880" s="139"/>
      <c r="CI2880" s="138"/>
      <c r="CJ2880" s="72"/>
      <c r="CK2880" s="139"/>
      <c r="CL2880" s="71"/>
      <c r="CM2880" s="139"/>
      <c r="CN2880" s="138"/>
      <c r="CO2880" s="138"/>
      <c r="CP2880" s="138">
        <v>2000</v>
      </c>
      <c r="CQ2880" s="139">
        <f>500*36999.36+500*37000+500*37000+500*36999.36</f>
        <v>73999360</v>
      </c>
      <c r="CR2880" s="138">
        <v>2000</v>
      </c>
      <c r="CS2880" s="45">
        <f>500*39699.84+500*39700+500*39700+500*39699.84</f>
        <v>79399840</v>
      </c>
      <c r="CT2880" s="138"/>
      <c r="CU2880" s="45"/>
      <c r="CV2880" s="99">
        <f t="shared" si="279"/>
        <v>178599000</v>
      </c>
      <c r="CW2880" s="139"/>
      <c r="CX2880" s="138"/>
      <c r="CY2880" s="138">
        <v>2000</v>
      </c>
      <c r="CZ2880" s="138">
        <f>500*85000+500*85000+500*85000+500*85000</f>
        <v>170000000</v>
      </c>
      <c r="DA2880" s="139"/>
      <c r="DB2880" s="138"/>
      <c r="DC2880" s="45"/>
      <c r="DD2880" s="138"/>
      <c r="DE2880" s="45"/>
      <c r="DF2880" s="46"/>
    </row>
    <row r="2881" spans="1:110" s="42" customFormat="1" ht="24" x14ac:dyDescent="0.2">
      <c r="A2881" s="89">
        <v>40878</v>
      </c>
      <c r="B2881" s="151" t="s">
        <v>4344</v>
      </c>
      <c r="C2881" s="90" t="s">
        <v>3371</v>
      </c>
      <c r="D2881" s="90" t="s">
        <v>2362</v>
      </c>
      <c r="E2881" s="90" t="str">
        <f>VLOOKUP(B2881&amp;C2881,Divipola!$C$2:$F$1138,4,FALSE)</f>
        <v>25402</v>
      </c>
      <c r="F2881" s="4"/>
      <c r="G2881" s="194"/>
      <c r="H2881" s="194"/>
      <c r="I2881" s="194"/>
      <c r="J2881" s="194">
        <v>32</v>
      </c>
      <c r="K2881" s="194">
        <v>8</v>
      </c>
      <c r="L2881" s="194"/>
      <c r="M2881" s="194">
        <v>8</v>
      </c>
      <c r="N2881" s="194"/>
      <c r="O2881" s="194"/>
      <c r="P2881" s="194"/>
      <c r="Q2881" s="194"/>
      <c r="R2881" s="194"/>
      <c r="S2881" s="194"/>
      <c r="T2881" s="194"/>
      <c r="U2881" s="194"/>
      <c r="V2881" s="194"/>
      <c r="W2881" s="19"/>
      <c r="X2881" s="17"/>
      <c r="Y2881" s="5">
        <f t="shared" si="274"/>
        <v>0</v>
      </c>
      <c r="Z2881" s="5">
        <f t="shared" si="275"/>
        <v>0</v>
      </c>
      <c r="AA2881" s="5">
        <f t="shared" si="276"/>
        <v>0</v>
      </c>
      <c r="AB2881" s="5">
        <f t="shared" si="277"/>
        <v>0</v>
      </c>
      <c r="AC2881" s="5"/>
      <c r="AD2881" s="5">
        <v>0</v>
      </c>
      <c r="AE2881" s="5">
        <f t="shared" si="278"/>
        <v>0</v>
      </c>
      <c r="AF2881" s="70">
        <v>0</v>
      </c>
      <c r="AG2881" s="17"/>
      <c r="AH2881" s="18"/>
      <c r="AI2881" s="47" t="s">
        <v>4346</v>
      </c>
      <c r="AJ2881" s="73" t="s">
        <v>4347</v>
      </c>
      <c r="AK2881" s="45"/>
      <c r="AL2881" s="89" t="s">
        <v>2798</v>
      </c>
      <c r="AM2881" s="195" t="s">
        <v>5226</v>
      </c>
      <c r="AN2881" s="19"/>
      <c r="AO2881" s="19"/>
      <c r="AP2881" s="19"/>
      <c r="AQ2881" s="19"/>
      <c r="AR2881" s="19"/>
      <c r="AS2881" s="19"/>
      <c r="AT2881" s="19"/>
      <c r="AU2881" s="19"/>
      <c r="AV2881" s="19"/>
      <c r="AW2881" s="19"/>
      <c r="AX2881" s="19"/>
      <c r="AY2881" s="19"/>
      <c r="AZ2881" s="19"/>
      <c r="BA2881" s="19"/>
      <c r="BB2881" s="19"/>
      <c r="BC2881" s="19"/>
      <c r="BD2881" s="19"/>
      <c r="BE2881" s="19"/>
      <c r="BF2881" s="19"/>
      <c r="BG2881" s="19"/>
      <c r="BH2881" s="19"/>
      <c r="BI2881" s="19"/>
      <c r="BJ2881" s="19"/>
      <c r="BK2881" s="19"/>
      <c r="BL2881" s="19"/>
      <c r="BM2881" s="19"/>
      <c r="BN2881" s="19"/>
      <c r="BO2881" s="19"/>
      <c r="BP2881" s="19"/>
      <c r="BQ2881" s="19"/>
      <c r="BR2881" s="19"/>
      <c r="BS2881" s="19"/>
      <c r="BT2881" s="19"/>
      <c r="BU2881" s="19"/>
      <c r="BV2881" s="19"/>
      <c r="BW2881" s="19"/>
      <c r="BX2881" s="19"/>
      <c r="BY2881" s="19"/>
      <c r="BZ2881" s="19"/>
      <c r="CA2881" s="19"/>
      <c r="CB2881" s="19"/>
      <c r="CC2881" s="19"/>
      <c r="CD2881" s="139"/>
      <c r="CE2881" s="138"/>
      <c r="CF2881" s="139"/>
      <c r="CG2881" s="138"/>
      <c r="CH2881" s="139"/>
      <c r="CI2881" s="138"/>
      <c r="CJ2881" s="72"/>
      <c r="CK2881" s="139"/>
      <c r="CL2881" s="71"/>
      <c r="CM2881" s="139"/>
      <c r="CN2881" s="138"/>
      <c r="CO2881" s="138"/>
      <c r="CP2881" s="138"/>
      <c r="CQ2881" s="139"/>
      <c r="CR2881" s="138"/>
      <c r="CS2881" s="45"/>
      <c r="CT2881" s="138"/>
      <c r="CU2881" s="45"/>
      <c r="CV2881" s="99">
        <f t="shared" si="279"/>
        <v>0</v>
      </c>
      <c r="CW2881" s="139"/>
      <c r="CX2881" s="138"/>
      <c r="CY2881" s="138"/>
      <c r="CZ2881" s="138"/>
      <c r="DA2881" s="139"/>
      <c r="DB2881" s="138"/>
      <c r="DC2881" s="45"/>
      <c r="DD2881" s="138"/>
      <c r="DE2881" s="45"/>
      <c r="DF2881" s="46"/>
    </row>
    <row r="2882" spans="1:110" s="42" customFormat="1" ht="48" x14ac:dyDescent="0.2">
      <c r="A2882" s="89">
        <v>40878</v>
      </c>
      <c r="B2882" s="151" t="s">
        <v>4282</v>
      </c>
      <c r="C2882" s="90" t="s">
        <v>4368</v>
      </c>
      <c r="D2882" s="90" t="s">
        <v>4264</v>
      </c>
      <c r="E2882" s="90" t="str">
        <f>VLOOKUP(B2882&amp;C2882,Divipola!$C$2:$F$1138,4,FALSE)</f>
        <v>23001</v>
      </c>
      <c r="F2882" s="4"/>
      <c r="G2882" s="194"/>
      <c r="H2882" s="194"/>
      <c r="I2882" s="194"/>
      <c r="J2882" s="194">
        <v>540</v>
      </c>
      <c r="K2882" s="194">
        <v>162</v>
      </c>
      <c r="L2882" s="194">
        <v>5</v>
      </c>
      <c r="M2882" s="194">
        <v>157</v>
      </c>
      <c r="N2882" s="194"/>
      <c r="O2882" s="194"/>
      <c r="P2882" s="194"/>
      <c r="Q2882" s="194"/>
      <c r="R2882" s="194"/>
      <c r="S2882" s="194"/>
      <c r="T2882" s="194"/>
      <c r="U2882" s="194"/>
      <c r="V2882" s="194"/>
      <c r="W2882" s="19"/>
      <c r="X2882" s="17"/>
      <c r="Y2882" s="5">
        <f t="shared" ref="Y2882:Y2945" si="280">CV2882</f>
        <v>0</v>
      </c>
      <c r="Z2882" s="5">
        <f t="shared" ref="Z2882:Z2945" si="281">CZ2882</f>
        <v>0</v>
      </c>
      <c r="AA2882" s="5">
        <f t="shared" ref="AA2882:AA2945" si="282">DB2882+DD2882</f>
        <v>0</v>
      </c>
      <c r="AB2882" s="5">
        <f t="shared" ref="AB2882:AB2945" si="283">CX2882</f>
        <v>0</v>
      </c>
      <c r="AC2882" s="5"/>
      <c r="AD2882" s="5">
        <v>0</v>
      </c>
      <c r="AE2882" s="5">
        <f t="shared" ref="AE2882:AE2945" si="284">Y2882+Z2882+AA2882+AB2882+AC2882+AD2882</f>
        <v>0</v>
      </c>
      <c r="AF2882" s="70">
        <v>0</v>
      </c>
      <c r="AG2882" s="17"/>
      <c r="AH2882" s="18"/>
      <c r="AI2882" s="47" t="s">
        <v>4346</v>
      </c>
      <c r="AJ2882" s="73" t="s">
        <v>4347</v>
      </c>
      <c r="AK2882" s="45"/>
      <c r="AL2882" s="17"/>
      <c r="AM2882" s="195" t="s">
        <v>5227</v>
      </c>
      <c r="AN2882" s="19"/>
      <c r="AO2882" s="19"/>
      <c r="AP2882" s="19"/>
      <c r="AQ2882" s="19"/>
      <c r="AR2882" s="19"/>
      <c r="AS2882" s="19"/>
      <c r="AT2882" s="19"/>
      <c r="AU2882" s="19"/>
      <c r="AV2882" s="19"/>
      <c r="AW2882" s="19"/>
      <c r="AX2882" s="19"/>
      <c r="AY2882" s="19"/>
      <c r="AZ2882" s="19"/>
      <c r="BA2882" s="19"/>
      <c r="BB2882" s="19"/>
      <c r="BC2882" s="19"/>
      <c r="BD2882" s="19"/>
      <c r="BE2882" s="19"/>
      <c r="BF2882" s="19"/>
      <c r="BG2882" s="19"/>
      <c r="BH2882" s="19"/>
      <c r="BI2882" s="19"/>
      <c r="BJ2882" s="19"/>
      <c r="BK2882" s="19"/>
      <c r="BL2882" s="19"/>
      <c r="BM2882" s="19"/>
      <c r="BN2882" s="19"/>
      <c r="BO2882" s="19"/>
      <c r="BP2882" s="19"/>
      <c r="BQ2882" s="19"/>
      <c r="BR2882" s="19"/>
      <c r="BS2882" s="19"/>
      <c r="BT2882" s="19"/>
      <c r="BU2882" s="19"/>
      <c r="BV2882" s="19"/>
      <c r="BW2882" s="19"/>
      <c r="BX2882" s="19"/>
      <c r="BY2882" s="19"/>
      <c r="BZ2882" s="19"/>
      <c r="CA2882" s="19"/>
      <c r="CB2882" s="19"/>
      <c r="CC2882" s="19"/>
      <c r="CD2882" s="139"/>
      <c r="CE2882" s="138"/>
      <c r="CF2882" s="139"/>
      <c r="CG2882" s="138"/>
      <c r="CH2882" s="139"/>
      <c r="CI2882" s="138"/>
      <c r="CJ2882" s="72"/>
      <c r="CK2882" s="139"/>
      <c r="CL2882" s="71"/>
      <c r="CM2882" s="139"/>
      <c r="CN2882" s="138"/>
      <c r="CO2882" s="138"/>
      <c r="CP2882" s="138"/>
      <c r="CQ2882" s="139"/>
      <c r="CR2882" s="138"/>
      <c r="CS2882" s="45"/>
      <c r="CT2882" s="138"/>
      <c r="CU2882" s="45"/>
      <c r="CV2882" s="99">
        <f t="shared" si="279"/>
        <v>0</v>
      </c>
      <c r="CW2882" s="139"/>
      <c r="CX2882" s="138"/>
      <c r="CY2882" s="138"/>
      <c r="CZ2882" s="138"/>
      <c r="DA2882" s="139"/>
      <c r="DB2882" s="138"/>
      <c r="DC2882" s="45"/>
      <c r="DD2882" s="138"/>
      <c r="DE2882" s="45"/>
      <c r="DF2882" s="46"/>
    </row>
    <row r="2883" spans="1:110" s="42" customFormat="1" ht="96" x14ac:dyDescent="0.2">
      <c r="A2883" s="89">
        <v>40878</v>
      </c>
      <c r="B2883" s="196" t="s">
        <v>4352</v>
      </c>
      <c r="C2883" s="197" t="s">
        <v>2547</v>
      </c>
      <c r="D2883" s="90" t="s">
        <v>4264</v>
      </c>
      <c r="E2883" s="90" t="str">
        <f>VLOOKUP(B2883&amp;C2883,Divipola!$C$2:$F$1138,4,FALSE)</f>
        <v>13673</v>
      </c>
      <c r="F2883" s="4"/>
      <c r="G2883" s="194"/>
      <c r="H2883" s="194"/>
      <c r="I2883" s="194"/>
      <c r="J2883" s="194">
        <v>2600</v>
      </c>
      <c r="K2883" s="194">
        <v>500</v>
      </c>
      <c r="L2883" s="194"/>
      <c r="M2883" s="194"/>
      <c r="N2883" s="194"/>
      <c r="O2883" s="194"/>
      <c r="P2883" s="194"/>
      <c r="Q2883" s="194"/>
      <c r="R2883" s="194"/>
      <c r="S2883" s="194"/>
      <c r="T2883" s="194"/>
      <c r="U2883" s="194"/>
      <c r="V2883" s="194"/>
      <c r="W2883" s="19"/>
      <c r="X2883" s="17"/>
      <c r="Y2883" s="5">
        <f t="shared" si="280"/>
        <v>0</v>
      </c>
      <c r="Z2883" s="5">
        <f t="shared" si="281"/>
        <v>0</v>
      </c>
      <c r="AA2883" s="5">
        <f t="shared" si="282"/>
        <v>0</v>
      </c>
      <c r="AB2883" s="5">
        <f t="shared" si="283"/>
        <v>0</v>
      </c>
      <c r="AC2883" s="5"/>
      <c r="AD2883" s="5">
        <v>0</v>
      </c>
      <c r="AE2883" s="5">
        <f t="shared" si="284"/>
        <v>0</v>
      </c>
      <c r="AF2883" s="70">
        <v>0</v>
      </c>
      <c r="AG2883" s="17"/>
      <c r="AH2883" s="18"/>
      <c r="AI2883" s="47" t="s">
        <v>4346</v>
      </c>
      <c r="AJ2883" s="73" t="s">
        <v>4347</v>
      </c>
      <c r="AK2883" s="45"/>
      <c r="AL2883" s="89" t="s">
        <v>2798</v>
      </c>
      <c r="AM2883" s="195" t="s">
        <v>5603</v>
      </c>
      <c r="AN2883" s="19"/>
      <c r="AO2883" s="19"/>
      <c r="AP2883" s="19"/>
      <c r="AQ2883" s="19"/>
      <c r="AR2883" s="19"/>
      <c r="AS2883" s="19"/>
      <c r="AT2883" s="19"/>
      <c r="AU2883" s="19"/>
      <c r="AV2883" s="19"/>
      <c r="AW2883" s="19"/>
      <c r="AX2883" s="19"/>
      <c r="AY2883" s="19"/>
      <c r="AZ2883" s="19"/>
      <c r="BA2883" s="19"/>
      <c r="BB2883" s="19"/>
      <c r="BC2883" s="19"/>
      <c r="BD2883" s="19"/>
      <c r="BE2883" s="19"/>
      <c r="BF2883" s="19"/>
      <c r="BG2883" s="19"/>
      <c r="BH2883" s="19"/>
      <c r="BI2883" s="19"/>
      <c r="BJ2883" s="19"/>
      <c r="BK2883" s="19"/>
      <c r="BL2883" s="19"/>
      <c r="BM2883" s="19"/>
      <c r="BN2883" s="19"/>
      <c r="BO2883" s="19"/>
      <c r="BP2883" s="19"/>
      <c r="BQ2883" s="19"/>
      <c r="BR2883" s="19"/>
      <c r="BS2883" s="19"/>
      <c r="BT2883" s="19"/>
      <c r="BU2883" s="19"/>
      <c r="BV2883" s="19"/>
      <c r="BW2883" s="19"/>
      <c r="BX2883" s="19"/>
      <c r="BY2883" s="19"/>
      <c r="BZ2883" s="19"/>
      <c r="CA2883" s="19"/>
      <c r="CB2883" s="19"/>
      <c r="CC2883" s="19"/>
      <c r="CD2883" s="139"/>
      <c r="CE2883" s="138"/>
      <c r="CF2883" s="139"/>
      <c r="CG2883" s="138"/>
      <c r="CH2883" s="139"/>
      <c r="CI2883" s="138"/>
      <c r="CJ2883" s="72"/>
      <c r="CK2883" s="139"/>
      <c r="CL2883" s="71"/>
      <c r="CM2883" s="139"/>
      <c r="CN2883" s="138"/>
      <c r="CO2883" s="138"/>
      <c r="CP2883" s="138"/>
      <c r="CQ2883" s="139"/>
      <c r="CR2883" s="138"/>
      <c r="CS2883" s="45"/>
      <c r="CT2883" s="138"/>
      <c r="CU2883" s="45"/>
      <c r="CV2883" s="99">
        <f t="shared" ref="CV2883:CV2946" si="285">AO2883+AQ2883+AS2883+AU2883+AW2883+AY2883+BA2883+BC2883+BE2883+BG2883+BI2883+BK2883+BM2883+BO2883+BQ2883+BS2883+BU2883+BW2883+BY2883+CA2883+CC2883+CE2883+CG2883+CI2883+CK2883+CM2883+CO2883+CQ2883+CS2883+CU2883</f>
        <v>0</v>
      </c>
      <c r="CW2883" s="139"/>
      <c r="CX2883" s="138"/>
      <c r="CY2883" s="138"/>
      <c r="CZ2883" s="138"/>
      <c r="DA2883" s="139"/>
      <c r="DB2883" s="138"/>
      <c r="DC2883" s="45"/>
      <c r="DD2883" s="138"/>
      <c r="DE2883" s="45"/>
      <c r="DF2883" s="46"/>
    </row>
    <row r="2884" spans="1:110" s="42" customFormat="1" ht="36" x14ac:dyDescent="0.2">
      <c r="A2884" s="89">
        <v>40878</v>
      </c>
      <c r="B2884" s="196" t="s">
        <v>4326</v>
      </c>
      <c r="C2884" s="197" t="s">
        <v>4011</v>
      </c>
      <c r="D2884" s="90" t="s">
        <v>4264</v>
      </c>
      <c r="E2884" s="90" t="str">
        <f>VLOOKUP(B2884&amp;C2884,Divipola!$C$2:$F$1138,4,FALSE)</f>
        <v>08638</v>
      </c>
      <c r="F2884" s="4"/>
      <c r="G2884" s="194">
        <v>1</v>
      </c>
      <c r="H2884" s="194"/>
      <c r="I2884" s="194"/>
      <c r="J2884" s="194"/>
      <c r="K2884" s="194"/>
      <c r="L2884" s="194"/>
      <c r="M2884" s="194"/>
      <c r="N2884" s="194"/>
      <c r="O2884" s="194"/>
      <c r="P2884" s="194"/>
      <c r="Q2884" s="194"/>
      <c r="R2884" s="194"/>
      <c r="S2884" s="194"/>
      <c r="T2884" s="194"/>
      <c r="U2884" s="194"/>
      <c r="V2884" s="194"/>
      <c r="W2884" s="19"/>
      <c r="X2884" s="17"/>
      <c r="Y2884" s="5">
        <f t="shared" si="280"/>
        <v>0</v>
      </c>
      <c r="Z2884" s="5">
        <f t="shared" si="281"/>
        <v>0</v>
      </c>
      <c r="AA2884" s="5">
        <f t="shared" si="282"/>
        <v>0</v>
      </c>
      <c r="AB2884" s="5">
        <f t="shared" si="283"/>
        <v>0</v>
      </c>
      <c r="AC2884" s="5"/>
      <c r="AD2884" s="5">
        <v>0</v>
      </c>
      <c r="AE2884" s="5">
        <f t="shared" si="284"/>
        <v>0</v>
      </c>
      <c r="AF2884" s="70">
        <v>0</v>
      </c>
      <c r="AG2884" s="17"/>
      <c r="AH2884" s="18"/>
      <c r="AI2884" s="47" t="s">
        <v>4336</v>
      </c>
      <c r="AJ2884" s="73" t="s">
        <v>4337</v>
      </c>
      <c r="AK2884" s="45"/>
      <c r="AL2884" s="17"/>
      <c r="AM2884" s="195" t="s">
        <v>5233</v>
      </c>
      <c r="AN2884" s="19"/>
      <c r="AO2884" s="19"/>
      <c r="AP2884" s="19"/>
      <c r="AQ2884" s="19"/>
      <c r="AR2884" s="19"/>
      <c r="AS2884" s="19"/>
      <c r="AT2884" s="19"/>
      <c r="AU2884" s="19"/>
      <c r="AV2884" s="19"/>
      <c r="AW2884" s="19"/>
      <c r="AX2884" s="19"/>
      <c r="AY2884" s="19"/>
      <c r="AZ2884" s="19"/>
      <c r="BA2884" s="19"/>
      <c r="BB2884" s="19"/>
      <c r="BC2884" s="19"/>
      <c r="BD2884" s="19"/>
      <c r="BE2884" s="19"/>
      <c r="BF2884" s="19"/>
      <c r="BG2884" s="19"/>
      <c r="BH2884" s="19"/>
      <c r="BI2884" s="19"/>
      <c r="BJ2884" s="19"/>
      <c r="BK2884" s="19"/>
      <c r="BL2884" s="19"/>
      <c r="BM2884" s="19"/>
      <c r="BN2884" s="19"/>
      <c r="BO2884" s="19"/>
      <c r="BP2884" s="19"/>
      <c r="BQ2884" s="19"/>
      <c r="BR2884" s="19"/>
      <c r="BS2884" s="19"/>
      <c r="BT2884" s="19"/>
      <c r="BU2884" s="19"/>
      <c r="BV2884" s="19"/>
      <c r="BW2884" s="19"/>
      <c r="BX2884" s="19"/>
      <c r="BY2884" s="19"/>
      <c r="BZ2884" s="19"/>
      <c r="CA2884" s="19"/>
      <c r="CB2884" s="19"/>
      <c r="CC2884" s="19"/>
      <c r="CD2884" s="139"/>
      <c r="CE2884" s="138"/>
      <c r="CF2884" s="139"/>
      <c r="CG2884" s="138"/>
      <c r="CH2884" s="139"/>
      <c r="CI2884" s="138"/>
      <c r="CJ2884" s="72"/>
      <c r="CK2884" s="139"/>
      <c r="CL2884" s="71"/>
      <c r="CM2884" s="139"/>
      <c r="CN2884" s="138"/>
      <c r="CO2884" s="138"/>
      <c r="CP2884" s="138"/>
      <c r="CQ2884" s="139"/>
      <c r="CR2884" s="138"/>
      <c r="CS2884" s="45"/>
      <c r="CT2884" s="138"/>
      <c r="CU2884" s="45"/>
      <c r="CV2884" s="99">
        <f t="shared" si="285"/>
        <v>0</v>
      </c>
      <c r="CW2884" s="139"/>
      <c r="CX2884" s="138"/>
      <c r="CY2884" s="138"/>
      <c r="CZ2884" s="138"/>
      <c r="DA2884" s="139"/>
      <c r="DB2884" s="138"/>
      <c r="DC2884" s="45"/>
      <c r="DD2884" s="138"/>
      <c r="DE2884" s="45"/>
      <c r="DF2884" s="46"/>
    </row>
    <row r="2885" spans="1:110" s="42" customFormat="1" ht="24" x14ac:dyDescent="0.2">
      <c r="A2885" s="89">
        <v>40878</v>
      </c>
      <c r="B2885" s="147" t="s">
        <v>3316</v>
      </c>
      <c r="C2885" s="16" t="s">
        <v>61</v>
      </c>
      <c r="D2885" s="16" t="s">
        <v>4264</v>
      </c>
      <c r="E2885" s="90" t="str">
        <f>VLOOKUP(B2885&amp;C2885,Divipola!$C$2:$F$1138,4,FALSE)</f>
        <v>73024</v>
      </c>
      <c r="F2885" s="4"/>
      <c r="G2885" s="208"/>
      <c r="H2885" s="208"/>
      <c r="I2885" s="208"/>
      <c r="J2885" s="208"/>
      <c r="K2885" s="208"/>
      <c r="L2885" s="208"/>
      <c r="M2885" s="208"/>
      <c r="N2885" s="208">
        <v>1</v>
      </c>
      <c r="O2885" s="208">
        <v>1</v>
      </c>
      <c r="P2885" s="208"/>
      <c r="Q2885" s="208"/>
      <c r="R2885" s="208"/>
      <c r="S2885" s="208"/>
      <c r="T2885" s="208"/>
      <c r="U2885" s="208"/>
      <c r="V2885" s="208"/>
      <c r="W2885" s="19"/>
      <c r="X2885" s="17"/>
      <c r="Y2885" s="5">
        <f t="shared" si="280"/>
        <v>0</v>
      </c>
      <c r="Z2885" s="5">
        <f t="shared" si="281"/>
        <v>0</v>
      </c>
      <c r="AA2885" s="5">
        <f t="shared" si="282"/>
        <v>0</v>
      </c>
      <c r="AB2885" s="5">
        <f t="shared" si="283"/>
        <v>0</v>
      </c>
      <c r="AC2885" s="5"/>
      <c r="AD2885" s="5">
        <v>0</v>
      </c>
      <c r="AE2885" s="5">
        <f t="shared" si="284"/>
        <v>0</v>
      </c>
      <c r="AF2885" s="70">
        <v>0</v>
      </c>
      <c r="AG2885" s="17"/>
      <c r="AH2885" s="18"/>
      <c r="AI2885" s="47" t="s">
        <v>4336</v>
      </c>
      <c r="AJ2885" s="73" t="s">
        <v>4337</v>
      </c>
      <c r="AK2885" s="45"/>
      <c r="AL2885" s="17"/>
      <c r="AM2885" s="20" t="s">
        <v>5269</v>
      </c>
      <c r="AN2885" s="19"/>
      <c r="AO2885" s="19"/>
      <c r="AP2885" s="19"/>
      <c r="AQ2885" s="19"/>
      <c r="AR2885" s="19"/>
      <c r="AS2885" s="19"/>
      <c r="AT2885" s="19"/>
      <c r="AU2885" s="19"/>
      <c r="AV2885" s="19"/>
      <c r="AW2885" s="19"/>
      <c r="AX2885" s="19"/>
      <c r="AY2885" s="19"/>
      <c r="AZ2885" s="19"/>
      <c r="BA2885" s="19"/>
      <c r="BB2885" s="19"/>
      <c r="BC2885" s="19"/>
      <c r="BD2885" s="19"/>
      <c r="BE2885" s="19"/>
      <c r="BF2885" s="19"/>
      <c r="BG2885" s="19"/>
      <c r="BH2885" s="19"/>
      <c r="BI2885" s="19"/>
      <c r="BJ2885" s="19"/>
      <c r="BK2885" s="19"/>
      <c r="BL2885" s="19"/>
      <c r="BM2885" s="19"/>
      <c r="BN2885" s="19"/>
      <c r="BO2885" s="19"/>
      <c r="BP2885" s="19"/>
      <c r="BQ2885" s="19"/>
      <c r="BR2885" s="19"/>
      <c r="BS2885" s="19"/>
      <c r="BT2885" s="19"/>
      <c r="BU2885" s="19"/>
      <c r="BV2885" s="19"/>
      <c r="BW2885" s="19"/>
      <c r="BX2885" s="19"/>
      <c r="BY2885" s="19"/>
      <c r="BZ2885" s="19"/>
      <c r="CA2885" s="19"/>
      <c r="CB2885" s="19"/>
      <c r="CC2885" s="19"/>
      <c r="CD2885" s="139"/>
      <c r="CE2885" s="138"/>
      <c r="CF2885" s="139"/>
      <c r="CG2885" s="138"/>
      <c r="CH2885" s="139"/>
      <c r="CI2885" s="138"/>
      <c r="CJ2885" s="72"/>
      <c r="CK2885" s="139"/>
      <c r="CL2885" s="71"/>
      <c r="CM2885" s="139"/>
      <c r="CN2885" s="138"/>
      <c r="CO2885" s="138"/>
      <c r="CP2885" s="138"/>
      <c r="CQ2885" s="139"/>
      <c r="CR2885" s="138"/>
      <c r="CS2885" s="45"/>
      <c r="CT2885" s="138"/>
      <c r="CU2885" s="45"/>
      <c r="CV2885" s="99">
        <f t="shared" si="285"/>
        <v>0</v>
      </c>
      <c r="CW2885" s="139"/>
      <c r="CX2885" s="138"/>
      <c r="CY2885" s="138"/>
      <c r="CZ2885" s="138"/>
      <c r="DA2885" s="139"/>
      <c r="DB2885" s="138"/>
      <c r="DC2885" s="45"/>
      <c r="DD2885" s="138"/>
      <c r="DE2885" s="45"/>
      <c r="DF2885" s="46"/>
    </row>
    <row r="2886" spans="1:110" s="42" customFormat="1" ht="192" x14ac:dyDescent="0.2">
      <c r="A2886" s="89">
        <v>40878</v>
      </c>
      <c r="B2886" s="151" t="s">
        <v>4296</v>
      </c>
      <c r="C2886" s="90" t="s">
        <v>1472</v>
      </c>
      <c r="D2886" s="90" t="s">
        <v>2362</v>
      </c>
      <c r="E2886" s="90" t="str">
        <f>VLOOKUP(B2886&amp;C2886,Divipola!$C$2:$F$1138,4,FALSE)</f>
        <v>19137</v>
      </c>
      <c r="F2886" s="4"/>
      <c r="G2886" s="101"/>
      <c r="H2886" s="101"/>
      <c r="I2886" s="101"/>
      <c r="J2886" s="101">
        <v>140</v>
      </c>
      <c r="K2886" s="101">
        <v>28</v>
      </c>
      <c r="L2886" s="101">
        <v>28</v>
      </c>
      <c r="M2886" s="101"/>
      <c r="N2886" s="101"/>
      <c r="O2886" s="101"/>
      <c r="P2886" s="101"/>
      <c r="Q2886" s="101"/>
      <c r="R2886" s="101"/>
      <c r="S2886" s="101"/>
      <c r="T2886" s="101"/>
      <c r="U2886" s="101"/>
      <c r="V2886" s="101"/>
      <c r="W2886" s="19"/>
      <c r="X2886" s="17"/>
      <c r="Y2886" s="5">
        <f t="shared" si="280"/>
        <v>0</v>
      </c>
      <c r="Z2886" s="5">
        <f t="shared" si="281"/>
        <v>0</v>
      </c>
      <c r="AA2886" s="5">
        <f t="shared" si="282"/>
        <v>0</v>
      </c>
      <c r="AB2886" s="5">
        <f t="shared" si="283"/>
        <v>0</v>
      </c>
      <c r="AC2886" s="5">
        <f>2*211000.52+200*22000.56+1*3999.68+25*2999.76+4*145000+200*1800.32+30*2800.24+20*4999.6+50*3999.68+200*10000.36+30*1499.88+5*7500.56+500*250.56+200*8000.52+20*250.56</f>
        <v>10038120.32</v>
      </c>
      <c r="AD2886" s="5">
        <v>0</v>
      </c>
      <c r="AE2886" s="5">
        <f t="shared" si="284"/>
        <v>10038120.32</v>
      </c>
      <c r="AF2886" s="70">
        <v>0</v>
      </c>
      <c r="AG2886" s="17"/>
      <c r="AH2886" s="18"/>
      <c r="AI2886" s="47" t="s">
        <v>4346</v>
      </c>
      <c r="AJ2886" s="73" t="s">
        <v>4347</v>
      </c>
      <c r="AK2886" s="45"/>
      <c r="AL2886" s="17"/>
      <c r="AM2886" s="121" t="s">
        <v>5477</v>
      </c>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39"/>
      <c r="CE2886" s="138"/>
      <c r="CF2886" s="139"/>
      <c r="CG2886" s="138"/>
      <c r="CH2886" s="139"/>
      <c r="CI2886" s="138"/>
      <c r="CJ2886" s="72"/>
      <c r="CK2886" s="139"/>
      <c r="CL2886" s="71"/>
      <c r="CM2886" s="139"/>
      <c r="CN2886" s="138"/>
      <c r="CO2886" s="138"/>
      <c r="CP2886" s="138"/>
      <c r="CQ2886" s="139"/>
      <c r="CR2886" s="138"/>
      <c r="CS2886" s="45"/>
      <c r="CT2886" s="138"/>
      <c r="CU2886" s="45"/>
      <c r="CV2886" s="99">
        <f t="shared" si="285"/>
        <v>0</v>
      </c>
      <c r="CW2886" s="139"/>
      <c r="CX2886" s="138"/>
      <c r="CY2886" s="138"/>
      <c r="CZ2886" s="138"/>
      <c r="DA2886" s="139"/>
      <c r="DB2886" s="138"/>
      <c r="DC2886" s="45"/>
      <c r="DD2886" s="138"/>
      <c r="DE2886" s="45"/>
      <c r="DF2886" s="46"/>
    </row>
    <row r="2887" spans="1:110" s="42" customFormat="1" x14ac:dyDescent="0.2">
      <c r="A2887" s="89">
        <v>40878</v>
      </c>
      <c r="B2887" s="151" t="s">
        <v>2984</v>
      </c>
      <c r="C2887" s="90" t="s">
        <v>2984</v>
      </c>
      <c r="D2887" s="90" t="s">
        <v>5292</v>
      </c>
      <c r="E2887" s="90" t="str">
        <f>VLOOKUP(B2887&amp;C2887,Divipola!$C$2:$F$1138,4,FALSE)</f>
        <v>88001</v>
      </c>
      <c r="F2887" s="4"/>
      <c r="G2887" s="208"/>
      <c r="H2887" s="208"/>
      <c r="I2887" s="208"/>
      <c r="J2887" s="208"/>
      <c r="K2887" s="208"/>
      <c r="L2887" s="208"/>
      <c r="M2887" s="208"/>
      <c r="N2887" s="208"/>
      <c r="O2887" s="208"/>
      <c r="P2887" s="208"/>
      <c r="Q2887" s="208"/>
      <c r="R2887" s="208"/>
      <c r="S2887" s="208"/>
      <c r="T2887" s="208"/>
      <c r="U2887" s="208"/>
      <c r="V2887" s="208"/>
      <c r="W2887" s="19"/>
      <c r="X2887" s="17"/>
      <c r="Y2887" s="5">
        <f t="shared" si="280"/>
        <v>0</v>
      </c>
      <c r="Z2887" s="5">
        <f t="shared" si="281"/>
        <v>0</v>
      </c>
      <c r="AA2887" s="5">
        <f t="shared" si="282"/>
        <v>0</v>
      </c>
      <c r="AB2887" s="5">
        <f t="shared" si="283"/>
        <v>1900080</v>
      </c>
      <c r="AC2887" s="5">
        <f>300*48024</f>
        <v>14407200</v>
      </c>
      <c r="AD2887" s="5">
        <v>0</v>
      </c>
      <c r="AE2887" s="5">
        <f t="shared" si="284"/>
        <v>16307280</v>
      </c>
      <c r="AF2887" s="70">
        <v>0</v>
      </c>
      <c r="AG2887" s="17"/>
      <c r="AH2887" s="18"/>
      <c r="AI2887" s="47" t="s">
        <v>4346</v>
      </c>
      <c r="AJ2887" s="73" t="s">
        <v>4347</v>
      </c>
      <c r="AK2887" s="45"/>
      <c r="AL2887" s="17"/>
      <c r="AM2887" s="20" t="s">
        <v>5293</v>
      </c>
      <c r="AN2887" s="19"/>
      <c r="AO2887" s="19"/>
      <c r="AP2887" s="19"/>
      <c r="AQ2887" s="19"/>
      <c r="AR2887" s="19"/>
      <c r="AS2887" s="19"/>
      <c r="AT2887" s="19"/>
      <c r="AU2887" s="19"/>
      <c r="AV2887" s="19"/>
      <c r="AW2887" s="19"/>
      <c r="AX2887" s="19"/>
      <c r="AY2887" s="19"/>
      <c r="AZ2887" s="19"/>
      <c r="BA2887" s="19"/>
      <c r="BB2887" s="19"/>
      <c r="BC2887" s="19"/>
      <c r="BD2887" s="19"/>
      <c r="BE2887" s="19"/>
      <c r="BF2887" s="19"/>
      <c r="BG2887" s="19"/>
      <c r="BH2887" s="19"/>
      <c r="BI2887" s="19"/>
      <c r="BJ2887" s="19"/>
      <c r="BK2887" s="19"/>
      <c r="BL2887" s="19"/>
      <c r="BM2887" s="19"/>
      <c r="BN2887" s="19"/>
      <c r="BO2887" s="19"/>
      <c r="BP2887" s="19"/>
      <c r="BQ2887" s="19"/>
      <c r="BR2887" s="19"/>
      <c r="BS2887" s="19"/>
      <c r="BT2887" s="19"/>
      <c r="BU2887" s="19"/>
      <c r="BV2887" s="19"/>
      <c r="BW2887" s="19"/>
      <c r="BX2887" s="19"/>
      <c r="BY2887" s="19"/>
      <c r="BZ2887" s="19"/>
      <c r="CA2887" s="19"/>
      <c r="CB2887" s="19"/>
      <c r="CC2887" s="19"/>
      <c r="CD2887" s="139"/>
      <c r="CE2887" s="138"/>
      <c r="CF2887" s="139"/>
      <c r="CG2887" s="138"/>
      <c r="CH2887" s="139"/>
      <c r="CI2887" s="138"/>
      <c r="CJ2887" s="72"/>
      <c r="CK2887" s="139"/>
      <c r="CL2887" s="71"/>
      <c r="CM2887" s="139"/>
      <c r="CN2887" s="138"/>
      <c r="CO2887" s="138"/>
      <c r="CP2887" s="138"/>
      <c r="CQ2887" s="139"/>
      <c r="CR2887" s="138"/>
      <c r="CS2887" s="45"/>
      <c r="CT2887" s="138"/>
      <c r="CU2887" s="45"/>
      <c r="CV2887" s="99">
        <f t="shared" si="285"/>
        <v>0</v>
      </c>
      <c r="CW2887" s="139">
        <v>2000</v>
      </c>
      <c r="CX2887" s="138">
        <f>2000*950.04</f>
        <v>1900080</v>
      </c>
      <c r="CY2887" s="138"/>
      <c r="CZ2887" s="138"/>
      <c r="DA2887" s="139"/>
      <c r="DB2887" s="138"/>
      <c r="DC2887" s="45"/>
      <c r="DD2887" s="138"/>
      <c r="DE2887" s="45"/>
      <c r="DF2887" s="46"/>
    </row>
    <row r="2888" spans="1:110" s="42" customFormat="1" ht="48" x14ac:dyDescent="0.2">
      <c r="A2888" s="89">
        <v>40878</v>
      </c>
      <c r="B2888" s="151" t="s">
        <v>4308</v>
      </c>
      <c r="C2888" s="90" t="s">
        <v>745</v>
      </c>
      <c r="D2888" s="90" t="s">
        <v>4264</v>
      </c>
      <c r="E2888" s="90" t="str">
        <f>VLOOKUP(B2888&amp;C2888,Divipola!$C$2:$F$1138,4,FALSE)</f>
        <v>47161</v>
      </c>
      <c r="F2888" s="4"/>
      <c r="G2888" s="101"/>
      <c r="H2888" s="101"/>
      <c r="I2888" s="101"/>
      <c r="J2888" s="101">
        <v>50</v>
      </c>
      <c r="K2888" s="101">
        <v>10</v>
      </c>
      <c r="L2888" s="101"/>
      <c r="M2888" s="101">
        <v>10</v>
      </c>
      <c r="N2888" s="101">
        <v>3</v>
      </c>
      <c r="O2888" s="101"/>
      <c r="P2888" s="101"/>
      <c r="Q2888" s="101"/>
      <c r="R2888" s="101"/>
      <c r="S2888" s="101"/>
      <c r="T2888" s="101"/>
      <c r="U2888" s="101"/>
      <c r="V2888" s="101"/>
      <c r="W2888" s="19"/>
      <c r="X2888" s="17"/>
      <c r="Y2888" s="5">
        <f t="shared" si="280"/>
        <v>0</v>
      </c>
      <c r="Z2888" s="5">
        <f t="shared" si="281"/>
        <v>0</v>
      </c>
      <c r="AA2888" s="5">
        <f t="shared" si="282"/>
        <v>0</v>
      </c>
      <c r="AB2888" s="5">
        <f t="shared" si="283"/>
        <v>0</v>
      </c>
      <c r="AC2888" s="5"/>
      <c r="AD2888" s="5">
        <v>0</v>
      </c>
      <c r="AE2888" s="5">
        <f t="shared" si="284"/>
        <v>0</v>
      </c>
      <c r="AF2888" s="70">
        <v>0</v>
      </c>
      <c r="AG2888" s="17"/>
      <c r="AH2888" s="18"/>
      <c r="AI2888" s="47" t="s">
        <v>4346</v>
      </c>
      <c r="AJ2888" s="73" t="s">
        <v>4347</v>
      </c>
      <c r="AK2888" s="45"/>
      <c r="AL2888" s="89" t="s">
        <v>2798</v>
      </c>
      <c r="AM2888" s="121" t="s">
        <v>5347</v>
      </c>
      <c r="AN2888" s="19"/>
      <c r="AO2888" s="19"/>
      <c r="AP2888" s="19"/>
      <c r="AQ2888" s="19"/>
      <c r="AR2888" s="19"/>
      <c r="AS2888" s="19"/>
      <c r="AT2888" s="19"/>
      <c r="AU2888" s="19"/>
      <c r="AV2888" s="19"/>
      <c r="AW2888" s="19"/>
      <c r="AX2888" s="19"/>
      <c r="AY2888" s="19"/>
      <c r="AZ2888" s="19"/>
      <c r="BA2888" s="19"/>
      <c r="BB2888" s="19"/>
      <c r="BC2888" s="19"/>
      <c r="BD2888" s="19"/>
      <c r="BE2888" s="19"/>
      <c r="BF2888" s="19"/>
      <c r="BG2888" s="19"/>
      <c r="BH2888" s="19"/>
      <c r="BI2888" s="19"/>
      <c r="BJ2888" s="19"/>
      <c r="BK2888" s="19"/>
      <c r="BL2888" s="19"/>
      <c r="BM2888" s="19"/>
      <c r="BN2888" s="19"/>
      <c r="BO2888" s="19"/>
      <c r="BP2888" s="19"/>
      <c r="BQ2888" s="19"/>
      <c r="BR2888" s="19"/>
      <c r="BS2888" s="19"/>
      <c r="BT2888" s="19"/>
      <c r="BU2888" s="19"/>
      <c r="BV2888" s="19"/>
      <c r="BW2888" s="19"/>
      <c r="BX2888" s="19"/>
      <c r="BY2888" s="19"/>
      <c r="BZ2888" s="19"/>
      <c r="CA2888" s="19"/>
      <c r="CB2888" s="19"/>
      <c r="CC2888" s="19"/>
      <c r="CD2888" s="139"/>
      <c r="CE2888" s="138"/>
      <c r="CF2888" s="139"/>
      <c r="CG2888" s="138"/>
      <c r="CH2888" s="139"/>
      <c r="CI2888" s="138"/>
      <c r="CJ2888" s="72"/>
      <c r="CK2888" s="139"/>
      <c r="CL2888" s="71"/>
      <c r="CM2888" s="139"/>
      <c r="CN2888" s="138"/>
      <c r="CO2888" s="138"/>
      <c r="CP2888" s="138"/>
      <c r="CQ2888" s="139"/>
      <c r="CR2888" s="138"/>
      <c r="CS2888" s="45"/>
      <c r="CT2888" s="138"/>
      <c r="CU2888" s="45"/>
      <c r="CV2888" s="99">
        <f t="shared" si="285"/>
        <v>0</v>
      </c>
      <c r="CW2888" s="139"/>
      <c r="CX2888" s="138"/>
      <c r="CY2888" s="138"/>
      <c r="CZ2888" s="138"/>
      <c r="DA2888" s="139"/>
      <c r="DB2888" s="138"/>
      <c r="DC2888" s="45"/>
      <c r="DD2888" s="138"/>
      <c r="DE2888" s="45"/>
      <c r="DF2888" s="46"/>
    </row>
    <row r="2889" spans="1:110" s="42" customFormat="1" ht="22.5" x14ac:dyDescent="0.2">
      <c r="A2889" s="17">
        <v>40878</v>
      </c>
      <c r="B2889" s="16" t="s">
        <v>4352</v>
      </c>
      <c r="C2889" s="16" t="s">
        <v>3317</v>
      </c>
      <c r="D2889" s="16" t="s">
        <v>4264</v>
      </c>
      <c r="E2889" s="90" t="str">
        <f>VLOOKUP(B2889&amp;C2889,Divipola!$C$2:$F$1138,4,FALSE)</f>
        <v>13030</v>
      </c>
      <c r="F2889" s="4"/>
      <c r="G2889" s="208"/>
      <c r="H2889" s="208"/>
      <c r="I2889" s="208"/>
      <c r="J2889" s="208">
        <v>8920</v>
      </c>
      <c r="K2889" s="208">
        <v>1784</v>
      </c>
      <c r="L2889" s="208"/>
      <c r="M2889" s="208"/>
      <c r="N2889" s="208"/>
      <c r="O2889" s="208"/>
      <c r="P2889" s="208"/>
      <c r="Q2889" s="208"/>
      <c r="R2889" s="208"/>
      <c r="S2889" s="208"/>
      <c r="T2889" s="208"/>
      <c r="U2889" s="208"/>
      <c r="V2889" s="208"/>
      <c r="W2889" s="19"/>
      <c r="X2889" s="17"/>
      <c r="Y2889" s="5">
        <f t="shared" si="280"/>
        <v>94124140</v>
      </c>
      <c r="Z2889" s="5">
        <f t="shared" si="281"/>
        <v>127500000</v>
      </c>
      <c r="AA2889" s="5">
        <f t="shared" si="282"/>
        <v>0</v>
      </c>
      <c r="AB2889" s="5">
        <f t="shared" si="283"/>
        <v>0</v>
      </c>
      <c r="AC2889" s="5"/>
      <c r="AD2889" s="5">
        <v>0</v>
      </c>
      <c r="AE2889" s="5">
        <f t="shared" si="284"/>
        <v>221624140</v>
      </c>
      <c r="AF2889" s="70">
        <v>0</v>
      </c>
      <c r="AG2889" s="17"/>
      <c r="AH2889" s="18"/>
      <c r="AI2889" s="47" t="s">
        <v>4346</v>
      </c>
      <c r="AJ2889" s="73" t="s">
        <v>4347</v>
      </c>
      <c r="AK2889" s="45"/>
      <c r="AL2889" s="17"/>
      <c r="AM2889" s="20" t="s">
        <v>1115</v>
      </c>
      <c r="AN2889" s="19"/>
      <c r="AO2889" s="19"/>
      <c r="AP2889" s="19"/>
      <c r="AQ2889" s="19"/>
      <c r="AR2889" s="19"/>
      <c r="AS2889" s="19"/>
      <c r="AT2889" s="19"/>
      <c r="AU2889" s="19"/>
      <c r="AV2889" s="19"/>
      <c r="AW2889" s="19"/>
      <c r="AX2889" s="19"/>
      <c r="AY2889" s="19"/>
      <c r="AZ2889" s="19">
        <v>500</v>
      </c>
      <c r="BA2889" s="19">
        <f>250*55999+250*56000</f>
        <v>27999750</v>
      </c>
      <c r="BB2889" s="19"/>
      <c r="BC2889" s="19"/>
      <c r="BD2889" s="19"/>
      <c r="BE2889" s="19"/>
      <c r="BF2889" s="19"/>
      <c r="BG2889" s="19"/>
      <c r="BH2889" s="19"/>
      <c r="BI2889" s="19"/>
      <c r="BJ2889" s="19"/>
      <c r="BK2889" s="19"/>
      <c r="BL2889" s="19"/>
      <c r="BM2889" s="19"/>
      <c r="BN2889" s="19"/>
      <c r="BO2889" s="19"/>
      <c r="BP2889" s="19"/>
      <c r="BQ2889" s="19"/>
      <c r="BR2889" s="19"/>
      <c r="BS2889" s="19"/>
      <c r="BT2889" s="19"/>
      <c r="BU2889" s="19"/>
      <c r="BV2889" s="19"/>
      <c r="BW2889" s="19"/>
      <c r="BX2889" s="19"/>
      <c r="BY2889" s="19"/>
      <c r="BZ2889" s="19"/>
      <c r="CA2889" s="19"/>
      <c r="CB2889" s="19"/>
      <c r="CC2889" s="19"/>
      <c r="CD2889" s="139"/>
      <c r="CE2889" s="138"/>
      <c r="CF2889" s="139"/>
      <c r="CG2889" s="138"/>
      <c r="CH2889" s="139"/>
      <c r="CI2889" s="138"/>
      <c r="CJ2889" s="72">
        <v>500</v>
      </c>
      <c r="CK2889" s="139">
        <f>250*20999.48+250*21500</f>
        <v>10624870</v>
      </c>
      <c r="CL2889" s="71"/>
      <c r="CM2889" s="139"/>
      <c r="CN2889" s="138"/>
      <c r="CO2889" s="138"/>
      <c r="CP2889" s="138">
        <v>1500</v>
      </c>
      <c r="CQ2889" s="139">
        <f>750*36999.36+750*37000</f>
        <v>55499520</v>
      </c>
      <c r="CR2889" s="138"/>
      <c r="CS2889" s="45"/>
      <c r="CT2889" s="138"/>
      <c r="CU2889" s="45"/>
      <c r="CV2889" s="99">
        <f t="shared" si="285"/>
        <v>94124140</v>
      </c>
      <c r="CW2889" s="139"/>
      <c r="CX2889" s="138"/>
      <c r="CY2889" s="138">
        <v>1500</v>
      </c>
      <c r="CZ2889" s="138">
        <f>750*85000+750*85000</f>
        <v>127500000</v>
      </c>
      <c r="DA2889" s="139"/>
      <c r="DB2889" s="138"/>
      <c r="DC2889" s="45"/>
      <c r="DD2889" s="138"/>
      <c r="DE2889" s="45"/>
      <c r="DF2889" s="46"/>
    </row>
    <row r="2890" spans="1:110" s="42" customFormat="1" ht="36" x14ac:dyDescent="0.2">
      <c r="A2890" s="17">
        <v>40878</v>
      </c>
      <c r="B2890" s="16" t="s">
        <v>4261</v>
      </c>
      <c r="C2890" s="16" t="s">
        <v>2861</v>
      </c>
      <c r="D2890" s="16" t="s">
        <v>4264</v>
      </c>
      <c r="E2890" s="90" t="str">
        <f>VLOOKUP(B2890&amp;C2890,Divipola!$C$2:$F$1138,4,FALSE)</f>
        <v>15176</v>
      </c>
      <c r="F2890" s="4"/>
      <c r="G2890" s="208"/>
      <c r="H2890" s="208"/>
      <c r="I2890" s="208"/>
      <c r="J2890" s="208">
        <f>53*5</f>
        <v>265</v>
      </c>
      <c r="K2890" s="208">
        <v>53</v>
      </c>
      <c r="L2890" s="208"/>
      <c r="M2890" s="208"/>
      <c r="N2890" s="208"/>
      <c r="O2890" s="208"/>
      <c r="P2890" s="208"/>
      <c r="Q2890" s="208"/>
      <c r="R2890" s="208"/>
      <c r="S2890" s="208"/>
      <c r="T2890" s="208"/>
      <c r="U2890" s="208"/>
      <c r="V2890" s="208"/>
      <c r="W2890" s="19"/>
      <c r="X2890" s="17"/>
      <c r="Y2890" s="5">
        <f t="shared" si="280"/>
        <v>0</v>
      </c>
      <c r="Z2890" s="5">
        <f t="shared" si="281"/>
        <v>0</v>
      </c>
      <c r="AA2890" s="5">
        <f t="shared" si="282"/>
        <v>0</v>
      </c>
      <c r="AB2890" s="5">
        <f t="shared" si="283"/>
        <v>0</v>
      </c>
      <c r="AC2890" s="5"/>
      <c r="AD2890" s="5">
        <v>0</v>
      </c>
      <c r="AE2890" s="5">
        <f t="shared" si="284"/>
        <v>0</v>
      </c>
      <c r="AF2890" s="70">
        <v>0</v>
      </c>
      <c r="AG2890" s="17"/>
      <c r="AH2890" s="18"/>
      <c r="AI2890" s="47" t="s">
        <v>4336</v>
      </c>
      <c r="AJ2890" s="73" t="s">
        <v>4337</v>
      </c>
      <c r="AK2890" s="45"/>
      <c r="AL2890" s="17"/>
      <c r="AM2890" s="20" t="s">
        <v>5547</v>
      </c>
      <c r="AN2890" s="19"/>
      <c r="AO2890" s="19"/>
      <c r="AP2890" s="19"/>
      <c r="AQ2890" s="19"/>
      <c r="AR2890" s="19"/>
      <c r="AS2890" s="19"/>
      <c r="AT2890" s="19"/>
      <c r="AU2890" s="19"/>
      <c r="AV2890" s="19"/>
      <c r="AW2890" s="19"/>
      <c r="AX2890" s="19"/>
      <c r="AY2890" s="19"/>
      <c r="AZ2890" s="19"/>
      <c r="BA2890" s="19"/>
      <c r="BB2890" s="19"/>
      <c r="BC2890" s="19"/>
      <c r="BD2890" s="19"/>
      <c r="BE2890" s="19"/>
      <c r="BF2890" s="19"/>
      <c r="BG2890" s="19"/>
      <c r="BH2890" s="19"/>
      <c r="BI2890" s="19"/>
      <c r="BJ2890" s="19"/>
      <c r="BK2890" s="19"/>
      <c r="BL2890" s="19"/>
      <c r="BM2890" s="19"/>
      <c r="BN2890" s="19"/>
      <c r="BO2890" s="19"/>
      <c r="BP2890" s="19"/>
      <c r="BQ2890" s="19"/>
      <c r="BR2890" s="19"/>
      <c r="BS2890" s="19"/>
      <c r="BT2890" s="19"/>
      <c r="BU2890" s="19"/>
      <c r="BV2890" s="19"/>
      <c r="BW2890" s="19"/>
      <c r="BX2890" s="19"/>
      <c r="BY2890" s="19"/>
      <c r="BZ2890" s="19"/>
      <c r="CA2890" s="19"/>
      <c r="CB2890" s="19"/>
      <c r="CC2890" s="19"/>
      <c r="CD2890" s="139"/>
      <c r="CE2890" s="138"/>
      <c r="CF2890" s="139"/>
      <c r="CG2890" s="138"/>
      <c r="CH2890" s="139"/>
      <c r="CI2890" s="138"/>
      <c r="CJ2890" s="72"/>
      <c r="CK2890" s="139"/>
      <c r="CL2890" s="71"/>
      <c r="CM2890" s="139"/>
      <c r="CN2890" s="138"/>
      <c r="CO2890" s="138"/>
      <c r="CP2890" s="138"/>
      <c r="CQ2890" s="139"/>
      <c r="CR2890" s="138"/>
      <c r="CS2890" s="45"/>
      <c r="CT2890" s="138"/>
      <c r="CU2890" s="45"/>
      <c r="CV2890" s="99">
        <f t="shared" si="285"/>
        <v>0</v>
      </c>
      <c r="CW2890" s="139"/>
      <c r="CX2890" s="138"/>
      <c r="CY2890" s="138"/>
      <c r="CZ2890" s="138"/>
      <c r="DA2890" s="139"/>
      <c r="DB2890" s="138"/>
      <c r="DC2890" s="45"/>
      <c r="DD2890" s="138"/>
      <c r="DE2890" s="45"/>
      <c r="DF2890" s="46"/>
    </row>
    <row r="2891" spans="1:110" s="42" customFormat="1" ht="24" x14ac:dyDescent="0.2">
      <c r="A2891" s="254">
        <v>40878</v>
      </c>
      <c r="B2891" s="250" t="s">
        <v>4219</v>
      </c>
      <c r="C2891" s="251" t="s">
        <v>2246</v>
      </c>
      <c r="D2891" s="252" t="s">
        <v>4264</v>
      </c>
      <c r="E2891" s="90" t="str">
        <f>VLOOKUP(B2891&amp;C2891,Divipola!$C$2:$F$1138,4,FALSE)</f>
        <v>41378</v>
      </c>
      <c r="F2891" s="4"/>
      <c r="G2891" s="327"/>
      <c r="H2891" s="327"/>
      <c r="I2891" s="327"/>
      <c r="J2891" s="327"/>
      <c r="K2891" s="327"/>
      <c r="L2891" s="245"/>
      <c r="M2891" s="245"/>
      <c r="N2891" s="246">
        <v>11</v>
      </c>
      <c r="O2891" s="245"/>
      <c r="P2891" s="245"/>
      <c r="Q2891" s="245"/>
      <c r="R2891" s="245"/>
      <c r="S2891" s="245"/>
      <c r="T2891" s="245"/>
      <c r="U2891" s="245"/>
      <c r="V2891" s="245"/>
      <c r="W2891" s="19"/>
      <c r="X2891" s="17"/>
      <c r="Y2891" s="5">
        <f t="shared" si="280"/>
        <v>0</v>
      </c>
      <c r="Z2891" s="5">
        <f t="shared" si="281"/>
        <v>0</v>
      </c>
      <c r="AA2891" s="5">
        <f t="shared" si="282"/>
        <v>0</v>
      </c>
      <c r="AB2891" s="5">
        <f t="shared" si="283"/>
        <v>0</v>
      </c>
      <c r="AC2891" s="5"/>
      <c r="AD2891" s="5">
        <v>0</v>
      </c>
      <c r="AE2891" s="5">
        <f t="shared" si="284"/>
        <v>0</v>
      </c>
      <c r="AF2891" s="70">
        <v>0</v>
      </c>
      <c r="AG2891" s="17"/>
      <c r="AH2891" s="18"/>
      <c r="AI2891" s="47" t="s">
        <v>4346</v>
      </c>
      <c r="AJ2891" s="73" t="s">
        <v>4347</v>
      </c>
      <c r="AK2891" s="45"/>
      <c r="AL2891" s="89" t="s">
        <v>2798</v>
      </c>
      <c r="AM2891" s="121" t="s">
        <v>5556</v>
      </c>
      <c r="AN2891" s="19"/>
      <c r="AO2891" s="19"/>
      <c r="AP2891" s="19"/>
      <c r="AQ2891" s="19"/>
      <c r="AR2891" s="19"/>
      <c r="AS2891" s="19"/>
      <c r="AT2891" s="19"/>
      <c r="AU2891" s="19"/>
      <c r="AV2891" s="19"/>
      <c r="AW2891" s="19"/>
      <c r="AX2891" s="19"/>
      <c r="AY2891" s="19"/>
      <c r="AZ2891" s="19"/>
      <c r="BA2891" s="19"/>
      <c r="BB2891" s="19"/>
      <c r="BC2891" s="19"/>
      <c r="BD2891" s="19"/>
      <c r="BE2891" s="19"/>
      <c r="BF2891" s="19"/>
      <c r="BG2891" s="19"/>
      <c r="BH2891" s="19"/>
      <c r="BI2891" s="19"/>
      <c r="BJ2891" s="19"/>
      <c r="BK2891" s="19"/>
      <c r="BL2891" s="19"/>
      <c r="BM2891" s="19"/>
      <c r="BN2891" s="19"/>
      <c r="BO2891" s="19"/>
      <c r="BP2891" s="19"/>
      <c r="BQ2891" s="19"/>
      <c r="BR2891" s="19"/>
      <c r="BS2891" s="19"/>
      <c r="BT2891" s="19"/>
      <c r="BU2891" s="19"/>
      <c r="BV2891" s="19"/>
      <c r="BW2891" s="19"/>
      <c r="BX2891" s="19"/>
      <c r="BY2891" s="19"/>
      <c r="BZ2891" s="19"/>
      <c r="CA2891" s="19"/>
      <c r="CB2891" s="19"/>
      <c r="CC2891" s="19"/>
      <c r="CD2891" s="139"/>
      <c r="CE2891" s="138"/>
      <c r="CF2891" s="139"/>
      <c r="CG2891" s="138"/>
      <c r="CH2891" s="139"/>
      <c r="CI2891" s="138"/>
      <c r="CJ2891" s="72"/>
      <c r="CK2891" s="139"/>
      <c r="CL2891" s="71"/>
      <c r="CM2891" s="139"/>
      <c r="CN2891" s="138"/>
      <c r="CO2891" s="138"/>
      <c r="CP2891" s="138"/>
      <c r="CQ2891" s="139"/>
      <c r="CR2891" s="138"/>
      <c r="CS2891" s="45"/>
      <c r="CT2891" s="138"/>
      <c r="CU2891" s="45"/>
      <c r="CV2891" s="99">
        <f t="shared" si="285"/>
        <v>0</v>
      </c>
      <c r="CW2891" s="139"/>
      <c r="CX2891" s="138"/>
      <c r="CY2891" s="138"/>
      <c r="CZ2891" s="138"/>
      <c r="DA2891" s="139"/>
      <c r="DB2891" s="138"/>
      <c r="DC2891" s="45"/>
      <c r="DD2891" s="138"/>
      <c r="DE2891" s="45"/>
      <c r="DF2891" s="46"/>
    </row>
    <row r="2892" spans="1:110" s="42" customFormat="1" ht="36" x14ac:dyDescent="0.2">
      <c r="A2892" s="254">
        <v>40878</v>
      </c>
      <c r="B2892" s="250" t="s">
        <v>4219</v>
      </c>
      <c r="C2892" s="251" t="s">
        <v>3383</v>
      </c>
      <c r="D2892" s="252" t="s">
        <v>4264</v>
      </c>
      <c r="E2892" s="90" t="str">
        <f>VLOOKUP(B2892&amp;C2892,Divipola!$C$2:$F$1138,4,FALSE)</f>
        <v>41530</v>
      </c>
      <c r="F2892" s="4"/>
      <c r="G2892" s="327"/>
      <c r="H2892" s="327"/>
      <c r="I2892" s="327"/>
      <c r="J2892" s="333">
        <v>180</v>
      </c>
      <c r="K2892" s="333">
        <v>38</v>
      </c>
      <c r="L2892" s="101">
        <v>22</v>
      </c>
      <c r="M2892" s="101">
        <v>16</v>
      </c>
      <c r="N2892" s="101">
        <v>20</v>
      </c>
      <c r="O2892" s="246"/>
      <c r="P2892" s="246"/>
      <c r="Q2892" s="246">
        <v>2</v>
      </c>
      <c r="R2892" s="246"/>
      <c r="S2892" s="246">
        <v>1</v>
      </c>
      <c r="T2892" s="245"/>
      <c r="U2892" s="245"/>
      <c r="V2892" s="246">
        <v>68.75</v>
      </c>
      <c r="W2892" s="19"/>
      <c r="X2892" s="17"/>
      <c r="Y2892" s="5">
        <f t="shared" si="280"/>
        <v>0</v>
      </c>
      <c r="Z2892" s="5">
        <f t="shared" si="281"/>
        <v>0</v>
      </c>
      <c r="AA2892" s="5">
        <f t="shared" si="282"/>
        <v>0</v>
      </c>
      <c r="AB2892" s="5">
        <f t="shared" si="283"/>
        <v>0</v>
      </c>
      <c r="AC2892" s="5"/>
      <c r="AD2892" s="5">
        <v>0</v>
      </c>
      <c r="AE2892" s="5">
        <f t="shared" si="284"/>
        <v>0</v>
      </c>
      <c r="AF2892" s="70">
        <v>0</v>
      </c>
      <c r="AG2892" s="17"/>
      <c r="AH2892" s="18"/>
      <c r="AI2892" s="47" t="s">
        <v>4346</v>
      </c>
      <c r="AJ2892" s="73" t="s">
        <v>4347</v>
      </c>
      <c r="AK2892" s="45"/>
      <c r="AL2892" s="89" t="s">
        <v>2798</v>
      </c>
      <c r="AM2892" s="121" t="s">
        <v>5557</v>
      </c>
      <c r="AN2892" s="19"/>
      <c r="AO2892" s="19"/>
      <c r="AP2892" s="19"/>
      <c r="AQ2892" s="19"/>
      <c r="AR2892" s="19"/>
      <c r="AS2892" s="19"/>
      <c r="AT2892" s="19"/>
      <c r="AU2892" s="19"/>
      <c r="AV2892" s="19"/>
      <c r="AW2892" s="19"/>
      <c r="AX2892" s="19"/>
      <c r="AY2892" s="19"/>
      <c r="AZ2892" s="19"/>
      <c r="BA2892" s="19"/>
      <c r="BB2892" s="19"/>
      <c r="BC2892" s="19"/>
      <c r="BD2892" s="19"/>
      <c r="BE2892" s="19"/>
      <c r="BF2892" s="19"/>
      <c r="BG2892" s="19"/>
      <c r="BH2892" s="19"/>
      <c r="BI2892" s="19"/>
      <c r="BJ2892" s="19"/>
      <c r="BK2892" s="19"/>
      <c r="BL2892" s="19"/>
      <c r="BM2892" s="19"/>
      <c r="BN2892" s="19"/>
      <c r="BO2892" s="19"/>
      <c r="BP2892" s="19"/>
      <c r="BQ2892" s="19"/>
      <c r="BR2892" s="19"/>
      <c r="BS2892" s="19"/>
      <c r="BT2892" s="19"/>
      <c r="BU2892" s="19"/>
      <c r="BV2892" s="19"/>
      <c r="BW2892" s="19"/>
      <c r="BX2892" s="19"/>
      <c r="BY2892" s="19"/>
      <c r="BZ2892" s="19"/>
      <c r="CA2892" s="19"/>
      <c r="CB2892" s="19"/>
      <c r="CC2892" s="19"/>
      <c r="CD2892" s="139"/>
      <c r="CE2892" s="138"/>
      <c r="CF2892" s="139"/>
      <c r="CG2892" s="138"/>
      <c r="CH2892" s="139"/>
      <c r="CI2892" s="138"/>
      <c r="CJ2892" s="72"/>
      <c r="CK2892" s="139"/>
      <c r="CL2892" s="71"/>
      <c r="CM2892" s="139"/>
      <c r="CN2892" s="138"/>
      <c r="CO2892" s="138"/>
      <c r="CP2892" s="138"/>
      <c r="CQ2892" s="139"/>
      <c r="CR2892" s="138"/>
      <c r="CS2892" s="45"/>
      <c r="CT2892" s="138"/>
      <c r="CU2892" s="45"/>
      <c r="CV2892" s="99">
        <f t="shared" si="285"/>
        <v>0</v>
      </c>
      <c r="CW2892" s="139"/>
      <c r="CX2892" s="138"/>
      <c r="CY2892" s="138"/>
      <c r="CZ2892" s="138"/>
      <c r="DA2892" s="139"/>
      <c r="DB2892" s="138"/>
      <c r="DC2892" s="45"/>
      <c r="DD2892" s="138"/>
      <c r="DE2892" s="45"/>
      <c r="DF2892" s="46"/>
    </row>
    <row r="2893" spans="1:110" s="42" customFormat="1" ht="96" x14ac:dyDescent="0.2">
      <c r="A2893" s="17">
        <v>40878</v>
      </c>
      <c r="B2893" s="16" t="s">
        <v>4352</v>
      </c>
      <c r="C2893" s="16" t="s">
        <v>2560</v>
      </c>
      <c r="D2893" s="16" t="s">
        <v>4264</v>
      </c>
      <c r="E2893" s="90" t="str">
        <f>VLOOKUP(B2893&amp;C2893,Divipola!$C$2:$F$1138,4,FALSE)</f>
        <v>13780</v>
      </c>
      <c r="F2893" s="4"/>
      <c r="G2893" s="208"/>
      <c r="H2893" s="208"/>
      <c r="I2893" s="208"/>
      <c r="J2893" s="208">
        <v>7430</v>
      </c>
      <c r="K2893" s="208">
        <v>3330</v>
      </c>
      <c r="L2893" s="208"/>
      <c r="M2893" s="208"/>
      <c r="N2893" s="208"/>
      <c r="O2893" s="208"/>
      <c r="P2893" s="208"/>
      <c r="Q2893" s="208"/>
      <c r="R2893" s="208"/>
      <c r="S2893" s="208"/>
      <c r="T2893" s="208"/>
      <c r="U2893" s="208"/>
      <c r="V2893" s="208"/>
      <c r="W2893" s="19"/>
      <c r="X2893" s="17"/>
      <c r="Y2893" s="5">
        <f t="shared" si="280"/>
        <v>0</v>
      </c>
      <c r="Z2893" s="5">
        <f t="shared" si="281"/>
        <v>0</v>
      </c>
      <c r="AA2893" s="5">
        <f t="shared" si="282"/>
        <v>0</v>
      </c>
      <c r="AB2893" s="5">
        <f t="shared" si="283"/>
        <v>0</v>
      </c>
      <c r="AC2893" s="5"/>
      <c r="AD2893" s="5">
        <v>0</v>
      </c>
      <c r="AE2893" s="5">
        <f t="shared" si="284"/>
        <v>0</v>
      </c>
      <c r="AF2893" s="70">
        <v>0</v>
      </c>
      <c r="AG2893" s="17"/>
      <c r="AH2893" s="18"/>
      <c r="AI2893" s="47" t="s">
        <v>4346</v>
      </c>
      <c r="AJ2893" s="73" t="s">
        <v>4347</v>
      </c>
      <c r="AK2893" s="45"/>
      <c r="AL2893" s="89" t="s">
        <v>2798</v>
      </c>
      <c r="AM2893" s="20" t="s">
        <v>5564</v>
      </c>
      <c r="AN2893" s="19"/>
      <c r="AO2893" s="19"/>
      <c r="AP2893" s="19"/>
      <c r="AQ2893" s="19"/>
      <c r="AR2893" s="19"/>
      <c r="AS2893" s="19"/>
      <c r="AT2893" s="19"/>
      <c r="AU2893" s="19"/>
      <c r="AV2893" s="19"/>
      <c r="AW2893" s="19"/>
      <c r="AX2893" s="19"/>
      <c r="AY2893" s="19"/>
      <c r="AZ2893" s="19"/>
      <c r="BA2893" s="19"/>
      <c r="BB2893" s="19"/>
      <c r="BC2893" s="19"/>
      <c r="BD2893" s="19"/>
      <c r="BE2893" s="19"/>
      <c r="BF2893" s="19"/>
      <c r="BG2893" s="19"/>
      <c r="BH2893" s="19"/>
      <c r="BI2893" s="19"/>
      <c r="BJ2893" s="19"/>
      <c r="BK2893" s="19"/>
      <c r="BL2893" s="19"/>
      <c r="BM2893" s="19"/>
      <c r="BN2893" s="19"/>
      <c r="BO2893" s="19"/>
      <c r="BP2893" s="19"/>
      <c r="BQ2893" s="19"/>
      <c r="BR2893" s="19"/>
      <c r="BS2893" s="19"/>
      <c r="BT2893" s="19"/>
      <c r="BU2893" s="19"/>
      <c r="BV2893" s="19"/>
      <c r="BW2893" s="19"/>
      <c r="BX2893" s="19"/>
      <c r="BY2893" s="19"/>
      <c r="BZ2893" s="19"/>
      <c r="CA2893" s="19"/>
      <c r="CB2893" s="19"/>
      <c r="CC2893" s="19"/>
      <c r="CD2893" s="139"/>
      <c r="CE2893" s="138"/>
      <c r="CF2893" s="139"/>
      <c r="CG2893" s="138"/>
      <c r="CH2893" s="139"/>
      <c r="CI2893" s="138"/>
      <c r="CJ2893" s="72"/>
      <c r="CK2893" s="139"/>
      <c r="CL2893" s="71"/>
      <c r="CM2893" s="139"/>
      <c r="CN2893" s="138"/>
      <c r="CO2893" s="138"/>
      <c r="CP2893" s="138"/>
      <c r="CQ2893" s="139"/>
      <c r="CR2893" s="138"/>
      <c r="CS2893" s="45"/>
      <c r="CT2893" s="138"/>
      <c r="CU2893" s="45"/>
      <c r="CV2893" s="99">
        <f t="shared" si="285"/>
        <v>0</v>
      </c>
      <c r="CW2893" s="139"/>
      <c r="CX2893" s="138"/>
      <c r="CY2893" s="138"/>
      <c r="CZ2893" s="138"/>
      <c r="DA2893" s="139"/>
      <c r="DB2893" s="138"/>
      <c r="DC2893" s="45"/>
      <c r="DD2893" s="138"/>
      <c r="DE2893" s="45"/>
      <c r="DF2893" s="46"/>
    </row>
    <row r="2894" spans="1:110" s="42" customFormat="1" ht="36" x14ac:dyDescent="0.2">
      <c r="A2894" s="17">
        <v>40878</v>
      </c>
      <c r="B2894" s="16" t="s">
        <v>4308</v>
      </c>
      <c r="C2894" s="16" t="s">
        <v>767</v>
      </c>
      <c r="D2894" s="16" t="s">
        <v>4264</v>
      </c>
      <c r="E2894" s="90" t="str">
        <f>VLOOKUP(B2894&amp;C2894,Divipola!$C$2:$F$1138,4,FALSE)</f>
        <v>47545</v>
      </c>
      <c r="F2894" s="4"/>
      <c r="G2894" s="208"/>
      <c r="H2894" s="208"/>
      <c r="I2894" s="208"/>
      <c r="J2894" s="208">
        <f>998*4</f>
        <v>3992</v>
      </c>
      <c r="K2894" s="208">
        <v>998</v>
      </c>
      <c r="L2894" s="208"/>
      <c r="M2894" s="208"/>
      <c r="N2894" s="208"/>
      <c r="O2894" s="208"/>
      <c r="P2894" s="208"/>
      <c r="Q2894" s="208"/>
      <c r="R2894" s="208"/>
      <c r="S2894" s="208"/>
      <c r="T2894" s="208"/>
      <c r="U2894" s="208"/>
      <c r="V2894" s="208"/>
      <c r="W2894" s="19"/>
      <c r="X2894" s="17"/>
      <c r="Y2894" s="5">
        <f t="shared" si="280"/>
        <v>0</v>
      </c>
      <c r="Z2894" s="5">
        <f t="shared" si="281"/>
        <v>0</v>
      </c>
      <c r="AA2894" s="5">
        <f t="shared" si="282"/>
        <v>0</v>
      </c>
      <c r="AB2894" s="5">
        <f t="shared" si="283"/>
        <v>0</v>
      </c>
      <c r="AC2894" s="5"/>
      <c r="AD2894" s="5">
        <v>0</v>
      </c>
      <c r="AE2894" s="5">
        <f t="shared" si="284"/>
        <v>0</v>
      </c>
      <c r="AF2894" s="70">
        <v>0</v>
      </c>
      <c r="AG2894" s="17"/>
      <c r="AH2894" s="18"/>
      <c r="AI2894" s="47" t="s">
        <v>4346</v>
      </c>
      <c r="AJ2894" s="73" t="s">
        <v>4347</v>
      </c>
      <c r="AK2894" s="45"/>
      <c r="AL2894" s="89" t="s">
        <v>2798</v>
      </c>
      <c r="AM2894" s="20" t="s">
        <v>5567</v>
      </c>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39"/>
      <c r="CE2894" s="138"/>
      <c r="CF2894" s="139"/>
      <c r="CG2894" s="138"/>
      <c r="CH2894" s="139"/>
      <c r="CI2894" s="138"/>
      <c r="CJ2894" s="72"/>
      <c r="CK2894" s="139"/>
      <c r="CL2894" s="71"/>
      <c r="CM2894" s="139"/>
      <c r="CN2894" s="138"/>
      <c r="CO2894" s="138"/>
      <c r="CP2894" s="138"/>
      <c r="CQ2894" s="139"/>
      <c r="CR2894" s="138"/>
      <c r="CS2894" s="45"/>
      <c r="CT2894" s="138"/>
      <c r="CU2894" s="45"/>
      <c r="CV2894" s="99">
        <f t="shared" si="285"/>
        <v>0</v>
      </c>
      <c r="CW2894" s="139"/>
      <c r="CX2894" s="138"/>
      <c r="CY2894" s="138"/>
      <c r="CZ2894" s="138"/>
      <c r="DA2894" s="139"/>
      <c r="DB2894" s="138"/>
      <c r="DC2894" s="45"/>
      <c r="DD2894" s="138"/>
      <c r="DE2894" s="45"/>
      <c r="DF2894" s="46"/>
    </row>
    <row r="2895" spans="1:110" s="42" customFormat="1" ht="36" x14ac:dyDescent="0.2">
      <c r="A2895" s="17">
        <v>40878</v>
      </c>
      <c r="B2895" s="16" t="s">
        <v>4308</v>
      </c>
      <c r="C2895" s="16" t="s">
        <v>791</v>
      </c>
      <c r="D2895" s="16" t="s">
        <v>4264</v>
      </c>
      <c r="E2895" s="90" t="str">
        <f>VLOOKUP(B2895&amp;C2895,Divipola!$C$2:$F$1138,4,FALSE)</f>
        <v>47745</v>
      </c>
      <c r="F2895" s="4"/>
      <c r="G2895" s="208"/>
      <c r="H2895" s="208"/>
      <c r="I2895" s="208"/>
      <c r="J2895" s="208">
        <f>6260*4</f>
        <v>25040</v>
      </c>
      <c r="K2895" s="208">
        <v>6260</v>
      </c>
      <c r="L2895" s="208"/>
      <c r="M2895" s="208"/>
      <c r="N2895" s="208"/>
      <c r="O2895" s="208"/>
      <c r="P2895" s="208"/>
      <c r="Q2895" s="208"/>
      <c r="R2895" s="208"/>
      <c r="S2895" s="208"/>
      <c r="T2895" s="208"/>
      <c r="U2895" s="208"/>
      <c r="V2895" s="208"/>
      <c r="W2895" s="19"/>
      <c r="X2895" s="17"/>
      <c r="Y2895" s="5">
        <f t="shared" si="280"/>
        <v>0</v>
      </c>
      <c r="Z2895" s="5">
        <f t="shared" si="281"/>
        <v>0</v>
      </c>
      <c r="AA2895" s="5">
        <f t="shared" si="282"/>
        <v>0</v>
      </c>
      <c r="AB2895" s="5">
        <f t="shared" si="283"/>
        <v>0</v>
      </c>
      <c r="AC2895" s="5"/>
      <c r="AD2895" s="5">
        <v>0</v>
      </c>
      <c r="AE2895" s="5">
        <f t="shared" si="284"/>
        <v>0</v>
      </c>
      <c r="AF2895" s="70">
        <v>0</v>
      </c>
      <c r="AG2895" s="17"/>
      <c r="AH2895" s="18"/>
      <c r="AI2895" s="47" t="s">
        <v>4346</v>
      </c>
      <c r="AJ2895" s="73" t="s">
        <v>4347</v>
      </c>
      <c r="AK2895" s="45"/>
      <c r="AL2895" s="89" t="s">
        <v>2798</v>
      </c>
      <c r="AM2895" s="20" t="s">
        <v>5567</v>
      </c>
      <c r="AN2895" s="19"/>
      <c r="AO2895" s="19"/>
      <c r="AP2895" s="19"/>
      <c r="AQ2895" s="19"/>
      <c r="AR2895" s="19"/>
      <c r="AS2895" s="19"/>
      <c r="AT2895" s="19"/>
      <c r="AU2895" s="19"/>
      <c r="AV2895" s="19"/>
      <c r="AW2895" s="19"/>
      <c r="AX2895" s="19"/>
      <c r="AY2895" s="19"/>
      <c r="AZ2895" s="19"/>
      <c r="BA2895" s="19"/>
      <c r="BB2895" s="19"/>
      <c r="BC2895" s="19"/>
      <c r="BD2895" s="19"/>
      <c r="BE2895" s="19"/>
      <c r="BF2895" s="19"/>
      <c r="BG2895" s="19"/>
      <c r="BH2895" s="19"/>
      <c r="BI2895" s="19"/>
      <c r="BJ2895" s="19"/>
      <c r="BK2895" s="19"/>
      <c r="BL2895" s="19"/>
      <c r="BM2895" s="19"/>
      <c r="BN2895" s="19"/>
      <c r="BO2895" s="19"/>
      <c r="BP2895" s="19"/>
      <c r="BQ2895" s="19"/>
      <c r="BR2895" s="19"/>
      <c r="BS2895" s="19"/>
      <c r="BT2895" s="19"/>
      <c r="BU2895" s="19"/>
      <c r="BV2895" s="19"/>
      <c r="BW2895" s="19"/>
      <c r="BX2895" s="19"/>
      <c r="BY2895" s="19"/>
      <c r="BZ2895" s="19"/>
      <c r="CA2895" s="19"/>
      <c r="CB2895" s="19"/>
      <c r="CC2895" s="19"/>
      <c r="CD2895" s="139"/>
      <c r="CE2895" s="138"/>
      <c r="CF2895" s="139"/>
      <c r="CG2895" s="138"/>
      <c r="CH2895" s="139"/>
      <c r="CI2895" s="138"/>
      <c r="CJ2895" s="72"/>
      <c r="CK2895" s="139"/>
      <c r="CL2895" s="71"/>
      <c r="CM2895" s="139"/>
      <c r="CN2895" s="138"/>
      <c r="CO2895" s="138"/>
      <c r="CP2895" s="138"/>
      <c r="CQ2895" s="139"/>
      <c r="CR2895" s="138"/>
      <c r="CS2895" s="45"/>
      <c r="CT2895" s="138"/>
      <c r="CU2895" s="45"/>
      <c r="CV2895" s="99">
        <f t="shared" si="285"/>
        <v>0</v>
      </c>
      <c r="CW2895" s="139"/>
      <c r="CX2895" s="138"/>
      <c r="CY2895" s="138"/>
      <c r="CZ2895" s="138"/>
      <c r="DA2895" s="139"/>
      <c r="DB2895" s="138"/>
      <c r="DC2895" s="45"/>
      <c r="DD2895" s="138"/>
      <c r="DE2895" s="45"/>
      <c r="DF2895" s="46"/>
    </row>
    <row r="2896" spans="1:110" s="42" customFormat="1" ht="72" x14ac:dyDescent="0.2">
      <c r="A2896" s="17">
        <v>40878</v>
      </c>
      <c r="B2896" s="16" t="s">
        <v>2226</v>
      </c>
      <c r="C2896" s="16" t="s">
        <v>3000</v>
      </c>
      <c r="D2896" s="16" t="s">
        <v>2362</v>
      </c>
      <c r="E2896" s="90" t="str">
        <f>VLOOKUP(B2896&amp;C2896,Divipola!$C$2:$F$1138,4,FALSE)</f>
        <v>68755</v>
      </c>
      <c r="F2896" s="4"/>
      <c r="G2896" s="208"/>
      <c r="H2896" s="208"/>
      <c r="I2896" s="208"/>
      <c r="J2896" s="208"/>
      <c r="K2896" s="208"/>
      <c r="L2896" s="208"/>
      <c r="M2896" s="208"/>
      <c r="N2896" s="208"/>
      <c r="O2896" s="208"/>
      <c r="P2896" s="208"/>
      <c r="Q2896" s="208"/>
      <c r="R2896" s="208"/>
      <c r="S2896" s="208"/>
      <c r="T2896" s="208"/>
      <c r="U2896" s="208">
        <v>1</v>
      </c>
      <c r="V2896" s="208"/>
      <c r="W2896" s="19"/>
      <c r="X2896" s="17"/>
      <c r="Y2896" s="5">
        <f t="shared" si="280"/>
        <v>0</v>
      </c>
      <c r="Z2896" s="5">
        <f t="shared" si="281"/>
        <v>0</v>
      </c>
      <c r="AA2896" s="5">
        <f t="shared" si="282"/>
        <v>0</v>
      </c>
      <c r="AB2896" s="5">
        <f t="shared" si="283"/>
        <v>0</v>
      </c>
      <c r="AC2896" s="5"/>
      <c r="AD2896" s="5">
        <v>0</v>
      </c>
      <c r="AE2896" s="5">
        <f t="shared" si="284"/>
        <v>0</v>
      </c>
      <c r="AF2896" s="70">
        <v>0</v>
      </c>
      <c r="AG2896" s="17"/>
      <c r="AH2896" s="18"/>
      <c r="AI2896" s="47" t="s">
        <v>4336</v>
      </c>
      <c r="AJ2896" s="73" t="s">
        <v>4337</v>
      </c>
      <c r="AK2896" s="45"/>
      <c r="AL2896" s="17"/>
      <c r="AM2896" s="20" t="s">
        <v>5577</v>
      </c>
      <c r="AN2896" s="19"/>
      <c r="AO2896" s="19"/>
      <c r="AP2896" s="19"/>
      <c r="AQ2896" s="19"/>
      <c r="AR2896" s="19"/>
      <c r="AS2896" s="19"/>
      <c r="AT2896" s="19"/>
      <c r="AU2896" s="19"/>
      <c r="AV2896" s="19"/>
      <c r="AW2896" s="19"/>
      <c r="AX2896" s="19"/>
      <c r="AY2896" s="19"/>
      <c r="AZ2896" s="19"/>
      <c r="BA2896" s="19"/>
      <c r="BB2896" s="19"/>
      <c r="BC2896" s="19"/>
      <c r="BD2896" s="19"/>
      <c r="BE2896" s="19"/>
      <c r="BF2896" s="19"/>
      <c r="BG2896" s="19"/>
      <c r="BH2896" s="19"/>
      <c r="BI2896" s="19"/>
      <c r="BJ2896" s="19"/>
      <c r="BK2896" s="19"/>
      <c r="BL2896" s="19"/>
      <c r="BM2896" s="19"/>
      <c r="BN2896" s="19"/>
      <c r="BO2896" s="19"/>
      <c r="BP2896" s="19"/>
      <c r="BQ2896" s="19"/>
      <c r="BR2896" s="19"/>
      <c r="BS2896" s="19"/>
      <c r="BT2896" s="19"/>
      <c r="BU2896" s="19"/>
      <c r="BV2896" s="19"/>
      <c r="BW2896" s="19"/>
      <c r="BX2896" s="19"/>
      <c r="BY2896" s="19"/>
      <c r="BZ2896" s="19"/>
      <c r="CA2896" s="19"/>
      <c r="CB2896" s="19"/>
      <c r="CC2896" s="19"/>
      <c r="CD2896" s="139"/>
      <c r="CE2896" s="138"/>
      <c r="CF2896" s="139"/>
      <c r="CG2896" s="138"/>
      <c r="CH2896" s="139"/>
      <c r="CI2896" s="138"/>
      <c r="CJ2896" s="72"/>
      <c r="CK2896" s="139"/>
      <c r="CL2896" s="71"/>
      <c r="CM2896" s="139"/>
      <c r="CN2896" s="138"/>
      <c r="CO2896" s="138"/>
      <c r="CP2896" s="138"/>
      <c r="CQ2896" s="139"/>
      <c r="CR2896" s="138"/>
      <c r="CS2896" s="45"/>
      <c r="CT2896" s="138"/>
      <c r="CU2896" s="45"/>
      <c r="CV2896" s="99">
        <f t="shared" si="285"/>
        <v>0</v>
      </c>
      <c r="CW2896" s="139"/>
      <c r="CX2896" s="138"/>
      <c r="CY2896" s="138"/>
      <c r="CZ2896" s="138"/>
      <c r="DA2896" s="139"/>
      <c r="DB2896" s="138"/>
      <c r="DC2896" s="45"/>
      <c r="DD2896" s="138"/>
      <c r="DE2896" s="45"/>
      <c r="DF2896" s="46"/>
    </row>
    <row r="2897" spans="1:110" s="42" customFormat="1" x14ac:dyDescent="0.2">
      <c r="A2897" s="17">
        <v>40878</v>
      </c>
      <c r="B2897" s="16" t="s">
        <v>4352</v>
      </c>
      <c r="C2897" s="16" t="s">
        <v>3504</v>
      </c>
      <c r="D2897" s="16" t="s">
        <v>4264</v>
      </c>
      <c r="E2897" s="90" t="str">
        <f>VLOOKUP(B2897&amp;C2897,Divipola!$C$2:$F$1138,4,FALSE)</f>
        <v>13052</v>
      </c>
      <c r="F2897" s="4"/>
      <c r="G2897" s="208"/>
      <c r="H2897" s="208"/>
      <c r="I2897" s="208"/>
      <c r="J2897" s="208">
        <v>1110</v>
      </c>
      <c r="K2897" s="208">
        <v>222</v>
      </c>
      <c r="L2897" s="208"/>
      <c r="M2897" s="208"/>
      <c r="N2897" s="208"/>
      <c r="O2897" s="208"/>
      <c r="P2897" s="208"/>
      <c r="Q2897" s="208"/>
      <c r="R2897" s="208"/>
      <c r="S2897" s="208"/>
      <c r="T2897" s="208"/>
      <c r="U2897" s="208"/>
      <c r="V2897" s="208"/>
      <c r="W2897" s="19"/>
      <c r="X2897" s="17"/>
      <c r="Y2897" s="5">
        <f t="shared" si="280"/>
        <v>0</v>
      </c>
      <c r="Z2897" s="5">
        <f t="shared" si="281"/>
        <v>0</v>
      </c>
      <c r="AA2897" s="5">
        <f t="shared" si="282"/>
        <v>0</v>
      </c>
      <c r="AB2897" s="5">
        <f t="shared" si="283"/>
        <v>0</v>
      </c>
      <c r="AC2897" s="5"/>
      <c r="AD2897" s="5">
        <v>0</v>
      </c>
      <c r="AE2897" s="5">
        <f t="shared" si="284"/>
        <v>0</v>
      </c>
      <c r="AF2897" s="70">
        <v>0</v>
      </c>
      <c r="AG2897" s="17"/>
      <c r="AH2897" s="18"/>
      <c r="AI2897" s="47" t="s">
        <v>4346</v>
      </c>
      <c r="AJ2897" s="73" t="s">
        <v>4347</v>
      </c>
      <c r="AK2897" s="45"/>
      <c r="AL2897" s="89" t="s">
        <v>2798</v>
      </c>
      <c r="AM2897" s="20" t="s">
        <v>3238</v>
      </c>
      <c r="AN2897" s="19"/>
      <c r="AO2897" s="19"/>
      <c r="AP2897" s="19"/>
      <c r="AQ2897" s="19"/>
      <c r="AR2897" s="19"/>
      <c r="AS2897" s="19"/>
      <c r="AT2897" s="19"/>
      <c r="AU2897" s="19"/>
      <c r="AV2897" s="19"/>
      <c r="AW2897" s="19"/>
      <c r="AX2897" s="19"/>
      <c r="AY2897" s="19"/>
      <c r="AZ2897" s="19"/>
      <c r="BA2897" s="19"/>
      <c r="BB2897" s="19"/>
      <c r="BC2897" s="19"/>
      <c r="BD2897" s="19"/>
      <c r="BE2897" s="19"/>
      <c r="BF2897" s="19"/>
      <c r="BG2897" s="19"/>
      <c r="BH2897" s="19"/>
      <c r="BI2897" s="19"/>
      <c r="BJ2897" s="19"/>
      <c r="BK2897" s="19"/>
      <c r="BL2897" s="19"/>
      <c r="BM2897" s="19"/>
      <c r="BN2897" s="19"/>
      <c r="BO2897" s="19"/>
      <c r="BP2897" s="19"/>
      <c r="BQ2897" s="19"/>
      <c r="BR2897" s="19"/>
      <c r="BS2897" s="19"/>
      <c r="BT2897" s="19"/>
      <c r="BU2897" s="19"/>
      <c r="BV2897" s="19"/>
      <c r="BW2897" s="19"/>
      <c r="BX2897" s="19"/>
      <c r="BY2897" s="19"/>
      <c r="BZ2897" s="19"/>
      <c r="CA2897" s="19"/>
      <c r="CB2897" s="19"/>
      <c r="CC2897" s="19"/>
      <c r="CD2897" s="139"/>
      <c r="CE2897" s="138"/>
      <c r="CF2897" s="139"/>
      <c r="CG2897" s="138"/>
      <c r="CH2897" s="139"/>
      <c r="CI2897" s="138"/>
      <c r="CJ2897" s="72"/>
      <c r="CK2897" s="139"/>
      <c r="CL2897" s="71"/>
      <c r="CM2897" s="139"/>
      <c r="CN2897" s="138"/>
      <c r="CO2897" s="138"/>
      <c r="CP2897" s="138"/>
      <c r="CQ2897" s="139"/>
      <c r="CR2897" s="138"/>
      <c r="CS2897" s="45"/>
      <c r="CT2897" s="138"/>
      <c r="CU2897" s="45"/>
      <c r="CV2897" s="99">
        <f t="shared" si="285"/>
        <v>0</v>
      </c>
      <c r="CW2897" s="139"/>
      <c r="CX2897" s="138"/>
      <c r="CY2897" s="138"/>
      <c r="CZ2897" s="138"/>
      <c r="DA2897" s="139"/>
      <c r="DB2897" s="138"/>
      <c r="DC2897" s="45"/>
      <c r="DD2897" s="138"/>
      <c r="DE2897" s="45"/>
      <c r="DF2897" s="46"/>
    </row>
    <row r="2898" spans="1:110" s="42" customFormat="1" x14ac:dyDescent="0.2">
      <c r="A2898" s="17">
        <v>40878</v>
      </c>
      <c r="B2898" s="16" t="s">
        <v>4352</v>
      </c>
      <c r="C2898" s="16" t="s">
        <v>2498</v>
      </c>
      <c r="D2898" s="16" t="s">
        <v>4264</v>
      </c>
      <c r="E2898" s="90" t="str">
        <f>VLOOKUP(B2898&amp;C2898,Divipola!$C$2:$F$1138,4,FALSE)</f>
        <v>13222</v>
      </c>
      <c r="F2898" s="4"/>
      <c r="G2898" s="208"/>
      <c r="H2898" s="208"/>
      <c r="I2898" s="208"/>
      <c r="J2898" s="208">
        <v>530</v>
      </c>
      <c r="K2898" s="208">
        <v>106</v>
      </c>
      <c r="L2898" s="208"/>
      <c r="M2898" s="208">
        <v>106</v>
      </c>
      <c r="N2898" s="208"/>
      <c r="O2898" s="208"/>
      <c r="P2898" s="208"/>
      <c r="Q2898" s="208"/>
      <c r="R2898" s="208"/>
      <c r="S2898" s="208"/>
      <c r="T2898" s="208"/>
      <c r="U2898" s="208"/>
      <c r="V2898" s="208"/>
      <c r="W2898" s="19"/>
      <c r="X2898" s="17"/>
      <c r="Y2898" s="5">
        <f t="shared" si="280"/>
        <v>0</v>
      </c>
      <c r="Z2898" s="5">
        <f t="shared" si="281"/>
        <v>0</v>
      </c>
      <c r="AA2898" s="5">
        <f t="shared" si="282"/>
        <v>0</v>
      </c>
      <c r="AB2898" s="5">
        <f t="shared" si="283"/>
        <v>0</v>
      </c>
      <c r="AC2898" s="5"/>
      <c r="AD2898" s="5">
        <v>0</v>
      </c>
      <c r="AE2898" s="5">
        <f t="shared" si="284"/>
        <v>0</v>
      </c>
      <c r="AF2898" s="70">
        <v>0</v>
      </c>
      <c r="AG2898" s="17"/>
      <c r="AH2898" s="18"/>
      <c r="AI2898" s="47" t="s">
        <v>4346</v>
      </c>
      <c r="AJ2898" s="73" t="s">
        <v>4347</v>
      </c>
      <c r="AK2898" s="45"/>
      <c r="AL2898" s="89" t="s">
        <v>2798</v>
      </c>
      <c r="AM2898" s="20" t="s">
        <v>3238</v>
      </c>
      <c r="AN2898" s="19"/>
      <c r="AO2898" s="19"/>
      <c r="AP2898" s="19"/>
      <c r="AQ2898" s="19"/>
      <c r="AR2898" s="19"/>
      <c r="AS2898" s="19"/>
      <c r="AT2898" s="19"/>
      <c r="AU2898" s="19"/>
      <c r="AV2898" s="19"/>
      <c r="AW2898" s="19"/>
      <c r="AX2898" s="19"/>
      <c r="AY2898" s="19"/>
      <c r="AZ2898" s="19"/>
      <c r="BA2898" s="19"/>
      <c r="BB2898" s="19"/>
      <c r="BC2898" s="19"/>
      <c r="BD2898" s="19"/>
      <c r="BE2898" s="19"/>
      <c r="BF2898" s="19"/>
      <c r="BG2898" s="19"/>
      <c r="BH2898" s="19"/>
      <c r="BI2898" s="19"/>
      <c r="BJ2898" s="19"/>
      <c r="BK2898" s="19"/>
      <c r="BL2898" s="19"/>
      <c r="BM2898" s="19"/>
      <c r="BN2898" s="19"/>
      <c r="BO2898" s="19"/>
      <c r="BP2898" s="19"/>
      <c r="BQ2898" s="19"/>
      <c r="BR2898" s="19"/>
      <c r="BS2898" s="19"/>
      <c r="BT2898" s="19"/>
      <c r="BU2898" s="19"/>
      <c r="BV2898" s="19"/>
      <c r="BW2898" s="19"/>
      <c r="BX2898" s="19"/>
      <c r="BY2898" s="19"/>
      <c r="BZ2898" s="19"/>
      <c r="CA2898" s="19"/>
      <c r="CB2898" s="19"/>
      <c r="CC2898" s="19"/>
      <c r="CD2898" s="139"/>
      <c r="CE2898" s="138"/>
      <c r="CF2898" s="139"/>
      <c r="CG2898" s="138"/>
      <c r="CH2898" s="139"/>
      <c r="CI2898" s="138"/>
      <c r="CJ2898" s="72"/>
      <c r="CK2898" s="139"/>
      <c r="CL2898" s="71"/>
      <c r="CM2898" s="139"/>
      <c r="CN2898" s="138"/>
      <c r="CO2898" s="138"/>
      <c r="CP2898" s="138"/>
      <c r="CQ2898" s="139"/>
      <c r="CR2898" s="138"/>
      <c r="CS2898" s="45"/>
      <c r="CT2898" s="138"/>
      <c r="CU2898" s="45"/>
      <c r="CV2898" s="99">
        <f t="shared" si="285"/>
        <v>0</v>
      </c>
      <c r="CW2898" s="139"/>
      <c r="CX2898" s="138"/>
      <c r="CY2898" s="138"/>
      <c r="CZ2898" s="138"/>
      <c r="DA2898" s="139"/>
      <c r="DB2898" s="138"/>
      <c r="DC2898" s="45"/>
      <c r="DD2898" s="138"/>
      <c r="DE2898" s="45"/>
      <c r="DF2898" s="46"/>
    </row>
    <row r="2899" spans="1:110" s="42" customFormat="1" x14ac:dyDescent="0.2">
      <c r="A2899" s="17">
        <v>40878</v>
      </c>
      <c r="B2899" s="16" t="s">
        <v>4352</v>
      </c>
      <c r="C2899" s="16" t="s">
        <v>4247</v>
      </c>
      <c r="D2899" s="16" t="s">
        <v>4264</v>
      </c>
      <c r="E2899" s="90" t="str">
        <f>VLOOKUP(B2899&amp;C2899,Divipola!$C$2:$F$1138,4,FALSE)</f>
        <v>13300</v>
      </c>
      <c r="F2899" s="4"/>
      <c r="G2899" s="208"/>
      <c r="H2899" s="208"/>
      <c r="I2899" s="208"/>
      <c r="J2899" s="208">
        <v>15400</v>
      </c>
      <c r="K2899" s="208">
        <v>2016</v>
      </c>
      <c r="L2899" s="208"/>
      <c r="M2899" s="208"/>
      <c r="N2899" s="208"/>
      <c r="O2899" s="208"/>
      <c r="P2899" s="208"/>
      <c r="Q2899" s="208"/>
      <c r="R2899" s="208"/>
      <c r="S2899" s="208"/>
      <c r="T2899" s="208"/>
      <c r="U2899" s="208"/>
      <c r="V2899" s="208"/>
      <c r="W2899" s="19"/>
      <c r="X2899" s="17"/>
      <c r="Y2899" s="5">
        <f t="shared" si="280"/>
        <v>0</v>
      </c>
      <c r="Z2899" s="5">
        <f t="shared" si="281"/>
        <v>0</v>
      </c>
      <c r="AA2899" s="5">
        <f t="shared" si="282"/>
        <v>0</v>
      </c>
      <c r="AB2899" s="5">
        <f t="shared" si="283"/>
        <v>0</v>
      </c>
      <c r="AC2899" s="5"/>
      <c r="AD2899" s="5">
        <v>0</v>
      </c>
      <c r="AE2899" s="5">
        <f t="shared" si="284"/>
        <v>0</v>
      </c>
      <c r="AF2899" s="70">
        <v>0</v>
      </c>
      <c r="AG2899" s="17"/>
      <c r="AH2899" s="18"/>
      <c r="AI2899" s="47" t="s">
        <v>4346</v>
      </c>
      <c r="AJ2899" s="73" t="s">
        <v>4347</v>
      </c>
      <c r="AK2899" s="45"/>
      <c r="AL2899" s="89" t="s">
        <v>2798</v>
      </c>
      <c r="AM2899" s="20" t="s">
        <v>3238</v>
      </c>
      <c r="AN2899" s="19"/>
      <c r="AO2899" s="19"/>
      <c r="AP2899" s="19"/>
      <c r="AQ2899" s="19"/>
      <c r="AR2899" s="19"/>
      <c r="AS2899" s="19"/>
      <c r="AT2899" s="19"/>
      <c r="AU2899" s="19"/>
      <c r="AV2899" s="19"/>
      <c r="AW2899" s="19"/>
      <c r="AX2899" s="19"/>
      <c r="AY2899" s="19"/>
      <c r="AZ2899" s="19"/>
      <c r="BA2899" s="19"/>
      <c r="BB2899" s="19"/>
      <c r="BC2899" s="19"/>
      <c r="BD2899" s="19"/>
      <c r="BE2899" s="19"/>
      <c r="BF2899" s="19"/>
      <c r="BG2899" s="19"/>
      <c r="BH2899" s="19"/>
      <c r="BI2899" s="19"/>
      <c r="BJ2899" s="19"/>
      <c r="BK2899" s="19"/>
      <c r="BL2899" s="19"/>
      <c r="BM2899" s="19"/>
      <c r="BN2899" s="19"/>
      <c r="BO2899" s="19"/>
      <c r="BP2899" s="19"/>
      <c r="BQ2899" s="19"/>
      <c r="BR2899" s="19"/>
      <c r="BS2899" s="19"/>
      <c r="BT2899" s="19"/>
      <c r="BU2899" s="19"/>
      <c r="BV2899" s="19"/>
      <c r="BW2899" s="19"/>
      <c r="BX2899" s="19"/>
      <c r="BY2899" s="19"/>
      <c r="BZ2899" s="19"/>
      <c r="CA2899" s="19"/>
      <c r="CB2899" s="19"/>
      <c r="CC2899" s="19"/>
      <c r="CD2899" s="139"/>
      <c r="CE2899" s="138"/>
      <c r="CF2899" s="139"/>
      <c r="CG2899" s="138"/>
      <c r="CH2899" s="139"/>
      <c r="CI2899" s="138"/>
      <c r="CJ2899" s="72"/>
      <c r="CK2899" s="139"/>
      <c r="CL2899" s="71"/>
      <c r="CM2899" s="139"/>
      <c r="CN2899" s="138"/>
      <c r="CO2899" s="138"/>
      <c r="CP2899" s="138"/>
      <c r="CQ2899" s="139"/>
      <c r="CR2899" s="138"/>
      <c r="CS2899" s="45"/>
      <c r="CT2899" s="138"/>
      <c r="CU2899" s="45"/>
      <c r="CV2899" s="99">
        <f t="shared" si="285"/>
        <v>0</v>
      </c>
      <c r="CW2899" s="139"/>
      <c r="CX2899" s="138"/>
      <c r="CY2899" s="138"/>
      <c r="CZ2899" s="138"/>
      <c r="DA2899" s="139"/>
      <c r="DB2899" s="138"/>
      <c r="DC2899" s="45"/>
      <c r="DD2899" s="138"/>
      <c r="DE2899" s="45"/>
      <c r="DF2899" s="46"/>
    </row>
    <row r="2900" spans="1:110" s="42" customFormat="1" x14ac:dyDescent="0.2">
      <c r="A2900" s="17">
        <v>40878</v>
      </c>
      <c r="B2900" s="16" t="s">
        <v>4352</v>
      </c>
      <c r="C2900" s="16" t="s">
        <v>4316</v>
      </c>
      <c r="D2900" s="16" t="s">
        <v>4264</v>
      </c>
      <c r="E2900" s="90" t="str">
        <f>VLOOKUP(B2900&amp;C2900,Divipola!$C$2:$F$1138,4,FALSE)</f>
        <v>13440</v>
      </c>
      <c r="F2900" s="4"/>
      <c r="G2900" s="208"/>
      <c r="H2900" s="208"/>
      <c r="I2900" s="208"/>
      <c r="J2900" s="208">
        <v>12170</v>
      </c>
      <c r="K2900" s="208">
        <v>2434</v>
      </c>
      <c r="L2900" s="208"/>
      <c r="M2900" s="208">
        <v>1625</v>
      </c>
      <c r="N2900" s="208"/>
      <c r="O2900" s="208"/>
      <c r="P2900" s="208"/>
      <c r="Q2900" s="208"/>
      <c r="R2900" s="208"/>
      <c r="S2900" s="208"/>
      <c r="T2900" s="208"/>
      <c r="U2900" s="208"/>
      <c r="V2900" s="208"/>
      <c r="W2900" s="19"/>
      <c r="X2900" s="17"/>
      <c r="Y2900" s="5">
        <f t="shared" si="280"/>
        <v>0</v>
      </c>
      <c r="Z2900" s="5">
        <f t="shared" si="281"/>
        <v>0</v>
      </c>
      <c r="AA2900" s="5">
        <f t="shared" si="282"/>
        <v>0</v>
      </c>
      <c r="AB2900" s="5">
        <f t="shared" si="283"/>
        <v>0</v>
      </c>
      <c r="AC2900" s="5"/>
      <c r="AD2900" s="5">
        <v>0</v>
      </c>
      <c r="AE2900" s="5">
        <f t="shared" si="284"/>
        <v>0</v>
      </c>
      <c r="AF2900" s="70">
        <v>0</v>
      </c>
      <c r="AG2900" s="17"/>
      <c r="AH2900" s="18"/>
      <c r="AI2900" s="47" t="s">
        <v>4346</v>
      </c>
      <c r="AJ2900" s="73" t="s">
        <v>4347</v>
      </c>
      <c r="AK2900" s="45"/>
      <c r="AL2900" s="89" t="s">
        <v>2798</v>
      </c>
      <c r="AM2900" s="20" t="s">
        <v>3238</v>
      </c>
      <c r="AN2900" s="19"/>
      <c r="AO2900" s="19"/>
      <c r="AP2900" s="19"/>
      <c r="AQ2900" s="19"/>
      <c r="AR2900" s="19"/>
      <c r="AS2900" s="19"/>
      <c r="AT2900" s="19"/>
      <c r="AU2900" s="19"/>
      <c r="AV2900" s="19"/>
      <c r="AW2900" s="19"/>
      <c r="AX2900" s="19"/>
      <c r="AY2900" s="19"/>
      <c r="AZ2900" s="19"/>
      <c r="BA2900" s="19"/>
      <c r="BB2900" s="19"/>
      <c r="BC2900" s="19"/>
      <c r="BD2900" s="19"/>
      <c r="BE2900" s="19"/>
      <c r="BF2900" s="19"/>
      <c r="BG2900" s="19"/>
      <c r="BH2900" s="19"/>
      <c r="BI2900" s="19"/>
      <c r="BJ2900" s="19"/>
      <c r="BK2900" s="19"/>
      <c r="BL2900" s="19"/>
      <c r="BM2900" s="19"/>
      <c r="BN2900" s="19"/>
      <c r="BO2900" s="19"/>
      <c r="BP2900" s="19"/>
      <c r="BQ2900" s="19"/>
      <c r="BR2900" s="19"/>
      <c r="BS2900" s="19"/>
      <c r="BT2900" s="19"/>
      <c r="BU2900" s="19"/>
      <c r="BV2900" s="19"/>
      <c r="BW2900" s="19"/>
      <c r="BX2900" s="19"/>
      <c r="BY2900" s="19"/>
      <c r="BZ2900" s="19"/>
      <c r="CA2900" s="19"/>
      <c r="CB2900" s="19"/>
      <c r="CC2900" s="19"/>
      <c r="CD2900" s="139"/>
      <c r="CE2900" s="138"/>
      <c r="CF2900" s="139"/>
      <c r="CG2900" s="138"/>
      <c r="CH2900" s="139"/>
      <c r="CI2900" s="138"/>
      <c r="CJ2900" s="72"/>
      <c r="CK2900" s="139"/>
      <c r="CL2900" s="71"/>
      <c r="CM2900" s="139"/>
      <c r="CN2900" s="138"/>
      <c r="CO2900" s="138"/>
      <c r="CP2900" s="138"/>
      <c r="CQ2900" s="139"/>
      <c r="CR2900" s="138"/>
      <c r="CS2900" s="45"/>
      <c r="CT2900" s="138"/>
      <c r="CU2900" s="45"/>
      <c r="CV2900" s="99">
        <f t="shared" si="285"/>
        <v>0</v>
      </c>
      <c r="CW2900" s="139"/>
      <c r="CX2900" s="138"/>
      <c r="CY2900" s="138"/>
      <c r="CZ2900" s="138"/>
      <c r="DA2900" s="139"/>
      <c r="DB2900" s="138"/>
      <c r="DC2900" s="45"/>
      <c r="DD2900" s="138"/>
      <c r="DE2900" s="45"/>
      <c r="DF2900" s="46"/>
    </row>
    <row r="2901" spans="1:110" s="42" customFormat="1" x14ac:dyDescent="0.2">
      <c r="A2901" s="17">
        <v>40878</v>
      </c>
      <c r="B2901" s="16" t="s">
        <v>4352</v>
      </c>
      <c r="C2901" s="16" t="s">
        <v>3246</v>
      </c>
      <c r="D2901" s="16" t="s">
        <v>4264</v>
      </c>
      <c r="E2901" s="90" t="str">
        <f>VLOOKUP(B2901&amp;C2901,Divipola!$C$2:$F$1138,4,FALSE)</f>
        <v>13468</v>
      </c>
      <c r="F2901" s="4"/>
      <c r="G2901" s="208"/>
      <c r="H2901" s="208"/>
      <c r="I2901" s="208"/>
      <c r="J2901" s="208">
        <v>37140</v>
      </c>
      <c r="K2901" s="208">
        <v>7428</v>
      </c>
      <c r="L2901" s="208"/>
      <c r="M2901" s="208"/>
      <c r="N2901" s="208"/>
      <c r="O2901" s="208"/>
      <c r="P2901" s="208"/>
      <c r="Q2901" s="208"/>
      <c r="R2901" s="208"/>
      <c r="S2901" s="208"/>
      <c r="T2901" s="208"/>
      <c r="U2901" s="208"/>
      <c r="V2901" s="208"/>
      <c r="W2901" s="19"/>
      <c r="X2901" s="17"/>
      <c r="Y2901" s="5">
        <f t="shared" si="280"/>
        <v>0</v>
      </c>
      <c r="Z2901" s="5">
        <f t="shared" si="281"/>
        <v>0</v>
      </c>
      <c r="AA2901" s="5">
        <f t="shared" si="282"/>
        <v>0</v>
      </c>
      <c r="AB2901" s="5">
        <f t="shared" si="283"/>
        <v>0</v>
      </c>
      <c r="AC2901" s="5"/>
      <c r="AD2901" s="5">
        <v>0</v>
      </c>
      <c r="AE2901" s="5">
        <f t="shared" si="284"/>
        <v>0</v>
      </c>
      <c r="AF2901" s="70">
        <v>0</v>
      </c>
      <c r="AG2901" s="17"/>
      <c r="AH2901" s="18"/>
      <c r="AI2901" s="47" t="s">
        <v>4346</v>
      </c>
      <c r="AJ2901" s="73" t="s">
        <v>4347</v>
      </c>
      <c r="AK2901" s="45"/>
      <c r="AL2901" s="89" t="s">
        <v>2798</v>
      </c>
      <c r="AM2901" s="20" t="s">
        <v>3238</v>
      </c>
      <c r="AN2901" s="19"/>
      <c r="AO2901" s="19"/>
      <c r="AP2901" s="19"/>
      <c r="AQ2901" s="19"/>
      <c r="AR2901" s="19"/>
      <c r="AS2901" s="19"/>
      <c r="AT2901" s="19"/>
      <c r="AU2901" s="19"/>
      <c r="AV2901" s="19"/>
      <c r="AW2901" s="19"/>
      <c r="AX2901" s="19"/>
      <c r="AY2901" s="19"/>
      <c r="AZ2901" s="19"/>
      <c r="BA2901" s="19"/>
      <c r="BB2901" s="19"/>
      <c r="BC2901" s="19"/>
      <c r="BD2901" s="19"/>
      <c r="BE2901" s="19"/>
      <c r="BF2901" s="19"/>
      <c r="BG2901" s="19"/>
      <c r="BH2901" s="19"/>
      <c r="BI2901" s="19"/>
      <c r="BJ2901" s="19"/>
      <c r="BK2901" s="19"/>
      <c r="BL2901" s="19"/>
      <c r="BM2901" s="19"/>
      <c r="BN2901" s="19"/>
      <c r="BO2901" s="19"/>
      <c r="BP2901" s="19"/>
      <c r="BQ2901" s="19"/>
      <c r="BR2901" s="19"/>
      <c r="BS2901" s="19"/>
      <c r="BT2901" s="19"/>
      <c r="BU2901" s="19"/>
      <c r="BV2901" s="19"/>
      <c r="BW2901" s="19"/>
      <c r="BX2901" s="19"/>
      <c r="BY2901" s="19"/>
      <c r="BZ2901" s="19"/>
      <c r="CA2901" s="19"/>
      <c r="CB2901" s="19"/>
      <c r="CC2901" s="19"/>
      <c r="CD2901" s="139"/>
      <c r="CE2901" s="138"/>
      <c r="CF2901" s="139"/>
      <c r="CG2901" s="138"/>
      <c r="CH2901" s="139"/>
      <c r="CI2901" s="138"/>
      <c r="CJ2901" s="72"/>
      <c r="CK2901" s="139"/>
      <c r="CL2901" s="71"/>
      <c r="CM2901" s="139"/>
      <c r="CN2901" s="138"/>
      <c r="CO2901" s="138"/>
      <c r="CP2901" s="138"/>
      <c r="CQ2901" s="139"/>
      <c r="CR2901" s="138"/>
      <c r="CS2901" s="45"/>
      <c r="CT2901" s="138"/>
      <c r="CU2901" s="45"/>
      <c r="CV2901" s="99">
        <f t="shared" si="285"/>
        <v>0</v>
      </c>
      <c r="CW2901" s="139"/>
      <c r="CX2901" s="138"/>
      <c r="CY2901" s="138"/>
      <c r="CZ2901" s="138"/>
      <c r="DA2901" s="139"/>
      <c r="DB2901" s="138"/>
      <c r="DC2901" s="45"/>
      <c r="DD2901" s="138"/>
      <c r="DE2901" s="45"/>
      <c r="DF2901" s="46"/>
    </row>
    <row r="2902" spans="1:110" s="42" customFormat="1" ht="36" x14ac:dyDescent="0.2">
      <c r="A2902" s="17">
        <v>40878</v>
      </c>
      <c r="B2902" s="16" t="s">
        <v>4352</v>
      </c>
      <c r="C2902" s="16" t="s">
        <v>4305</v>
      </c>
      <c r="D2902" s="16" t="s">
        <v>4264</v>
      </c>
      <c r="E2902" s="90" t="str">
        <f>VLOOKUP(B2902&amp;C2902,Divipola!$C$2:$F$1138,4,FALSE)</f>
        <v>13473</v>
      </c>
      <c r="F2902" s="4"/>
      <c r="G2902" s="208"/>
      <c r="H2902" s="208"/>
      <c r="I2902" s="208"/>
      <c r="J2902" s="208">
        <f>516*5</f>
        <v>2580</v>
      </c>
      <c r="K2902" s="208">
        <v>516</v>
      </c>
      <c r="L2902" s="208"/>
      <c r="M2902" s="208"/>
      <c r="N2902" s="208"/>
      <c r="O2902" s="208"/>
      <c r="P2902" s="208"/>
      <c r="Q2902" s="208"/>
      <c r="R2902" s="208"/>
      <c r="S2902" s="208"/>
      <c r="T2902" s="208"/>
      <c r="U2902" s="208"/>
      <c r="V2902" s="208"/>
      <c r="W2902" s="19"/>
      <c r="X2902" s="17"/>
      <c r="Y2902" s="5">
        <f t="shared" si="280"/>
        <v>0</v>
      </c>
      <c r="Z2902" s="5">
        <f t="shared" si="281"/>
        <v>0</v>
      </c>
      <c r="AA2902" s="5">
        <f t="shared" si="282"/>
        <v>0</v>
      </c>
      <c r="AB2902" s="5">
        <f t="shared" si="283"/>
        <v>0</v>
      </c>
      <c r="AC2902" s="5"/>
      <c r="AD2902" s="5">
        <v>0</v>
      </c>
      <c r="AE2902" s="5">
        <f t="shared" si="284"/>
        <v>0</v>
      </c>
      <c r="AF2902" s="70">
        <v>0</v>
      </c>
      <c r="AG2902" s="17"/>
      <c r="AH2902" s="18"/>
      <c r="AI2902" s="47" t="s">
        <v>4346</v>
      </c>
      <c r="AJ2902" s="73" t="s">
        <v>4347</v>
      </c>
      <c r="AK2902" s="45"/>
      <c r="AL2902" s="89" t="s">
        <v>2798</v>
      </c>
      <c r="AM2902" s="20" t="s">
        <v>5598</v>
      </c>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39"/>
      <c r="CE2902" s="138"/>
      <c r="CF2902" s="139"/>
      <c r="CG2902" s="138"/>
      <c r="CH2902" s="139"/>
      <c r="CI2902" s="138"/>
      <c r="CJ2902" s="72"/>
      <c r="CK2902" s="139"/>
      <c r="CL2902" s="71"/>
      <c r="CM2902" s="139"/>
      <c r="CN2902" s="138"/>
      <c r="CO2902" s="138"/>
      <c r="CP2902" s="138"/>
      <c r="CQ2902" s="139"/>
      <c r="CR2902" s="138"/>
      <c r="CS2902" s="45"/>
      <c r="CT2902" s="138"/>
      <c r="CU2902" s="45"/>
      <c r="CV2902" s="99">
        <f t="shared" si="285"/>
        <v>0</v>
      </c>
      <c r="CW2902" s="139"/>
      <c r="CX2902" s="138"/>
      <c r="CY2902" s="138"/>
      <c r="CZ2902" s="138"/>
      <c r="DA2902" s="139"/>
      <c r="DB2902" s="138"/>
      <c r="DC2902" s="45"/>
      <c r="DD2902" s="138"/>
      <c r="DE2902" s="45"/>
      <c r="DF2902" s="46"/>
    </row>
    <row r="2903" spans="1:110" s="42" customFormat="1" x14ac:dyDescent="0.2">
      <c r="A2903" s="17">
        <v>40878</v>
      </c>
      <c r="B2903" s="16" t="s">
        <v>4352</v>
      </c>
      <c r="C2903" s="16" t="s">
        <v>4310</v>
      </c>
      <c r="D2903" s="16" t="s">
        <v>4264</v>
      </c>
      <c r="E2903" s="90" t="str">
        <f>VLOOKUP(B2903&amp;C2903,Divipola!$C$2:$F$1138,4,FALSE)</f>
        <v>13268</v>
      </c>
      <c r="F2903" s="4"/>
      <c r="G2903" s="208"/>
      <c r="H2903" s="208"/>
      <c r="I2903" s="208"/>
      <c r="J2903" s="208">
        <v>2188</v>
      </c>
      <c r="K2903" s="208">
        <v>547</v>
      </c>
      <c r="L2903" s="208"/>
      <c r="M2903" s="208"/>
      <c r="N2903" s="208"/>
      <c r="O2903" s="208"/>
      <c r="P2903" s="208"/>
      <c r="Q2903" s="208"/>
      <c r="R2903" s="208"/>
      <c r="S2903" s="208"/>
      <c r="T2903" s="208"/>
      <c r="U2903" s="208"/>
      <c r="V2903" s="208"/>
      <c r="W2903" s="19"/>
      <c r="X2903" s="17"/>
      <c r="Y2903" s="5">
        <f t="shared" si="280"/>
        <v>0</v>
      </c>
      <c r="Z2903" s="5">
        <f t="shared" si="281"/>
        <v>0</v>
      </c>
      <c r="AA2903" s="5">
        <f t="shared" si="282"/>
        <v>0</v>
      </c>
      <c r="AB2903" s="5">
        <f t="shared" si="283"/>
        <v>0</v>
      </c>
      <c r="AC2903" s="5"/>
      <c r="AD2903" s="5">
        <v>0</v>
      </c>
      <c r="AE2903" s="5">
        <f t="shared" si="284"/>
        <v>0</v>
      </c>
      <c r="AF2903" s="70">
        <v>0</v>
      </c>
      <c r="AG2903" s="17"/>
      <c r="AH2903" s="18"/>
      <c r="AI2903" s="47" t="s">
        <v>4346</v>
      </c>
      <c r="AJ2903" s="73" t="s">
        <v>4347</v>
      </c>
      <c r="AK2903" s="45"/>
      <c r="AL2903" s="89" t="s">
        <v>2798</v>
      </c>
      <c r="AM2903" s="20" t="s">
        <v>3238</v>
      </c>
      <c r="AN2903" s="19"/>
      <c r="AO2903" s="19"/>
      <c r="AP2903" s="19"/>
      <c r="AQ2903" s="19"/>
      <c r="AR2903" s="19"/>
      <c r="AS2903" s="19"/>
      <c r="AT2903" s="19"/>
      <c r="AU2903" s="19"/>
      <c r="AV2903" s="19"/>
      <c r="AW2903" s="19"/>
      <c r="AX2903" s="19"/>
      <c r="AY2903" s="19"/>
      <c r="AZ2903" s="19"/>
      <c r="BA2903" s="19"/>
      <c r="BB2903" s="19"/>
      <c r="BC2903" s="19"/>
      <c r="BD2903" s="19"/>
      <c r="BE2903" s="19"/>
      <c r="BF2903" s="19"/>
      <c r="BG2903" s="19"/>
      <c r="BH2903" s="19"/>
      <c r="BI2903" s="19"/>
      <c r="BJ2903" s="19"/>
      <c r="BK2903" s="19"/>
      <c r="BL2903" s="19"/>
      <c r="BM2903" s="19"/>
      <c r="BN2903" s="19"/>
      <c r="BO2903" s="19"/>
      <c r="BP2903" s="19"/>
      <c r="BQ2903" s="19"/>
      <c r="BR2903" s="19"/>
      <c r="BS2903" s="19"/>
      <c r="BT2903" s="19"/>
      <c r="BU2903" s="19"/>
      <c r="BV2903" s="19"/>
      <c r="BW2903" s="19"/>
      <c r="BX2903" s="19"/>
      <c r="BY2903" s="19"/>
      <c r="BZ2903" s="19"/>
      <c r="CA2903" s="19"/>
      <c r="CB2903" s="19"/>
      <c r="CC2903" s="19"/>
      <c r="CD2903" s="139"/>
      <c r="CE2903" s="138"/>
      <c r="CF2903" s="139"/>
      <c r="CG2903" s="138"/>
      <c r="CH2903" s="139"/>
      <c r="CI2903" s="138"/>
      <c r="CJ2903" s="72"/>
      <c r="CK2903" s="139"/>
      <c r="CL2903" s="71"/>
      <c r="CM2903" s="139"/>
      <c r="CN2903" s="138"/>
      <c r="CO2903" s="138"/>
      <c r="CP2903" s="138"/>
      <c r="CQ2903" s="139"/>
      <c r="CR2903" s="138"/>
      <c r="CS2903" s="45"/>
      <c r="CT2903" s="138"/>
      <c r="CU2903" s="45"/>
      <c r="CV2903" s="99">
        <f t="shared" si="285"/>
        <v>0</v>
      </c>
      <c r="CW2903" s="139"/>
      <c r="CX2903" s="138"/>
      <c r="CY2903" s="138"/>
      <c r="CZ2903" s="138"/>
      <c r="DA2903" s="139"/>
      <c r="DB2903" s="138"/>
      <c r="DC2903" s="45"/>
      <c r="DD2903" s="138"/>
      <c r="DE2903" s="45"/>
      <c r="DF2903" s="46"/>
    </row>
    <row r="2904" spans="1:110" s="42" customFormat="1" ht="24" x14ac:dyDescent="0.2">
      <c r="A2904" s="17">
        <v>40878</v>
      </c>
      <c r="B2904" s="16" t="s">
        <v>4352</v>
      </c>
      <c r="C2904" s="16" t="s">
        <v>3542</v>
      </c>
      <c r="D2904" s="16" t="s">
        <v>4264</v>
      </c>
      <c r="E2904" s="90" t="str">
        <f>VLOOKUP(B2904&amp;C2904,Divipola!$C$2:$F$1138,4,FALSE)</f>
        <v>13580</v>
      </c>
      <c r="F2904" s="4"/>
      <c r="G2904" s="208"/>
      <c r="H2904" s="208"/>
      <c r="I2904" s="208"/>
      <c r="J2904" s="208">
        <f>860*5</f>
        <v>4300</v>
      </c>
      <c r="K2904" s="208">
        <v>860</v>
      </c>
      <c r="L2904" s="208">
        <v>280</v>
      </c>
      <c r="M2904" s="208">
        <v>430</v>
      </c>
      <c r="N2904" s="208"/>
      <c r="O2904" s="208"/>
      <c r="P2904" s="208"/>
      <c r="Q2904" s="208"/>
      <c r="R2904" s="208"/>
      <c r="S2904" s="208"/>
      <c r="T2904" s="208"/>
      <c r="U2904" s="208"/>
      <c r="V2904" s="208"/>
      <c r="W2904" s="19"/>
      <c r="X2904" s="17"/>
      <c r="Y2904" s="5">
        <f t="shared" si="280"/>
        <v>0</v>
      </c>
      <c r="Z2904" s="5">
        <f t="shared" si="281"/>
        <v>0</v>
      </c>
      <c r="AA2904" s="5">
        <f t="shared" si="282"/>
        <v>0</v>
      </c>
      <c r="AB2904" s="5">
        <f t="shared" si="283"/>
        <v>0</v>
      </c>
      <c r="AC2904" s="5"/>
      <c r="AD2904" s="5">
        <v>0</v>
      </c>
      <c r="AE2904" s="5">
        <f t="shared" si="284"/>
        <v>0</v>
      </c>
      <c r="AF2904" s="70">
        <v>0</v>
      </c>
      <c r="AG2904" s="17"/>
      <c r="AH2904" s="18"/>
      <c r="AI2904" s="47" t="s">
        <v>4346</v>
      </c>
      <c r="AJ2904" s="73" t="s">
        <v>4347</v>
      </c>
      <c r="AK2904" s="45"/>
      <c r="AL2904" s="89" t="s">
        <v>2798</v>
      </c>
      <c r="AM2904" s="20" t="s">
        <v>5599</v>
      </c>
      <c r="AN2904" s="19"/>
      <c r="AO2904" s="19"/>
      <c r="AP2904" s="19"/>
      <c r="AQ2904" s="19"/>
      <c r="AR2904" s="19"/>
      <c r="AS2904" s="19"/>
      <c r="AT2904" s="19"/>
      <c r="AU2904" s="19"/>
      <c r="AV2904" s="19"/>
      <c r="AW2904" s="19"/>
      <c r="AX2904" s="19"/>
      <c r="AY2904" s="19"/>
      <c r="AZ2904" s="19"/>
      <c r="BA2904" s="19"/>
      <c r="BB2904" s="19"/>
      <c r="BC2904" s="19"/>
      <c r="BD2904" s="19"/>
      <c r="BE2904" s="19"/>
      <c r="BF2904" s="19"/>
      <c r="BG2904" s="19"/>
      <c r="BH2904" s="19"/>
      <c r="BI2904" s="19"/>
      <c r="BJ2904" s="19"/>
      <c r="BK2904" s="19"/>
      <c r="BL2904" s="19"/>
      <c r="BM2904" s="19"/>
      <c r="BN2904" s="19"/>
      <c r="BO2904" s="19"/>
      <c r="BP2904" s="19"/>
      <c r="BQ2904" s="19"/>
      <c r="BR2904" s="19"/>
      <c r="BS2904" s="19"/>
      <c r="BT2904" s="19"/>
      <c r="BU2904" s="19"/>
      <c r="BV2904" s="19"/>
      <c r="BW2904" s="19"/>
      <c r="BX2904" s="19"/>
      <c r="BY2904" s="19"/>
      <c r="BZ2904" s="19"/>
      <c r="CA2904" s="19"/>
      <c r="CB2904" s="19"/>
      <c r="CC2904" s="19"/>
      <c r="CD2904" s="139"/>
      <c r="CE2904" s="138"/>
      <c r="CF2904" s="139"/>
      <c r="CG2904" s="138"/>
      <c r="CH2904" s="139"/>
      <c r="CI2904" s="138"/>
      <c r="CJ2904" s="72"/>
      <c r="CK2904" s="139"/>
      <c r="CL2904" s="71"/>
      <c r="CM2904" s="139"/>
      <c r="CN2904" s="138"/>
      <c r="CO2904" s="138"/>
      <c r="CP2904" s="138"/>
      <c r="CQ2904" s="139"/>
      <c r="CR2904" s="138"/>
      <c r="CS2904" s="45"/>
      <c r="CT2904" s="138"/>
      <c r="CU2904" s="45"/>
      <c r="CV2904" s="99">
        <f t="shared" si="285"/>
        <v>0</v>
      </c>
      <c r="CW2904" s="139"/>
      <c r="CX2904" s="138"/>
      <c r="CY2904" s="138"/>
      <c r="CZ2904" s="138"/>
      <c r="DA2904" s="139"/>
      <c r="DB2904" s="138"/>
      <c r="DC2904" s="45"/>
      <c r="DD2904" s="138"/>
      <c r="DE2904" s="45"/>
      <c r="DF2904" s="46"/>
    </row>
    <row r="2905" spans="1:110" s="42" customFormat="1" ht="22.5" x14ac:dyDescent="0.2">
      <c r="A2905" s="17">
        <v>40878</v>
      </c>
      <c r="B2905" s="16" t="s">
        <v>4352</v>
      </c>
      <c r="C2905" s="16" t="s">
        <v>2540</v>
      </c>
      <c r="D2905" s="16" t="s">
        <v>4264</v>
      </c>
      <c r="E2905" s="90" t="str">
        <f>VLOOKUP(B2905&amp;C2905,Divipola!$C$2:$F$1138,4,FALSE)</f>
        <v>13655</v>
      </c>
      <c r="F2905" s="4"/>
      <c r="G2905" s="208"/>
      <c r="H2905" s="208"/>
      <c r="I2905" s="208"/>
      <c r="J2905" s="208">
        <v>4800</v>
      </c>
      <c r="K2905" s="208">
        <v>1330</v>
      </c>
      <c r="L2905" s="208"/>
      <c r="M2905" s="208"/>
      <c r="N2905" s="208"/>
      <c r="O2905" s="208"/>
      <c r="P2905" s="208"/>
      <c r="Q2905" s="208"/>
      <c r="R2905" s="208"/>
      <c r="S2905" s="208"/>
      <c r="T2905" s="208"/>
      <c r="U2905" s="208"/>
      <c r="V2905" s="208"/>
      <c r="W2905" s="19"/>
      <c r="X2905" s="17"/>
      <c r="Y2905" s="5">
        <f t="shared" si="280"/>
        <v>0</v>
      </c>
      <c r="Z2905" s="5">
        <f t="shared" si="281"/>
        <v>0</v>
      </c>
      <c r="AA2905" s="5">
        <f t="shared" si="282"/>
        <v>0</v>
      </c>
      <c r="AB2905" s="5">
        <f t="shared" si="283"/>
        <v>0</v>
      </c>
      <c r="AC2905" s="5"/>
      <c r="AD2905" s="5">
        <v>0</v>
      </c>
      <c r="AE2905" s="5">
        <f t="shared" si="284"/>
        <v>0</v>
      </c>
      <c r="AF2905" s="70">
        <v>0</v>
      </c>
      <c r="AG2905" s="17"/>
      <c r="AH2905" s="18"/>
      <c r="AI2905" s="47" t="s">
        <v>4346</v>
      </c>
      <c r="AJ2905" s="73" t="s">
        <v>4347</v>
      </c>
      <c r="AK2905" s="45"/>
      <c r="AL2905" s="89" t="s">
        <v>2798</v>
      </c>
      <c r="AM2905" s="20" t="s">
        <v>3238</v>
      </c>
      <c r="AN2905" s="19"/>
      <c r="AO2905" s="19"/>
      <c r="AP2905" s="19"/>
      <c r="AQ2905" s="19"/>
      <c r="AR2905" s="19"/>
      <c r="AS2905" s="19"/>
      <c r="AT2905" s="19"/>
      <c r="AU2905" s="19"/>
      <c r="AV2905" s="19"/>
      <c r="AW2905" s="19"/>
      <c r="AX2905" s="19"/>
      <c r="AY2905" s="19"/>
      <c r="AZ2905" s="19"/>
      <c r="BA2905" s="19"/>
      <c r="BB2905" s="19"/>
      <c r="BC2905" s="19"/>
      <c r="BD2905" s="19"/>
      <c r="BE2905" s="19"/>
      <c r="BF2905" s="19"/>
      <c r="BG2905" s="19"/>
      <c r="BH2905" s="19"/>
      <c r="BI2905" s="19"/>
      <c r="BJ2905" s="19"/>
      <c r="BK2905" s="19"/>
      <c r="BL2905" s="19"/>
      <c r="BM2905" s="19"/>
      <c r="BN2905" s="19"/>
      <c r="BO2905" s="19"/>
      <c r="BP2905" s="19"/>
      <c r="BQ2905" s="19"/>
      <c r="BR2905" s="19"/>
      <c r="BS2905" s="19"/>
      <c r="BT2905" s="19"/>
      <c r="BU2905" s="19"/>
      <c r="BV2905" s="19"/>
      <c r="BW2905" s="19"/>
      <c r="BX2905" s="19"/>
      <c r="BY2905" s="19"/>
      <c r="BZ2905" s="19"/>
      <c r="CA2905" s="19"/>
      <c r="CB2905" s="19"/>
      <c r="CC2905" s="19"/>
      <c r="CD2905" s="139"/>
      <c r="CE2905" s="138"/>
      <c r="CF2905" s="139"/>
      <c r="CG2905" s="138"/>
      <c r="CH2905" s="139"/>
      <c r="CI2905" s="138"/>
      <c r="CJ2905" s="72"/>
      <c r="CK2905" s="139"/>
      <c r="CL2905" s="71"/>
      <c r="CM2905" s="139"/>
      <c r="CN2905" s="138"/>
      <c r="CO2905" s="138"/>
      <c r="CP2905" s="138"/>
      <c r="CQ2905" s="139"/>
      <c r="CR2905" s="138"/>
      <c r="CS2905" s="45"/>
      <c r="CT2905" s="138"/>
      <c r="CU2905" s="45"/>
      <c r="CV2905" s="99">
        <f t="shared" si="285"/>
        <v>0</v>
      </c>
      <c r="CW2905" s="139"/>
      <c r="CX2905" s="138"/>
      <c r="CY2905" s="138"/>
      <c r="CZ2905" s="138"/>
      <c r="DA2905" s="139"/>
      <c r="DB2905" s="138"/>
      <c r="DC2905" s="45"/>
      <c r="DD2905" s="138"/>
      <c r="DE2905" s="45"/>
      <c r="DF2905" s="46"/>
    </row>
    <row r="2906" spans="1:110" s="42" customFormat="1" ht="36" x14ac:dyDescent="0.2">
      <c r="A2906" s="17">
        <v>40878</v>
      </c>
      <c r="B2906" s="16" t="s">
        <v>4352</v>
      </c>
      <c r="C2906" s="16" t="s">
        <v>2557</v>
      </c>
      <c r="D2906" s="16" t="s">
        <v>4264</v>
      </c>
      <c r="E2906" s="90" t="str">
        <f>VLOOKUP(B2906&amp;C2906,Divipola!$C$2:$F$1138,4,FALSE)</f>
        <v>13760</v>
      </c>
      <c r="F2906" s="4"/>
      <c r="G2906" s="208"/>
      <c r="H2906" s="208"/>
      <c r="I2906" s="208"/>
      <c r="J2906" s="208">
        <v>3400</v>
      </c>
      <c r="K2906" s="208">
        <v>730</v>
      </c>
      <c r="L2906" s="208"/>
      <c r="M2906" s="208"/>
      <c r="N2906" s="208"/>
      <c r="O2906" s="208"/>
      <c r="P2906" s="208"/>
      <c r="Q2906" s="208"/>
      <c r="R2906" s="208"/>
      <c r="S2906" s="208"/>
      <c r="T2906" s="208"/>
      <c r="U2906" s="208"/>
      <c r="V2906" s="208"/>
      <c r="W2906" s="19"/>
      <c r="X2906" s="17"/>
      <c r="Y2906" s="5">
        <f t="shared" si="280"/>
        <v>0</v>
      </c>
      <c r="Z2906" s="5">
        <f t="shared" si="281"/>
        <v>0</v>
      </c>
      <c r="AA2906" s="5">
        <f t="shared" si="282"/>
        <v>0</v>
      </c>
      <c r="AB2906" s="5">
        <f t="shared" si="283"/>
        <v>0</v>
      </c>
      <c r="AC2906" s="5"/>
      <c r="AD2906" s="5">
        <v>0</v>
      </c>
      <c r="AE2906" s="5">
        <f t="shared" si="284"/>
        <v>0</v>
      </c>
      <c r="AF2906" s="70">
        <v>0</v>
      </c>
      <c r="AG2906" s="17"/>
      <c r="AH2906" s="18"/>
      <c r="AI2906" s="47" t="s">
        <v>4346</v>
      </c>
      <c r="AJ2906" s="73" t="s">
        <v>4347</v>
      </c>
      <c r="AK2906" s="45"/>
      <c r="AL2906" s="89" t="s">
        <v>2798</v>
      </c>
      <c r="AM2906" s="20" t="s">
        <v>5604</v>
      </c>
      <c r="AN2906" s="19"/>
      <c r="AO2906" s="19"/>
      <c r="AP2906" s="19"/>
      <c r="AQ2906" s="19"/>
      <c r="AR2906" s="19"/>
      <c r="AS2906" s="19"/>
      <c r="AT2906" s="19"/>
      <c r="AU2906" s="19"/>
      <c r="AV2906" s="19"/>
      <c r="AW2906" s="19"/>
      <c r="AX2906" s="19"/>
      <c r="AY2906" s="19"/>
      <c r="AZ2906" s="19"/>
      <c r="BA2906" s="19"/>
      <c r="BB2906" s="19"/>
      <c r="BC2906" s="19"/>
      <c r="BD2906" s="19"/>
      <c r="BE2906" s="19"/>
      <c r="BF2906" s="19"/>
      <c r="BG2906" s="19"/>
      <c r="BH2906" s="19"/>
      <c r="BI2906" s="19"/>
      <c r="BJ2906" s="19"/>
      <c r="BK2906" s="19"/>
      <c r="BL2906" s="19"/>
      <c r="BM2906" s="19"/>
      <c r="BN2906" s="19"/>
      <c r="BO2906" s="19"/>
      <c r="BP2906" s="19"/>
      <c r="BQ2906" s="19"/>
      <c r="BR2906" s="19"/>
      <c r="BS2906" s="19"/>
      <c r="BT2906" s="19"/>
      <c r="BU2906" s="19"/>
      <c r="BV2906" s="19"/>
      <c r="BW2906" s="19"/>
      <c r="BX2906" s="19"/>
      <c r="BY2906" s="19"/>
      <c r="BZ2906" s="19"/>
      <c r="CA2906" s="19"/>
      <c r="CB2906" s="19"/>
      <c r="CC2906" s="19"/>
      <c r="CD2906" s="139"/>
      <c r="CE2906" s="138"/>
      <c r="CF2906" s="139"/>
      <c r="CG2906" s="138"/>
      <c r="CH2906" s="139"/>
      <c r="CI2906" s="138"/>
      <c r="CJ2906" s="72"/>
      <c r="CK2906" s="139"/>
      <c r="CL2906" s="71"/>
      <c r="CM2906" s="139"/>
      <c r="CN2906" s="138"/>
      <c r="CO2906" s="138"/>
      <c r="CP2906" s="138"/>
      <c r="CQ2906" s="139"/>
      <c r="CR2906" s="138"/>
      <c r="CS2906" s="45"/>
      <c r="CT2906" s="138"/>
      <c r="CU2906" s="45"/>
      <c r="CV2906" s="99">
        <f t="shared" si="285"/>
        <v>0</v>
      </c>
      <c r="CW2906" s="139"/>
      <c r="CX2906" s="138"/>
      <c r="CY2906" s="138"/>
      <c r="CZ2906" s="138"/>
      <c r="DA2906" s="139"/>
      <c r="DB2906" s="138"/>
      <c r="DC2906" s="45"/>
      <c r="DD2906" s="138"/>
      <c r="DE2906" s="45"/>
      <c r="DF2906" s="46"/>
    </row>
    <row r="2907" spans="1:110" s="42" customFormat="1" x14ac:dyDescent="0.2">
      <c r="A2907" s="17">
        <v>40878</v>
      </c>
      <c r="B2907" s="151" t="s">
        <v>4352</v>
      </c>
      <c r="C2907" s="16" t="s">
        <v>2490</v>
      </c>
      <c r="D2907" s="16" t="s">
        <v>4264</v>
      </c>
      <c r="E2907" s="90" t="str">
        <f>VLOOKUP(B2907&amp;C2907,Divipola!$C$2:$F$1138,4,FALSE)</f>
        <v>13140</v>
      </c>
      <c r="F2907" s="4"/>
      <c r="G2907" s="208"/>
      <c r="H2907" s="208"/>
      <c r="I2907" s="208"/>
      <c r="J2907" s="208">
        <v>4180</v>
      </c>
      <c r="K2907" s="208">
        <v>1045</v>
      </c>
      <c r="L2907" s="208"/>
      <c r="M2907" s="208"/>
      <c r="N2907" s="208"/>
      <c r="O2907" s="208"/>
      <c r="P2907" s="208"/>
      <c r="Q2907" s="208"/>
      <c r="R2907" s="208"/>
      <c r="S2907" s="208"/>
      <c r="T2907" s="208"/>
      <c r="U2907" s="208"/>
      <c r="V2907" s="208"/>
      <c r="W2907" s="19"/>
      <c r="X2907" s="17"/>
      <c r="Y2907" s="5">
        <f t="shared" si="280"/>
        <v>0</v>
      </c>
      <c r="Z2907" s="5">
        <f t="shared" si="281"/>
        <v>0</v>
      </c>
      <c r="AA2907" s="5">
        <f t="shared" si="282"/>
        <v>0</v>
      </c>
      <c r="AB2907" s="5">
        <f t="shared" si="283"/>
        <v>0</v>
      </c>
      <c r="AC2907" s="5"/>
      <c r="AD2907" s="5">
        <v>0</v>
      </c>
      <c r="AE2907" s="5">
        <f t="shared" si="284"/>
        <v>0</v>
      </c>
      <c r="AF2907" s="70">
        <v>0</v>
      </c>
      <c r="AG2907" s="17"/>
      <c r="AH2907" s="18"/>
      <c r="AI2907" s="47" t="s">
        <v>4346</v>
      </c>
      <c r="AJ2907" s="73" t="s">
        <v>4347</v>
      </c>
      <c r="AK2907" s="45"/>
      <c r="AL2907" s="89" t="s">
        <v>2798</v>
      </c>
      <c r="AM2907" s="20" t="s">
        <v>3238</v>
      </c>
      <c r="AN2907" s="19"/>
      <c r="AO2907" s="19"/>
      <c r="AP2907" s="19"/>
      <c r="AQ2907" s="19"/>
      <c r="AR2907" s="19"/>
      <c r="AS2907" s="19"/>
      <c r="AT2907" s="19"/>
      <c r="AU2907" s="19"/>
      <c r="AV2907" s="19"/>
      <c r="AW2907" s="19"/>
      <c r="AX2907" s="19"/>
      <c r="AY2907" s="19"/>
      <c r="AZ2907" s="19"/>
      <c r="BA2907" s="19"/>
      <c r="BB2907" s="19"/>
      <c r="BC2907" s="19"/>
      <c r="BD2907" s="19"/>
      <c r="BE2907" s="19"/>
      <c r="BF2907" s="19"/>
      <c r="BG2907" s="19"/>
      <c r="BH2907" s="19"/>
      <c r="BI2907" s="19"/>
      <c r="BJ2907" s="19"/>
      <c r="BK2907" s="19"/>
      <c r="BL2907" s="19"/>
      <c r="BM2907" s="19"/>
      <c r="BN2907" s="19"/>
      <c r="BO2907" s="19"/>
      <c r="BP2907" s="19"/>
      <c r="BQ2907" s="19"/>
      <c r="BR2907" s="19"/>
      <c r="BS2907" s="19"/>
      <c r="BT2907" s="19"/>
      <c r="BU2907" s="19"/>
      <c r="BV2907" s="19"/>
      <c r="BW2907" s="19"/>
      <c r="BX2907" s="19"/>
      <c r="BY2907" s="19"/>
      <c r="BZ2907" s="19"/>
      <c r="CA2907" s="19"/>
      <c r="CB2907" s="19"/>
      <c r="CC2907" s="19"/>
      <c r="CD2907" s="139"/>
      <c r="CE2907" s="138"/>
      <c r="CF2907" s="139"/>
      <c r="CG2907" s="138"/>
      <c r="CH2907" s="139"/>
      <c r="CI2907" s="138"/>
      <c r="CJ2907" s="72"/>
      <c r="CK2907" s="139"/>
      <c r="CL2907" s="71"/>
      <c r="CM2907" s="139"/>
      <c r="CN2907" s="138"/>
      <c r="CO2907" s="138"/>
      <c r="CP2907" s="138"/>
      <c r="CQ2907" s="139"/>
      <c r="CR2907" s="138"/>
      <c r="CS2907" s="45"/>
      <c r="CT2907" s="138"/>
      <c r="CU2907" s="45"/>
      <c r="CV2907" s="99">
        <f t="shared" si="285"/>
        <v>0</v>
      </c>
      <c r="CW2907" s="139"/>
      <c r="CX2907" s="138"/>
      <c r="CY2907" s="138"/>
      <c r="CZ2907" s="138"/>
      <c r="DA2907" s="139"/>
      <c r="DB2907" s="138"/>
      <c r="DC2907" s="45"/>
      <c r="DD2907" s="138"/>
      <c r="DE2907" s="45"/>
      <c r="DF2907" s="46"/>
    </row>
    <row r="2908" spans="1:110" s="42" customFormat="1" x14ac:dyDescent="0.2">
      <c r="A2908" s="17">
        <v>40878</v>
      </c>
      <c r="B2908" s="151" t="s">
        <v>4352</v>
      </c>
      <c r="C2908" s="16" t="s">
        <v>4328</v>
      </c>
      <c r="D2908" s="16" t="s">
        <v>4264</v>
      </c>
      <c r="E2908" s="90" t="str">
        <f>VLOOKUP(B2908&amp;C2908,Divipola!$C$2:$F$1138,4,FALSE)</f>
        <v>13442</v>
      </c>
      <c r="F2908" s="4"/>
      <c r="G2908" s="208"/>
      <c r="H2908" s="208"/>
      <c r="I2908" s="208"/>
      <c r="J2908" s="208">
        <v>3585</v>
      </c>
      <c r="K2908" s="208">
        <v>717</v>
      </c>
      <c r="L2908" s="208"/>
      <c r="M2908" s="208"/>
      <c r="N2908" s="208"/>
      <c r="O2908" s="208"/>
      <c r="P2908" s="208"/>
      <c r="Q2908" s="208"/>
      <c r="R2908" s="208"/>
      <c r="S2908" s="208"/>
      <c r="T2908" s="208"/>
      <c r="U2908" s="208"/>
      <c r="V2908" s="208"/>
      <c r="W2908" s="19"/>
      <c r="X2908" s="17"/>
      <c r="Y2908" s="5">
        <f t="shared" si="280"/>
        <v>0</v>
      </c>
      <c r="Z2908" s="5">
        <f t="shared" si="281"/>
        <v>0</v>
      </c>
      <c r="AA2908" s="5">
        <f t="shared" si="282"/>
        <v>0</v>
      </c>
      <c r="AB2908" s="5">
        <f t="shared" si="283"/>
        <v>0</v>
      </c>
      <c r="AC2908" s="5"/>
      <c r="AD2908" s="5">
        <v>0</v>
      </c>
      <c r="AE2908" s="5">
        <f t="shared" si="284"/>
        <v>0</v>
      </c>
      <c r="AF2908" s="70">
        <v>0</v>
      </c>
      <c r="AG2908" s="17"/>
      <c r="AH2908" s="18"/>
      <c r="AI2908" s="47" t="s">
        <v>4346</v>
      </c>
      <c r="AJ2908" s="73" t="s">
        <v>4347</v>
      </c>
      <c r="AK2908" s="45"/>
      <c r="AL2908" s="17" t="s">
        <v>5621</v>
      </c>
      <c r="AM2908" s="20"/>
      <c r="AN2908" s="19"/>
      <c r="AO2908" s="19"/>
      <c r="AP2908" s="19"/>
      <c r="AQ2908" s="19"/>
      <c r="AR2908" s="19"/>
      <c r="AS2908" s="19"/>
      <c r="AT2908" s="19"/>
      <c r="AU2908" s="19"/>
      <c r="AV2908" s="19"/>
      <c r="AW2908" s="19"/>
      <c r="AX2908" s="19"/>
      <c r="AY2908" s="19"/>
      <c r="AZ2908" s="19"/>
      <c r="BA2908" s="19"/>
      <c r="BB2908" s="19"/>
      <c r="BC2908" s="19"/>
      <c r="BD2908" s="19"/>
      <c r="BE2908" s="19"/>
      <c r="BF2908" s="19"/>
      <c r="BG2908" s="19"/>
      <c r="BH2908" s="19"/>
      <c r="BI2908" s="19"/>
      <c r="BJ2908" s="19"/>
      <c r="BK2908" s="19"/>
      <c r="BL2908" s="19"/>
      <c r="BM2908" s="19"/>
      <c r="BN2908" s="19"/>
      <c r="BO2908" s="19"/>
      <c r="BP2908" s="19"/>
      <c r="BQ2908" s="19"/>
      <c r="BR2908" s="19"/>
      <c r="BS2908" s="19"/>
      <c r="BT2908" s="19"/>
      <c r="BU2908" s="19"/>
      <c r="BV2908" s="19"/>
      <c r="BW2908" s="19"/>
      <c r="BX2908" s="19"/>
      <c r="BY2908" s="19"/>
      <c r="BZ2908" s="19"/>
      <c r="CA2908" s="19"/>
      <c r="CB2908" s="19"/>
      <c r="CC2908" s="19"/>
      <c r="CD2908" s="139"/>
      <c r="CE2908" s="138"/>
      <c r="CF2908" s="139"/>
      <c r="CG2908" s="138"/>
      <c r="CH2908" s="139"/>
      <c r="CI2908" s="138"/>
      <c r="CJ2908" s="72"/>
      <c r="CK2908" s="139"/>
      <c r="CL2908" s="71"/>
      <c r="CM2908" s="139"/>
      <c r="CN2908" s="138"/>
      <c r="CO2908" s="138"/>
      <c r="CP2908" s="138"/>
      <c r="CQ2908" s="139"/>
      <c r="CR2908" s="138"/>
      <c r="CS2908" s="45"/>
      <c r="CT2908" s="138"/>
      <c r="CU2908" s="45"/>
      <c r="CV2908" s="99">
        <f t="shared" si="285"/>
        <v>0</v>
      </c>
      <c r="CW2908" s="139"/>
      <c r="CX2908" s="138"/>
      <c r="CY2908" s="138"/>
      <c r="CZ2908" s="138"/>
      <c r="DA2908" s="139"/>
      <c r="DB2908" s="138"/>
      <c r="DC2908" s="45"/>
      <c r="DD2908" s="138"/>
      <c r="DE2908" s="45"/>
      <c r="DF2908" s="46"/>
    </row>
    <row r="2909" spans="1:110" s="42" customFormat="1" ht="96" x14ac:dyDescent="0.2">
      <c r="A2909" s="89">
        <v>40879</v>
      </c>
      <c r="B2909" s="151" t="s">
        <v>4221</v>
      </c>
      <c r="C2909" s="197" t="s">
        <v>3392</v>
      </c>
      <c r="D2909" s="197" t="s">
        <v>2865</v>
      </c>
      <c r="E2909" s="90" t="str">
        <f>VLOOKUP(B2909&amp;C2909,Divipola!$C$2:$F$1138,4,FALSE)</f>
        <v>54172</v>
      </c>
      <c r="F2909" s="4"/>
      <c r="G2909" s="194"/>
      <c r="H2909" s="194"/>
      <c r="I2909" s="194"/>
      <c r="J2909" s="194"/>
      <c r="K2909" s="194"/>
      <c r="L2909" s="194"/>
      <c r="M2909" s="194"/>
      <c r="N2909" s="194"/>
      <c r="O2909" s="194"/>
      <c r="P2909" s="194"/>
      <c r="Q2909" s="194"/>
      <c r="R2909" s="194"/>
      <c r="S2909" s="194"/>
      <c r="T2909" s="194"/>
      <c r="U2909" s="194"/>
      <c r="V2909" s="194"/>
      <c r="W2909" s="19"/>
      <c r="X2909" s="17"/>
      <c r="Y2909" s="5">
        <f t="shared" si="280"/>
        <v>0</v>
      </c>
      <c r="Z2909" s="5">
        <f t="shared" si="281"/>
        <v>0</v>
      </c>
      <c r="AA2909" s="5">
        <f t="shared" si="282"/>
        <v>0</v>
      </c>
      <c r="AB2909" s="5">
        <f t="shared" si="283"/>
        <v>0</v>
      </c>
      <c r="AC2909" s="5"/>
      <c r="AD2909" s="5">
        <v>0</v>
      </c>
      <c r="AE2909" s="5">
        <f t="shared" si="284"/>
        <v>0</v>
      </c>
      <c r="AF2909" s="70">
        <v>0</v>
      </c>
      <c r="AG2909" s="17"/>
      <c r="AH2909" s="18"/>
      <c r="AI2909" s="47" t="s">
        <v>4336</v>
      </c>
      <c r="AJ2909" s="73" t="s">
        <v>4337</v>
      </c>
      <c r="AK2909" s="45"/>
      <c r="AL2909" s="17"/>
      <c r="AM2909" s="195" t="s">
        <v>5234</v>
      </c>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c r="BL2909" s="19"/>
      <c r="BM2909" s="19"/>
      <c r="BN2909" s="19"/>
      <c r="BO2909" s="19"/>
      <c r="BP2909" s="19"/>
      <c r="BQ2909" s="19"/>
      <c r="BR2909" s="19"/>
      <c r="BS2909" s="19"/>
      <c r="BT2909" s="19"/>
      <c r="BU2909" s="19"/>
      <c r="BV2909" s="19"/>
      <c r="BW2909" s="19"/>
      <c r="BX2909" s="19"/>
      <c r="BY2909" s="19"/>
      <c r="BZ2909" s="19"/>
      <c r="CA2909" s="19"/>
      <c r="CB2909" s="19"/>
      <c r="CC2909" s="19"/>
      <c r="CD2909" s="139"/>
      <c r="CE2909" s="138"/>
      <c r="CF2909" s="139"/>
      <c r="CG2909" s="138"/>
      <c r="CH2909" s="139"/>
      <c r="CI2909" s="138"/>
      <c r="CJ2909" s="72"/>
      <c r="CK2909" s="139"/>
      <c r="CL2909" s="71"/>
      <c r="CM2909" s="139"/>
      <c r="CN2909" s="138"/>
      <c r="CO2909" s="138"/>
      <c r="CP2909" s="138"/>
      <c r="CQ2909" s="139"/>
      <c r="CR2909" s="138"/>
      <c r="CS2909" s="45"/>
      <c r="CT2909" s="138"/>
      <c r="CU2909" s="45"/>
      <c r="CV2909" s="99">
        <f t="shared" si="285"/>
        <v>0</v>
      </c>
      <c r="CW2909" s="139"/>
      <c r="CX2909" s="138"/>
      <c r="CY2909" s="138"/>
      <c r="CZ2909" s="138"/>
      <c r="DA2909" s="139"/>
      <c r="DB2909" s="138"/>
      <c r="DC2909" s="45"/>
      <c r="DD2909" s="138"/>
      <c r="DE2909" s="45"/>
      <c r="DF2909" s="46"/>
    </row>
    <row r="2910" spans="1:110" s="42" customFormat="1" ht="156" x14ac:dyDescent="0.2">
      <c r="A2910" s="89">
        <v>40879</v>
      </c>
      <c r="B2910" s="90" t="s">
        <v>4244</v>
      </c>
      <c r="C2910" s="197" t="s">
        <v>3384</v>
      </c>
      <c r="D2910" s="90" t="s">
        <v>4264</v>
      </c>
      <c r="E2910" s="90" t="str">
        <f>VLOOKUP(B2910&amp;C2910,Divipola!$C$2:$F$1138,4,FALSE)</f>
        <v>76892</v>
      </c>
      <c r="F2910" s="4"/>
      <c r="G2910" s="194"/>
      <c r="H2910" s="194"/>
      <c r="I2910" s="194"/>
      <c r="J2910" s="194">
        <v>200</v>
      </c>
      <c r="K2910" s="194">
        <v>50</v>
      </c>
      <c r="L2910" s="194"/>
      <c r="M2910" s="194">
        <v>50</v>
      </c>
      <c r="N2910" s="194"/>
      <c r="O2910" s="194"/>
      <c r="P2910" s="194"/>
      <c r="Q2910" s="194"/>
      <c r="R2910" s="194"/>
      <c r="S2910" s="194"/>
      <c r="T2910" s="194"/>
      <c r="U2910" s="194"/>
      <c r="V2910" s="194"/>
      <c r="W2910" s="19"/>
      <c r="X2910" s="17"/>
      <c r="Y2910" s="5">
        <f t="shared" si="280"/>
        <v>0</v>
      </c>
      <c r="Z2910" s="5">
        <f t="shared" si="281"/>
        <v>0</v>
      </c>
      <c r="AA2910" s="5">
        <f t="shared" si="282"/>
        <v>0</v>
      </c>
      <c r="AB2910" s="5">
        <f t="shared" si="283"/>
        <v>0</v>
      </c>
      <c r="AC2910" s="5"/>
      <c r="AD2910" s="5">
        <v>0</v>
      </c>
      <c r="AE2910" s="5">
        <f t="shared" si="284"/>
        <v>0</v>
      </c>
      <c r="AF2910" s="70">
        <v>0</v>
      </c>
      <c r="AG2910" s="17"/>
      <c r="AH2910" s="18"/>
      <c r="AI2910" s="47" t="s">
        <v>4346</v>
      </c>
      <c r="AJ2910" s="73" t="s">
        <v>4347</v>
      </c>
      <c r="AK2910" s="45"/>
      <c r="AL2910" s="89" t="s">
        <v>2798</v>
      </c>
      <c r="AM2910" s="195" t="s">
        <v>5290</v>
      </c>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39"/>
      <c r="CE2910" s="138"/>
      <c r="CF2910" s="139"/>
      <c r="CG2910" s="138"/>
      <c r="CH2910" s="139"/>
      <c r="CI2910" s="138"/>
      <c r="CJ2910" s="72"/>
      <c r="CK2910" s="139"/>
      <c r="CL2910" s="71"/>
      <c r="CM2910" s="139"/>
      <c r="CN2910" s="138"/>
      <c r="CO2910" s="138"/>
      <c r="CP2910" s="138"/>
      <c r="CQ2910" s="139"/>
      <c r="CR2910" s="138"/>
      <c r="CS2910" s="45"/>
      <c r="CT2910" s="138"/>
      <c r="CU2910" s="45"/>
      <c r="CV2910" s="99">
        <f t="shared" si="285"/>
        <v>0</v>
      </c>
      <c r="CW2910" s="139"/>
      <c r="CX2910" s="138"/>
      <c r="CY2910" s="138"/>
      <c r="CZ2910" s="138"/>
      <c r="DA2910" s="139"/>
      <c r="DB2910" s="138"/>
      <c r="DC2910" s="45"/>
      <c r="DD2910" s="138"/>
      <c r="DE2910" s="45"/>
      <c r="DF2910" s="46"/>
    </row>
    <row r="2911" spans="1:110" s="42" customFormat="1" ht="60" x14ac:dyDescent="0.2">
      <c r="A2911" s="89">
        <v>40879</v>
      </c>
      <c r="B2911" s="196" t="s">
        <v>860</v>
      </c>
      <c r="C2911" s="197" t="s">
        <v>4361</v>
      </c>
      <c r="D2911" s="197" t="s">
        <v>2362</v>
      </c>
      <c r="E2911" s="90" t="str">
        <f>VLOOKUP(B2911&amp;C2911,Divipola!$C$2:$F$1138,4,FALSE)</f>
        <v>50006</v>
      </c>
      <c r="F2911" s="4"/>
      <c r="G2911" s="194"/>
      <c r="H2911" s="194"/>
      <c r="I2911" s="194"/>
      <c r="J2911" s="194"/>
      <c r="K2911" s="194"/>
      <c r="L2911" s="194"/>
      <c r="M2911" s="194"/>
      <c r="N2911" s="194"/>
      <c r="O2911" s="194"/>
      <c r="P2911" s="194"/>
      <c r="Q2911" s="194"/>
      <c r="R2911" s="194"/>
      <c r="S2911" s="194"/>
      <c r="T2911" s="194"/>
      <c r="U2911" s="194"/>
      <c r="V2911" s="194"/>
      <c r="W2911" s="19"/>
      <c r="X2911" s="17"/>
      <c r="Y2911" s="5">
        <f t="shared" si="280"/>
        <v>0</v>
      </c>
      <c r="Z2911" s="5">
        <f t="shared" si="281"/>
        <v>0</v>
      </c>
      <c r="AA2911" s="5">
        <f t="shared" si="282"/>
        <v>0</v>
      </c>
      <c r="AB2911" s="5">
        <f t="shared" si="283"/>
        <v>0</v>
      </c>
      <c r="AC2911" s="5"/>
      <c r="AD2911" s="5">
        <v>0</v>
      </c>
      <c r="AE2911" s="5">
        <f t="shared" si="284"/>
        <v>0</v>
      </c>
      <c r="AF2911" s="70">
        <v>0</v>
      </c>
      <c r="AG2911" s="17"/>
      <c r="AH2911" s="18"/>
      <c r="AI2911" s="47" t="s">
        <v>4336</v>
      </c>
      <c r="AJ2911" s="73" t="s">
        <v>4337</v>
      </c>
      <c r="AK2911" s="45"/>
      <c r="AL2911" s="17"/>
      <c r="AM2911" s="195" t="s">
        <v>5235</v>
      </c>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c r="BL2911" s="19"/>
      <c r="BM2911" s="19"/>
      <c r="BN2911" s="19"/>
      <c r="BO2911" s="19"/>
      <c r="BP2911" s="19"/>
      <c r="BQ2911" s="19"/>
      <c r="BR2911" s="19"/>
      <c r="BS2911" s="19"/>
      <c r="BT2911" s="19"/>
      <c r="BU2911" s="19"/>
      <c r="BV2911" s="19"/>
      <c r="BW2911" s="19"/>
      <c r="BX2911" s="19"/>
      <c r="BY2911" s="19"/>
      <c r="BZ2911" s="19"/>
      <c r="CA2911" s="19"/>
      <c r="CB2911" s="19"/>
      <c r="CC2911" s="19"/>
      <c r="CD2911" s="139"/>
      <c r="CE2911" s="138"/>
      <c r="CF2911" s="139"/>
      <c r="CG2911" s="138"/>
      <c r="CH2911" s="139"/>
      <c r="CI2911" s="138"/>
      <c r="CJ2911" s="72"/>
      <c r="CK2911" s="139"/>
      <c r="CL2911" s="71"/>
      <c r="CM2911" s="139"/>
      <c r="CN2911" s="138"/>
      <c r="CO2911" s="138"/>
      <c r="CP2911" s="138"/>
      <c r="CQ2911" s="139"/>
      <c r="CR2911" s="138"/>
      <c r="CS2911" s="45"/>
      <c r="CT2911" s="138"/>
      <c r="CU2911" s="45"/>
      <c r="CV2911" s="99">
        <f t="shared" si="285"/>
        <v>0</v>
      </c>
      <c r="CW2911" s="139"/>
      <c r="CX2911" s="138"/>
      <c r="CY2911" s="138"/>
      <c r="CZ2911" s="138"/>
      <c r="DA2911" s="139"/>
      <c r="DB2911" s="138"/>
      <c r="DC2911" s="45"/>
      <c r="DD2911" s="138"/>
      <c r="DE2911" s="45"/>
      <c r="DF2911" s="46"/>
    </row>
    <row r="2912" spans="1:110" s="42" customFormat="1" ht="324" x14ac:dyDescent="0.2">
      <c r="A2912" s="89">
        <v>40879</v>
      </c>
      <c r="B2912" s="196" t="s">
        <v>2218</v>
      </c>
      <c r="C2912" s="197" t="s">
        <v>3297</v>
      </c>
      <c r="D2912" s="197" t="s">
        <v>2362</v>
      </c>
      <c r="E2912" s="90" t="str">
        <f>VLOOKUP(B2912&amp;C2912,Divipola!$C$2:$F$1138,4,FALSE)</f>
        <v>05001</v>
      </c>
      <c r="F2912" s="4"/>
      <c r="G2912" s="194"/>
      <c r="H2912" s="194"/>
      <c r="I2912" s="194"/>
      <c r="J2912" s="194">
        <v>24</v>
      </c>
      <c r="K2912" s="194">
        <v>7</v>
      </c>
      <c r="L2912" s="194">
        <v>3</v>
      </c>
      <c r="M2912" s="194">
        <v>4</v>
      </c>
      <c r="N2912" s="194"/>
      <c r="O2912" s="194"/>
      <c r="P2912" s="194"/>
      <c r="Q2912" s="194"/>
      <c r="R2912" s="194"/>
      <c r="S2912" s="194"/>
      <c r="T2912" s="194"/>
      <c r="U2912" s="194"/>
      <c r="V2912" s="194"/>
      <c r="W2912" s="19"/>
      <c r="X2912" s="17"/>
      <c r="Y2912" s="5">
        <f t="shared" si="280"/>
        <v>0</v>
      </c>
      <c r="Z2912" s="5">
        <f t="shared" si="281"/>
        <v>0</v>
      </c>
      <c r="AA2912" s="5">
        <f t="shared" si="282"/>
        <v>0</v>
      </c>
      <c r="AB2912" s="5">
        <f t="shared" si="283"/>
        <v>0</v>
      </c>
      <c r="AC2912" s="5"/>
      <c r="AD2912" s="5">
        <v>0</v>
      </c>
      <c r="AE2912" s="5">
        <f t="shared" si="284"/>
        <v>0</v>
      </c>
      <c r="AF2912" s="70">
        <v>0</v>
      </c>
      <c r="AG2912" s="17"/>
      <c r="AH2912" s="18"/>
      <c r="AI2912" s="47" t="s">
        <v>4336</v>
      </c>
      <c r="AJ2912" s="73" t="s">
        <v>4337</v>
      </c>
      <c r="AK2912" s="45"/>
      <c r="AL2912" s="17"/>
      <c r="AM2912" s="195" t="s">
        <v>5239</v>
      </c>
      <c r="AN2912" s="19"/>
      <c r="AO2912" s="19"/>
      <c r="AP2912" s="19"/>
      <c r="AQ2912" s="19"/>
      <c r="AR2912" s="19"/>
      <c r="AS2912" s="19"/>
      <c r="AT2912" s="19"/>
      <c r="AU2912" s="19"/>
      <c r="AV2912" s="19"/>
      <c r="AW2912" s="19"/>
      <c r="AX2912" s="19"/>
      <c r="AY2912" s="19"/>
      <c r="AZ2912" s="19"/>
      <c r="BA2912" s="19"/>
      <c r="BB2912" s="19"/>
      <c r="BC2912" s="19"/>
      <c r="BD2912" s="19"/>
      <c r="BE2912" s="19"/>
      <c r="BF2912" s="19"/>
      <c r="BG2912" s="19"/>
      <c r="BH2912" s="19"/>
      <c r="BI2912" s="19"/>
      <c r="BJ2912" s="19"/>
      <c r="BK2912" s="19"/>
      <c r="BL2912" s="19"/>
      <c r="BM2912" s="19"/>
      <c r="BN2912" s="19"/>
      <c r="BO2912" s="19"/>
      <c r="BP2912" s="19"/>
      <c r="BQ2912" s="19"/>
      <c r="BR2912" s="19"/>
      <c r="BS2912" s="19"/>
      <c r="BT2912" s="19"/>
      <c r="BU2912" s="19"/>
      <c r="BV2912" s="19"/>
      <c r="BW2912" s="19"/>
      <c r="BX2912" s="19"/>
      <c r="BY2912" s="19"/>
      <c r="BZ2912" s="19"/>
      <c r="CA2912" s="19"/>
      <c r="CB2912" s="19"/>
      <c r="CC2912" s="19"/>
      <c r="CD2912" s="139"/>
      <c r="CE2912" s="138"/>
      <c r="CF2912" s="139"/>
      <c r="CG2912" s="138"/>
      <c r="CH2912" s="139"/>
      <c r="CI2912" s="138"/>
      <c r="CJ2912" s="72"/>
      <c r="CK2912" s="139"/>
      <c r="CL2912" s="71"/>
      <c r="CM2912" s="139"/>
      <c r="CN2912" s="138"/>
      <c r="CO2912" s="138"/>
      <c r="CP2912" s="138"/>
      <c r="CQ2912" s="139"/>
      <c r="CR2912" s="138"/>
      <c r="CS2912" s="45"/>
      <c r="CT2912" s="138"/>
      <c r="CU2912" s="45"/>
      <c r="CV2912" s="99">
        <f t="shared" si="285"/>
        <v>0</v>
      </c>
      <c r="CW2912" s="139"/>
      <c r="CX2912" s="138"/>
      <c r="CY2912" s="138"/>
      <c r="CZ2912" s="138"/>
      <c r="DA2912" s="139"/>
      <c r="DB2912" s="138"/>
      <c r="DC2912" s="45"/>
      <c r="DD2912" s="138"/>
      <c r="DE2912" s="45"/>
      <c r="DF2912" s="46"/>
    </row>
    <row r="2913" spans="1:110" s="42" customFormat="1" ht="156" x14ac:dyDescent="0.2">
      <c r="A2913" s="89">
        <v>40879</v>
      </c>
      <c r="B2913" s="196" t="s">
        <v>4282</v>
      </c>
      <c r="C2913" s="197" t="s">
        <v>4368</v>
      </c>
      <c r="D2913" s="90" t="s">
        <v>4264</v>
      </c>
      <c r="E2913" s="90" t="str">
        <f>VLOOKUP(B2913&amp;C2913,Divipola!$C$2:$F$1138,4,FALSE)</f>
        <v>23001</v>
      </c>
      <c r="F2913" s="4"/>
      <c r="G2913" s="194"/>
      <c r="H2913" s="194"/>
      <c r="I2913" s="194"/>
      <c r="J2913" s="194">
        <v>400</v>
      </c>
      <c r="K2913" s="194">
        <v>80</v>
      </c>
      <c r="L2913" s="194"/>
      <c r="M2913" s="194">
        <v>80</v>
      </c>
      <c r="N2913" s="194"/>
      <c r="O2913" s="194"/>
      <c r="P2913" s="194"/>
      <c r="Q2913" s="194"/>
      <c r="R2913" s="194"/>
      <c r="S2913" s="194"/>
      <c r="T2913" s="194"/>
      <c r="U2913" s="194"/>
      <c r="V2913" s="194"/>
      <c r="W2913" s="19"/>
      <c r="X2913" s="17"/>
      <c r="Y2913" s="5">
        <f t="shared" si="280"/>
        <v>22500000</v>
      </c>
      <c r="Z2913" s="5">
        <f t="shared" si="281"/>
        <v>0</v>
      </c>
      <c r="AA2913" s="5">
        <f t="shared" si="282"/>
        <v>0</v>
      </c>
      <c r="AB2913" s="5">
        <f t="shared" si="283"/>
        <v>0</v>
      </c>
      <c r="AC2913" s="159">
        <f>30*23000</f>
        <v>690000</v>
      </c>
      <c r="AD2913" s="5">
        <v>0</v>
      </c>
      <c r="AE2913" s="5">
        <f t="shared" si="284"/>
        <v>23190000</v>
      </c>
      <c r="AF2913" s="70">
        <v>0</v>
      </c>
      <c r="AG2913" s="17"/>
      <c r="AH2913" s="18"/>
      <c r="AI2913" s="47" t="s">
        <v>4346</v>
      </c>
      <c r="AJ2913" s="73" t="s">
        <v>4347</v>
      </c>
      <c r="AK2913" s="45"/>
      <c r="AL2913" s="17"/>
      <c r="AM2913" s="195" t="s">
        <v>5326</v>
      </c>
      <c r="AN2913" s="19"/>
      <c r="AO2913" s="19"/>
      <c r="AP2913" s="19"/>
      <c r="AQ2913" s="19"/>
      <c r="AR2913" s="19"/>
      <c r="AS2913" s="19"/>
      <c r="AT2913" s="19"/>
      <c r="AU2913" s="19"/>
      <c r="AV2913" s="19"/>
      <c r="AW2913" s="19"/>
      <c r="AX2913" s="19">
        <v>30</v>
      </c>
      <c r="AY2913" s="19">
        <f>20*389000+5*450000+5*600000</f>
        <v>13030000</v>
      </c>
      <c r="AZ2913" s="19"/>
      <c r="BA2913" s="19"/>
      <c r="BB2913" s="19"/>
      <c r="BC2913" s="19"/>
      <c r="BD2913" s="19"/>
      <c r="BE2913" s="19"/>
      <c r="BF2913" s="19"/>
      <c r="BG2913" s="19"/>
      <c r="BH2913" s="19"/>
      <c r="BI2913" s="19"/>
      <c r="BJ2913" s="19"/>
      <c r="BK2913" s="19"/>
      <c r="BL2913" s="19"/>
      <c r="BM2913" s="19"/>
      <c r="BN2913" s="19"/>
      <c r="BO2913" s="19"/>
      <c r="BP2913" s="19"/>
      <c r="BQ2913" s="19"/>
      <c r="BR2913" s="19"/>
      <c r="BS2913" s="19"/>
      <c r="BT2913" s="19"/>
      <c r="BU2913" s="19"/>
      <c r="BV2913" s="19"/>
      <c r="BW2913" s="19"/>
      <c r="BX2913" s="19"/>
      <c r="BY2913" s="19"/>
      <c r="BZ2913" s="19"/>
      <c r="CA2913" s="19"/>
      <c r="CB2913" s="19"/>
      <c r="CC2913" s="19"/>
      <c r="CD2913" s="139"/>
      <c r="CE2913" s="138"/>
      <c r="CF2913" s="139"/>
      <c r="CG2913" s="138"/>
      <c r="CH2913" s="139"/>
      <c r="CI2913" s="138"/>
      <c r="CJ2913" s="72"/>
      <c r="CK2913" s="139"/>
      <c r="CL2913" s="71"/>
      <c r="CM2913" s="139"/>
      <c r="CN2913" s="138">
        <v>100</v>
      </c>
      <c r="CO2913" s="138">
        <f>100*18000</f>
        <v>1800000</v>
      </c>
      <c r="CP2913" s="138">
        <v>100</v>
      </c>
      <c r="CQ2913" s="139">
        <f>100*37000</f>
        <v>3700000</v>
      </c>
      <c r="CR2913" s="138">
        <v>100</v>
      </c>
      <c r="CS2913" s="45">
        <f>100*39700</f>
        <v>3970000</v>
      </c>
      <c r="CT2913" s="138"/>
      <c r="CU2913" s="45"/>
      <c r="CV2913" s="99">
        <f t="shared" si="285"/>
        <v>22500000</v>
      </c>
      <c r="CW2913" s="139"/>
      <c r="CX2913" s="138"/>
      <c r="CY2913" s="138"/>
      <c r="CZ2913" s="138"/>
      <c r="DA2913" s="139"/>
      <c r="DB2913" s="138"/>
      <c r="DC2913" s="45"/>
      <c r="DD2913" s="138"/>
      <c r="DE2913" s="45"/>
      <c r="DF2913" s="46"/>
    </row>
    <row r="2914" spans="1:110" s="42" customFormat="1" ht="372" x14ac:dyDescent="0.2">
      <c r="A2914" s="89">
        <v>40879</v>
      </c>
      <c r="B2914" s="196" t="s">
        <v>4244</v>
      </c>
      <c r="C2914" s="197" t="s">
        <v>4226</v>
      </c>
      <c r="D2914" s="90" t="s">
        <v>4264</v>
      </c>
      <c r="E2914" s="90" t="str">
        <f>VLOOKUP(B2914&amp;C2914,Divipola!$C$2:$F$1138,4,FALSE)</f>
        <v>76364</v>
      </c>
      <c r="F2914" s="4"/>
      <c r="G2914" s="194"/>
      <c r="H2914" s="194"/>
      <c r="I2914" s="194"/>
      <c r="J2914" s="194">
        <v>14000</v>
      </c>
      <c r="K2914" s="194">
        <v>2800</v>
      </c>
      <c r="L2914" s="194">
        <v>1</v>
      </c>
      <c r="M2914" s="194">
        <v>2700</v>
      </c>
      <c r="N2914" s="194"/>
      <c r="O2914" s="194"/>
      <c r="P2914" s="194"/>
      <c r="Q2914" s="194"/>
      <c r="R2914" s="194"/>
      <c r="S2914" s="194"/>
      <c r="T2914" s="194"/>
      <c r="U2914" s="194"/>
      <c r="V2914" s="194"/>
      <c r="W2914" s="19"/>
      <c r="X2914" s="17"/>
      <c r="Y2914" s="5">
        <f t="shared" si="280"/>
        <v>0</v>
      </c>
      <c r="Z2914" s="5">
        <f t="shared" si="281"/>
        <v>0</v>
      </c>
      <c r="AA2914" s="5">
        <f t="shared" si="282"/>
        <v>0</v>
      </c>
      <c r="AB2914" s="5">
        <f t="shared" si="283"/>
        <v>0</v>
      </c>
      <c r="AC2914" s="5"/>
      <c r="AD2914" s="5">
        <v>0</v>
      </c>
      <c r="AE2914" s="5">
        <f t="shared" si="284"/>
        <v>0</v>
      </c>
      <c r="AF2914" s="70">
        <v>0</v>
      </c>
      <c r="AG2914" s="17"/>
      <c r="AH2914" s="18"/>
      <c r="AI2914" s="47" t="s">
        <v>4346</v>
      </c>
      <c r="AJ2914" s="73" t="s">
        <v>4347</v>
      </c>
      <c r="AK2914" s="45"/>
      <c r="AL2914" s="89" t="s">
        <v>2798</v>
      </c>
      <c r="AM2914" s="195" t="s">
        <v>5431</v>
      </c>
      <c r="AN2914" s="19"/>
      <c r="AO2914" s="19"/>
      <c r="AP2914" s="19"/>
      <c r="AQ2914" s="19"/>
      <c r="AR2914" s="19"/>
      <c r="AS2914" s="19"/>
      <c r="AT2914" s="19"/>
      <c r="AU2914" s="19"/>
      <c r="AV2914" s="19"/>
      <c r="AW2914" s="19"/>
      <c r="AX2914" s="19"/>
      <c r="AY2914" s="19"/>
      <c r="AZ2914" s="19"/>
      <c r="BA2914" s="19"/>
      <c r="BB2914" s="19"/>
      <c r="BC2914" s="19"/>
      <c r="BD2914" s="19"/>
      <c r="BE2914" s="19"/>
      <c r="BF2914" s="19"/>
      <c r="BG2914" s="19"/>
      <c r="BH2914" s="19"/>
      <c r="BI2914" s="19"/>
      <c r="BJ2914" s="19"/>
      <c r="BK2914" s="19"/>
      <c r="BL2914" s="19"/>
      <c r="BM2914" s="19"/>
      <c r="BN2914" s="19"/>
      <c r="BO2914" s="19"/>
      <c r="BP2914" s="19"/>
      <c r="BQ2914" s="19"/>
      <c r="BR2914" s="19"/>
      <c r="BS2914" s="19"/>
      <c r="BT2914" s="19"/>
      <c r="BU2914" s="19"/>
      <c r="BV2914" s="19"/>
      <c r="BW2914" s="19"/>
      <c r="BX2914" s="19"/>
      <c r="BY2914" s="19"/>
      <c r="BZ2914" s="19"/>
      <c r="CA2914" s="19"/>
      <c r="CB2914" s="19"/>
      <c r="CC2914" s="19"/>
      <c r="CD2914" s="139"/>
      <c r="CE2914" s="138"/>
      <c r="CF2914" s="139"/>
      <c r="CG2914" s="138"/>
      <c r="CH2914" s="139"/>
      <c r="CI2914" s="138"/>
      <c r="CJ2914" s="72"/>
      <c r="CK2914" s="139"/>
      <c r="CL2914" s="71"/>
      <c r="CM2914" s="139"/>
      <c r="CN2914" s="138"/>
      <c r="CO2914" s="138"/>
      <c r="CP2914" s="138"/>
      <c r="CQ2914" s="139"/>
      <c r="CR2914" s="138"/>
      <c r="CS2914" s="45"/>
      <c r="CT2914" s="138"/>
      <c r="CU2914" s="45"/>
      <c r="CV2914" s="99">
        <f t="shared" si="285"/>
        <v>0</v>
      </c>
      <c r="CW2914" s="139"/>
      <c r="CX2914" s="138"/>
      <c r="CY2914" s="138"/>
      <c r="CZ2914" s="138"/>
      <c r="DA2914" s="139"/>
      <c r="DB2914" s="138"/>
      <c r="DC2914" s="45"/>
      <c r="DD2914" s="138"/>
      <c r="DE2914" s="45"/>
      <c r="DF2914" s="46"/>
    </row>
    <row r="2915" spans="1:110" s="42" customFormat="1" ht="409.5" x14ac:dyDescent="0.2">
      <c r="A2915" s="89">
        <v>40879</v>
      </c>
      <c r="B2915" s="196" t="s">
        <v>2218</v>
      </c>
      <c r="C2915" s="197" t="s">
        <v>3390</v>
      </c>
      <c r="D2915" s="197" t="s">
        <v>2362</v>
      </c>
      <c r="E2915" s="90" t="str">
        <f>VLOOKUP(B2915&amp;C2915,Divipola!$C$2:$F$1138,4,FALSE)</f>
        <v>05380</v>
      </c>
      <c r="F2915" s="4"/>
      <c r="G2915" s="194"/>
      <c r="H2915" s="194"/>
      <c r="I2915" s="194"/>
      <c r="J2915" s="194">
        <v>125</v>
      </c>
      <c r="K2915" s="194">
        <v>31</v>
      </c>
      <c r="L2915" s="194"/>
      <c r="M2915" s="194"/>
      <c r="N2915" s="194"/>
      <c r="O2915" s="194"/>
      <c r="P2915" s="194"/>
      <c r="Q2915" s="194"/>
      <c r="R2915" s="194"/>
      <c r="S2915" s="194"/>
      <c r="T2915" s="194"/>
      <c r="U2915" s="194"/>
      <c r="V2915" s="194"/>
      <c r="W2915" s="19"/>
      <c r="X2915" s="17"/>
      <c r="Y2915" s="5">
        <f t="shared" si="280"/>
        <v>0</v>
      </c>
      <c r="Z2915" s="5">
        <f t="shared" si="281"/>
        <v>0</v>
      </c>
      <c r="AA2915" s="5">
        <f t="shared" si="282"/>
        <v>0</v>
      </c>
      <c r="AB2915" s="5">
        <f t="shared" si="283"/>
        <v>0</v>
      </c>
      <c r="AC2915" s="5"/>
      <c r="AD2915" s="5">
        <v>0</v>
      </c>
      <c r="AE2915" s="5">
        <f t="shared" si="284"/>
        <v>0</v>
      </c>
      <c r="AF2915" s="70">
        <v>0</v>
      </c>
      <c r="AG2915" s="17"/>
      <c r="AH2915" s="18"/>
      <c r="AI2915" s="47" t="s">
        <v>4336</v>
      </c>
      <c r="AJ2915" s="73" t="s">
        <v>4337</v>
      </c>
      <c r="AK2915" s="45"/>
      <c r="AL2915" s="17"/>
      <c r="AM2915" s="195" t="s">
        <v>5237</v>
      </c>
      <c r="AN2915" s="19"/>
      <c r="AO2915" s="19"/>
      <c r="AP2915" s="19"/>
      <c r="AQ2915" s="19"/>
      <c r="AR2915" s="19"/>
      <c r="AS2915" s="19"/>
      <c r="AT2915" s="19"/>
      <c r="AU2915" s="19"/>
      <c r="AV2915" s="19"/>
      <c r="AW2915" s="19"/>
      <c r="AX2915" s="19"/>
      <c r="AY2915" s="19"/>
      <c r="AZ2915" s="19"/>
      <c r="BA2915" s="19"/>
      <c r="BB2915" s="19"/>
      <c r="BC2915" s="19"/>
      <c r="BD2915" s="19"/>
      <c r="BE2915" s="19"/>
      <c r="BF2915" s="19"/>
      <c r="BG2915" s="19"/>
      <c r="BH2915" s="19"/>
      <c r="BI2915" s="19"/>
      <c r="BJ2915" s="19"/>
      <c r="BK2915" s="19"/>
      <c r="BL2915" s="19"/>
      <c r="BM2915" s="19"/>
      <c r="BN2915" s="19"/>
      <c r="BO2915" s="19"/>
      <c r="BP2915" s="19"/>
      <c r="BQ2915" s="19"/>
      <c r="BR2915" s="19"/>
      <c r="BS2915" s="19"/>
      <c r="BT2915" s="19"/>
      <c r="BU2915" s="19"/>
      <c r="BV2915" s="19"/>
      <c r="BW2915" s="19"/>
      <c r="BX2915" s="19"/>
      <c r="BY2915" s="19"/>
      <c r="BZ2915" s="19"/>
      <c r="CA2915" s="19"/>
      <c r="CB2915" s="19"/>
      <c r="CC2915" s="19"/>
      <c r="CD2915" s="139"/>
      <c r="CE2915" s="138"/>
      <c r="CF2915" s="139"/>
      <c r="CG2915" s="138"/>
      <c r="CH2915" s="139"/>
      <c r="CI2915" s="138"/>
      <c r="CJ2915" s="72"/>
      <c r="CK2915" s="139"/>
      <c r="CL2915" s="71"/>
      <c r="CM2915" s="139"/>
      <c r="CN2915" s="138"/>
      <c r="CO2915" s="138"/>
      <c r="CP2915" s="138"/>
      <c r="CQ2915" s="139"/>
      <c r="CR2915" s="138"/>
      <c r="CS2915" s="45"/>
      <c r="CT2915" s="138"/>
      <c r="CU2915" s="45"/>
      <c r="CV2915" s="99">
        <f t="shared" si="285"/>
        <v>0</v>
      </c>
      <c r="CW2915" s="139"/>
      <c r="CX2915" s="138"/>
      <c r="CY2915" s="138"/>
      <c r="CZ2915" s="138"/>
      <c r="DA2915" s="139"/>
      <c r="DB2915" s="138"/>
      <c r="DC2915" s="45"/>
      <c r="DD2915" s="138"/>
      <c r="DE2915" s="45"/>
      <c r="DF2915" s="46"/>
    </row>
    <row r="2916" spans="1:110" s="42" customFormat="1" ht="48" x14ac:dyDescent="0.2">
      <c r="A2916" s="89">
        <v>40879</v>
      </c>
      <c r="B2916" s="197" t="s">
        <v>1116</v>
      </c>
      <c r="C2916" s="90" t="s">
        <v>1116</v>
      </c>
      <c r="D2916" s="197" t="s">
        <v>2362</v>
      </c>
      <c r="E2916" s="90" t="str">
        <f>VLOOKUP(B2916&amp;C2916,Divipola!$C$2:$F$1138,4,FALSE)</f>
        <v>11001</v>
      </c>
      <c r="F2916" s="4"/>
      <c r="G2916" s="194"/>
      <c r="H2916" s="194"/>
      <c r="I2916" s="194"/>
      <c r="J2916" s="194">
        <v>120</v>
      </c>
      <c r="K2916" s="194">
        <v>22</v>
      </c>
      <c r="L2916" s="194"/>
      <c r="M2916" s="194">
        <v>20</v>
      </c>
      <c r="N2916" s="194"/>
      <c r="O2916" s="194"/>
      <c r="P2916" s="194"/>
      <c r="Q2916" s="194"/>
      <c r="R2916" s="194"/>
      <c r="S2916" s="194"/>
      <c r="T2916" s="194"/>
      <c r="U2916" s="194"/>
      <c r="V2916" s="194"/>
      <c r="W2916" s="19"/>
      <c r="X2916" s="17"/>
      <c r="Y2916" s="5">
        <f t="shared" si="280"/>
        <v>0</v>
      </c>
      <c r="Z2916" s="5">
        <f t="shared" si="281"/>
        <v>0</v>
      </c>
      <c r="AA2916" s="5">
        <f t="shared" si="282"/>
        <v>0</v>
      </c>
      <c r="AB2916" s="5">
        <f t="shared" si="283"/>
        <v>0</v>
      </c>
      <c r="AC2916" s="5"/>
      <c r="AD2916" s="5">
        <v>0</v>
      </c>
      <c r="AE2916" s="5">
        <f t="shared" si="284"/>
        <v>0</v>
      </c>
      <c r="AF2916" s="70">
        <v>0</v>
      </c>
      <c r="AG2916" s="17"/>
      <c r="AH2916" s="18"/>
      <c r="AI2916" s="47" t="s">
        <v>4336</v>
      </c>
      <c r="AJ2916" s="73" t="s">
        <v>4337</v>
      </c>
      <c r="AK2916" s="45"/>
      <c r="AL2916" s="17"/>
      <c r="AM2916" s="195" t="s">
        <v>5249</v>
      </c>
      <c r="AN2916" s="19"/>
      <c r="AO2916" s="19"/>
      <c r="AP2916" s="19"/>
      <c r="AQ2916" s="19"/>
      <c r="AR2916" s="19"/>
      <c r="AS2916" s="19"/>
      <c r="AT2916" s="19"/>
      <c r="AU2916" s="19"/>
      <c r="AV2916" s="19"/>
      <c r="AW2916" s="19"/>
      <c r="AX2916" s="19"/>
      <c r="AY2916" s="19"/>
      <c r="AZ2916" s="19"/>
      <c r="BA2916" s="19"/>
      <c r="BB2916" s="19"/>
      <c r="BC2916" s="19"/>
      <c r="BD2916" s="19"/>
      <c r="BE2916" s="19"/>
      <c r="BF2916" s="19"/>
      <c r="BG2916" s="19"/>
      <c r="BH2916" s="19"/>
      <c r="BI2916" s="19"/>
      <c r="BJ2916" s="19"/>
      <c r="BK2916" s="19"/>
      <c r="BL2916" s="19"/>
      <c r="BM2916" s="19"/>
      <c r="BN2916" s="19"/>
      <c r="BO2916" s="19"/>
      <c r="BP2916" s="19"/>
      <c r="BQ2916" s="19"/>
      <c r="BR2916" s="19"/>
      <c r="BS2916" s="19"/>
      <c r="BT2916" s="19"/>
      <c r="BU2916" s="19"/>
      <c r="BV2916" s="19"/>
      <c r="BW2916" s="19"/>
      <c r="BX2916" s="19"/>
      <c r="BY2916" s="19"/>
      <c r="BZ2916" s="19"/>
      <c r="CA2916" s="19"/>
      <c r="CB2916" s="19"/>
      <c r="CC2916" s="19"/>
      <c r="CD2916" s="139"/>
      <c r="CE2916" s="138"/>
      <c r="CF2916" s="139"/>
      <c r="CG2916" s="138"/>
      <c r="CH2916" s="139"/>
      <c r="CI2916" s="138"/>
      <c r="CJ2916" s="72"/>
      <c r="CK2916" s="139"/>
      <c r="CL2916" s="71"/>
      <c r="CM2916" s="139"/>
      <c r="CN2916" s="138"/>
      <c r="CO2916" s="138"/>
      <c r="CP2916" s="138"/>
      <c r="CQ2916" s="139"/>
      <c r="CR2916" s="138"/>
      <c r="CS2916" s="45"/>
      <c r="CT2916" s="138"/>
      <c r="CU2916" s="45"/>
      <c r="CV2916" s="99">
        <f t="shared" si="285"/>
        <v>0</v>
      </c>
      <c r="CW2916" s="139"/>
      <c r="CX2916" s="138"/>
      <c r="CY2916" s="138"/>
      <c r="CZ2916" s="138"/>
      <c r="DA2916" s="139"/>
      <c r="DB2916" s="138"/>
      <c r="DC2916" s="45"/>
      <c r="DD2916" s="138"/>
      <c r="DE2916" s="45"/>
      <c r="DF2916" s="46"/>
    </row>
    <row r="2917" spans="1:110" s="42" customFormat="1" ht="60" x14ac:dyDescent="0.2">
      <c r="A2917" s="89">
        <v>40879</v>
      </c>
      <c r="B2917" s="151" t="s">
        <v>4282</v>
      </c>
      <c r="C2917" s="90" t="s">
        <v>3537</v>
      </c>
      <c r="D2917" s="90" t="s">
        <v>4264</v>
      </c>
      <c r="E2917" s="90" t="str">
        <f>VLOOKUP(B2917&amp;C2917,Divipola!$C$2:$F$1138,4,FALSE)</f>
        <v>23162</v>
      </c>
      <c r="F2917" s="4"/>
      <c r="G2917" s="101"/>
      <c r="H2917" s="101"/>
      <c r="I2917" s="101"/>
      <c r="J2917" s="101">
        <v>3250</v>
      </c>
      <c r="K2917" s="101">
        <v>650</v>
      </c>
      <c r="L2917" s="101"/>
      <c r="M2917" s="101">
        <v>650</v>
      </c>
      <c r="N2917" s="101"/>
      <c r="O2917" s="101"/>
      <c r="P2917" s="101"/>
      <c r="Q2917" s="101"/>
      <c r="R2917" s="101"/>
      <c r="S2917" s="101"/>
      <c r="T2917" s="101"/>
      <c r="U2917" s="101"/>
      <c r="V2917" s="101"/>
      <c r="W2917" s="19"/>
      <c r="X2917" s="17"/>
      <c r="Y2917" s="5">
        <f t="shared" si="280"/>
        <v>0</v>
      </c>
      <c r="Z2917" s="5">
        <f t="shared" si="281"/>
        <v>0</v>
      </c>
      <c r="AA2917" s="5">
        <f t="shared" si="282"/>
        <v>0</v>
      </c>
      <c r="AB2917" s="5">
        <f t="shared" si="283"/>
        <v>0</v>
      </c>
      <c r="AC2917" s="5"/>
      <c r="AD2917" s="5">
        <v>0</v>
      </c>
      <c r="AE2917" s="5">
        <f t="shared" si="284"/>
        <v>0</v>
      </c>
      <c r="AF2917" s="70">
        <v>0</v>
      </c>
      <c r="AG2917" s="17"/>
      <c r="AH2917" s="18"/>
      <c r="AI2917" s="47" t="s">
        <v>4336</v>
      </c>
      <c r="AJ2917" s="73" t="s">
        <v>4337</v>
      </c>
      <c r="AK2917" s="45"/>
      <c r="AL2917" s="17"/>
      <c r="AM2917" s="121" t="s">
        <v>5253</v>
      </c>
      <c r="AN2917" s="19"/>
      <c r="AO2917" s="19"/>
      <c r="AP2917" s="19"/>
      <c r="AQ2917" s="19"/>
      <c r="AR2917" s="19"/>
      <c r="AS2917" s="19"/>
      <c r="AT2917" s="19"/>
      <c r="AU2917" s="19"/>
      <c r="AV2917" s="19"/>
      <c r="AW2917" s="19"/>
      <c r="AX2917" s="19"/>
      <c r="AY2917" s="19"/>
      <c r="AZ2917" s="19"/>
      <c r="BA2917" s="19"/>
      <c r="BB2917" s="19"/>
      <c r="BC2917" s="19"/>
      <c r="BD2917" s="19"/>
      <c r="BE2917" s="19"/>
      <c r="BF2917" s="19"/>
      <c r="BG2917" s="19"/>
      <c r="BH2917" s="19"/>
      <c r="BI2917" s="19"/>
      <c r="BJ2917" s="19"/>
      <c r="BK2917" s="19"/>
      <c r="BL2917" s="19"/>
      <c r="BM2917" s="19"/>
      <c r="BN2917" s="19"/>
      <c r="BO2917" s="19"/>
      <c r="BP2917" s="19"/>
      <c r="BQ2917" s="19"/>
      <c r="BR2917" s="19"/>
      <c r="BS2917" s="19"/>
      <c r="BT2917" s="19"/>
      <c r="BU2917" s="19"/>
      <c r="BV2917" s="19"/>
      <c r="BW2917" s="19"/>
      <c r="BX2917" s="19"/>
      <c r="BY2917" s="19"/>
      <c r="BZ2917" s="19"/>
      <c r="CA2917" s="19"/>
      <c r="CB2917" s="19"/>
      <c r="CC2917" s="19"/>
      <c r="CD2917" s="139"/>
      <c r="CE2917" s="138"/>
      <c r="CF2917" s="139"/>
      <c r="CG2917" s="138"/>
      <c r="CH2917" s="139"/>
      <c r="CI2917" s="138"/>
      <c r="CJ2917" s="72"/>
      <c r="CK2917" s="139"/>
      <c r="CL2917" s="71"/>
      <c r="CM2917" s="139"/>
      <c r="CN2917" s="138"/>
      <c r="CO2917" s="138"/>
      <c r="CP2917" s="138"/>
      <c r="CQ2917" s="139"/>
      <c r="CR2917" s="138"/>
      <c r="CS2917" s="45"/>
      <c r="CT2917" s="138"/>
      <c r="CU2917" s="45"/>
      <c r="CV2917" s="99">
        <f t="shared" si="285"/>
        <v>0</v>
      </c>
      <c r="CW2917" s="139"/>
      <c r="CX2917" s="138"/>
      <c r="CY2917" s="138"/>
      <c r="CZ2917" s="138"/>
      <c r="DA2917" s="139"/>
      <c r="DB2917" s="138"/>
      <c r="DC2917" s="45"/>
      <c r="DD2917" s="138"/>
      <c r="DE2917" s="45"/>
      <c r="DF2917" s="46"/>
    </row>
    <row r="2918" spans="1:110" s="42" customFormat="1" ht="84" x14ac:dyDescent="0.2">
      <c r="A2918" s="89">
        <v>40880</v>
      </c>
      <c r="B2918" s="16" t="s">
        <v>860</v>
      </c>
      <c r="C2918" s="16" t="s">
        <v>4302</v>
      </c>
      <c r="D2918" s="90" t="s">
        <v>4264</v>
      </c>
      <c r="E2918" s="90" t="str">
        <f>VLOOKUP(B2918&amp;C2918,Divipola!$C$2:$F$1138,4,FALSE)</f>
        <v>50400</v>
      </c>
      <c r="F2918" s="4"/>
      <c r="G2918" s="208"/>
      <c r="H2918" s="208"/>
      <c r="I2918" s="208"/>
      <c r="J2918" s="208">
        <f>36*5</f>
        <v>180</v>
      </c>
      <c r="K2918" s="208">
        <v>36</v>
      </c>
      <c r="L2918" s="208"/>
      <c r="M2918" s="208"/>
      <c r="N2918" s="208"/>
      <c r="O2918" s="208"/>
      <c r="P2918" s="208"/>
      <c r="Q2918" s="208"/>
      <c r="R2918" s="208"/>
      <c r="S2918" s="208"/>
      <c r="T2918" s="208"/>
      <c r="U2918" s="208"/>
      <c r="V2918" s="208"/>
      <c r="W2918" s="19"/>
      <c r="X2918" s="17"/>
      <c r="Y2918" s="5">
        <f t="shared" si="280"/>
        <v>0</v>
      </c>
      <c r="Z2918" s="5">
        <f t="shared" si="281"/>
        <v>0</v>
      </c>
      <c r="AA2918" s="5">
        <f t="shared" si="282"/>
        <v>0</v>
      </c>
      <c r="AB2918" s="5">
        <f t="shared" si="283"/>
        <v>0</v>
      </c>
      <c r="AC2918" s="5"/>
      <c r="AD2918" s="5">
        <v>30000000</v>
      </c>
      <c r="AE2918" s="5">
        <f t="shared" si="284"/>
        <v>30000000</v>
      </c>
      <c r="AF2918" s="70">
        <v>0</v>
      </c>
      <c r="AG2918" s="17"/>
      <c r="AH2918" s="18"/>
      <c r="AI2918" s="47" t="s">
        <v>4346</v>
      </c>
      <c r="AJ2918" s="73" t="s">
        <v>4347</v>
      </c>
      <c r="AK2918" s="45"/>
      <c r="AL2918" s="17"/>
      <c r="AM2918" s="137" t="s">
        <v>5294</v>
      </c>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39"/>
      <c r="CE2918" s="138"/>
      <c r="CF2918" s="139"/>
      <c r="CG2918" s="138"/>
      <c r="CH2918" s="139"/>
      <c r="CI2918" s="138"/>
      <c r="CJ2918" s="72"/>
      <c r="CK2918" s="139"/>
      <c r="CL2918" s="71"/>
      <c r="CM2918" s="139"/>
      <c r="CN2918" s="138"/>
      <c r="CO2918" s="138"/>
      <c r="CP2918" s="138"/>
      <c r="CQ2918" s="139"/>
      <c r="CR2918" s="138"/>
      <c r="CS2918" s="45"/>
      <c r="CT2918" s="138"/>
      <c r="CU2918" s="45"/>
      <c r="CV2918" s="99">
        <f t="shared" si="285"/>
        <v>0</v>
      </c>
      <c r="CW2918" s="139"/>
      <c r="CX2918" s="138"/>
      <c r="CY2918" s="138"/>
      <c r="CZ2918" s="138"/>
      <c r="DA2918" s="139"/>
      <c r="DB2918" s="138"/>
      <c r="DC2918" s="45"/>
      <c r="DD2918" s="138"/>
      <c r="DE2918" s="45"/>
      <c r="DF2918" s="46"/>
    </row>
    <row r="2919" spans="1:110" s="42" customFormat="1" ht="72" x14ac:dyDescent="0.2">
      <c r="A2919" s="89">
        <v>40880</v>
      </c>
      <c r="B2919" s="196" t="s">
        <v>860</v>
      </c>
      <c r="C2919" s="197" t="s">
        <v>417</v>
      </c>
      <c r="D2919" s="90" t="s">
        <v>4264</v>
      </c>
      <c r="E2919" s="90" t="str">
        <f>VLOOKUP(B2919&amp;C2919,Divipola!$C$2:$F$1138,4,FALSE)</f>
        <v>50573</v>
      </c>
      <c r="F2919" s="4"/>
      <c r="G2919" s="194"/>
      <c r="H2919" s="194"/>
      <c r="I2919" s="194"/>
      <c r="J2919" s="194"/>
      <c r="K2919" s="194"/>
      <c r="L2919" s="194"/>
      <c r="M2919" s="194"/>
      <c r="N2919" s="194"/>
      <c r="O2919" s="194">
        <v>1</v>
      </c>
      <c r="P2919" s="194"/>
      <c r="Q2919" s="194"/>
      <c r="R2919" s="194"/>
      <c r="S2919" s="194"/>
      <c r="T2919" s="194"/>
      <c r="U2919" s="194"/>
      <c r="V2919" s="194"/>
      <c r="W2919" s="19"/>
      <c r="X2919" s="17"/>
      <c r="Y2919" s="5">
        <f t="shared" si="280"/>
        <v>0</v>
      </c>
      <c r="Z2919" s="5">
        <f t="shared" si="281"/>
        <v>8500000</v>
      </c>
      <c r="AA2919" s="5">
        <f t="shared" si="282"/>
        <v>0</v>
      </c>
      <c r="AB2919" s="5">
        <f t="shared" si="283"/>
        <v>0</v>
      </c>
      <c r="AC2919" s="5"/>
      <c r="AD2919" s="5">
        <v>0</v>
      </c>
      <c r="AE2919" s="5">
        <f t="shared" si="284"/>
        <v>8500000</v>
      </c>
      <c r="AF2919" s="70">
        <v>0</v>
      </c>
      <c r="AG2919" s="17"/>
      <c r="AH2919" s="18"/>
      <c r="AI2919" s="47" t="s">
        <v>4346</v>
      </c>
      <c r="AJ2919" s="73" t="s">
        <v>4347</v>
      </c>
      <c r="AK2919" s="45"/>
      <c r="AL2919" s="17"/>
      <c r="AM2919" s="195" t="s">
        <v>5236</v>
      </c>
      <c r="AN2919" s="19"/>
      <c r="AO2919" s="19"/>
      <c r="AP2919" s="19"/>
      <c r="AQ2919" s="19"/>
      <c r="AR2919" s="19"/>
      <c r="AS2919" s="19"/>
      <c r="AT2919" s="19"/>
      <c r="AU2919" s="19"/>
      <c r="AV2919" s="19"/>
      <c r="AW2919" s="19"/>
      <c r="AX2919" s="19"/>
      <c r="AY2919" s="19"/>
      <c r="AZ2919" s="19"/>
      <c r="BA2919" s="19"/>
      <c r="BB2919" s="19"/>
      <c r="BC2919" s="19"/>
      <c r="BD2919" s="19"/>
      <c r="BE2919" s="19"/>
      <c r="BF2919" s="19"/>
      <c r="BG2919" s="19"/>
      <c r="BH2919" s="19"/>
      <c r="BI2919" s="19"/>
      <c r="BJ2919" s="19"/>
      <c r="BK2919" s="19"/>
      <c r="BL2919" s="19"/>
      <c r="BM2919" s="19"/>
      <c r="BN2919" s="19"/>
      <c r="BO2919" s="19"/>
      <c r="BP2919" s="19"/>
      <c r="BQ2919" s="19"/>
      <c r="BR2919" s="19"/>
      <c r="BS2919" s="19"/>
      <c r="BT2919" s="19"/>
      <c r="BU2919" s="19"/>
      <c r="BV2919" s="19"/>
      <c r="BW2919" s="19"/>
      <c r="BX2919" s="19"/>
      <c r="BY2919" s="19"/>
      <c r="BZ2919" s="19"/>
      <c r="CA2919" s="19"/>
      <c r="CB2919" s="19"/>
      <c r="CC2919" s="19"/>
      <c r="CD2919" s="139"/>
      <c r="CE2919" s="138"/>
      <c r="CF2919" s="139"/>
      <c r="CG2919" s="138"/>
      <c r="CH2919" s="139"/>
      <c r="CI2919" s="138"/>
      <c r="CJ2919" s="72"/>
      <c r="CK2919" s="139"/>
      <c r="CL2919" s="71"/>
      <c r="CM2919" s="139"/>
      <c r="CN2919" s="138"/>
      <c r="CO2919" s="138"/>
      <c r="CP2919" s="138"/>
      <c r="CQ2919" s="139"/>
      <c r="CR2919" s="138"/>
      <c r="CS2919" s="45"/>
      <c r="CT2919" s="138"/>
      <c r="CU2919" s="45"/>
      <c r="CV2919" s="99">
        <f t="shared" si="285"/>
        <v>0</v>
      </c>
      <c r="CW2919" s="139"/>
      <c r="CX2919" s="138"/>
      <c r="CY2919" s="138">
        <v>100</v>
      </c>
      <c r="CZ2919" s="138">
        <f>100*85000</f>
        <v>8500000</v>
      </c>
      <c r="DA2919" s="139"/>
      <c r="DB2919" s="138"/>
      <c r="DC2919" s="45"/>
      <c r="DD2919" s="138"/>
      <c r="DE2919" s="45"/>
      <c r="DF2919" s="46"/>
    </row>
    <row r="2920" spans="1:110" s="42" customFormat="1" ht="120" x14ac:dyDescent="0.2">
      <c r="A2920" s="89">
        <v>40880</v>
      </c>
      <c r="B2920" s="196" t="s">
        <v>4296</v>
      </c>
      <c r="C2920" s="197" t="s">
        <v>4297</v>
      </c>
      <c r="D2920" s="197" t="s">
        <v>2362</v>
      </c>
      <c r="E2920" s="90" t="str">
        <f>VLOOKUP(B2920&amp;C2920,Divipola!$C$2:$F$1138,4,FALSE)</f>
        <v>19001</v>
      </c>
      <c r="F2920" s="4"/>
      <c r="G2920" s="194"/>
      <c r="H2920" s="194"/>
      <c r="I2920" s="194"/>
      <c r="J2920" s="194"/>
      <c r="K2920" s="194"/>
      <c r="L2920" s="194"/>
      <c r="M2920" s="194"/>
      <c r="N2920" s="194"/>
      <c r="O2920" s="194"/>
      <c r="P2920" s="194">
        <v>1</v>
      </c>
      <c r="Q2920" s="194">
        <v>1</v>
      </c>
      <c r="R2920" s="194"/>
      <c r="S2920" s="194"/>
      <c r="T2920" s="194"/>
      <c r="U2920" s="194"/>
      <c r="V2920" s="194"/>
      <c r="W2920" s="19"/>
      <c r="X2920" s="17"/>
      <c r="Y2920" s="5">
        <f t="shared" si="280"/>
        <v>0</v>
      </c>
      <c r="Z2920" s="5">
        <f t="shared" si="281"/>
        <v>0</v>
      </c>
      <c r="AA2920" s="5">
        <f t="shared" si="282"/>
        <v>0</v>
      </c>
      <c r="AB2920" s="5">
        <f t="shared" si="283"/>
        <v>0</v>
      </c>
      <c r="AC2920" s="5"/>
      <c r="AD2920" s="5">
        <v>0</v>
      </c>
      <c r="AE2920" s="5">
        <f t="shared" si="284"/>
        <v>0</v>
      </c>
      <c r="AF2920" s="70">
        <v>0</v>
      </c>
      <c r="AG2920" s="17"/>
      <c r="AH2920" s="18"/>
      <c r="AI2920" s="47" t="s">
        <v>4336</v>
      </c>
      <c r="AJ2920" s="73" t="s">
        <v>4337</v>
      </c>
      <c r="AK2920" s="45"/>
      <c r="AL2920" s="17"/>
      <c r="AM2920" s="195" t="s">
        <v>5238</v>
      </c>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19"/>
      <c r="BW2920" s="19"/>
      <c r="BX2920" s="19"/>
      <c r="BY2920" s="19"/>
      <c r="BZ2920" s="19"/>
      <c r="CA2920" s="19"/>
      <c r="CB2920" s="19"/>
      <c r="CC2920" s="19"/>
      <c r="CD2920" s="139"/>
      <c r="CE2920" s="138"/>
      <c r="CF2920" s="139"/>
      <c r="CG2920" s="138"/>
      <c r="CH2920" s="139"/>
      <c r="CI2920" s="138"/>
      <c r="CJ2920" s="72"/>
      <c r="CK2920" s="139"/>
      <c r="CL2920" s="71"/>
      <c r="CM2920" s="139"/>
      <c r="CN2920" s="138"/>
      <c r="CO2920" s="138"/>
      <c r="CP2920" s="138"/>
      <c r="CQ2920" s="139"/>
      <c r="CR2920" s="138"/>
      <c r="CS2920" s="45"/>
      <c r="CT2920" s="138"/>
      <c r="CU2920" s="45"/>
      <c r="CV2920" s="99">
        <f t="shared" si="285"/>
        <v>0</v>
      </c>
      <c r="CW2920" s="139"/>
      <c r="CX2920" s="138"/>
      <c r="CY2920" s="138"/>
      <c r="CZ2920" s="138"/>
      <c r="DA2920" s="139"/>
      <c r="DB2920" s="138"/>
      <c r="DC2920" s="45"/>
      <c r="DD2920" s="138"/>
      <c r="DE2920" s="45"/>
      <c r="DF2920" s="46"/>
    </row>
    <row r="2921" spans="1:110" s="42" customFormat="1" ht="84" x14ac:dyDescent="0.2">
      <c r="A2921" s="89">
        <v>40880</v>
      </c>
      <c r="B2921" s="197" t="s">
        <v>1116</v>
      </c>
      <c r="C2921" s="90" t="s">
        <v>1116</v>
      </c>
      <c r="D2921" s="197" t="s">
        <v>2362</v>
      </c>
      <c r="E2921" s="90" t="str">
        <f>VLOOKUP(B2921&amp;C2921,Divipola!$C$2:$F$1138,4,FALSE)</f>
        <v>11001</v>
      </c>
      <c r="F2921" s="4"/>
      <c r="G2921" s="194"/>
      <c r="H2921" s="194"/>
      <c r="I2921" s="194"/>
      <c r="J2921" s="194">
        <v>15</v>
      </c>
      <c r="K2921" s="194">
        <v>3</v>
      </c>
      <c r="L2921" s="194">
        <v>3</v>
      </c>
      <c r="M2921" s="194"/>
      <c r="N2921" s="194"/>
      <c r="O2921" s="194"/>
      <c r="P2921" s="194"/>
      <c r="Q2921" s="194"/>
      <c r="R2921" s="194"/>
      <c r="S2921" s="194"/>
      <c r="T2921" s="194"/>
      <c r="U2921" s="194"/>
      <c r="V2921" s="194"/>
      <c r="W2921" s="19"/>
      <c r="X2921" s="17"/>
      <c r="Y2921" s="5">
        <f t="shared" si="280"/>
        <v>0</v>
      </c>
      <c r="Z2921" s="5">
        <f t="shared" si="281"/>
        <v>0</v>
      </c>
      <c r="AA2921" s="5">
        <f t="shared" si="282"/>
        <v>0</v>
      </c>
      <c r="AB2921" s="5">
        <f t="shared" si="283"/>
        <v>0</v>
      </c>
      <c r="AC2921" s="5"/>
      <c r="AD2921" s="5">
        <v>0</v>
      </c>
      <c r="AE2921" s="5">
        <f t="shared" si="284"/>
        <v>0</v>
      </c>
      <c r="AF2921" s="70">
        <v>0</v>
      </c>
      <c r="AG2921" s="17"/>
      <c r="AH2921" s="18"/>
      <c r="AI2921" s="47" t="s">
        <v>4336</v>
      </c>
      <c r="AJ2921" s="73" t="s">
        <v>4337</v>
      </c>
      <c r="AK2921" s="45"/>
      <c r="AL2921" s="17"/>
      <c r="AM2921" s="195" t="s">
        <v>5240</v>
      </c>
      <c r="AN2921" s="19"/>
      <c r="AO2921" s="19"/>
      <c r="AP2921" s="19"/>
      <c r="AQ2921" s="19"/>
      <c r="AR2921" s="19"/>
      <c r="AS2921" s="19"/>
      <c r="AT2921" s="19"/>
      <c r="AU2921" s="19"/>
      <c r="AV2921" s="19"/>
      <c r="AW2921" s="19"/>
      <c r="AX2921" s="19"/>
      <c r="AY2921" s="19"/>
      <c r="AZ2921" s="19"/>
      <c r="BA2921" s="19"/>
      <c r="BB2921" s="19"/>
      <c r="BC2921" s="19"/>
      <c r="BD2921" s="19"/>
      <c r="BE2921" s="19"/>
      <c r="BF2921" s="19"/>
      <c r="BG2921" s="19"/>
      <c r="BH2921" s="19"/>
      <c r="BI2921" s="19"/>
      <c r="BJ2921" s="19"/>
      <c r="BK2921" s="19"/>
      <c r="BL2921" s="19"/>
      <c r="BM2921" s="19"/>
      <c r="BN2921" s="19"/>
      <c r="BO2921" s="19"/>
      <c r="BP2921" s="19"/>
      <c r="BQ2921" s="19"/>
      <c r="BR2921" s="19"/>
      <c r="BS2921" s="19"/>
      <c r="BT2921" s="19"/>
      <c r="BU2921" s="19"/>
      <c r="BV2921" s="19"/>
      <c r="BW2921" s="19"/>
      <c r="BX2921" s="19"/>
      <c r="BY2921" s="19"/>
      <c r="BZ2921" s="19"/>
      <c r="CA2921" s="19"/>
      <c r="CB2921" s="19"/>
      <c r="CC2921" s="19"/>
      <c r="CD2921" s="139"/>
      <c r="CE2921" s="138"/>
      <c r="CF2921" s="139"/>
      <c r="CG2921" s="138"/>
      <c r="CH2921" s="139"/>
      <c r="CI2921" s="138"/>
      <c r="CJ2921" s="72"/>
      <c r="CK2921" s="139"/>
      <c r="CL2921" s="71"/>
      <c r="CM2921" s="139"/>
      <c r="CN2921" s="138"/>
      <c r="CO2921" s="138"/>
      <c r="CP2921" s="138"/>
      <c r="CQ2921" s="139"/>
      <c r="CR2921" s="138"/>
      <c r="CS2921" s="45"/>
      <c r="CT2921" s="138"/>
      <c r="CU2921" s="45"/>
      <c r="CV2921" s="99">
        <f t="shared" si="285"/>
        <v>0</v>
      </c>
      <c r="CW2921" s="139"/>
      <c r="CX2921" s="138"/>
      <c r="CY2921" s="138"/>
      <c r="CZ2921" s="138"/>
      <c r="DA2921" s="139"/>
      <c r="DB2921" s="138"/>
      <c r="DC2921" s="45"/>
      <c r="DD2921" s="138"/>
      <c r="DE2921" s="45"/>
      <c r="DF2921" s="46"/>
    </row>
    <row r="2922" spans="1:110" s="42" customFormat="1" ht="48" x14ac:dyDescent="0.2">
      <c r="A2922" s="89">
        <v>40880</v>
      </c>
      <c r="B2922" s="196" t="s">
        <v>4344</v>
      </c>
      <c r="C2922" s="197" t="s">
        <v>4388</v>
      </c>
      <c r="D2922" s="90" t="s">
        <v>4264</v>
      </c>
      <c r="E2922" s="90" t="str">
        <f>VLOOKUP(B2922&amp;C2922,Divipola!$C$2:$F$1138,4,FALSE)</f>
        <v>25307</v>
      </c>
      <c r="F2922" s="4"/>
      <c r="G2922" s="194"/>
      <c r="H2922" s="194"/>
      <c r="I2922" s="194"/>
      <c r="J2922" s="194">
        <v>35</v>
      </c>
      <c r="K2922" s="194">
        <v>7</v>
      </c>
      <c r="L2922" s="194"/>
      <c r="M2922" s="194">
        <v>7</v>
      </c>
      <c r="N2922" s="194"/>
      <c r="O2922" s="194"/>
      <c r="P2922" s="194"/>
      <c r="Q2922" s="194"/>
      <c r="R2922" s="194"/>
      <c r="S2922" s="194"/>
      <c r="T2922" s="194"/>
      <c r="U2922" s="194"/>
      <c r="V2922" s="194"/>
      <c r="W2922" s="19"/>
      <c r="X2922" s="17"/>
      <c r="Y2922" s="5">
        <f t="shared" si="280"/>
        <v>0</v>
      </c>
      <c r="Z2922" s="5">
        <f t="shared" si="281"/>
        <v>0</v>
      </c>
      <c r="AA2922" s="5">
        <f t="shared" si="282"/>
        <v>0</v>
      </c>
      <c r="AB2922" s="5">
        <f t="shared" si="283"/>
        <v>0</v>
      </c>
      <c r="AC2922" s="5"/>
      <c r="AD2922" s="5">
        <v>0</v>
      </c>
      <c r="AE2922" s="5">
        <f t="shared" si="284"/>
        <v>0</v>
      </c>
      <c r="AF2922" s="70">
        <v>0</v>
      </c>
      <c r="AG2922" s="17"/>
      <c r="AH2922" s="18"/>
      <c r="AI2922" s="47" t="s">
        <v>4346</v>
      </c>
      <c r="AJ2922" s="73" t="s">
        <v>4347</v>
      </c>
      <c r="AK2922" s="45"/>
      <c r="AL2922" s="89" t="s">
        <v>2798</v>
      </c>
      <c r="AM2922" s="195" t="s">
        <v>5241</v>
      </c>
      <c r="AN2922" s="19"/>
      <c r="AO2922" s="19"/>
      <c r="AP2922" s="19"/>
      <c r="AQ2922" s="19"/>
      <c r="AR2922" s="19"/>
      <c r="AS2922" s="19"/>
      <c r="AT2922" s="19"/>
      <c r="AU2922" s="19"/>
      <c r="AV2922" s="19"/>
      <c r="AW2922" s="19"/>
      <c r="AX2922" s="19"/>
      <c r="AY2922" s="19"/>
      <c r="AZ2922" s="19"/>
      <c r="BA2922" s="19"/>
      <c r="BB2922" s="19"/>
      <c r="BC2922" s="19"/>
      <c r="BD2922" s="19"/>
      <c r="BE2922" s="19"/>
      <c r="BF2922" s="19"/>
      <c r="BG2922" s="19"/>
      <c r="BH2922" s="19"/>
      <c r="BI2922" s="19"/>
      <c r="BJ2922" s="19"/>
      <c r="BK2922" s="19"/>
      <c r="BL2922" s="19"/>
      <c r="BM2922" s="19"/>
      <c r="BN2922" s="19"/>
      <c r="BO2922" s="19"/>
      <c r="BP2922" s="19"/>
      <c r="BQ2922" s="19"/>
      <c r="BR2922" s="19"/>
      <c r="BS2922" s="19"/>
      <c r="BT2922" s="19"/>
      <c r="BU2922" s="19"/>
      <c r="BV2922" s="19"/>
      <c r="BW2922" s="19"/>
      <c r="BX2922" s="19"/>
      <c r="BY2922" s="19"/>
      <c r="BZ2922" s="19"/>
      <c r="CA2922" s="19"/>
      <c r="CB2922" s="19"/>
      <c r="CC2922" s="19"/>
      <c r="CD2922" s="139"/>
      <c r="CE2922" s="138"/>
      <c r="CF2922" s="139"/>
      <c r="CG2922" s="138"/>
      <c r="CH2922" s="139"/>
      <c r="CI2922" s="138"/>
      <c r="CJ2922" s="72"/>
      <c r="CK2922" s="139"/>
      <c r="CL2922" s="71"/>
      <c r="CM2922" s="139"/>
      <c r="CN2922" s="138"/>
      <c r="CO2922" s="138"/>
      <c r="CP2922" s="138"/>
      <c r="CQ2922" s="139"/>
      <c r="CR2922" s="138"/>
      <c r="CS2922" s="45"/>
      <c r="CT2922" s="138"/>
      <c r="CU2922" s="45"/>
      <c r="CV2922" s="99">
        <f t="shared" si="285"/>
        <v>0</v>
      </c>
      <c r="CW2922" s="139"/>
      <c r="CX2922" s="138"/>
      <c r="CY2922" s="138"/>
      <c r="CZ2922" s="138"/>
      <c r="DA2922" s="139"/>
      <c r="DB2922" s="138"/>
      <c r="DC2922" s="45"/>
      <c r="DD2922" s="138"/>
      <c r="DE2922" s="45"/>
      <c r="DF2922" s="46"/>
    </row>
    <row r="2923" spans="1:110" s="42" customFormat="1" ht="60" x14ac:dyDescent="0.2">
      <c r="A2923" s="89">
        <v>40880</v>
      </c>
      <c r="B2923" s="196" t="s">
        <v>3533</v>
      </c>
      <c r="C2923" s="197" t="s">
        <v>862</v>
      </c>
      <c r="D2923" s="197" t="s">
        <v>2362</v>
      </c>
      <c r="E2923" s="90" t="str">
        <f>VLOOKUP(B2923&amp;C2923,Divipola!$C$2:$F$1138,4,FALSE)</f>
        <v>17001</v>
      </c>
      <c r="F2923" s="4"/>
      <c r="G2923" s="194"/>
      <c r="H2923" s="194"/>
      <c r="I2923" s="194"/>
      <c r="J2923" s="194">
        <v>10</v>
      </c>
      <c r="K2923" s="194">
        <v>3</v>
      </c>
      <c r="L2923" s="194">
        <v>3</v>
      </c>
      <c r="M2923" s="194"/>
      <c r="N2923" s="194"/>
      <c r="O2923" s="194"/>
      <c r="P2923" s="194"/>
      <c r="Q2923" s="194"/>
      <c r="R2923" s="194"/>
      <c r="S2923" s="194"/>
      <c r="T2923" s="194"/>
      <c r="U2923" s="194"/>
      <c r="V2923" s="194"/>
      <c r="W2923" s="19"/>
      <c r="X2923" s="17"/>
      <c r="Y2923" s="5">
        <f t="shared" si="280"/>
        <v>0</v>
      </c>
      <c r="Z2923" s="5">
        <f t="shared" si="281"/>
        <v>0</v>
      </c>
      <c r="AA2923" s="5">
        <f t="shared" si="282"/>
        <v>0</v>
      </c>
      <c r="AB2923" s="5">
        <f t="shared" si="283"/>
        <v>0</v>
      </c>
      <c r="AC2923" s="5"/>
      <c r="AD2923" s="5">
        <v>0</v>
      </c>
      <c r="AE2923" s="5">
        <f t="shared" si="284"/>
        <v>0</v>
      </c>
      <c r="AF2923" s="70">
        <v>0</v>
      </c>
      <c r="AG2923" s="17"/>
      <c r="AH2923" s="18"/>
      <c r="AI2923" s="47" t="s">
        <v>4336</v>
      </c>
      <c r="AJ2923" s="73" t="s">
        <v>4337</v>
      </c>
      <c r="AK2923" s="45"/>
      <c r="AL2923" s="17"/>
      <c r="AM2923" s="195" t="s">
        <v>5248</v>
      </c>
      <c r="AN2923" s="19"/>
      <c r="AO2923" s="19"/>
      <c r="AP2923" s="19"/>
      <c r="AQ2923" s="19"/>
      <c r="AR2923" s="19"/>
      <c r="AS2923" s="19"/>
      <c r="AT2923" s="19"/>
      <c r="AU2923" s="19"/>
      <c r="AV2923" s="19"/>
      <c r="AW2923" s="19"/>
      <c r="AX2923" s="19"/>
      <c r="AY2923" s="19"/>
      <c r="AZ2923" s="19"/>
      <c r="BA2923" s="19"/>
      <c r="BB2923" s="19"/>
      <c r="BC2923" s="19"/>
      <c r="BD2923" s="19"/>
      <c r="BE2923" s="19"/>
      <c r="BF2923" s="19"/>
      <c r="BG2923" s="19"/>
      <c r="BH2923" s="19"/>
      <c r="BI2923" s="19"/>
      <c r="BJ2923" s="19"/>
      <c r="BK2923" s="19"/>
      <c r="BL2923" s="19"/>
      <c r="BM2923" s="19"/>
      <c r="BN2923" s="19"/>
      <c r="BO2923" s="19"/>
      <c r="BP2923" s="19"/>
      <c r="BQ2923" s="19"/>
      <c r="BR2923" s="19"/>
      <c r="BS2923" s="19"/>
      <c r="BT2923" s="19"/>
      <c r="BU2923" s="19"/>
      <c r="BV2923" s="19"/>
      <c r="BW2923" s="19"/>
      <c r="BX2923" s="19"/>
      <c r="BY2923" s="19"/>
      <c r="BZ2923" s="19"/>
      <c r="CA2923" s="19"/>
      <c r="CB2923" s="19"/>
      <c r="CC2923" s="19"/>
      <c r="CD2923" s="139"/>
      <c r="CE2923" s="138"/>
      <c r="CF2923" s="139"/>
      <c r="CG2923" s="138"/>
      <c r="CH2923" s="139"/>
      <c r="CI2923" s="138"/>
      <c r="CJ2923" s="72"/>
      <c r="CK2923" s="139"/>
      <c r="CL2923" s="71"/>
      <c r="CM2923" s="139"/>
      <c r="CN2923" s="138"/>
      <c r="CO2923" s="138"/>
      <c r="CP2923" s="138"/>
      <c r="CQ2923" s="139"/>
      <c r="CR2923" s="138"/>
      <c r="CS2923" s="45"/>
      <c r="CT2923" s="138"/>
      <c r="CU2923" s="45"/>
      <c r="CV2923" s="99">
        <f t="shared" si="285"/>
        <v>0</v>
      </c>
      <c r="CW2923" s="139"/>
      <c r="CX2923" s="138"/>
      <c r="CY2923" s="138"/>
      <c r="CZ2923" s="138"/>
      <c r="DA2923" s="139"/>
      <c r="DB2923" s="138"/>
      <c r="DC2923" s="45"/>
      <c r="DD2923" s="138"/>
      <c r="DE2923" s="45"/>
      <c r="DF2923" s="46"/>
    </row>
    <row r="2924" spans="1:110" s="42" customFormat="1" ht="48" x14ac:dyDescent="0.2">
      <c r="A2924" s="89">
        <v>40880</v>
      </c>
      <c r="B2924" s="196" t="s">
        <v>3533</v>
      </c>
      <c r="C2924" s="197" t="s">
        <v>1418</v>
      </c>
      <c r="D2924" s="90" t="s">
        <v>4264</v>
      </c>
      <c r="E2924" s="90" t="str">
        <f>VLOOKUP(B2924&amp;C2924,Divipola!$C$2:$F$1138,4,FALSE)</f>
        <v>17777</v>
      </c>
      <c r="F2924" s="4"/>
      <c r="G2924" s="194"/>
      <c r="H2924" s="194"/>
      <c r="I2924" s="194"/>
      <c r="J2924" s="194">
        <v>200</v>
      </c>
      <c r="K2924" s="194">
        <v>40</v>
      </c>
      <c r="L2924" s="194"/>
      <c r="M2924" s="194">
        <v>36</v>
      </c>
      <c r="N2924" s="194"/>
      <c r="O2924" s="194"/>
      <c r="P2924" s="194"/>
      <c r="Q2924" s="194"/>
      <c r="R2924" s="194"/>
      <c r="S2924" s="194"/>
      <c r="T2924" s="194"/>
      <c r="U2924" s="194"/>
      <c r="V2924" s="194"/>
      <c r="W2924" s="19"/>
      <c r="X2924" s="17"/>
      <c r="Y2924" s="5">
        <f t="shared" si="280"/>
        <v>0</v>
      </c>
      <c r="Z2924" s="5">
        <f t="shared" si="281"/>
        <v>0</v>
      </c>
      <c r="AA2924" s="5">
        <f t="shared" si="282"/>
        <v>0</v>
      </c>
      <c r="AB2924" s="5">
        <f t="shared" si="283"/>
        <v>0</v>
      </c>
      <c r="AC2924" s="5"/>
      <c r="AD2924" s="5">
        <v>0</v>
      </c>
      <c r="AE2924" s="5">
        <f t="shared" si="284"/>
        <v>0</v>
      </c>
      <c r="AF2924" s="70">
        <v>0</v>
      </c>
      <c r="AG2924" s="17"/>
      <c r="AH2924" s="18"/>
      <c r="AI2924" s="47" t="s">
        <v>4336</v>
      </c>
      <c r="AJ2924" s="73" t="s">
        <v>4337</v>
      </c>
      <c r="AK2924" s="45"/>
      <c r="AL2924" s="17"/>
      <c r="AM2924" s="195" t="s">
        <v>5242</v>
      </c>
      <c r="AN2924" s="19"/>
      <c r="AO2924" s="19"/>
      <c r="AP2924" s="19"/>
      <c r="AQ2924" s="19"/>
      <c r="AR2924" s="19"/>
      <c r="AS2924" s="19"/>
      <c r="AT2924" s="19"/>
      <c r="AU2924" s="19"/>
      <c r="AV2924" s="19"/>
      <c r="AW2924" s="19"/>
      <c r="AX2924" s="19"/>
      <c r="AY2924" s="19"/>
      <c r="AZ2924" s="19"/>
      <c r="BA2924" s="19"/>
      <c r="BB2924" s="19"/>
      <c r="BC2924" s="19"/>
      <c r="BD2924" s="19"/>
      <c r="BE2924" s="19"/>
      <c r="BF2924" s="19"/>
      <c r="BG2924" s="19"/>
      <c r="BH2924" s="19"/>
      <c r="BI2924" s="19"/>
      <c r="BJ2924" s="19"/>
      <c r="BK2924" s="19"/>
      <c r="BL2924" s="19"/>
      <c r="BM2924" s="19"/>
      <c r="BN2924" s="19"/>
      <c r="BO2924" s="19"/>
      <c r="BP2924" s="19"/>
      <c r="BQ2924" s="19"/>
      <c r="BR2924" s="19"/>
      <c r="BS2924" s="19"/>
      <c r="BT2924" s="19"/>
      <c r="BU2924" s="19"/>
      <c r="BV2924" s="19"/>
      <c r="BW2924" s="19"/>
      <c r="BX2924" s="19"/>
      <c r="BY2924" s="19"/>
      <c r="BZ2924" s="19"/>
      <c r="CA2924" s="19"/>
      <c r="CB2924" s="19"/>
      <c r="CC2924" s="19"/>
      <c r="CD2924" s="139"/>
      <c r="CE2924" s="138"/>
      <c r="CF2924" s="139"/>
      <c r="CG2924" s="138"/>
      <c r="CH2924" s="139"/>
      <c r="CI2924" s="138"/>
      <c r="CJ2924" s="72"/>
      <c r="CK2924" s="139"/>
      <c r="CL2924" s="71"/>
      <c r="CM2924" s="139"/>
      <c r="CN2924" s="138"/>
      <c r="CO2924" s="138"/>
      <c r="CP2924" s="138"/>
      <c r="CQ2924" s="139"/>
      <c r="CR2924" s="138"/>
      <c r="CS2924" s="45"/>
      <c r="CT2924" s="138"/>
      <c r="CU2924" s="45"/>
      <c r="CV2924" s="99">
        <f t="shared" si="285"/>
        <v>0</v>
      </c>
      <c r="CW2924" s="139"/>
      <c r="CX2924" s="138"/>
      <c r="CY2924" s="138"/>
      <c r="CZ2924" s="138"/>
      <c r="DA2924" s="139"/>
      <c r="DB2924" s="138"/>
      <c r="DC2924" s="45"/>
      <c r="DD2924" s="138"/>
      <c r="DE2924" s="45"/>
      <c r="DF2924" s="46"/>
    </row>
    <row r="2925" spans="1:110" s="42" customFormat="1" ht="36" x14ac:dyDescent="0.2">
      <c r="A2925" s="89">
        <v>40880</v>
      </c>
      <c r="B2925" s="221" t="s">
        <v>4308</v>
      </c>
      <c r="C2925" s="197" t="s">
        <v>4306</v>
      </c>
      <c r="D2925" s="90" t="s">
        <v>4264</v>
      </c>
      <c r="E2925" s="90" t="str">
        <f>VLOOKUP(B2925&amp;C2925,Divipola!$C$2:$F$1138,4,FALSE)</f>
        <v>47001</v>
      </c>
      <c r="F2925" s="4"/>
      <c r="G2925" s="194"/>
      <c r="H2925" s="194"/>
      <c r="I2925" s="194"/>
      <c r="J2925" s="194">
        <v>300</v>
      </c>
      <c r="K2925" s="194">
        <v>60</v>
      </c>
      <c r="L2925" s="194">
        <v>2</v>
      </c>
      <c r="M2925" s="194">
        <v>20</v>
      </c>
      <c r="N2925" s="194"/>
      <c r="O2925" s="194"/>
      <c r="P2925" s="194"/>
      <c r="Q2925" s="194"/>
      <c r="R2925" s="194"/>
      <c r="S2925" s="194"/>
      <c r="T2925" s="194"/>
      <c r="U2925" s="194"/>
      <c r="V2925" s="194"/>
      <c r="W2925" s="19"/>
      <c r="X2925" s="17"/>
      <c r="Y2925" s="5">
        <f t="shared" si="280"/>
        <v>0</v>
      </c>
      <c r="Z2925" s="5">
        <f t="shared" si="281"/>
        <v>0</v>
      </c>
      <c r="AA2925" s="5">
        <f t="shared" si="282"/>
        <v>0</v>
      </c>
      <c r="AB2925" s="5">
        <f t="shared" si="283"/>
        <v>0</v>
      </c>
      <c r="AC2925" s="5"/>
      <c r="AD2925" s="5">
        <v>0</v>
      </c>
      <c r="AE2925" s="5">
        <f t="shared" si="284"/>
        <v>0</v>
      </c>
      <c r="AF2925" s="70">
        <v>0</v>
      </c>
      <c r="AG2925" s="17"/>
      <c r="AH2925" s="18"/>
      <c r="AI2925" s="47" t="s">
        <v>4346</v>
      </c>
      <c r="AJ2925" s="73" t="s">
        <v>4347</v>
      </c>
      <c r="AK2925" s="45"/>
      <c r="AL2925" s="89" t="s">
        <v>2798</v>
      </c>
      <c r="AM2925" s="195" t="s">
        <v>5243</v>
      </c>
      <c r="AN2925" s="19"/>
      <c r="AO2925" s="19"/>
      <c r="AP2925" s="19"/>
      <c r="AQ2925" s="19"/>
      <c r="AR2925" s="19"/>
      <c r="AS2925" s="19"/>
      <c r="AT2925" s="19"/>
      <c r="AU2925" s="19"/>
      <c r="AV2925" s="19"/>
      <c r="AW2925" s="19"/>
      <c r="AX2925" s="19"/>
      <c r="AY2925" s="19"/>
      <c r="AZ2925" s="19"/>
      <c r="BA2925" s="19"/>
      <c r="BB2925" s="19"/>
      <c r="BC2925" s="19"/>
      <c r="BD2925" s="19"/>
      <c r="BE2925" s="19"/>
      <c r="BF2925" s="19"/>
      <c r="BG2925" s="19"/>
      <c r="BH2925" s="19"/>
      <c r="BI2925" s="19"/>
      <c r="BJ2925" s="19"/>
      <c r="BK2925" s="19"/>
      <c r="BL2925" s="19"/>
      <c r="BM2925" s="19"/>
      <c r="BN2925" s="19"/>
      <c r="BO2925" s="19"/>
      <c r="BP2925" s="19"/>
      <c r="BQ2925" s="19"/>
      <c r="BR2925" s="19"/>
      <c r="BS2925" s="19"/>
      <c r="BT2925" s="19"/>
      <c r="BU2925" s="19"/>
      <c r="BV2925" s="19"/>
      <c r="BW2925" s="19"/>
      <c r="BX2925" s="19"/>
      <c r="BY2925" s="19"/>
      <c r="BZ2925" s="19"/>
      <c r="CA2925" s="19"/>
      <c r="CB2925" s="19"/>
      <c r="CC2925" s="19"/>
      <c r="CD2925" s="139"/>
      <c r="CE2925" s="138"/>
      <c r="CF2925" s="139"/>
      <c r="CG2925" s="138"/>
      <c r="CH2925" s="139"/>
      <c r="CI2925" s="138"/>
      <c r="CJ2925" s="72"/>
      <c r="CK2925" s="139"/>
      <c r="CL2925" s="71"/>
      <c r="CM2925" s="139"/>
      <c r="CN2925" s="138"/>
      <c r="CO2925" s="138"/>
      <c r="CP2925" s="138"/>
      <c r="CQ2925" s="139"/>
      <c r="CR2925" s="138"/>
      <c r="CS2925" s="45"/>
      <c r="CT2925" s="138"/>
      <c r="CU2925" s="45"/>
      <c r="CV2925" s="99">
        <f t="shared" si="285"/>
        <v>0</v>
      </c>
      <c r="CW2925" s="139"/>
      <c r="CX2925" s="138"/>
      <c r="CY2925" s="138"/>
      <c r="CZ2925" s="138"/>
      <c r="DA2925" s="139"/>
      <c r="DB2925" s="138"/>
      <c r="DC2925" s="45"/>
      <c r="DD2925" s="138"/>
      <c r="DE2925" s="45"/>
      <c r="DF2925" s="46"/>
    </row>
    <row r="2926" spans="1:110" s="42" customFormat="1" ht="48" x14ac:dyDescent="0.2">
      <c r="A2926" s="89">
        <v>40880</v>
      </c>
      <c r="B2926" s="196" t="s">
        <v>4244</v>
      </c>
      <c r="C2926" s="197" t="s">
        <v>3176</v>
      </c>
      <c r="D2926" s="90" t="s">
        <v>4264</v>
      </c>
      <c r="E2926" s="90" t="str">
        <f>VLOOKUP(B2926&amp;C2926,Divipola!$C$2:$F$1138,4,FALSE)</f>
        <v>76563</v>
      </c>
      <c r="F2926" s="4"/>
      <c r="G2926" s="194"/>
      <c r="H2926" s="194"/>
      <c r="I2926" s="194"/>
      <c r="J2926" s="194">
        <v>25</v>
      </c>
      <c r="K2926" s="194">
        <v>5</v>
      </c>
      <c r="L2926" s="194">
        <v>2</v>
      </c>
      <c r="M2926" s="194">
        <v>3</v>
      </c>
      <c r="N2926" s="194"/>
      <c r="O2926" s="194"/>
      <c r="P2926" s="194"/>
      <c r="Q2926" s="194"/>
      <c r="R2926" s="194"/>
      <c r="S2926" s="194"/>
      <c r="T2926" s="194"/>
      <c r="U2926" s="194"/>
      <c r="V2926" s="194"/>
      <c r="W2926" s="19"/>
      <c r="X2926" s="17"/>
      <c r="Y2926" s="5">
        <f t="shared" si="280"/>
        <v>0</v>
      </c>
      <c r="Z2926" s="5">
        <f t="shared" si="281"/>
        <v>0</v>
      </c>
      <c r="AA2926" s="5">
        <f t="shared" si="282"/>
        <v>0</v>
      </c>
      <c r="AB2926" s="5">
        <f t="shared" si="283"/>
        <v>0</v>
      </c>
      <c r="AC2926" s="5"/>
      <c r="AD2926" s="5">
        <v>0</v>
      </c>
      <c r="AE2926" s="5">
        <f t="shared" si="284"/>
        <v>0</v>
      </c>
      <c r="AF2926" s="70">
        <v>0</v>
      </c>
      <c r="AG2926" s="17"/>
      <c r="AH2926" s="18"/>
      <c r="AI2926" s="47" t="s">
        <v>4346</v>
      </c>
      <c r="AJ2926" s="73" t="s">
        <v>4347</v>
      </c>
      <c r="AK2926" s="45"/>
      <c r="AL2926" s="89" t="s">
        <v>2798</v>
      </c>
      <c r="AM2926" s="195" t="s">
        <v>5244</v>
      </c>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39"/>
      <c r="CE2926" s="138"/>
      <c r="CF2926" s="139"/>
      <c r="CG2926" s="138"/>
      <c r="CH2926" s="139"/>
      <c r="CI2926" s="138"/>
      <c r="CJ2926" s="72"/>
      <c r="CK2926" s="139"/>
      <c r="CL2926" s="71"/>
      <c r="CM2926" s="139"/>
      <c r="CN2926" s="138"/>
      <c r="CO2926" s="138"/>
      <c r="CP2926" s="138"/>
      <c r="CQ2926" s="139"/>
      <c r="CR2926" s="138"/>
      <c r="CS2926" s="45"/>
      <c r="CT2926" s="138"/>
      <c r="CU2926" s="45"/>
      <c r="CV2926" s="99">
        <f t="shared" si="285"/>
        <v>0</v>
      </c>
      <c r="CW2926" s="139"/>
      <c r="CX2926" s="138"/>
      <c r="CY2926" s="138"/>
      <c r="CZ2926" s="138"/>
      <c r="DA2926" s="139"/>
      <c r="DB2926" s="138"/>
      <c r="DC2926" s="45"/>
      <c r="DD2926" s="138"/>
      <c r="DE2926" s="45"/>
      <c r="DF2926" s="46"/>
    </row>
    <row r="2927" spans="1:110" s="42" customFormat="1" ht="180" x14ac:dyDescent="0.2">
      <c r="A2927" s="89">
        <v>40880</v>
      </c>
      <c r="B2927" s="151" t="s">
        <v>4350</v>
      </c>
      <c r="C2927" s="90" t="s">
        <v>2203</v>
      </c>
      <c r="D2927" s="90" t="s">
        <v>2362</v>
      </c>
      <c r="E2927" s="90" t="str">
        <f>VLOOKUP(B2927&amp;C2927,Divipola!$C$2:$F$1138,4,FALSE)</f>
        <v>63111</v>
      </c>
      <c r="F2927" s="4"/>
      <c r="G2927" s="101"/>
      <c r="H2927" s="101"/>
      <c r="I2927" s="101"/>
      <c r="J2927" s="101">
        <v>3</v>
      </c>
      <c r="K2927" s="101">
        <v>1</v>
      </c>
      <c r="L2927" s="101">
        <v>1</v>
      </c>
      <c r="M2927" s="101"/>
      <c r="N2927" s="101">
        <v>1</v>
      </c>
      <c r="O2927" s="101"/>
      <c r="P2927" s="101"/>
      <c r="Q2927" s="101"/>
      <c r="R2927" s="101"/>
      <c r="S2927" s="101"/>
      <c r="T2927" s="101"/>
      <c r="U2927" s="101"/>
      <c r="V2927" s="101"/>
      <c r="W2927" s="19"/>
      <c r="X2927" s="17"/>
      <c r="Y2927" s="5">
        <f t="shared" si="280"/>
        <v>0</v>
      </c>
      <c r="Z2927" s="5">
        <f t="shared" si="281"/>
        <v>0</v>
      </c>
      <c r="AA2927" s="5">
        <f t="shared" si="282"/>
        <v>0</v>
      </c>
      <c r="AB2927" s="5">
        <f t="shared" si="283"/>
        <v>0</v>
      </c>
      <c r="AC2927" s="5"/>
      <c r="AD2927" s="5">
        <v>0</v>
      </c>
      <c r="AE2927" s="5">
        <f t="shared" si="284"/>
        <v>0</v>
      </c>
      <c r="AF2927" s="70">
        <v>0</v>
      </c>
      <c r="AG2927" s="17"/>
      <c r="AH2927" s="18"/>
      <c r="AI2927" s="47" t="s">
        <v>4346</v>
      </c>
      <c r="AJ2927" s="73" t="s">
        <v>4347</v>
      </c>
      <c r="AK2927" s="45"/>
      <c r="AL2927" s="17" t="s">
        <v>5051</v>
      </c>
      <c r="AM2927" s="121" t="s">
        <v>5250</v>
      </c>
      <c r="AN2927" s="19"/>
      <c r="AO2927" s="19"/>
      <c r="AP2927" s="19"/>
      <c r="AQ2927" s="19"/>
      <c r="AR2927" s="19"/>
      <c r="AS2927" s="19"/>
      <c r="AT2927" s="19"/>
      <c r="AU2927" s="19"/>
      <c r="AV2927" s="19"/>
      <c r="AW2927" s="1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c r="BW2927" s="19"/>
      <c r="BX2927" s="19"/>
      <c r="BY2927" s="19"/>
      <c r="BZ2927" s="19"/>
      <c r="CA2927" s="19"/>
      <c r="CB2927" s="19"/>
      <c r="CC2927" s="19"/>
      <c r="CD2927" s="139"/>
      <c r="CE2927" s="138"/>
      <c r="CF2927" s="139"/>
      <c r="CG2927" s="138"/>
      <c r="CH2927" s="139"/>
      <c r="CI2927" s="138"/>
      <c r="CJ2927" s="72"/>
      <c r="CK2927" s="139"/>
      <c r="CL2927" s="71"/>
      <c r="CM2927" s="139"/>
      <c r="CN2927" s="138"/>
      <c r="CO2927" s="138"/>
      <c r="CP2927" s="138"/>
      <c r="CQ2927" s="139"/>
      <c r="CR2927" s="138"/>
      <c r="CS2927" s="45"/>
      <c r="CT2927" s="138"/>
      <c r="CU2927" s="45"/>
      <c r="CV2927" s="99">
        <f t="shared" si="285"/>
        <v>0</v>
      </c>
      <c r="CW2927" s="139"/>
      <c r="CX2927" s="138"/>
      <c r="CY2927" s="138"/>
      <c r="CZ2927" s="138"/>
      <c r="DA2927" s="139"/>
      <c r="DB2927" s="138"/>
      <c r="DC2927" s="45"/>
      <c r="DD2927" s="138"/>
      <c r="DE2927" s="45"/>
      <c r="DF2927" s="46"/>
    </row>
    <row r="2928" spans="1:110" s="42" customFormat="1" ht="276" x14ac:dyDescent="0.2">
      <c r="A2928" s="89">
        <v>40880</v>
      </c>
      <c r="B2928" s="151" t="s">
        <v>4350</v>
      </c>
      <c r="C2928" s="90" t="s">
        <v>4252</v>
      </c>
      <c r="D2928" s="90" t="s">
        <v>2362</v>
      </c>
      <c r="E2928" s="90" t="str">
        <f>VLOOKUP(B2928&amp;C2928,Divipola!$C$2:$F$1138,4,FALSE)</f>
        <v>63690</v>
      </c>
      <c r="F2928" s="4"/>
      <c r="G2928" s="101"/>
      <c r="H2928" s="101"/>
      <c r="I2928" s="101"/>
      <c r="J2928" s="101">
        <v>5</v>
      </c>
      <c r="K2928" s="101">
        <v>1</v>
      </c>
      <c r="L2928" s="101"/>
      <c r="M2928" s="101"/>
      <c r="N2928" s="101">
        <v>1</v>
      </c>
      <c r="O2928" s="101"/>
      <c r="P2928" s="101"/>
      <c r="Q2928" s="101"/>
      <c r="R2928" s="101"/>
      <c r="S2928" s="101"/>
      <c r="T2928" s="101"/>
      <c r="U2928" s="101"/>
      <c r="V2928" s="101"/>
      <c r="W2928" s="19"/>
      <c r="X2928" s="17"/>
      <c r="Y2928" s="5">
        <f t="shared" si="280"/>
        <v>0</v>
      </c>
      <c r="Z2928" s="5">
        <f t="shared" si="281"/>
        <v>0</v>
      </c>
      <c r="AA2928" s="5">
        <f t="shared" si="282"/>
        <v>0</v>
      </c>
      <c r="AB2928" s="5">
        <f t="shared" si="283"/>
        <v>0</v>
      </c>
      <c r="AC2928" s="5"/>
      <c r="AD2928" s="5">
        <v>40000000</v>
      </c>
      <c r="AE2928" s="5">
        <f t="shared" si="284"/>
        <v>40000000</v>
      </c>
      <c r="AF2928" s="70">
        <v>0</v>
      </c>
      <c r="AG2928" s="17"/>
      <c r="AH2928" s="18"/>
      <c r="AI2928" s="47" t="s">
        <v>4346</v>
      </c>
      <c r="AJ2928" s="73" t="s">
        <v>4347</v>
      </c>
      <c r="AK2928" s="45"/>
      <c r="AL2928" s="17" t="s">
        <v>5051</v>
      </c>
      <c r="AM2928" s="121" t="s">
        <v>5377</v>
      </c>
      <c r="AN2928" s="19"/>
      <c r="AO2928" s="19"/>
      <c r="AP2928" s="19"/>
      <c r="AQ2928" s="19"/>
      <c r="AR2928" s="19"/>
      <c r="AS2928" s="19"/>
      <c r="AT2928" s="19"/>
      <c r="AU2928" s="19"/>
      <c r="AV2928" s="19"/>
      <c r="AW2928" s="19"/>
      <c r="AX2928" s="19"/>
      <c r="AY2928" s="19"/>
      <c r="AZ2928" s="19"/>
      <c r="BA2928" s="19"/>
      <c r="BB2928" s="19"/>
      <c r="BC2928" s="19"/>
      <c r="BD2928" s="19"/>
      <c r="BE2928" s="19"/>
      <c r="BF2928" s="19"/>
      <c r="BG2928" s="19"/>
      <c r="BH2928" s="19"/>
      <c r="BI2928" s="19"/>
      <c r="BJ2928" s="19"/>
      <c r="BK2928" s="19"/>
      <c r="BL2928" s="19"/>
      <c r="BM2928" s="19"/>
      <c r="BN2928" s="19"/>
      <c r="BO2928" s="19"/>
      <c r="BP2928" s="19"/>
      <c r="BQ2928" s="19"/>
      <c r="BR2928" s="19"/>
      <c r="BS2928" s="19"/>
      <c r="BT2928" s="19"/>
      <c r="BU2928" s="19"/>
      <c r="BV2928" s="19"/>
      <c r="BW2928" s="19"/>
      <c r="BX2928" s="19"/>
      <c r="BY2928" s="19"/>
      <c r="BZ2928" s="19"/>
      <c r="CA2928" s="19"/>
      <c r="CB2928" s="19"/>
      <c r="CC2928" s="19"/>
      <c r="CD2928" s="139"/>
      <c r="CE2928" s="138"/>
      <c r="CF2928" s="139"/>
      <c r="CG2928" s="138"/>
      <c r="CH2928" s="139"/>
      <c r="CI2928" s="138"/>
      <c r="CJ2928" s="72"/>
      <c r="CK2928" s="139"/>
      <c r="CL2928" s="71"/>
      <c r="CM2928" s="139"/>
      <c r="CN2928" s="138"/>
      <c r="CO2928" s="138"/>
      <c r="CP2928" s="138"/>
      <c r="CQ2928" s="139"/>
      <c r="CR2928" s="138"/>
      <c r="CS2928" s="45"/>
      <c r="CT2928" s="138"/>
      <c r="CU2928" s="45"/>
      <c r="CV2928" s="99">
        <f t="shared" si="285"/>
        <v>0</v>
      </c>
      <c r="CW2928" s="139"/>
      <c r="CX2928" s="138"/>
      <c r="CY2928" s="138"/>
      <c r="CZ2928" s="138"/>
      <c r="DA2928" s="139"/>
      <c r="DB2928" s="138"/>
      <c r="DC2928" s="45"/>
      <c r="DD2928" s="138"/>
      <c r="DE2928" s="45"/>
      <c r="DF2928" s="46"/>
    </row>
    <row r="2929" spans="1:110" s="42" customFormat="1" ht="60" x14ac:dyDescent="0.2">
      <c r="A2929" s="89">
        <v>40880</v>
      </c>
      <c r="B2929" s="151" t="s">
        <v>4344</v>
      </c>
      <c r="C2929" s="90" t="s">
        <v>4388</v>
      </c>
      <c r="D2929" s="90" t="s">
        <v>4264</v>
      </c>
      <c r="E2929" s="90" t="str">
        <f>VLOOKUP(B2929&amp;C2929,Divipola!$C$2:$F$1138,4,FALSE)</f>
        <v>25307</v>
      </c>
      <c r="F2929" s="4"/>
      <c r="G2929" s="101"/>
      <c r="H2929" s="101"/>
      <c r="I2929" s="101"/>
      <c r="J2929" s="101">
        <v>90</v>
      </c>
      <c r="K2929" s="101">
        <v>22</v>
      </c>
      <c r="L2929" s="101"/>
      <c r="M2929" s="101">
        <v>22</v>
      </c>
      <c r="N2929" s="101"/>
      <c r="O2929" s="101"/>
      <c r="P2929" s="101"/>
      <c r="Q2929" s="101"/>
      <c r="R2929" s="101"/>
      <c r="S2929" s="101"/>
      <c r="T2929" s="101"/>
      <c r="U2929" s="101"/>
      <c r="V2929" s="101"/>
      <c r="W2929" s="19"/>
      <c r="X2929" s="17"/>
      <c r="Y2929" s="5">
        <f t="shared" si="280"/>
        <v>0</v>
      </c>
      <c r="Z2929" s="5">
        <f t="shared" si="281"/>
        <v>0</v>
      </c>
      <c r="AA2929" s="5">
        <f t="shared" si="282"/>
        <v>0</v>
      </c>
      <c r="AB2929" s="5">
        <f t="shared" si="283"/>
        <v>0</v>
      </c>
      <c r="AC2929" s="5"/>
      <c r="AD2929" s="5">
        <v>0</v>
      </c>
      <c r="AE2929" s="5">
        <f t="shared" si="284"/>
        <v>0</v>
      </c>
      <c r="AF2929" s="70">
        <v>0</v>
      </c>
      <c r="AG2929" s="17"/>
      <c r="AH2929" s="18"/>
      <c r="AI2929" s="47" t="s">
        <v>4346</v>
      </c>
      <c r="AJ2929" s="73" t="s">
        <v>4347</v>
      </c>
      <c r="AK2929" s="45"/>
      <c r="AL2929" s="89" t="s">
        <v>2798</v>
      </c>
      <c r="AM2929" s="121" t="s">
        <v>5270</v>
      </c>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c r="BW2929" s="19"/>
      <c r="BX2929" s="19"/>
      <c r="BY2929" s="19"/>
      <c r="BZ2929" s="19"/>
      <c r="CA2929" s="19"/>
      <c r="CB2929" s="19"/>
      <c r="CC2929" s="19"/>
      <c r="CD2929" s="139"/>
      <c r="CE2929" s="138"/>
      <c r="CF2929" s="139"/>
      <c r="CG2929" s="138"/>
      <c r="CH2929" s="139"/>
      <c r="CI2929" s="138"/>
      <c r="CJ2929" s="72"/>
      <c r="CK2929" s="139"/>
      <c r="CL2929" s="71"/>
      <c r="CM2929" s="139"/>
      <c r="CN2929" s="138"/>
      <c r="CO2929" s="138"/>
      <c r="CP2929" s="138"/>
      <c r="CQ2929" s="139"/>
      <c r="CR2929" s="138"/>
      <c r="CS2929" s="45"/>
      <c r="CT2929" s="138"/>
      <c r="CU2929" s="45"/>
      <c r="CV2929" s="99">
        <f t="shared" si="285"/>
        <v>0</v>
      </c>
      <c r="CW2929" s="139"/>
      <c r="CX2929" s="138"/>
      <c r="CY2929" s="138"/>
      <c r="CZ2929" s="138"/>
      <c r="DA2929" s="139"/>
      <c r="DB2929" s="138"/>
      <c r="DC2929" s="45"/>
      <c r="DD2929" s="138"/>
      <c r="DE2929" s="45"/>
      <c r="DF2929" s="46"/>
    </row>
    <row r="2930" spans="1:110" s="42" customFormat="1" ht="60" x14ac:dyDescent="0.2">
      <c r="A2930" s="89">
        <v>40880</v>
      </c>
      <c r="B2930" s="151" t="s">
        <v>4344</v>
      </c>
      <c r="C2930" s="90" t="s">
        <v>2206</v>
      </c>
      <c r="D2930" s="90" t="s">
        <v>4264</v>
      </c>
      <c r="E2930" s="90" t="str">
        <f>VLOOKUP(B2930&amp;C2930,Divipola!$C$2:$F$1138,4,FALSE)</f>
        <v>25035</v>
      </c>
      <c r="F2930" s="4"/>
      <c r="G2930" s="101"/>
      <c r="H2930" s="101"/>
      <c r="I2930" s="101"/>
      <c r="J2930" s="101">
        <v>40</v>
      </c>
      <c r="K2930" s="101">
        <v>8</v>
      </c>
      <c r="L2930" s="101">
        <v>8</v>
      </c>
      <c r="M2930" s="101"/>
      <c r="N2930" s="101">
        <v>1</v>
      </c>
      <c r="O2930" s="101"/>
      <c r="P2930" s="101"/>
      <c r="Q2930" s="101"/>
      <c r="R2930" s="101"/>
      <c r="S2930" s="101"/>
      <c r="T2930" s="101"/>
      <c r="U2930" s="101"/>
      <c r="V2930" s="101"/>
      <c r="W2930" s="19"/>
      <c r="X2930" s="17"/>
      <c r="Y2930" s="5">
        <f t="shared" si="280"/>
        <v>0</v>
      </c>
      <c r="Z2930" s="5">
        <f t="shared" si="281"/>
        <v>0</v>
      </c>
      <c r="AA2930" s="5">
        <f t="shared" si="282"/>
        <v>0</v>
      </c>
      <c r="AB2930" s="5">
        <f t="shared" si="283"/>
        <v>0</v>
      </c>
      <c r="AC2930" s="5"/>
      <c r="AD2930" s="5">
        <v>0</v>
      </c>
      <c r="AE2930" s="5">
        <f t="shared" si="284"/>
        <v>0</v>
      </c>
      <c r="AF2930" s="70">
        <v>0</v>
      </c>
      <c r="AG2930" s="17"/>
      <c r="AH2930" s="18"/>
      <c r="AI2930" s="47" t="s">
        <v>4346</v>
      </c>
      <c r="AJ2930" s="73" t="s">
        <v>4347</v>
      </c>
      <c r="AK2930" s="45"/>
      <c r="AL2930" s="89" t="s">
        <v>2798</v>
      </c>
      <c r="AM2930" s="121" t="s">
        <v>5271</v>
      </c>
      <c r="AN2930" s="19"/>
      <c r="AO2930" s="19"/>
      <c r="AP2930" s="19"/>
      <c r="AQ2930" s="19"/>
      <c r="AR2930" s="19"/>
      <c r="AS2930" s="19"/>
      <c r="AT2930" s="19"/>
      <c r="AU2930" s="19"/>
      <c r="AV2930" s="19"/>
      <c r="AW2930" s="19"/>
      <c r="AX2930" s="19"/>
      <c r="AY2930" s="19"/>
      <c r="AZ2930" s="19"/>
      <c r="BA2930" s="19"/>
      <c r="BB2930" s="19"/>
      <c r="BC2930" s="19"/>
      <c r="BD2930" s="19"/>
      <c r="BE2930" s="19"/>
      <c r="BF2930" s="19"/>
      <c r="BG2930" s="19"/>
      <c r="BH2930" s="19"/>
      <c r="BI2930" s="19"/>
      <c r="BJ2930" s="19"/>
      <c r="BK2930" s="19"/>
      <c r="BL2930" s="19"/>
      <c r="BM2930" s="19"/>
      <c r="BN2930" s="19"/>
      <c r="BO2930" s="19"/>
      <c r="BP2930" s="19"/>
      <c r="BQ2930" s="19"/>
      <c r="BR2930" s="19"/>
      <c r="BS2930" s="19"/>
      <c r="BT2930" s="19"/>
      <c r="BU2930" s="19"/>
      <c r="BV2930" s="19"/>
      <c r="BW2930" s="19"/>
      <c r="BX2930" s="19"/>
      <c r="BY2930" s="19"/>
      <c r="BZ2930" s="19"/>
      <c r="CA2930" s="19"/>
      <c r="CB2930" s="19"/>
      <c r="CC2930" s="19"/>
      <c r="CD2930" s="139"/>
      <c r="CE2930" s="138"/>
      <c r="CF2930" s="139"/>
      <c r="CG2930" s="138"/>
      <c r="CH2930" s="139"/>
      <c r="CI2930" s="138"/>
      <c r="CJ2930" s="72"/>
      <c r="CK2930" s="139"/>
      <c r="CL2930" s="71"/>
      <c r="CM2930" s="139"/>
      <c r="CN2930" s="138"/>
      <c r="CO2930" s="138"/>
      <c r="CP2930" s="138"/>
      <c r="CQ2930" s="139"/>
      <c r="CR2930" s="138"/>
      <c r="CS2930" s="45"/>
      <c r="CT2930" s="138"/>
      <c r="CU2930" s="45"/>
      <c r="CV2930" s="99">
        <f t="shared" si="285"/>
        <v>0</v>
      </c>
      <c r="CW2930" s="139"/>
      <c r="CX2930" s="138"/>
      <c r="CY2930" s="138"/>
      <c r="CZ2930" s="138"/>
      <c r="DA2930" s="139"/>
      <c r="DB2930" s="138"/>
      <c r="DC2930" s="45"/>
      <c r="DD2930" s="138"/>
      <c r="DE2930" s="45"/>
      <c r="DF2930" s="46"/>
    </row>
    <row r="2931" spans="1:110" s="42" customFormat="1" ht="72" x14ac:dyDescent="0.2">
      <c r="A2931" s="89">
        <v>40880</v>
      </c>
      <c r="B2931" s="151" t="s">
        <v>4344</v>
      </c>
      <c r="C2931" s="90" t="s">
        <v>4280</v>
      </c>
      <c r="D2931" s="90" t="s">
        <v>4264</v>
      </c>
      <c r="E2931" s="90" t="str">
        <f>VLOOKUP(B2931&amp;C2931,Divipola!$C$2:$F$1138,4,FALSE)</f>
        <v>25841</v>
      </c>
      <c r="F2931" s="4"/>
      <c r="G2931" s="101">
        <v>2</v>
      </c>
      <c r="H2931" s="101"/>
      <c r="I2931" s="101"/>
      <c r="J2931" s="101"/>
      <c r="K2931" s="101"/>
      <c r="L2931" s="101"/>
      <c r="M2931" s="101"/>
      <c r="N2931" s="101"/>
      <c r="O2931" s="101"/>
      <c r="P2931" s="101"/>
      <c r="Q2931" s="101"/>
      <c r="R2931" s="101"/>
      <c r="S2931" s="101"/>
      <c r="T2931" s="101"/>
      <c r="U2931" s="101"/>
      <c r="V2931" s="101"/>
      <c r="W2931" s="19"/>
      <c r="X2931" s="17"/>
      <c r="Y2931" s="5">
        <f t="shared" si="280"/>
        <v>0</v>
      </c>
      <c r="Z2931" s="5">
        <f t="shared" si="281"/>
        <v>0</v>
      </c>
      <c r="AA2931" s="5">
        <f t="shared" si="282"/>
        <v>0</v>
      </c>
      <c r="AB2931" s="5">
        <f t="shared" si="283"/>
        <v>0</v>
      </c>
      <c r="AC2931" s="5"/>
      <c r="AD2931" s="5">
        <v>0</v>
      </c>
      <c r="AE2931" s="5">
        <f t="shared" si="284"/>
        <v>0</v>
      </c>
      <c r="AF2931" s="70">
        <v>0</v>
      </c>
      <c r="AG2931" s="17"/>
      <c r="AH2931" s="18"/>
      <c r="AI2931" s="47" t="s">
        <v>4346</v>
      </c>
      <c r="AJ2931" s="73" t="s">
        <v>4347</v>
      </c>
      <c r="AK2931" s="45"/>
      <c r="AL2931" s="89" t="s">
        <v>2798</v>
      </c>
      <c r="AM2931" s="121" t="s">
        <v>5272</v>
      </c>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c r="CA2931" s="19"/>
      <c r="CB2931" s="19"/>
      <c r="CC2931" s="19"/>
      <c r="CD2931" s="139"/>
      <c r="CE2931" s="138"/>
      <c r="CF2931" s="139"/>
      <c r="CG2931" s="138"/>
      <c r="CH2931" s="139"/>
      <c r="CI2931" s="138"/>
      <c r="CJ2931" s="72"/>
      <c r="CK2931" s="139"/>
      <c r="CL2931" s="71"/>
      <c r="CM2931" s="139"/>
      <c r="CN2931" s="138"/>
      <c r="CO2931" s="138"/>
      <c r="CP2931" s="138"/>
      <c r="CQ2931" s="139"/>
      <c r="CR2931" s="138"/>
      <c r="CS2931" s="45"/>
      <c r="CT2931" s="138"/>
      <c r="CU2931" s="45"/>
      <c r="CV2931" s="99">
        <f t="shared" si="285"/>
        <v>0</v>
      </c>
      <c r="CW2931" s="139"/>
      <c r="CX2931" s="138"/>
      <c r="CY2931" s="138"/>
      <c r="CZ2931" s="138"/>
      <c r="DA2931" s="139"/>
      <c r="DB2931" s="138"/>
      <c r="DC2931" s="45"/>
      <c r="DD2931" s="138"/>
      <c r="DE2931" s="45"/>
      <c r="DF2931" s="46"/>
    </row>
    <row r="2932" spans="1:110" s="42" customFormat="1" ht="24" x14ac:dyDescent="0.2">
      <c r="A2932" s="89">
        <v>40880</v>
      </c>
      <c r="B2932" s="151" t="s">
        <v>2204</v>
      </c>
      <c r="C2932" s="90" t="s">
        <v>4275</v>
      </c>
      <c r="D2932" s="90" t="s">
        <v>4264</v>
      </c>
      <c r="E2932" s="90" t="str">
        <f>VLOOKUP(B2932&amp;C2932,Divipola!$C$2:$F$1138,4,FALSE)</f>
        <v>70678</v>
      </c>
      <c r="F2932" s="4"/>
      <c r="G2932" s="101"/>
      <c r="H2932" s="101"/>
      <c r="I2932" s="101"/>
      <c r="J2932" s="101">
        <v>855</v>
      </c>
      <c r="K2932" s="101">
        <v>171</v>
      </c>
      <c r="L2932" s="101"/>
      <c r="M2932" s="101">
        <v>171</v>
      </c>
      <c r="N2932" s="101"/>
      <c r="O2932" s="101"/>
      <c r="P2932" s="101"/>
      <c r="Q2932" s="101"/>
      <c r="R2932" s="101"/>
      <c r="S2932" s="101"/>
      <c r="T2932" s="101"/>
      <c r="U2932" s="101"/>
      <c r="V2932" s="101"/>
      <c r="W2932" s="19"/>
      <c r="X2932" s="17"/>
      <c r="Y2932" s="5">
        <f t="shared" si="280"/>
        <v>0</v>
      </c>
      <c r="Z2932" s="5">
        <f t="shared" si="281"/>
        <v>0</v>
      </c>
      <c r="AA2932" s="5">
        <f t="shared" si="282"/>
        <v>0</v>
      </c>
      <c r="AB2932" s="5">
        <f t="shared" si="283"/>
        <v>0</v>
      </c>
      <c r="AC2932" s="5"/>
      <c r="AD2932" s="5">
        <v>0</v>
      </c>
      <c r="AE2932" s="5">
        <f t="shared" si="284"/>
        <v>0</v>
      </c>
      <c r="AF2932" s="70">
        <v>0</v>
      </c>
      <c r="AG2932" s="17"/>
      <c r="AH2932" s="18"/>
      <c r="AI2932" s="47" t="s">
        <v>4346</v>
      </c>
      <c r="AJ2932" s="73" t="s">
        <v>4347</v>
      </c>
      <c r="AK2932" s="45"/>
      <c r="AL2932" s="89" t="s">
        <v>2798</v>
      </c>
      <c r="AM2932" s="121" t="s">
        <v>5299</v>
      </c>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c r="CA2932" s="19"/>
      <c r="CB2932" s="19"/>
      <c r="CC2932" s="19"/>
      <c r="CD2932" s="139"/>
      <c r="CE2932" s="138"/>
      <c r="CF2932" s="139"/>
      <c r="CG2932" s="138"/>
      <c r="CH2932" s="139"/>
      <c r="CI2932" s="138"/>
      <c r="CJ2932" s="72"/>
      <c r="CK2932" s="139"/>
      <c r="CL2932" s="71"/>
      <c r="CM2932" s="139"/>
      <c r="CN2932" s="138"/>
      <c r="CO2932" s="138"/>
      <c r="CP2932" s="138"/>
      <c r="CQ2932" s="139"/>
      <c r="CR2932" s="138"/>
      <c r="CS2932" s="45"/>
      <c r="CT2932" s="138"/>
      <c r="CU2932" s="45"/>
      <c r="CV2932" s="99">
        <f t="shared" si="285"/>
        <v>0</v>
      </c>
      <c r="CW2932" s="139"/>
      <c r="CX2932" s="138"/>
      <c r="CY2932" s="138"/>
      <c r="CZ2932" s="138"/>
      <c r="DA2932" s="139"/>
      <c r="DB2932" s="138"/>
      <c r="DC2932" s="45"/>
      <c r="DD2932" s="138"/>
      <c r="DE2932" s="45"/>
      <c r="DF2932" s="46"/>
    </row>
    <row r="2933" spans="1:110" s="42" customFormat="1" ht="72" x14ac:dyDescent="0.2">
      <c r="A2933" s="89">
        <v>40881</v>
      </c>
      <c r="B2933" s="151" t="s">
        <v>4296</v>
      </c>
      <c r="C2933" s="90" t="s">
        <v>4297</v>
      </c>
      <c r="D2933" s="90" t="s">
        <v>2362</v>
      </c>
      <c r="E2933" s="90" t="str">
        <f>VLOOKUP(B2933&amp;C2933,Divipola!$C$2:$F$1138,4,FALSE)</f>
        <v>19001</v>
      </c>
      <c r="F2933" s="4"/>
      <c r="G2933" s="101"/>
      <c r="H2933" s="101"/>
      <c r="I2933" s="101"/>
      <c r="J2933" s="101"/>
      <c r="K2933" s="101"/>
      <c r="L2933" s="101"/>
      <c r="M2933" s="101"/>
      <c r="N2933" s="101">
        <v>1</v>
      </c>
      <c r="O2933" s="101"/>
      <c r="P2933" s="101"/>
      <c r="Q2933" s="101"/>
      <c r="R2933" s="101"/>
      <c r="S2933" s="101"/>
      <c r="T2933" s="101"/>
      <c r="U2933" s="101"/>
      <c r="V2933" s="101"/>
      <c r="W2933" s="19"/>
      <c r="X2933" s="17"/>
      <c r="Y2933" s="5">
        <f t="shared" si="280"/>
        <v>0</v>
      </c>
      <c r="Z2933" s="5">
        <f t="shared" si="281"/>
        <v>0</v>
      </c>
      <c r="AA2933" s="5">
        <f t="shared" si="282"/>
        <v>0</v>
      </c>
      <c r="AB2933" s="5">
        <f t="shared" si="283"/>
        <v>0</v>
      </c>
      <c r="AC2933" s="5"/>
      <c r="AD2933" s="5">
        <v>0</v>
      </c>
      <c r="AE2933" s="5">
        <f t="shared" si="284"/>
        <v>0</v>
      </c>
      <c r="AF2933" s="70">
        <v>0</v>
      </c>
      <c r="AG2933" s="17"/>
      <c r="AH2933" s="18"/>
      <c r="AI2933" s="47" t="s">
        <v>4336</v>
      </c>
      <c r="AJ2933" s="73" t="s">
        <v>4337</v>
      </c>
      <c r="AK2933" s="45"/>
      <c r="AL2933" s="17"/>
      <c r="AM2933" s="121" t="s">
        <v>5251</v>
      </c>
      <c r="AN2933" s="19"/>
      <c r="AO2933" s="19"/>
      <c r="AP2933" s="19"/>
      <c r="AQ2933" s="19"/>
      <c r="AR2933" s="19"/>
      <c r="AS2933" s="19"/>
      <c r="AT2933" s="19"/>
      <c r="AU2933" s="19"/>
      <c r="AV2933" s="19"/>
      <c r="AW2933" s="19"/>
      <c r="AX2933" s="19"/>
      <c r="AY2933" s="19"/>
      <c r="AZ2933" s="19"/>
      <c r="BA2933" s="19"/>
      <c r="BB2933" s="19"/>
      <c r="BC2933" s="19"/>
      <c r="BD2933" s="19"/>
      <c r="BE2933" s="19"/>
      <c r="BF2933" s="19"/>
      <c r="BG2933" s="19"/>
      <c r="BH2933" s="19"/>
      <c r="BI2933" s="19"/>
      <c r="BJ2933" s="19"/>
      <c r="BK2933" s="19"/>
      <c r="BL2933" s="19"/>
      <c r="BM2933" s="19"/>
      <c r="BN2933" s="19"/>
      <c r="BO2933" s="19"/>
      <c r="BP2933" s="19"/>
      <c r="BQ2933" s="19"/>
      <c r="BR2933" s="19"/>
      <c r="BS2933" s="19"/>
      <c r="BT2933" s="19"/>
      <c r="BU2933" s="19"/>
      <c r="BV2933" s="19"/>
      <c r="BW2933" s="19"/>
      <c r="BX2933" s="19"/>
      <c r="BY2933" s="19"/>
      <c r="BZ2933" s="19"/>
      <c r="CA2933" s="19"/>
      <c r="CB2933" s="19"/>
      <c r="CC2933" s="19"/>
      <c r="CD2933" s="139"/>
      <c r="CE2933" s="138"/>
      <c r="CF2933" s="139"/>
      <c r="CG2933" s="138"/>
      <c r="CH2933" s="139"/>
      <c r="CI2933" s="138"/>
      <c r="CJ2933" s="72"/>
      <c r="CK2933" s="139"/>
      <c r="CL2933" s="71"/>
      <c r="CM2933" s="139"/>
      <c r="CN2933" s="138"/>
      <c r="CO2933" s="138"/>
      <c r="CP2933" s="138"/>
      <c r="CQ2933" s="139"/>
      <c r="CR2933" s="138"/>
      <c r="CS2933" s="45"/>
      <c r="CT2933" s="138"/>
      <c r="CU2933" s="45"/>
      <c r="CV2933" s="99">
        <f t="shared" si="285"/>
        <v>0</v>
      </c>
      <c r="CW2933" s="139"/>
      <c r="CX2933" s="138"/>
      <c r="CY2933" s="138"/>
      <c r="CZ2933" s="138"/>
      <c r="DA2933" s="139"/>
      <c r="DB2933" s="138"/>
      <c r="DC2933" s="45"/>
      <c r="DD2933" s="138"/>
      <c r="DE2933" s="45"/>
      <c r="DF2933" s="46"/>
    </row>
    <row r="2934" spans="1:110" s="42" customFormat="1" ht="96" x14ac:dyDescent="0.2">
      <c r="A2934" s="89">
        <v>40881</v>
      </c>
      <c r="B2934" s="151" t="s">
        <v>4350</v>
      </c>
      <c r="C2934" s="90" t="s">
        <v>4351</v>
      </c>
      <c r="D2934" s="90" t="s">
        <v>4340</v>
      </c>
      <c r="E2934" s="90" t="str">
        <f>VLOOKUP(B2934&amp;C2934,Divipola!$C$2:$F$1138,4,FALSE)</f>
        <v>63001</v>
      </c>
      <c r="F2934" s="4"/>
      <c r="G2934" s="101"/>
      <c r="H2934" s="101">
        <v>1</v>
      </c>
      <c r="I2934" s="101"/>
      <c r="J2934" s="101"/>
      <c r="K2934" s="101"/>
      <c r="L2934" s="101"/>
      <c r="M2934" s="101"/>
      <c r="N2934" s="101"/>
      <c r="O2934" s="101"/>
      <c r="P2934" s="101"/>
      <c r="Q2934" s="101"/>
      <c r="R2934" s="101"/>
      <c r="S2934" s="101"/>
      <c r="T2934" s="101"/>
      <c r="U2934" s="101"/>
      <c r="V2934" s="101"/>
      <c r="W2934" s="19"/>
      <c r="X2934" s="17"/>
      <c r="Y2934" s="5">
        <f t="shared" si="280"/>
        <v>0</v>
      </c>
      <c r="Z2934" s="5">
        <f t="shared" si="281"/>
        <v>0</v>
      </c>
      <c r="AA2934" s="5">
        <f t="shared" si="282"/>
        <v>0</v>
      </c>
      <c r="AB2934" s="5">
        <f t="shared" si="283"/>
        <v>0</v>
      </c>
      <c r="AC2934" s="5"/>
      <c r="AD2934" s="5">
        <v>0</v>
      </c>
      <c r="AE2934" s="5">
        <f t="shared" si="284"/>
        <v>0</v>
      </c>
      <c r="AF2934" s="70">
        <v>0</v>
      </c>
      <c r="AG2934" s="17"/>
      <c r="AH2934" s="18"/>
      <c r="AI2934" s="47" t="s">
        <v>4346</v>
      </c>
      <c r="AJ2934" s="73" t="s">
        <v>4347</v>
      </c>
      <c r="AK2934" s="45"/>
      <c r="AL2934" s="17" t="s">
        <v>5051</v>
      </c>
      <c r="AM2934" s="121" t="s">
        <v>5252</v>
      </c>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39"/>
      <c r="CE2934" s="138"/>
      <c r="CF2934" s="139"/>
      <c r="CG2934" s="138"/>
      <c r="CH2934" s="139"/>
      <c r="CI2934" s="138"/>
      <c r="CJ2934" s="72"/>
      <c r="CK2934" s="139"/>
      <c r="CL2934" s="71"/>
      <c r="CM2934" s="139"/>
      <c r="CN2934" s="138"/>
      <c r="CO2934" s="138"/>
      <c r="CP2934" s="138"/>
      <c r="CQ2934" s="139"/>
      <c r="CR2934" s="138"/>
      <c r="CS2934" s="45"/>
      <c r="CT2934" s="138"/>
      <c r="CU2934" s="45"/>
      <c r="CV2934" s="99">
        <f t="shared" si="285"/>
        <v>0</v>
      </c>
      <c r="CW2934" s="139"/>
      <c r="CX2934" s="138"/>
      <c r="CY2934" s="138"/>
      <c r="CZ2934" s="138"/>
      <c r="DA2934" s="139"/>
      <c r="DB2934" s="138"/>
      <c r="DC2934" s="45"/>
      <c r="DD2934" s="138"/>
      <c r="DE2934" s="45"/>
      <c r="DF2934" s="46"/>
    </row>
    <row r="2935" spans="1:110" s="42" customFormat="1" ht="48" x14ac:dyDescent="0.2">
      <c r="A2935" s="89">
        <v>40881</v>
      </c>
      <c r="B2935" s="151" t="s">
        <v>4350</v>
      </c>
      <c r="C2935" s="90" t="s">
        <v>4351</v>
      </c>
      <c r="D2935" s="90" t="s">
        <v>3346</v>
      </c>
      <c r="E2935" s="90" t="str">
        <f>VLOOKUP(B2935&amp;C2935,Divipola!$C$2:$F$1138,4,FALSE)</f>
        <v>63001</v>
      </c>
      <c r="F2935" s="4"/>
      <c r="G2935" s="101"/>
      <c r="H2935" s="101"/>
      <c r="I2935" s="101"/>
      <c r="J2935" s="101">
        <v>5</v>
      </c>
      <c r="K2935" s="101">
        <v>1</v>
      </c>
      <c r="L2935" s="101"/>
      <c r="M2935" s="101">
        <v>1</v>
      </c>
      <c r="N2935" s="101"/>
      <c r="O2935" s="101"/>
      <c r="P2935" s="101"/>
      <c r="Q2935" s="101"/>
      <c r="R2935" s="101"/>
      <c r="S2935" s="101"/>
      <c r="T2935" s="101"/>
      <c r="U2935" s="101"/>
      <c r="V2935" s="101"/>
      <c r="W2935" s="19"/>
      <c r="X2935" s="17"/>
      <c r="Y2935" s="5">
        <f t="shared" si="280"/>
        <v>0</v>
      </c>
      <c r="Z2935" s="5">
        <f t="shared" si="281"/>
        <v>0</v>
      </c>
      <c r="AA2935" s="5">
        <f t="shared" si="282"/>
        <v>0</v>
      </c>
      <c r="AB2935" s="5">
        <f t="shared" si="283"/>
        <v>0</v>
      </c>
      <c r="AC2935" s="5"/>
      <c r="AD2935" s="5">
        <v>0</v>
      </c>
      <c r="AE2935" s="5">
        <f t="shared" si="284"/>
        <v>0</v>
      </c>
      <c r="AF2935" s="70">
        <v>0</v>
      </c>
      <c r="AG2935" s="17"/>
      <c r="AH2935" s="18"/>
      <c r="AI2935" s="47" t="s">
        <v>4346</v>
      </c>
      <c r="AJ2935" s="73" t="s">
        <v>4347</v>
      </c>
      <c r="AK2935" s="45"/>
      <c r="AL2935" s="17" t="s">
        <v>5051</v>
      </c>
      <c r="AM2935" s="121" t="s">
        <v>5254</v>
      </c>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c r="CA2935" s="19"/>
      <c r="CB2935" s="19"/>
      <c r="CC2935" s="19"/>
      <c r="CD2935" s="139"/>
      <c r="CE2935" s="138"/>
      <c r="CF2935" s="139"/>
      <c r="CG2935" s="138"/>
      <c r="CH2935" s="139"/>
      <c r="CI2935" s="138"/>
      <c r="CJ2935" s="72"/>
      <c r="CK2935" s="139"/>
      <c r="CL2935" s="71"/>
      <c r="CM2935" s="139"/>
      <c r="CN2935" s="138"/>
      <c r="CO2935" s="138"/>
      <c r="CP2935" s="138"/>
      <c r="CQ2935" s="139"/>
      <c r="CR2935" s="138"/>
      <c r="CS2935" s="45"/>
      <c r="CT2935" s="138"/>
      <c r="CU2935" s="45"/>
      <c r="CV2935" s="99">
        <f t="shared" si="285"/>
        <v>0</v>
      </c>
      <c r="CW2935" s="139"/>
      <c r="CX2935" s="138"/>
      <c r="CY2935" s="138"/>
      <c r="CZ2935" s="138"/>
      <c r="DA2935" s="139"/>
      <c r="DB2935" s="138"/>
      <c r="DC2935" s="45"/>
      <c r="DD2935" s="138"/>
      <c r="DE2935" s="45"/>
      <c r="DF2935" s="46"/>
    </row>
    <row r="2936" spans="1:110" s="42" customFormat="1" ht="108" x14ac:dyDescent="0.2">
      <c r="A2936" s="89">
        <v>40881</v>
      </c>
      <c r="B2936" s="89" t="s">
        <v>4296</v>
      </c>
      <c r="C2936" s="90" t="s">
        <v>4297</v>
      </c>
      <c r="D2936" s="90" t="s">
        <v>2362</v>
      </c>
      <c r="E2936" s="90" t="str">
        <f>VLOOKUP(B2936&amp;C2936,Divipola!$C$2:$F$1138,4,FALSE)</f>
        <v>19001</v>
      </c>
      <c r="F2936" s="4"/>
      <c r="G2936" s="101"/>
      <c r="H2936" s="101"/>
      <c r="I2936" s="101"/>
      <c r="J2936" s="101">
        <v>40</v>
      </c>
      <c r="K2936" s="101">
        <v>8</v>
      </c>
      <c r="L2936" s="101"/>
      <c r="M2936" s="101">
        <v>8</v>
      </c>
      <c r="N2936" s="101"/>
      <c r="O2936" s="101"/>
      <c r="P2936" s="101"/>
      <c r="Q2936" s="101"/>
      <c r="R2936" s="101"/>
      <c r="S2936" s="101"/>
      <c r="T2936" s="101"/>
      <c r="U2936" s="101"/>
      <c r="V2936" s="101"/>
      <c r="W2936" s="19"/>
      <c r="X2936" s="17"/>
      <c r="Y2936" s="5">
        <f t="shared" si="280"/>
        <v>0</v>
      </c>
      <c r="Z2936" s="5">
        <f t="shared" si="281"/>
        <v>0</v>
      </c>
      <c r="AA2936" s="5">
        <f t="shared" si="282"/>
        <v>0</v>
      </c>
      <c r="AB2936" s="5">
        <f t="shared" si="283"/>
        <v>0</v>
      </c>
      <c r="AC2936" s="5"/>
      <c r="AD2936" s="5">
        <v>0</v>
      </c>
      <c r="AE2936" s="5">
        <f t="shared" si="284"/>
        <v>0</v>
      </c>
      <c r="AF2936" s="70">
        <v>0</v>
      </c>
      <c r="AG2936" s="17"/>
      <c r="AH2936" s="18"/>
      <c r="AI2936" s="47" t="s">
        <v>4336</v>
      </c>
      <c r="AJ2936" s="73" t="s">
        <v>4337</v>
      </c>
      <c r="AK2936" s="45"/>
      <c r="AL2936" s="17"/>
      <c r="AM2936" s="121" t="s">
        <v>5256</v>
      </c>
      <c r="AN2936" s="19"/>
      <c r="AO2936" s="19"/>
      <c r="AP2936" s="19"/>
      <c r="AQ2936" s="19"/>
      <c r="AR2936" s="19"/>
      <c r="AS2936" s="19"/>
      <c r="AT2936" s="19"/>
      <c r="AU2936" s="19"/>
      <c r="AV2936" s="19"/>
      <c r="AW2936" s="19"/>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c r="BW2936" s="19"/>
      <c r="BX2936" s="19"/>
      <c r="BY2936" s="19"/>
      <c r="BZ2936" s="19"/>
      <c r="CA2936" s="19"/>
      <c r="CB2936" s="19"/>
      <c r="CC2936" s="19"/>
      <c r="CD2936" s="139"/>
      <c r="CE2936" s="138"/>
      <c r="CF2936" s="139"/>
      <c r="CG2936" s="138"/>
      <c r="CH2936" s="139"/>
      <c r="CI2936" s="138"/>
      <c r="CJ2936" s="72"/>
      <c r="CK2936" s="139"/>
      <c r="CL2936" s="71"/>
      <c r="CM2936" s="139"/>
      <c r="CN2936" s="138"/>
      <c r="CO2936" s="138"/>
      <c r="CP2936" s="138"/>
      <c r="CQ2936" s="139"/>
      <c r="CR2936" s="138"/>
      <c r="CS2936" s="45"/>
      <c r="CT2936" s="138"/>
      <c r="CU2936" s="45"/>
      <c r="CV2936" s="99">
        <f t="shared" si="285"/>
        <v>0</v>
      </c>
      <c r="CW2936" s="139"/>
      <c r="CX2936" s="138"/>
      <c r="CY2936" s="138"/>
      <c r="CZ2936" s="138"/>
      <c r="DA2936" s="139"/>
      <c r="DB2936" s="138"/>
      <c r="DC2936" s="45"/>
      <c r="DD2936" s="138"/>
      <c r="DE2936" s="45"/>
      <c r="DF2936" s="46"/>
    </row>
    <row r="2937" spans="1:110" s="42" customFormat="1" ht="60" x14ac:dyDescent="0.2">
      <c r="A2937" s="89">
        <v>40881</v>
      </c>
      <c r="B2937" s="151" t="s">
        <v>4344</v>
      </c>
      <c r="C2937" s="90" t="s">
        <v>3391</v>
      </c>
      <c r="D2937" s="90" t="s">
        <v>4264</v>
      </c>
      <c r="E2937" s="90" t="str">
        <f>VLOOKUP(B2937&amp;C2937,Divipola!$C$2:$F$1138,4,FALSE)</f>
        <v>25785</v>
      </c>
      <c r="F2937" s="4"/>
      <c r="G2937" s="101"/>
      <c r="H2937" s="101"/>
      <c r="I2937" s="101"/>
      <c r="J2937" s="101">
        <v>18</v>
      </c>
      <c r="K2937" s="101">
        <v>5</v>
      </c>
      <c r="L2937" s="101"/>
      <c r="M2937" s="101">
        <v>5</v>
      </c>
      <c r="N2937" s="101"/>
      <c r="O2937" s="101"/>
      <c r="P2937" s="101"/>
      <c r="Q2937" s="101"/>
      <c r="R2937" s="101"/>
      <c r="S2937" s="101"/>
      <c r="T2937" s="101"/>
      <c r="U2937" s="101"/>
      <c r="V2937" s="101"/>
      <c r="W2937" s="19"/>
      <c r="X2937" s="17"/>
      <c r="Y2937" s="5">
        <f t="shared" si="280"/>
        <v>0</v>
      </c>
      <c r="Z2937" s="5">
        <f t="shared" si="281"/>
        <v>0</v>
      </c>
      <c r="AA2937" s="5">
        <f t="shared" si="282"/>
        <v>0</v>
      </c>
      <c r="AB2937" s="5">
        <f t="shared" si="283"/>
        <v>0</v>
      </c>
      <c r="AC2937" s="5"/>
      <c r="AD2937" s="5">
        <v>0</v>
      </c>
      <c r="AE2937" s="5">
        <f t="shared" si="284"/>
        <v>0</v>
      </c>
      <c r="AF2937" s="70">
        <v>0</v>
      </c>
      <c r="AG2937" s="17"/>
      <c r="AH2937" s="18"/>
      <c r="AI2937" s="47" t="s">
        <v>4346</v>
      </c>
      <c r="AJ2937" s="73" t="s">
        <v>4347</v>
      </c>
      <c r="AK2937" s="45"/>
      <c r="AL2937" s="89" t="s">
        <v>2798</v>
      </c>
      <c r="AM2937" s="121" t="s">
        <v>5273</v>
      </c>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c r="CA2937" s="19"/>
      <c r="CB2937" s="19"/>
      <c r="CC2937" s="19"/>
      <c r="CD2937" s="139"/>
      <c r="CE2937" s="138"/>
      <c r="CF2937" s="139"/>
      <c r="CG2937" s="138"/>
      <c r="CH2937" s="139"/>
      <c r="CI2937" s="138"/>
      <c r="CJ2937" s="72"/>
      <c r="CK2937" s="139"/>
      <c r="CL2937" s="71"/>
      <c r="CM2937" s="139"/>
      <c r="CN2937" s="138"/>
      <c r="CO2937" s="138"/>
      <c r="CP2937" s="138"/>
      <c r="CQ2937" s="139"/>
      <c r="CR2937" s="138"/>
      <c r="CS2937" s="45"/>
      <c r="CT2937" s="138"/>
      <c r="CU2937" s="45"/>
      <c r="CV2937" s="99">
        <f t="shared" si="285"/>
        <v>0</v>
      </c>
      <c r="CW2937" s="139"/>
      <c r="CX2937" s="138"/>
      <c r="CY2937" s="138"/>
      <c r="CZ2937" s="138"/>
      <c r="DA2937" s="139"/>
      <c r="DB2937" s="138"/>
      <c r="DC2937" s="45"/>
      <c r="DD2937" s="138"/>
      <c r="DE2937" s="45"/>
      <c r="DF2937" s="46"/>
    </row>
    <row r="2938" spans="1:110" s="42" customFormat="1" ht="60" x14ac:dyDescent="0.2">
      <c r="A2938" s="89">
        <v>40881</v>
      </c>
      <c r="B2938" s="151" t="s">
        <v>4344</v>
      </c>
      <c r="C2938" s="90" t="s">
        <v>2257</v>
      </c>
      <c r="D2938" s="90" t="s">
        <v>4264</v>
      </c>
      <c r="E2938" s="90" t="str">
        <f>VLOOKUP(B2938&amp;C2938,Divipola!$C$2:$F$1138,4,FALSE)</f>
        <v>25126</v>
      </c>
      <c r="F2938" s="4"/>
      <c r="G2938" s="101"/>
      <c r="H2938" s="101"/>
      <c r="I2938" s="101"/>
      <c r="J2938" s="101"/>
      <c r="K2938" s="101"/>
      <c r="L2938" s="101"/>
      <c r="M2938" s="101"/>
      <c r="N2938" s="101">
        <v>1</v>
      </c>
      <c r="O2938" s="101"/>
      <c r="P2938" s="101"/>
      <c r="Q2938" s="101"/>
      <c r="R2938" s="101"/>
      <c r="S2938" s="101"/>
      <c r="T2938" s="101"/>
      <c r="U2938" s="101"/>
      <c r="V2938" s="101"/>
      <c r="W2938" s="19"/>
      <c r="X2938" s="17"/>
      <c r="Y2938" s="5">
        <f t="shared" si="280"/>
        <v>0</v>
      </c>
      <c r="Z2938" s="5">
        <f t="shared" si="281"/>
        <v>0</v>
      </c>
      <c r="AA2938" s="5">
        <f t="shared" si="282"/>
        <v>0</v>
      </c>
      <c r="AB2938" s="5">
        <f t="shared" si="283"/>
        <v>0</v>
      </c>
      <c r="AC2938" s="5"/>
      <c r="AD2938" s="5">
        <v>0</v>
      </c>
      <c r="AE2938" s="5">
        <f t="shared" si="284"/>
        <v>0</v>
      </c>
      <c r="AF2938" s="70">
        <v>0</v>
      </c>
      <c r="AG2938" s="17"/>
      <c r="AH2938" s="18"/>
      <c r="AI2938" s="47" t="s">
        <v>4346</v>
      </c>
      <c r="AJ2938" s="73" t="s">
        <v>4347</v>
      </c>
      <c r="AK2938" s="45"/>
      <c r="AL2938" s="89" t="s">
        <v>2798</v>
      </c>
      <c r="AM2938" s="121" t="s">
        <v>5275</v>
      </c>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c r="CA2938" s="19"/>
      <c r="CB2938" s="19"/>
      <c r="CC2938" s="19"/>
      <c r="CD2938" s="139"/>
      <c r="CE2938" s="138"/>
      <c r="CF2938" s="139"/>
      <c r="CG2938" s="138"/>
      <c r="CH2938" s="139"/>
      <c r="CI2938" s="138"/>
      <c r="CJ2938" s="72"/>
      <c r="CK2938" s="139"/>
      <c r="CL2938" s="71"/>
      <c r="CM2938" s="139"/>
      <c r="CN2938" s="138"/>
      <c r="CO2938" s="138"/>
      <c r="CP2938" s="138"/>
      <c r="CQ2938" s="139"/>
      <c r="CR2938" s="138"/>
      <c r="CS2938" s="45"/>
      <c r="CT2938" s="138"/>
      <c r="CU2938" s="45"/>
      <c r="CV2938" s="99">
        <f t="shared" si="285"/>
        <v>0</v>
      </c>
      <c r="CW2938" s="139"/>
      <c r="CX2938" s="138"/>
      <c r="CY2938" s="138"/>
      <c r="CZ2938" s="138"/>
      <c r="DA2938" s="139"/>
      <c r="DB2938" s="138"/>
      <c r="DC2938" s="45"/>
      <c r="DD2938" s="138"/>
      <c r="DE2938" s="45"/>
      <c r="DF2938" s="46"/>
    </row>
    <row r="2939" spans="1:110" s="42" customFormat="1" ht="24" x14ac:dyDescent="0.2">
      <c r="A2939" s="89">
        <v>40881</v>
      </c>
      <c r="B2939" s="151" t="s">
        <v>4344</v>
      </c>
      <c r="C2939" s="90" t="s">
        <v>3501</v>
      </c>
      <c r="D2939" s="90" t="s">
        <v>4264</v>
      </c>
      <c r="E2939" s="90" t="str">
        <f>VLOOKUP(B2939&amp;C2939,Divipola!$C$2:$F$1138,4,FALSE)</f>
        <v>25377</v>
      </c>
      <c r="F2939" s="4"/>
      <c r="G2939" s="101"/>
      <c r="H2939" s="101"/>
      <c r="I2939" s="101"/>
      <c r="J2939" s="101">
        <v>24</v>
      </c>
      <c r="K2939" s="101">
        <v>4</v>
      </c>
      <c r="L2939" s="101"/>
      <c r="M2939" s="101">
        <v>2</v>
      </c>
      <c r="N2939" s="101"/>
      <c r="O2939" s="101"/>
      <c r="P2939" s="101"/>
      <c r="Q2939" s="101"/>
      <c r="R2939" s="101"/>
      <c r="S2939" s="101"/>
      <c r="T2939" s="101"/>
      <c r="U2939" s="101"/>
      <c r="V2939" s="101"/>
      <c r="W2939" s="19"/>
      <c r="X2939" s="17"/>
      <c r="Y2939" s="5">
        <f t="shared" si="280"/>
        <v>0</v>
      </c>
      <c r="Z2939" s="5">
        <f t="shared" si="281"/>
        <v>0</v>
      </c>
      <c r="AA2939" s="5">
        <f t="shared" si="282"/>
        <v>0</v>
      </c>
      <c r="AB2939" s="5">
        <f t="shared" si="283"/>
        <v>0</v>
      </c>
      <c r="AC2939" s="5"/>
      <c r="AD2939" s="5">
        <v>0</v>
      </c>
      <c r="AE2939" s="5">
        <f t="shared" si="284"/>
        <v>0</v>
      </c>
      <c r="AF2939" s="70">
        <v>0</v>
      </c>
      <c r="AG2939" s="17"/>
      <c r="AH2939" s="18"/>
      <c r="AI2939" s="47" t="s">
        <v>4346</v>
      </c>
      <c r="AJ2939" s="73" t="s">
        <v>4347</v>
      </c>
      <c r="AK2939" s="45"/>
      <c r="AL2939" s="89" t="s">
        <v>2798</v>
      </c>
      <c r="AM2939" s="121" t="s">
        <v>5300</v>
      </c>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c r="CA2939" s="19"/>
      <c r="CB2939" s="19"/>
      <c r="CC2939" s="19"/>
      <c r="CD2939" s="139"/>
      <c r="CE2939" s="138"/>
      <c r="CF2939" s="139"/>
      <c r="CG2939" s="138"/>
      <c r="CH2939" s="139"/>
      <c r="CI2939" s="138"/>
      <c r="CJ2939" s="72"/>
      <c r="CK2939" s="139"/>
      <c r="CL2939" s="71"/>
      <c r="CM2939" s="139"/>
      <c r="CN2939" s="138"/>
      <c r="CO2939" s="138"/>
      <c r="CP2939" s="138"/>
      <c r="CQ2939" s="139"/>
      <c r="CR2939" s="138"/>
      <c r="CS2939" s="45"/>
      <c r="CT2939" s="138"/>
      <c r="CU2939" s="45"/>
      <c r="CV2939" s="99">
        <f t="shared" si="285"/>
        <v>0</v>
      </c>
      <c r="CW2939" s="139"/>
      <c r="CX2939" s="138"/>
      <c r="CY2939" s="138"/>
      <c r="CZ2939" s="138"/>
      <c r="DA2939" s="139"/>
      <c r="DB2939" s="138"/>
      <c r="DC2939" s="45"/>
      <c r="DD2939" s="138"/>
      <c r="DE2939" s="45"/>
      <c r="DF2939" s="46"/>
    </row>
    <row r="2940" spans="1:110" s="42" customFormat="1" ht="60" x14ac:dyDescent="0.2">
      <c r="A2940" s="89">
        <v>40882</v>
      </c>
      <c r="B2940" s="16" t="s">
        <v>2225</v>
      </c>
      <c r="C2940" s="16" t="s">
        <v>4241</v>
      </c>
      <c r="D2940" s="90" t="s">
        <v>4264</v>
      </c>
      <c r="E2940" s="90" t="str">
        <f>VLOOKUP(B2940&amp;C2940,Divipola!$C$2:$F$1138,4,FALSE)</f>
        <v>27660</v>
      </c>
      <c r="F2940" s="4"/>
      <c r="G2940" s="208"/>
      <c r="H2940" s="208"/>
      <c r="I2940" s="208"/>
      <c r="J2940" s="208"/>
      <c r="K2940" s="208"/>
      <c r="L2940" s="208"/>
      <c r="M2940" s="208"/>
      <c r="N2940" s="208">
        <v>1</v>
      </c>
      <c r="O2940" s="208"/>
      <c r="P2940" s="208"/>
      <c r="Q2940" s="208"/>
      <c r="R2940" s="208"/>
      <c r="S2940" s="208"/>
      <c r="T2940" s="208"/>
      <c r="U2940" s="208"/>
      <c r="V2940" s="208"/>
      <c r="W2940" s="19"/>
      <c r="X2940" s="17"/>
      <c r="Y2940" s="5">
        <f t="shared" si="280"/>
        <v>0</v>
      </c>
      <c r="Z2940" s="5">
        <f t="shared" si="281"/>
        <v>217500000</v>
      </c>
      <c r="AA2940" s="5">
        <f t="shared" si="282"/>
        <v>0</v>
      </c>
      <c r="AB2940" s="5">
        <f t="shared" si="283"/>
        <v>0</v>
      </c>
      <c r="AC2940" s="5"/>
      <c r="AD2940" s="5">
        <v>50000000</v>
      </c>
      <c r="AE2940" s="5">
        <f t="shared" si="284"/>
        <v>267500000</v>
      </c>
      <c r="AF2940" s="70">
        <v>0</v>
      </c>
      <c r="AG2940" s="17"/>
      <c r="AH2940" s="18"/>
      <c r="AI2940" s="47" t="s">
        <v>4346</v>
      </c>
      <c r="AJ2940" s="73" t="s">
        <v>4347</v>
      </c>
      <c r="AK2940" s="45"/>
      <c r="AL2940" s="17"/>
      <c r="AM2940" s="20" t="s">
        <v>5264</v>
      </c>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c r="CA2940" s="19"/>
      <c r="CB2940" s="19"/>
      <c r="CC2940" s="19"/>
      <c r="CD2940" s="139"/>
      <c r="CE2940" s="138"/>
      <c r="CF2940" s="139"/>
      <c r="CG2940" s="138"/>
      <c r="CH2940" s="139"/>
      <c r="CI2940" s="138"/>
      <c r="CJ2940" s="72"/>
      <c r="CK2940" s="139"/>
      <c r="CL2940" s="71"/>
      <c r="CM2940" s="139"/>
      <c r="CN2940" s="138"/>
      <c r="CO2940" s="138"/>
      <c r="CP2940" s="138"/>
      <c r="CQ2940" s="139"/>
      <c r="CR2940" s="138"/>
      <c r="CS2940" s="45"/>
      <c r="CT2940" s="138"/>
      <c r="CU2940" s="45"/>
      <c r="CV2940" s="99">
        <f t="shared" si="285"/>
        <v>0</v>
      </c>
      <c r="CW2940" s="139"/>
      <c r="CX2940" s="138"/>
      <c r="CY2940" s="138">
        <v>2500</v>
      </c>
      <c r="CZ2940" s="138">
        <f>1250*87000+1250*87000</f>
        <v>217500000</v>
      </c>
      <c r="DA2940" s="139"/>
      <c r="DB2940" s="138"/>
      <c r="DC2940" s="45"/>
      <c r="DD2940" s="138"/>
      <c r="DE2940" s="45"/>
      <c r="DF2940" s="46"/>
    </row>
    <row r="2941" spans="1:110" s="42" customFormat="1" ht="96" x14ac:dyDescent="0.2">
      <c r="A2941" s="89">
        <v>40882</v>
      </c>
      <c r="B2941" s="16" t="s">
        <v>3533</v>
      </c>
      <c r="C2941" s="16" t="s">
        <v>862</v>
      </c>
      <c r="D2941" s="90" t="s">
        <v>4264</v>
      </c>
      <c r="E2941" s="90" t="str">
        <f>VLOOKUP(B2941&amp;C2941,Divipola!$C$2:$F$1138,4,FALSE)</f>
        <v>17001</v>
      </c>
      <c r="F2941" s="4"/>
      <c r="G2941" s="208"/>
      <c r="H2941" s="208"/>
      <c r="I2941" s="208"/>
      <c r="J2941" s="208"/>
      <c r="K2941" s="208"/>
      <c r="L2941" s="208"/>
      <c r="M2941" s="208"/>
      <c r="N2941" s="208"/>
      <c r="O2941" s="208"/>
      <c r="P2941" s="208"/>
      <c r="Q2941" s="208"/>
      <c r="R2941" s="208"/>
      <c r="S2941" s="208"/>
      <c r="T2941" s="208"/>
      <c r="U2941" s="208"/>
      <c r="V2941" s="208"/>
      <c r="W2941" s="19"/>
      <c r="X2941" s="17"/>
      <c r="Y2941" s="5">
        <f t="shared" si="280"/>
        <v>0</v>
      </c>
      <c r="Z2941" s="5">
        <f t="shared" si="281"/>
        <v>0</v>
      </c>
      <c r="AA2941" s="5">
        <f t="shared" si="282"/>
        <v>0</v>
      </c>
      <c r="AB2941" s="5">
        <f t="shared" si="283"/>
        <v>0</v>
      </c>
      <c r="AC2941" s="5"/>
      <c r="AD2941" s="5">
        <v>133500000</v>
      </c>
      <c r="AE2941" s="5">
        <f t="shared" si="284"/>
        <v>133500000</v>
      </c>
      <c r="AF2941" s="70">
        <v>0</v>
      </c>
      <c r="AG2941" s="17"/>
      <c r="AH2941" s="18"/>
      <c r="AI2941" s="47" t="s">
        <v>4346</v>
      </c>
      <c r="AJ2941" s="73" t="s">
        <v>4347</v>
      </c>
      <c r="AK2941" s="45"/>
      <c r="AL2941" s="17"/>
      <c r="AM2941" s="20" t="s">
        <v>5266</v>
      </c>
      <c r="AN2941" s="19"/>
      <c r="AO2941" s="19"/>
      <c r="AP2941" s="19"/>
      <c r="AQ2941" s="19"/>
      <c r="AR2941" s="19"/>
      <c r="AS2941" s="19"/>
      <c r="AT2941" s="19"/>
      <c r="AU2941" s="19"/>
      <c r="AV2941" s="19"/>
      <c r="AW2941" s="19"/>
      <c r="AX2941" s="19"/>
      <c r="AY2941" s="19"/>
      <c r="AZ2941" s="19"/>
      <c r="BA2941" s="19"/>
      <c r="BB2941" s="19"/>
      <c r="BC2941" s="19"/>
      <c r="BD2941" s="19"/>
      <c r="BE2941" s="19"/>
      <c r="BF2941" s="19"/>
      <c r="BG2941" s="19"/>
      <c r="BH2941" s="19"/>
      <c r="BI2941" s="19"/>
      <c r="BJ2941" s="19"/>
      <c r="BK2941" s="19"/>
      <c r="BL2941" s="19"/>
      <c r="BM2941" s="19"/>
      <c r="BN2941" s="19"/>
      <c r="BO2941" s="19"/>
      <c r="BP2941" s="19"/>
      <c r="BQ2941" s="19"/>
      <c r="BR2941" s="19"/>
      <c r="BS2941" s="19"/>
      <c r="BT2941" s="19"/>
      <c r="BU2941" s="19"/>
      <c r="BV2941" s="19"/>
      <c r="BW2941" s="19"/>
      <c r="BX2941" s="19"/>
      <c r="BY2941" s="19"/>
      <c r="BZ2941" s="19"/>
      <c r="CA2941" s="19"/>
      <c r="CB2941" s="19"/>
      <c r="CC2941" s="19"/>
      <c r="CD2941" s="139"/>
      <c r="CE2941" s="138"/>
      <c r="CF2941" s="139"/>
      <c r="CG2941" s="138"/>
      <c r="CH2941" s="139"/>
      <c r="CI2941" s="138"/>
      <c r="CJ2941" s="72"/>
      <c r="CK2941" s="139"/>
      <c r="CL2941" s="71"/>
      <c r="CM2941" s="139"/>
      <c r="CN2941" s="138"/>
      <c r="CO2941" s="138"/>
      <c r="CP2941" s="138"/>
      <c r="CQ2941" s="139"/>
      <c r="CR2941" s="138"/>
      <c r="CS2941" s="45"/>
      <c r="CT2941" s="138"/>
      <c r="CU2941" s="45"/>
      <c r="CV2941" s="99">
        <f t="shared" si="285"/>
        <v>0</v>
      </c>
      <c r="CW2941" s="139"/>
      <c r="CX2941" s="138"/>
      <c r="CY2941" s="138"/>
      <c r="CZ2941" s="138"/>
      <c r="DA2941" s="139"/>
      <c r="DB2941" s="138"/>
      <c r="DC2941" s="45"/>
      <c r="DD2941" s="138"/>
      <c r="DE2941" s="45"/>
      <c r="DF2941" s="46"/>
    </row>
    <row r="2942" spans="1:110" s="42" customFormat="1" ht="168" x14ac:dyDescent="0.2">
      <c r="A2942" s="89">
        <v>40882</v>
      </c>
      <c r="B2942" s="151" t="s">
        <v>4344</v>
      </c>
      <c r="C2942" s="90" t="s">
        <v>2210</v>
      </c>
      <c r="D2942" s="90" t="s">
        <v>4264</v>
      </c>
      <c r="E2942" s="90" t="str">
        <f>VLOOKUP(B2942&amp;C2942,Divipola!$C$2:$F$1138,4,FALSE)</f>
        <v>25288</v>
      </c>
      <c r="F2942" s="4"/>
      <c r="G2942" s="101"/>
      <c r="H2942" s="101"/>
      <c r="I2942" s="101"/>
      <c r="J2942" s="101">
        <v>5</v>
      </c>
      <c r="K2942" s="101">
        <v>1</v>
      </c>
      <c r="L2942" s="101"/>
      <c r="M2942" s="101">
        <v>1</v>
      </c>
      <c r="N2942" s="101"/>
      <c r="O2942" s="101"/>
      <c r="P2942" s="101"/>
      <c r="Q2942" s="101"/>
      <c r="R2942" s="101">
        <v>1</v>
      </c>
      <c r="S2942" s="101"/>
      <c r="T2942" s="101"/>
      <c r="U2942" s="101"/>
      <c r="V2942" s="101"/>
      <c r="W2942" s="19"/>
      <c r="X2942" s="17"/>
      <c r="Y2942" s="5">
        <f t="shared" si="280"/>
        <v>0</v>
      </c>
      <c r="Z2942" s="5">
        <f t="shared" si="281"/>
        <v>0</v>
      </c>
      <c r="AA2942" s="5">
        <f t="shared" si="282"/>
        <v>0</v>
      </c>
      <c r="AB2942" s="5">
        <f t="shared" si="283"/>
        <v>0</v>
      </c>
      <c r="AC2942" s="5"/>
      <c r="AD2942" s="5">
        <v>0</v>
      </c>
      <c r="AE2942" s="5">
        <f t="shared" si="284"/>
        <v>0</v>
      </c>
      <c r="AF2942" s="70">
        <v>0</v>
      </c>
      <c r="AG2942" s="17"/>
      <c r="AH2942" s="18"/>
      <c r="AI2942" s="47" t="s">
        <v>4346</v>
      </c>
      <c r="AJ2942" s="73" t="s">
        <v>4347</v>
      </c>
      <c r="AK2942" s="45"/>
      <c r="AL2942" s="89" t="s">
        <v>2798</v>
      </c>
      <c r="AM2942" s="121" t="s">
        <v>5321</v>
      </c>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39"/>
      <c r="CE2942" s="138"/>
      <c r="CF2942" s="139"/>
      <c r="CG2942" s="138"/>
      <c r="CH2942" s="139"/>
      <c r="CI2942" s="138"/>
      <c r="CJ2942" s="72"/>
      <c r="CK2942" s="139"/>
      <c r="CL2942" s="71"/>
      <c r="CM2942" s="139"/>
      <c r="CN2942" s="138"/>
      <c r="CO2942" s="138"/>
      <c r="CP2942" s="138"/>
      <c r="CQ2942" s="139"/>
      <c r="CR2942" s="138"/>
      <c r="CS2942" s="45"/>
      <c r="CT2942" s="138"/>
      <c r="CU2942" s="45"/>
      <c r="CV2942" s="99">
        <f t="shared" si="285"/>
        <v>0</v>
      </c>
      <c r="CW2942" s="139"/>
      <c r="CX2942" s="138"/>
      <c r="CY2942" s="138"/>
      <c r="CZ2942" s="138"/>
      <c r="DA2942" s="139"/>
      <c r="DB2942" s="138"/>
      <c r="DC2942" s="45"/>
      <c r="DD2942" s="138"/>
      <c r="DE2942" s="45"/>
      <c r="DF2942" s="46"/>
    </row>
    <row r="2943" spans="1:110" s="42" customFormat="1" ht="48" x14ac:dyDescent="0.2">
      <c r="A2943" s="89">
        <v>40882</v>
      </c>
      <c r="B2943" s="151" t="s">
        <v>4344</v>
      </c>
      <c r="C2943" s="90" t="s">
        <v>3450</v>
      </c>
      <c r="D2943" s="90" t="s">
        <v>4264</v>
      </c>
      <c r="E2943" s="90" t="str">
        <f>VLOOKUP(B2943&amp;C2943,Divipola!$C$2:$F$1138,4,FALSE)</f>
        <v>25175</v>
      </c>
      <c r="F2943" s="4"/>
      <c r="G2943" s="101"/>
      <c r="H2943" s="101"/>
      <c r="I2943" s="101"/>
      <c r="J2943" s="101"/>
      <c r="K2943" s="101"/>
      <c r="L2943" s="101"/>
      <c r="M2943" s="101"/>
      <c r="N2943" s="101">
        <v>2</v>
      </c>
      <c r="O2943" s="101"/>
      <c r="P2943" s="101"/>
      <c r="Q2943" s="101"/>
      <c r="R2943" s="101"/>
      <c r="S2943" s="101"/>
      <c r="T2943" s="101"/>
      <c r="U2943" s="101"/>
      <c r="V2943" s="101"/>
      <c r="W2943" s="19"/>
      <c r="X2943" s="17"/>
      <c r="Y2943" s="5">
        <f t="shared" si="280"/>
        <v>0</v>
      </c>
      <c r="Z2943" s="5">
        <f t="shared" si="281"/>
        <v>0</v>
      </c>
      <c r="AA2943" s="5">
        <f t="shared" si="282"/>
        <v>0</v>
      </c>
      <c r="AB2943" s="5">
        <f t="shared" si="283"/>
        <v>0</v>
      </c>
      <c r="AC2943" s="5"/>
      <c r="AD2943" s="5">
        <v>0</v>
      </c>
      <c r="AE2943" s="5">
        <f t="shared" si="284"/>
        <v>0</v>
      </c>
      <c r="AF2943" s="70">
        <v>0</v>
      </c>
      <c r="AG2943" s="17"/>
      <c r="AH2943" s="18"/>
      <c r="AI2943" s="47" t="s">
        <v>4346</v>
      </c>
      <c r="AJ2943" s="73" t="s">
        <v>4347</v>
      </c>
      <c r="AK2943" s="45"/>
      <c r="AL2943" s="89" t="s">
        <v>2798</v>
      </c>
      <c r="AM2943" s="121" t="s">
        <v>5276</v>
      </c>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c r="CA2943" s="19"/>
      <c r="CB2943" s="19"/>
      <c r="CC2943" s="19"/>
      <c r="CD2943" s="139"/>
      <c r="CE2943" s="138"/>
      <c r="CF2943" s="139"/>
      <c r="CG2943" s="138"/>
      <c r="CH2943" s="139"/>
      <c r="CI2943" s="138"/>
      <c r="CJ2943" s="72"/>
      <c r="CK2943" s="139"/>
      <c r="CL2943" s="71"/>
      <c r="CM2943" s="139"/>
      <c r="CN2943" s="138"/>
      <c r="CO2943" s="138"/>
      <c r="CP2943" s="138"/>
      <c r="CQ2943" s="139"/>
      <c r="CR2943" s="138"/>
      <c r="CS2943" s="45"/>
      <c r="CT2943" s="138"/>
      <c r="CU2943" s="45"/>
      <c r="CV2943" s="99">
        <f t="shared" si="285"/>
        <v>0</v>
      </c>
      <c r="CW2943" s="139"/>
      <c r="CX2943" s="138"/>
      <c r="CY2943" s="138"/>
      <c r="CZ2943" s="138"/>
      <c r="DA2943" s="139"/>
      <c r="DB2943" s="138"/>
      <c r="DC2943" s="45"/>
      <c r="DD2943" s="138"/>
      <c r="DE2943" s="45"/>
      <c r="DF2943" s="46"/>
    </row>
    <row r="2944" spans="1:110" s="42" customFormat="1" ht="156" x14ac:dyDescent="0.2">
      <c r="A2944" s="89">
        <v>40882</v>
      </c>
      <c r="B2944" s="151" t="s">
        <v>3316</v>
      </c>
      <c r="C2944" s="90" t="s">
        <v>805</v>
      </c>
      <c r="D2944" s="90" t="s">
        <v>2362</v>
      </c>
      <c r="E2944" s="90" t="str">
        <f>VLOOKUP(B2944&amp;C2944,Divipola!$C$2:$F$1138,4,FALSE)</f>
        <v>73347</v>
      </c>
      <c r="F2944" s="4"/>
      <c r="G2944" s="101">
        <v>7</v>
      </c>
      <c r="H2944" s="101">
        <v>1</v>
      </c>
      <c r="I2944" s="101"/>
      <c r="J2944" s="101">
        <v>8</v>
      </c>
      <c r="K2944" s="101">
        <v>1</v>
      </c>
      <c r="L2944" s="101">
        <v>1</v>
      </c>
      <c r="M2944" s="101"/>
      <c r="N2944" s="101"/>
      <c r="O2944" s="101"/>
      <c r="P2944" s="101"/>
      <c r="Q2944" s="101"/>
      <c r="R2944" s="101"/>
      <c r="S2944" s="101"/>
      <c r="T2944" s="101"/>
      <c r="U2944" s="101"/>
      <c r="V2944" s="101"/>
      <c r="W2944" s="19"/>
      <c r="X2944" s="17"/>
      <c r="Y2944" s="5">
        <f t="shared" si="280"/>
        <v>0</v>
      </c>
      <c r="Z2944" s="5">
        <f t="shared" si="281"/>
        <v>0</v>
      </c>
      <c r="AA2944" s="5">
        <f t="shared" si="282"/>
        <v>0</v>
      </c>
      <c r="AB2944" s="5">
        <f t="shared" si="283"/>
        <v>0</v>
      </c>
      <c r="AC2944" s="5"/>
      <c r="AD2944" s="5">
        <v>0</v>
      </c>
      <c r="AE2944" s="5">
        <f t="shared" si="284"/>
        <v>0</v>
      </c>
      <c r="AF2944" s="70">
        <v>0</v>
      </c>
      <c r="AG2944" s="17"/>
      <c r="AH2944" s="18"/>
      <c r="AI2944" s="47" t="s">
        <v>4336</v>
      </c>
      <c r="AJ2944" s="73" t="s">
        <v>4337</v>
      </c>
      <c r="AK2944" s="45"/>
      <c r="AL2944" s="17"/>
      <c r="AM2944" s="121" t="s">
        <v>5351</v>
      </c>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c r="CA2944" s="19"/>
      <c r="CB2944" s="19"/>
      <c r="CC2944" s="19"/>
      <c r="CD2944" s="139"/>
      <c r="CE2944" s="138"/>
      <c r="CF2944" s="139"/>
      <c r="CG2944" s="138"/>
      <c r="CH2944" s="139"/>
      <c r="CI2944" s="138"/>
      <c r="CJ2944" s="72"/>
      <c r="CK2944" s="139"/>
      <c r="CL2944" s="71"/>
      <c r="CM2944" s="139"/>
      <c r="CN2944" s="138"/>
      <c r="CO2944" s="138"/>
      <c r="CP2944" s="138"/>
      <c r="CQ2944" s="139"/>
      <c r="CR2944" s="138"/>
      <c r="CS2944" s="45"/>
      <c r="CT2944" s="138"/>
      <c r="CU2944" s="45"/>
      <c r="CV2944" s="99">
        <f t="shared" si="285"/>
        <v>0</v>
      </c>
      <c r="CW2944" s="139"/>
      <c r="CX2944" s="138"/>
      <c r="CY2944" s="138"/>
      <c r="CZ2944" s="138"/>
      <c r="DA2944" s="139"/>
      <c r="DB2944" s="138"/>
      <c r="DC2944" s="45"/>
      <c r="DD2944" s="138"/>
      <c r="DE2944" s="45"/>
      <c r="DF2944" s="46"/>
    </row>
    <row r="2945" spans="1:110" s="42" customFormat="1" ht="60" x14ac:dyDescent="0.2">
      <c r="A2945" s="89">
        <v>40882</v>
      </c>
      <c r="B2945" s="151" t="s">
        <v>1116</v>
      </c>
      <c r="C2945" s="90" t="s">
        <v>1116</v>
      </c>
      <c r="D2945" s="90" t="s">
        <v>4298</v>
      </c>
      <c r="E2945" s="90" t="str">
        <f>VLOOKUP(B2945&amp;C2945,Divipola!$C$2:$F$1138,4,FALSE)</f>
        <v>11001</v>
      </c>
      <c r="F2945" s="4"/>
      <c r="G2945" s="101"/>
      <c r="H2945" s="101">
        <v>6</v>
      </c>
      <c r="I2945" s="101"/>
      <c r="J2945" s="101"/>
      <c r="K2945" s="101"/>
      <c r="L2945" s="101"/>
      <c r="M2945" s="101">
        <v>1</v>
      </c>
      <c r="N2945" s="101"/>
      <c r="O2945" s="101"/>
      <c r="P2945" s="101"/>
      <c r="Q2945" s="101"/>
      <c r="R2945" s="101"/>
      <c r="S2945" s="101"/>
      <c r="T2945" s="101"/>
      <c r="U2945" s="101"/>
      <c r="V2945" s="101"/>
      <c r="W2945" s="19"/>
      <c r="X2945" s="17"/>
      <c r="Y2945" s="5">
        <f t="shared" si="280"/>
        <v>0</v>
      </c>
      <c r="Z2945" s="5">
        <f t="shared" si="281"/>
        <v>0</v>
      </c>
      <c r="AA2945" s="5">
        <f t="shared" si="282"/>
        <v>0</v>
      </c>
      <c r="AB2945" s="5">
        <f t="shared" si="283"/>
        <v>0</v>
      </c>
      <c r="AC2945" s="5"/>
      <c r="AD2945" s="5">
        <v>0</v>
      </c>
      <c r="AE2945" s="5">
        <f t="shared" si="284"/>
        <v>0</v>
      </c>
      <c r="AF2945" s="70">
        <v>0</v>
      </c>
      <c r="AG2945" s="17"/>
      <c r="AH2945" s="18"/>
      <c r="AI2945" s="47" t="s">
        <v>4336</v>
      </c>
      <c r="AJ2945" s="73" t="s">
        <v>4337</v>
      </c>
      <c r="AK2945" s="45"/>
      <c r="AL2945" s="17"/>
      <c r="AM2945" s="121" t="s">
        <v>5278</v>
      </c>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c r="CA2945" s="19"/>
      <c r="CB2945" s="19"/>
      <c r="CC2945" s="19"/>
      <c r="CD2945" s="139"/>
      <c r="CE2945" s="138"/>
      <c r="CF2945" s="139"/>
      <c r="CG2945" s="138"/>
      <c r="CH2945" s="139"/>
      <c r="CI2945" s="138"/>
      <c r="CJ2945" s="72"/>
      <c r="CK2945" s="139"/>
      <c r="CL2945" s="71"/>
      <c r="CM2945" s="139"/>
      <c r="CN2945" s="138"/>
      <c r="CO2945" s="138"/>
      <c r="CP2945" s="138"/>
      <c r="CQ2945" s="139"/>
      <c r="CR2945" s="138"/>
      <c r="CS2945" s="45"/>
      <c r="CT2945" s="138"/>
      <c r="CU2945" s="45"/>
      <c r="CV2945" s="99">
        <f t="shared" si="285"/>
        <v>0</v>
      </c>
      <c r="CW2945" s="139"/>
      <c r="CX2945" s="138"/>
      <c r="CY2945" s="138"/>
      <c r="CZ2945" s="138"/>
      <c r="DA2945" s="139"/>
      <c r="DB2945" s="138"/>
      <c r="DC2945" s="45"/>
      <c r="DD2945" s="138"/>
      <c r="DE2945" s="45"/>
      <c r="DF2945" s="46"/>
    </row>
    <row r="2946" spans="1:110" s="42" customFormat="1" ht="180" x14ac:dyDescent="0.2">
      <c r="A2946" s="89">
        <v>40882</v>
      </c>
      <c r="B2946" s="151" t="s">
        <v>4261</v>
      </c>
      <c r="C2946" s="90" t="s">
        <v>1252</v>
      </c>
      <c r="D2946" s="90" t="s">
        <v>2362</v>
      </c>
      <c r="E2946" s="90" t="str">
        <f>VLOOKUP(B2946&amp;C2946,Divipola!$C$2:$F$1138,4,FALSE)</f>
        <v>15537</v>
      </c>
      <c r="F2946" s="4"/>
      <c r="G2946" s="101"/>
      <c r="H2946" s="101"/>
      <c r="I2946" s="101"/>
      <c r="J2946" s="101">
        <v>10</v>
      </c>
      <c r="K2946" s="101">
        <v>2</v>
      </c>
      <c r="L2946" s="101">
        <v>2</v>
      </c>
      <c r="M2946" s="101"/>
      <c r="N2946" s="101">
        <v>1</v>
      </c>
      <c r="O2946" s="101"/>
      <c r="P2946" s="101"/>
      <c r="Q2946" s="101"/>
      <c r="R2946" s="101"/>
      <c r="S2946" s="101"/>
      <c r="T2946" s="101"/>
      <c r="U2946" s="101"/>
      <c r="V2946" s="101"/>
      <c r="W2946" s="19"/>
      <c r="X2946" s="17"/>
      <c r="Y2946" s="5">
        <f t="shared" ref="Y2946:Y3009" si="286">CV2946</f>
        <v>0</v>
      </c>
      <c r="Z2946" s="5">
        <f t="shared" ref="Z2946:Z3009" si="287">CZ2946</f>
        <v>0</v>
      </c>
      <c r="AA2946" s="5">
        <f t="shared" ref="AA2946:AA3009" si="288">DB2946+DD2946</f>
        <v>0</v>
      </c>
      <c r="AB2946" s="5">
        <f t="shared" ref="AB2946:AB3009" si="289">CX2946</f>
        <v>0</v>
      </c>
      <c r="AC2946" s="5">
        <v>22045104</v>
      </c>
      <c r="AD2946" s="5">
        <v>100000000</v>
      </c>
      <c r="AE2946" s="5">
        <f t="shared" ref="AE2946:AE3009" si="290">Y2946+Z2946+AA2946+AB2946+AC2946+AD2946</f>
        <v>122045104</v>
      </c>
      <c r="AF2946" s="70">
        <v>0</v>
      </c>
      <c r="AG2946" s="17"/>
      <c r="AH2946" s="18"/>
      <c r="AI2946" s="47" t="s">
        <v>4346</v>
      </c>
      <c r="AJ2946" s="73" t="s">
        <v>4347</v>
      </c>
      <c r="AK2946" s="45"/>
      <c r="AL2946" s="17"/>
      <c r="AM2946" s="121" t="s">
        <v>5535</v>
      </c>
      <c r="AN2946" s="19"/>
      <c r="AO2946" s="19"/>
      <c r="AP2946" s="19"/>
      <c r="AQ2946" s="19"/>
      <c r="AR2946" s="19"/>
      <c r="AS2946" s="19"/>
      <c r="AT2946" s="19"/>
      <c r="AU2946" s="19"/>
      <c r="AV2946" s="19"/>
      <c r="AW2946" s="19"/>
      <c r="AX2946" s="19"/>
      <c r="AY2946" s="19"/>
      <c r="AZ2946" s="19"/>
      <c r="BA2946" s="19"/>
      <c r="BB2946" s="19"/>
      <c r="BC2946" s="19"/>
      <c r="BD2946" s="19"/>
      <c r="BE2946" s="19"/>
      <c r="BF2946" s="19"/>
      <c r="BG2946" s="19"/>
      <c r="BH2946" s="19"/>
      <c r="BI2946" s="19"/>
      <c r="BJ2946" s="19"/>
      <c r="BK2946" s="19"/>
      <c r="BL2946" s="19"/>
      <c r="BM2946" s="19"/>
      <c r="BN2946" s="19"/>
      <c r="BO2946" s="19"/>
      <c r="BP2946" s="19"/>
      <c r="BQ2946" s="19"/>
      <c r="BR2946" s="19"/>
      <c r="BS2946" s="19"/>
      <c r="BT2946" s="19"/>
      <c r="BU2946" s="19"/>
      <c r="BV2946" s="19"/>
      <c r="BW2946" s="19"/>
      <c r="BX2946" s="19"/>
      <c r="BY2946" s="19"/>
      <c r="BZ2946" s="19"/>
      <c r="CA2946" s="19"/>
      <c r="CB2946" s="19"/>
      <c r="CC2946" s="19"/>
      <c r="CD2946" s="139"/>
      <c r="CE2946" s="138"/>
      <c r="CF2946" s="139"/>
      <c r="CG2946" s="138"/>
      <c r="CH2946" s="139"/>
      <c r="CI2946" s="138"/>
      <c r="CJ2946" s="72"/>
      <c r="CK2946" s="139"/>
      <c r="CL2946" s="71"/>
      <c r="CM2946" s="139"/>
      <c r="CN2946" s="138"/>
      <c r="CO2946" s="138"/>
      <c r="CP2946" s="138"/>
      <c r="CQ2946" s="139"/>
      <c r="CR2946" s="138"/>
      <c r="CS2946" s="45"/>
      <c r="CT2946" s="138"/>
      <c r="CU2946" s="45"/>
      <c r="CV2946" s="99">
        <f t="shared" si="285"/>
        <v>0</v>
      </c>
      <c r="CW2946" s="139"/>
      <c r="CX2946" s="138"/>
      <c r="CY2946" s="138"/>
      <c r="CZ2946" s="138"/>
      <c r="DA2946" s="139"/>
      <c r="DB2946" s="138"/>
      <c r="DC2946" s="45"/>
      <c r="DD2946" s="138"/>
      <c r="DE2946" s="45"/>
      <c r="DF2946" s="46"/>
    </row>
    <row r="2947" spans="1:110" s="42" customFormat="1" ht="120" x14ac:dyDescent="0.2">
      <c r="A2947" s="89">
        <v>40882</v>
      </c>
      <c r="B2947" s="151" t="s">
        <v>4296</v>
      </c>
      <c r="C2947" s="90" t="s">
        <v>1503</v>
      </c>
      <c r="D2947" s="90" t="s">
        <v>4264</v>
      </c>
      <c r="E2947" s="90" t="str">
        <f>VLOOKUP(B2947&amp;C2947,Divipola!$C$2:$F$1138,4,FALSE)</f>
        <v>19585</v>
      </c>
      <c r="F2947" s="4"/>
      <c r="G2947" s="101"/>
      <c r="H2947" s="101"/>
      <c r="I2947" s="101"/>
      <c r="J2947" s="101">
        <v>30</v>
      </c>
      <c r="K2947" s="101">
        <v>6</v>
      </c>
      <c r="L2947" s="101"/>
      <c r="M2947" s="101">
        <v>5</v>
      </c>
      <c r="N2947" s="101">
        <v>1</v>
      </c>
      <c r="O2947" s="101"/>
      <c r="P2947" s="101"/>
      <c r="Q2947" s="101"/>
      <c r="R2947" s="101"/>
      <c r="S2947" s="101"/>
      <c r="T2947" s="101"/>
      <c r="U2947" s="101"/>
      <c r="V2947" s="101"/>
      <c r="W2947" s="19"/>
      <c r="X2947" s="17"/>
      <c r="Y2947" s="5">
        <f t="shared" si="286"/>
        <v>0</v>
      </c>
      <c r="Z2947" s="5">
        <f t="shared" si="287"/>
        <v>0</v>
      </c>
      <c r="AA2947" s="5">
        <f t="shared" si="288"/>
        <v>29600880</v>
      </c>
      <c r="AB2947" s="5">
        <f t="shared" si="289"/>
        <v>0</v>
      </c>
      <c r="AC2947" s="5"/>
      <c r="AD2947" s="5">
        <v>20000000</v>
      </c>
      <c r="AE2947" s="5">
        <f t="shared" si="290"/>
        <v>49600880</v>
      </c>
      <c r="AF2947" s="70">
        <v>0</v>
      </c>
      <c r="AG2947" s="17"/>
      <c r="AH2947" s="18"/>
      <c r="AI2947" s="47" t="s">
        <v>4346</v>
      </c>
      <c r="AJ2947" s="73" t="s">
        <v>4347</v>
      </c>
      <c r="AK2947" s="45"/>
      <c r="AL2947" s="17"/>
      <c r="AM2947" s="121" t="s">
        <v>5478</v>
      </c>
      <c r="AN2947" s="19"/>
      <c r="AO2947" s="19"/>
      <c r="AP2947" s="19"/>
      <c r="AQ2947" s="19"/>
      <c r="AR2947" s="19"/>
      <c r="AS2947" s="19"/>
      <c r="AT2947" s="19"/>
      <c r="AU2947" s="19"/>
      <c r="AV2947" s="19"/>
      <c r="AW2947" s="19"/>
      <c r="AX2947" s="19"/>
      <c r="AY2947" s="19"/>
      <c r="AZ2947" s="19"/>
      <c r="BA2947" s="19"/>
      <c r="BB2947" s="19"/>
      <c r="BC2947" s="19"/>
      <c r="BD2947" s="19"/>
      <c r="BE2947" s="19"/>
      <c r="BF2947" s="19"/>
      <c r="BG2947" s="19"/>
      <c r="BH2947" s="19"/>
      <c r="BI2947" s="19"/>
      <c r="BJ2947" s="19"/>
      <c r="BK2947" s="19"/>
      <c r="BL2947" s="19"/>
      <c r="BM2947" s="19"/>
      <c r="BN2947" s="19"/>
      <c r="BO2947" s="19"/>
      <c r="BP2947" s="19"/>
      <c r="BQ2947" s="19"/>
      <c r="BR2947" s="19"/>
      <c r="BS2947" s="19"/>
      <c r="BT2947" s="19"/>
      <c r="BU2947" s="19"/>
      <c r="BV2947" s="19"/>
      <c r="BW2947" s="19"/>
      <c r="BX2947" s="19"/>
      <c r="BY2947" s="19"/>
      <c r="BZ2947" s="19"/>
      <c r="CA2947" s="19"/>
      <c r="CB2947" s="19"/>
      <c r="CC2947" s="19"/>
      <c r="CD2947" s="139"/>
      <c r="CE2947" s="138"/>
      <c r="CF2947" s="139"/>
      <c r="CG2947" s="138"/>
      <c r="CH2947" s="139"/>
      <c r="CI2947" s="138"/>
      <c r="CJ2947" s="72"/>
      <c r="CK2947" s="139"/>
      <c r="CL2947" s="71"/>
      <c r="CM2947" s="139"/>
      <c r="CN2947" s="138"/>
      <c r="CO2947" s="138"/>
      <c r="CP2947" s="138"/>
      <c r="CQ2947" s="139"/>
      <c r="CR2947" s="138"/>
      <c r="CS2947" s="45"/>
      <c r="CT2947" s="138"/>
      <c r="CU2947" s="45"/>
      <c r="CV2947" s="99">
        <f t="shared" ref="CV2947:CV3010" si="291">AO2947+AQ2947+AS2947+AU2947+AW2947+AY2947+BA2947+BC2947+BE2947+BG2947+BI2947+BK2947+BM2947+BO2947+BQ2947+BS2947+BU2947+BW2947+BY2947+CA2947+CC2947+CE2947+CG2947+CI2947+CK2947+CM2947+CO2947+CQ2947+CS2947+CU2947</f>
        <v>0</v>
      </c>
      <c r="CW2947" s="139"/>
      <c r="CX2947" s="138"/>
      <c r="CY2947" s="138"/>
      <c r="CZ2947" s="138"/>
      <c r="DA2947" s="139"/>
      <c r="DB2947" s="138"/>
      <c r="DC2947" s="45">
        <v>2000</v>
      </c>
      <c r="DD2947" s="138">
        <f>2000*14800.44</f>
        <v>29600880</v>
      </c>
      <c r="DE2947" s="45"/>
      <c r="DF2947" s="46"/>
    </row>
    <row r="2948" spans="1:110" s="42" customFormat="1" ht="72" x14ac:dyDescent="0.2">
      <c r="A2948" s="89">
        <v>40882</v>
      </c>
      <c r="B2948" s="151" t="s">
        <v>4344</v>
      </c>
      <c r="C2948" s="90" t="s">
        <v>2214</v>
      </c>
      <c r="D2948" s="90" t="s">
        <v>2362</v>
      </c>
      <c r="E2948" s="90" t="str">
        <f>VLOOKUP(B2948&amp;C2948,Divipola!$C$2:$F$1138,4,FALSE)</f>
        <v>25394</v>
      </c>
      <c r="F2948" s="4"/>
      <c r="G2948" s="101"/>
      <c r="H2948" s="101"/>
      <c r="I2948" s="101"/>
      <c r="J2948" s="101">
        <v>32</v>
      </c>
      <c r="K2948" s="101">
        <v>8</v>
      </c>
      <c r="L2948" s="101">
        <v>8</v>
      </c>
      <c r="M2948" s="101"/>
      <c r="N2948" s="101">
        <v>1</v>
      </c>
      <c r="O2948" s="101"/>
      <c r="P2948" s="101"/>
      <c r="Q2948" s="101"/>
      <c r="R2948" s="101"/>
      <c r="S2948" s="101"/>
      <c r="T2948" s="101"/>
      <c r="U2948" s="101"/>
      <c r="V2948" s="101"/>
      <c r="W2948" s="19"/>
      <c r="X2948" s="17"/>
      <c r="Y2948" s="5">
        <f t="shared" si="286"/>
        <v>0</v>
      </c>
      <c r="Z2948" s="5">
        <f t="shared" si="287"/>
        <v>0</v>
      </c>
      <c r="AA2948" s="5">
        <f t="shared" si="288"/>
        <v>0</v>
      </c>
      <c r="AB2948" s="5">
        <f t="shared" si="289"/>
        <v>0</v>
      </c>
      <c r="AC2948" s="5"/>
      <c r="AD2948" s="5">
        <v>0</v>
      </c>
      <c r="AE2948" s="5">
        <f t="shared" si="290"/>
        <v>0</v>
      </c>
      <c r="AF2948" s="70">
        <v>0</v>
      </c>
      <c r="AG2948" s="17"/>
      <c r="AH2948" s="18"/>
      <c r="AI2948" s="47" t="s">
        <v>4346</v>
      </c>
      <c r="AJ2948" s="73" t="s">
        <v>4347</v>
      </c>
      <c r="AK2948" s="45"/>
      <c r="AL2948" s="89" t="s">
        <v>2798</v>
      </c>
      <c r="AM2948" s="121" t="s">
        <v>5280</v>
      </c>
      <c r="AN2948" s="19"/>
      <c r="AO2948" s="19"/>
      <c r="AP2948" s="19"/>
      <c r="AQ2948" s="19"/>
      <c r="AR2948" s="19"/>
      <c r="AS2948" s="19"/>
      <c r="AT2948" s="19"/>
      <c r="AU2948" s="19"/>
      <c r="AV2948" s="19"/>
      <c r="AW2948" s="19"/>
      <c r="AX2948" s="19"/>
      <c r="AY2948" s="19"/>
      <c r="AZ2948" s="19"/>
      <c r="BA2948" s="19"/>
      <c r="BB2948" s="19"/>
      <c r="BC2948" s="19"/>
      <c r="BD2948" s="19"/>
      <c r="BE2948" s="19"/>
      <c r="BF2948" s="19"/>
      <c r="BG2948" s="19"/>
      <c r="BH2948" s="19"/>
      <c r="BI2948" s="19"/>
      <c r="BJ2948" s="19"/>
      <c r="BK2948" s="19"/>
      <c r="BL2948" s="19"/>
      <c r="BM2948" s="19"/>
      <c r="BN2948" s="19"/>
      <c r="BO2948" s="19"/>
      <c r="BP2948" s="19"/>
      <c r="BQ2948" s="19"/>
      <c r="BR2948" s="19"/>
      <c r="BS2948" s="19"/>
      <c r="BT2948" s="19"/>
      <c r="BU2948" s="19"/>
      <c r="BV2948" s="19"/>
      <c r="BW2948" s="19"/>
      <c r="BX2948" s="19"/>
      <c r="BY2948" s="19"/>
      <c r="BZ2948" s="19"/>
      <c r="CA2948" s="19"/>
      <c r="CB2948" s="19"/>
      <c r="CC2948" s="19"/>
      <c r="CD2948" s="139"/>
      <c r="CE2948" s="138"/>
      <c r="CF2948" s="139"/>
      <c r="CG2948" s="138"/>
      <c r="CH2948" s="139"/>
      <c r="CI2948" s="138"/>
      <c r="CJ2948" s="72"/>
      <c r="CK2948" s="139"/>
      <c r="CL2948" s="71"/>
      <c r="CM2948" s="139"/>
      <c r="CN2948" s="138"/>
      <c r="CO2948" s="138"/>
      <c r="CP2948" s="138"/>
      <c r="CQ2948" s="139"/>
      <c r="CR2948" s="138"/>
      <c r="CS2948" s="45"/>
      <c r="CT2948" s="138"/>
      <c r="CU2948" s="45"/>
      <c r="CV2948" s="99">
        <f t="shared" si="291"/>
        <v>0</v>
      </c>
      <c r="CW2948" s="139"/>
      <c r="CX2948" s="138"/>
      <c r="CY2948" s="138"/>
      <c r="CZ2948" s="138"/>
      <c r="DA2948" s="139"/>
      <c r="DB2948" s="138"/>
      <c r="DC2948" s="45"/>
      <c r="DD2948" s="138"/>
      <c r="DE2948" s="45"/>
      <c r="DF2948" s="46"/>
    </row>
    <row r="2949" spans="1:110" s="42" customFormat="1" ht="48" x14ac:dyDescent="0.2">
      <c r="A2949" s="89">
        <v>40882</v>
      </c>
      <c r="B2949" s="196" t="s">
        <v>4244</v>
      </c>
      <c r="C2949" s="90" t="s">
        <v>3373</v>
      </c>
      <c r="D2949" s="90" t="s">
        <v>4264</v>
      </c>
      <c r="E2949" s="90" t="str">
        <f>VLOOKUP(B2949&amp;C2949,Divipola!$C$2:$F$1138,4,FALSE)</f>
        <v>76248</v>
      </c>
      <c r="F2949" s="4"/>
      <c r="G2949" s="101"/>
      <c r="H2949" s="101"/>
      <c r="I2949" s="101"/>
      <c r="J2949" s="101"/>
      <c r="K2949" s="101"/>
      <c r="L2949" s="101"/>
      <c r="M2949" s="101"/>
      <c r="N2949" s="101"/>
      <c r="O2949" s="101">
        <v>1</v>
      </c>
      <c r="P2949" s="101"/>
      <c r="Q2949" s="101"/>
      <c r="R2949" s="101"/>
      <c r="S2949" s="101"/>
      <c r="T2949" s="101"/>
      <c r="U2949" s="101"/>
      <c r="V2949" s="101"/>
      <c r="W2949" s="19"/>
      <c r="X2949" s="17"/>
      <c r="Y2949" s="5">
        <f t="shared" si="286"/>
        <v>0</v>
      </c>
      <c r="Z2949" s="5">
        <f t="shared" si="287"/>
        <v>0</v>
      </c>
      <c r="AA2949" s="5">
        <f t="shared" si="288"/>
        <v>0</v>
      </c>
      <c r="AB2949" s="5">
        <f t="shared" si="289"/>
        <v>0</v>
      </c>
      <c r="AC2949" s="5"/>
      <c r="AD2949" s="5">
        <v>0</v>
      </c>
      <c r="AE2949" s="5">
        <f t="shared" si="290"/>
        <v>0</v>
      </c>
      <c r="AF2949" s="70">
        <v>0</v>
      </c>
      <c r="AG2949" s="17"/>
      <c r="AH2949" s="18"/>
      <c r="AI2949" s="47" t="s">
        <v>4346</v>
      </c>
      <c r="AJ2949" s="73" t="s">
        <v>4347</v>
      </c>
      <c r="AK2949" s="45"/>
      <c r="AL2949" s="89" t="s">
        <v>2798</v>
      </c>
      <c r="AM2949" s="121" t="s">
        <v>5281</v>
      </c>
      <c r="AN2949" s="19"/>
      <c r="AO2949" s="19"/>
      <c r="AP2949" s="19"/>
      <c r="AQ2949" s="19"/>
      <c r="AR2949" s="19"/>
      <c r="AS2949" s="19"/>
      <c r="AT2949" s="19"/>
      <c r="AU2949" s="19"/>
      <c r="AV2949" s="19"/>
      <c r="AW2949" s="19"/>
      <c r="AX2949" s="19"/>
      <c r="AY2949" s="19"/>
      <c r="AZ2949" s="19"/>
      <c r="BA2949" s="19"/>
      <c r="BB2949" s="19"/>
      <c r="BC2949" s="19"/>
      <c r="BD2949" s="19"/>
      <c r="BE2949" s="19"/>
      <c r="BF2949" s="19"/>
      <c r="BG2949" s="19"/>
      <c r="BH2949" s="19"/>
      <c r="BI2949" s="19"/>
      <c r="BJ2949" s="19"/>
      <c r="BK2949" s="19"/>
      <c r="BL2949" s="19"/>
      <c r="BM2949" s="19"/>
      <c r="BN2949" s="19"/>
      <c r="BO2949" s="19"/>
      <c r="BP2949" s="19"/>
      <c r="BQ2949" s="19"/>
      <c r="BR2949" s="19"/>
      <c r="BS2949" s="19"/>
      <c r="BT2949" s="19"/>
      <c r="BU2949" s="19"/>
      <c r="BV2949" s="19"/>
      <c r="BW2949" s="19"/>
      <c r="BX2949" s="19"/>
      <c r="BY2949" s="19"/>
      <c r="BZ2949" s="19"/>
      <c r="CA2949" s="19"/>
      <c r="CB2949" s="19"/>
      <c r="CC2949" s="19"/>
      <c r="CD2949" s="139"/>
      <c r="CE2949" s="138"/>
      <c r="CF2949" s="139"/>
      <c r="CG2949" s="138"/>
      <c r="CH2949" s="139"/>
      <c r="CI2949" s="138"/>
      <c r="CJ2949" s="72"/>
      <c r="CK2949" s="139"/>
      <c r="CL2949" s="71"/>
      <c r="CM2949" s="139"/>
      <c r="CN2949" s="138"/>
      <c r="CO2949" s="138"/>
      <c r="CP2949" s="138"/>
      <c r="CQ2949" s="139"/>
      <c r="CR2949" s="138"/>
      <c r="CS2949" s="45"/>
      <c r="CT2949" s="138"/>
      <c r="CU2949" s="45"/>
      <c r="CV2949" s="99">
        <f t="shared" si="291"/>
        <v>0</v>
      </c>
      <c r="CW2949" s="139"/>
      <c r="CX2949" s="138"/>
      <c r="CY2949" s="138"/>
      <c r="CZ2949" s="138"/>
      <c r="DA2949" s="139"/>
      <c r="DB2949" s="138"/>
      <c r="DC2949" s="45"/>
      <c r="DD2949" s="138"/>
      <c r="DE2949" s="45"/>
      <c r="DF2949" s="46"/>
    </row>
    <row r="2950" spans="1:110" s="42" customFormat="1" ht="48" x14ac:dyDescent="0.2">
      <c r="A2950" s="89">
        <v>40882</v>
      </c>
      <c r="B2950" s="196" t="s">
        <v>4244</v>
      </c>
      <c r="C2950" s="90" t="s">
        <v>3167</v>
      </c>
      <c r="D2950" s="90" t="s">
        <v>4264</v>
      </c>
      <c r="E2950" s="90" t="str">
        <f>VLOOKUP(B2950&amp;C2950,Divipola!$C$2:$F$1138,4,FALSE)</f>
        <v>76275</v>
      </c>
      <c r="F2950" s="4"/>
      <c r="G2950" s="101"/>
      <c r="H2950" s="101"/>
      <c r="I2950" s="101"/>
      <c r="J2950" s="101">
        <v>50</v>
      </c>
      <c r="K2950" s="101">
        <v>10</v>
      </c>
      <c r="L2950" s="101"/>
      <c r="M2950" s="101">
        <v>10</v>
      </c>
      <c r="N2950" s="101"/>
      <c r="O2950" s="101"/>
      <c r="P2950" s="101"/>
      <c r="Q2950" s="101"/>
      <c r="R2950" s="101"/>
      <c r="S2950" s="101"/>
      <c r="T2950" s="101"/>
      <c r="U2950" s="101"/>
      <c r="V2950" s="101"/>
      <c r="W2950" s="19"/>
      <c r="X2950" s="17"/>
      <c r="Y2950" s="5">
        <f t="shared" si="286"/>
        <v>0</v>
      </c>
      <c r="Z2950" s="5">
        <f t="shared" si="287"/>
        <v>0</v>
      </c>
      <c r="AA2950" s="5">
        <f t="shared" si="288"/>
        <v>0</v>
      </c>
      <c r="AB2950" s="5">
        <f t="shared" si="289"/>
        <v>0</v>
      </c>
      <c r="AC2950" s="5"/>
      <c r="AD2950" s="5">
        <v>0</v>
      </c>
      <c r="AE2950" s="5">
        <f t="shared" si="290"/>
        <v>0</v>
      </c>
      <c r="AF2950" s="70">
        <v>0</v>
      </c>
      <c r="AG2950" s="17"/>
      <c r="AH2950" s="18"/>
      <c r="AI2950" s="47" t="s">
        <v>4346</v>
      </c>
      <c r="AJ2950" s="73" t="s">
        <v>4347</v>
      </c>
      <c r="AK2950" s="45"/>
      <c r="AL2950" s="89" t="s">
        <v>2798</v>
      </c>
      <c r="AM2950" s="121" t="s">
        <v>5282</v>
      </c>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39"/>
      <c r="CE2950" s="138"/>
      <c r="CF2950" s="139"/>
      <c r="CG2950" s="138"/>
      <c r="CH2950" s="139"/>
      <c r="CI2950" s="138"/>
      <c r="CJ2950" s="72"/>
      <c r="CK2950" s="139"/>
      <c r="CL2950" s="71"/>
      <c r="CM2950" s="139"/>
      <c r="CN2950" s="138"/>
      <c r="CO2950" s="138"/>
      <c r="CP2950" s="138"/>
      <c r="CQ2950" s="139"/>
      <c r="CR2950" s="138"/>
      <c r="CS2950" s="45"/>
      <c r="CT2950" s="138"/>
      <c r="CU2950" s="45"/>
      <c r="CV2950" s="99">
        <f t="shared" si="291"/>
        <v>0</v>
      </c>
      <c r="CW2950" s="139"/>
      <c r="CX2950" s="138"/>
      <c r="CY2950" s="138"/>
      <c r="CZ2950" s="138"/>
      <c r="DA2950" s="139"/>
      <c r="DB2950" s="138"/>
      <c r="DC2950" s="45"/>
      <c r="DD2950" s="138"/>
      <c r="DE2950" s="45"/>
      <c r="DF2950" s="46"/>
    </row>
    <row r="2951" spans="1:110" s="42" customFormat="1" ht="48" x14ac:dyDescent="0.2">
      <c r="A2951" s="89">
        <v>40882</v>
      </c>
      <c r="B2951" s="151" t="s">
        <v>4219</v>
      </c>
      <c r="C2951" s="90" t="s">
        <v>3396</v>
      </c>
      <c r="D2951" s="90" t="s">
        <v>2362</v>
      </c>
      <c r="E2951" s="90" t="str">
        <f>VLOOKUP(B2951&amp;C2951,Divipola!$C$2:$F$1138,4,FALSE)</f>
        <v>41020</v>
      </c>
      <c r="F2951" s="4"/>
      <c r="G2951" s="101"/>
      <c r="H2951" s="101"/>
      <c r="I2951" s="101"/>
      <c r="J2951" s="101"/>
      <c r="K2951" s="101"/>
      <c r="L2951" s="101"/>
      <c r="M2951" s="101"/>
      <c r="N2951" s="101">
        <v>1</v>
      </c>
      <c r="O2951" s="101"/>
      <c r="P2951" s="101"/>
      <c r="Q2951" s="101"/>
      <c r="R2951" s="101"/>
      <c r="S2951" s="101"/>
      <c r="T2951" s="101"/>
      <c r="U2951" s="101"/>
      <c r="V2951" s="101"/>
      <c r="W2951" s="19"/>
      <c r="X2951" s="17"/>
      <c r="Y2951" s="5">
        <f t="shared" si="286"/>
        <v>0</v>
      </c>
      <c r="Z2951" s="5">
        <f t="shared" si="287"/>
        <v>0</v>
      </c>
      <c r="AA2951" s="5">
        <f t="shared" si="288"/>
        <v>0</v>
      </c>
      <c r="AB2951" s="5">
        <f t="shared" si="289"/>
        <v>0</v>
      </c>
      <c r="AC2951" s="5"/>
      <c r="AD2951" s="5">
        <v>0</v>
      </c>
      <c r="AE2951" s="5">
        <f t="shared" si="290"/>
        <v>0</v>
      </c>
      <c r="AF2951" s="70">
        <v>0</v>
      </c>
      <c r="AG2951" s="17"/>
      <c r="AH2951" s="18"/>
      <c r="AI2951" s="47" t="s">
        <v>4346</v>
      </c>
      <c r="AJ2951" s="73" t="s">
        <v>4347</v>
      </c>
      <c r="AK2951" s="45"/>
      <c r="AL2951" s="89" t="s">
        <v>2798</v>
      </c>
      <c r="AM2951" s="121" t="s">
        <v>5283</v>
      </c>
      <c r="AN2951" s="19"/>
      <c r="AO2951" s="19"/>
      <c r="AP2951" s="19"/>
      <c r="AQ2951" s="19"/>
      <c r="AR2951" s="19"/>
      <c r="AS2951" s="19"/>
      <c r="AT2951" s="19"/>
      <c r="AU2951" s="19"/>
      <c r="AV2951" s="19"/>
      <c r="AW2951" s="19"/>
      <c r="AX2951" s="19"/>
      <c r="AY2951" s="19"/>
      <c r="AZ2951" s="19"/>
      <c r="BA2951" s="19"/>
      <c r="BB2951" s="19"/>
      <c r="BC2951" s="19"/>
      <c r="BD2951" s="19"/>
      <c r="BE2951" s="19"/>
      <c r="BF2951" s="19"/>
      <c r="BG2951" s="19"/>
      <c r="BH2951" s="19"/>
      <c r="BI2951" s="19"/>
      <c r="BJ2951" s="19"/>
      <c r="BK2951" s="19"/>
      <c r="BL2951" s="19"/>
      <c r="BM2951" s="19"/>
      <c r="BN2951" s="19"/>
      <c r="BO2951" s="19"/>
      <c r="BP2951" s="19"/>
      <c r="BQ2951" s="19"/>
      <c r="BR2951" s="19"/>
      <c r="BS2951" s="19"/>
      <c r="BT2951" s="19"/>
      <c r="BU2951" s="19"/>
      <c r="BV2951" s="19"/>
      <c r="BW2951" s="19"/>
      <c r="BX2951" s="19"/>
      <c r="BY2951" s="19"/>
      <c r="BZ2951" s="19"/>
      <c r="CA2951" s="19"/>
      <c r="CB2951" s="19"/>
      <c r="CC2951" s="19"/>
      <c r="CD2951" s="139"/>
      <c r="CE2951" s="138"/>
      <c r="CF2951" s="139"/>
      <c r="CG2951" s="138"/>
      <c r="CH2951" s="139"/>
      <c r="CI2951" s="138"/>
      <c r="CJ2951" s="72"/>
      <c r="CK2951" s="139"/>
      <c r="CL2951" s="71"/>
      <c r="CM2951" s="139"/>
      <c r="CN2951" s="138"/>
      <c r="CO2951" s="138"/>
      <c r="CP2951" s="138"/>
      <c r="CQ2951" s="139"/>
      <c r="CR2951" s="138"/>
      <c r="CS2951" s="45"/>
      <c r="CT2951" s="138"/>
      <c r="CU2951" s="45"/>
      <c r="CV2951" s="99">
        <f t="shared" si="291"/>
        <v>0</v>
      </c>
      <c r="CW2951" s="139"/>
      <c r="CX2951" s="138"/>
      <c r="CY2951" s="138"/>
      <c r="CZ2951" s="138"/>
      <c r="DA2951" s="139"/>
      <c r="DB2951" s="138"/>
      <c r="DC2951" s="45"/>
      <c r="DD2951" s="138"/>
      <c r="DE2951" s="45"/>
      <c r="DF2951" s="46"/>
    </row>
    <row r="2952" spans="1:110" s="42" customFormat="1" ht="48" x14ac:dyDescent="0.2">
      <c r="A2952" s="89">
        <v>40882</v>
      </c>
      <c r="B2952" s="151" t="s">
        <v>4219</v>
      </c>
      <c r="C2952" s="90" t="s">
        <v>2232</v>
      </c>
      <c r="D2952" s="90" t="s">
        <v>4264</v>
      </c>
      <c r="E2952" s="90" t="str">
        <f>VLOOKUP(B2952&amp;C2952,Divipola!$C$2:$F$1138,4,FALSE)</f>
        <v>41551</v>
      </c>
      <c r="F2952" s="4"/>
      <c r="G2952" s="101" t="s">
        <v>5279</v>
      </c>
      <c r="H2952" s="101"/>
      <c r="I2952" s="101"/>
      <c r="J2952" s="101">
        <v>45</v>
      </c>
      <c r="K2952" s="101">
        <v>9</v>
      </c>
      <c r="L2952" s="101"/>
      <c r="M2952" s="101">
        <v>9</v>
      </c>
      <c r="N2952" s="101">
        <v>2</v>
      </c>
      <c r="O2952" s="101"/>
      <c r="P2952" s="101"/>
      <c r="Q2952" s="101">
        <v>2</v>
      </c>
      <c r="R2952" s="101"/>
      <c r="S2952" s="101"/>
      <c r="T2952" s="101"/>
      <c r="U2952" s="101"/>
      <c r="V2952" s="101"/>
      <c r="W2952" s="19"/>
      <c r="X2952" s="17"/>
      <c r="Y2952" s="5">
        <f t="shared" si="286"/>
        <v>0</v>
      </c>
      <c r="Z2952" s="5">
        <f t="shared" si="287"/>
        <v>0</v>
      </c>
      <c r="AA2952" s="5">
        <f t="shared" si="288"/>
        <v>0</v>
      </c>
      <c r="AB2952" s="5">
        <f t="shared" si="289"/>
        <v>0</v>
      </c>
      <c r="AC2952" s="5"/>
      <c r="AD2952" s="5">
        <v>0</v>
      </c>
      <c r="AE2952" s="5">
        <f t="shared" si="290"/>
        <v>0</v>
      </c>
      <c r="AF2952" s="70">
        <v>0</v>
      </c>
      <c r="AG2952" s="17"/>
      <c r="AH2952" s="18"/>
      <c r="AI2952" s="47" t="s">
        <v>4346</v>
      </c>
      <c r="AJ2952" s="73" t="s">
        <v>4347</v>
      </c>
      <c r="AK2952" s="45"/>
      <c r="AL2952" s="89" t="s">
        <v>2798</v>
      </c>
      <c r="AM2952" s="121" t="s">
        <v>5284</v>
      </c>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c r="CA2952" s="19"/>
      <c r="CB2952" s="19"/>
      <c r="CC2952" s="19"/>
      <c r="CD2952" s="139"/>
      <c r="CE2952" s="138"/>
      <c r="CF2952" s="139"/>
      <c r="CG2952" s="138"/>
      <c r="CH2952" s="139"/>
      <c r="CI2952" s="138"/>
      <c r="CJ2952" s="72"/>
      <c r="CK2952" s="139"/>
      <c r="CL2952" s="71"/>
      <c r="CM2952" s="139"/>
      <c r="CN2952" s="138"/>
      <c r="CO2952" s="138"/>
      <c r="CP2952" s="138"/>
      <c r="CQ2952" s="139"/>
      <c r="CR2952" s="138"/>
      <c r="CS2952" s="45"/>
      <c r="CT2952" s="138"/>
      <c r="CU2952" s="45"/>
      <c r="CV2952" s="99">
        <f t="shared" si="291"/>
        <v>0</v>
      </c>
      <c r="CW2952" s="139"/>
      <c r="CX2952" s="138"/>
      <c r="CY2952" s="138"/>
      <c r="CZ2952" s="138"/>
      <c r="DA2952" s="139"/>
      <c r="DB2952" s="138"/>
      <c r="DC2952" s="45"/>
      <c r="DD2952" s="138"/>
      <c r="DE2952" s="45"/>
      <c r="DF2952" s="46"/>
    </row>
    <row r="2953" spans="1:110" s="42" customFormat="1" ht="48" x14ac:dyDescent="0.2">
      <c r="A2953" s="89">
        <v>40882</v>
      </c>
      <c r="B2953" s="151" t="s">
        <v>4219</v>
      </c>
      <c r="C2953" s="90" t="s">
        <v>66</v>
      </c>
      <c r="D2953" s="90" t="s">
        <v>2362</v>
      </c>
      <c r="E2953" s="90" t="str">
        <f>VLOOKUP(B2953&amp;C2953,Divipola!$C$2:$F$1138,4,FALSE)</f>
        <v>41503</v>
      </c>
      <c r="F2953" s="4"/>
      <c r="G2953" s="101"/>
      <c r="H2953" s="101"/>
      <c r="I2953" s="101"/>
      <c r="J2953" s="101"/>
      <c r="K2953" s="101"/>
      <c r="L2953" s="101"/>
      <c r="M2953" s="101"/>
      <c r="N2953" s="101">
        <v>1</v>
      </c>
      <c r="O2953" s="101"/>
      <c r="P2953" s="101"/>
      <c r="Q2953" s="101"/>
      <c r="R2953" s="101"/>
      <c r="S2953" s="101"/>
      <c r="T2953" s="101"/>
      <c r="U2953" s="101"/>
      <c r="V2953" s="101"/>
      <c r="W2953" s="19"/>
      <c r="X2953" s="17"/>
      <c r="Y2953" s="5">
        <f t="shared" si="286"/>
        <v>0</v>
      </c>
      <c r="Z2953" s="5">
        <f t="shared" si="287"/>
        <v>0</v>
      </c>
      <c r="AA2953" s="5">
        <f t="shared" si="288"/>
        <v>0</v>
      </c>
      <c r="AB2953" s="5">
        <f t="shared" si="289"/>
        <v>0</v>
      </c>
      <c r="AC2953" s="5"/>
      <c r="AD2953" s="5">
        <v>0</v>
      </c>
      <c r="AE2953" s="5">
        <f t="shared" si="290"/>
        <v>0</v>
      </c>
      <c r="AF2953" s="70">
        <v>0</v>
      </c>
      <c r="AG2953" s="17"/>
      <c r="AH2953" s="18"/>
      <c r="AI2953" s="47" t="s">
        <v>4346</v>
      </c>
      <c r="AJ2953" s="73" t="s">
        <v>4347</v>
      </c>
      <c r="AK2953" s="45"/>
      <c r="AL2953" s="89" t="s">
        <v>2798</v>
      </c>
      <c r="AM2953" s="121" t="s">
        <v>5285</v>
      </c>
      <c r="AN2953" s="19"/>
      <c r="AO2953" s="19"/>
      <c r="AP2953" s="19"/>
      <c r="AQ2953" s="19"/>
      <c r="AR2953" s="19"/>
      <c r="AS2953" s="19"/>
      <c r="AT2953" s="19"/>
      <c r="AU2953" s="19"/>
      <c r="AV2953" s="19"/>
      <c r="AW2953" s="19"/>
      <c r="AX2953" s="19"/>
      <c r="AY2953" s="19"/>
      <c r="AZ2953" s="19"/>
      <c r="BA2953" s="19"/>
      <c r="BB2953" s="19"/>
      <c r="BC2953" s="19"/>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c r="CA2953" s="19"/>
      <c r="CB2953" s="19"/>
      <c r="CC2953" s="19"/>
      <c r="CD2953" s="139"/>
      <c r="CE2953" s="138"/>
      <c r="CF2953" s="139"/>
      <c r="CG2953" s="138"/>
      <c r="CH2953" s="139"/>
      <c r="CI2953" s="138"/>
      <c r="CJ2953" s="72"/>
      <c r="CK2953" s="139"/>
      <c r="CL2953" s="71"/>
      <c r="CM2953" s="139"/>
      <c r="CN2953" s="138"/>
      <c r="CO2953" s="138"/>
      <c r="CP2953" s="138"/>
      <c r="CQ2953" s="139"/>
      <c r="CR2953" s="138"/>
      <c r="CS2953" s="45"/>
      <c r="CT2953" s="138"/>
      <c r="CU2953" s="45"/>
      <c r="CV2953" s="99">
        <f t="shared" si="291"/>
        <v>0</v>
      </c>
      <c r="CW2953" s="139"/>
      <c r="CX2953" s="138"/>
      <c r="CY2953" s="138"/>
      <c r="CZ2953" s="138"/>
      <c r="DA2953" s="139"/>
      <c r="DB2953" s="138"/>
      <c r="DC2953" s="45"/>
      <c r="DD2953" s="138"/>
      <c r="DE2953" s="45"/>
      <c r="DF2953" s="46"/>
    </row>
    <row r="2954" spans="1:110" s="42" customFormat="1" ht="48" x14ac:dyDescent="0.2">
      <c r="A2954" s="89">
        <v>40882</v>
      </c>
      <c r="B2954" s="151" t="s">
        <v>4219</v>
      </c>
      <c r="C2954" s="90" t="s">
        <v>3495</v>
      </c>
      <c r="D2954" s="90" t="s">
        <v>4264</v>
      </c>
      <c r="E2954" s="90" t="str">
        <f>VLOOKUP(B2954&amp;C2954,Divipola!$C$2:$F$1138,4,FALSE)</f>
        <v>41078</v>
      </c>
      <c r="F2954" s="4"/>
      <c r="G2954" s="101"/>
      <c r="H2954" s="101"/>
      <c r="I2954" s="101"/>
      <c r="J2954" s="101"/>
      <c r="K2954" s="101"/>
      <c r="L2954" s="101"/>
      <c r="M2954" s="101"/>
      <c r="N2954" s="101"/>
      <c r="O2954" s="101"/>
      <c r="P2954" s="101"/>
      <c r="Q2954" s="101"/>
      <c r="R2954" s="101"/>
      <c r="S2954" s="101"/>
      <c r="T2954" s="101"/>
      <c r="U2954" s="101"/>
      <c r="V2954" s="101"/>
      <c r="W2954" s="19"/>
      <c r="X2954" s="17"/>
      <c r="Y2954" s="5">
        <f t="shared" si="286"/>
        <v>0</v>
      </c>
      <c r="Z2954" s="5">
        <f t="shared" si="287"/>
        <v>0</v>
      </c>
      <c r="AA2954" s="5">
        <f t="shared" si="288"/>
        <v>0</v>
      </c>
      <c r="AB2954" s="5">
        <f t="shared" si="289"/>
        <v>0</v>
      </c>
      <c r="AC2954" s="5"/>
      <c r="AD2954" s="5">
        <v>0</v>
      </c>
      <c r="AE2954" s="5">
        <f t="shared" si="290"/>
        <v>0</v>
      </c>
      <c r="AF2954" s="70">
        <v>0</v>
      </c>
      <c r="AG2954" s="17"/>
      <c r="AH2954" s="18"/>
      <c r="AI2954" s="47" t="s">
        <v>4346</v>
      </c>
      <c r="AJ2954" s="73" t="s">
        <v>4347</v>
      </c>
      <c r="AK2954" s="45"/>
      <c r="AL2954" s="89" t="s">
        <v>2798</v>
      </c>
      <c r="AM2954" s="121" t="s">
        <v>5286</v>
      </c>
      <c r="AN2954" s="19"/>
      <c r="AO2954" s="19"/>
      <c r="AP2954" s="19"/>
      <c r="AQ2954" s="19"/>
      <c r="AR2954" s="19"/>
      <c r="AS2954" s="19"/>
      <c r="AT2954" s="19"/>
      <c r="AU2954" s="19"/>
      <c r="AV2954" s="19"/>
      <c r="AW2954" s="19"/>
      <c r="AX2954" s="19"/>
      <c r="AY2954" s="19"/>
      <c r="AZ2954" s="19"/>
      <c r="BA2954" s="19"/>
      <c r="BB2954" s="19"/>
      <c r="BC2954" s="19"/>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c r="CA2954" s="19"/>
      <c r="CB2954" s="19"/>
      <c r="CC2954" s="19"/>
      <c r="CD2954" s="139"/>
      <c r="CE2954" s="138"/>
      <c r="CF2954" s="139"/>
      <c r="CG2954" s="138"/>
      <c r="CH2954" s="139"/>
      <c r="CI2954" s="138"/>
      <c r="CJ2954" s="72"/>
      <c r="CK2954" s="139"/>
      <c r="CL2954" s="71"/>
      <c r="CM2954" s="139"/>
      <c r="CN2954" s="138"/>
      <c r="CO2954" s="138"/>
      <c r="CP2954" s="138"/>
      <c r="CQ2954" s="139"/>
      <c r="CR2954" s="138"/>
      <c r="CS2954" s="45"/>
      <c r="CT2954" s="138"/>
      <c r="CU2954" s="45"/>
      <c r="CV2954" s="99">
        <f t="shared" si="291"/>
        <v>0</v>
      </c>
      <c r="CW2954" s="139"/>
      <c r="CX2954" s="138"/>
      <c r="CY2954" s="138"/>
      <c r="CZ2954" s="138"/>
      <c r="DA2954" s="139"/>
      <c r="DB2954" s="138"/>
      <c r="DC2954" s="45"/>
      <c r="DD2954" s="138"/>
      <c r="DE2954" s="45"/>
      <c r="DF2954" s="46"/>
    </row>
    <row r="2955" spans="1:110" s="42" customFormat="1" ht="120" x14ac:dyDescent="0.2">
      <c r="A2955" s="89">
        <v>40882</v>
      </c>
      <c r="B2955" s="151" t="s">
        <v>4350</v>
      </c>
      <c r="C2955" s="90" t="s">
        <v>3535</v>
      </c>
      <c r="D2955" s="90" t="s">
        <v>4264</v>
      </c>
      <c r="E2955" s="90" t="str">
        <f>VLOOKUP(B2955&amp;C2955,Divipola!$C$2:$F$1138,4,FALSE)</f>
        <v>63130</v>
      </c>
      <c r="F2955" s="4"/>
      <c r="G2955" s="101"/>
      <c r="H2955" s="101"/>
      <c r="I2955" s="101"/>
      <c r="J2955" s="101"/>
      <c r="K2955" s="101"/>
      <c r="L2955" s="101"/>
      <c r="M2955" s="101"/>
      <c r="N2955" s="101"/>
      <c r="O2955" s="101"/>
      <c r="P2955" s="101"/>
      <c r="Q2955" s="101"/>
      <c r="R2955" s="101">
        <v>1</v>
      </c>
      <c r="S2955" s="101"/>
      <c r="T2955" s="101"/>
      <c r="U2955" s="101"/>
      <c r="V2955" s="101"/>
      <c r="W2955" s="19"/>
      <c r="X2955" s="17"/>
      <c r="Y2955" s="5">
        <f t="shared" si="286"/>
        <v>0</v>
      </c>
      <c r="Z2955" s="5">
        <f t="shared" si="287"/>
        <v>0</v>
      </c>
      <c r="AA2955" s="5">
        <f t="shared" si="288"/>
        <v>0</v>
      </c>
      <c r="AB2955" s="5">
        <f t="shared" si="289"/>
        <v>0</v>
      </c>
      <c r="AC2955" s="5"/>
      <c r="AD2955" s="5">
        <v>0</v>
      </c>
      <c r="AE2955" s="5">
        <f t="shared" si="290"/>
        <v>0</v>
      </c>
      <c r="AF2955" s="70">
        <v>0</v>
      </c>
      <c r="AG2955" s="17"/>
      <c r="AH2955" s="18"/>
      <c r="AI2955" s="47" t="s">
        <v>4346</v>
      </c>
      <c r="AJ2955" s="73" t="s">
        <v>4347</v>
      </c>
      <c r="AK2955" s="45"/>
      <c r="AL2955" s="17" t="s">
        <v>5051</v>
      </c>
      <c r="AM2955" s="121" t="s">
        <v>5287</v>
      </c>
      <c r="AN2955" s="19"/>
      <c r="AO2955" s="19"/>
      <c r="AP2955" s="19"/>
      <c r="AQ2955" s="19"/>
      <c r="AR2955" s="19"/>
      <c r="AS2955" s="19"/>
      <c r="AT2955" s="19"/>
      <c r="AU2955" s="19"/>
      <c r="AV2955" s="19"/>
      <c r="AW2955" s="19"/>
      <c r="AX2955" s="19"/>
      <c r="AY2955" s="19"/>
      <c r="AZ2955" s="19"/>
      <c r="BA2955" s="19"/>
      <c r="BB2955" s="19"/>
      <c r="BC2955" s="19"/>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c r="CA2955" s="19"/>
      <c r="CB2955" s="19"/>
      <c r="CC2955" s="19"/>
      <c r="CD2955" s="139"/>
      <c r="CE2955" s="138"/>
      <c r="CF2955" s="139"/>
      <c r="CG2955" s="138"/>
      <c r="CH2955" s="139"/>
      <c r="CI2955" s="138"/>
      <c r="CJ2955" s="72"/>
      <c r="CK2955" s="139"/>
      <c r="CL2955" s="71"/>
      <c r="CM2955" s="139"/>
      <c r="CN2955" s="138"/>
      <c r="CO2955" s="138"/>
      <c r="CP2955" s="138"/>
      <c r="CQ2955" s="139"/>
      <c r="CR2955" s="138"/>
      <c r="CS2955" s="45"/>
      <c r="CT2955" s="138"/>
      <c r="CU2955" s="45"/>
      <c r="CV2955" s="99">
        <f t="shared" si="291"/>
        <v>0</v>
      </c>
      <c r="CW2955" s="139"/>
      <c r="CX2955" s="138"/>
      <c r="CY2955" s="138"/>
      <c r="CZ2955" s="138"/>
      <c r="DA2955" s="139"/>
      <c r="DB2955" s="138"/>
      <c r="DC2955" s="45"/>
      <c r="DD2955" s="138"/>
      <c r="DE2955" s="45"/>
      <c r="DF2955" s="46"/>
    </row>
    <row r="2956" spans="1:110" s="42" customFormat="1" ht="48" x14ac:dyDescent="0.2">
      <c r="A2956" s="89">
        <v>40882</v>
      </c>
      <c r="B2956" s="151" t="s">
        <v>4350</v>
      </c>
      <c r="C2956" s="90" t="s">
        <v>2203</v>
      </c>
      <c r="D2956" s="90" t="s">
        <v>2362</v>
      </c>
      <c r="E2956" s="90" t="str">
        <f>VLOOKUP(B2956&amp;C2956,Divipola!$C$2:$F$1138,4,FALSE)</f>
        <v>63111</v>
      </c>
      <c r="F2956" s="4"/>
      <c r="G2956" s="101"/>
      <c r="H2956" s="101"/>
      <c r="I2956" s="101"/>
      <c r="J2956" s="101">
        <v>10</v>
      </c>
      <c r="K2956" s="101">
        <v>2</v>
      </c>
      <c r="L2956" s="101"/>
      <c r="M2956" s="101">
        <v>2</v>
      </c>
      <c r="N2956" s="101"/>
      <c r="O2956" s="101"/>
      <c r="P2956" s="101"/>
      <c r="Q2956" s="101"/>
      <c r="R2956" s="101"/>
      <c r="S2956" s="101"/>
      <c r="T2956" s="101"/>
      <c r="U2956" s="101"/>
      <c r="V2956" s="101"/>
      <c r="W2956" s="19"/>
      <c r="X2956" s="17"/>
      <c r="Y2956" s="5">
        <f t="shared" si="286"/>
        <v>0</v>
      </c>
      <c r="Z2956" s="5">
        <f t="shared" si="287"/>
        <v>0</v>
      </c>
      <c r="AA2956" s="5">
        <f t="shared" si="288"/>
        <v>0</v>
      </c>
      <c r="AB2956" s="5">
        <f t="shared" si="289"/>
        <v>0</v>
      </c>
      <c r="AC2956" s="5"/>
      <c r="AD2956" s="5">
        <v>0</v>
      </c>
      <c r="AE2956" s="5">
        <f t="shared" si="290"/>
        <v>0</v>
      </c>
      <c r="AF2956" s="70">
        <v>0</v>
      </c>
      <c r="AG2956" s="17"/>
      <c r="AH2956" s="18"/>
      <c r="AI2956" s="47" t="s">
        <v>4346</v>
      </c>
      <c r="AJ2956" s="73" t="s">
        <v>4347</v>
      </c>
      <c r="AK2956" s="45"/>
      <c r="AL2956" s="17" t="s">
        <v>5051</v>
      </c>
      <c r="AM2956" s="121" t="s">
        <v>5288</v>
      </c>
      <c r="AN2956" s="19"/>
      <c r="AO2956" s="19"/>
      <c r="AP2956" s="19"/>
      <c r="AQ2956" s="19"/>
      <c r="AR2956" s="19"/>
      <c r="AS2956" s="19"/>
      <c r="AT2956" s="19"/>
      <c r="AU2956" s="19"/>
      <c r="AV2956" s="19"/>
      <c r="AW2956" s="19"/>
      <c r="AX2956" s="19"/>
      <c r="AY2956" s="19"/>
      <c r="AZ2956" s="19"/>
      <c r="BA2956" s="19"/>
      <c r="BB2956" s="19"/>
      <c r="BC2956" s="19"/>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c r="CA2956" s="19"/>
      <c r="CB2956" s="19"/>
      <c r="CC2956" s="19"/>
      <c r="CD2956" s="139"/>
      <c r="CE2956" s="138"/>
      <c r="CF2956" s="139"/>
      <c r="CG2956" s="138"/>
      <c r="CH2956" s="139"/>
      <c r="CI2956" s="138"/>
      <c r="CJ2956" s="72"/>
      <c r="CK2956" s="139"/>
      <c r="CL2956" s="71"/>
      <c r="CM2956" s="139"/>
      <c r="CN2956" s="138"/>
      <c r="CO2956" s="138"/>
      <c r="CP2956" s="138"/>
      <c r="CQ2956" s="139"/>
      <c r="CR2956" s="138"/>
      <c r="CS2956" s="45"/>
      <c r="CT2956" s="138"/>
      <c r="CU2956" s="45"/>
      <c r="CV2956" s="99">
        <f t="shared" si="291"/>
        <v>0</v>
      </c>
      <c r="CW2956" s="139"/>
      <c r="CX2956" s="138"/>
      <c r="CY2956" s="138"/>
      <c r="CZ2956" s="138"/>
      <c r="DA2956" s="139"/>
      <c r="DB2956" s="138"/>
      <c r="DC2956" s="45"/>
      <c r="DD2956" s="138"/>
      <c r="DE2956" s="45"/>
      <c r="DF2956" s="46"/>
    </row>
    <row r="2957" spans="1:110" s="42" customFormat="1" ht="72" x14ac:dyDescent="0.2">
      <c r="A2957" s="89">
        <v>40882</v>
      </c>
      <c r="B2957" s="151" t="s">
        <v>4350</v>
      </c>
      <c r="C2957" s="90" t="s">
        <v>4351</v>
      </c>
      <c r="D2957" s="90" t="s">
        <v>4264</v>
      </c>
      <c r="E2957" s="90" t="str">
        <f>VLOOKUP(B2957&amp;C2957,Divipola!$C$2:$F$1138,4,FALSE)</f>
        <v>63001</v>
      </c>
      <c r="F2957" s="4"/>
      <c r="G2957" s="101"/>
      <c r="H2957" s="101"/>
      <c r="I2957" s="101"/>
      <c r="J2957" s="101"/>
      <c r="K2957" s="101"/>
      <c r="L2957" s="101"/>
      <c r="M2957" s="101"/>
      <c r="N2957" s="101"/>
      <c r="O2957" s="101"/>
      <c r="P2957" s="101"/>
      <c r="Q2957" s="101"/>
      <c r="R2957" s="101">
        <v>1</v>
      </c>
      <c r="S2957" s="101"/>
      <c r="T2957" s="101"/>
      <c r="U2957" s="101"/>
      <c r="V2957" s="101"/>
      <c r="W2957" s="19"/>
      <c r="X2957" s="17"/>
      <c r="Y2957" s="5">
        <f t="shared" si="286"/>
        <v>0</v>
      </c>
      <c r="Z2957" s="5">
        <f t="shared" si="287"/>
        <v>0</v>
      </c>
      <c r="AA2957" s="5">
        <f t="shared" si="288"/>
        <v>0</v>
      </c>
      <c r="AB2957" s="5">
        <f t="shared" si="289"/>
        <v>0</v>
      </c>
      <c r="AC2957" s="5"/>
      <c r="AD2957" s="5">
        <v>0</v>
      </c>
      <c r="AE2957" s="5">
        <f t="shared" si="290"/>
        <v>0</v>
      </c>
      <c r="AF2957" s="70">
        <v>0</v>
      </c>
      <c r="AG2957" s="17"/>
      <c r="AH2957" s="18"/>
      <c r="AI2957" s="47" t="s">
        <v>4346</v>
      </c>
      <c r="AJ2957" s="73" t="s">
        <v>4347</v>
      </c>
      <c r="AK2957" s="45"/>
      <c r="AL2957" s="17" t="s">
        <v>5051</v>
      </c>
      <c r="AM2957" s="121" t="s">
        <v>5289</v>
      </c>
      <c r="AN2957" s="19"/>
      <c r="AO2957" s="19"/>
      <c r="AP2957" s="19"/>
      <c r="AQ2957" s="19"/>
      <c r="AR2957" s="19"/>
      <c r="AS2957" s="19"/>
      <c r="AT2957" s="19"/>
      <c r="AU2957" s="19"/>
      <c r="AV2957" s="19"/>
      <c r="AW2957" s="19"/>
      <c r="AX2957" s="19"/>
      <c r="AY2957" s="19"/>
      <c r="AZ2957" s="19"/>
      <c r="BA2957" s="19"/>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39"/>
      <c r="CE2957" s="138"/>
      <c r="CF2957" s="139"/>
      <c r="CG2957" s="138"/>
      <c r="CH2957" s="139"/>
      <c r="CI2957" s="138"/>
      <c r="CJ2957" s="72"/>
      <c r="CK2957" s="139"/>
      <c r="CL2957" s="71"/>
      <c r="CM2957" s="139"/>
      <c r="CN2957" s="138"/>
      <c r="CO2957" s="138"/>
      <c r="CP2957" s="138"/>
      <c r="CQ2957" s="139"/>
      <c r="CR2957" s="138"/>
      <c r="CS2957" s="45"/>
      <c r="CT2957" s="138"/>
      <c r="CU2957" s="45"/>
      <c r="CV2957" s="99">
        <f t="shared" si="291"/>
        <v>0</v>
      </c>
      <c r="CW2957" s="139"/>
      <c r="CX2957" s="138"/>
      <c r="CY2957" s="138"/>
      <c r="CZ2957" s="138"/>
      <c r="DA2957" s="139"/>
      <c r="DB2957" s="138"/>
      <c r="DC2957" s="45"/>
      <c r="DD2957" s="138"/>
      <c r="DE2957" s="45"/>
      <c r="DF2957" s="46"/>
    </row>
    <row r="2958" spans="1:110" s="42" customFormat="1" ht="156" x14ac:dyDescent="0.2">
      <c r="A2958" s="89">
        <v>40882</v>
      </c>
      <c r="B2958" s="151" t="s">
        <v>3533</v>
      </c>
      <c r="C2958" s="90" t="s">
        <v>862</v>
      </c>
      <c r="D2958" s="90" t="s">
        <v>4264</v>
      </c>
      <c r="E2958" s="90" t="str">
        <f>VLOOKUP(B2958&amp;C2958,Divipola!$C$2:$F$1138,4,FALSE)</f>
        <v>17001</v>
      </c>
      <c r="F2958" s="4"/>
      <c r="G2958" s="101"/>
      <c r="H2958" s="101"/>
      <c r="I2958" s="101"/>
      <c r="J2958" s="101">
        <v>15</v>
      </c>
      <c r="K2958" s="101">
        <v>3</v>
      </c>
      <c r="L2958" s="101">
        <v>3</v>
      </c>
      <c r="M2958" s="101"/>
      <c r="N2958" s="101"/>
      <c r="O2958" s="101">
        <v>2</v>
      </c>
      <c r="P2958" s="101">
        <v>1</v>
      </c>
      <c r="Q2958" s="101">
        <v>1</v>
      </c>
      <c r="R2958" s="101"/>
      <c r="S2958" s="101"/>
      <c r="T2958" s="101"/>
      <c r="U2958" s="101"/>
      <c r="V2958" s="101"/>
      <c r="W2958" s="19"/>
      <c r="X2958" s="17"/>
      <c r="Y2958" s="5">
        <f t="shared" si="286"/>
        <v>23054652</v>
      </c>
      <c r="Z2958" s="5">
        <f t="shared" si="287"/>
        <v>4250000</v>
      </c>
      <c r="AA2958" s="5">
        <f t="shared" si="288"/>
        <v>0</v>
      </c>
      <c r="AB2958" s="5">
        <f t="shared" si="289"/>
        <v>0</v>
      </c>
      <c r="AC2958" s="5"/>
      <c r="AD2958" s="5">
        <v>234500000</v>
      </c>
      <c r="AE2958" s="5">
        <f t="shared" si="290"/>
        <v>261804652</v>
      </c>
      <c r="AF2958" s="70">
        <v>0</v>
      </c>
      <c r="AG2958" s="17"/>
      <c r="AH2958" s="18"/>
      <c r="AI2958" s="47" t="s">
        <v>4346</v>
      </c>
      <c r="AJ2958" s="73" t="s">
        <v>4347</v>
      </c>
      <c r="AK2958" s="45"/>
      <c r="AL2958" s="17"/>
      <c r="AM2958" s="121" t="s">
        <v>5530</v>
      </c>
      <c r="AN2958" s="19"/>
      <c r="AO2958" s="19"/>
      <c r="AP2958" s="19"/>
      <c r="AQ2958" s="19"/>
      <c r="AR2958" s="19"/>
      <c r="AS2958" s="19"/>
      <c r="AT2958" s="19"/>
      <c r="AU2958" s="19"/>
      <c r="AV2958" s="19"/>
      <c r="AW2958" s="19"/>
      <c r="AX2958" s="19"/>
      <c r="AY2958" s="19"/>
      <c r="AZ2958" s="19">
        <v>150</v>
      </c>
      <c r="BA2958" s="19">
        <f>150*55999</f>
        <v>8399850</v>
      </c>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39"/>
      <c r="CE2958" s="138"/>
      <c r="CF2958" s="139"/>
      <c r="CG2958" s="138"/>
      <c r="CH2958" s="139"/>
      <c r="CI2958" s="138"/>
      <c r="CJ2958" s="72">
        <v>150</v>
      </c>
      <c r="CK2958" s="139">
        <f>150*20999.48</f>
        <v>3149922</v>
      </c>
      <c r="CL2958" s="71"/>
      <c r="CM2958" s="139"/>
      <c r="CN2958" s="138"/>
      <c r="CO2958" s="138"/>
      <c r="CP2958" s="138">
        <v>150</v>
      </c>
      <c r="CQ2958" s="139">
        <f>150*36999.36</f>
        <v>5549904</v>
      </c>
      <c r="CR2958" s="138">
        <v>150</v>
      </c>
      <c r="CS2958" s="45">
        <f>150*39699.84</f>
        <v>5954975.9999999991</v>
      </c>
      <c r="CT2958" s="138"/>
      <c r="CU2958" s="45"/>
      <c r="CV2958" s="99">
        <f t="shared" si="291"/>
        <v>23054652</v>
      </c>
      <c r="CW2958" s="139"/>
      <c r="CX2958" s="138"/>
      <c r="CY2958" s="138">
        <v>50</v>
      </c>
      <c r="CZ2958" s="138">
        <f>50*85000</f>
        <v>4250000</v>
      </c>
      <c r="DA2958" s="139"/>
      <c r="DB2958" s="138"/>
      <c r="DC2958" s="45"/>
      <c r="DD2958" s="138"/>
      <c r="DE2958" s="45"/>
      <c r="DF2958" s="46"/>
    </row>
    <row r="2959" spans="1:110" s="42" customFormat="1" ht="60" x14ac:dyDescent="0.2">
      <c r="A2959" s="89">
        <v>40882</v>
      </c>
      <c r="B2959" s="151" t="s">
        <v>4221</v>
      </c>
      <c r="C2959" s="90" t="s">
        <v>4299</v>
      </c>
      <c r="D2959" s="90" t="s">
        <v>4264</v>
      </c>
      <c r="E2959" s="90" t="str">
        <f>VLOOKUP(B2959&amp;C2959,Divipola!$C$2:$F$1138,4,FALSE)</f>
        <v>54001</v>
      </c>
      <c r="F2959" s="4"/>
      <c r="G2959" s="208"/>
      <c r="H2959" s="208"/>
      <c r="I2959" s="208"/>
      <c r="J2959" s="208"/>
      <c r="K2959" s="208"/>
      <c r="L2959" s="208"/>
      <c r="M2959" s="208"/>
      <c r="N2959" s="208"/>
      <c r="O2959" s="208"/>
      <c r="P2959" s="208"/>
      <c r="Q2959" s="208"/>
      <c r="R2959" s="208"/>
      <c r="S2959" s="208"/>
      <c r="T2959" s="208"/>
      <c r="U2959" s="208">
        <v>1</v>
      </c>
      <c r="V2959" s="208"/>
      <c r="W2959" s="19"/>
      <c r="X2959" s="17"/>
      <c r="Y2959" s="5">
        <f t="shared" si="286"/>
        <v>0</v>
      </c>
      <c r="Z2959" s="5">
        <f t="shared" si="287"/>
        <v>0</v>
      </c>
      <c r="AA2959" s="5">
        <f t="shared" si="288"/>
        <v>0</v>
      </c>
      <c r="AB2959" s="5">
        <f t="shared" si="289"/>
        <v>0</v>
      </c>
      <c r="AC2959" s="5">
        <f>60*72000+30*170000+100*29738.92+5000*1500+60*18739.8+100*7540</f>
        <v>21772280</v>
      </c>
      <c r="AD2959" s="5">
        <v>0</v>
      </c>
      <c r="AE2959" s="5">
        <f t="shared" si="290"/>
        <v>21772280</v>
      </c>
      <c r="AF2959" s="70">
        <v>0</v>
      </c>
      <c r="AG2959" s="17"/>
      <c r="AH2959" s="18"/>
      <c r="AI2959" s="47" t="s">
        <v>4346</v>
      </c>
      <c r="AJ2959" s="73" t="s">
        <v>4347</v>
      </c>
      <c r="AK2959" s="45"/>
      <c r="AL2959" s="17"/>
      <c r="AM2959" s="20" t="s">
        <v>5291</v>
      </c>
      <c r="AN2959" s="19"/>
      <c r="AO2959" s="19"/>
      <c r="AP2959" s="19"/>
      <c r="AQ2959" s="19"/>
      <c r="AR2959" s="19"/>
      <c r="AS2959" s="19"/>
      <c r="AT2959" s="19"/>
      <c r="AU2959" s="19"/>
      <c r="AV2959" s="19"/>
      <c r="AW2959" s="19"/>
      <c r="AX2959" s="19"/>
      <c r="AY2959" s="19"/>
      <c r="AZ2959" s="19"/>
      <c r="BA2959" s="19"/>
      <c r="BB2959" s="19"/>
      <c r="BC2959" s="19"/>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c r="CA2959" s="19"/>
      <c r="CB2959" s="19"/>
      <c r="CC2959" s="19"/>
      <c r="CD2959" s="139"/>
      <c r="CE2959" s="138"/>
      <c r="CF2959" s="139"/>
      <c r="CG2959" s="138"/>
      <c r="CH2959" s="139"/>
      <c r="CI2959" s="138"/>
      <c r="CJ2959" s="72"/>
      <c r="CK2959" s="139"/>
      <c r="CL2959" s="71"/>
      <c r="CM2959" s="139"/>
      <c r="CN2959" s="138"/>
      <c r="CO2959" s="138"/>
      <c r="CP2959" s="138"/>
      <c r="CQ2959" s="139"/>
      <c r="CR2959" s="138"/>
      <c r="CS2959" s="45"/>
      <c r="CT2959" s="138"/>
      <c r="CU2959" s="45"/>
      <c r="CV2959" s="99">
        <f t="shared" si="291"/>
        <v>0</v>
      </c>
      <c r="CW2959" s="139"/>
      <c r="CX2959" s="138"/>
      <c r="CY2959" s="138"/>
      <c r="CZ2959" s="138"/>
      <c r="DA2959" s="139"/>
      <c r="DB2959" s="138"/>
      <c r="DC2959" s="45"/>
      <c r="DD2959" s="138"/>
      <c r="DE2959" s="45"/>
      <c r="DF2959" s="46"/>
    </row>
    <row r="2960" spans="1:110" s="42" customFormat="1" x14ac:dyDescent="0.2">
      <c r="A2960" s="89">
        <v>40882</v>
      </c>
      <c r="B2960" s="151" t="s">
        <v>4350</v>
      </c>
      <c r="C2960" s="90" t="s">
        <v>4345</v>
      </c>
      <c r="D2960" s="90" t="s">
        <v>4264</v>
      </c>
      <c r="E2960" s="90">
        <f>VLOOKUP(B2960&amp;C2960,Divipola!$C$2:$F$1138,4,FALSE)</f>
        <v>63</v>
      </c>
      <c r="F2960" s="4"/>
      <c r="G2960" s="208"/>
      <c r="H2960" s="208"/>
      <c r="I2960" s="208"/>
      <c r="J2960" s="208"/>
      <c r="K2960" s="208"/>
      <c r="L2960" s="208"/>
      <c r="M2960" s="208"/>
      <c r="N2960" s="208"/>
      <c r="O2960" s="208"/>
      <c r="P2960" s="208"/>
      <c r="Q2960" s="208"/>
      <c r="R2960" s="208"/>
      <c r="S2960" s="208"/>
      <c r="T2960" s="208"/>
      <c r="U2960" s="208"/>
      <c r="V2960" s="208"/>
      <c r="W2960" s="19"/>
      <c r="X2960" s="17"/>
      <c r="Y2960" s="5">
        <f t="shared" si="286"/>
        <v>41899408.799999997</v>
      </c>
      <c r="Z2960" s="5">
        <f t="shared" si="287"/>
        <v>17000000</v>
      </c>
      <c r="AA2960" s="5">
        <f t="shared" si="288"/>
        <v>52644048</v>
      </c>
      <c r="AB2960" s="5">
        <f t="shared" si="289"/>
        <v>0</v>
      </c>
      <c r="AC2960" s="5"/>
      <c r="AD2960" s="5">
        <v>0</v>
      </c>
      <c r="AE2960" s="5">
        <f t="shared" si="290"/>
        <v>111543456.8</v>
      </c>
      <c r="AF2960" s="70">
        <v>0</v>
      </c>
      <c r="AG2960" s="17"/>
      <c r="AH2960" s="18"/>
      <c r="AI2960" s="47" t="s">
        <v>4346</v>
      </c>
      <c r="AJ2960" s="73" t="s">
        <v>4347</v>
      </c>
      <c r="AK2960" s="45"/>
      <c r="AL2960" s="17"/>
      <c r="AM2960" s="20"/>
      <c r="AN2960" s="19"/>
      <c r="AO2960" s="19"/>
      <c r="AP2960" s="19"/>
      <c r="AQ2960" s="19"/>
      <c r="AR2960" s="19"/>
      <c r="AS2960" s="19"/>
      <c r="AT2960" s="19"/>
      <c r="AU2960" s="19"/>
      <c r="AV2960" s="19"/>
      <c r="AW2960" s="19"/>
      <c r="AX2960" s="19"/>
      <c r="AY2960" s="19"/>
      <c r="AZ2960" s="19">
        <v>280</v>
      </c>
      <c r="BA2960" s="19">
        <f>280*55999</f>
        <v>15679720</v>
      </c>
      <c r="BB2960" s="19"/>
      <c r="BC2960" s="19"/>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v>10</v>
      </c>
      <c r="CA2960" s="19">
        <f>10*499999.44</f>
        <v>4999994.4000000004</v>
      </c>
      <c r="CB2960" s="19"/>
      <c r="CC2960" s="19"/>
      <c r="CD2960" s="139"/>
      <c r="CE2960" s="138"/>
      <c r="CF2960" s="139"/>
      <c r="CG2960" s="138"/>
      <c r="CH2960" s="139"/>
      <c r="CI2960" s="138"/>
      <c r="CJ2960" s="72">
        <v>280</v>
      </c>
      <c r="CK2960" s="139">
        <f>280*20999.48</f>
        <v>5879854.3999999994</v>
      </c>
      <c r="CL2960" s="71"/>
      <c r="CM2960" s="139"/>
      <c r="CN2960" s="138"/>
      <c r="CO2960" s="138"/>
      <c r="CP2960" s="138">
        <v>200</v>
      </c>
      <c r="CQ2960" s="139">
        <f>200*36999.36</f>
        <v>7399872</v>
      </c>
      <c r="CR2960" s="138">
        <v>200</v>
      </c>
      <c r="CS2960" s="45">
        <f>200*39699.84</f>
        <v>7939967.9999999991</v>
      </c>
      <c r="CT2960" s="138"/>
      <c r="CU2960" s="45"/>
      <c r="CV2960" s="99">
        <f t="shared" si="291"/>
        <v>41899408.799999997</v>
      </c>
      <c r="CW2960" s="139"/>
      <c r="CX2960" s="138"/>
      <c r="CY2960" s="138">
        <v>200</v>
      </c>
      <c r="CZ2960" s="138">
        <f>200*85000</f>
        <v>17000000</v>
      </c>
      <c r="DA2960" s="139"/>
      <c r="DB2960" s="138"/>
      <c r="DC2960" s="45">
        <f>900+750</f>
        <v>1650</v>
      </c>
      <c r="DD2960" s="138">
        <f>900*27998.92+750*31999.76+9900*348</f>
        <v>52644048</v>
      </c>
      <c r="DE2960" s="45"/>
      <c r="DF2960" s="46"/>
    </row>
    <row r="2961" spans="1:110" s="42" customFormat="1" ht="84" x14ac:dyDescent="0.2">
      <c r="A2961" s="89">
        <v>40882</v>
      </c>
      <c r="B2961" s="151" t="s">
        <v>4350</v>
      </c>
      <c r="C2961" s="90" t="s">
        <v>797</v>
      </c>
      <c r="D2961" s="90" t="s">
        <v>4264</v>
      </c>
      <c r="E2961" s="90" t="str">
        <f>VLOOKUP(B2961&amp;C2961,Divipola!$C$2:$F$1138,4,FALSE)</f>
        <v>63272</v>
      </c>
      <c r="F2961" s="4"/>
      <c r="G2961" s="101">
        <v>1</v>
      </c>
      <c r="H2961" s="101"/>
      <c r="I2961" s="101"/>
      <c r="J2961" s="101"/>
      <c r="K2961" s="101"/>
      <c r="L2961" s="101"/>
      <c r="M2961" s="101"/>
      <c r="N2961" s="101"/>
      <c r="O2961" s="101"/>
      <c r="P2961" s="101"/>
      <c r="Q2961" s="101"/>
      <c r="R2961" s="101"/>
      <c r="S2961" s="101"/>
      <c r="T2961" s="101"/>
      <c r="U2961" s="101"/>
      <c r="V2961" s="101"/>
      <c r="W2961" s="19"/>
      <c r="X2961" s="17"/>
      <c r="Y2961" s="5">
        <f t="shared" si="286"/>
        <v>0</v>
      </c>
      <c r="Z2961" s="5">
        <f t="shared" si="287"/>
        <v>0</v>
      </c>
      <c r="AA2961" s="5">
        <f t="shared" si="288"/>
        <v>0</v>
      </c>
      <c r="AB2961" s="5">
        <f t="shared" si="289"/>
        <v>0</v>
      </c>
      <c r="AC2961" s="5"/>
      <c r="AD2961" s="5">
        <v>0</v>
      </c>
      <c r="AE2961" s="5">
        <f t="shared" si="290"/>
        <v>0</v>
      </c>
      <c r="AF2961" s="70">
        <v>0</v>
      </c>
      <c r="AG2961" s="17"/>
      <c r="AH2961" s="18"/>
      <c r="AI2961" s="47" t="s">
        <v>4336</v>
      </c>
      <c r="AJ2961" s="73" t="s">
        <v>4337</v>
      </c>
      <c r="AK2961" s="45"/>
      <c r="AL2961" s="17"/>
      <c r="AM2961" s="121" t="s">
        <v>5295</v>
      </c>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39"/>
      <c r="CE2961" s="138"/>
      <c r="CF2961" s="139"/>
      <c r="CG2961" s="138"/>
      <c r="CH2961" s="139"/>
      <c r="CI2961" s="138"/>
      <c r="CJ2961" s="72"/>
      <c r="CK2961" s="139"/>
      <c r="CL2961" s="71"/>
      <c r="CM2961" s="139"/>
      <c r="CN2961" s="138"/>
      <c r="CO2961" s="138"/>
      <c r="CP2961" s="138"/>
      <c r="CQ2961" s="139"/>
      <c r="CR2961" s="138"/>
      <c r="CS2961" s="45"/>
      <c r="CT2961" s="138"/>
      <c r="CU2961" s="45"/>
      <c r="CV2961" s="99">
        <f t="shared" si="291"/>
        <v>0</v>
      </c>
      <c r="CW2961" s="139"/>
      <c r="CX2961" s="138"/>
      <c r="CY2961" s="138"/>
      <c r="CZ2961" s="138"/>
      <c r="DA2961" s="139"/>
      <c r="DB2961" s="138"/>
      <c r="DC2961" s="45"/>
      <c r="DD2961" s="138"/>
      <c r="DE2961" s="45"/>
      <c r="DF2961" s="46"/>
    </row>
    <row r="2962" spans="1:110" s="42" customFormat="1" ht="24" x14ac:dyDescent="0.2">
      <c r="A2962" s="89">
        <v>40882</v>
      </c>
      <c r="B2962" s="151" t="s">
        <v>2218</v>
      </c>
      <c r="C2962" s="90" t="s">
        <v>3297</v>
      </c>
      <c r="D2962" s="90" t="s">
        <v>2362</v>
      </c>
      <c r="E2962" s="90" t="str">
        <f>VLOOKUP(B2962&amp;C2962,Divipola!$C$2:$F$1138,4,FALSE)</f>
        <v>05001</v>
      </c>
      <c r="F2962" s="4"/>
      <c r="G2962" s="101"/>
      <c r="H2962" s="101">
        <v>2</v>
      </c>
      <c r="I2962" s="101"/>
      <c r="J2962" s="101">
        <v>30</v>
      </c>
      <c r="K2962" s="101">
        <v>6</v>
      </c>
      <c r="L2962" s="101">
        <v>1</v>
      </c>
      <c r="M2962" s="101">
        <v>6</v>
      </c>
      <c r="N2962" s="101"/>
      <c r="O2962" s="101"/>
      <c r="P2962" s="101"/>
      <c r="Q2962" s="101"/>
      <c r="R2962" s="101"/>
      <c r="S2962" s="101"/>
      <c r="T2962" s="101"/>
      <c r="U2962" s="101"/>
      <c r="V2962" s="101"/>
      <c r="W2962" s="19"/>
      <c r="X2962" s="17"/>
      <c r="Y2962" s="5">
        <f t="shared" si="286"/>
        <v>0</v>
      </c>
      <c r="Z2962" s="5">
        <f t="shared" si="287"/>
        <v>0</v>
      </c>
      <c r="AA2962" s="5">
        <f t="shared" si="288"/>
        <v>0</v>
      </c>
      <c r="AB2962" s="5">
        <f t="shared" si="289"/>
        <v>0</v>
      </c>
      <c r="AC2962" s="5"/>
      <c r="AD2962" s="5">
        <v>0</v>
      </c>
      <c r="AE2962" s="5">
        <f t="shared" si="290"/>
        <v>0</v>
      </c>
      <c r="AF2962" s="70">
        <v>0</v>
      </c>
      <c r="AG2962" s="17"/>
      <c r="AH2962" s="18"/>
      <c r="AI2962" s="47" t="s">
        <v>4336</v>
      </c>
      <c r="AJ2962" s="73" t="s">
        <v>4337</v>
      </c>
      <c r="AK2962" s="45"/>
      <c r="AL2962" s="17"/>
      <c r="AM2962" s="121" t="s">
        <v>5297</v>
      </c>
      <c r="AN2962" s="19"/>
      <c r="AO2962" s="19"/>
      <c r="AP2962" s="19"/>
      <c r="AQ2962" s="19"/>
      <c r="AR2962" s="19"/>
      <c r="AS2962" s="19"/>
      <c r="AT2962" s="19"/>
      <c r="AU2962" s="19"/>
      <c r="AV2962" s="19"/>
      <c r="AW2962" s="19"/>
      <c r="AX2962" s="19"/>
      <c r="AY2962" s="19"/>
      <c r="AZ2962" s="19"/>
      <c r="BA2962" s="19"/>
      <c r="BB2962" s="19"/>
      <c r="BC2962" s="19"/>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39"/>
      <c r="CE2962" s="138"/>
      <c r="CF2962" s="139"/>
      <c r="CG2962" s="138"/>
      <c r="CH2962" s="139"/>
      <c r="CI2962" s="138"/>
      <c r="CJ2962" s="72"/>
      <c r="CK2962" s="139"/>
      <c r="CL2962" s="71"/>
      <c r="CM2962" s="139"/>
      <c r="CN2962" s="138"/>
      <c r="CO2962" s="138"/>
      <c r="CP2962" s="138"/>
      <c r="CQ2962" s="139"/>
      <c r="CR2962" s="138"/>
      <c r="CS2962" s="45"/>
      <c r="CT2962" s="138"/>
      <c r="CU2962" s="45"/>
      <c r="CV2962" s="99">
        <f t="shared" si="291"/>
        <v>0</v>
      </c>
      <c r="CW2962" s="139"/>
      <c r="CX2962" s="138"/>
      <c r="CY2962" s="138"/>
      <c r="CZ2962" s="138"/>
      <c r="DA2962" s="139"/>
      <c r="DB2962" s="138"/>
      <c r="DC2962" s="45"/>
      <c r="DD2962" s="138"/>
      <c r="DE2962" s="45"/>
      <c r="DF2962" s="46"/>
    </row>
    <row r="2963" spans="1:110" s="42" customFormat="1" ht="24" x14ac:dyDescent="0.2">
      <c r="A2963" s="89">
        <v>40882</v>
      </c>
      <c r="B2963" s="196" t="s">
        <v>4244</v>
      </c>
      <c r="C2963" s="90" t="s">
        <v>2768</v>
      </c>
      <c r="D2963" s="90" t="s">
        <v>4264</v>
      </c>
      <c r="E2963" s="90" t="str">
        <f>VLOOKUP(B2963&amp;C2963,Divipola!$C$2:$F$1138,4,FALSE)</f>
        <v>76001</v>
      </c>
      <c r="F2963" s="4"/>
      <c r="G2963" s="101"/>
      <c r="H2963" s="101"/>
      <c r="I2963" s="101"/>
      <c r="J2963" s="101">
        <v>140</v>
      </c>
      <c r="K2963" s="101">
        <v>30</v>
      </c>
      <c r="L2963" s="101"/>
      <c r="M2963" s="101">
        <v>30</v>
      </c>
      <c r="N2963" s="101"/>
      <c r="O2963" s="101"/>
      <c r="P2963" s="101"/>
      <c r="Q2963" s="101"/>
      <c r="R2963" s="101"/>
      <c r="S2963" s="101"/>
      <c r="T2963" s="101"/>
      <c r="U2963" s="101"/>
      <c r="V2963" s="101"/>
      <c r="W2963" s="19"/>
      <c r="X2963" s="17"/>
      <c r="Y2963" s="5">
        <f t="shared" si="286"/>
        <v>0</v>
      </c>
      <c r="Z2963" s="5">
        <f t="shared" si="287"/>
        <v>0</v>
      </c>
      <c r="AA2963" s="5">
        <f t="shared" si="288"/>
        <v>0</v>
      </c>
      <c r="AB2963" s="5">
        <f t="shared" si="289"/>
        <v>0</v>
      </c>
      <c r="AC2963" s="5"/>
      <c r="AD2963" s="5">
        <v>0</v>
      </c>
      <c r="AE2963" s="5">
        <f t="shared" si="290"/>
        <v>0</v>
      </c>
      <c r="AF2963" s="70">
        <v>0</v>
      </c>
      <c r="AG2963" s="17"/>
      <c r="AH2963" s="18"/>
      <c r="AI2963" s="47" t="s">
        <v>4336</v>
      </c>
      <c r="AJ2963" s="73" t="s">
        <v>4337</v>
      </c>
      <c r="AK2963" s="45"/>
      <c r="AL2963" s="89" t="s">
        <v>2798</v>
      </c>
      <c r="AM2963" s="121" t="s">
        <v>5298</v>
      </c>
      <c r="AN2963" s="19"/>
      <c r="AO2963" s="19"/>
      <c r="AP2963" s="19"/>
      <c r="AQ2963" s="19"/>
      <c r="AR2963" s="19"/>
      <c r="AS2963" s="19"/>
      <c r="AT2963" s="19"/>
      <c r="AU2963" s="19"/>
      <c r="AV2963" s="19"/>
      <c r="AW2963" s="19"/>
      <c r="AX2963" s="19"/>
      <c r="AY2963" s="19"/>
      <c r="AZ2963" s="19"/>
      <c r="BA2963" s="19"/>
      <c r="BB2963" s="19"/>
      <c r="BC2963" s="19"/>
      <c r="BD2963" s="19"/>
      <c r="BE2963" s="19"/>
      <c r="BF2963" s="19"/>
      <c r="BG2963" s="19"/>
      <c r="BH2963" s="19"/>
      <c r="BI2963" s="19"/>
      <c r="BJ2963" s="19"/>
      <c r="BK2963" s="19"/>
      <c r="BL2963" s="19"/>
      <c r="BM2963" s="19"/>
      <c r="BN2963" s="19"/>
      <c r="BO2963" s="19"/>
      <c r="BP2963" s="19"/>
      <c r="BQ2963" s="19"/>
      <c r="BR2963" s="19"/>
      <c r="BS2963" s="19"/>
      <c r="BT2963" s="19"/>
      <c r="BU2963" s="19"/>
      <c r="BV2963" s="19"/>
      <c r="BW2963" s="19"/>
      <c r="BX2963" s="19"/>
      <c r="BY2963" s="19"/>
      <c r="BZ2963" s="19"/>
      <c r="CA2963" s="19"/>
      <c r="CB2963" s="19"/>
      <c r="CC2963" s="19"/>
      <c r="CD2963" s="139"/>
      <c r="CE2963" s="138"/>
      <c r="CF2963" s="139"/>
      <c r="CG2963" s="138"/>
      <c r="CH2963" s="139"/>
      <c r="CI2963" s="138"/>
      <c r="CJ2963" s="72"/>
      <c r="CK2963" s="139"/>
      <c r="CL2963" s="71"/>
      <c r="CM2963" s="139"/>
      <c r="CN2963" s="138"/>
      <c r="CO2963" s="138"/>
      <c r="CP2963" s="138"/>
      <c r="CQ2963" s="139"/>
      <c r="CR2963" s="138"/>
      <c r="CS2963" s="45"/>
      <c r="CT2963" s="138"/>
      <c r="CU2963" s="45"/>
      <c r="CV2963" s="99">
        <f t="shared" si="291"/>
        <v>0</v>
      </c>
      <c r="CW2963" s="139"/>
      <c r="CX2963" s="138"/>
      <c r="CY2963" s="138"/>
      <c r="CZ2963" s="138"/>
      <c r="DA2963" s="139"/>
      <c r="DB2963" s="138"/>
      <c r="DC2963" s="45"/>
      <c r="DD2963" s="138"/>
      <c r="DE2963" s="45"/>
      <c r="DF2963" s="46"/>
    </row>
    <row r="2964" spans="1:110" s="42" customFormat="1" ht="36" x14ac:dyDescent="0.2">
      <c r="A2964" s="89">
        <v>40882</v>
      </c>
      <c r="B2964" s="196" t="s">
        <v>4244</v>
      </c>
      <c r="C2964" s="90" t="s">
        <v>4325</v>
      </c>
      <c r="D2964" s="90" t="s">
        <v>4264</v>
      </c>
      <c r="E2964" s="90" t="str">
        <f>VLOOKUP(B2964&amp;C2964,Divipola!$C$2:$F$1138,4,FALSE)</f>
        <v>76130</v>
      </c>
      <c r="F2964" s="4"/>
      <c r="G2964" s="101"/>
      <c r="H2964" s="101"/>
      <c r="I2964" s="101"/>
      <c r="J2964" s="101">
        <v>90</v>
      </c>
      <c r="K2964" s="101">
        <v>18</v>
      </c>
      <c r="L2964" s="101"/>
      <c r="M2964" s="101">
        <v>18</v>
      </c>
      <c r="N2964" s="101"/>
      <c r="O2964" s="101"/>
      <c r="P2964" s="101"/>
      <c r="Q2964" s="101"/>
      <c r="R2964" s="101"/>
      <c r="S2964" s="101"/>
      <c r="T2964" s="101"/>
      <c r="U2964" s="101"/>
      <c r="V2964" s="101"/>
      <c r="W2964" s="19"/>
      <c r="X2964" s="17"/>
      <c r="Y2964" s="5">
        <f t="shared" si="286"/>
        <v>0</v>
      </c>
      <c r="Z2964" s="5">
        <f t="shared" si="287"/>
        <v>0</v>
      </c>
      <c r="AA2964" s="5">
        <f t="shared" si="288"/>
        <v>0</v>
      </c>
      <c r="AB2964" s="5">
        <f t="shared" si="289"/>
        <v>0</v>
      </c>
      <c r="AC2964" s="5"/>
      <c r="AD2964" s="5">
        <v>0</v>
      </c>
      <c r="AE2964" s="5">
        <f t="shared" si="290"/>
        <v>0</v>
      </c>
      <c r="AF2964" s="70">
        <v>0</v>
      </c>
      <c r="AG2964" s="17"/>
      <c r="AH2964" s="18"/>
      <c r="AI2964" s="47" t="s">
        <v>4346</v>
      </c>
      <c r="AJ2964" s="73" t="s">
        <v>4347</v>
      </c>
      <c r="AK2964" s="45"/>
      <c r="AL2964" s="89" t="s">
        <v>2798</v>
      </c>
      <c r="AM2964" s="121" t="s">
        <v>5303</v>
      </c>
      <c r="AN2964" s="19"/>
      <c r="AO2964" s="19"/>
      <c r="AP2964" s="19"/>
      <c r="AQ2964" s="19"/>
      <c r="AR2964" s="19"/>
      <c r="AS2964" s="19"/>
      <c r="AT2964" s="19"/>
      <c r="AU2964" s="19"/>
      <c r="AV2964" s="19"/>
      <c r="AW2964" s="19"/>
      <c r="AX2964" s="19"/>
      <c r="AY2964" s="19"/>
      <c r="AZ2964" s="19"/>
      <c r="BA2964" s="19"/>
      <c r="BB2964" s="19"/>
      <c r="BC2964" s="19"/>
      <c r="BD2964" s="19"/>
      <c r="BE2964" s="19"/>
      <c r="BF2964" s="19"/>
      <c r="BG2964" s="19"/>
      <c r="BH2964" s="19"/>
      <c r="BI2964" s="19"/>
      <c r="BJ2964" s="19"/>
      <c r="BK2964" s="19"/>
      <c r="BL2964" s="19"/>
      <c r="BM2964" s="19"/>
      <c r="BN2964" s="19"/>
      <c r="BO2964" s="19"/>
      <c r="BP2964" s="19"/>
      <c r="BQ2964" s="19"/>
      <c r="BR2964" s="19"/>
      <c r="BS2964" s="19"/>
      <c r="BT2964" s="19"/>
      <c r="BU2964" s="19"/>
      <c r="BV2964" s="19"/>
      <c r="BW2964" s="19"/>
      <c r="BX2964" s="19"/>
      <c r="BY2964" s="19"/>
      <c r="BZ2964" s="19"/>
      <c r="CA2964" s="19"/>
      <c r="CB2964" s="19"/>
      <c r="CC2964" s="19"/>
      <c r="CD2964" s="139"/>
      <c r="CE2964" s="138"/>
      <c r="CF2964" s="139"/>
      <c r="CG2964" s="138"/>
      <c r="CH2964" s="139"/>
      <c r="CI2964" s="138"/>
      <c r="CJ2964" s="72"/>
      <c r="CK2964" s="139"/>
      <c r="CL2964" s="71"/>
      <c r="CM2964" s="139"/>
      <c r="CN2964" s="138"/>
      <c r="CO2964" s="138"/>
      <c r="CP2964" s="138"/>
      <c r="CQ2964" s="139"/>
      <c r="CR2964" s="138"/>
      <c r="CS2964" s="45"/>
      <c r="CT2964" s="138"/>
      <c r="CU2964" s="45"/>
      <c r="CV2964" s="99">
        <f t="shared" si="291"/>
        <v>0</v>
      </c>
      <c r="CW2964" s="139"/>
      <c r="CX2964" s="138"/>
      <c r="CY2964" s="138"/>
      <c r="CZ2964" s="138"/>
      <c r="DA2964" s="139"/>
      <c r="DB2964" s="138"/>
      <c r="DC2964" s="45"/>
      <c r="DD2964" s="138"/>
      <c r="DE2964" s="45"/>
      <c r="DF2964" s="46"/>
    </row>
    <row r="2965" spans="1:110" s="42" customFormat="1" ht="48" x14ac:dyDescent="0.2">
      <c r="A2965" s="89">
        <v>40882</v>
      </c>
      <c r="B2965" s="151" t="s">
        <v>4219</v>
      </c>
      <c r="C2965" s="90" t="s">
        <v>3503</v>
      </c>
      <c r="D2965" s="90" t="s">
        <v>4264</v>
      </c>
      <c r="E2965" s="90" t="str">
        <f>VLOOKUP(B2965&amp;C2965,Divipola!$C$2:$F$1138,4,FALSE)</f>
        <v>41001</v>
      </c>
      <c r="F2965" s="4"/>
      <c r="G2965" s="101"/>
      <c r="H2965" s="101"/>
      <c r="I2965" s="101"/>
      <c r="J2965" s="101"/>
      <c r="K2965" s="101"/>
      <c r="L2965" s="101"/>
      <c r="M2965" s="101"/>
      <c r="N2965" s="101"/>
      <c r="O2965" s="101"/>
      <c r="P2965" s="101"/>
      <c r="Q2965" s="101"/>
      <c r="R2965" s="101"/>
      <c r="S2965" s="101"/>
      <c r="T2965" s="101"/>
      <c r="U2965" s="101"/>
      <c r="V2965" s="101"/>
      <c r="W2965" s="19"/>
      <c r="X2965" s="17"/>
      <c r="Y2965" s="5">
        <f t="shared" si="286"/>
        <v>0</v>
      </c>
      <c r="Z2965" s="5">
        <f t="shared" si="287"/>
        <v>0</v>
      </c>
      <c r="AA2965" s="5">
        <f t="shared" si="288"/>
        <v>0</v>
      </c>
      <c r="AB2965" s="5">
        <f t="shared" si="289"/>
        <v>0</v>
      </c>
      <c r="AC2965" s="5"/>
      <c r="AD2965" s="5">
        <v>0</v>
      </c>
      <c r="AE2965" s="5">
        <f t="shared" si="290"/>
        <v>0</v>
      </c>
      <c r="AF2965" s="70">
        <v>0</v>
      </c>
      <c r="AG2965" s="17"/>
      <c r="AH2965" s="18"/>
      <c r="AI2965" s="47" t="s">
        <v>4346</v>
      </c>
      <c r="AJ2965" s="73" t="s">
        <v>4347</v>
      </c>
      <c r="AK2965" s="45"/>
      <c r="AL2965" s="89" t="s">
        <v>2798</v>
      </c>
      <c r="AM2965" s="121" t="s">
        <v>5304</v>
      </c>
      <c r="AN2965" s="19"/>
      <c r="AO2965" s="19"/>
      <c r="AP2965" s="19"/>
      <c r="AQ2965" s="19"/>
      <c r="AR2965" s="19"/>
      <c r="AS2965" s="19"/>
      <c r="AT2965" s="19"/>
      <c r="AU2965" s="19"/>
      <c r="AV2965" s="19"/>
      <c r="AW2965" s="19"/>
      <c r="AX2965" s="19"/>
      <c r="AY2965" s="19"/>
      <c r="AZ2965" s="19"/>
      <c r="BA2965" s="19"/>
      <c r="BB2965" s="19"/>
      <c r="BC2965" s="19"/>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c r="CA2965" s="19"/>
      <c r="CB2965" s="19"/>
      <c r="CC2965" s="19"/>
      <c r="CD2965" s="139"/>
      <c r="CE2965" s="138"/>
      <c r="CF2965" s="139"/>
      <c r="CG2965" s="138"/>
      <c r="CH2965" s="139"/>
      <c r="CI2965" s="138"/>
      <c r="CJ2965" s="72"/>
      <c r="CK2965" s="139"/>
      <c r="CL2965" s="71"/>
      <c r="CM2965" s="139"/>
      <c r="CN2965" s="138"/>
      <c r="CO2965" s="138"/>
      <c r="CP2965" s="138"/>
      <c r="CQ2965" s="139"/>
      <c r="CR2965" s="138"/>
      <c r="CS2965" s="45"/>
      <c r="CT2965" s="138"/>
      <c r="CU2965" s="45"/>
      <c r="CV2965" s="99">
        <f t="shared" si="291"/>
        <v>0</v>
      </c>
      <c r="CW2965" s="139"/>
      <c r="CX2965" s="138"/>
      <c r="CY2965" s="138"/>
      <c r="CZ2965" s="138"/>
      <c r="DA2965" s="139"/>
      <c r="DB2965" s="138"/>
      <c r="DC2965" s="45"/>
      <c r="DD2965" s="138"/>
      <c r="DE2965" s="45"/>
      <c r="DF2965" s="46"/>
    </row>
    <row r="2966" spans="1:110" s="42" customFormat="1" ht="60" x14ac:dyDescent="0.2">
      <c r="A2966" s="89">
        <v>40882</v>
      </c>
      <c r="B2966" s="151" t="s">
        <v>4350</v>
      </c>
      <c r="C2966" s="90" t="s">
        <v>4282</v>
      </c>
      <c r="D2966" s="90" t="s">
        <v>4264</v>
      </c>
      <c r="E2966" s="90" t="str">
        <f>VLOOKUP(B2966&amp;C2966,Divipola!$C$2:$F$1138,4,FALSE)</f>
        <v>63212</v>
      </c>
      <c r="F2966" s="4"/>
      <c r="G2966" s="101"/>
      <c r="H2966" s="101"/>
      <c r="I2966" s="101"/>
      <c r="J2966" s="101"/>
      <c r="K2966" s="101"/>
      <c r="L2966" s="101"/>
      <c r="M2966" s="101"/>
      <c r="N2966" s="101"/>
      <c r="O2966" s="101"/>
      <c r="P2966" s="101"/>
      <c r="Q2966" s="101"/>
      <c r="R2966" s="101"/>
      <c r="S2966" s="101"/>
      <c r="T2966" s="101"/>
      <c r="U2966" s="101"/>
      <c r="V2966" s="101"/>
      <c r="W2966" s="19"/>
      <c r="X2966" s="17"/>
      <c r="Y2966" s="5">
        <f t="shared" si="286"/>
        <v>0</v>
      </c>
      <c r="Z2966" s="5">
        <f t="shared" si="287"/>
        <v>0</v>
      </c>
      <c r="AA2966" s="5">
        <f t="shared" si="288"/>
        <v>0</v>
      </c>
      <c r="AB2966" s="5">
        <f t="shared" si="289"/>
        <v>0</v>
      </c>
      <c r="AC2966" s="5"/>
      <c r="AD2966" s="5">
        <v>0</v>
      </c>
      <c r="AE2966" s="5">
        <f t="shared" si="290"/>
        <v>0</v>
      </c>
      <c r="AF2966" s="70">
        <v>0</v>
      </c>
      <c r="AG2966" s="17"/>
      <c r="AH2966" s="18"/>
      <c r="AI2966" s="47" t="s">
        <v>4336</v>
      </c>
      <c r="AJ2966" s="73" t="s">
        <v>4337</v>
      </c>
      <c r="AK2966" s="45"/>
      <c r="AL2966" s="17"/>
      <c r="AM2966" s="121" t="s">
        <v>5305</v>
      </c>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39"/>
      <c r="CE2966" s="138"/>
      <c r="CF2966" s="139"/>
      <c r="CG2966" s="138"/>
      <c r="CH2966" s="139"/>
      <c r="CI2966" s="138"/>
      <c r="CJ2966" s="72"/>
      <c r="CK2966" s="139"/>
      <c r="CL2966" s="71"/>
      <c r="CM2966" s="139"/>
      <c r="CN2966" s="138"/>
      <c r="CO2966" s="138"/>
      <c r="CP2966" s="138"/>
      <c r="CQ2966" s="139"/>
      <c r="CR2966" s="138"/>
      <c r="CS2966" s="45"/>
      <c r="CT2966" s="138"/>
      <c r="CU2966" s="45"/>
      <c r="CV2966" s="99">
        <f t="shared" si="291"/>
        <v>0</v>
      </c>
      <c r="CW2966" s="139"/>
      <c r="CX2966" s="138"/>
      <c r="CY2966" s="138"/>
      <c r="CZ2966" s="138"/>
      <c r="DA2966" s="139"/>
      <c r="DB2966" s="138"/>
      <c r="DC2966" s="45"/>
      <c r="DD2966" s="138"/>
      <c r="DE2966" s="45"/>
      <c r="DF2966" s="46"/>
    </row>
    <row r="2967" spans="1:110" s="42" customFormat="1" ht="48" x14ac:dyDescent="0.2">
      <c r="A2967" s="89">
        <v>40882</v>
      </c>
      <c r="B2967" s="151" t="s">
        <v>4261</v>
      </c>
      <c r="C2967" s="90" t="s">
        <v>1310</v>
      </c>
      <c r="D2967" s="90" t="s">
        <v>2362</v>
      </c>
      <c r="E2967" s="90" t="str">
        <f>VLOOKUP(B2967&amp;C2967,Divipola!$C$2:$F$1138,4,FALSE)</f>
        <v>15757</v>
      </c>
      <c r="F2967" s="4"/>
      <c r="G2967" s="101"/>
      <c r="H2967" s="101"/>
      <c r="I2967" s="101"/>
      <c r="J2967" s="101">
        <v>30</v>
      </c>
      <c r="K2967" s="101">
        <v>6</v>
      </c>
      <c r="L2967" s="101">
        <v>2</v>
      </c>
      <c r="M2967" s="101">
        <v>4</v>
      </c>
      <c r="N2967" s="101">
        <v>1</v>
      </c>
      <c r="O2967" s="101">
        <v>1</v>
      </c>
      <c r="P2967" s="101"/>
      <c r="Q2967" s="101"/>
      <c r="R2967" s="101"/>
      <c r="S2967" s="101"/>
      <c r="T2967" s="101"/>
      <c r="U2967" s="101"/>
      <c r="V2967" s="101"/>
      <c r="W2967" s="19"/>
      <c r="X2967" s="17"/>
      <c r="Y2967" s="5">
        <f t="shared" si="286"/>
        <v>0</v>
      </c>
      <c r="Z2967" s="5">
        <f t="shared" si="287"/>
        <v>0</v>
      </c>
      <c r="AA2967" s="5">
        <f t="shared" si="288"/>
        <v>0</v>
      </c>
      <c r="AB2967" s="5">
        <f t="shared" si="289"/>
        <v>0</v>
      </c>
      <c r="AC2967" s="5"/>
      <c r="AD2967" s="5">
        <v>0</v>
      </c>
      <c r="AE2967" s="5">
        <f t="shared" si="290"/>
        <v>0</v>
      </c>
      <c r="AF2967" s="70">
        <v>0</v>
      </c>
      <c r="AG2967" s="17"/>
      <c r="AH2967" s="18"/>
      <c r="AI2967" s="47" t="s">
        <v>4336</v>
      </c>
      <c r="AJ2967" s="73" t="s">
        <v>4337</v>
      </c>
      <c r="AK2967" s="45"/>
      <c r="AL2967" s="17"/>
      <c r="AM2967" s="121" t="s">
        <v>5310</v>
      </c>
      <c r="AN2967" s="19"/>
      <c r="AO2967" s="19"/>
      <c r="AP2967" s="19"/>
      <c r="AQ2967" s="19"/>
      <c r="AR2967" s="19"/>
      <c r="AS2967" s="19"/>
      <c r="AT2967" s="19"/>
      <c r="AU2967" s="19"/>
      <c r="AV2967" s="19"/>
      <c r="AW2967" s="19"/>
      <c r="AX2967" s="19"/>
      <c r="AY2967" s="19"/>
      <c r="AZ2967" s="19"/>
      <c r="BA2967" s="19"/>
      <c r="BB2967" s="19"/>
      <c r="BC2967" s="19"/>
      <c r="BD2967" s="19"/>
      <c r="BE2967" s="19"/>
      <c r="BF2967" s="19"/>
      <c r="BG2967" s="19"/>
      <c r="BH2967" s="19"/>
      <c r="BI2967" s="19"/>
      <c r="BJ2967" s="19"/>
      <c r="BK2967" s="19"/>
      <c r="BL2967" s="19"/>
      <c r="BM2967" s="19"/>
      <c r="BN2967" s="19"/>
      <c r="BO2967" s="19"/>
      <c r="BP2967" s="19"/>
      <c r="BQ2967" s="19"/>
      <c r="BR2967" s="19"/>
      <c r="BS2967" s="19"/>
      <c r="BT2967" s="19"/>
      <c r="BU2967" s="19"/>
      <c r="BV2967" s="19"/>
      <c r="BW2967" s="19"/>
      <c r="BX2967" s="19"/>
      <c r="BY2967" s="19"/>
      <c r="BZ2967" s="19"/>
      <c r="CA2967" s="19"/>
      <c r="CB2967" s="19"/>
      <c r="CC2967" s="19"/>
      <c r="CD2967" s="139"/>
      <c r="CE2967" s="138"/>
      <c r="CF2967" s="139"/>
      <c r="CG2967" s="138"/>
      <c r="CH2967" s="139"/>
      <c r="CI2967" s="138"/>
      <c r="CJ2967" s="72"/>
      <c r="CK2967" s="139"/>
      <c r="CL2967" s="71"/>
      <c r="CM2967" s="139"/>
      <c r="CN2967" s="138"/>
      <c r="CO2967" s="138"/>
      <c r="CP2967" s="138"/>
      <c r="CQ2967" s="139"/>
      <c r="CR2967" s="138"/>
      <c r="CS2967" s="45"/>
      <c r="CT2967" s="138"/>
      <c r="CU2967" s="45"/>
      <c r="CV2967" s="99">
        <f t="shared" si="291"/>
        <v>0</v>
      </c>
      <c r="CW2967" s="139"/>
      <c r="CX2967" s="138"/>
      <c r="CY2967" s="138"/>
      <c r="CZ2967" s="138"/>
      <c r="DA2967" s="139"/>
      <c r="DB2967" s="138"/>
      <c r="DC2967" s="45"/>
      <c r="DD2967" s="138"/>
      <c r="DE2967" s="45"/>
      <c r="DF2967" s="46"/>
    </row>
    <row r="2968" spans="1:110" s="42" customFormat="1" ht="48" x14ac:dyDescent="0.2">
      <c r="A2968" s="89">
        <v>40882</v>
      </c>
      <c r="B2968" s="151" t="s">
        <v>4261</v>
      </c>
      <c r="C2968" s="90" t="s">
        <v>2260</v>
      </c>
      <c r="D2968" s="90" t="s">
        <v>2362</v>
      </c>
      <c r="E2968" s="90" t="str">
        <f>VLOOKUP(B2968&amp;C2968,Divipola!$C$2:$F$1138,4,FALSE)</f>
        <v>15790</v>
      </c>
      <c r="F2968" s="4"/>
      <c r="G2968" s="101"/>
      <c r="H2968" s="101"/>
      <c r="I2968" s="101"/>
      <c r="J2968" s="101">
        <v>10</v>
      </c>
      <c r="K2968" s="101">
        <v>2</v>
      </c>
      <c r="L2968" s="101">
        <v>2</v>
      </c>
      <c r="M2968" s="101"/>
      <c r="N2968" s="101"/>
      <c r="O2968" s="101"/>
      <c r="P2968" s="101"/>
      <c r="Q2968" s="101"/>
      <c r="R2968" s="101"/>
      <c r="S2968" s="101"/>
      <c r="T2968" s="101"/>
      <c r="U2968" s="101"/>
      <c r="V2968" s="101"/>
      <c r="W2968" s="19"/>
      <c r="X2968" s="17"/>
      <c r="Y2968" s="5">
        <f t="shared" si="286"/>
        <v>0</v>
      </c>
      <c r="Z2968" s="5">
        <f t="shared" si="287"/>
        <v>0</v>
      </c>
      <c r="AA2968" s="5">
        <f t="shared" si="288"/>
        <v>0</v>
      </c>
      <c r="AB2968" s="5">
        <f t="shared" si="289"/>
        <v>0</v>
      </c>
      <c r="AC2968" s="5"/>
      <c r="AD2968" s="5">
        <v>0</v>
      </c>
      <c r="AE2968" s="5">
        <f t="shared" si="290"/>
        <v>0</v>
      </c>
      <c r="AF2968" s="70">
        <v>0</v>
      </c>
      <c r="AG2968" s="17"/>
      <c r="AH2968" s="18"/>
      <c r="AI2968" s="47" t="s">
        <v>4336</v>
      </c>
      <c r="AJ2968" s="73" t="s">
        <v>4337</v>
      </c>
      <c r="AK2968" s="45"/>
      <c r="AL2968" s="17"/>
      <c r="AM2968" s="121" t="s">
        <v>5311</v>
      </c>
      <c r="AN2968" s="19"/>
      <c r="AO2968" s="19"/>
      <c r="AP2968" s="19"/>
      <c r="AQ2968" s="19"/>
      <c r="AR2968" s="19"/>
      <c r="AS2968" s="19"/>
      <c r="AT2968" s="19"/>
      <c r="AU2968" s="19"/>
      <c r="AV2968" s="19"/>
      <c r="AW2968" s="19"/>
      <c r="AX2968" s="19"/>
      <c r="AY2968" s="19"/>
      <c r="AZ2968" s="19"/>
      <c r="BA2968" s="19"/>
      <c r="BB2968" s="19"/>
      <c r="BC2968" s="19"/>
      <c r="BD2968" s="19"/>
      <c r="BE2968" s="19"/>
      <c r="BF2968" s="19"/>
      <c r="BG2968" s="19"/>
      <c r="BH2968" s="19"/>
      <c r="BI2968" s="19"/>
      <c r="BJ2968" s="19"/>
      <c r="BK2968" s="19"/>
      <c r="BL2968" s="19"/>
      <c r="BM2968" s="19"/>
      <c r="BN2968" s="19"/>
      <c r="BO2968" s="19"/>
      <c r="BP2968" s="19"/>
      <c r="BQ2968" s="19"/>
      <c r="BR2968" s="19"/>
      <c r="BS2968" s="19"/>
      <c r="BT2968" s="19"/>
      <c r="BU2968" s="19"/>
      <c r="BV2968" s="19"/>
      <c r="BW2968" s="19"/>
      <c r="BX2968" s="19"/>
      <c r="BY2968" s="19"/>
      <c r="BZ2968" s="19"/>
      <c r="CA2968" s="19"/>
      <c r="CB2968" s="19"/>
      <c r="CC2968" s="19"/>
      <c r="CD2968" s="139"/>
      <c r="CE2968" s="138"/>
      <c r="CF2968" s="139"/>
      <c r="CG2968" s="138"/>
      <c r="CH2968" s="139"/>
      <c r="CI2968" s="138"/>
      <c r="CJ2968" s="72"/>
      <c r="CK2968" s="139"/>
      <c r="CL2968" s="71"/>
      <c r="CM2968" s="139"/>
      <c r="CN2968" s="138"/>
      <c r="CO2968" s="138"/>
      <c r="CP2968" s="138"/>
      <c r="CQ2968" s="139"/>
      <c r="CR2968" s="138"/>
      <c r="CS2968" s="45"/>
      <c r="CT2968" s="138"/>
      <c r="CU2968" s="45"/>
      <c r="CV2968" s="99">
        <f t="shared" si="291"/>
        <v>0</v>
      </c>
      <c r="CW2968" s="139"/>
      <c r="CX2968" s="138"/>
      <c r="CY2968" s="138"/>
      <c r="CZ2968" s="138"/>
      <c r="DA2968" s="139"/>
      <c r="DB2968" s="138"/>
      <c r="DC2968" s="45"/>
      <c r="DD2968" s="138"/>
      <c r="DE2968" s="45"/>
      <c r="DF2968" s="46"/>
    </row>
    <row r="2969" spans="1:110" s="42" customFormat="1" x14ac:dyDescent="0.2">
      <c r="A2969" s="89">
        <v>40882</v>
      </c>
      <c r="B2969" s="16" t="s">
        <v>4326</v>
      </c>
      <c r="C2969" s="16" t="s">
        <v>4345</v>
      </c>
      <c r="D2969" s="16" t="s">
        <v>4264</v>
      </c>
      <c r="E2969" s="90">
        <f>VLOOKUP(B2969&amp;C2969,Divipola!$C$2:$F$1138,4,FALSE)</f>
        <v>8</v>
      </c>
      <c r="F2969" s="4"/>
      <c r="G2969" s="208"/>
      <c r="H2969" s="208"/>
      <c r="I2969" s="208"/>
      <c r="J2969" s="208"/>
      <c r="K2969" s="208"/>
      <c r="L2969" s="208"/>
      <c r="M2969" s="208"/>
      <c r="N2969" s="208"/>
      <c r="O2969" s="208"/>
      <c r="P2969" s="208"/>
      <c r="Q2969" s="208"/>
      <c r="R2969" s="208"/>
      <c r="S2969" s="208"/>
      <c r="T2969" s="208"/>
      <c r="U2969" s="208"/>
      <c r="V2969" s="208"/>
      <c r="W2969" s="19"/>
      <c r="X2969" s="17"/>
      <c r="Y2969" s="5">
        <f t="shared" si="286"/>
        <v>0</v>
      </c>
      <c r="Z2969" s="5">
        <f t="shared" si="287"/>
        <v>0</v>
      </c>
      <c r="AA2969" s="5">
        <f t="shared" si="288"/>
        <v>0</v>
      </c>
      <c r="AB2969" s="5">
        <f t="shared" si="289"/>
        <v>90016000</v>
      </c>
      <c r="AC2969" s="5"/>
      <c r="AD2969" s="5">
        <v>0</v>
      </c>
      <c r="AE2969" s="5">
        <f t="shared" si="290"/>
        <v>90016000</v>
      </c>
      <c r="AF2969" s="70">
        <v>0</v>
      </c>
      <c r="AG2969" s="17"/>
      <c r="AH2969" s="18"/>
      <c r="AI2969" s="47" t="s">
        <v>4346</v>
      </c>
      <c r="AJ2969" s="73" t="s">
        <v>4347</v>
      </c>
      <c r="AK2969" s="45"/>
      <c r="AL2969" s="17"/>
      <c r="AM2969" s="20" t="s">
        <v>5548</v>
      </c>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c r="CA2969" s="19"/>
      <c r="CB2969" s="19"/>
      <c r="CC2969" s="19"/>
      <c r="CD2969" s="139"/>
      <c r="CE2969" s="138"/>
      <c r="CF2969" s="139"/>
      <c r="CG2969" s="138"/>
      <c r="CH2969" s="139"/>
      <c r="CI2969" s="138"/>
      <c r="CJ2969" s="72"/>
      <c r="CK2969" s="139"/>
      <c r="CL2969" s="71"/>
      <c r="CM2969" s="139"/>
      <c r="CN2969" s="138"/>
      <c r="CO2969" s="138"/>
      <c r="CP2969" s="138"/>
      <c r="CQ2969" s="139"/>
      <c r="CR2969" s="138"/>
      <c r="CS2969" s="45"/>
      <c r="CT2969" s="138"/>
      <c r="CU2969" s="45"/>
      <c r="CV2969" s="99">
        <f t="shared" si="291"/>
        <v>0</v>
      </c>
      <c r="CW2969" s="139">
        <v>100000</v>
      </c>
      <c r="CX2969" s="138">
        <f>100000*900.16</f>
        <v>90016000</v>
      </c>
      <c r="CY2969" s="138"/>
      <c r="CZ2969" s="138"/>
      <c r="DA2969" s="139"/>
      <c r="DB2969" s="138"/>
      <c r="DC2969" s="45"/>
      <c r="DD2969" s="138"/>
      <c r="DE2969" s="45"/>
      <c r="DF2969" s="46"/>
    </row>
    <row r="2970" spans="1:110" s="42" customFormat="1" ht="36" x14ac:dyDescent="0.2">
      <c r="A2970" s="255">
        <v>40882</v>
      </c>
      <c r="B2970" s="247" t="s">
        <v>4219</v>
      </c>
      <c r="C2970" s="248" t="s">
        <v>4382</v>
      </c>
      <c r="D2970" s="249" t="s">
        <v>4264</v>
      </c>
      <c r="E2970" s="90" t="str">
        <f>VLOOKUP(B2970&amp;C2970,Divipola!$C$2:$F$1138,4,FALSE)</f>
        <v>41807</v>
      </c>
      <c r="F2970" s="4"/>
      <c r="G2970" s="330"/>
      <c r="H2970" s="330"/>
      <c r="I2970" s="330"/>
      <c r="J2970" s="332">
        <v>35</v>
      </c>
      <c r="K2970" s="332">
        <v>7</v>
      </c>
      <c r="L2970" s="246"/>
      <c r="M2970" s="246">
        <v>7</v>
      </c>
      <c r="N2970" s="246">
        <v>7</v>
      </c>
      <c r="O2970" s="246"/>
      <c r="P2970" s="246"/>
      <c r="Q2970" s="246">
        <v>7</v>
      </c>
      <c r="R2970" s="246"/>
      <c r="S2970" s="245"/>
      <c r="T2970" s="245"/>
      <c r="U2970" s="245"/>
      <c r="V2970" s="245"/>
      <c r="W2970" s="19"/>
      <c r="X2970" s="17"/>
      <c r="Y2970" s="5">
        <f t="shared" si="286"/>
        <v>0</v>
      </c>
      <c r="Z2970" s="5">
        <f t="shared" si="287"/>
        <v>0</v>
      </c>
      <c r="AA2970" s="5">
        <f t="shared" si="288"/>
        <v>0</v>
      </c>
      <c r="AB2970" s="5">
        <f t="shared" si="289"/>
        <v>0</v>
      </c>
      <c r="AC2970" s="5"/>
      <c r="AD2970" s="5">
        <v>0</v>
      </c>
      <c r="AE2970" s="5">
        <f t="shared" si="290"/>
        <v>0</v>
      </c>
      <c r="AF2970" s="70">
        <v>0</v>
      </c>
      <c r="AG2970" s="17"/>
      <c r="AH2970" s="18"/>
      <c r="AI2970" s="47" t="s">
        <v>4346</v>
      </c>
      <c r="AJ2970" s="73" t="s">
        <v>4347</v>
      </c>
      <c r="AK2970" s="45"/>
      <c r="AL2970" s="89" t="s">
        <v>2798</v>
      </c>
      <c r="AM2970" s="121" t="s">
        <v>5550</v>
      </c>
      <c r="AN2970" s="19"/>
      <c r="AO2970" s="19"/>
      <c r="AP2970" s="19"/>
      <c r="AQ2970" s="19"/>
      <c r="AR2970" s="19"/>
      <c r="AS2970" s="19"/>
      <c r="AT2970" s="19"/>
      <c r="AU2970" s="19"/>
      <c r="AV2970" s="19"/>
      <c r="AW2970" s="19"/>
      <c r="AX2970" s="19"/>
      <c r="AY2970" s="19"/>
      <c r="AZ2970" s="19"/>
      <c r="BA2970" s="19"/>
      <c r="BB2970" s="19"/>
      <c r="BC2970" s="19"/>
      <c r="BD2970" s="19"/>
      <c r="BE2970" s="19"/>
      <c r="BF2970" s="19"/>
      <c r="BG2970" s="19"/>
      <c r="BH2970" s="19"/>
      <c r="BI2970" s="19"/>
      <c r="BJ2970" s="19"/>
      <c r="BK2970" s="19"/>
      <c r="BL2970" s="19"/>
      <c r="BM2970" s="19"/>
      <c r="BN2970" s="19"/>
      <c r="BO2970" s="19"/>
      <c r="BP2970" s="19"/>
      <c r="BQ2970" s="19"/>
      <c r="BR2970" s="19"/>
      <c r="BS2970" s="19"/>
      <c r="BT2970" s="19"/>
      <c r="BU2970" s="19"/>
      <c r="BV2970" s="19"/>
      <c r="BW2970" s="19"/>
      <c r="BX2970" s="19"/>
      <c r="BY2970" s="19"/>
      <c r="BZ2970" s="19"/>
      <c r="CA2970" s="19"/>
      <c r="CB2970" s="19"/>
      <c r="CC2970" s="19"/>
      <c r="CD2970" s="139"/>
      <c r="CE2970" s="138"/>
      <c r="CF2970" s="139"/>
      <c r="CG2970" s="138"/>
      <c r="CH2970" s="139"/>
      <c r="CI2970" s="138"/>
      <c r="CJ2970" s="72"/>
      <c r="CK2970" s="139"/>
      <c r="CL2970" s="71"/>
      <c r="CM2970" s="139"/>
      <c r="CN2970" s="138"/>
      <c r="CO2970" s="138"/>
      <c r="CP2970" s="138"/>
      <c r="CQ2970" s="139"/>
      <c r="CR2970" s="138"/>
      <c r="CS2970" s="45"/>
      <c r="CT2970" s="138"/>
      <c r="CU2970" s="45"/>
      <c r="CV2970" s="99">
        <f t="shared" si="291"/>
        <v>0</v>
      </c>
      <c r="CW2970" s="139"/>
      <c r="CX2970" s="138"/>
      <c r="CY2970" s="138"/>
      <c r="CZ2970" s="138"/>
      <c r="DA2970" s="139"/>
      <c r="DB2970" s="138"/>
      <c r="DC2970" s="45"/>
      <c r="DD2970" s="138"/>
      <c r="DE2970" s="45"/>
      <c r="DF2970" s="46"/>
    </row>
    <row r="2971" spans="1:110" s="42" customFormat="1" ht="36" x14ac:dyDescent="0.2">
      <c r="A2971" s="89">
        <v>40882</v>
      </c>
      <c r="B2971" s="151" t="s">
        <v>4387</v>
      </c>
      <c r="C2971" s="90" t="s">
        <v>479</v>
      </c>
      <c r="D2971" s="90" t="s">
        <v>2362</v>
      </c>
      <c r="E2971" s="90" t="str">
        <f>VLOOKUP(B2971&amp;C2971,Divipola!$C$2:$F$1138,4,FALSE)</f>
        <v>52352</v>
      </c>
      <c r="F2971" s="4"/>
      <c r="G2971" s="101"/>
      <c r="H2971" s="101"/>
      <c r="I2971" s="101"/>
      <c r="J2971" s="101"/>
      <c r="K2971" s="101"/>
      <c r="L2971" s="101"/>
      <c r="M2971" s="101"/>
      <c r="N2971" s="101">
        <v>1</v>
      </c>
      <c r="O2971" s="101"/>
      <c r="P2971" s="101"/>
      <c r="Q2971" s="101"/>
      <c r="R2971" s="101"/>
      <c r="S2971" s="101"/>
      <c r="T2971" s="101"/>
      <c r="U2971" s="101"/>
      <c r="V2971" s="264"/>
      <c r="W2971" s="19"/>
      <c r="X2971" s="17"/>
      <c r="Y2971" s="5">
        <f t="shared" si="286"/>
        <v>0</v>
      </c>
      <c r="Z2971" s="5">
        <f t="shared" si="287"/>
        <v>0</v>
      </c>
      <c r="AA2971" s="5">
        <f t="shared" si="288"/>
        <v>0</v>
      </c>
      <c r="AB2971" s="5">
        <f t="shared" si="289"/>
        <v>0</v>
      </c>
      <c r="AC2971" s="5"/>
      <c r="AD2971" s="5">
        <v>0</v>
      </c>
      <c r="AE2971" s="5">
        <f t="shared" si="290"/>
        <v>0</v>
      </c>
      <c r="AF2971" s="70">
        <v>0</v>
      </c>
      <c r="AG2971" s="17"/>
      <c r="AH2971" s="18"/>
      <c r="AI2971" s="47" t="s">
        <v>4336</v>
      </c>
      <c r="AJ2971" s="73" t="s">
        <v>4337</v>
      </c>
      <c r="AK2971" s="45"/>
      <c r="AL2971" s="17"/>
      <c r="AM2971" s="121" t="s">
        <v>5619</v>
      </c>
      <c r="AN2971" s="19"/>
      <c r="AO2971" s="19"/>
      <c r="AP2971" s="19"/>
      <c r="AQ2971" s="19"/>
      <c r="AR2971" s="19"/>
      <c r="AS2971" s="19"/>
      <c r="AT2971" s="19"/>
      <c r="AU2971" s="19"/>
      <c r="AV2971" s="19"/>
      <c r="AW2971" s="19"/>
      <c r="AX2971" s="19"/>
      <c r="AY2971" s="19"/>
      <c r="AZ2971" s="19"/>
      <c r="BA2971" s="19"/>
      <c r="BB2971" s="19"/>
      <c r="BC2971" s="19"/>
      <c r="BD2971" s="19"/>
      <c r="BE2971" s="19"/>
      <c r="BF2971" s="19"/>
      <c r="BG2971" s="19"/>
      <c r="BH2971" s="19"/>
      <c r="BI2971" s="19"/>
      <c r="BJ2971" s="19"/>
      <c r="BK2971" s="19"/>
      <c r="BL2971" s="19"/>
      <c r="BM2971" s="19"/>
      <c r="BN2971" s="19"/>
      <c r="BO2971" s="19"/>
      <c r="BP2971" s="19"/>
      <c r="BQ2971" s="19"/>
      <c r="BR2971" s="19"/>
      <c r="BS2971" s="19"/>
      <c r="BT2971" s="19"/>
      <c r="BU2971" s="19"/>
      <c r="BV2971" s="19"/>
      <c r="BW2971" s="19"/>
      <c r="BX2971" s="19"/>
      <c r="BY2971" s="19"/>
      <c r="BZ2971" s="19"/>
      <c r="CA2971" s="19"/>
      <c r="CB2971" s="19"/>
      <c r="CC2971" s="19"/>
      <c r="CD2971" s="139"/>
      <c r="CE2971" s="138"/>
      <c r="CF2971" s="139"/>
      <c r="CG2971" s="138"/>
      <c r="CH2971" s="139"/>
      <c r="CI2971" s="138"/>
      <c r="CJ2971" s="72"/>
      <c r="CK2971" s="139"/>
      <c r="CL2971" s="71"/>
      <c r="CM2971" s="139"/>
      <c r="CN2971" s="138"/>
      <c r="CO2971" s="138"/>
      <c r="CP2971" s="138"/>
      <c r="CQ2971" s="139"/>
      <c r="CR2971" s="138"/>
      <c r="CS2971" s="45"/>
      <c r="CT2971" s="138"/>
      <c r="CU2971" s="45"/>
      <c r="CV2971" s="99">
        <f t="shared" si="291"/>
        <v>0</v>
      </c>
      <c r="CW2971" s="139"/>
      <c r="CX2971" s="138"/>
      <c r="CY2971" s="138"/>
      <c r="CZ2971" s="138"/>
      <c r="DA2971" s="139"/>
      <c r="DB2971" s="138"/>
      <c r="DC2971" s="45"/>
      <c r="DD2971" s="138"/>
      <c r="DE2971" s="45"/>
      <c r="DF2971" s="46"/>
    </row>
    <row r="2972" spans="1:110" s="42" customFormat="1" ht="60" x14ac:dyDescent="0.2">
      <c r="A2972" s="89">
        <v>40883</v>
      </c>
      <c r="B2972" s="151" t="s">
        <v>4344</v>
      </c>
      <c r="C2972" s="90" t="s">
        <v>3450</v>
      </c>
      <c r="D2972" s="90" t="s">
        <v>4264</v>
      </c>
      <c r="E2972" s="90" t="str">
        <f>VLOOKUP(B2972&amp;C2972,Divipola!$C$2:$F$1138,4,FALSE)</f>
        <v>25175</v>
      </c>
      <c r="F2972" s="4"/>
      <c r="G2972" s="208"/>
      <c r="H2972" s="208"/>
      <c r="I2972" s="208"/>
      <c r="J2972" s="208">
        <v>120</v>
      </c>
      <c r="K2972" s="208">
        <v>40</v>
      </c>
      <c r="L2972" s="208"/>
      <c r="M2972" s="208">
        <v>40</v>
      </c>
      <c r="N2972" s="208"/>
      <c r="O2972" s="208"/>
      <c r="P2972" s="208"/>
      <c r="Q2972" s="208"/>
      <c r="R2972" s="208"/>
      <c r="S2972" s="208"/>
      <c r="T2972" s="208"/>
      <c r="U2972" s="208"/>
      <c r="V2972" s="208"/>
      <c r="W2972" s="19"/>
      <c r="X2972" s="17"/>
      <c r="Y2972" s="5">
        <f t="shared" si="286"/>
        <v>0</v>
      </c>
      <c r="Z2972" s="5">
        <f t="shared" si="287"/>
        <v>0</v>
      </c>
      <c r="AA2972" s="5">
        <f t="shared" si="288"/>
        <v>0</v>
      </c>
      <c r="AB2972" s="5">
        <f t="shared" si="289"/>
        <v>24273000</v>
      </c>
      <c r="AC2972" s="5"/>
      <c r="AD2972" s="5">
        <v>0</v>
      </c>
      <c r="AE2972" s="5">
        <f t="shared" si="290"/>
        <v>24273000</v>
      </c>
      <c r="AF2972" s="70">
        <v>0</v>
      </c>
      <c r="AG2972" s="17"/>
      <c r="AH2972" s="18"/>
      <c r="AI2972" s="47" t="s">
        <v>4346</v>
      </c>
      <c r="AJ2972" s="73" t="s">
        <v>4347</v>
      </c>
      <c r="AK2972" s="45"/>
      <c r="AL2972" s="17"/>
      <c r="AM2972" s="121" t="s">
        <v>5301</v>
      </c>
      <c r="AN2972" s="19"/>
      <c r="AO2972" s="19"/>
      <c r="AP2972" s="19"/>
      <c r="AQ2972" s="19"/>
      <c r="AR2972" s="19"/>
      <c r="AS2972" s="19"/>
      <c r="AT2972" s="19"/>
      <c r="AU2972" s="19"/>
      <c r="AV2972" s="19"/>
      <c r="AW2972" s="19"/>
      <c r="AX2972" s="19"/>
      <c r="AY2972" s="19"/>
      <c r="AZ2972" s="19"/>
      <c r="BA2972" s="19"/>
      <c r="BB2972" s="19"/>
      <c r="BC2972" s="19"/>
      <c r="BD2972" s="19"/>
      <c r="BE2972" s="19"/>
      <c r="BF2972" s="19"/>
      <c r="BG2972" s="19"/>
      <c r="BH2972" s="19"/>
      <c r="BI2972" s="19"/>
      <c r="BJ2972" s="19"/>
      <c r="BK2972" s="19"/>
      <c r="BL2972" s="19"/>
      <c r="BM2972" s="19"/>
      <c r="BN2972" s="19"/>
      <c r="BO2972" s="19"/>
      <c r="BP2972" s="19"/>
      <c r="BQ2972" s="19"/>
      <c r="BR2972" s="19"/>
      <c r="BS2972" s="19"/>
      <c r="BT2972" s="19"/>
      <c r="BU2972" s="19"/>
      <c r="BV2972" s="19"/>
      <c r="BW2972" s="19"/>
      <c r="BX2972" s="19"/>
      <c r="BY2972" s="19"/>
      <c r="BZ2972" s="19"/>
      <c r="CA2972" s="19"/>
      <c r="CB2972" s="19"/>
      <c r="CC2972" s="19"/>
      <c r="CD2972" s="139"/>
      <c r="CE2972" s="138"/>
      <c r="CF2972" s="139"/>
      <c r="CG2972" s="138"/>
      <c r="CH2972" s="139"/>
      <c r="CI2972" s="138"/>
      <c r="CJ2972" s="72"/>
      <c r="CK2972" s="139"/>
      <c r="CL2972" s="71"/>
      <c r="CM2972" s="139"/>
      <c r="CN2972" s="138"/>
      <c r="CO2972" s="138"/>
      <c r="CP2972" s="138"/>
      <c r="CQ2972" s="139"/>
      <c r="CR2972" s="138"/>
      <c r="CS2972" s="45"/>
      <c r="CT2972" s="138"/>
      <c r="CU2972" s="45"/>
      <c r="CV2972" s="99">
        <f t="shared" si="291"/>
        <v>0</v>
      </c>
      <c r="CW2972" s="139">
        <v>27000</v>
      </c>
      <c r="CX2972" s="138">
        <f>27000*899</f>
        <v>24273000</v>
      </c>
      <c r="CY2972" s="138"/>
      <c r="CZ2972" s="138"/>
      <c r="DA2972" s="139"/>
      <c r="DB2972" s="138"/>
      <c r="DC2972" s="45"/>
      <c r="DD2972" s="138"/>
      <c r="DE2972" s="45"/>
      <c r="DF2972" s="46"/>
    </row>
    <row r="2973" spans="1:110" s="42" customFormat="1" ht="72" x14ac:dyDescent="0.2">
      <c r="A2973" s="89">
        <v>40883</v>
      </c>
      <c r="B2973" s="196" t="s">
        <v>4244</v>
      </c>
      <c r="C2973" s="90" t="s">
        <v>3373</v>
      </c>
      <c r="D2973" s="90" t="s">
        <v>2362</v>
      </c>
      <c r="E2973" s="90" t="str">
        <f>VLOOKUP(B2973&amp;C2973,Divipola!$C$2:$F$1138,4,FALSE)</f>
        <v>76248</v>
      </c>
      <c r="F2973" s="4"/>
      <c r="G2973" s="101"/>
      <c r="H2973" s="101">
        <v>3</v>
      </c>
      <c r="I2973" s="101"/>
      <c r="J2973" s="101"/>
      <c r="K2973" s="101"/>
      <c r="L2973" s="101"/>
      <c r="M2973" s="101"/>
      <c r="N2973" s="101"/>
      <c r="O2973" s="101"/>
      <c r="P2973" s="101"/>
      <c r="Q2973" s="101"/>
      <c r="R2973" s="101"/>
      <c r="S2973" s="101"/>
      <c r="T2973" s="101"/>
      <c r="U2973" s="101"/>
      <c r="V2973" s="101"/>
      <c r="W2973" s="19"/>
      <c r="X2973" s="17"/>
      <c r="Y2973" s="5">
        <f t="shared" si="286"/>
        <v>0</v>
      </c>
      <c r="Z2973" s="5">
        <f t="shared" si="287"/>
        <v>0</v>
      </c>
      <c r="AA2973" s="5">
        <f t="shared" si="288"/>
        <v>0</v>
      </c>
      <c r="AB2973" s="5">
        <f t="shared" si="289"/>
        <v>0</v>
      </c>
      <c r="AC2973" s="5"/>
      <c r="AD2973" s="5">
        <v>0</v>
      </c>
      <c r="AE2973" s="5">
        <f t="shared" si="290"/>
        <v>0</v>
      </c>
      <c r="AF2973" s="70">
        <v>0</v>
      </c>
      <c r="AG2973" s="17"/>
      <c r="AH2973" s="18"/>
      <c r="AI2973" s="47" t="s">
        <v>4346</v>
      </c>
      <c r="AJ2973" s="73" t="s">
        <v>4347</v>
      </c>
      <c r="AK2973" s="45"/>
      <c r="AL2973" s="89" t="s">
        <v>2798</v>
      </c>
      <c r="AM2973" s="121" t="s">
        <v>5296</v>
      </c>
      <c r="AN2973" s="19"/>
      <c r="AO2973" s="19"/>
      <c r="AP2973" s="19"/>
      <c r="AQ2973" s="19"/>
      <c r="AR2973" s="19"/>
      <c r="AS2973" s="19"/>
      <c r="AT2973" s="19"/>
      <c r="AU2973" s="19"/>
      <c r="AV2973" s="19"/>
      <c r="AW2973" s="19"/>
      <c r="AX2973" s="19"/>
      <c r="AY2973" s="19"/>
      <c r="AZ2973" s="19"/>
      <c r="BA2973" s="19"/>
      <c r="BB2973" s="19"/>
      <c r="BC2973" s="19"/>
      <c r="BD2973" s="19"/>
      <c r="BE2973" s="19"/>
      <c r="BF2973" s="19"/>
      <c r="BG2973" s="19"/>
      <c r="BH2973" s="19"/>
      <c r="BI2973" s="19"/>
      <c r="BJ2973" s="19"/>
      <c r="BK2973" s="19"/>
      <c r="BL2973" s="19"/>
      <c r="BM2973" s="19"/>
      <c r="BN2973" s="19"/>
      <c r="BO2973" s="19"/>
      <c r="BP2973" s="19"/>
      <c r="BQ2973" s="19"/>
      <c r="BR2973" s="19"/>
      <c r="BS2973" s="19"/>
      <c r="BT2973" s="19"/>
      <c r="BU2973" s="19"/>
      <c r="BV2973" s="19"/>
      <c r="BW2973" s="19"/>
      <c r="BX2973" s="19"/>
      <c r="BY2973" s="19"/>
      <c r="BZ2973" s="19"/>
      <c r="CA2973" s="19"/>
      <c r="CB2973" s="19"/>
      <c r="CC2973" s="19"/>
      <c r="CD2973" s="139"/>
      <c r="CE2973" s="138"/>
      <c r="CF2973" s="139"/>
      <c r="CG2973" s="138"/>
      <c r="CH2973" s="139"/>
      <c r="CI2973" s="138"/>
      <c r="CJ2973" s="72"/>
      <c r="CK2973" s="139"/>
      <c r="CL2973" s="71"/>
      <c r="CM2973" s="139"/>
      <c r="CN2973" s="138"/>
      <c r="CO2973" s="138"/>
      <c r="CP2973" s="138"/>
      <c r="CQ2973" s="139"/>
      <c r="CR2973" s="138"/>
      <c r="CS2973" s="45"/>
      <c r="CT2973" s="138"/>
      <c r="CU2973" s="45"/>
      <c r="CV2973" s="99">
        <f t="shared" si="291"/>
        <v>0</v>
      </c>
      <c r="CW2973" s="139"/>
      <c r="CX2973" s="138"/>
      <c r="CY2973" s="138"/>
      <c r="CZ2973" s="138"/>
      <c r="DA2973" s="139"/>
      <c r="DB2973" s="138"/>
      <c r="DC2973" s="45"/>
      <c r="DD2973" s="138"/>
      <c r="DE2973" s="45"/>
      <c r="DF2973" s="46"/>
    </row>
    <row r="2974" spans="1:110" s="42" customFormat="1" ht="48" x14ac:dyDescent="0.2">
      <c r="A2974" s="89">
        <v>40883</v>
      </c>
      <c r="B2974" s="151" t="s">
        <v>4344</v>
      </c>
      <c r="C2974" s="90" t="s">
        <v>2214</v>
      </c>
      <c r="D2974" s="90" t="s">
        <v>2362</v>
      </c>
      <c r="E2974" s="90" t="str">
        <f>VLOOKUP(B2974&amp;C2974,Divipola!$C$2:$F$1138,4,FALSE)</f>
        <v>25394</v>
      </c>
      <c r="F2974" s="4"/>
      <c r="G2974" s="101"/>
      <c r="H2974" s="101"/>
      <c r="I2974" s="101"/>
      <c r="J2974" s="101">
        <v>5</v>
      </c>
      <c r="K2974" s="101">
        <v>1</v>
      </c>
      <c r="L2974" s="101"/>
      <c r="M2974" s="101">
        <v>1</v>
      </c>
      <c r="N2974" s="101">
        <v>1</v>
      </c>
      <c r="O2974" s="101"/>
      <c r="P2974" s="101"/>
      <c r="Q2974" s="101"/>
      <c r="R2974" s="101"/>
      <c r="S2974" s="101"/>
      <c r="T2974" s="101"/>
      <c r="U2974" s="101"/>
      <c r="V2974" s="101"/>
      <c r="W2974" s="19"/>
      <c r="X2974" s="17"/>
      <c r="Y2974" s="5">
        <f t="shared" si="286"/>
        <v>0</v>
      </c>
      <c r="Z2974" s="5">
        <f t="shared" si="287"/>
        <v>0</v>
      </c>
      <c r="AA2974" s="5">
        <f t="shared" si="288"/>
        <v>0</v>
      </c>
      <c r="AB2974" s="5">
        <f t="shared" si="289"/>
        <v>0</v>
      </c>
      <c r="AC2974" s="5"/>
      <c r="AD2974" s="5">
        <v>0</v>
      </c>
      <c r="AE2974" s="5">
        <f t="shared" si="290"/>
        <v>0</v>
      </c>
      <c r="AF2974" s="70">
        <v>0</v>
      </c>
      <c r="AG2974" s="17"/>
      <c r="AH2974" s="18"/>
      <c r="AI2974" s="47" t="s">
        <v>4346</v>
      </c>
      <c r="AJ2974" s="73" t="s">
        <v>4347</v>
      </c>
      <c r="AK2974" s="45"/>
      <c r="AL2974" s="89" t="s">
        <v>2798</v>
      </c>
      <c r="AM2974" s="121" t="s">
        <v>5302</v>
      </c>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39"/>
      <c r="CE2974" s="138"/>
      <c r="CF2974" s="139"/>
      <c r="CG2974" s="138"/>
      <c r="CH2974" s="139"/>
      <c r="CI2974" s="138"/>
      <c r="CJ2974" s="72"/>
      <c r="CK2974" s="139"/>
      <c r="CL2974" s="71"/>
      <c r="CM2974" s="139"/>
      <c r="CN2974" s="138"/>
      <c r="CO2974" s="138"/>
      <c r="CP2974" s="138"/>
      <c r="CQ2974" s="139"/>
      <c r="CR2974" s="138"/>
      <c r="CS2974" s="45"/>
      <c r="CT2974" s="138"/>
      <c r="CU2974" s="45"/>
      <c r="CV2974" s="99">
        <f t="shared" si="291"/>
        <v>0</v>
      </c>
      <c r="CW2974" s="139"/>
      <c r="CX2974" s="138"/>
      <c r="CY2974" s="138"/>
      <c r="CZ2974" s="138"/>
      <c r="DA2974" s="139"/>
      <c r="DB2974" s="138"/>
      <c r="DC2974" s="45"/>
      <c r="DD2974" s="138"/>
      <c r="DE2974" s="45"/>
      <c r="DF2974" s="46"/>
    </row>
    <row r="2975" spans="1:110" s="42" customFormat="1" ht="72" x14ac:dyDescent="0.2">
      <c r="A2975" s="89">
        <v>40883</v>
      </c>
      <c r="B2975" s="151" t="s">
        <v>4344</v>
      </c>
      <c r="C2975" s="90" t="s">
        <v>4231</v>
      </c>
      <c r="D2975" s="90" t="s">
        <v>2362</v>
      </c>
      <c r="E2975" s="90" t="str">
        <f>VLOOKUP(B2975&amp;C2975,Divipola!$C$2:$F$1138,4,FALSE)</f>
        <v>25290</v>
      </c>
      <c r="F2975" s="4"/>
      <c r="G2975" s="101"/>
      <c r="H2975" s="101"/>
      <c r="I2975" s="101"/>
      <c r="J2975" s="101">
        <v>8</v>
      </c>
      <c r="K2975" s="101">
        <v>2</v>
      </c>
      <c r="L2975" s="101">
        <v>1</v>
      </c>
      <c r="M2975" s="101">
        <v>1</v>
      </c>
      <c r="N2975" s="101">
        <v>1</v>
      </c>
      <c r="O2975" s="101">
        <v>1</v>
      </c>
      <c r="P2975" s="101"/>
      <c r="Q2975" s="101"/>
      <c r="R2975" s="101"/>
      <c r="S2975" s="101"/>
      <c r="T2975" s="101"/>
      <c r="U2975" s="101"/>
      <c r="V2975" s="101"/>
      <c r="W2975" s="19"/>
      <c r="X2975" s="17"/>
      <c r="Y2975" s="5">
        <f t="shared" si="286"/>
        <v>0</v>
      </c>
      <c r="Z2975" s="5">
        <f t="shared" si="287"/>
        <v>0</v>
      </c>
      <c r="AA2975" s="5">
        <f t="shared" si="288"/>
        <v>0</v>
      </c>
      <c r="AB2975" s="5">
        <f t="shared" si="289"/>
        <v>0</v>
      </c>
      <c r="AC2975" s="5"/>
      <c r="AD2975" s="5">
        <v>0</v>
      </c>
      <c r="AE2975" s="5">
        <f t="shared" si="290"/>
        <v>0</v>
      </c>
      <c r="AF2975" s="70">
        <v>0</v>
      </c>
      <c r="AG2975" s="17"/>
      <c r="AH2975" s="18"/>
      <c r="AI2975" s="47" t="s">
        <v>4346</v>
      </c>
      <c r="AJ2975" s="73" t="s">
        <v>4347</v>
      </c>
      <c r="AK2975" s="45"/>
      <c r="AL2975" s="89" t="s">
        <v>2798</v>
      </c>
      <c r="AM2975" s="121" t="s">
        <v>5306</v>
      </c>
      <c r="AN2975" s="19"/>
      <c r="AO2975" s="19"/>
      <c r="AP2975" s="19"/>
      <c r="AQ2975" s="19"/>
      <c r="AR2975" s="19"/>
      <c r="AS2975" s="19"/>
      <c r="AT2975" s="19"/>
      <c r="AU2975" s="19"/>
      <c r="AV2975" s="19"/>
      <c r="AW2975" s="19"/>
      <c r="AX2975" s="19"/>
      <c r="AY2975" s="19"/>
      <c r="AZ2975" s="19"/>
      <c r="BA2975" s="19"/>
      <c r="BB2975" s="19"/>
      <c r="BC2975" s="19"/>
      <c r="BD2975" s="19"/>
      <c r="BE2975" s="19"/>
      <c r="BF2975" s="19"/>
      <c r="BG2975" s="19"/>
      <c r="BH2975" s="19"/>
      <c r="BI2975" s="19"/>
      <c r="BJ2975" s="19"/>
      <c r="BK2975" s="19"/>
      <c r="BL2975" s="19"/>
      <c r="BM2975" s="19"/>
      <c r="BN2975" s="19"/>
      <c r="BO2975" s="19"/>
      <c r="BP2975" s="19"/>
      <c r="BQ2975" s="19"/>
      <c r="BR2975" s="19"/>
      <c r="BS2975" s="19"/>
      <c r="BT2975" s="19"/>
      <c r="BU2975" s="19"/>
      <c r="BV2975" s="19"/>
      <c r="BW2975" s="19"/>
      <c r="BX2975" s="19"/>
      <c r="BY2975" s="19"/>
      <c r="BZ2975" s="19"/>
      <c r="CA2975" s="19"/>
      <c r="CB2975" s="19"/>
      <c r="CC2975" s="19"/>
      <c r="CD2975" s="139"/>
      <c r="CE2975" s="138"/>
      <c r="CF2975" s="139"/>
      <c r="CG2975" s="138"/>
      <c r="CH2975" s="139"/>
      <c r="CI2975" s="138"/>
      <c r="CJ2975" s="72"/>
      <c r="CK2975" s="139"/>
      <c r="CL2975" s="71"/>
      <c r="CM2975" s="139"/>
      <c r="CN2975" s="138"/>
      <c r="CO2975" s="138"/>
      <c r="CP2975" s="138"/>
      <c r="CQ2975" s="139"/>
      <c r="CR2975" s="138"/>
      <c r="CS2975" s="45"/>
      <c r="CT2975" s="138"/>
      <c r="CU2975" s="45"/>
      <c r="CV2975" s="99">
        <f t="shared" si="291"/>
        <v>0</v>
      </c>
      <c r="CW2975" s="139"/>
      <c r="CX2975" s="138"/>
      <c r="CY2975" s="138"/>
      <c r="CZ2975" s="138"/>
      <c r="DA2975" s="139"/>
      <c r="DB2975" s="138"/>
      <c r="DC2975" s="45"/>
      <c r="DD2975" s="138"/>
      <c r="DE2975" s="45"/>
      <c r="DF2975" s="46"/>
    </row>
    <row r="2976" spans="1:110" s="42" customFormat="1" ht="60" x14ac:dyDescent="0.2">
      <c r="A2976" s="89">
        <v>40883</v>
      </c>
      <c r="B2976" s="151" t="s">
        <v>4344</v>
      </c>
      <c r="C2976" s="90" t="s">
        <v>1709</v>
      </c>
      <c r="D2976" s="90" t="s">
        <v>2362</v>
      </c>
      <c r="E2976" s="90" t="str">
        <f>VLOOKUP(B2976&amp;C2976,Divipola!$C$2:$F$1138,4,FALSE)</f>
        <v>25299</v>
      </c>
      <c r="F2976" s="4"/>
      <c r="G2976" s="101"/>
      <c r="H2976" s="101"/>
      <c r="I2976" s="101"/>
      <c r="J2976" s="101"/>
      <c r="K2976" s="101"/>
      <c r="L2976" s="101"/>
      <c r="M2976" s="101"/>
      <c r="N2976" s="101">
        <v>1</v>
      </c>
      <c r="O2976" s="101"/>
      <c r="P2976" s="101"/>
      <c r="Q2976" s="101"/>
      <c r="R2976" s="101"/>
      <c r="S2976" s="101"/>
      <c r="T2976" s="101"/>
      <c r="U2976" s="101"/>
      <c r="V2976" s="101"/>
      <c r="W2976" s="19"/>
      <c r="X2976" s="17"/>
      <c r="Y2976" s="5">
        <f t="shared" si="286"/>
        <v>0</v>
      </c>
      <c r="Z2976" s="5">
        <f t="shared" si="287"/>
        <v>0</v>
      </c>
      <c r="AA2976" s="5">
        <f t="shared" si="288"/>
        <v>0</v>
      </c>
      <c r="AB2976" s="5">
        <f t="shared" si="289"/>
        <v>0</v>
      </c>
      <c r="AC2976" s="5"/>
      <c r="AD2976" s="5">
        <v>0</v>
      </c>
      <c r="AE2976" s="5">
        <f t="shared" si="290"/>
        <v>0</v>
      </c>
      <c r="AF2976" s="70">
        <v>0</v>
      </c>
      <c r="AG2976" s="17"/>
      <c r="AH2976" s="18"/>
      <c r="AI2976" s="47" t="s">
        <v>4346</v>
      </c>
      <c r="AJ2976" s="73" t="s">
        <v>4347</v>
      </c>
      <c r="AK2976" s="45"/>
      <c r="AL2976" s="89" t="s">
        <v>2798</v>
      </c>
      <c r="AM2976" s="121" t="s">
        <v>5307</v>
      </c>
      <c r="AN2976" s="19"/>
      <c r="AO2976" s="19"/>
      <c r="AP2976" s="19"/>
      <c r="AQ2976" s="19"/>
      <c r="AR2976" s="19"/>
      <c r="AS2976" s="19"/>
      <c r="AT2976" s="19"/>
      <c r="AU2976" s="19"/>
      <c r="AV2976" s="19"/>
      <c r="AW2976" s="19"/>
      <c r="AX2976" s="19"/>
      <c r="AY2976" s="19"/>
      <c r="AZ2976" s="19"/>
      <c r="BA2976" s="19"/>
      <c r="BB2976" s="19"/>
      <c r="BC2976" s="19"/>
      <c r="BD2976" s="19"/>
      <c r="BE2976" s="19"/>
      <c r="BF2976" s="19"/>
      <c r="BG2976" s="19"/>
      <c r="BH2976" s="19"/>
      <c r="BI2976" s="19"/>
      <c r="BJ2976" s="19"/>
      <c r="BK2976" s="19"/>
      <c r="BL2976" s="19"/>
      <c r="BM2976" s="19"/>
      <c r="BN2976" s="19"/>
      <c r="BO2976" s="19"/>
      <c r="BP2976" s="19"/>
      <c r="BQ2976" s="19"/>
      <c r="BR2976" s="19"/>
      <c r="BS2976" s="19"/>
      <c r="BT2976" s="19"/>
      <c r="BU2976" s="19"/>
      <c r="BV2976" s="19"/>
      <c r="BW2976" s="19"/>
      <c r="BX2976" s="19"/>
      <c r="BY2976" s="19"/>
      <c r="BZ2976" s="19"/>
      <c r="CA2976" s="19"/>
      <c r="CB2976" s="19"/>
      <c r="CC2976" s="19"/>
      <c r="CD2976" s="139"/>
      <c r="CE2976" s="138"/>
      <c r="CF2976" s="139"/>
      <c r="CG2976" s="138"/>
      <c r="CH2976" s="139"/>
      <c r="CI2976" s="138"/>
      <c r="CJ2976" s="72"/>
      <c r="CK2976" s="139"/>
      <c r="CL2976" s="71"/>
      <c r="CM2976" s="139"/>
      <c r="CN2976" s="138"/>
      <c r="CO2976" s="138"/>
      <c r="CP2976" s="138"/>
      <c r="CQ2976" s="139"/>
      <c r="CR2976" s="138"/>
      <c r="CS2976" s="45"/>
      <c r="CT2976" s="138"/>
      <c r="CU2976" s="45"/>
      <c r="CV2976" s="99">
        <f t="shared" si="291"/>
        <v>0</v>
      </c>
      <c r="CW2976" s="139"/>
      <c r="CX2976" s="138"/>
      <c r="CY2976" s="138"/>
      <c r="CZ2976" s="138"/>
      <c r="DA2976" s="139"/>
      <c r="DB2976" s="138"/>
      <c r="DC2976" s="45"/>
      <c r="DD2976" s="138"/>
      <c r="DE2976" s="45"/>
      <c r="DF2976" s="46"/>
    </row>
    <row r="2977" spans="1:110" s="42" customFormat="1" ht="36" x14ac:dyDescent="0.2">
      <c r="A2977" s="89">
        <v>40883</v>
      </c>
      <c r="B2977" s="89" t="s">
        <v>4219</v>
      </c>
      <c r="C2977" s="90" t="s">
        <v>2249</v>
      </c>
      <c r="D2977" s="90" t="s">
        <v>4264</v>
      </c>
      <c r="E2977" s="90" t="str">
        <f>VLOOKUP(B2977&amp;C2977,Divipola!$C$2:$F$1138,4,FALSE)</f>
        <v>41770</v>
      </c>
      <c r="F2977" s="4"/>
      <c r="G2977" s="101"/>
      <c r="H2977" s="101"/>
      <c r="I2977" s="101"/>
      <c r="J2977" s="101">
        <v>10</v>
      </c>
      <c r="K2977" s="101">
        <v>2</v>
      </c>
      <c r="L2977" s="101"/>
      <c r="M2977" s="101">
        <v>2</v>
      </c>
      <c r="N2977" s="101"/>
      <c r="O2977" s="101"/>
      <c r="P2977" s="101"/>
      <c r="Q2977" s="101"/>
      <c r="R2977" s="101"/>
      <c r="S2977" s="101"/>
      <c r="T2977" s="101"/>
      <c r="U2977" s="101"/>
      <c r="V2977" s="101"/>
      <c r="W2977" s="19"/>
      <c r="X2977" s="17"/>
      <c r="Y2977" s="5">
        <f t="shared" si="286"/>
        <v>0</v>
      </c>
      <c r="Z2977" s="5">
        <f t="shared" si="287"/>
        <v>0</v>
      </c>
      <c r="AA2977" s="5">
        <f t="shared" si="288"/>
        <v>0</v>
      </c>
      <c r="AB2977" s="5">
        <f t="shared" si="289"/>
        <v>0</v>
      </c>
      <c r="AC2977" s="5"/>
      <c r="AD2977" s="5">
        <v>0</v>
      </c>
      <c r="AE2977" s="5">
        <f t="shared" si="290"/>
        <v>0</v>
      </c>
      <c r="AF2977" s="70">
        <v>0</v>
      </c>
      <c r="AG2977" s="17"/>
      <c r="AH2977" s="18"/>
      <c r="AI2977" s="47" t="s">
        <v>4346</v>
      </c>
      <c r="AJ2977" s="73" t="s">
        <v>4347</v>
      </c>
      <c r="AK2977" s="45"/>
      <c r="AL2977" s="89" t="s">
        <v>2798</v>
      </c>
      <c r="AM2977" s="121" t="s">
        <v>5308</v>
      </c>
      <c r="AN2977" s="19"/>
      <c r="AO2977" s="19"/>
      <c r="AP2977" s="19"/>
      <c r="AQ2977" s="19"/>
      <c r="AR2977" s="19"/>
      <c r="AS2977" s="19"/>
      <c r="AT2977" s="19"/>
      <c r="AU2977" s="19"/>
      <c r="AV2977" s="19"/>
      <c r="AW2977" s="19"/>
      <c r="AX2977" s="19"/>
      <c r="AY2977" s="19"/>
      <c r="AZ2977" s="19"/>
      <c r="BA2977" s="19"/>
      <c r="BB2977" s="19"/>
      <c r="BC2977" s="19"/>
      <c r="BD2977" s="19"/>
      <c r="BE2977" s="19"/>
      <c r="BF2977" s="19"/>
      <c r="BG2977" s="19"/>
      <c r="BH2977" s="19"/>
      <c r="BI2977" s="19"/>
      <c r="BJ2977" s="19"/>
      <c r="BK2977" s="19"/>
      <c r="BL2977" s="19"/>
      <c r="BM2977" s="19"/>
      <c r="BN2977" s="19"/>
      <c r="BO2977" s="19"/>
      <c r="BP2977" s="19"/>
      <c r="BQ2977" s="19"/>
      <c r="BR2977" s="19"/>
      <c r="BS2977" s="19"/>
      <c r="BT2977" s="19"/>
      <c r="BU2977" s="19"/>
      <c r="BV2977" s="19"/>
      <c r="BW2977" s="19"/>
      <c r="BX2977" s="19"/>
      <c r="BY2977" s="19"/>
      <c r="BZ2977" s="19"/>
      <c r="CA2977" s="19"/>
      <c r="CB2977" s="19"/>
      <c r="CC2977" s="19"/>
      <c r="CD2977" s="139"/>
      <c r="CE2977" s="138"/>
      <c r="CF2977" s="139"/>
      <c r="CG2977" s="138"/>
      <c r="CH2977" s="139"/>
      <c r="CI2977" s="138"/>
      <c r="CJ2977" s="72"/>
      <c r="CK2977" s="139"/>
      <c r="CL2977" s="71"/>
      <c r="CM2977" s="139"/>
      <c r="CN2977" s="138"/>
      <c r="CO2977" s="138"/>
      <c r="CP2977" s="138"/>
      <c r="CQ2977" s="139"/>
      <c r="CR2977" s="138"/>
      <c r="CS2977" s="45"/>
      <c r="CT2977" s="138"/>
      <c r="CU2977" s="45"/>
      <c r="CV2977" s="99">
        <f t="shared" si="291"/>
        <v>0</v>
      </c>
      <c r="CW2977" s="139"/>
      <c r="CX2977" s="138"/>
      <c r="CY2977" s="138"/>
      <c r="CZ2977" s="138"/>
      <c r="DA2977" s="139"/>
      <c r="DB2977" s="138"/>
      <c r="DC2977" s="45"/>
      <c r="DD2977" s="138"/>
      <c r="DE2977" s="45"/>
      <c r="DF2977" s="46"/>
    </row>
    <row r="2978" spans="1:110" s="42" customFormat="1" ht="36" x14ac:dyDescent="0.2">
      <c r="A2978" s="89">
        <v>40883</v>
      </c>
      <c r="B2978" s="151" t="s">
        <v>4219</v>
      </c>
      <c r="C2978" s="90" t="s">
        <v>4255</v>
      </c>
      <c r="D2978" s="90" t="s">
        <v>2362</v>
      </c>
      <c r="E2978" s="90" t="str">
        <f>VLOOKUP(B2978&amp;C2978,Divipola!$C$2:$F$1138,4,FALSE)</f>
        <v>41396</v>
      </c>
      <c r="F2978" s="4"/>
      <c r="G2978" s="101"/>
      <c r="H2978" s="101"/>
      <c r="I2978" s="101"/>
      <c r="J2978" s="101"/>
      <c r="K2978" s="101"/>
      <c r="L2978" s="101"/>
      <c r="M2978" s="101"/>
      <c r="N2978" s="101">
        <v>1</v>
      </c>
      <c r="O2978" s="101"/>
      <c r="P2978" s="101"/>
      <c r="Q2978" s="101"/>
      <c r="R2978" s="101"/>
      <c r="S2978" s="101"/>
      <c r="T2978" s="101"/>
      <c r="U2978" s="101"/>
      <c r="V2978" s="101"/>
      <c r="W2978" s="19"/>
      <c r="X2978" s="17"/>
      <c r="Y2978" s="5">
        <f t="shared" si="286"/>
        <v>0</v>
      </c>
      <c r="Z2978" s="5">
        <f t="shared" si="287"/>
        <v>0</v>
      </c>
      <c r="AA2978" s="5">
        <f t="shared" si="288"/>
        <v>0</v>
      </c>
      <c r="AB2978" s="5">
        <f t="shared" si="289"/>
        <v>0</v>
      </c>
      <c r="AC2978" s="5"/>
      <c r="AD2978" s="5">
        <v>0</v>
      </c>
      <c r="AE2978" s="5">
        <f t="shared" si="290"/>
        <v>0</v>
      </c>
      <c r="AF2978" s="70">
        <v>0</v>
      </c>
      <c r="AG2978" s="17"/>
      <c r="AH2978" s="18"/>
      <c r="AI2978" s="47" t="s">
        <v>4346</v>
      </c>
      <c r="AJ2978" s="73" t="s">
        <v>4347</v>
      </c>
      <c r="AK2978" s="45"/>
      <c r="AL2978" s="89" t="s">
        <v>2798</v>
      </c>
      <c r="AM2978" s="121" t="s">
        <v>5309</v>
      </c>
      <c r="AN2978" s="19"/>
      <c r="AO2978" s="19"/>
      <c r="AP2978" s="19"/>
      <c r="AQ2978" s="19"/>
      <c r="AR2978" s="19"/>
      <c r="AS2978" s="19"/>
      <c r="AT2978" s="19"/>
      <c r="AU2978" s="19"/>
      <c r="AV2978" s="19"/>
      <c r="AW2978" s="19"/>
      <c r="AX2978" s="19"/>
      <c r="AY2978" s="19"/>
      <c r="AZ2978" s="19"/>
      <c r="BA2978" s="19"/>
      <c r="BB2978" s="19"/>
      <c r="BC2978" s="19"/>
      <c r="BD2978" s="19"/>
      <c r="BE2978" s="19"/>
      <c r="BF2978" s="19"/>
      <c r="BG2978" s="19"/>
      <c r="BH2978" s="19"/>
      <c r="BI2978" s="19"/>
      <c r="BJ2978" s="19"/>
      <c r="BK2978" s="19"/>
      <c r="BL2978" s="19"/>
      <c r="BM2978" s="19"/>
      <c r="BN2978" s="19"/>
      <c r="BO2978" s="19"/>
      <c r="BP2978" s="19"/>
      <c r="BQ2978" s="19"/>
      <c r="BR2978" s="19"/>
      <c r="BS2978" s="19"/>
      <c r="BT2978" s="19"/>
      <c r="BU2978" s="19"/>
      <c r="BV2978" s="19"/>
      <c r="BW2978" s="19"/>
      <c r="BX2978" s="19"/>
      <c r="BY2978" s="19"/>
      <c r="BZ2978" s="19"/>
      <c r="CA2978" s="19"/>
      <c r="CB2978" s="19"/>
      <c r="CC2978" s="19"/>
      <c r="CD2978" s="139"/>
      <c r="CE2978" s="138"/>
      <c r="CF2978" s="139"/>
      <c r="CG2978" s="138"/>
      <c r="CH2978" s="139"/>
      <c r="CI2978" s="138"/>
      <c r="CJ2978" s="72"/>
      <c r="CK2978" s="139"/>
      <c r="CL2978" s="71"/>
      <c r="CM2978" s="139"/>
      <c r="CN2978" s="138"/>
      <c r="CO2978" s="138"/>
      <c r="CP2978" s="138"/>
      <c r="CQ2978" s="139"/>
      <c r="CR2978" s="138"/>
      <c r="CS2978" s="45"/>
      <c r="CT2978" s="138"/>
      <c r="CU2978" s="45"/>
      <c r="CV2978" s="99">
        <f t="shared" si="291"/>
        <v>0</v>
      </c>
      <c r="CW2978" s="139"/>
      <c r="CX2978" s="138"/>
      <c r="CY2978" s="138"/>
      <c r="CZ2978" s="138"/>
      <c r="DA2978" s="139"/>
      <c r="DB2978" s="138"/>
      <c r="DC2978" s="45"/>
      <c r="DD2978" s="138"/>
      <c r="DE2978" s="45"/>
      <c r="DF2978" s="46"/>
    </row>
    <row r="2979" spans="1:110" s="42" customFormat="1" ht="132" x14ac:dyDescent="0.2">
      <c r="A2979" s="89">
        <v>40883</v>
      </c>
      <c r="B2979" s="151" t="s">
        <v>4219</v>
      </c>
      <c r="C2979" s="90" t="s">
        <v>697</v>
      </c>
      <c r="D2979" s="90" t="s">
        <v>2362</v>
      </c>
      <c r="E2979" s="90" t="str">
        <f>VLOOKUP(B2979&amp;C2979,Divipola!$C$2:$F$1138,4,FALSE)</f>
        <v>41791</v>
      </c>
      <c r="F2979" s="4"/>
      <c r="G2979" s="101">
        <v>1</v>
      </c>
      <c r="H2979" s="101">
        <v>1</v>
      </c>
      <c r="I2979" s="101"/>
      <c r="J2979" s="101">
        <v>107</v>
      </c>
      <c r="K2979" s="101">
        <v>41</v>
      </c>
      <c r="L2979" s="101">
        <v>1</v>
      </c>
      <c r="M2979" s="101">
        <v>40</v>
      </c>
      <c r="N2979" s="101">
        <v>5</v>
      </c>
      <c r="O2979" s="101"/>
      <c r="P2979" s="101"/>
      <c r="Q2979" s="101"/>
      <c r="R2979" s="101">
        <v>1</v>
      </c>
      <c r="S2979" s="101"/>
      <c r="T2979" s="101"/>
      <c r="U2979" s="101"/>
      <c r="V2979" s="101"/>
      <c r="W2979" s="19"/>
      <c r="X2979" s="17"/>
      <c r="Y2979" s="5">
        <f t="shared" si="286"/>
        <v>0</v>
      </c>
      <c r="Z2979" s="5">
        <f t="shared" si="287"/>
        <v>0</v>
      </c>
      <c r="AA2979" s="5">
        <f t="shared" si="288"/>
        <v>0</v>
      </c>
      <c r="AB2979" s="5">
        <f t="shared" si="289"/>
        <v>0</v>
      </c>
      <c r="AC2979" s="5"/>
      <c r="AD2979" s="5">
        <v>0</v>
      </c>
      <c r="AE2979" s="5">
        <f t="shared" si="290"/>
        <v>0</v>
      </c>
      <c r="AF2979" s="70">
        <v>0</v>
      </c>
      <c r="AG2979" s="17"/>
      <c r="AH2979" s="18"/>
      <c r="AI2979" s="47" t="s">
        <v>4346</v>
      </c>
      <c r="AJ2979" s="73" t="s">
        <v>4347</v>
      </c>
      <c r="AK2979" s="45"/>
      <c r="AL2979" s="89" t="s">
        <v>2798</v>
      </c>
      <c r="AM2979" s="121" t="s">
        <v>5312</v>
      </c>
      <c r="AN2979" s="19"/>
      <c r="AO2979" s="19"/>
      <c r="AP2979" s="19"/>
      <c r="AQ2979" s="19"/>
      <c r="AR2979" s="19"/>
      <c r="AS2979" s="19"/>
      <c r="AT2979" s="19"/>
      <c r="AU2979" s="19"/>
      <c r="AV2979" s="19"/>
      <c r="AW2979" s="19"/>
      <c r="AX2979" s="19"/>
      <c r="AY2979" s="19"/>
      <c r="AZ2979" s="19"/>
      <c r="BA2979" s="19"/>
      <c r="BB2979" s="19"/>
      <c r="BC2979" s="19"/>
      <c r="BD2979" s="19"/>
      <c r="BE2979" s="19"/>
      <c r="BF2979" s="19"/>
      <c r="BG2979" s="19"/>
      <c r="BH2979" s="19"/>
      <c r="BI2979" s="19"/>
      <c r="BJ2979" s="19"/>
      <c r="BK2979" s="19"/>
      <c r="BL2979" s="19"/>
      <c r="BM2979" s="19"/>
      <c r="BN2979" s="19"/>
      <c r="BO2979" s="19"/>
      <c r="BP2979" s="19"/>
      <c r="BQ2979" s="19"/>
      <c r="BR2979" s="19"/>
      <c r="BS2979" s="19"/>
      <c r="BT2979" s="19"/>
      <c r="BU2979" s="19"/>
      <c r="BV2979" s="19"/>
      <c r="BW2979" s="19"/>
      <c r="BX2979" s="19"/>
      <c r="BY2979" s="19"/>
      <c r="BZ2979" s="19"/>
      <c r="CA2979" s="19"/>
      <c r="CB2979" s="19"/>
      <c r="CC2979" s="19"/>
      <c r="CD2979" s="139"/>
      <c r="CE2979" s="138"/>
      <c r="CF2979" s="139"/>
      <c r="CG2979" s="138"/>
      <c r="CH2979" s="139"/>
      <c r="CI2979" s="138"/>
      <c r="CJ2979" s="72"/>
      <c r="CK2979" s="139"/>
      <c r="CL2979" s="71"/>
      <c r="CM2979" s="139"/>
      <c r="CN2979" s="138"/>
      <c r="CO2979" s="138"/>
      <c r="CP2979" s="138"/>
      <c r="CQ2979" s="139"/>
      <c r="CR2979" s="138"/>
      <c r="CS2979" s="45"/>
      <c r="CT2979" s="138"/>
      <c r="CU2979" s="45"/>
      <c r="CV2979" s="99">
        <f t="shared" si="291"/>
        <v>0</v>
      </c>
      <c r="CW2979" s="139"/>
      <c r="CX2979" s="138"/>
      <c r="CY2979" s="138"/>
      <c r="CZ2979" s="138"/>
      <c r="DA2979" s="139"/>
      <c r="DB2979" s="138"/>
      <c r="DC2979" s="45"/>
      <c r="DD2979" s="138"/>
      <c r="DE2979" s="45"/>
      <c r="DF2979" s="46"/>
    </row>
    <row r="2980" spans="1:110" s="42" customFormat="1" ht="96" x14ac:dyDescent="0.2">
      <c r="A2980" s="89">
        <v>40883</v>
      </c>
      <c r="B2980" s="151" t="s">
        <v>4296</v>
      </c>
      <c r="C2980" s="90" t="s">
        <v>2240</v>
      </c>
      <c r="D2980" s="90" t="s">
        <v>2362</v>
      </c>
      <c r="E2980" s="90" t="str">
        <f>VLOOKUP(B2980&amp;C2980,Divipola!$C$2:$F$1138,4,FALSE)</f>
        <v>19364</v>
      </c>
      <c r="F2980" s="4"/>
      <c r="G2980" s="101">
        <v>2</v>
      </c>
      <c r="H2980" s="101"/>
      <c r="I2980" s="101"/>
      <c r="J2980" s="101">
        <v>2</v>
      </c>
      <c r="K2980" s="101">
        <v>1</v>
      </c>
      <c r="L2980" s="101">
        <v>1</v>
      </c>
      <c r="M2980" s="101"/>
      <c r="N2980" s="101"/>
      <c r="O2980" s="101"/>
      <c r="P2980" s="101"/>
      <c r="Q2980" s="101"/>
      <c r="R2980" s="101"/>
      <c r="S2980" s="101"/>
      <c r="T2980" s="101"/>
      <c r="U2980" s="101"/>
      <c r="V2980" s="101"/>
      <c r="W2980" s="19"/>
      <c r="X2980" s="17"/>
      <c r="Y2980" s="5">
        <f t="shared" si="286"/>
        <v>0</v>
      </c>
      <c r="Z2980" s="5">
        <f t="shared" si="287"/>
        <v>0</v>
      </c>
      <c r="AA2980" s="5">
        <f t="shared" si="288"/>
        <v>0</v>
      </c>
      <c r="AB2980" s="5">
        <f t="shared" si="289"/>
        <v>0</v>
      </c>
      <c r="AC2980" s="5"/>
      <c r="AD2980" s="5">
        <v>0</v>
      </c>
      <c r="AE2980" s="5">
        <f t="shared" si="290"/>
        <v>0</v>
      </c>
      <c r="AF2980" s="70">
        <v>0</v>
      </c>
      <c r="AG2980" s="17"/>
      <c r="AH2980" s="18"/>
      <c r="AI2980" s="47" t="s">
        <v>4336</v>
      </c>
      <c r="AJ2980" s="73" t="s">
        <v>4337</v>
      </c>
      <c r="AK2980" s="45"/>
      <c r="AL2980" s="17"/>
      <c r="AM2980" s="121" t="s">
        <v>5314</v>
      </c>
      <c r="AN2980" s="19"/>
      <c r="AO2980" s="19"/>
      <c r="AP2980" s="19"/>
      <c r="AQ2980" s="19"/>
      <c r="AR2980" s="19"/>
      <c r="AS2980" s="19"/>
      <c r="AT2980" s="19"/>
      <c r="AU2980" s="19"/>
      <c r="AV2980" s="19"/>
      <c r="AW2980" s="19"/>
      <c r="AX2980" s="19"/>
      <c r="AY2980" s="19"/>
      <c r="AZ2980" s="19"/>
      <c r="BA2980" s="19"/>
      <c r="BB2980" s="19"/>
      <c r="BC2980" s="19"/>
      <c r="BD2980" s="19"/>
      <c r="BE2980" s="19"/>
      <c r="BF2980" s="19"/>
      <c r="BG2980" s="19"/>
      <c r="BH2980" s="19"/>
      <c r="BI2980" s="19"/>
      <c r="BJ2980" s="19"/>
      <c r="BK2980" s="19"/>
      <c r="BL2980" s="19"/>
      <c r="BM2980" s="19"/>
      <c r="BN2980" s="19"/>
      <c r="BO2980" s="19"/>
      <c r="BP2980" s="19"/>
      <c r="BQ2980" s="19"/>
      <c r="BR2980" s="19"/>
      <c r="BS2980" s="19"/>
      <c r="BT2980" s="19"/>
      <c r="BU2980" s="19"/>
      <c r="BV2980" s="19"/>
      <c r="BW2980" s="19"/>
      <c r="BX2980" s="19"/>
      <c r="BY2980" s="19"/>
      <c r="BZ2980" s="19"/>
      <c r="CA2980" s="19"/>
      <c r="CB2980" s="19"/>
      <c r="CC2980" s="19"/>
      <c r="CD2980" s="139"/>
      <c r="CE2980" s="138"/>
      <c r="CF2980" s="139"/>
      <c r="CG2980" s="138"/>
      <c r="CH2980" s="139"/>
      <c r="CI2980" s="138"/>
      <c r="CJ2980" s="72"/>
      <c r="CK2980" s="139"/>
      <c r="CL2980" s="71"/>
      <c r="CM2980" s="139"/>
      <c r="CN2980" s="138"/>
      <c r="CO2980" s="138"/>
      <c r="CP2980" s="138"/>
      <c r="CQ2980" s="139"/>
      <c r="CR2980" s="138"/>
      <c r="CS2980" s="45"/>
      <c r="CT2980" s="138"/>
      <c r="CU2980" s="45"/>
      <c r="CV2980" s="99">
        <f t="shared" si="291"/>
        <v>0</v>
      </c>
      <c r="CW2980" s="139"/>
      <c r="CX2980" s="138"/>
      <c r="CY2980" s="138"/>
      <c r="CZ2980" s="138"/>
      <c r="DA2980" s="139"/>
      <c r="DB2980" s="138"/>
      <c r="DC2980" s="45"/>
      <c r="DD2980" s="138"/>
      <c r="DE2980" s="45"/>
      <c r="DF2980" s="46"/>
    </row>
    <row r="2981" spans="1:110" s="42" customFormat="1" ht="264" x14ac:dyDescent="0.2">
      <c r="A2981" s="89">
        <v>40883</v>
      </c>
      <c r="B2981" s="151" t="s">
        <v>1116</v>
      </c>
      <c r="C2981" s="90" t="s">
        <v>1116</v>
      </c>
      <c r="D2981" s="90" t="s">
        <v>4264</v>
      </c>
      <c r="E2981" s="90" t="str">
        <f>VLOOKUP(B2981&amp;C2981,Divipola!$C$2:$F$1138,4,FALSE)</f>
        <v>11001</v>
      </c>
      <c r="F2981" s="4"/>
      <c r="G2981" s="101"/>
      <c r="H2981" s="101"/>
      <c r="I2981" s="101"/>
      <c r="J2981" s="101">
        <v>57540</v>
      </c>
      <c r="K2981" s="101">
        <v>11508</v>
      </c>
      <c r="L2981" s="101"/>
      <c r="M2981" s="101">
        <v>11508</v>
      </c>
      <c r="N2981" s="101"/>
      <c r="O2981" s="101"/>
      <c r="P2981" s="101"/>
      <c r="Q2981" s="101"/>
      <c r="R2981" s="101"/>
      <c r="S2981" s="101"/>
      <c r="T2981" s="101"/>
      <c r="U2981" s="101"/>
      <c r="V2981" s="101"/>
      <c r="W2981" s="19"/>
      <c r="X2981" s="17"/>
      <c r="Y2981" s="5">
        <f t="shared" si="286"/>
        <v>492695520</v>
      </c>
      <c r="Z2981" s="5">
        <f t="shared" si="287"/>
        <v>0</v>
      </c>
      <c r="AA2981" s="5">
        <f t="shared" si="288"/>
        <v>0</v>
      </c>
      <c r="AB2981" s="5">
        <f t="shared" si="289"/>
        <v>4495000</v>
      </c>
      <c r="AC2981" s="5">
        <f>4000*25999.08+100*22272+100*32248</f>
        <v>109448320</v>
      </c>
      <c r="AD2981" s="5">
        <v>0</v>
      </c>
      <c r="AE2981" s="5">
        <f t="shared" si="290"/>
        <v>606638840</v>
      </c>
      <c r="AF2981" s="70">
        <v>0</v>
      </c>
      <c r="AG2981" s="17"/>
      <c r="AH2981" s="18"/>
      <c r="AI2981" s="47" t="s">
        <v>4346</v>
      </c>
      <c r="AJ2981" s="73" t="s">
        <v>4347</v>
      </c>
      <c r="AK2981" s="45"/>
      <c r="AL2981" s="17"/>
      <c r="AM2981" s="121" t="s">
        <v>5328</v>
      </c>
      <c r="AN2981" s="19"/>
      <c r="AO2981" s="19"/>
      <c r="AP2981" s="19"/>
      <c r="AQ2981" s="19"/>
      <c r="AR2981" s="19"/>
      <c r="AS2981" s="19"/>
      <c r="AT2981" s="19"/>
      <c r="AU2981" s="19"/>
      <c r="AV2981" s="19">
        <v>4000</v>
      </c>
      <c r="AW2981" s="19">
        <f>1000*18000+1000*21000+1000*20999.48+1000*20999.48</f>
        <v>80998960</v>
      </c>
      <c r="AX2981" s="19"/>
      <c r="AY2981" s="19"/>
      <c r="AZ2981" s="19">
        <v>4000</v>
      </c>
      <c r="BA2981" s="19">
        <f>1000*56000+1000*56000+1000*55999+1000*55999</f>
        <v>223998000</v>
      </c>
      <c r="BB2981" s="19"/>
      <c r="BC2981" s="19"/>
      <c r="BD2981" s="19"/>
      <c r="BE2981" s="19"/>
      <c r="BF2981" s="19"/>
      <c r="BG2981" s="19"/>
      <c r="BH2981" s="19"/>
      <c r="BI2981" s="19"/>
      <c r="BJ2981" s="19"/>
      <c r="BK2981" s="19"/>
      <c r="BL2981" s="19"/>
      <c r="BM2981" s="19"/>
      <c r="BN2981" s="19"/>
      <c r="BO2981" s="19"/>
      <c r="BP2981" s="19"/>
      <c r="BQ2981" s="19"/>
      <c r="BR2981" s="19"/>
      <c r="BS2981" s="19"/>
      <c r="BT2981" s="19"/>
      <c r="BU2981" s="19"/>
      <c r="BV2981" s="19"/>
      <c r="BW2981" s="19"/>
      <c r="BX2981" s="19"/>
      <c r="BY2981" s="19"/>
      <c r="BZ2981" s="19"/>
      <c r="CA2981" s="19"/>
      <c r="CB2981" s="19"/>
      <c r="CC2981" s="19"/>
      <c r="CD2981" s="139"/>
      <c r="CE2981" s="138"/>
      <c r="CF2981" s="139"/>
      <c r="CG2981" s="138"/>
      <c r="CH2981" s="139"/>
      <c r="CI2981" s="138"/>
      <c r="CJ2981" s="72"/>
      <c r="CK2981" s="139"/>
      <c r="CL2981" s="71"/>
      <c r="CM2981" s="139"/>
      <c r="CN2981" s="138"/>
      <c r="CO2981" s="138"/>
      <c r="CP2981" s="138">
        <v>4000</v>
      </c>
      <c r="CQ2981" s="139">
        <f>1000*37000+1000*37000+1000*36999.36+1000*36999.36</f>
        <v>147998720</v>
      </c>
      <c r="CR2981" s="138">
        <v>1000</v>
      </c>
      <c r="CS2981" s="45">
        <f>1000*39699.84</f>
        <v>39699840</v>
      </c>
      <c r="CT2981" s="138"/>
      <c r="CU2981" s="45"/>
      <c r="CV2981" s="99">
        <f t="shared" si="291"/>
        <v>492695520</v>
      </c>
      <c r="CW2981" s="139">
        <v>5000</v>
      </c>
      <c r="CX2981" s="138">
        <f>5000*899</f>
        <v>4495000</v>
      </c>
      <c r="CY2981" s="138"/>
      <c r="CZ2981" s="138"/>
      <c r="DA2981" s="139"/>
      <c r="DB2981" s="138"/>
      <c r="DC2981" s="45"/>
      <c r="DD2981" s="138"/>
      <c r="DE2981" s="45"/>
      <c r="DF2981" s="46"/>
    </row>
    <row r="2982" spans="1:110" s="42" customFormat="1" ht="120" x14ac:dyDescent="0.2">
      <c r="A2982" s="89">
        <v>40883</v>
      </c>
      <c r="B2982" s="151" t="s">
        <v>4348</v>
      </c>
      <c r="C2982" s="90" t="s">
        <v>3377</v>
      </c>
      <c r="D2982" s="90" t="s">
        <v>4264</v>
      </c>
      <c r="E2982" s="90" t="str">
        <f>VLOOKUP(B2982&amp;C2982,Divipola!$C$2:$F$1138,4,FALSE)</f>
        <v>66400</v>
      </c>
      <c r="F2982" s="4"/>
      <c r="G2982" s="101"/>
      <c r="H2982" s="101"/>
      <c r="I2982" s="101"/>
      <c r="J2982" s="101">
        <v>13000</v>
      </c>
      <c r="K2982" s="101">
        <v>2600</v>
      </c>
      <c r="L2982" s="101"/>
      <c r="M2982" s="101">
        <v>2600</v>
      </c>
      <c r="N2982" s="101"/>
      <c r="O2982" s="101"/>
      <c r="P2982" s="101"/>
      <c r="Q2982" s="101"/>
      <c r="R2982" s="101"/>
      <c r="S2982" s="101"/>
      <c r="T2982" s="101">
        <v>2</v>
      </c>
      <c r="U2982" s="101"/>
      <c r="V2982" s="101"/>
      <c r="W2982" s="19"/>
      <c r="X2982" s="17"/>
      <c r="Y2982" s="5">
        <f t="shared" si="286"/>
        <v>0</v>
      </c>
      <c r="Z2982" s="5">
        <f t="shared" si="287"/>
        <v>0</v>
      </c>
      <c r="AA2982" s="5">
        <f t="shared" si="288"/>
        <v>0</v>
      </c>
      <c r="AB2982" s="5">
        <f t="shared" si="289"/>
        <v>0</v>
      </c>
      <c r="AC2982" s="5"/>
      <c r="AD2982" s="5">
        <v>0</v>
      </c>
      <c r="AE2982" s="5">
        <f t="shared" si="290"/>
        <v>0</v>
      </c>
      <c r="AF2982" s="70">
        <v>0</v>
      </c>
      <c r="AG2982" s="17"/>
      <c r="AH2982" s="18"/>
      <c r="AI2982" s="47" t="s">
        <v>4346</v>
      </c>
      <c r="AJ2982" s="73" t="s">
        <v>4347</v>
      </c>
      <c r="AK2982" s="45"/>
      <c r="AL2982" s="89" t="s">
        <v>2798</v>
      </c>
      <c r="AM2982" s="121" t="s">
        <v>5369</v>
      </c>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39"/>
      <c r="CE2982" s="138"/>
      <c r="CF2982" s="139"/>
      <c r="CG2982" s="138"/>
      <c r="CH2982" s="139"/>
      <c r="CI2982" s="138"/>
      <c r="CJ2982" s="72"/>
      <c r="CK2982" s="139"/>
      <c r="CL2982" s="71"/>
      <c r="CM2982" s="139"/>
      <c r="CN2982" s="138"/>
      <c r="CO2982" s="138"/>
      <c r="CP2982" s="138"/>
      <c r="CQ2982" s="139"/>
      <c r="CR2982" s="138"/>
      <c r="CS2982" s="45"/>
      <c r="CT2982" s="138"/>
      <c r="CU2982" s="45"/>
      <c r="CV2982" s="99">
        <f t="shared" si="291"/>
        <v>0</v>
      </c>
      <c r="CW2982" s="139"/>
      <c r="CX2982" s="138"/>
      <c r="CY2982" s="138"/>
      <c r="CZ2982" s="138"/>
      <c r="DA2982" s="139"/>
      <c r="DB2982" s="138"/>
      <c r="DC2982" s="45"/>
      <c r="DD2982" s="138"/>
      <c r="DE2982" s="45"/>
      <c r="DF2982" s="46"/>
    </row>
    <row r="2983" spans="1:110" s="42" customFormat="1" ht="36" x14ac:dyDescent="0.2">
      <c r="A2983" s="89">
        <v>40884</v>
      </c>
      <c r="B2983" s="151" t="s">
        <v>4263</v>
      </c>
      <c r="C2983" s="90" t="s">
        <v>4315</v>
      </c>
      <c r="D2983" s="90" t="s">
        <v>4264</v>
      </c>
      <c r="E2983" s="90" t="str">
        <f>VLOOKUP(B2983&amp;C2983,Divipola!$C$2:$F$1138,4,FALSE)</f>
        <v>86001</v>
      </c>
      <c r="F2983" s="4"/>
      <c r="G2983" s="101"/>
      <c r="H2983" s="101"/>
      <c r="I2983" s="101"/>
      <c r="J2983" s="101">
        <v>20</v>
      </c>
      <c r="K2983" s="101">
        <v>4</v>
      </c>
      <c r="L2983" s="101"/>
      <c r="M2983" s="101">
        <v>4</v>
      </c>
      <c r="N2983" s="101"/>
      <c r="O2983" s="101"/>
      <c r="P2983" s="101"/>
      <c r="Q2983" s="101"/>
      <c r="R2983" s="101"/>
      <c r="S2983" s="101"/>
      <c r="T2983" s="101"/>
      <c r="U2983" s="101"/>
      <c r="V2983" s="101"/>
      <c r="W2983" s="19"/>
      <c r="X2983" s="17"/>
      <c r="Y2983" s="5">
        <f t="shared" si="286"/>
        <v>0</v>
      </c>
      <c r="Z2983" s="5">
        <f t="shared" si="287"/>
        <v>0</v>
      </c>
      <c r="AA2983" s="5">
        <f t="shared" si="288"/>
        <v>0</v>
      </c>
      <c r="AB2983" s="5">
        <f t="shared" si="289"/>
        <v>0</v>
      </c>
      <c r="AC2983" s="5"/>
      <c r="AD2983" s="5">
        <v>0</v>
      </c>
      <c r="AE2983" s="5">
        <f t="shared" si="290"/>
        <v>0</v>
      </c>
      <c r="AF2983" s="70">
        <v>0</v>
      </c>
      <c r="AG2983" s="17"/>
      <c r="AH2983" s="18"/>
      <c r="AI2983" s="47" t="s">
        <v>4336</v>
      </c>
      <c r="AJ2983" s="73" t="s">
        <v>4337</v>
      </c>
      <c r="AK2983" s="45"/>
      <c r="AL2983" s="17"/>
      <c r="AM2983" s="121" t="s">
        <v>5313</v>
      </c>
      <c r="AN2983" s="19"/>
      <c r="AO2983" s="19"/>
      <c r="AP2983" s="19"/>
      <c r="AQ2983" s="19"/>
      <c r="AR2983" s="19"/>
      <c r="AS2983" s="19"/>
      <c r="AT2983" s="19"/>
      <c r="AU2983" s="19"/>
      <c r="AV2983" s="19"/>
      <c r="AW2983" s="19"/>
      <c r="AX2983" s="19"/>
      <c r="AY2983" s="19"/>
      <c r="AZ2983" s="19"/>
      <c r="BA2983" s="19"/>
      <c r="BB2983" s="19"/>
      <c r="BC2983" s="19"/>
      <c r="BD2983" s="19"/>
      <c r="BE2983" s="19"/>
      <c r="BF2983" s="19"/>
      <c r="BG2983" s="19"/>
      <c r="BH2983" s="19"/>
      <c r="BI2983" s="19"/>
      <c r="BJ2983" s="19"/>
      <c r="BK2983" s="19"/>
      <c r="BL2983" s="19"/>
      <c r="BM2983" s="19"/>
      <c r="BN2983" s="19"/>
      <c r="BO2983" s="19"/>
      <c r="BP2983" s="19"/>
      <c r="BQ2983" s="19"/>
      <c r="BR2983" s="19"/>
      <c r="BS2983" s="19"/>
      <c r="BT2983" s="19"/>
      <c r="BU2983" s="19"/>
      <c r="BV2983" s="19"/>
      <c r="BW2983" s="19"/>
      <c r="BX2983" s="19"/>
      <c r="BY2983" s="19"/>
      <c r="BZ2983" s="19"/>
      <c r="CA2983" s="19"/>
      <c r="CB2983" s="19"/>
      <c r="CC2983" s="19"/>
      <c r="CD2983" s="139"/>
      <c r="CE2983" s="138"/>
      <c r="CF2983" s="139"/>
      <c r="CG2983" s="138"/>
      <c r="CH2983" s="139"/>
      <c r="CI2983" s="138"/>
      <c r="CJ2983" s="72"/>
      <c r="CK2983" s="139"/>
      <c r="CL2983" s="71"/>
      <c r="CM2983" s="139"/>
      <c r="CN2983" s="138"/>
      <c r="CO2983" s="138"/>
      <c r="CP2983" s="138"/>
      <c r="CQ2983" s="139"/>
      <c r="CR2983" s="138"/>
      <c r="CS2983" s="45"/>
      <c r="CT2983" s="138"/>
      <c r="CU2983" s="45"/>
      <c r="CV2983" s="99">
        <f t="shared" si="291"/>
        <v>0</v>
      </c>
      <c r="CW2983" s="139"/>
      <c r="CX2983" s="138"/>
      <c r="CY2983" s="138"/>
      <c r="CZ2983" s="138"/>
      <c r="DA2983" s="139"/>
      <c r="DB2983" s="138"/>
      <c r="DC2983" s="45"/>
      <c r="DD2983" s="138"/>
      <c r="DE2983" s="45"/>
      <c r="DF2983" s="46"/>
    </row>
    <row r="2984" spans="1:110" s="42" customFormat="1" ht="96" x14ac:dyDescent="0.2">
      <c r="A2984" s="89">
        <v>40884</v>
      </c>
      <c r="B2984" s="151" t="s">
        <v>4263</v>
      </c>
      <c r="C2984" s="90" t="s">
        <v>3676</v>
      </c>
      <c r="D2984" s="90" t="s">
        <v>4264</v>
      </c>
      <c r="E2984" s="90" t="str">
        <f>VLOOKUP(B2984&amp;C2984,Divipola!$C$2:$F$1138,4,FALSE)</f>
        <v>86865</v>
      </c>
      <c r="F2984" s="4"/>
      <c r="G2984" s="101"/>
      <c r="H2984" s="101"/>
      <c r="I2984" s="101"/>
      <c r="J2984" s="101">
        <v>125</v>
      </c>
      <c r="K2984" s="101">
        <v>25</v>
      </c>
      <c r="L2984" s="101">
        <v>4</v>
      </c>
      <c r="M2984" s="101">
        <v>21</v>
      </c>
      <c r="N2984" s="101"/>
      <c r="O2984" s="101"/>
      <c r="P2984" s="101"/>
      <c r="Q2984" s="101">
        <v>1</v>
      </c>
      <c r="R2984" s="101"/>
      <c r="S2984" s="101"/>
      <c r="T2984" s="101">
        <v>1</v>
      </c>
      <c r="U2984" s="101"/>
      <c r="V2984" s="101"/>
      <c r="W2984" s="19"/>
      <c r="X2984" s="17"/>
      <c r="Y2984" s="5">
        <f t="shared" si="286"/>
        <v>0</v>
      </c>
      <c r="Z2984" s="5">
        <f t="shared" si="287"/>
        <v>0</v>
      </c>
      <c r="AA2984" s="5">
        <f t="shared" si="288"/>
        <v>0</v>
      </c>
      <c r="AB2984" s="5">
        <f t="shared" si="289"/>
        <v>0</v>
      </c>
      <c r="AC2984" s="5"/>
      <c r="AD2984" s="5">
        <v>0</v>
      </c>
      <c r="AE2984" s="5">
        <f t="shared" si="290"/>
        <v>0</v>
      </c>
      <c r="AF2984" s="70">
        <v>0</v>
      </c>
      <c r="AG2984" s="17"/>
      <c r="AH2984" s="18"/>
      <c r="AI2984" s="47" t="s">
        <v>4336</v>
      </c>
      <c r="AJ2984" s="73" t="s">
        <v>4337</v>
      </c>
      <c r="AK2984" s="45"/>
      <c r="AL2984" s="17"/>
      <c r="AM2984" s="121" t="s">
        <v>5323</v>
      </c>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19"/>
      <c r="BW2984" s="19"/>
      <c r="BX2984" s="19"/>
      <c r="BY2984" s="19"/>
      <c r="BZ2984" s="19"/>
      <c r="CA2984" s="19"/>
      <c r="CB2984" s="19"/>
      <c r="CC2984" s="19"/>
      <c r="CD2984" s="139"/>
      <c r="CE2984" s="138"/>
      <c r="CF2984" s="139"/>
      <c r="CG2984" s="138"/>
      <c r="CH2984" s="139"/>
      <c r="CI2984" s="138"/>
      <c r="CJ2984" s="72"/>
      <c r="CK2984" s="139"/>
      <c r="CL2984" s="71"/>
      <c r="CM2984" s="139"/>
      <c r="CN2984" s="138"/>
      <c r="CO2984" s="138"/>
      <c r="CP2984" s="138"/>
      <c r="CQ2984" s="139"/>
      <c r="CR2984" s="138"/>
      <c r="CS2984" s="45"/>
      <c r="CT2984" s="138"/>
      <c r="CU2984" s="45"/>
      <c r="CV2984" s="99">
        <f t="shared" si="291"/>
        <v>0</v>
      </c>
      <c r="CW2984" s="139"/>
      <c r="CX2984" s="138"/>
      <c r="CY2984" s="138"/>
      <c r="CZ2984" s="138"/>
      <c r="DA2984" s="139"/>
      <c r="DB2984" s="138"/>
      <c r="DC2984" s="45"/>
      <c r="DD2984" s="138"/>
      <c r="DE2984" s="45"/>
      <c r="DF2984" s="46"/>
    </row>
    <row r="2985" spans="1:110" s="42" customFormat="1" ht="48" x14ac:dyDescent="0.2">
      <c r="A2985" s="89">
        <v>40884</v>
      </c>
      <c r="B2985" s="151" t="s">
        <v>4219</v>
      </c>
      <c r="C2985" s="90" t="s">
        <v>687</v>
      </c>
      <c r="D2985" s="90" t="s">
        <v>2362</v>
      </c>
      <c r="E2985" s="90" t="str">
        <f>VLOOKUP(B2985&amp;C2985,Divipola!$C$2:$F$1138,4,FALSE)</f>
        <v>41548</v>
      </c>
      <c r="F2985" s="4"/>
      <c r="G2985" s="101"/>
      <c r="H2985" s="101"/>
      <c r="I2985" s="101"/>
      <c r="J2985" s="101"/>
      <c r="K2985" s="101"/>
      <c r="L2985" s="101"/>
      <c r="M2985" s="101"/>
      <c r="N2985" s="101">
        <v>1</v>
      </c>
      <c r="O2985" s="101"/>
      <c r="P2985" s="101"/>
      <c r="Q2985" s="101"/>
      <c r="R2985" s="101"/>
      <c r="S2985" s="101"/>
      <c r="T2985" s="101"/>
      <c r="U2985" s="101"/>
      <c r="V2985" s="101"/>
      <c r="W2985" s="19"/>
      <c r="X2985" s="17"/>
      <c r="Y2985" s="5">
        <f t="shared" si="286"/>
        <v>0</v>
      </c>
      <c r="Z2985" s="5">
        <f t="shared" si="287"/>
        <v>0</v>
      </c>
      <c r="AA2985" s="5">
        <f t="shared" si="288"/>
        <v>0</v>
      </c>
      <c r="AB2985" s="5">
        <f t="shared" si="289"/>
        <v>0</v>
      </c>
      <c r="AC2985" s="5"/>
      <c r="AD2985" s="5">
        <v>0</v>
      </c>
      <c r="AE2985" s="5">
        <f t="shared" si="290"/>
        <v>0</v>
      </c>
      <c r="AF2985" s="70">
        <v>0</v>
      </c>
      <c r="AG2985" s="17"/>
      <c r="AH2985" s="18"/>
      <c r="AI2985" s="47" t="s">
        <v>4346</v>
      </c>
      <c r="AJ2985" s="73" t="s">
        <v>4347</v>
      </c>
      <c r="AK2985" s="45"/>
      <c r="AL2985" s="89" t="s">
        <v>2798</v>
      </c>
      <c r="AM2985" s="121" t="s">
        <v>5317</v>
      </c>
      <c r="AN2985" s="19"/>
      <c r="AO2985" s="19"/>
      <c r="AP2985" s="19"/>
      <c r="AQ2985" s="19"/>
      <c r="AR2985" s="19"/>
      <c r="AS2985" s="19"/>
      <c r="AT2985" s="19"/>
      <c r="AU2985" s="19"/>
      <c r="AV2985" s="19"/>
      <c r="AW2985" s="19"/>
      <c r="AX2985" s="19"/>
      <c r="AY2985" s="19"/>
      <c r="AZ2985" s="19"/>
      <c r="BA2985" s="19"/>
      <c r="BB2985" s="19"/>
      <c r="BC2985" s="19"/>
      <c r="BD2985" s="19"/>
      <c r="BE2985" s="19"/>
      <c r="BF2985" s="19"/>
      <c r="BG2985" s="19"/>
      <c r="BH2985" s="19"/>
      <c r="BI2985" s="19"/>
      <c r="BJ2985" s="19"/>
      <c r="BK2985" s="19"/>
      <c r="BL2985" s="19"/>
      <c r="BM2985" s="19"/>
      <c r="BN2985" s="19"/>
      <c r="BO2985" s="19"/>
      <c r="BP2985" s="19"/>
      <c r="BQ2985" s="19"/>
      <c r="BR2985" s="19"/>
      <c r="BS2985" s="19"/>
      <c r="BT2985" s="19"/>
      <c r="BU2985" s="19"/>
      <c r="BV2985" s="19"/>
      <c r="BW2985" s="19"/>
      <c r="BX2985" s="19"/>
      <c r="BY2985" s="19"/>
      <c r="BZ2985" s="19"/>
      <c r="CA2985" s="19"/>
      <c r="CB2985" s="19"/>
      <c r="CC2985" s="19"/>
      <c r="CD2985" s="139"/>
      <c r="CE2985" s="138"/>
      <c r="CF2985" s="139"/>
      <c r="CG2985" s="138"/>
      <c r="CH2985" s="139"/>
      <c r="CI2985" s="138"/>
      <c r="CJ2985" s="72"/>
      <c r="CK2985" s="139"/>
      <c r="CL2985" s="71"/>
      <c r="CM2985" s="139"/>
      <c r="CN2985" s="138"/>
      <c r="CO2985" s="138"/>
      <c r="CP2985" s="138"/>
      <c r="CQ2985" s="139"/>
      <c r="CR2985" s="138"/>
      <c r="CS2985" s="45"/>
      <c r="CT2985" s="138"/>
      <c r="CU2985" s="45"/>
      <c r="CV2985" s="99">
        <f t="shared" si="291"/>
        <v>0</v>
      </c>
      <c r="CW2985" s="139"/>
      <c r="CX2985" s="138"/>
      <c r="CY2985" s="138"/>
      <c r="CZ2985" s="138"/>
      <c r="DA2985" s="139"/>
      <c r="DB2985" s="138"/>
      <c r="DC2985" s="45"/>
      <c r="DD2985" s="138"/>
      <c r="DE2985" s="45"/>
      <c r="DF2985" s="46"/>
    </row>
    <row r="2986" spans="1:110" s="42" customFormat="1" ht="72" x14ac:dyDescent="0.2">
      <c r="A2986" s="89">
        <v>40884</v>
      </c>
      <c r="B2986" s="151" t="s">
        <v>4219</v>
      </c>
      <c r="C2986" s="90" t="s">
        <v>3467</v>
      </c>
      <c r="D2986" s="90" t="s">
        <v>2865</v>
      </c>
      <c r="E2986" s="90" t="str">
        <f>VLOOKUP(B2986&amp;C2986,Divipola!$C$2:$F$1138,4,FALSE)</f>
        <v>41016</v>
      </c>
      <c r="F2986" s="4"/>
      <c r="G2986" s="101"/>
      <c r="H2986" s="101">
        <v>1</v>
      </c>
      <c r="I2986" s="101"/>
      <c r="J2986" s="101"/>
      <c r="K2986" s="101"/>
      <c r="L2986" s="101"/>
      <c r="M2986" s="101"/>
      <c r="N2986" s="101"/>
      <c r="O2986" s="101"/>
      <c r="P2986" s="101"/>
      <c r="Q2986" s="101"/>
      <c r="R2986" s="101"/>
      <c r="S2986" s="101"/>
      <c r="T2986" s="101"/>
      <c r="U2986" s="101"/>
      <c r="V2986" s="101"/>
      <c r="W2986" s="19"/>
      <c r="X2986" s="17"/>
      <c r="Y2986" s="5">
        <f t="shared" si="286"/>
        <v>0</v>
      </c>
      <c r="Z2986" s="5">
        <f t="shared" si="287"/>
        <v>0</v>
      </c>
      <c r="AA2986" s="5">
        <f t="shared" si="288"/>
        <v>0</v>
      </c>
      <c r="AB2986" s="5">
        <f t="shared" si="289"/>
        <v>0</v>
      </c>
      <c r="AC2986" s="5"/>
      <c r="AD2986" s="5">
        <v>0</v>
      </c>
      <c r="AE2986" s="5">
        <f t="shared" si="290"/>
        <v>0</v>
      </c>
      <c r="AF2986" s="70">
        <v>0</v>
      </c>
      <c r="AG2986" s="17"/>
      <c r="AH2986" s="18"/>
      <c r="AI2986" s="47" t="s">
        <v>4346</v>
      </c>
      <c r="AJ2986" s="73" t="s">
        <v>4347</v>
      </c>
      <c r="AK2986" s="45"/>
      <c r="AL2986" s="89" t="s">
        <v>2798</v>
      </c>
      <c r="AM2986" s="121" t="s">
        <v>5318</v>
      </c>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19"/>
      <c r="BW2986" s="19"/>
      <c r="BX2986" s="19"/>
      <c r="BY2986" s="19"/>
      <c r="BZ2986" s="19"/>
      <c r="CA2986" s="19"/>
      <c r="CB2986" s="19"/>
      <c r="CC2986" s="19"/>
      <c r="CD2986" s="139"/>
      <c r="CE2986" s="138"/>
      <c r="CF2986" s="139"/>
      <c r="CG2986" s="138"/>
      <c r="CH2986" s="139"/>
      <c r="CI2986" s="138"/>
      <c r="CJ2986" s="72"/>
      <c r="CK2986" s="139"/>
      <c r="CL2986" s="71"/>
      <c r="CM2986" s="139"/>
      <c r="CN2986" s="138"/>
      <c r="CO2986" s="138"/>
      <c r="CP2986" s="138"/>
      <c r="CQ2986" s="139"/>
      <c r="CR2986" s="138"/>
      <c r="CS2986" s="45"/>
      <c r="CT2986" s="138"/>
      <c r="CU2986" s="45"/>
      <c r="CV2986" s="99">
        <f t="shared" si="291"/>
        <v>0</v>
      </c>
      <c r="CW2986" s="139"/>
      <c r="CX2986" s="138"/>
      <c r="CY2986" s="138"/>
      <c r="CZ2986" s="138"/>
      <c r="DA2986" s="139"/>
      <c r="DB2986" s="138"/>
      <c r="DC2986" s="45"/>
      <c r="DD2986" s="138"/>
      <c r="DE2986" s="45"/>
      <c r="DF2986" s="46"/>
    </row>
    <row r="2987" spans="1:110" s="42" customFormat="1" ht="108" x14ac:dyDescent="0.2">
      <c r="A2987" s="89">
        <v>40884</v>
      </c>
      <c r="B2987" s="151" t="s">
        <v>4296</v>
      </c>
      <c r="C2987" s="90" t="s">
        <v>3371</v>
      </c>
      <c r="D2987" s="90" t="s">
        <v>2362</v>
      </c>
      <c r="E2987" s="90" t="str">
        <f>VLOOKUP(B2987&amp;C2987,Divipola!$C$2:$F$1138,4,FALSE)</f>
        <v>19397</v>
      </c>
      <c r="F2987" s="4"/>
      <c r="G2987" s="101"/>
      <c r="H2987" s="101">
        <v>3</v>
      </c>
      <c r="I2987" s="101"/>
      <c r="J2987" s="101">
        <v>515</v>
      </c>
      <c r="K2987" s="101">
        <v>103</v>
      </c>
      <c r="L2987" s="101">
        <v>3</v>
      </c>
      <c r="M2987" s="101"/>
      <c r="N2987" s="101"/>
      <c r="O2987" s="101"/>
      <c r="P2987" s="101"/>
      <c r="Q2987" s="101"/>
      <c r="R2987" s="101"/>
      <c r="S2987" s="101"/>
      <c r="T2987" s="101"/>
      <c r="U2987" s="101"/>
      <c r="V2987" s="101"/>
      <c r="W2987" s="19"/>
      <c r="X2987" s="17"/>
      <c r="Y2987" s="5">
        <f t="shared" si="286"/>
        <v>0</v>
      </c>
      <c r="Z2987" s="5">
        <f t="shared" si="287"/>
        <v>0</v>
      </c>
      <c r="AA2987" s="5">
        <f t="shared" si="288"/>
        <v>0</v>
      </c>
      <c r="AB2987" s="5">
        <f t="shared" si="289"/>
        <v>0</v>
      </c>
      <c r="AC2987" s="5"/>
      <c r="AD2987" s="5">
        <v>0</v>
      </c>
      <c r="AE2987" s="5">
        <f t="shared" si="290"/>
        <v>0</v>
      </c>
      <c r="AF2987" s="70">
        <v>0</v>
      </c>
      <c r="AG2987" s="17"/>
      <c r="AH2987" s="18"/>
      <c r="AI2987" s="47" t="s">
        <v>4336</v>
      </c>
      <c r="AJ2987" s="73" t="s">
        <v>4337</v>
      </c>
      <c r="AK2987" s="45"/>
      <c r="AL2987" s="17"/>
      <c r="AM2987" s="121" t="s">
        <v>5319</v>
      </c>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19"/>
      <c r="BW2987" s="19"/>
      <c r="BX2987" s="19"/>
      <c r="BY2987" s="19"/>
      <c r="BZ2987" s="19"/>
      <c r="CA2987" s="19"/>
      <c r="CB2987" s="19"/>
      <c r="CC2987" s="19"/>
      <c r="CD2987" s="139"/>
      <c r="CE2987" s="138"/>
      <c r="CF2987" s="139"/>
      <c r="CG2987" s="138"/>
      <c r="CH2987" s="139"/>
      <c r="CI2987" s="138"/>
      <c r="CJ2987" s="72"/>
      <c r="CK2987" s="139"/>
      <c r="CL2987" s="71"/>
      <c r="CM2987" s="139"/>
      <c r="CN2987" s="138"/>
      <c r="CO2987" s="138"/>
      <c r="CP2987" s="138"/>
      <c r="CQ2987" s="139"/>
      <c r="CR2987" s="138"/>
      <c r="CS2987" s="45"/>
      <c r="CT2987" s="138"/>
      <c r="CU2987" s="45"/>
      <c r="CV2987" s="99">
        <f t="shared" si="291"/>
        <v>0</v>
      </c>
      <c r="CW2987" s="139"/>
      <c r="CX2987" s="138"/>
      <c r="CY2987" s="138"/>
      <c r="CZ2987" s="138"/>
      <c r="DA2987" s="139"/>
      <c r="DB2987" s="138"/>
      <c r="DC2987" s="45"/>
      <c r="DD2987" s="138"/>
      <c r="DE2987" s="45"/>
      <c r="DF2987" s="46"/>
    </row>
    <row r="2988" spans="1:110" s="42" customFormat="1" ht="36" x14ac:dyDescent="0.2">
      <c r="A2988" s="89">
        <v>40884</v>
      </c>
      <c r="B2988" s="151" t="s">
        <v>4219</v>
      </c>
      <c r="C2988" s="90" t="s">
        <v>63</v>
      </c>
      <c r="D2988" s="90" t="s">
        <v>4264</v>
      </c>
      <c r="E2988" s="90" t="str">
        <f>VLOOKUP(B2988&amp;C2988,Divipola!$C$2:$F$1138,4,FALSE)</f>
        <v>41524</v>
      </c>
      <c r="F2988" s="4"/>
      <c r="G2988" s="101"/>
      <c r="H2988" s="101"/>
      <c r="I2988" s="101"/>
      <c r="J2988" s="101"/>
      <c r="K2988" s="101"/>
      <c r="L2988" s="101"/>
      <c r="M2988" s="101"/>
      <c r="N2988" s="101"/>
      <c r="O2988" s="101"/>
      <c r="P2988" s="101"/>
      <c r="Q2988" s="101"/>
      <c r="R2988" s="101"/>
      <c r="S2988" s="101"/>
      <c r="T2988" s="101"/>
      <c r="U2988" s="101"/>
      <c r="V2988" s="101"/>
      <c r="W2988" s="19"/>
      <c r="X2988" s="17"/>
      <c r="Y2988" s="5">
        <f t="shared" si="286"/>
        <v>0</v>
      </c>
      <c r="Z2988" s="5">
        <f t="shared" si="287"/>
        <v>0</v>
      </c>
      <c r="AA2988" s="5">
        <f t="shared" si="288"/>
        <v>0</v>
      </c>
      <c r="AB2988" s="5">
        <f t="shared" si="289"/>
        <v>0</v>
      </c>
      <c r="AC2988" s="5"/>
      <c r="AD2988" s="5">
        <v>0</v>
      </c>
      <c r="AE2988" s="5">
        <f t="shared" si="290"/>
        <v>0</v>
      </c>
      <c r="AF2988" s="70">
        <v>0</v>
      </c>
      <c r="AG2988" s="17"/>
      <c r="AH2988" s="18"/>
      <c r="AI2988" s="47" t="s">
        <v>4346</v>
      </c>
      <c r="AJ2988" s="73" t="s">
        <v>4347</v>
      </c>
      <c r="AK2988" s="45"/>
      <c r="AL2988" s="89" t="s">
        <v>2798</v>
      </c>
      <c r="AM2988" s="121" t="s">
        <v>5320</v>
      </c>
      <c r="AN2988" s="19"/>
      <c r="AO2988" s="19"/>
      <c r="AP2988" s="19"/>
      <c r="AQ2988" s="19"/>
      <c r="AR2988" s="19"/>
      <c r="AS2988" s="19"/>
      <c r="AT2988" s="19"/>
      <c r="AU2988" s="19"/>
      <c r="AV2988" s="19"/>
      <c r="AW2988" s="19"/>
      <c r="AX2988" s="19"/>
      <c r="AY2988" s="19"/>
      <c r="AZ2988" s="19"/>
      <c r="BA2988" s="19"/>
      <c r="BB2988" s="19"/>
      <c r="BC2988" s="19"/>
      <c r="BD2988" s="19"/>
      <c r="BE2988" s="19"/>
      <c r="BF2988" s="19"/>
      <c r="BG2988" s="19"/>
      <c r="BH2988" s="19"/>
      <c r="BI2988" s="19"/>
      <c r="BJ2988" s="19"/>
      <c r="BK2988" s="19"/>
      <c r="BL2988" s="19"/>
      <c r="BM2988" s="19"/>
      <c r="BN2988" s="19"/>
      <c r="BO2988" s="19"/>
      <c r="BP2988" s="19"/>
      <c r="BQ2988" s="19"/>
      <c r="BR2988" s="19"/>
      <c r="BS2988" s="19"/>
      <c r="BT2988" s="19"/>
      <c r="BU2988" s="19"/>
      <c r="BV2988" s="19"/>
      <c r="BW2988" s="19"/>
      <c r="BX2988" s="19"/>
      <c r="BY2988" s="19"/>
      <c r="BZ2988" s="19"/>
      <c r="CA2988" s="19"/>
      <c r="CB2988" s="19"/>
      <c r="CC2988" s="19"/>
      <c r="CD2988" s="139"/>
      <c r="CE2988" s="138"/>
      <c r="CF2988" s="139"/>
      <c r="CG2988" s="138"/>
      <c r="CH2988" s="139"/>
      <c r="CI2988" s="138"/>
      <c r="CJ2988" s="72"/>
      <c r="CK2988" s="139"/>
      <c r="CL2988" s="71"/>
      <c r="CM2988" s="139"/>
      <c r="CN2988" s="138"/>
      <c r="CO2988" s="138"/>
      <c r="CP2988" s="138"/>
      <c r="CQ2988" s="139"/>
      <c r="CR2988" s="138"/>
      <c r="CS2988" s="45"/>
      <c r="CT2988" s="138"/>
      <c r="CU2988" s="45"/>
      <c r="CV2988" s="99">
        <f t="shared" si="291"/>
        <v>0</v>
      </c>
      <c r="CW2988" s="139"/>
      <c r="CX2988" s="138"/>
      <c r="CY2988" s="138"/>
      <c r="CZ2988" s="138"/>
      <c r="DA2988" s="139"/>
      <c r="DB2988" s="138"/>
      <c r="DC2988" s="45"/>
      <c r="DD2988" s="138"/>
      <c r="DE2988" s="45"/>
      <c r="DF2988" s="46"/>
    </row>
    <row r="2989" spans="1:110" s="42" customFormat="1" ht="96" x14ac:dyDescent="0.2">
      <c r="A2989" s="89">
        <v>40884</v>
      </c>
      <c r="B2989" s="151" t="s">
        <v>4296</v>
      </c>
      <c r="C2989" s="90" t="s">
        <v>4297</v>
      </c>
      <c r="D2989" s="90" t="s">
        <v>4264</v>
      </c>
      <c r="E2989" s="90" t="str">
        <f>VLOOKUP(B2989&amp;C2989,Divipola!$C$2:$F$1138,4,FALSE)</f>
        <v>19001</v>
      </c>
      <c r="F2989" s="4"/>
      <c r="G2989" s="101"/>
      <c r="H2989" s="101"/>
      <c r="I2989" s="101"/>
      <c r="J2989" s="101">
        <v>185</v>
      </c>
      <c r="K2989" s="101">
        <v>37</v>
      </c>
      <c r="L2989" s="101"/>
      <c r="M2989" s="101">
        <v>37</v>
      </c>
      <c r="N2989" s="101"/>
      <c r="O2989" s="101"/>
      <c r="P2989" s="101"/>
      <c r="Q2989" s="101"/>
      <c r="R2989" s="101"/>
      <c r="S2989" s="101"/>
      <c r="T2989" s="101"/>
      <c r="U2989" s="101"/>
      <c r="V2989" s="101"/>
      <c r="W2989" s="19"/>
      <c r="X2989" s="17"/>
      <c r="Y2989" s="5">
        <f t="shared" si="286"/>
        <v>190000000</v>
      </c>
      <c r="Z2989" s="5">
        <f t="shared" si="287"/>
        <v>5950000</v>
      </c>
      <c r="AA2989" s="5">
        <f t="shared" si="288"/>
        <v>0</v>
      </c>
      <c r="AB2989" s="5">
        <f t="shared" si="289"/>
        <v>0</v>
      </c>
      <c r="AC2989" s="5">
        <f>10*334800</f>
        <v>3348000</v>
      </c>
      <c r="AD2989" s="5">
        <v>0</v>
      </c>
      <c r="AE2989" s="5">
        <f t="shared" si="290"/>
        <v>199298000</v>
      </c>
      <c r="AF2989" s="70">
        <v>0</v>
      </c>
      <c r="AG2989" s="17"/>
      <c r="AH2989" s="18"/>
      <c r="AI2989" s="47" t="s">
        <v>4346</v>
      </c>
      <c r="AJ2989" s="73" t="s">
        <v>4347</v>
      </c>
      <c r="AK2989" s="45"/>
      <c r="AL2989" s="17"/>
      <c r="AM2989" s="121" t="s">
        <v>5537</v>
      </c>
      <c r="AN2989" s="19"/>
      <c r="AO2989" s="19"/>
      <c r="AP2989" s="19"/>
      <c r="AQ2989" s="19"/>
      <c r="AR2989" s="19"/>
      <c r="AS2989" s="19"/>
      <c r="AT2989" s="19"/>
      <c r="AU2989" s="19"/>
      <c r="AV2989" s="19"/>
      <c r="AW2989" s="19"/>
      <c r="AX2989" s="19">
        <f>80+20</f>
        <v>100</v>
      </c>
      <c r="AY2989" s="19">
        <f>80*600000+20*5800000</f>
        <v>164000000</v>
      </c>
      <c r="AZ2989" s="19"/>
      <c r="BA2989" s="19"/>
      <c r="BB2989" s="19">
        <v>200</v>
      </c>
      <c r="BC2989" s="19">
        <f>200*75000</f>
        <v>15000000</v>
      </c>
      <c r="BD2989" s="19"/>
      <c r="BE2989" s="19"/>
      <c r="BF2989" s="19"/>
      <c r="BG2989" s="19"/>
      <c r="BH2989" s="19"/>
      <c r="BI2989" s="19"/>
      <c r="BJ2989" s="19"/>
      <c r="BK2989" s="19"/>
      <c r="BL2989" s="19"/>
      <c r="BM2989" s="19"/>
      <c r="BN2989" s="19"/>
      <c r="BO2989" s="19"/>
      <c r="BP2989" s="19"/>
      <c r="BQ2989" s="19"/>
      <c r="BR2989" s="19"/>
      <c r="BS2989" s="19"/>
      <c r="BT2989" s="19"/>
      <c r="BU2989" s="19"/>
      <c r="BV2989" s="19"/>
      <c r="BW2989" s="19"/>
      <c r="BX2989" s="19"/>
      <c r="BY2989" s="19"/>
      <c r="BZ2989" s="19"/>
      <c r="CA2989" s="19"/>
      <c r="CB2989" s="19"/>
      <c r="CC2989" s="19"/>
      <c r="CD2989" s="139"/>
      <c r="CE2989" s="138"/>
      <c r="CF2989" s="139"/>
      <c r="CG2989" s="138"/>
      <c r="CH2989" s="139"/>
      <c r="CI2989" s="138"/>
      <c r="CJ2989" s="72">
        <v>200</v>
      </c>
      <c r="CK2989" s="139">
        <f>200*18000</f>
        <v>3600000</v>
      </c>
      <c r="CL2989" s="71"/>
      <c r="CM2989" s="139"/>
      <c r="CN2989" s="138"/>
      <c r="CO2989" s="138"/>
      <c r="CP2989" s="138">
        <v>200</v>
      </c>
      <c r="CQ2989" s="139">
        <f>200*37000</f>
        <v>7400000</v>
      </c>
      <c r="CR2989" s="138"/>
      <c r="CS2989" s="45"/>
      <c r="CT2989" s="138"/>
      <c r="CU2989" s="45"/>
      <c r="CV2989" s="99">
        <f t="shared" si="291"/>
        <v>190000000</v>
      </c>
      <c r="CW2989" s="139"/>
      <c r="CX2989" s="138"/>
      <c r="CY2989" s="138">
        <v>70</v>
      </c>
      <c r="CZ2989" s="138">
        <f>70*85000</f>
        <v>5950000</v>
      </c>
      <c r="DA2989" s="139"/>
      <c r="DB2989" s="138"/>
      <c r="DC2989" s="45"/>
      <c r="DD2989" s="138"/>
      <c r="DE2989" s="45"/>
      <c r="DF2989" s="46"/>
    </row>
    <row r="2990" spans="1:110" s="42" customFormat="1" ht="228" x14ac:dyDescent="0.2">
      <c r="A2990" s="89">
        <v>40884</v>
      </c>
      <c r="B2990" s="151" t="s">
        <v>2226</v>
      </c>
      <c r="C2990" s="90" t="s">
        <v>801</v>
      </c>
      <c r="D2990" s="90" t="s">
        <v>2362</v>
      </c>
      <c r="E2990" s="90" t="str">
        <f>VLOOKUP(B2990&amp;C2990,Divipola!$C$2:$F$1138,4,FALSE)</f>
        <v>68820</v>
      </c>
      <c r="F2990" s="4"/>
      <c r="G2990" s="101">
        <v>6</v>
      </c>
      <c r="H2990" s="101">
        <v>7</v>
      </c>
      <c r="I2990" s="101"/>
      <c r="J2990" s="101"/>
      <c r="K2990" s="101"/>
      <c r="L2990" s="101"/>
      <c r="M2990" s="101"/>
      <c r="N2990" s="101">
        <v>1</v>
      </c>
      <c r="O2990" s="101"/>
      <c r="P2990" s="101"/>
      <c r="Q2990" s="101"/>
      <c r="R2990" s="101"/>
      <c r="S2990" s="101"/>
      <c r="T2990" s="101"/>
      <c r="U2990" s="101"/>
      <c r="V2990" s="101"/>
      <c r="W2990" s="19"/>
      <c r="X2990" s="17"/>
      <c r="Y2990" s="5">
        <f t="shared" si="286"/>
        <v>0</v>
      </c>
      <c r="Z2990" s="5">
        <f t="shared" si="287"/>
        <v>0</v>
      </c>
      <c r="AA2990" s="5">
        <f t="shared" si="288"/>
        <v>0</v>
      </c>
      <c r="AB2990" s="5">
        <f t="shared" si="289"/>
        <v>0</v>
      </c>
      <c r="AC2990" s="5"/>
      <c r="AD2990" s="5">
        <v>0</v>
      </c>
      <c r="AE2990" s="5">
        <f t="shared" si="290"/>
        <v>0</v>
      </c>
      <c r="AF2990" s="70">
        <v>0</v>
      </c>
      <c r="AG2990" s="17"/>
      <c r="AH2990" s="18"/>
      <c r="AI2990" s="47" t="s">
        <v>4336</v>
      </c>
      <c r="AJ2990" s="73" t="s">
        <v>4337</v>
      </c>
      <c r="AK2990" s="45"/>
      <c r="AL2990" s="17"/>
      <c r="AM2990" s="121" t="s">
        <v>5329</v>
      </c>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39"/>
      <c r="CE2990" s="138"/>
      <c r="CF2990" s="139"/>
      <c r="CG2990" s="138"/>
      <c r="CH2990" s="139"/>
      <c r="CI2990" s="138"/>
      <c r="CJ2990" s="72"/>
      <c r="CK2990" s="139"/>
      <c r="CL2990" s="71"/>
      <c r="CM2990" s="139"/>
      <c r="CN2990" s="138"/>
      <c r="CO2990" s="138"/>
      <c r="CP2990" s="138"/>
      <c r="CQ2990" s="139"/>
      <c r="CR2990" s="138"/>
      <c r="CS2990" s="45"/>
      <c r="CT2990" s="138"/>
      <c r="CU2990" s="45"/>
      <c r="CV2990" s="99">
        <f t="shared" si="291"/>
        <v>0</v>
      </c>
      <c r="CW2990" s="139"/>
      <c r="CX2990" s="138"/>
      <c r="CY2990" s="138"/>
      <c r="CZ2990" s="138"/>
      <c r="DA2990" s="139"/>
      <c r="DB2990" s="138"/>
      <c r="DC2990" s="45"/>
      <c r="DD2990" s="138"/>
      <c r="DE2990" s="45"/>
      <c r="DF2990" s="46"/>
    </row>
    <row r="2991" spans="1:110" s="42" customFormat="1" x14ac:dyDescent="0.2">
      <c r="A2991" s="89">
        <v>40884</v>
      </c>
      <c r="B2991" s="151" t="s">
        <v>4296</v>
      </c>
      <c r="C2991" s="90" t="s">
        <v>4345</v>
      </c>
      <c r="D2991" s="90" t="s">
        <v>4264</v>
      </c>
      <c r="E2991" s="90">
        <f>VLOOKUP(B2991&amp;C2991,Divipola!$C$2:$F$1138,4,FALSE)</f>
        <v>19</v>
      </c>
      <c r="F2991" s="4"/>
      <c r="G2991" s="208"/>
      <c r="H2991" s="208"/>
      <c r="I2991" s="208"/>
      <c r="J2991" s="208"/>
      <c r="K2991" s="208"/>
      <c r="L2991" s="208"/>
      <c r="M2991" s="208"/>
      <c r="N2991" s="208"/>
      <c r="O2991" s="208"/>
      <c r="P2991" s="208"/>
      <c r="Q2991" s="208"/>
      <c r="R2991" s="208"/>
      <c r="S2991" s="208"/>
      <c r="T2991" s="208"/>
      <c r="U2991" s="208"/>
      <c r="V2991" s="208"/>
      <c r="W2991" s="19"/>
      <c r="X2991" s="17"/>
      <c r="Y2991" s="5">
        <f t="shared" si="286"/>
        <v>528595280</v>
      </c>
      <c r="Z2991" s="5">
        <f t="shared" si="287"/>
        <v>255000000</v>
      </c>
      <c r="AA2991" s="5">
        <f t="shared" si="288"/>
        <v>0</v>
      </c>
      <c r="AB2991" s="5">
        <f t="shared" si="289"/>
        <v>0</v>
      </c>
      <c r="AC2991" s="5"/>
      <c r="AD2991" s="5">
        <v>0</v>
      </c>
      <c r="AE2991" s="5">
        <f t="shared" si="290"/>
        <v>783595280</v>
      </c>
      <c r="AF2991" s="70">
        <v>0</v>
      </c>
      <c r="AG2991" s="17"/>
      <c r="AH2991" s="18"/>
      <c r="AI2991" s="47" t="s">
        <v>4346</v>
      </c>
      <c r="AJ2991" s="73" t="s">
        <v>4347</v>
      </c>
      <c r="AK2991" s="45"/>
      <c r="AL2991" s="17"/>
      <c r="AM2991" s="20"/>
      <c r="AN2991" s="19"/>
      <c r="AO2991" s="19"/>
      <c r="AP2991" s="19"/>
      <c r="AQ2991" s="19"/>
      <c r="AR2991" s="19"/>
      <c r="AS2991" s="19"/>
      <c r="AT2991" s="19"/>
      <c r="AU2991" s="19"/>
      <c r="AV2991" s="19"/>
      <c r="AW2991" s="19"/>
      <c r="AX2991" s="19">
        <v>77</v>
      </c>
      <c r="AY2991" s="19">
        <f>4*800000+45*600000+28*5800000</f>
        <v>192600000</v>
      </c>
      <c r="AZ2991" s="19">
        <v>3000</v>
      </c>
      <c r="BA2991" s="19">
        <f>1000*56000+1000*55999+1000*55999</f>
        <v>167998000</v>
      </c>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19"/>
      <c r="BW2991" s="19"/>
      <c r="BX2991" s="19"/>
      <c r="BY2991" s="19"/>
      <c r="BZ2991" s="19"/>
      <c r="CA2991" s="19"/>
      <c r="CB2991" s="19"/>
      <c r="CC2991" s="19"/>
      <c r="CD2991" s="139"/>
      <c r="CE2991" s="138"/>
      <c r="CF2991" s="139"/>
      <c r="CG2991" s="138"/>
      <c r="CH2991" s="139"/>
      <c r="CI2991" s="138"/>
      <c r="CJ2991" s="72">
        <v>3000</v>
      </c>
      <c r="CK2991" s="139">
        <f>1000*18000+1000*20999.48+1000*17999.72</f>
        <v>56999200</v>
      </c>
      <c r="CL2991" s="71"/>
      <c r="CM2991" s="139"/>
      <c r="CN2991" s="138"/>
      <c r="CO2991" s="138"/>
      <c r="CP2991" s="138">
        <v>3000</v>
      </c>
      <c r="CQ2991" s="139">
        <f>3000*36999.36</f>
        <v>110998080</v>
      </c>
      <c r="CR2991" s="138"/>
      <c r="CS2991" s="45"/>
      <c r="CT2991" s="138"/>
      <c r="CU2991" s="45"/>
      <c r="CV2991" s="99">
        <f t="shared" si="291"/>
        <v>528595280</v>
      </c>
      <c r="CW2991" s="139"/>
      <c r="CX2991" s="138"/>
      <c r="CY2991" s="138">
        <v>3000</v>
      </c>
      <c r="CZ2991" s="138">
        <f>1000*85000+1000*85000+1000*85000</f>
        <v>255000000</v>
      </c>
      <c r="DA2991" s="139"/>
      <c r="DB2991" s="138"/>
      <c r="DC2991" s="45"/>
      <c r="DD2991" s="138"/>
      <c r="DE2991" s="45"/>
      <c r="DF2991" s="46"/>
    </row>
    <row r="2992" spans="1:110" s="42" customFormat="1" ht="72" x14ac:dyDescent="0.2">
      <c r="A2992" s="89">
        <v>40884</v>
      </c>
      <c r="B2992" s="151" t="s">
        <v>4261</v>
      </c>
      <c r="C2992" s="90" t="s">
        <v>2612</v>
      </c>
      <c r="D2992" s="90" t="s">
        <v>2362</v>
      </c>
      <c r="E2992" s="90" t="str">
        <f>VLOOKUP(B2992&amp;C2992,Divipola!$C$2:$F$1138,4,FALSE)</f>
        <v>15172</v>
      </c>
      <c r="F2992" s="4"/>
      <c r="G2992" s="101"/>
      <c r="H2992" s="101"/>
      <c r="I2992" s="101"/>
      <c r="J2992" s="101">
        <v>175</v>
      </c>
      <c r="K2992" s="101">
        <v>35</v>
      </c>
      <c r="L2992" s="101"/>
      <c r="M2992" s="101">
        <v>35</v>
      </c>
      <c r="N2992" s="101"/>
      <c r="O2992" s="101"/>
      <c r="P2992" s="101"/>
      <c r="Q2992" s="101"/>
      <c r="R2992" s="101"/>
      <c r="S2992" s="101"/>
      <c r="T2992" s="101"/>
      <c r="U2992" s="101"/>
      <c r="V2992" s="101">
        <v>26</v>
      </c>
      <c r="W2992" s="19"/>
      <c r="X2992" s="17"/>
      <c r="Y2992" s="5">
        <f t="shared" si="286"/>
        <v>0</v>
      </c>
      <c r="Z2992" s="5">
        <f t="shared" si="287"/>
        <v>0</v>
      </c>
      <c r="AA2992" s="5">
        <f t="shared" si="288"/>
        <v>0</v>
      </c>
      <c r="AB2992" s="5">
        <f t="shared" si="289"/>
        <v>0</v>
      </c>
      <c r="AC2992" s="5"/>
      <c r="AD2992" s="5">
        <v>0</v>
      </c>
      <c r="AE2992" s="5">
        <f t="shared" si="290"/>
        <v>0</v>
      </c>
      <c r="AF2992" s="70">
        <v>0</v>
      </c>
      <c r="AG2992" s="17"/>
      <c r="AH2992" s="18"/>
      <c r="AI2992" s="47" t="s">
        <v>4336</v>
      </c>
      <c r="AJ2992" s="73" t="s">
        <v>4337</v>
      </c>
      <c r="AK2992" s="45"/>
      <c r="AL2992" s="17"/>
      <c r="AM2992" s="121" t="s">
        <v>5585</v>
      </c>
      <c r="AN2992" s="19"/>
      <c r="AO2992" s="19"/>
      <c r="AP2992" s="19"/>
      <c r="AQ2992" s="19"/>
      <c r="AR2992" s="19"/>
      <c r="AS2992" s="19"/>
      <c r="AT2992" s="19"/>
      <c r="AU2992" s="19"/>
      <c r="AV2992" s="19"/>
      <c r="AW2992" s="19"/>
      <c r="AX2992" s="19"/>
      <c r="AY2992" s="19"/>
      <c r="AZ2992" s="19"/>
      <c r="BA2992" s="19"/>
      <c r="BB2992" s="19"/>
      <c r="BC2992" s="19"/>
      <c r="BD2992" s="19"/>
      <c r="BE2992" s="19"/>
      <c r="BF2992" s="19"/>
      <c r="BG2992" s="19"/>
      <c r="BH2992" s="19"/>
      <c r="BI2992" s="19"/>
      <c r="BJ2992" s="19"/>
      <c r="BK2992" s="19"/>
      <c r="BL2992" s="19"/>
      <c r="BM2992" s="19"/>
      <c r="BN2992" s="19"/>
      <c r="BO2992" s="19"/>
      <c r="BP2992" s="19"/>
      <c r="BQ2992" s="19"/>
      <c r="BR2992" s="19"/>
      <c r="BS2992" s="19"/>
      <c r="BT2992" s="19"/>
      <c r="BU2992" s="19"/>
      <c r="BV2992" s="19"/>
      <c r="BW2992" s="19"/>
      <c r="BX2992" s="19"/>
      <c r="BY2992" s="19"/>
      <c r="BZ2992" s="19"/>
      <c r="CA2992" s="19"/>
      <c r="CB2992" s="19"/>
      <c r="CC2992" s="19"/>
      <c r="CD2992" s="139"/>
      <c r="CE2992" s="138"/>
      <c r="CF2992" s="139"/>
      <c r="CG2992" s="138"/>
      <c r="CH2992" s="139"/>
      <c r="CI2992" s="138"/>
      <c r="CJ2992" s="72"/>
      <c r="CK2992" s="139"/>
      <c r="CL2992" s="71"/>
      <c r="CM2992" s="139"/>
      <c r="CN2992" s="138"/>
      <c r="CO2992" s="138"/>
      <c r="CP2992" s="138"/>
      <c r="CQ2992" s="139"/>
      <c r="CR2992" s="138"/>
      <c r="CS2992" s="45"/>
      <c r="CT2992" s="138"/>
      <c r="CU2992" s="45"/>
      <c r="CV2992" s="99">
        <f t="shared" si="291"/>
        <v>0</v>
      </c>
      <c r="CW2992" s="139"/>
      <c r="CX2992" s="138"/>
      <c r="CY2992" s="138"/>
      <c r="CZ2992" s="138"/>
      <c r="DA2992" s="139"/>
      <c r="DB2992" s="138"/>
      <c r="DC2992" s="45"/>
      <c r="DD2992" s="138"/>
      <c r="DE2992" s="45"/>
      <c r="DF2992" s="46"/>
    </row>
    <row r="2993" spans="1:110" s="42" customFormat="1" ht="48" x14ac:dyDescent="0.2">
      <c r="A2993" s="89">
        <v>40884</v>
      </c>
      <c r="B2993" s="151" t="s">
        <v>4261</v>
      </c>
      <c r="C2993" s="90" t="s">
        <v>1234</v>
      </c>
      <c r="D2993" s="90" t="s">
        <v>2362</v>
      </c>
      <c r="E2993" s="90" t="str">
        <f>VLOOKUP(B2993&amp;C2993,Divipola!$C$2:$F$1138,4,FALSE)</f>
        <v>15511</v>
      </c>
      <c r="F2993" s="4"/>
      <c r="G2993" s="101"/>
      <c r="H2993" s="101"/>
      <c r="I2993" s="101"/>
      <c r="J2993" s="101"/>
      <c r="K2993" s="101"/>
      <c r="L2993" s="101"/>
      <c r="M2993" s="101"/>
      <c r="N2993" s="101"/>
      <c r="O2993" s="101"/>
      <c r="P2993" s="101"/>
      <c r="Q2993" s="101"/>
      <c r="R2993" s="101"/>
      <c r="S2993" s="101"/>
      <c r="T2993" s="101"/>
      <c r="U2993" s="101"/>
      <c r="V2993" s="101"/>
      <c r="W2993" s="19"/>
      <c r="X2993" s="17"/>
      <c r="Y2993" s="5">
        <f t="shared" si="286"/>
        <v>0</v>
      </c>
      <c r="Z2993" s="5">
        <f t="shared" si="287"/>
        <v>0</v>
      </c>
      <c r="AA2993" s="5">
        <f t="shared" si="288"/>
        <v>0</v>
      </c>
      <c r="AB2993" s="5">
        <f t="shared" si="289"/>
        <v>0</v>
      </c>
      <c r="AC2993" s="5"/>
      <c r="AD2993" s="5">
        <v>0</v>
      </c>
      <c r="AE2993" s="5">
        <f t="shared" si="290"/>
        <v>0</v>
      </c>
      <c r="AF2993" s="70">
        <v>0</v>
      </c>
      <c r="AG2993" s="17"/>
      <c r="AH2993" s="18"/>
      <c r="AI2993" s="47" t="s">
        <v>4336</v>
      </c>
      <c r="AJ2993" s="73"/>
      <c r="AK2993" s="45"/>
      <c r="AL2993" s="17"/>
      <c r="AM2993" s="121" t="s">
        <v>5340</v>
      </c>
      <c r="AN2993" s="19"/>
      <c r="AO2993" s="19"/>
      <c r="AP2993" s="19"/>
      <c r="AQ2993" s="19"/>
      <c r="AR2993" s="19"/>
      <c r="AS2993" s="19"/>
      <c r="AT2993" s="19"/>
      <c r="AU2993" s="19"/>
      <c r="AV2993" s="19"/>
      <c r="AW2993" s="19"/>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c r="BV2993" s="19"/>
      <c r="BW2993" s="19"/>
      <c r="BX2993" s="19"/>
      <c r="BY2993" s="19"/>
      <c r="BZ2993" s="19"/>
      <c r="CA2993" s="19"/>
      <c r="CB2993" s="19"/>
      <c r="CC2993" s="19"/>
      <c r="CD2993" s="139"/>
      <c r="CE2993" s="138"/>
      <c r="CF2993" s="139"/>
      <c r="CG2993" s="138"/>
      <c r="CH2993" s="139"/>
      <c r="CI2993" s="138"/>
      <c r="CJ2993" s="72"/>
      <c r="CK2993" s="139"/>
      <c r="CL2993" s="71"/>
      <c r="CM2993" s="139"/>
      <c r="CN2993" s="138"/>
      <c r="CO2993" s="138"/>
      <c r="CP2993" s="138"/>
      <c r="CQ2993" s="139"/>
      <c r="CR2993" s="138"/>
      <c r="CS2993" s="45"/>
      <c r="CT2993" s="138"/>
      <c r="CU2993" s="45"/>
      <c r="CV2993" s="99">
        <f t="shared" si="291"/>
        <v>0</v>
      </c>
      <c r="CW2993" s="139"/>
      <c r="CX2993" s="138"/>
      <c r="CY2993" s="138"/>
      <c r="CZ2993" s="138"/>
      <c r="DA2993" s="139"/>
      <c r="DB2993" s="138"/>
      <c r="DC2993" s="45"/>
      <c r="DD2993" s="138"/>
      <c r="DE2993" s="45"/>
      <c r="DF2993" s="46"/>
    </row>
    <row r="2994" spans="1:110" s="42" customFormat="1" ht="60" x14ac:dyDescent="0.2">
      <c r="A2994" s="89">
        <v>40884</v>
      </c>
      <c r="B2994" s="151" t="s">
        <v>4386</v>
      </c>
      <c r="C2994" s="90" t="s">
        <v>4357</v>
      </c>
      <c r="D2994" s="90" t="s">
        <v>4264</v>
      </c>
      <c r="E2994" s="90" t="str">
        <f>VLOOKUP(B2994&amp;C2994,Divipola!$C$2:$F$1138,4,FALSE)</f>
        <v>20787</v>
      </c>
      <c r="F2994" s="4"/>
      <c r="G2994" s="101"/>
      <c r="H2994" s="101"/>
      <c r="I2994" s="101"/>
      <c r="J2994" s="101">
        <v>840</v>
      </c>
      <c r="K2994" s="101">
        <v>168</v>
      </c>
      <c r="L2994" s="101"/>
      <c r="M2994" s="101">
        <v>168</v>
      </c>
      <c r="N2994" s="101"/>
      <c r="O2994" s="101"/>
      <c r="P2994" s="101"/>
      <c r="Q2994" s="101"/>
      <c r="R2994" s="101"/>
      <c r="S2994" s="101"/>
      <c r="T2994" s="101"/>
      <c r="U2994" s="101"/>
      <c r="V2994" s="101"/>
      <c r="W2994" s="19"/>
      <c r="X2994" s="17"/>
      <c r="Y2994" s="5">
        <f t="shared" si="286"/>
        <v>0</v>
      </c>
      <c r="Z2994" s="5">
        <f t="shared" si="287"/>
        <v>0</v>
      </c>
      <c r="AA2994" s="5">
        <f t="shared" si="288"/>
        <v>0</v>
      </c>
      <c r="AB2994" s="5">
        <f t="shared" si="289"/>
        <v>0</v>
      </c>
      <c r="AC2994" s="5"/>
      <c r="AD2994" s="5">
        <v>0</v>
      </c>
      <c r="AE2994" s="5">
        <f t="shared" si="290"/>
        <v>0</v>
      </c>
      <c r="AF2994" s="70">
        <v>0</v>
      </c>
      <c r="AG2994" s="17"/>
      <c r="AH2994" s="18"/>
      <c r="AI2994" s="47" t="s">
        <v>4346</v>
      </c>
      <c r="AJ2994" s="73" t="s">
        <v>4347</v>
      </c>
      <c r="AK2994" s="45"/>
      <c r="AL2994" s="89" t="s">
        <v>2798</v>
      </c>
      <c r="AM2994" s="121" t="s">
        <v>5341</v>
      </c>
      <c r="AN2994" s="19"/>
      <c r="AO2994" s="19"/>
      <c r="AP2994" s="19"/>
      <c r="AQ2994" s="19"/>
      <c r="AR2994" s="19"/>
      <c r="AS2994" s="19"/>
      <c r="AT2994" s="19"/>
      <c r="AU2994" s="19"/>
      <c r="AV2994" s="19"/>
      <c r="AW2994" s="19"/>
      <c r="AX2994" s="19"/>
      <c r="AY2994" s="19"/>
      <c r="AZ2994" s="19"/>
      <c r="BA2994" s="19"/>
      <c r="BB2994" s="19"/>
      <c r="BC2994" s="19"/>
      <c r="BD2994" s="19"/>
      <c r="BE2994" s="19"/>
      <c r="BF2994" s="19"/>
      <c r="BG2994" s="19"/>
      <c r="BH2994" s="19"/>
      <c r="BI2994" s="19"/>
      <c r="BJ2994" s="19"/>
      <c r="BK2994" s="19"/>
      <c r="BL2994" s="19"/>
      <c r="BM2994" s="19"/>
      <c r="BN2994" s="19"/>
      <c r="BO2994" s="19"/>
      <c r="BP2994" s="19"/>
      <c r="BQ2994" s="19"/>
      <c r="BR2994" s="19"/>
      <c r="BS2994" s="19"/>
      <c r="BT2994" s="19"/>
      <c r="BU2994" s="19"/>
      <c r="BV2994" s="19"/>
      <c r="BW2994" s="19"/>
      <c r="BX2994" s="19"/>
      <c r="BY2994" s="19"/>
      <c r="BZ2994" s="19"/>
      <c r="CA2994" s="19"/>
      <c r="CB2994" s="19"/>
      <c r="CC2994" s="19"/>
      <c r="CD2994" s="139"/>
      <c r="CE2994" s="138"/>
      <c r="CF2994" s="139"/>
      <c r="CG2994" s="138"/>
      <c r="CH2994" s="139"/>
      <c r="CI2994" s="138"/>
      <c r="CJ2994" s="72"/>
      <c r="CK2994" s="139"/>
      <c r="CL2994" s="71"/>
      <c r="CM2994" s="139"/>
      <c r="CN2994" s="138"/>
      <c r="CO2994" s="138"/>
      <c r="CP2994" s="138"/>
      <c r="CQ2994" s="139"/>
      <c r="CR2994" s="138"/>
      <c r="CS2994" s="45"/>
      <c r="CT2994" s="138"/>
      <c r="CU2994" s="45"/>
      <c r="CV2994" s="99">
        <f t="shared" si="291"/>
        <v>0</v>
      </c>
      <c r="CW2994" s="139"/>
      <c r="CX2994" s="138"/>
      <c r="CY2994" s="138"/>
      <c r="CZ2994" s="138"/>
      <c r="DA2994" s="139"/>
      <c r="DB2994" s="138"/>
      <c r="DC2994" s="45"/>
      <c r="DD2994" s="138"/>
      <c r="DE2994" s="45"/>
      <c r="DF2994" s="46"/>
    </row>
    <row r="2995" spans="1:110" s="42" customFormat="1" ht="60" x14ac:dyDescent="0.2">
      <c r="A2995" s="89">
        <v>40884</v>
      </c>
      <c r="B2995" s="151" t="s">
        <v>4308</v>
      </c>
      <c r="C2995" s="90" t="s">
        <v>4306</v>
      </c>
      <c r="D2995" s="90" t="s">
        <v>4264</v>
      </c>
      <c r="E2995" s="90" t="str">
        <f>VLOOKUP(B2995&amp;C2995,Divipola!$C$2:$F$1138,4,FALSE)</f>
        <v>47001</v>
      </c>
      <c r="F2995" s="4"/>
      <c r="G2995" s="101"/>
      <c r="H2995" s="101"/>
      <c r="I2995" s="101"/>
      <c r="J2995" s="101">
        <v>1750</v>
      </c>
      <c r="K2995" s="101">
        <v>350</v>
      </c>
      <c r="L2995" s="101"/>
      <c r="M2995" s="101">
        <v>350</v>
      </c>
      <c r="N2995" s="101"/>
      <c r="O2995" s="101"/>
      <c r="P2995" s="101"/>
      <c r="Q2995" s="101"/>
      <c r="R2995" s="101"/>
      <c r="S2995" s="101"/>
      <c r="T2995" s="101"/>
      <c r="U2995" s="101"/>
      <c r="V2995" s="101"/>
      <c r="W2995" s="19"/>
      <c r="X2995" s="17"/>
      <c r="Y2995" s="5">
        <f t="shared" si="286"/>
        <v>0</v>
      </c>
      <c r="Z2995" s="5">
        <f t="shared" si="287"/>
        <v>0</v>
      </c>
      <c r="AA2995" s="5">
        <f t="shared" si="288"/>
        <v>0</v>
      </c>
      <c r="AB2995" s="5">
        <f t="shared" si="289"/>
        <v>0</v>
      </c>
      <c r="AC2995" s="5"/>
      <c r="AD2995" s="5">
        <v>0</v>
      </c>
      <c r="AE2995" s="5">
        <f t="shared" si="290"/>
        <v>0</v>
      </c>
      <c r="AF2995" s="70">
        <v>0</v>
      </c>
      <c r="AG2995" s="17"/>
      <c r="AH2995" s="18"/>
      <c r="AI2995" s="47" t="s">
        <v>4346</v>
      </c>
      <c r="AJ2995" s="73" t="s">
        <v>4347</v>
      </c>
      <c r="AK2995" s="45"/>
      <c r="AL2995" s="89" t="s">
        <v>2798</v>
      </c>
      <c r="AM2995" s="121" t="s">
        <v>5342</v>
      </c>
      <c r="AN2995" s="19"/>
      <c r="AO2995" s="19"/>
      <c r="AP2995" s="19"/>
      <c r="AQ2995" s="19"/>
      <c r="AR2995" s="19"/>
      <c r="AS2995" s="19"/>
      <c r="AT2995" s="19"/>
      <c r="AU2995" s="19"/>
      <c r="AV2995" s="19"/>
      <c r="AW2995" s="19"/>
      <c r="AX2995" s="19"/>
      <c r="AY2995" s="19"/>
      <c r="AZ2995" s="19"/>
      <c r="BA2995" s="19"/>
      <c r="BB2995" s="19"/>
      <c r="BC2995" s="19"/>
      <c r="BD2995" s="19"/>
      <c r="BE2995" s="19"/>
      <c r="BF2995" s="19"/>
      <c r="BG2995" s="19"/>
      <c r="BH2995" s="19"/>
      <c r="BI2995" s="19"/>
      <c r="BJ2995" s="19"/>
      <c r="BK2995" s="19"/>
      <c r="BL2995" s="19"/>
      <c r="BM2995" s="19"/>
      <c r="BN2995" s="19"/>
      <c r="BO2995" s="19"/>
      <c r="BP2995" s="19"/>
      <c r="BQ2995" s="19"/>
      <c r="BR2995" s="19"/>
      <c r="BS2995" s="19"/>
      <c r="BT2995" s="19"/>
      <c r="BU2995" s="19"/>
      <c r="BV2995" s="19"/>
      <c r="BW2995" s="19"/>
      <c r="BX2995" s="19"/>
      <c r="BY2995" s="19"/>
      <c r="BZ2995" s="19"/>
      <c r="CA2995" s="19"/>
      <c r="CB2995" s="19"/>
      <c r="CC2995" s="19"/>
      <c r="CD2995" s="139"/>
      <c r="CE2995" s="138"/>
      <c r="CF2995" s="139"/>
      <c r="CG2995" s="138"/>
      <c r="CH2995" s="139"/>
      <c r="CI2995" s="138"/>
      <c r="CJ2995" s="72"/>
      <c r="CK2995" s="139"/>
      <c r="CL2995" s="71"/>
      <c r="CM2995" s="139"/>
      <c r="CN2995" s="138"/>
      <c r="CO2995" s="138"/>
      <c r="CP2995" s="138"/>
      <c r="CQ2995" s="139"/>
      <c r="CR2995" s="138"/>
      <c r="CS2995" s="45"/>
      <c r="CT2995" s="138"/>
      <c r="CU2995" s="45"/>
      <c r="CV2995" s="99">
        <f t="shared" si="291"/>
        <v>0</v>
      </c>
      <c r="CW2995" s="139"/>
      <c r="CX2995" s="138"/>
      <c r="CY2995" s="138"/>
      <c r="CZ2995" s="138"/>
      <c r="DA2995" s="139"/>
      <c r="DB2995" s="138"/>
      <c r="DC2995" s="45"/>
      <c r="DD2995" s="138"/>
      <c r="DE2995" s="45"/>
      <c r="DF2995" s="46"/>
    </row>
    <row r="2996" spans="1:110" s="42" customFormat="1" ht="108" x14ac:dyDescent="0.2">
      <c r="A2996" s="89">
        <v>40884</v>
      </c>
      <c r="B2996" s="151" t="s">
        <v>3533</v>
      </c>
      <c r="C2996" s="90" t="s">
        <v>1399</v>
      </c>
      <c r="D2996" s="90" t="s">
        <v>2362</v>
      </c>
      <c r="E2996" s="90" t="str">
        <f>VLOOKUP(B2996&amp;C2996,Divipola!$C$2:$F$1138,4,FALSE)</f>
        <v>17486</v>
      </c>
      <c r="F2996" s="4"/>
      <c r="G2996" s="101">
        <v>1</v>
      </c>
      <c r="H2996" s="101"/>
      <c r="I2996" s="101">
        <v>3</v>
      </c>
      <c r="J2996" s="101"/>
      <c r="K2996" s="101"/>
      <c r="L2996" s="101"/>
      <c r="M2996" s="101"/>
      <c r="N2996" s="101">
        <v>1</v>
      </c>
      <c r="O2996" s="101"/>
      <c r="P2996" s="101"/>
      <c r="Q2996" s="101"/>
      <c r="R2996" s="101"/>
      <c r="S2996" s="101"/>
      <c r="T2996" s="101"/>
      <c r="U2996" s="101"/>
      <c r="V2996" s="101"/>
      <c r="W2996" s="19"/>
      <c r="X2996" s="17"/>
      <c r="Y2996" s="5">
        <f t="shared" si="286"/>
        <v>0</v>
      </c>
      <c r="Z2996" s="5">
        <f t="shared" si="287"/>
        <v>0</v>
      </c>
      <c r="AA2996" s="5">
        <f t="shared" si="288"/>
        <v>0</v>
      </c>
      <c r="AB2996" s="5">
        <f t="shared" si="289"/>
        <v>0</v>
      </c>
      <c r="AC2996" s="5"/>
      <c r="AD2996" s="5">
        <v>0</v>
      </c>
      <c r="AE2996" s="5">
        <f t="shared" si="290"/>
        <v>0</v>
      </c>
      <c r="AF2996" s="70">
        <v>0</v>
      </c>
      <c r="AG2996" s="17"/>
      <c r="AH2996" s="18"/>
      <c r="AI2996" s="47" t="s">
        <v>4336</v>
      </c>
      <c r="AJ2996" s="73" t="s">
        <v>4337</v>
      </c>
      <c r="AK2996" s="45"/>
      <c r="AL2996" s="17"/>
      <c r="AM2996" s="121" t="s">
        <v>5344</v>
      </c>
      <c r="AN2996" s="19"/>
      <c r="AO2996" s="19"/>
      <c r="AP2996" s="19"/>
      <c r="AQ2996" s="19"/>
      <c r="AR2996" s="19"/>
      <c r="AS2996" s="19"/>
      <c r="AT2996" s="19"/>
      <c r="AU2996" s="19"/>
      <c r="AV2996" s="19"/>
      <c r="AW2996" s="19"/>
      <c r="AX2996" s="19"/>
      <c r="AY2996" s="19"/>
      <c r="AZ2996" s="19"/>
      <c r="BA2996" s="19"/>
      <c r="BB2996" s="19"/>
      <c r="BC2996" s="19"/>
      <c r="BD2996" s="19"/>
      <c r="BE2996" s="19"/>
      <c r="BF2996" s="19"/>
      <c r="BG2996" s="19"/>
      <c r="BH2996" s="19"/>
      <c r="BI2996" s="19"/>
      <c r="BJ2996" s="19"/>
      <c r="BK2996" s="19"/>
      <c r="BL2996" s="19"/>
      <c r="BM2996" s="19"/>
      <c r="BN2996" s="19"/>
      <c r="BO2996" s="19"/>
      <c r="BP2996" s="19"/>
      <c r="BQ2996" s="19"/>
      <c r="BR2996" s="19"/>
      <c r="BS2996" s="19"/>
      <c r="BT2996" s="19"/>
      <c r="BU2996" s="19"/>
      <c r="BV2996" s="19"/>
      <c r="BW2996" s="19"/>
      <c r="BX2996" s="19"/>
      <c r="BY2996" s="19"/>
      <c r="BZ2996" s="19"/>
      <c r="CA2996" s="19"/>
      <c r="CB2996" s="19"/>
      <c r="CC2996" s="19"/>
      <c r="CD2996" s="139"/>
      <c r="CE2996" s="138"/>
      <c r="CF2996" s="139"/>
      <c r="CG2996" s="138"/>
      <c r="CH2996" s="139"/>
      <c r="CI2996" s="138"/>
      <c r="CJ2996" s="72"/>
      <c r="CK2996" s="139"/>
      <c r="CL2996" s="71"/>
      <c r="CM2996" s="139"/>
      <c r="CN2996" s="138"/>
      <c r="CO2996" s="138"/>
      <c r="CP2996" s="138"/>
      <c r="CQ2996" s="139"/>
      <c r="CR2996" s="138"/>
      <c r="CS2996" s="45"/>
      <c r="CT2996" s="138"/>
      <c r="CU2996" s="45"/>
      <c r="CV2996" s="99">
        <f t="shared" si="291"/>
        <v>0</v>
      </c>
      <c r="CW2996" s="139"/>
      <c r="CX2996" s="138"/>
      <c r="CY2996" s="138"/>
      <c r="CZ2996" s="138"/>
      <c r="DA2996" s="139"/>
      <c r="DB2996" s="138"/>
      <c r="DC2996" s="45"/>
      <c r="DD2996" s="138"/>
      <c r="DE2996" s="45"/>
      <c r="DF2996" s="46"/>
    </row>
    <row r="2997" spans="1:110" s="42" customFormat="1" ht="48" x14ac:dyDescent="0.2">
      <c r="A2997" s="89">
        <v>40884</v>
      </c>
      <c r="B2997" s="151" t="s">
        <v>4387</v>
      </c>
      <c r="C2997" s="90" t="s">
        <v>3446</v>
      </c>
      <c r="D2997" s="90" t="s">
        <v>2362</v>
      </c>
      <c r="E2997" s="90" t="str">
        <f>VLOOKUP(B2997&amp;C2997,Divipola!$C$2:$F$1138,4,FALSE)</f>
        <v>52001</v>
      </c>
      <c r="F2997" s="4"/>
      <c r="G2997" s="101">
        <v>1</v>
      </c>
      <c r="H2997" s="101"/>
      <c r="I2997" s="101"/>
      <c r="J2997" s="101"/>
      <c r="K2997" s="101"/>
      <c r="L2997" s="101"/>
      <c r="M2997" s="101"/>
      <c r="N2997" s="101">
        <v>1</v>
      </c>
      <c r="O2997" s="101"/>
      <c r="P2997" s="101"/>
      <c r="Q2997" s="101"/>
      <c r="R2997" s="101"/>
      <c r="S2997" s="101"/>
      <c r="T2997" s="101"/>
      <c r="U2997" s="101"/>
      <c r="V2997" s="101"/>
      <c r="W2997" s="19"/>
      <c r="X2997" s="17"/>
      <c r="Y2997" s="5">
        <f t="shared" si="286"/>
        <v>0</v>
      </c>
      <c r="Z2997" s="5">
        <f t="shared" si="287"/>
        <v>0</v>
      </c>
      <c r="AA2997" s="5">
        <f t="shared" si="288"/>
        <v>0</v>
      </c>
      <c r="AB2997" s="5">
        <f t="shared" si="289"/>
        <v>0</v>
      </c>
      <c r="AC2997" s="5"/>
      <c r="AD2997" s="5">
        <v>0</v>
      </c>
      <c r="AE2997" s="5">
        <f t="shared" si="290"/>
        <v>0</v>
      </c>
      <c r="AF2997" s="70">
        <v>0</v>
      </c>
      <c r="AG2997" s="17"/>
      <c r="AH2997" s="18"/>
      <c r="AI2997" s="47" t="s">
        <v>4336</v>
      </c>
      <c r="AJ2997" s="73" t="s">
        <v>4337</v>
      </c>
      <c r="AK2997" s="45"/>
      <c r="AL2997" s="17"/>
      <c r="AM2997" s="121" t="s">
        <v>5345</v>
      </c>
      <c r="AN2997" s="19"/>
      <c r="AO2997" s="19"/>
      <c r="AP2997" s="19"/>
      <c r="AQ2997" s="19"/>
      <c r="AR2997" s="19"/>
      <c r="AS2997" s="19"/>
      <c r="AT2997" s="19"/>
      <c r="AU2997" s="19"/>
      <c r="AV2997" s="19"/>
      <c r="AW2997" s="19"/>
      <c r="AX2997" s="19"/>
      <c r="AY2997" s="19"/>
      <c r="AZ2997" s="19"/>
      <c r="BA2997" s="19"/>
      <c r="BB2997" s="19"/>
      <c r="BC2997" s="19"/>
      <c r="BD2997" s="19"/>
      <c r="BE2997" s="19"/>
      <c r="BF2997" s="19"/>
      <c r="BG2997" s="19"/>
      <c r="BH2997" s="19"/>
      <c r="BI2997" s="19"/>
      <c r="BJ2997" s="19"/>
      <c r="BK2997" s="19"/>
      <c r="BL2997" s="19"/>
      <c r="BM2997" s="19"/>
      <c r="BN2997" s="19"/>
      <c r="BO2997" s="19"/>
      <c r="BP2997" s="19"/>
      <c r="BQ2997" s="19"/>
      <c r="BR2997" s="19"/>
      <c r="BS2997" s="19"/>
      <c r="BT2997" s="19"/>
      <c r="BU2997" s="19"/>
      <c r="BV2997" s="19"/>
      <c r="BW2997" s="19"/>
      <c r="BX2997" s="19"/>
      <c r="BY2997" s="19"/>
      <c r="BZ2997" s="19"/>
      <c r="CA2997" s="19"/>
      <c r="CB2997" s="19"/>
      <c r="CC2997" s="19"/>
      <c r="CD2997" s="139"/>
      <c r="CE2997" s="138"/>
      <c r="CF2997" s="139"/>
      <c r="CG2997" s="138"/>
      <c r="CH2997" s="139"/>
      <c r="CI2997" s="138"/>
      <c r="CJ2997" s="72"/>
      <c r="CK2997" s="139"/>
      <c r="CL2997" s="71"/>
      <c r="CM2997" s="139"/>
      <c r="CN2997" s="138"/>
      <c r="CO2997" s="138"/>
      <c r="CP2997" s="138"/>
      <c r="CQ2997" s="139"/>
      <c r="CR2997" s="138"/>
      <c r="CS2997" s="45"/>
      <c r="CT2997" s="138"/>
      <c r="CU2997" s="45"/>
      <c r="CV2997" s="99">
        <f t="shared" si="291"/>
        <v>0</v>
      </c>
      <c r="CW2997" s="139"/>
      <c r="CX2997" s="138"/>
      <c r="CY2997" s="138"/>
      <c r="CZ2997" s="138"/>
      <c r="DA2997" s="139"/>
      <c r="DB2997" s="138"/>
      <c r="DC2997" s="45"/>
      <c r="DD2997" s="138"/>
      <c r="DE2997" s="45"/>
      <c r="DF2997" s="46"/>
    </row>
    <row r="2998" spans="1:110" s="42" customFormat="1" ht="96" x14ac:dyDescent="0.2">
      <c r="A2998" s="89">
        <v>40884</v>
      </c>
      <c r="B2998" s="151" t="s">
        <v>874</v>
      </c>
      <c r="C2998" s="90" t="s">
        <v>3541</v>
      </c>
      <c r="D2998" s="90" t="s">
        <v>4264</v>
      </c>
      <c r="E2998" s="90" t="str">
        <f>VLOOKUP(B2998&amp;C2998,Divipola!$C$2:$F$1138,4,FALSE)</f>
        <v>44001</v>
      </c>
      <c r="F2998" s="4"/>
      <c r="G2998" s="101"/>
      <c r="H2998" s="101"/>
      <c r="I2998" s="101">
        <v>1</v>
      </c>
      <c r="J2998" s="101"/>
      <c r="K2998" s="101"/>
      <c r="L2998" s="101"/>
      <c r="M2998" s="101"/>
      <c r="N2998" s="101"/>
      <c r="O2998" s="101"/>
      <c r="P2998" s="101"/>
      <c r="Q2998" s="101"/>
      <c r="R2998" s="101"/>
      <c r="S2998" s="101"/>
      <c r="T2998" s="101"/>
      <c r="U2998" s="101"/>
      <c r="V2998" s="101"/>
      <c r="W2998" s="19"/>
      <c r="X2998" s="17"/>
      <c r="Y2998" s="5">
        <f t="shared" si="286"/>
        <v>0</v>
      </c>
      <c r="Z2998" s="5">
        <f t="shared" si="287"/>
        <v>0</v>
      </c>
      <c r="AA2998" s="5">
        <f t="shared" si="288"/>
        <v>0</v>
      </c>
      <c r="AB2998" s="5">
        <f t="shared" si="289"/>
        <v>0</v>
      </c>
      <c r="AC2998" s="5"/>
      <c r="AD2998" s="5">
        <v>0</v>
      </c>
      <c r="AE2998" s="5">
        <f t="shared" si="290"/>
        <v>0</v>
      </c>
      <c r="AF2998" s="70">
        <v>0</v>
      </c>
      <c r="AG2998" s="17"/>
      <c r="AH2998" s="18"/>
      <c r="AI2998" s="47" t="s">
        <v>4336</v>
      </c>
      <c r="AJ2998" s="73" t="s">
        <v>4337</v>
      </c>
      <c r="AK2998" s="45"/>
      <c r="AL2998" s="17"/>
      <c r="AM2998" s="121" t="s">
        <v>5346</v>
      </c>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39"/>
      <c r="CE2998" s="138"/>
      <c r="CF2998" s="139"/>
      <c r="CG2998" s="138"/>
      <c r="CH2998" s="139"/>
      <c r="CI2998" s="138"/>
      <c r="CJ2998" s="72"/>
      <c r="CK2998" s="139"/>
      <c r="CL2998" s="71"/>
      <c r="CM2998" s="139"/>
      <c r="CN2998" s="138"/>
      <c r="CO2998" s="138"/>
      <c r="CP2998" s="138"/>
      <c r="CQ2998" s="139"/>
      <c r="CR2998" s="138"/>
      <c r="CS2998" s="45"/>
      <c r="CT2998" s="138"/>
      <c r="CU2998" s="45"/>
      <c r="CV2998" s="99">
        <f t="shared" si="291"/>
        <v>0</v>
      </c>
      <c r="CW2998" s="139"/>
      <c r="CX2998" s="138"/>
      <c r="CY2998" s="138"/>
      <c r="CZ2998" s="138"/>
      <c r="DA2998" s="139"/>
      <c r="DB2998" s="138"/>
      <c r="DC2998" s="45"/>
      <c r="DD2998" s="138"/>
      <c r="DE2998" s="45"/>
      <c r="DF2998" s="46"/>
    </row>
    <row r="2999" spans="1:110" s="42" customFormat="1" ht="108" x14ac:dyDescent="0.2">
      <c r="A2999" s="89">
        <v>40884</v>
      </c>
      <c r="B2999" s="151" t="s">
        <v>874</v>
      </c>
      <c r="C2999" s="90" t="s">
        <v>710</v>
      </c>
      <c r="D2999" s="90" t="s">
        <v>4264</v>
      </c>
      <c r="E2999" s="90" t="str">
        <f>VLOOKUP(B2999&amp;C2999,Divipola!$C$2:$F$1138,4,FALSE)</f>
        <v>44090</v>
      </c>
      <c r="F2999" s="4"/>
      <c r="G2999" s="101"/>
      <c r="H2999" s="101"/>
      <c r="I2999" s="101"/>
      <c r="J2999" s="101">
        <v>200</v>
      </c>
      <c r="K2999" s="101">
        <v>40</v>
      </c>
      <c r="L2999" s="101"/>
      <c r="M2999" s="101">
        <v>40</v>
      </c>
      <c r="N2999" s="101"/>
      <c r="O2999" s="101"/>
      <c r="P2999" s="101"/>
      <c r="Q2999" s="101"/>
      <c r="R2999" s="101"/>
      <c r="S2999" s="101"/>
      <c r="T2999" s="101"/>
      <c r="U2999" s="101"/>
      <c r="V2999" s="101"/>
      <c r="W2999" s="19"/>
      <c r="X2999" s="17"/>
      <c r="Y2999" s="5">
        <f t="shared" si="286"/>
        <v>0</v>
      </c>
      <c r="Z2999" s="5">
        <f t="shared" si="287"/>
        <v>0</v>
      </c>
      <c r="AA2999" s="5">
        <f t="shared" si="288"/>
        <v>0</v>
      </c>
      <c r="AB2999" s="5">
        <f t="shared" si="289"/>
        <v>0</v>
      </c>
      <c r="AC2999" s="5"/>
      <c r="AD2999" s="5">
        <v>0</v>
      </c>
      <c r="AE2999" s="5">
        <f t="shared" si="290"/>
        <v>0</v>
      </c>
      <c r="AF2999" s="70">
        <v>0</v>
      </c>
      <c r="AG2999" s="17"/>
      <c r="AH2999" s="18"/>
      <c r="AI2999" s="47" t="s">
        <v>4336</v>
      </c>
      <c r="AJ2999" s="73" t="s">
        <v>4337</v>
      </c>
      <c r="AK2999" s="45"/>
      <c r="AL2999" s="17"/>
      <c r="AM2999" s="121" t="s">
        <v>5383</v>
      </c>
      <c r="AN2999" s="19"/>
      <c r="AO2999" s="19"/>
      <c r="AP2999" s="19"/>
      <c r="AQ2999" s="19"/>
      <c r="AR2999" s="19"/>
      <c r="AS2999" s="19"/>
      <c r="AT2999" s="19"/>
      <c r="AU2999" s="19"/>
      <c r="AV2999" s="19"/>
      <c r="AW2999" s="19"/>
      <c r="AX2999" s="19"/>
      <c r="AY2999" s="19"/>
      <c r="AZ2999" s="19"/>
      <c r="BA2999" s="19"/>
      <c r="BB2999" s="19"/>
      <c r="BC2999" s="19"/>
      <c r="BD2999" s="19"/>
      <c r="BE2999" s="19"/>
      <c r="BF2999" s="19"/>
      <c r="BG2999" s="19"/>
      <c r="BH2999" s="19"/>
      <c r="BI2999" s="19"/>
      <c r="BJ2999" s="19"/>
      <c r="BK2999" s="19"/>
      <c r="BL2999" s="19"/>
      <c r="BM2999" s="19"/>
      <c r="BN2999" s="19"/>
      <c r="BO2999" s="19"/>
      <c r="BP2999" s="19"/>
      <c r="BQ2999" s="19"/>
      <c r="BR2999" s="19"/>
      <c r="BS2999" s="19"/>
      <c r="BT2999" s="19"/>
      <c r="BU2999" s="19"/>
      <c r="BV2999" s="19"/>
      <c r="BW2999" s="19"/>
      <c r="BX2999" s="19"/>
      <c r="BY2999" s="19"/>
      <c r="BZ2999" s="19"/>
      <c r="CA2999" s="19"/>
      <c r="CB2999" s="19"/>
      <c r="CC2999" s="19"/>
      <c r="CD2999" s="139"/>
      <c r="CE2999" s="138"/>
      <c r="CF2999" s="139"/>
      <c r="CG2999" s="138"/>
      <c r="CH2999" s="139"/>
      <c r="CI2999" s="138"/>
      <c r="CJ2999" s="72"/>
      <c r="CK2999" s="139"/>
      <c r="CL2999" s="71"/>
      <c r="CM2999" s="139"/>
      <c r="CN2999" s="138"/>
      <c r="CO2999" s="138"/>
      <c r="CP2999" s="138"/>
      <c r="CQ2999" s="139"/>
      <c r="CR2999" s="138"/>
      <c r="CS2999" s="45"/>
      <c r="CT2999" s="138"/>
      <c r="CU2999" s="45"/>
      <c r="CV2999" s="99">
        <f t="shared" si="291"/>
        <v>0</v>
      </c>
      <c r="CW2999" s="139"/>
      <c r="CX2999" s="138"/>
      <c r="CY2999" s="138"/>
      <c r="CZ2999" s="138"/>
      <c r="DA2999" s="139"/>
      <c r="DB2999" s="138"/>
      <c r="DC2999" s="45"/>
      <c r="DD2999" s="138"/>
      <c r="DE2999" s="45"/>
      <c r="DF2999" s="46"/>
    </row>
    <row r="3000" spans="1:110" s="42" customFormat="1" ht="132" x14ac:dyDescent="0.2">
      <c r="A3000" s="89">
        <v>40884</v>
      </c>
      <c r="B3000" s="151" t="s">
        <v>874</v>
      </c>
      <c r="C3000" s="90" t="s">
        <v>3541</v>
      </c>
      <c r="D3000" s="90" t="s">
        <v>4264</v>
      </c>
      <c r="E3000" s="90" t="str">
        <f>VLOOKUP(B3000&amp;C3000,Divipola!$C$2:$F$1138,4,FALSE)</f>
        <v>44001</v>
      </c>
      <c r="F3000" s="4"/>
      <c r="G3000" s="101">
        <v>1</v>
      </c>
      <c r="H3000" s="101"/>
      <c r="I3000" s="101"/>
      <c r="J3000" s="101"/>
      <c r="K3000" s="101"/>
      <c r="L3000" s="101"/>
      <c r="M3000" s="101"/>
      <c r="N3000" s="101"/>
      <c r="O3000" s="101"/>
      <c r="P3000" s="101"/>
      <c r="Q3000" s="101"/>
      <c r="R3000" s="101"/>
      <c r="S3000" s="101"/>
      <c r="T3000" s="101"/>
      <c r="U3000" s="101"/>
      <c r="V3000" s="101"/>
      <c r="W3000" s="19"/>
      <c r="X3000" s="17"/>
      <c r="Y3000" s="5">
        <f t="shared" si="286"/>
        <v>0</v>
      </c>
      <c r="Z3000" s="5">
        <f t="shared" si="287"/>
        <v>0</v>
      </c>
      <c r="AA3000" s="5">
        <f t="shared" si="288"/>
        <v>0</v>
      </c>
      <c r="AB3000" s="5">
        <f t="shared" si="289"/>
        <v>0</v>
      </c>
      <c r="AC3000" s="5"/>
      <c r="AD3000" s="5">
        <v>0</v>
      </c>
      <c r="AE3000" s="5">
        <f t="shared" si="290"/>
        <v>0</v>
      </c>
      <c r="AF3000" s="70">
        <v>0</v>
      </c>
      <c r="AG3000" s="17"/>
      <c r="AH3000" s="18"/>
      <c r="AI3000" s="47" t="s">
        <v>4336</v>
      </c>
      <c r="AJ3000" s="73" t="s">
        <v>4337</v>
      </c>
      <c r="AK3000" s="45"/>
      <c r="AL3000" s="17"/>
      <c r="AM3000" s="121" t="s">
        <v>5358</v>
      </c>
      <c r="AN3000" s="19"/>
      <c r="AO3000" s="19"/>
      <c r="AP3000" s="19"/>
      <c r="AQ3000" s="19"/>
      <c r="AR3000" s="19"/>
      <c r="AS3000" s="19"/>
      <c r="AT3000" s="19"/>
      <c r="AU3000" s="19"/>
      <c r="AV3000" s="19"/>
      <c r="AW3000" s="19"/>
      <c r="AX3000" s="19"/>
      <c r="AY3000" s="19"/>
      <c r="AZ3000" s="19"/>
      <c r="BA3000" s="19"/>
      <c r="BB3000" s="19"/>
      <c r="BC3000" s="19"/>
      <c r="BD3000" s="19"/>
      <c r="BE3000" s="19"/>
      <c r="BF3000" s="19"/>
      <c r="BG3000" s="19"/>
      <c r="BH3000" s="19"/>
      <c r="BI3000" s="19"/>
      <c r="BJ3000" s="19"/>
      <c r="BK3000" s="19"/>
      <c r="BL3000" s="19"/>
      <c r="BM3000" s="19"/>
      <c r="BN3000" s="19"/>
      <c r="BO3000" s="19"/>
      <c r="BP3000" s="19"/>
      <c r="BQ3000" s="19"/>
      <c r="BR3000" s="19"/>
      <c r="BS3000" s="19"/>
      <c r="BT3000" s="19"/>
      <c r="BU3000" s="19"/>
      <c r="BV3000" s="19"/>
      <c r="BW3000" s="19"/>
      <c r="BX3000" s="19"/>
      <c r="BY3000" s="19"/>
      <c r="BZ3000" s="19"/>
      <c r="CA3000" s="19"/>
      <c r="CB3000" s="19"/>
      <c r="CC3000" s="19"/>
      <c r="CD3000" s="139"/>
      <c r="CE3000" s="138"/>
      <c r="CF3000" s="139"/>
      <c r="CG3000" s="138"/>
      <c r="CH3000" s="139"/>
      <c r="CI3000" s="138"/>
      <c r="CJ3000" s="72"/>
      <c r="CK3000" s="139"/>
      <c r="CL3000" s="71"/>
      <c r="CM3000" s="139"/>
      <c r="CN3000" s="138"/>
      <c r="CO3000" s="138"/>
      <c r="CP3000" s="138"/>
      <c r="CQ3000" s="139"/>
      <c r="CR3000" s="138"/>
      <c r="CS3000" s="45"/>
      <c r="CT3000" s="138"/>
      <c r="CU3000" s="45"/>
      <c r="CV3000" s="99">
        <f t="shared" si="291"/>
        <v>0</v>
      </c>
      <c r="CW3000" s="139"/>
      <c r="CX3000" s="138"/>
      <c r="CY3000" s="138"/>
      <c r="CZ3000" s="138"/>
      <c r="DA3000" s="139"/>
      <c r="DB3000" s="138"/>
      <c r="DC3000" s="45"/>
      <c r="DD3000" s="138"/>
      <c r="DE3000" s="45"/>
      <c r="DF3000" s="46"/>
    </row>
    <row r="3001" spans="1:110" s="42" customFormat="1" ht="240" x14ac:dyDescent="0.2">
      <c r="A3001" s="89">
        <v>40884</v>
      </c>
      <c r="B3001" s="151" t="s">
        <v>4261</v>
      </c>
      <c r="C3001" s="90" t="s">
        <v>1201</v>
      </c>
      <c r="D3001" s="90" t="s">
        <v>2362</v>
      </c>
      <c r="E3001" s="90" t="str">
        <f>VLOOKUP(B3001&amp;C3001,Divipola!$C$2:$F$1138,4,FALSE)</f>
        <v>15407</v>
      </c>
      <c r="F3001" s="4"/>
      <c r="G3001" s="101"/>
      <c r="H3001" s="101"/>
      <c r="I3001" s="101"/>
      <c r="J3001" s="101"/>
      <c r="K3001" s="101"/>
      <c r="L3001" s="101"/>
      <c r="M3001" s="101"/>
      <c r="N3001" s="101">
        <v>1</v>
      </c>
      <c r="O3001" s="101"/>
      <c r="P3001" s="101"/>
      <c r="Q3001" s="101"/>
      <c r="R3001" s="101"/>
      <c r="S3001" s="101"/>
      <c r="T3001" s="101"/>
      <c r="U3001" s="101"/>
      <c r="V3001" s="101"/>
      <c r="W3001" s="19"/>
      <c r="X3001" s="17"/>
      <c r="Y3001" s="5">
        <f t="shared" si="286"/>
        <v>0</v>
      </c>
      <c r="Z3001" s="5">
        <f t="shared" si="287"/>
        <v>0</v>
      </c>
      <c r="AA3001" s="5">
        <f t="shared" si="288"/>
        <v>0</v>
      </c>
      <c r="AB3001" s="5">
        <f t="shared" si="289"/>
        <v>0</v>
      </c>
      <c r="AC3001" s="5"/>
      <c r="AD3001" s="5">
        <v>0</v>
      </c>
      <c r="AE3001" s="5">
        <f t="shared" si="290"/>
        <v>0</v>
      </c>
      <c r="AF3001" s="70">
        <v>0</v>
      </c>
      <c r="AG3001" s="17"/>
      <c r="AH3001" s="18"/>
      <c r="AI3001" s="47" t="s">
        <v>4336</v>
      </c>
      <c r="AJ3001" s="73"/>
      <c r="AK3001" s="45"/>
      <c r="AL3001" s="17"/>
      <c r="AM3001" s="121" t="s">
        <v>5374</v>
      </c>
      <c r="AN3001" s="19"/>
      <c r="AO3001" s="19"/>
      <c r="AP3001" s="19"/>
      <c r="AQ3001" s="19"/>
      <c r="AR3001" s="19"/>
      <c r="AS3001" s="19"/>
      <c r="AT3001" s="19"/>
      <c r="AU3001" s="19"/>
      <c r="AV3001" s="19"/>
      <c r="AW3001" s="19"/>
      <c r="AX3001" s="19"/>
      <c r="AY3001" s="19"/>
      <c r="AZ3001" s="19"/>
      <c r="BA3001" s="19"/>
      <c r="BB3001" s="19"/>
      <c r="BC3001" s="19"/>
      <c r="BD3001" s="19"/>
      <c r="BE3001" s="19"/>
      <c r="BF3001" s="19"/>
      <c r="BG3001" s="19"/>
      <c r="BH3001" s="19"/>
      <c r="BI3001" s="19"/>
      <c r="BJ3001" s="19"/>
      <c r="BK3001" s="19"/>
      <c r="BL3001" s="19"/>
      <c r="BM3001" s="19"/>
      <c r="BN3001" s="19"/>
      <c r="BO3001" s="19"/>
      <c r="BP3001" s="19"/>
      <c r="BQ3001" s="19"/>
      <c r="BR3001" s="19"/>
      <c r="BS3001" s="19"/>
      <c r="BT3001" s="19"/>
      <c r="BU3001" s="19"/>
      <c r="BV3001" s="19"/>
      <c r="BW3001" s="19"/>
      <c r="BX3001" s="19"/>
      <c r="BY3001" s="19"/>
      <c r="BZ3001" s="19"/>
      <c r="CA3001" s="19"/>
      <c r="CB3001" s="19"/>
      <c r="CC3001" s="19"/>
      <c r="CD3001" s="139"/>
      <c r="CE3001" s="138"/>
      <c r="CF3001" s="139"/>
      <c r="CG3001" s="138"/>
      <c r="CH3001" s="139"/>
      <c r="CI3001" s="138"/>
      <c r="CJ3001" s="72"/>
      <c r="CK3001" s="139"/>
      <c r="CL3001" s="71"/>
      <c r="CM3001" s="139"/>
      <c r="CN3001" s="138"/>
      <c r="CO3001" s="138"/>
      <c r="CP3001" s="138"/>
      <c r="CQ3001" s="139"/>
      <c r="CR3001" s="138"/>
      <c r="CS3001" s="45"/>
      <c r="CT3001" s="138"/>
      <c r="CU3001" s="45"/>
      <c r="CV3001" s="99">
        <f t="shared" si="291"/>
        <v>0</v>
      </c>
      <c r="CW3001" s="139"/>
      <c r="CX3001" s="138"/>
      <c r="CY3001" s="138"/>
      <c r="CZ3001" s="138"/>
      <c r="DA3001" s="139"/>
      <c r="DB3001" s="138"/>
      <c r="DC3001" s="45"/>
      <c r="DD3001" s="138"/>
      <c r="DE3001" s="45"/>
      <c r="DF3001" s="46"/>
    </row>
    <row r="3002" spans="1:110" s="42" customFormat="1" ht="276" x14ac:dyDescent="0.2">
      <c r="A3002" s="89">
        <v>40884</v>
      </c>
      <c r="B3002" s="151" t="s">
        <v>4261</v>
      </c>
      <c r="C3002" s="90" t="s">
        <v>2650</v>
      </c>
      <c r="D3002" s="90" t="s">
        <v>2362</v>
      </c>
      <c r="E3002" s="90" t="str">
        <f>VLOOKUP(B3002&amp;C3002,Divipola!$C$2:$F$1138,4,FALSE)</f>
        <v>15232</v>
      </c>
      <c r="F3002" s="4"/>
      <c r="G3002" s="101"/>
      <c r="H3002" s="101"/>
      <c r="I3002" s="101"/>
      <c r="J3002" s="101"/>
      <c r="K3002" s="101"/>
      <c r="L3002" s="101"/>
      <c r="M3002" s="101"/>
      <c r="N3002" s="101"/>
      <c r="O3002" s="101"/>
      <c r="P3002" s="101"/>
      <c r="Q3002" s="101"/>
      <c r="R3002" s="101"/>
      <c r="S3002" s="101"/>
      <c r="T3002" s="101"/>
      <c r="U3002" s="101"/>
      <c r="V3002" s="101"/>
      <c r="W3002" s="19"/>
      <c r="X3002" s="17"/>
      <c r="Y3002" s="5">
        <f t="shared" si="286"/>
        <v>0</v>
      </c>
      <c r="Z3002" s="5">
        <f t="shared" si="287"/>
        <v>0</v>
      </c>
      <c r="AA3002" s="5">
        <f t="shared" si="288"/>
        <v>0</v>
      </c>
      <c r="AB3002" s="5">
        <f t="shared" si="289"/>
        <v>0</v>
      </c>
      <c r="AC3002" s="5"/>
      <c r="AD3002" s="5">
        <v>0</v>
      </c>
      <c r="AE3002" s="5">
        <f t="shared" si="290"/>
        <v>0</v>
      </c>
      <c r="AF3002" s="70">
        <v>0</v>
      </c>
      <c r="AG3002" s="17"/>
      <c r="AH3002" s="18"/>
      <c r="AI3002" s="47" t="s">
        <v>4336</v>
      </c>
      <c r="AJ3002" s="73"/>
      <c r="AK3002" s="45"/>
      <c r="AL3002" s="17"/>
      <c r="AM3002" s="121" t="s">
        <v>5375</v>
      </c>
      <c r="AN3002" s="19"/>
      <c r="AO3002" s="19"/>
      <c r="AP3002" s="19"/>
      <c r="AQ3002" s="19"/>
      <c r="AR3002" s="19"/>
      <c r="AS3002" s="19"/>
      <c r="AT3002" s="19"/>
      <c r="AU3002" s="19"/>
      <c r="AV3002" s="19"/>
      <c r="AW3002" s="19"/>
      <c r="AX3002" s="19"/>
      <c r="AY3002" s="19"/>
      <c r="AZ3002" s="19"/>
      <c r="BA3002" s="19"/>
      <c r="BB3002" s="19"/>
      <c r="BC3002" s="19"/>
      <c r="BD3002" s="19"/>
      <c r="BE3002" s="19"/>
      <c r="BF3002" s="19"/>
      <c r="BG3002" s="19"/>
      <c r="BH3002" s="19"/>
      <c r="BI3002" s="19"/>
      <c r="BJ3002" s="19"/>
      <c r="BK3002" s="19"/>
      <c r="BL3002" s="19"/>
      <c r="BM3002" s="19"/>
      <c r="BN3002" s="19"/>
      <c r="BO3002" s="19"/>
      <c r="BP3002" s="19"/>
      <c r="BQ3002" s="19"/>
      <c r="BR3002" s="19"/>
      <c r="BS3002" s="19"/>
      <c r="BT3002" s="19"/>
      <c r="BU3002" s="19"/>
      <c r="BV3002" s="19"/>
      <c r="BW3002" s="19"/>
      <c r="BX3002" s="19"/>
      <c r="BY3002" s="19"/>
      <c r="BZ3002" s="19"/>
      <c r="CA3002" s="19"/>
      <c r="CB3002" s="19"/>
      <c r="CC3002" s="19"/>
      <c r="CD3002" s="139"/>
      <c r="CE3002" s="138"/>
      <c r="CF3002" s="139"/>
      <c r="CG3002" s="138"/>
      <c r="CH3002" s="139"/>
      <c r="CI3002" s="138"/>
      <c r="CJ3002" s="72"/>
      <c r="CK3002" s="139"/>
      <c r="CL3002" s="71"/>
      <c r="CM3002" s="139"/>
      <c r="CN3002" s="138"/>
      <c r="CO3002" s="138"/>
      <c r="CP3002" s="138"/>
      <c r="CQ3002" s="139"/>
      <c r="CR3002" s="138"/>
      <c r="CS3002" s="45"/>
      <c r="CT3002" s="138"/>
      <c r="CU3002" s="45"/>
      <c r="CV3002" s="99">
        <f t="shared" si="291"/>
        <v>0</v>
      </c>
      <c r="CW3002" s="139"/>
      <c r="CX3002" s="138"/>
      <c r="CY3002" s="138"/>
      <c r="CZ3002" s="138"/>
      <c r="DA3002" s="139"/>
      <c r="DB3002" s="138"/>
      <c r="DC3002" s="45"/>
      <c r="DD3002" s="138"/>
      <c r="DE3002" s="45"/>
      <c r="DF3002" s="46"/>
    </row>
    <row r="3003" spans="1:110" s="42" customFormat="1" ht="24" x14ac:dyDescent="0.2">
      <c r="A3003" s="89">
        <v>40884</v>
      </c>
      <c r="B3003" s="151" t="s">
        <v>4219</v>
      </c>
      <c r="C3003" s="90" t="s">
        <v>697</v>
      </c>
      <c r="D3003" s="90" t="s">
        <v>4264</v>
      </c>
      <c r="E3003" s="90" t="str">
        <f>VLOOKUP(B3003&amp;C3003,Divipola!$C$2:$F$1138,4,FALSE)</f>
        <v>41791</v>
      </c>
      <c r="F3003" s="4"/>
      <c r="G3003" s="194"/>
      <c r="H3003" s="194"/>
      <c r="I3003" s="194"/>
      <c r="J3003" s="194"/>
      <c r="K3003" s="194"/>
      <c r="L3003" s="194"/>
      <c r="M3003" s="194"/>
      <c r="N3003" s="194"/>
      <c r="O3003" s="194"/>
      <c r="P3003" s="194"/>
      <c r="Q3003" s="194"/>
      <c r="R3003" s="194"/>
      <c r="S3003" s="194"/>
      <c r="T3003" s="194">
        <v>5</v>
      </c>
      <c r="U3003" s="194"/>
      <c r="V3003" s="194"/>
      <c r="W3003" s="19"/>
      <c r="X3003" s="17"/>
      <c r="Y3003" s="5">
        <f t="shared" si="286"/>
        <v>0</v>
      </c>
      <c r="Z3003" s="5">
        <f t="shared" si="287"/>
        <v>0</v>
      </c>
      <c r="AA3003" s="5">
        <f t="shared" si="288"/>
        <v>0</v>
      </c>
      <c r="AB3003" s="5">
        <f t="shared" si="289"/>
        <v>0</v>
      </c>
      <c r="AC3003" s="5"/>
      <c r="AD3003" s="5">
        <v>0</v>
      </c>
      <c r="AE3003" s="5">
        <f t="shared" si="290"/>
        <v>0</v>
      </c>
      <c r="AF3003" s="70">
        <v>0</v>
      </c>
      <c r="AG3003" s="17"/>
      <c r="AH3003" s="18"/>
      <c r="AI3003" s="47" t="s">
        <v>4346</v>
      </c>
      <c r="AJ3003" s="73" t="s">
        <v>4347</v>
      </c>
      <c r="AK3003" s="45"/>
      <c r="AL3003" s="89" t="s">
        <v>2798</v>
      </c>
      <c r="AM3003" s="195" t="s">
        <v>5558</v>
      </c>
      <c r="AN3003" s="19"/>
      <c r="AO3003" s="19"/>
      <c r="AP3003" s="19"/>
      <c r="AQ3003" s="19"/>
      <c r="AR3003" s="19"/>
      <c r="AS3003" s="19"/>
      <c r="AT3003" s="19"/>
      <c r="AU3003" s="19"/>
      <c r="AV3003" s="19"/>
      <c r="AW3003" s="19"/>
      <c r="AX3003" s="19"/>
      <c r="AY3003" s="19"/>
      <c r="AZ3003" s="19"/>
      <c r="BA3003" s="19"/>
      <c r="BB3003" s="19"/>
      <c r="BC3003" s="19"/>
      <c r="BD3003" s="19"/>
      <c r="BE3003" s="19"/>
      <c r="BF3003" s="19"/>
      <c r="BG3003" s="19"/>
      <c r="BH3003" s="19"/>
      <c r="BI3003" s="19"/>
      <c r="BJ3003" s="19"/>
      <c r="BK3003" s="19"/>
      <c r="BL3003" s="19"/>
      <c r="BM3003" s="19"/>
      <c r="BN3003" s="19"/>
      <c r="BO3003" s="19"/>
      <c r="BP3003" s="19"/>
      <c r="BQ3003" s="19"/>
      <c r="BR3003" s="19"/>
      <c r="BS3003" s="19"/>
      <c r="BT3003" s="19"/>
      <c r="BU3003" s="19"/>
      <c r="BV3003" s="19"/>
      <c r="BW3003" s="19"/>
      <c r="BX3003" s="19"/>
      <c r="BY3003" s="19"/>
      <c r="BZ3003" s="19"/>
      <c r="CA3003" s="19"/>
      <c r="CB3003" s="19"/>
      <c r="CC3003" s="19"/>
      <c r="CD3003" s="139"/>
      <c r="CE3003" s="138"/>
      <c r="CF3003" s="139"/>
      <c r="CG3003" s="138"/>
      <c r="CH3003" s="139"/>
      <c r="CI3003" s="138"/>
      <c r="CJ3003" s="72"/>
      <c r="CK3003" s="139"/>
      <c r="CL3003" s="71"/>
      <c r="CM3003" s="139"/>
      <c r="CN3003" s="138"/>
      <c r="CO3003" s="138"/>
      <c r="CP3003" s="138"/>
      <c r="CQ3003" s="139"/>
      <c r="CR3003" s="138"/>
      <c r="CS3003" s="45"/>
      <c r="CT3003" s="138"/>
      <c r="CU3003" s="45"/>
      <c r="CV3003" s="99">
        <f t="shared" si="291"/>
        <v>0</v>
      </c>
      <c r="CW3003" s="139"/>
      <c r="CX3003" s="138"/>
      <c r="CY3003" s="138"/>
      <c r="CZ3003" s="138"/>
      <c r="DA3003" s="139"/>
      <c r="DB3003" s="138"/>
      <c r="DC3003" s="45"/>
      <c r="DD3003" s="138"/>
      <c r="DE3003" s="45"/>
      <c r="DF3003" s="46"/>
    </row>
    <row r="3004" spans="1:110" s="42" customFormat="1" ht="312" x14ac:dyDescent="0.2">
      <c r="A3004" s="89">
        <v>40885</v>
      </c>
      <c r="B3004" s="151" t="s">
        <v>4219</v>
      </c>
      <c r="C3004" s="90" t="s">
        <v>3503</v>
      </c>
      <c r="D3004" s="90" t="s">
        <v>4264</v>
      </c>
      <c r="E3004" s="90" t="str">
        <f>VLOOKUP(B3004&amp;C3004,Divipola!$C$2:$F$1138,4,FALSE)</f>
        <v>41001</v>
      </c>
      <c r="F3004" s="4"/>
      <c r="G3004" s="101"/>
      <c r="H3004" s="101"/>
      <c r="I3004" s="101"/>
      <c r="J3004" s="101">
        <v>365</v>
      </c>
      <c r="K3004" s="101">
        <v>73</v>
      </c>
      <c r="L3004" s="101">
        <v>3</v>
      </c>
      <c r="M3004" s="101">
        <v>70</v>
      </c>
      <c r="N3004" s="101"/>
      <c r="O3004" s="101"/>
      <c r="P3004" s="101"/>
      <c r="Q3004" s="101">
        <v>1</v>
      </c>
      <c r="R3004" s="101"/>
      <c r="S3004" s="101"/>
      <c r="T3004" s="101"/>
      <c r="U3004" s="101"/>
      <c r="V3004" s="101"/>
      <c r="W3004" s="19"/>
      <c r="X3004" s="17"/>
      <c r="Y3004" s="5">
        <f t="shared" si="286"/>
        <v>0</v>
      </c>
      <c r="Z3004" s="5">
        <f t="shared" si="287"/>
        <v>0</v>
      </c>
      <c r="AA3004" s="5">
        <f t="shared" si="288"/>
        <v>0</v>
      </c>
      <c r="AB3004" s="5">
        <f t="shared" si="289"/>
        <v>0</v>
      </c>
      <c r="AC3004" s="5"/>
      <c r="AD3004" s="5">
        <v>0</v>
      </c>
      <c r="AE3004" s="5">
        <f t="shared" si="290"/>
        <v>0</v>
      </c>
      <c r="AF3004" s="70">
        <v>0</v>
      </c>
      <c r="AG3004" s="17"/>
      <c r="AH3004" s="18"/>
      <c r="AI3004" s="47" t="s">
        <v>4346</v>
      </c>
      <c r="AJ3004" s="73" t="s">
        <v>4347</v>
      </c>
      <c r="AK3004" s="45"/>
      <c r="AL3004" s="89" t="s">
        <v>2798</v>
      </c>
      <c r="AM3004" s="121" t="s">
        <v>5330</v>
      </c>
      <c r="AN3004" s="19"/>
      <c r="AO3004" s="19"/>
      <c r="AP3004" s="19"/>
      <c r="AQ3004" s="19"/>
      <c r="AR3004" s="19"/>
      <c r="AS3004" s="19"/>
      <c r="AT3004" s="19"/>
      <c r="AU3004" s="19"/>
      <c r="AV3004" s="19"/>
      <c r="AW3004" s="19"/>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9"/>
      <c r="BW3004" s="19"/>
      <c r="BX3004" s="19"/>
      <c r="BY3004" s="19"/>
      <c r="BZ3004" s="19"/>
      <c r="CA3004" s="19"/>
      <c r="CB3004" s="19"/>
      <c r="CC3004" s="19"/>
      <c r="CD3004" s="139"/>
      <c r="CE3004" s="138"/>
      <c r="CF3004" s="139"/>
      <c r="CG3004" s="138"/>
      <c r="CH3004" s="139"/>
      <c r="CI3004" s="138"/>
      <c r="CJ3004" s="72"/>
      <c r="CK3004" s="139"/>
      <c r="CL3004" s="71"/>
      <c r="CM3004" s="139"/>
      <c r="CN3004" s="138"/>
      <c r="CO3004" s="138"/>
      <c r="CP3004" s="138"/>
      <c r="CQ3004" s="139"/>
      <c r="CR3004" s="138"/>
      <c r="CS3004" s="45"/>
      <c r="CT3004" s="138"/>
      <c r="CU3004" s="45"/>
      <c r="CV3004" s="99">
        <f t="shared" si="291"/>
        <v>0</v>
      </c>
      <c r="CW3004" s="139"/>
      <c r="CX3004" s="138"/>
      <c r="CY3004" s="138"/>
      <c r="CZ3004" s="138"/>
      <c r="DA3004" s="139"/>
      <c r="DB3004" s="138"/>
      <c r="DC3004" s="45"/>
      <c r="DD3004" s="138"/>
      <c r="DE3004" s="45"/>
      <c r="DF3004" s="46"/>
    </row>
    <row r="3005" spans="1:110" s="42" customFormat="1" ht="144" x14ac:dyDescent="0.2">
      <c r="A3005" s="89">
        <v>40885</v>
      </c>
      <c r="B3005" s="151" t="s">
        <v>2218</v>
      </c>
      <c r="C3005" s="90" t="s">
        <v>3297</v>
      </c>
      <c r="D3005" s="90" t="s">
        <v>2362</v>
      </c>
      <c r="E3005" s="90" t="str">
        <f>VLOOKUP(B3005&amp;C3005,Divipola!$C$2:$F$1138,4,FALSE)</f>
        <v>05001</v>
      </c>
      <c r="F3005" s="4"/>
      <c r="G3005" s="101"/>
      <c r="H3005" s="101"/>
      <c r="I3005" s="101"/>
      <c r="J3005" s="101">
        <v>115</v>
      </c>
      <c r="K3005" s="101">
        <v>23</v>
      </c>
      <c r="L3005" s="101">
        <v>3</v>
      </c>
      <c r="M3005" s="101">
        <v>20</v>
      </c>
      <c r="N3005" s="101"/>
      <c r="O3005" s="101"/>
      <c r="P3005" s="101"/>
      <c r="Q3005" s="101"/>
      <c r="R3005" s="101"/>
      <c r="S3005" s="101"/>
      <c r="T3005" s="101"/>
      <c r="U3005" s="101"/>
      <c r="V3005" s="101"/>
      <c r="W3005" s="19"/>
      <c r="X3005" s="17"/>
      <c r="Y3005" s="5">
        <f t="shared" si="286"/>
        <v>0</v>
      </c>
      <c r="Z3005" s="5">
        <f t="shared" si="287"/>
        <v>0</v>
      </c>
      <c r="AA3005" s="5">
        <f t="shared" si="288"/>
        <v>0</v>
      </c>
      <c r="AB3005" s="5">
        <f t="shared" si="289"/>
        <v>0</v>
      </c>
      <c r="AC3005" s="5"/>
      <c r="AD3005" s="5">
        <v>0</v>
      </c>
      <c r="AE3005" s="5">
        <f t="shared" si="290"/>
        <v>0</v>
      </c>
      <c r="AF3005" s="70">
        <v>0</v>
      </c>
      <c r="AG3005" s="17"/>
      <c r="AH3005" s="18"/>
      <c r="AI3005" s="47" t="s">
        <v>4336</v>
      </c>
      <c r="AJ3005" s="73" t="s">
        <v>4337</v>
      </c>
      <c r="AK3005" s="45"/>
      <c r="AL3005" s="17"/>
      <c r="AM3005" s="121" t="s">
        <v>5331</v>
      </c>
      <c r="AN3005" s="19"/>
      <c r="AO3005" s="19"/>
      <c r="AP3005" s="19"/>
      <c r="AQ3005" s="19"/>
      <c r="AR3005" s="19"/>
      <c r="AS3005" s="19"/>
      <c r="AT3005" s="19"/>
      <c r="AU3005" s="19"/>
      <c r="AV3005" s="19"/>
      <c r="AW3005" s="19"/>
      <c r="AX3005" s="19"/>
      <c r="AY3005" s="19"/>
      <c r="AZ3005" s="19"/>
      <c r="BA3005" s="19"/>
      <c r="BB3005" s="19"/>
      <c r="BC3005" s="19"/>
      <c r="BD3005" s="19"/>
      <c r="BE3005" s="19"/>
      <c r="BF3005" s="19"/>
      <c r="BG3005" s="19"/>
      <c r="BH3005" s="19"/>
      <c r="BI3005" s="19"/>
      <c r="BJ3005" s="19"/>
      <c r="BK3005" s="19"/>
      <c r="BL3005" s="19"/>
      <c r="BM3005" s="19"/>
      <c r="BN3005" s="19"/>
      <c r="BO3005" s="19"/>
      <c r="BP3005" s="19"/>
      <c r="BQ3005" s="19"/>
      <c r="BR3005" s="19"/>
      <c r="BS3005" s="19"/>
      <c r="BT3005" s="19"/>
      <c r="BU3005" s="19"/>
      <c r="BV3005" s="19"/>
      <c r="BW3005" s="19"/>
      <c r="BX3005" s="19"/>
      <c r="BY3005" s="19"/>
      <c r="BZ3005" s="19"/>
      <c r="CA3005" s="19"/>
      <c r="CB3005" s="19"/>
      <c r="CC3005" s="19"/>
      <c r="CD3005" s="139"/>
      <c r="CE3005" s="138"/>
      <c r="CF3005" s="139"/>
      <c r="CG3005" s="138"/>
      <c r="CH3005" s="139"/>
      <c r="CI3005" s="138"/>
      <c r="CJ3005" s="72"/>
      <c r="CK3005" s="139"/>
      <c r="CL3005" s="71"/>
      <c r="CM3005" s="139"/>
      <c r="CN3005" s="138"/>
      <c r="CO3005" s="138"/>
      <c r="CP3005" s="138"/>
      <c r="CQ3005" s="139"/>
      <c r="CR3005" s="138"/>
      <c r="CS3005" s="45"/>
      <c r="CT3005" s="138"/>
      <c r="CU3005" s="45"/>
      <c r="CV3005" s="99">
        <f t="shared" si="291"/>
        <v>0</v>
      </c>
      <c r="CW3005" s="139"/>
      <c r="CX3005" s="138"/>
      <c r="CY3005" s="138"/>
      <c r="CZ3005" s="138"/>
      <c r="DA3005" s="139"/>
      <c r="DB3005" s="138"/>
      <c r="DC3005" s="45"/>
      <c r="DD3005" s="138"/>
      <c r="DE3005" s="45"/>
      <c r="DF3005" s="46"/>
    </row>
    <row r="3006" spans="1:110" s="42" customFormat="1" ht="48" x14ac:dyDescent="0.2">
      <c r="A3006" s="89">
        <v>40885</v>
      </c>
      <c r="B3006" s="151" t="s">
        <v>4344</v>
      </c>
      <c r="C3006" s="90" t="s">
        <v>1776</v>
      </c>
      <c r="D3006" s="90" t="s">
        <v>4264</v>
      </c>
      <c r="E3006" s="90" t="str">
        <f>VLOOKUP(B3006&amp;C3006,Divipola!$C$2:$F$1138,4,FALSE)</f>
        <v>25572</v>
      </c>
      <c r="F3006" s="4"/>
      <c r="G3006" s="101"/>
      <c r="H3006" s="101"/>
      <c r="I3006" s="101"/>
      <c r="J3006" s="101">
        <v>2000</v>
      </c>
      <c r="K3006" s="101">
        <v>400</v>
      </c>
      <c r="L3006" s="101"/>
      <c r="M3006" s="101">
        <v>400</v>
      </c>
      <c r="N3006" s="101"/>
      <c r="O3006" s="101"/>
      <c r="P3006" s="101"/>
      <c r="Q3006" s="101"/>
      <c r="R3006" s="101"/>
      <c r="S3006" s="101"/>
      <c r="T3006" s="101"/>
      <c r="U3006" s="101"/>
      <c r="V3006" s="101"/>
      <c r="W3006" s="19"/>
      <c r="X3006" s="17"/>
      <c r="Y3006" s="5">
        <f t="shared" si="286"/>
        <v>0</v>
      </c>
      <c r="Z3006" s="5">
        <f t="shared" si="287"/>
        <v>0</v>
      </c>
      <c r="AA3006" s="5">
        <f t="shared" si="288"/>
        <v>0</v>
      </c>
      <c r="AB3006" s="5">
        <f t="shared" si="289"/>
        <v>0</v>
      </c>
      <c r="AC3006" s="5"/>
      <c r="AD3006" s="5">
        <v>0</v>
      </c>
      <c r="AE3006" s="5">
        <f t="shared" si="290"/>
        <v>0</v>
      </c>
      <c r="AF3006" s="70">
        <v>0</v>
      </c>
      <c r="AG3006" s="17"/>
      <c r="AH3006" s="18"/>
      <c r="AI3006" s="47" t="s">
        <v>4346</v>
      </c>
      <c r="AJ3006" s="73" t="s">
        <v>4347</v>
      </c>
      <c r="AK3006" s="45"/>
      <c r="AL3006" s="89" t="s">
        <v>2798</v>
      </c>
      <c r="AM3006" s="121" t="s">
        <v>5332</v>
      </c>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39"/>
      <c r="CE3006" s="138"/>
      <c r="CF3006" s="139"/>
      <c r="CG3006" s="138"/>
      <c r="CH3006" s="139"/>
      <c r="CI3006" s="138"/>
      <c r="CJ3006" s="72"/>
      <c r="CK3006" s="139"/>
      <c r="CL3006" s="71"/>
      <c r="CM3006" s="139"/>
      <c r="CN3006" s="138"/>
      <c r="CO3006" s="138"/>
      <c r="CP3006" s="138"/>
      <c r="CQ3006" s="139"/>
      <c r="CR3006" s="138"/>
      <c r="CS3006" s="45"/>
      <c r="CT3006" s="138"/>
      <c r="CU3006" s="45"/>
      <c r="CV3006" s="99">
        <f t="shared" si="291"/>
        <v>0</v>
      </c>
      <c r="CW3006" s="139"/>
      <c r="CX3006" s="138"/>
      <c r="CY3006" s="138"/>
      <c r="CZ3006" s="138"/>
      <c r="DA3006" s="139"/>
      <c r="DB3006" s="138"/>
      <c r="DC3006" s="45"/>
      <c r="DD3006" s="138"/>
      <c r="DE3006" s="45"/>
      <c r="DF3006" s="46"/>
    </row>
    <row r="3007" spans="1:110" s="42" customFormat="1" ht="24" x14ac:dyDescent="0.2">
      <c r="A3007" s="89">
        <v>40885</v>
      </c>
      <c r="B3007" s="151" t="s">
        <v>4344</v>
      </c>
      <c r="C3007" s="90" t="s">
        <v>1756</v>
      </c>
      <c r="D3007" s="90" t="s">
        <v>4264</v>
      </c>
      <c r="E3007" s="90" t="str">
        <f>VLOOKUP(B3007&amp;C3007,Divipola!$C$2:$F$1138,4,FALSE)</f>
        <v>25473</v>
      </c>
      <c r="F3007" s="4"/>
      <c r="G3007" s="101"/>
      <c r="H3007" s="101"/>
      <c r="I3007" s="101"/>
      <c r="J3007" s="101">
        <v>49</v>
      </c>
      <c r="K3007" s="101">
        <v>11</v>
      </c>
      <c r="L3007" s="101"/>
      <c r="M3007" s="101">
        <v>11</v>
      </c>
      <c r="N3007" s="101"/>
      <c r="O3007" s="101"/>
      <c r="P3007" s="101"/>
      <c r="Q3007" s="101"/>
      <c r="R3007" s="101"/>
      <c r="S3007" s="101"/>
      <c r="T3007" s="101"/>
      <c r="U3007" s="101"/>
      <c r="V3007" s="101"/>
      <c r="W3007" s="19"/>
      <c r="X3007" s="17"/>
      <c r="Y3007" s="5">
        <f t="shared" si="286"/>
        <v>0</v>
      </c>
      <c r="Z3007" s="5">
        <f t="shared" si="287"/>
        <v>0</v>
      </c>
      <c r="AA3007" s="5">
        <f t="shared" si="288"/>
        <v>0</v>
      </c>
      <c r="AB3007" s="5">
        <f t="shared" si="289"/>
        <v>0</v>
      </c>
      <c r="AC3007" s="5"/>
      <c r="AD3007" s="5">
        <v>0</v>
      </c>
      <c r="AE3007" s="5">
        <f t="shared" si="290"/>
        <v>0</v>
      </c>
      <c r="AF3007" s="70">
        <v>0</v>
      </c>
      <c r="AG3007" s="17"/>
      <c r="AH3007" s="18"/>
      <c r="AI3007" s="47" t="s">
        <v>4346</v>
      </c>
      <c r="AJ3007" s="73" t="s">
        <v>4347</v>
      </c>
      <c r="AK3007" s="45"/>
      <c r="AL3007" s="89" t="s">
        <v>2798</v>
      </c>
      <c r="AM3007" s="121" t="s">
        <v>5333</v>
      </c>
      <c r="AN3007" s="19"/>
      <c r="AO3007" s="19"/>
      <c r="AP3007" s="19"/>
      <c r="AQ3007" s="19"/>
      <c r="AR3007" s="19"/>
      <c r="AS3007" s="19"/>
      <c r="AT3007" s="19"/>
      <c r="AU3007" s="19"/>
      <c r="AV3007" s="19"/>
      <c r="AW3007" s="19"/>
      <c r="AX3007" s="19"/>
      <c r="AY3007" s="19"/>
      <c r="AZ3007" s="19"/>
      <c r="BA3007" s="19"/>
      <c r="BB3007" s="19"/>
      <c r="BC3007" s="19"/>
      <c r="BD3007" s="19"/>
      <c r="BE3007" s="19"/>
      <c r="BF3007" s="19"/>
      <c r="BG3007" s="19"/>
      <c r="BH3007" s="19"/>
      <c r="BI3007" s="19"/>
      <c r="BJ3007" s="19"/>
      <c r="BK3007" s="19"/>
      <c r="BL3007" s="19"/>
      <c r="BM3007" s="19"/>
      <c r="BN3007" s="19"/>
      <c r="BO3007" s="19"/>
      <c r="BP3007" s="19"/>
      <c r="BQ3007" s="19"/>
      <c r="BR3007" s="19"/>
      <c r="BS3007" s="19"/>
      <c r="BT3007" s="19"/>
      <c r="BU3007" s="19"/>
      <c r="BV3007" s="19"/>
      <c r="BW3007" s="19"/>
      <c r="BX3007" s="19"/>
      <c r="BY3007" s="19"/>
      <c r="BZ3007" s="19"/>
      <c r="CA3007" s="19"/>
      <c r="CB3007" s="19"/>
      <c r="CC3007" s="19"/>
      <c r="CD3007" s="139"/>
      <c r="CE3007" s="138"/>
      <c r="CF3007" s="139"/>
      <c r="CG3007" s="138"/>
      <c r="CH3007" s="139"/>
      <c r="CI3007" s="138"/>
      <c r="CJ3007" s="72"/>
      <c r="CK3007" s="139"/>
      <c r="CL3007" s="71"/>
      <c r="CM3007" s="139"/>
      <c r="CN3007" s="138"/>
      <c r="CO3007" s="138"/>
      <c r="CP3007" s="138"/>
      <c r="CQ3007" s="139"/>
      <c r="CR3007" s="138"/>
      <c r="CS3007" s="45"/>
      <c r="CT3007" s="138"/>
      <c r="CU3007" s="45"/>
      <c r="CV3007" s="99">
        <f t="shared" si="291"/>
        <v>0</v>
      </c>
      <c r="CW3007" s="139"/>
      <c r="CX3007" s="138"/>
      <c r="CY3007" s="138"/>
      <c r="CZ3007" s="138"/>
      <c r="DA3007" s="139"/>
      <c r="DB3007" s="138"/>
      <c r="DC3007" s="45"/>
      <c r="DD3007" s="138"/>
      <c r="DE3007" s="45"/>
      <c r="DF3007" s="46"/>
    </row>
    <row r="3008" spans="1:110" s="42" customFormat="1" ht="72" x14ac:dyDescent="0.2">
      <c r="A3008" s="89">
        <v>40885</v>
      </c>
      <c r="B3008" s="151" t="s">
        <v>4344</v>
      </c>
      <c r="C3008" s="90" t="s">
        <v>3450</v>
      </c>
      <c r="D3008" s="90" t="s">
        <v>4264</v>
      </c>
      <c r="E3008" s="90" t="str">
        <f>VLOOKUP(B3008&amp;C3008,Divipola!$C$2:$F$1138,4,FALSE)</f>
        <v>25175</v>
      </c>
      <c r="F3008" s="4"/>
      <c r="G3008" s="101"/>
      <c r="H3008" s="101"/>
      <c r="I3008" s="101"/>
      <c r="J3008" s="101">
        <v>7</v>
      </c>
      <c r="K3008" s="101">
        <v>2</v>
      </c>
      <c r="L3008" s="101"/>
      <c r="M3008" s="101">
        <v>2</v>
      </c>
      <c r="N3008" s="101"/>
      <c r="O3008" s="101"/>
      <c r="P3008" s="101"/>
      <c r="Q3008" s="101"/>
      <c r="R3008" s="101"/>
      <c r="S3008" s="101"/>
      <c r="T3008" s="101"/>
      <c r="U3008" s="101"/>
      <c r="V3008" s="101">
        <v>40</v>
      </c>
      <c r="W3008" s="19"/>
      <c r="X3008" s="17"/>
      <c r="Y3008" s="5">
        <f t="shared" si="286"/>
        <v>0</v>
      </c>
      <c r="Z3008" s="5">
        <f t="shared" si="287"/>
        <v>0</v>
      </c>
      <c r="AA3008" s="5">
        <f t="shared" si="288"/>
        <v>0</v>
      </c>
      <c r="AB3008" s="5">
        <f t="shared" si="289"/>
        <v>0</v>
      </c>
      <c r="AC3008" s="5"/>
      <c r="AD3008" s="5">
        <v>0</v>
      </c>
      <c r="AE3008" s="5">
        <f t="shared" si="290"/>
        <v>0</v>
      </c>
      <c r="AF3008" s="70">
        <v>0</v>
      </c>
      <c r="AG3008" s="17"/>
      <c r="AH3008" s="18"/>
      <c r="AI3008" s="47" t="s">
        <v>4346</v>
      </c>
      <c r="AJ3008" s="73" t="s">
        <v>4347</v>
      </c>
      <c r="AK3008" s="45"/>
      <c r="AL3008" s="89" t="s">
        <v>2798</v>
      </c>
      <c r="AM3008" s="121" t="s">
        <v>5334</v>
      </c>
      <c r="AN3008" s="19"/>
      <c r="AO3008" s="19"/>
      <c r="AP3008" s="19"/>
      <c r="AQ3008" s="19"/>
      <c r="AR3008" s="19"/>
      <c r="AS3008" s="19"/>
      <c r="AT3008" s="19"/>
      <c r="AU3008" s="19"/>
      <c r="AV3008" s="19"/>
      <c r="AW3008" s="19"/>
      <c r="AX3008" s="19"/>
      <c r="AY3008" s="19"/>
      <c r="AZ3008" s="19"/>
      <c r="BA3008" s="19"/>
      <c r="BB3008" s="19"/>
      <c r="BC3008" s="19"/>
      <c r="BD3008" s="19"/>
      <c r="BE3008" s="19"/>
      <c r="BF3008" s="19"/>
      <c r="BG3008" s="19"/>
      <c r="BH3008" s="19"/>
      <c r="BI3008" s="19"/>
      <c r="BJ3008" s="19"/>
      <c r="BK3008" s="19"/>
      <c r="BL3008" s="19"/>
      <c r="BM3008" s="19"/>
      <c r="BN3008" s="19"/>
      <c r="BO3008" s="19"/>
      <c r="BP3008" s="19"/>
      <c r="BQ3008" s="19"/>
      <c r="BR3008" s="19"/>
      <c r="BS3008" s="19"/>
      <c r="BT3008" s="19"/>
      <c r="BU3008" s="19"/>
      <c r="BV3008" s="19"/>
      <c r="BW3008" s="19"/>
      <c r="BX3008" s="19"/>
      <c r="BY3008" s="19"/>
      <c r="BZ3008" s="19"/>
      <c r="CA3008" s="19"/>
      <c r="CB3008" s="19"/>
      <c r="CC3008" s="19"/>
      <c r="CD3008" s="139"/>
      <c r="CE3008" s="138"/>
      <c r="CF3008" s="139"/>
      <c r="CG3008" s="138"/>
      <c r="CH3008" s="139"/>
      <c r="CI3008" s="138"/>
      <c r="CJ3008" s="72"/>
      <c r="CK3008" s="139"/>
      <c r="CL3008" s="71"/>
      <c r="CM3008" s="139"/>
      <c r="CN3008" s="138"/>
      <c r="CO3008" s="138"/>
      <c r="CP3008" s="138"/>
      <c r="CQ3008" s="139"/>
      <c r="CR3008" s="138"/>
      <c r="CS3008" s="45"/>
      <c r="CT3008" s="138"/>
      <c r="CU3008" s="45"/>
      <c r="CV3008" s="99">
        <f t="shared" si="291"/>
        <v>0</v>
      </c>
      <c r="CW3008" s="139"/>
      <c r="CX3008" s="138"/>
      <c r="CY3008" s="138"/>
      <c r="CZ3008" s="138"/>
      <c r="DA3008" s="139"/>
      <c r="DB3008" s="138"/>
      <c r="DC3008" s="45"/>
      <c r="DD3008" s="138"/>
      <c r="DE3008" s="45"/>
      <c r="DF3008" s="46"/>
    </row>
    <row r="3009" spans="1:110" s="42" customFormat="1" ht="48" x14ac:dyDescent="0.2">
      <c r="A3009" s="89">
        <v>40885</v>
      </c>
      <c r="B3009" s="151" t="s">
        <v>4219</v>
      </c>
      <c r="C3009" s="90" t="s">
        <v>2278</v>
      </c>
      <c r="D3009" s="90" t="s">
        <v>2362</v>
      </c>
      <c r="E3009" s="90" t="str">
        <f>VLOOKUP(B3009&amp;C3009,Divipola!$C$2:$F$1138,4,FALSE)</f>
        <v>41306</v>
      </c>
      <c r="F3009" s="4"/>
      <c r="G3009" s="101"/>
      <c r="H3009" s="101"/>
      <c r="I3009" s="101"/>
      <c r="J3009" s="101"/>
      <c r="K3009" s="101"/>
      <c r="L3009" s="101"/>
      <c r="M3009" s="101"/>
      <c r="N3009" s="101"/>
      <c r="O3009" s="101"/>
      <c r="P3009" s="101"/>
      <c r="Q3009" s="101"/>
      <c r="R3009" s="101"/>
      <c r="S3009" s="101"/>
      <c r="T3009" s="101"/>
      <c r="U3009" s="101"/>
      <c r="V3009" s="101"/>
      <c r="W3009" s="19"/>
      <c r="X3009" s="17"/>
      <c r="Y3009" s="5">
        <f t="shared" si="286"/>
        <v>0</v>
      </c>
      <c r="Z3009" s="5">
        <f t="shared" si="287"/>
        <v>0</v>
      </c>
      <c r="AA3009" s="5">
        <f t="shared" si="288"/>
        <v>0</v>
      </c>
      <c r="AB3009" s="5">
        <f t="shared" si="289"/>
        <v>0</v>
      </c>
      <c r="AC3009" s="5"/>
      <c r="AD3009" s="5">
        <v>0</v>
      </c>
      <c r="AE3009" s="5">
        <f t="shared" si="290"/>
        <v>0</v>
      </c>
      <c r="AF3009" s="70">
        <v>0</v>
      </c>
      <c r="AG3009" s="17"/>
      <c r="AH3009" s="18"/>
      <c r="AI3009" s="47" t="s">
        <v>4346</v>
      </c>
      <c r="AJ3009" s="73" t="s">
        <v>4347</v>
      </c>
      <c r="AK3009" s="45"/>
      <c r="AL3009" s="89" t="s">
        <v>2798</v>
      </c>
      <c r="AM3009" s="121" t="s">
        <v>5335</v>
      </c>
      <c r="AN3009" s="19"/>
      <c r="AO3009" s="19"/>
      <c r="AP3009" s="19"/>
      <c r="AQ3009" s="19"/>
      <c r="AR3009" s="19"/>
      <c r="AS3009" s="19"/>
      <c r="AT3009" s="19"/>
      <c r="AU3009" s="19"/>
      <c r="AV3009" s="19"/>
      <c r="AW3009" s="19"/>
      <c r="AX3009" s="19"/>
      <c r="AY3009" s="19"/>
      <c r="AZ3009" s="19"/>
      <c r="BA3009" s="19"/>
      <c r="BB3009" s="19"/>
      <c r="BC3009" s="19"/>
      <c r="BD3009" s="19"/>
      <c r="BE3009" s="19"/>
      <c r="BF3009" s="19"/>
      <c r="BG3009" s="19"/>
      <c r="BH3009" s="19"/>
      <c r="BI3009" s="19"/>
      <c r="BJ3009" s="19"/>
      <c r="BK3009" s="19"/>
      <c r="BL3009" s="19"/>
      <c r="BM3009" s="19"/>
      <c r="BN3009" s="19"/>
      <c r="BO3009" s="19"/>
      <c r="BP3009" s="19"/>
      <c r="BQ3009" s="19"/>
      <c r="BR3009" s="19"/>
      <c r="BS3009" s="19"/>
      <c r="BT3009" s="19"/>
      <c r="BU3009" s="19"/>
      <c r="BV3009" s="19"/>
      <c r="BW3009" s="19"/>
      <c r="BX3009" s="19"/>
      <c r="BY3009" s="19"/>
      <c r="BZ3009" s="19"/>
      <c r="CA3009" s="19"/>
      <c r="CB3009" s="19"/>
      <c r="CC3009" s="19"/>
      <c r="CD3009" s="139"/>
      <c r="CE3009" s="138"/>
      <c r="CF3009" s="139"/>
      <c r="CG3009" s="138"/>
      <c r="CH3009" s="139"/>
      <c r="CI3009" s="138"/>
      <c r="CJ3009" s="72"/>
      <c r="CK3009" s="139"/>
      <c r="CL3009" s="71"/>
      <c r="CM3009" s="139"/>
      <c r="CN3009" s="138"/>
      <c r="CO3009" s="138"/>
      <c r="CP3009" s="138"/>
      <c r="CQ3009" s="139"/>
      <c r="CR3009" s="138"/>
      <c r="CS3009" s="45"/>
      <c r="CT3009" s="138"/>
      <c r="CU3009" s="45"/>
      <c r="CV3009" s="99">
        <f t="shared" si="291"/>
        <v>0</v>
      </c>
      <c r="CW3009" s="139"/>
      <c r="CX3009" s="138"/>
      <c r="CY3009" s="138"/>
      <c r="CZ3009" s="138"/>
      <c r="DA3009" s="139"/>
      <c r="DB3009" s="138"/>
      <c r="DC3009" s="45"/>
      <c r="DD3009" s="138"/>
      <c r="DE3009" s="45"/>
      <c r="DF3009" s="46"/>
    </row>
    <row r="3010" spans="1:110" s="42" customFormat="1" ht="36" x14ac:dyDescent="0.2">
      <c r="A3010" s="89">
        <v>40885</v>
      </c>
      <c r="B3010" s="151" t="s">
        <v>4219</v>
      </c>
      <c r="C3010" s="90" t="s">
        <v>63</v>
      </c>
      <c r="D3010" s="90" t="s">
        <v>2362</v>
      </c>
      <c r="E3010" s="90" t="str">
        <f>VLOOKUP(B3010&amp;C3010,Divipola!$C$2:$F$1138,4,FALSE)</f>
        <v>41524</v>
      </c>
      <c r="F3010" s="4"/>
      <c r="G3010" s="101"/>
      <c r="H3010" s="101"/>
      <c r="I3010" s="101"/>
      <c r="J3010" s="101">
        <v>1</v>
      </c>
      <c r="K3010" s="101"/>
      <c r="L3010" s="101"/>
      <c r="M3010" s="101"/>
      <c r="N3010" s="101"/>
      <c r="O3010" s="101"/>
      <c r="P3010" s="101"/>
      <c r="Q3010" s="101"/>
      <c r="R3010" s="101"/>
      <c r="S3010" s="101"/>
      <c r="T3010" s="101"/>
      <c r="U3010" s="101"/>
      <c r="V3010" s="101"/>
      <c r="W3010" s="19"/>
      <c r="X3010" s="17"/>
      <c r="Y3010" s="5">
        <f t="shared" ref="Y3010:Y3072" si="292">CV3010</f>
        <v>0</v>
      </c>
      <c r="Z3010" s="5">
        <f t="shared" ref="Z3010:Z3072" si="293">CZ3010</f>
        <v>0</v>
      </c>
      <c r="AA3010" s="5">
        <f t="shared" ref="AA3010:AA3072" si="294">DB3010+DD3010</f>
        <v>0</v>
      </c>
      <c r="AB3010" s="5">
        <f t="shared" ref="AB3010:AB3072" si="295">CX3010</f>
        <v>0</v>
      </c>
      <c r="AC3010" s="5"/>
      <c r="AD3010" s="5">
        <v>0</v>
      </c>
      <c r="AE3010" s="5">
        <f t="shared" ref="AE3010:AE3072" si="296">Y3010+Z3010+AA3010+AB3010+AC3010+AD3010</f>
        <v>0</v>
      </c>
      <c r="AF3010" s="70">
        <v>0</v>
      </c>
      <c r="AG3010" s="17"/>
      <c r="AH3010" s="18"/>
      <c r="AI3010" s="47" t="s">
        <v>4346</v>
      </c>
      <c r="AJ3010" s="73" t="s">
        <v>4347</v>
      </c>
      <c r="AK3010" s="45"/>
      <c r="AL3010" s="89" t="s">
        <v>2798</v>
      </c>
      <c r="AM3010" s="121" t="s">
        <v>5336</v>
      </c>
      <c r="AN3010" s="19"/>
      <c r="AO3010" s="19"/>
      <c r="AP3010" s="19"/>
      <c r="AQ3010" s="19"/>
      <c r="AR3010" s="19"/>
      <c r="AS3010" s="19"/>
      <c r="AT3010" s="19"/>
      <c r="AU3010" s="19"/>
      <c r="AV3010" s="19"/>
      <c r="AW3010" s="19"/>
      <c r="AX3010" s="19"/>
      <c r="AY3010" s="19"/>
      <c r="AZ3010" s="19"/>
      <c r="BA3010" s="19"/>
      <c r="BB3010" s="19"/>
      <c r="BC3010" s="19"/>
      <c r="BD3010" s="19"/>
      <c r="BE3010" s="19"/>
      <c r="BF3010" s="19"/>
      <c r="BG3010" s="19"/>
      <c r="BH3010" s="19"/>
      <c r="BI3010" s="19"/>
      <c r="BJ3010" s="19"/>
      <c r="BK3010" s="19"/>
      <c r="BL3010" s="19"/>
      <c r="BM3010" s="19"/>
      <c r="BN3010" s="19"/>
      <c r="BO3010" s="19"/>
      <c r="BP3010" s="19"/>
      <c r="BQ3010" s="19"/>
      <c r="BR3010" s="19"/>
      <c r="BS3010" s="19"/>
      <c r="BT3010" s="19"/>
      <c r="BU3010" s="19"/>
      <c r="BV3010" s="19"/>
      <c r="BW3010" s="19"/>
      <c r="BX3010" s="19"/>
      <c r="BY3010" s="19"/>
      <c r="BZ3010" s="19"/>
      <c r="CA3010" s="19"/>
      <c r="CB3010" s="19"/>
      <c r="CC3010" s="19"/>
      <c r="CD3010" s="139"/>
      <c r="CE3010" s="138"/>
      <c r="CF3010" s="139"/>
      <c r="CG3010" s="138"/>
      <c r="CH3010" s="139"/>
      <c r="CI3010" s="138"/>
      <c r="CJ3010" s="72"/>
      <c r="CK3010" s="139"/>
      <c r="CL3010" s="71"/>
      <c r="CM3010" s="139"/>
      <c r="CN3010" s="138"/>
      <c r="CO3010" s="138"/>
      <c r="CP3010" s="138"/>
      <c r="CQ3010" s="139"/>
      <c r="CR3010" s="138"/>
      <c r="CS3010" s="45"/>
      <c r="CT3010" s="138"/>
      <c r="CU3010" s="45"/>
      <c r="CV3010" s="99">
        <f t="shared" si="291"/>
        <v>0</v>
      </c>
      <c r="CW3010" s="139"/>
      <c r="CX3010" s="138"/>
      <c r="CY3010" s="138"/>
      <c r="CZ3010" s="138"/>
      <c r="DA3010" s="139"/>
      <c r="DB3010" s="138"/>
      <c r="DC3010" s="45"/>
      <c r="DD3010" s="138"/>
      <c r="DE3010" s="45"/>
      <c r="DF3010" s="46"/>
    </row>
    <row r="3011" spans="1:110" s="42" customFormat="1" ht="60" x14ac:dyDescent="0.2">
      <c r="A3011" s="89">
        <v>40885</v>
      </c>
      <c r="B3011" s="151" t="s">
        <v>4219</v>
      </c>
      <c r="C3011" s="90" t="s">
        <v>4228</v>
      </c>
      <c r="D3011" s="90" t="s">
        <v>4264</v>
      </c>
      <c r="E3011" s="90" t="str">
        <f>VLOOKUP(B3011&amp;C3011,Divipola!$C$2:$F$1138,4,FALSE)</f>
        <v>41885</v>
      </c>
      <c r="F3011" s="4"/>
      <c r="G3011" s="101" t="s">
        <v>5279</v>
      </c>
      <c r="H3011" s="101"/>
      <c r="I3011" s="101"/>
      <c r="J3011" s="101">
        <v>125</v>
      </c>
      <c r="K3011" s="101">
        <v>25</v>
      </c>
      <c r="L3011" s="101">
        <v>2</v>
      </c>
      <c r="M3011" s="101">
        <v>23</v>
      </c>
      <c r="N3011" s="101"/>
      <c r="O3011" s="101"/>
      <c r="P3011" s="101"/>
      <c r="Q3011" s="101">
        <v>1</v>
      </c>
      <c r="R3011" s="101"/>
      <c r="S3011" s="101"/>
      <c r="T3011" s="101"/>
      <c r="U3011" s="101"/>
      <c r="V3011" s="101">
        <v>123</v>
      </c>
      <c r="W3011" s="19"/>
      <c r="X3011" s="17"/>
      <c r="Y3011" s="5">
        <f t="shared" si="292"/>
        <v>0</v>
      </c>
      <c r="Z3011" s="5">
        <f t="shared" si="293"/>
        <v>0</v>
      </c>
      <c r="AA3011" s="5">
        <f t="shared" si="294"/>
        <v>0</v>
      </c>
      <c r="AB3011" s="5">
        <f t="shared" si="295"/>
        <v>0</v>
      </c>
      <c r="AC3011" s="5"/>
      <c r="AD3011" s="5">
        <v>0</v>
      </c>
      <c r="AE3011" s="5">
        <f t="shared" si="296"/>
        <v>0</v>
      </c>
      <c r="AF3011" s="70">
        <v>0</v>
      </c>
      <c r="AG3011" s="17"/>
      <c r="AH3011" s="18"/>
      <c r="AI3011" s="47" t="s">
        <v>4346</v>
      </c>
      <c r="AJ3011" s="73" t="s">
        <v>4347</v>
      </c>
      <c r="AK3011" s="45"/>
      <c r="AL3011" s="89" t="s">
        <v>2798</v>
      </c>
      <c r="AM3011" s="121" t="s">
        <v>5337</v>
      </c>
      <c r="AN3011" s="19"/>
      <c r="AO3011" s="19"/>
      <c r="AP3011" s="19"/>
      <c r="AQ3011" s="19"/>
      <c r="AR3011" s="19"/>
      <c r="AS3011" s="19"/>
      <c r="AT3011" s="19"/>
      <c r="AU3011" s="19"/>
      <c r="AV3011" s="19"/>
      <c r="AW3011" s="19"/>
      <c r="AX3011" s="19"/>
      <c r="AY3011" s="19"/>
      <c r="AZ3011" s="19"/>
      <c r="BA3011" s="19"/>
      <c r="BB3011" s="19"/>
      <c r="BC3011" s="19"/>
      <c r="BD3011" s="19"/>
      <c r="BE3011" s="19"/>
      <c r="BF3011" s="19"/>
      <c r="BG3011" s="19"/>
      <c r="BH3011" s="19"/>
      <c r="BI3011" s="19"/>
      <c r="BJ3011" s="19"/>
      <c r="BK3011" s="19"/>
      <c r="BL3011" s="19"/>
      <c r="BM3011" s="19"/>
      <c r="BN3011" s="19"/>
      <c r="BO3011" s="19"/>
      <c r="BP3011" s="19"/>
      <c r="BQ3011" s="19"/>
      <c r="BR3011" s="19"/>
      <c r="BS3011" s="19"/>
      <c r="BT3011" s="19"/>
      <c r="BU3011" s="19"/>
      <c r="BV3011" s="19"/>
      <c r="BW3011" s="19"/>
      <c r="BX3011" s="19"/>
      <c r="BY3011" s="19"/>
      <c r="BZ3011" s="19"/>
      <c r="CA3011" s="19"/>
      <c r="CB3011" s="19"/>
      <c r="CC3011" s="19"/>
      <c r="CD3011" s="139"/>
      <c r="CE3011" s="138"/>
      <c r="CF3011" s="139"/>
      <c r="CG3011" s="138"/>
      <c r="CH3011" s="139"/>
      <c r="CI3011" s="138"/>
      <c r="CJ3011" s="72"/>
      <c r="CK3011" s="139"/>
      <c r="CL3011" s="71"/>
      <c r="CM3011" s="139"/>
      <c r="CN3011" s="138"/>
      <c r="CO3011" s="138"/>
      <c r="CP3011" s="138"/>
      <c r="CQ3011" s="139"/>
      <c r="CR3011" s="138"/>
      <c r="CS3011" s="45"/>
      <c r="CT3011" s="138"/>
      <c r="CU3011" s="45"/>
      <c r="CV3011" s="99">
        <f t="shared" ref="CV3011:CV3073" si="297">AO3011+AQ3011+AS3011+AU3011+AW3011+AY3011+BA3011+BC3011+BE3011+BG3011+BI3011+BK3011+BM3011+BO3011+BQ3011+BS3011+BU3011+BW3011+BY3011+CA3011+CC3011+CE3011+CG3011+CI3011+CK3011+CM3011+CO3011+CQ3011+CS3011+CU3011</f>
        <v>0</v>
      </c>
      <c r="CW3011" s="139"/>
      <c r="CX3011" s="138"/>
      <c r="CY3011" s="138"/>
      <c r="CZ3011" s="138"/>
      <c r="DA3011" s="139"/>
      <c r="DB3011" s="138"/>
      <c r="DC3011" s="45"/>
      <c r="DD3011" s="138"/>
      <c r="DE3011" s="45"/>
      <c r="DF3011" s="46"/>
    </row>
    <row r="3012" spans="1:110" s="42" customFormat="1" ht="48" x14ac:dyDescent="0.2">
      <c r="A3012" s="89">
        <v>40885</v>
      </c>
      <c r="B3012" s="151" t="s">
        <v>4219</v>
      </c>
      <c r="C3012" s="90" t="s">
        <v>2232</v>
      </c>
      <c r="D3012" s="90" t="s">
        <v>2362</v>
      </c>
      <c r="E3012" s="90" t="str">
        <f>VLOOKUP(B3012&amp;C3012,Divipola!$C$2:$F$1138,4,FALSE)</f>
        <v>41551</v>
      </c>
      <c r="F3012" s="4"/>
      <c r="G3012" s="101"/>
      <c r="H3012" s="101"/>
      <c r="I3012" s="101"/>
      <c r="J3012" s="101"/>
      <c r="K3012" s="101"/>
      <c r="L3012" s="101"/>
      <c r="M3012" s="101"/>
      <c r="N3012" s="101">
        <v>1</v>
      </c>
      <c r="O3012" s="101"/>
      <c r="P3012" s="101"/>
      <c r="Q3012" s="101"/>
      <c r="R3012" s="101"/>
      <c r="S3012" s="101"/>
      <c r="T3012" s="101"/>
      <c r="U3012" s="101"/>
      <c r="V3012" s="101"/>
      <c r="W3012" s="19"/>
      <c r="X3012" s="17"/>
      <c r="Y3012" s="5">
        <f t="shared" si="292"/>
        <v>0</v>
      </c>
      <c r="Z3012" s="5">
        <f t="shared" si="293"/>
        <v>0</v>
      </c>
      <c r="AA3012" s="5">
        <f t="shared" si="294"/>
        <v>0</v>
      </c>
      <c r="AB3012" s="5">
        <f t="shared" si="295"/>
        <v>0</v>
      </c>
      <c r="AC3012" s="5"/>
      <c r="AD3012" s="5">
        <v>0</v>
      </c>
      <c r="AE3012" s="5">
        <f t="shared" si="296"/>
        <v>0</v>
      </c>
      <c r="AF3012" s="70">
        <v>0</v>
      </c>
      <c r="AG3012" s="17"/>
      <c r="AH3012" s="18"/>
      <c r="AI3012" s="47" t="s">
        <v>4346</v>
      </c>
      <c r="AJ3012" s="73" t="s">
        <v>4347</v>
      </c>
      <c r="AK3012" s="45"/>
      <c r="AL3012" s="89" t="s">
        <v>2798</v>
      </c>
      <c r="AM3012" s="121" t="s">
        <v>5338</v>
      </c>
      <c r="AN3012" s="19"/>
      <c r="AO3012" s="19"/>
      <c r="AP3012" s="19"/>
      <c r="AQ3012" s="19"/>
      <c r="AR3012" s="19"/>
      <c r="AS3012" s="19"/>
      <c r="AT3012" s="19"/>
      <c r="AU3012" s="19"/>
      <c r="AV3012" s="19"/>
      <c r="AW3012" s="19"/>
      <c r="AX3012" s="19"/>
      <c r="AY3012" s="19"/>
      <c r="AZ3012" s="19"/>
      <c r="BA3012" s="19"/>
      <c r="BB3012" s="19"/>
      <c r="BC3012" s="19"/>
      <c r="BD3012" s="19"/>
      <c r="BE3012" s="19"/>
      <c r="BF3012" s="19"/>
      <c r="BG3012" s="19"/>
      <c r="BH3012" s="19"/>
      <c r="BI3012" s="19"/>
      <c r="BJ3012" s="19"/>
      <c r="BK3012" s="19"/>
      <c r="BL3012" s="19"/>
      <c r="BM3012" s="19"/>
      <c r="BN3012" s="19"/>
      <c r="BO3012" s="19"/>
      <c r="BP3012" s="19"/>
      <c r="BQ3012" s="19"/>
      <c r="BR3012" s="19"/>
      <c r="BS3012" s="19"/>
      <c r="BT3012" s="19"/>
      <c r="BU3012" s="19"/>
      <c r="BV3012" s="19"/>
      <c r="BW3012" s="19"/>
      <c r="BX3012" s="19"/>
      <c r="BY3012" s="19"/>
      <c r="BZ3012" s="19"/>
      <c r="CA3012" s="19"/>
      <c r="CB3012" s="19"/>
      <c r="CC3012" s="19"/>
      <c r="CD3012" s="139"/>
      <c r="CE3012" s="138"/>
      <c r="CF3012" s="139"/>
      <c r="CG3012" s="138"/>
      <c r="CH3012" s="139"/>
      <c r="CI3012" s="138"/>
      <c r="CJ3012" s="72"/>
      <c r="CK3012" s="139"/>
      <c r="CL3012" s="71"/>
      <c r="CM3012" s="139"/>
      <c r="CN3012" s="138"/>
      <c r="CO3012" s="138"/>
      <c r="CP3012" s="138"/>
      <c r="CQ3012" s="139"/>
      <c r="CR3012" s="138"/>
      <c r="CS3012" s="45"/>
      <c r="CT3012" s="138"/>
      <c r="CU3012" s="45"/>
      <c r="CV3012" s="99">
        <f t="shared" si="297"/>
        <v>0</v>
      </c>
      <c r="CW3012" s="139"/>
      <c r="CX3012" s="138"/>
      <c r="CY3012" s="138"/>
      <c r="CZ3012" s="138"/>
      <c r="DA3012" s="139"/>
      <c r="DB3012" s="138"/>
      <c r="DC3012" s="45"/>
      <c r="DD3012" s="138"/>
      <c r="DE3012" s="45"/>
      <c r="DF3012" s="46"/>
    </row>
    <row r="3013" spans="1:110" s="42" customFormat="1" ht="60" x14ac:dyDescent="0.2">
      <c r="A3013" s="89">
        <v>40885</v>
      </c>
      <c r="B3013" s="151" t="s">
        <v>4219</v>
      </c>
      <c r="C3013" s="90" t="s">
        <v>211</v>
      </c>
      <c r="D3013" s="90" t="s">
        <v>2362</v>
      </c>
      <c r="E3013" s="90" t="str">
        <f>VLOOKUP(B3013&amp;C3013,Divipola!$C$2:$F$1138,4,FALSE)</f>
        <v>41244</v>
      </c>
      <c r="F3013" s="4"/>
      <c r="G3013" s="101"/>
      <c r="H3013" s="101"/>
      <c r="I3013" s="101"/>
      <c r="J3013" s="101"/>
      <c r="K3013" s="101"/>
      <c r="L3013" s="101"/>
      <c r="M3013" s="101"/>
      <c r="N3013" s="101"/>
      <c r="O3013" s="101"/>
      <c r="P3013" s="101"/>
      <c r="Q3013" s="101">
        <v>1</v>
      </c>
      <c r="R3013" s="101"/>
      <c r="S3013" s="101"/>
      <c r="T3013" s="101"/>
      <c r="U3013" s="101"/>
      <c r="V3013" s="101"/>
      <c r="W3013" s="19"/>
      <c r="X3013" s="17"/>
      <c r="Y3013" s="5">
        <f t="shared" si="292"/>
        <v>0</v>
      </c>
      <c r="Z3013" s="5">
        <f t="shared" si="293"/>
        <v>0</v>
      </c>
      <c r="AA3013" s="5">
        <f t="shared" si="294"/>
        <v>0</v>
      </c>
      <c r="AB3013" s="5">
        <f t="shared" si="295"/>
        <v>0</v>
      </c>
      <c r="AC3013" s="5"/>
      <c r="AD3013" s="5">
        <v>0</v>
      </c>
      <c r="AE3013" s="5">
        <f t="shared" si="296"/>
        <v>0</v>
      </c>
      <c r="AF3013" s="70">
        <v>0</v>
      </c>
      <c r="AG3013" s="17"/>
      <c r="AH3013" s="18"/>
      <c r="AI3013" s="47" t="s">
        <v>4346</v>
      </c>
      <c r="AJ3013" s="73" t="s">
        <v>4347</v>
      </c>
      <c r="AK3013" s="45"/>
      <c r="AL3013" s="89" t="s">
        <v>2798</v>
      </c>
      <c r="AM3013" s="121" t="s">
        <v>5339</v>
      </c>
      <c r="AN3013" s="19"/>
      <c r="AO3013" s="19"/>
      <c r="AP3013" s="19"/>
      <c r="AQ3013" s="19"/>
      <c r="AR3013" s="19"/>
      <c r="AS3013" s="19"/>
      <c r="AT3013" s="19"/>
      <c r="AU3013" s="19"/>
      <c r="AV3013" s="19"/>
      <c r="AW3013" s="19"/>
      <c r="AX3013" s="19"/>
      <c r="AY3013" s="19"/>
      <c r="AZ3013" s="19"/>
      <c r="BA3013" s="19"/>
      <c r="BB3013" s="19"/>
      <c r="BC3013" s="19"/>
      <c r="BD3013" s="19"/>
      <c r="BE3013" s="19"/>
      <c r="BF3013" s="19"/>
      <c r="BG3013" s="19"/>
      <c r="BH3013" s="19"/>
      <c r="BI3013" s="19"/>
      <c r="BJ3013" s="19"/>
      <c r="BK3013" s="19"/>
      <c r="BL3013" s="19"/>
      <c r="BM3013" s="19"/>
      <c r="BN3013" s="19"/>
      <c r="BO3013" s="19"/>
      <c r="BP3013" s="19"/>
      <c r="BQ3013" s="19"/>
      <c r="BR3013" s="19"/>
      <c r="BS3013" s="19"/>
      <c r="BT3013" s="19"/>
      <c r="BU3013" s="19"/>
      <c r="BV3013" s="19"/>
      <c r="BW3013" s="19"/>
      <c r="BX3013" s="19"/>
      <c r="BY3013" s="19"/>
      <c r="BZ3013" s="19"/>
      <c r="CA3013" s="19"/>
      <c r="CB3013" s="19"/>
      <c r="CC3013" s="19"/>
      <c r="CD3013" s="139"/>
      <c r="CE3013" s="138"/>
      <c r="CF3013" s="139"/>
      <c r="CG3013" s="138"/>
      <c r="CH3013" s="139"/>
      <c r="CI3013" s="138"/>
      <c r="CJ3013" s="72"/>
      <c r="CK3013" s="139"/>
      <c r="CL3013" s="71"/>
      <c r="CM3013" s="139"/>
      <c r="CN3013" s="138"/>
      <c r="CO3013" s="138"/>
      <c r="CP3013" s="138"/>
      <c r="CQ3013" s="139"/>
      <c r="CR3013" s="138"/>
      <c r="CS3013" s="45"/>
      <c r="CT3013" s="138"/>
      <c r="CU3013" s="45"/>
      <c r="CV3013" s="99">
        <f t="shared" si="297"/>
        <v>0</v>
      </c>
      <c r="CW3013" s="139"/>
      <c r="CX3013" s="138"/>
      <c r="CY3013" s="138"/>
      <c r="CZ3013" s="138"/>
      <c r="DA3013" s="139"/>
      <c r="DB3013" s="138"/>
      <c r="DC3013" s="45"/>
      <c r="DD3013" s="138"/>
      <c r="DE3013" s="45"/>
      <c r="DF3013" s="46"/>
    </row>
    <row r="3014" spans="1:110" s="42" customFormat="1" ht="24" x14ac:dyDescent="0.2">
      <c r="A3014" s="255">
        <v>40885</v>
      </c>
      <c r="B3014" s="247" t="s">
        <v>4219</v>
      </c>
      <c r="C3014" s="248" t="s">
        <v>3322</v>
      </c>
      <c r="D3014" s="249" t="s">
        <v>4264</v>
      </c>
      <c r="E3014" s="90" t="str">
        <f>VLOOKUP(B3014&amp;C3014,Divipola!$C$2:$F$1138,4,FALSE)</f>
        <v>41319</v>
      </c>
      <c r="F3014" s="4"/>
      <c r="G3014" s="330"/>
      <c r="H3014" s="330"/>
      <c r="I3014" s="330"/>
      <c r="J3014" s="332">
        <v>130</v>
      </c>
      <c r="K3014" s="332">
        <v>26</v>
      </c>
      <c r="L3014" s="246">
        <v>1</v>
      </c>
      <c r="M3014" s="246">
        <v>25</v>
      </c>
      <c r="N3014" s="246">
        <v>19</v>
      </c>
      <c r="O3014" s="246"/>
      <c r="P3014" s="246"/>
      <c r="Q3014" s="246">
        <v>3</v>
      </c>
      <c r="R3014" s="246"/>
      <c r="S3014" s="245"/>
      <c r="T3014" s="245"/>
      <c r="U3014" s="245"/>
      <c r="V3014" s="245"/>
      <c r="W3014" s="19"/>
      <c r="X3014" s="17"/>
      <c r="Y3014" s="5">
        <f t="shared" si="292"/>
        <v>0</v>
      </c>
      <c r="Z3014" s="5">
        <f t="shared" si="293"/>
        <v>0</v>
      </c>
      <c r="AA3014" s="5">
        <f t="shared" si="294"/>
        <v>0</v>
      </c>
      <c r="AB3014" s="5">
        <f t="shared" si="295"/>
        <v>0</v>
      </c>
      <c r="AC3014" s="5"/>
      <c r="AD3014" s="5">
        <v>0</v>
      </c>
      <c r="AE3014" s="5">
        <f t="shared" si="296"/>
        <v>0</v>
      </c>
      <c r="AF3014" s="70">
        <v>0</v>
      </c>
      <c r="AG3014" s="17"/>
      <c r="AH3014" s="18"/>
      <c r="AI3014" s="47" t="s">
        <v>4346</v>
      </c>
      <c r="AJ3014" s="73" t="s">
        <v>4347</v>
      </c>
      <c r="AK3014" s="45"/>
      <c r="AL3014" s="89" t="s">
        <v>2798</v>
      </c>
      <c r="AM3014" s="121" t="s">
        <v>5551</v>
      </c>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39"/>
      <c r="CE3014" s="138"/>
      <c r="CF3014" s="139"/>
      <c r="CG3014" s="138"/>
      <c r="CH3014" s="139"/>
      <c r="CI3014" s="138"/>
      <c r="CJ3014" s="72"/>
      <c r="CK3014" s="139"/>
      <c r="CL3014" s="71"/>
      <c r="CM3014" s="139"/>
      <c r="CN3014" s="138"/>
      <c r="CO3014" s="138"/>
      <c r="CP3014" s="138"/>
      <c r="CQ3014" s="139"/>
      <c r="CR3014" s="138"/>
      <c r="CS3014" s="45"/>
      <c r="CT3014" s="138"/>
      <c r="CU3014" s="45"/>
      <c r="CV3014" s="99">
        <f t="shared" si="297"/>
        <v>0</v>
      </c>
      <c r="CW3014" s="139"/>
      <c r="CX3014" s="138"/>
      <c r="CY3014" s="138"/>
      <c r="CZ3014" s="138"/>
      <c r="DA3014" s="139"/>
      <c r="DB3014" s="138"/>
      <c r="DC3014" s="45"/>
      <c r="DD3014" s="138"/>
      <c r="DE3014" s="45"/>
      <c r="DF3014" s="46"/>
    </row>
    <row r="3015" spans="1:110" s="42" customFormat="1" ht="24" x14ac:dyDescent="0.2">
      <c r="A3015" s="254">
        <v>40885</v>
      </c>
      <c r="B3015" s="250" t="s">
        <v>4219</v>
      </c>
      <c r="C3015" s="251" t="s">
        <v>3322</v>
      </c>
      <c r="D3015" s="252" t="s">
        <v>4264</v>
      </c>
      <c r="E3015" s="90" t="str">
        <f>VLOOKUP(B3015&amp;C3015,Divipola!$C$2:$F$1138,4,FALSE)</f>
        <v>41319</v>
      </c>
      <c r="F3015" s="4"/>
      <c r="G3015" s="327"/>
      <c r="H3015" s="327"/>
      <c r="I3015" s="327"/>
      <c r="J3015" s="328">
        <v>115</v>
      </c>
      <c r="K3015" s="328">
        <v>23</v>
      </c>
      <c r="L3015" s="246">
        <v>1</v>
      </c>
      <c r="M3015" s="246">
        <v>22</v>
      </c>
      <c r="N3015" s="246">
        <v>18</v>
      </c>
      <c r="O3015" s="245"/>
      <c r="P3015" s="245"/>
      <c r="Q3015" s="246">
        <v>6</v>
      </c>
      <c r="R3015" s="245"/>
      <c r="S3015" s="245"/>
      <c r="T3015" s="245"/>
      <c r="U3015" s="245"/>
      <c r="V3015" s="245"/>
      <c r="W3015" s="19"/>
      <c r="X3015" s="17"/>
      <c r="Y3015" s="5">
        <f t="shared" si="292"/>
        <v>0</v>
      </c>
      <c r="Z3015" s="5">
        <f t="shared" si="293"/>
        <v>0</v>
      </c>
      <c r="AA3015" s="5">
        <f t="shared" si="294"/>
        <v>0</v>
      </c>
      <c r="AB3015" s="5">
        <f t="shared" si="295"/>
        <v>0</v>
      </c>
      <c r="AC3015" s="5"/>
      <c r="AD3015" s="5">
        <v>0</v>
      </c>
      <c r="AE3015" s="5">
        <f t="shared" si="296"/>
        <v>0</v>
      </c>
      <c r="AF3015" s="70">
        <v>0</v>
      </c>
      <c r="AG3015" s="17"/>
      <c r="AH3015" s="18"/>
      <c r="AI3015" s="47" t="s">
        <v>4346</v>
      </c>
      <c r="AJ3015" s="73" t="s">
        <v>4347</v>
      </c>
      <c r="AK3015" s="45"/>
      <c r="AL3015" s="89" t="s">
        <v>2798</v>
      </c>
      <c r="AM3015" s="121" t="s">
        <v>5558</v>
      </c>
      <c r="AN3015" s="19"/>
      <c r="AO3015" s="19"/>
      <c r="AP3015" s="19"/>
      <c r="AQ3015" s="19"/>
      <c r="AR3015" s="19"/>
      <c r="AS3015" s="19"/>
      <c r="AT3015" s="19"/>
      <c r="AU3015" s="19"/>
      <c r="AV3015" s="19"/>
      <c r="AW3015" s="19"/>
      <c r="AX3015" s="19"/>
      <c r="AY3015" s="19"/>
      <c r="AZ3015" s="19"/>
      <c r="BA3015" s="19"/>
      <c r="BB3015" s="19"/>
      <c r="BC3015" s="19"/>
      <c r="BD3015" s="19"/>
      <c r="BE3015" s="19"/>
      <c r="BF3015" s="19"/>
      <c r="BG3015" s="19"/>
      <c r="BH3015" s="19"/>
      <c r="BI3015" s="19"/>
      <c r="BJ3015" s="19"/>
      <c r="BK3015" s="19"/>
      <c r="BL3015" s="19"/>
      <c r="BM3015" s="19"/>
      <c r="BN3015" s="19"/>
      <c r="BO3015" s="19"/>
      <c r="BP3015" s="19"/>
      <c r="BQ3015" s="19"/>
      <c r="BR3015" s="19"/>
      <c r="BS3015" s="19"/>
      <c r="BT3015" s="19"/>
      <c r="BU3015" s="19"/>
      <c r="BV3015" s="19"/>
      <c r="BW3015" s="19"/>
      <c r="BX3015" s="19"/>
      <c r="BY3015" s="19"/>
      <c r="BZ3015" s="19"/>
      <c r="CA3015" s="19"/>
      <c r="CB3015" s="19"/>
      <c r="CC3015" s="19"/>
      <c r="CD3015" s="139"/>
      <c r="CE3015" s="138"/>
      <c r="CF3015" s="139"/>
      <c r="CG3015" s="138"/>
      <c r="CH3015" s="139"/>
      <c r="CI3015" s="138"/>
      <c r="CJ3015" s="72"/>
      <c r="CK3015" s="139"/>
      <c r="CL3015" s="71"/>
      <c r="CM3015" s="139"/>
      <c r="CN3015" s="138"/>
      <c r="CO3015" s="138"/>
      <c r="CP3015" s="138"/>
      <c r="CQ3015" s="139"/>
      <c r="CR3015" s="138"/>
      <c r="CS3015" s="45"/>
      <c r="CT3015" s="138"/>
      <c r="CU3015" s="45"/>
      <c r="CV3015" s="99">
        <f t="shared" si="297"/>
        <v>0</v>
      </c>
      <c r="CW3015" s="139"/>
      <c r="CX3015" s="138"/>
      <c r="CY3015" s="138"/>
      <c r="CZ3015" s="138"/>
      <c r="DA3015" s="139"/>
      <c r="DB3015" s="138"/>
      <c r="DC3015" s="45"/>
      <c r="DD3015" s="138"/>
      <c r="DE3015" s="45"/>
      <c r="DF3015" s="46"/>
    </row>
    <row r="3016" spans="1:110" s="42" customFormat="1" ht="60" x14ac:dyDescent="0.2">
      <c r="A3016" s="89">
        <v>40886</v>
      </c>
      <c r="B3016" s="196" t="s">
        <v>4244</v>
      </c>
      <c r="C3016" s="90" t="s">
        <v>2239</v>
      </c>
      <c r="D3016" s="90" t="s">
        <v>4264</v>
      </c>
      <c r="E3016" s="90" t="str">
        <f>VLOOKUP(B3016&amp;C3016,Divipola!$C$2:$F$1138,4,FALSE)</f>
        <v>76890</v>
      </c>
      <c r="F3016" s="4"/>
      <c r="G3016" s="101"/>
      <c r="H3016" s="101"/>
      <c r="I3016" s="101"/>
      <c r="J3016" s="101">
        <v>375</v>
      </c>
      <c r="K3016" s="101">
        <v>75</v>
      </c>
      <c r="L3016" s="101"/>
      <c r="M3016" s="101">
        <v>75</v>
      </c>
      <c r="N3016" s="101"/>
      <c r="O3016" s="101"/>
      <c r="P3016" s="101"/>
      <c r="Q3016" s="101"/>
      <c r="R3016" s="101"/>
      <c r="S3016" s="101"/>
      <c r="T3016" s="101"/>
      <c r="U3016" s="101"/>
      <c r="V3016" s="101"/>
      <c r="W3016" s="19"/>
      <c r="X3016" s="17"/>
      <c r="Y3016" s="5">
        <f t="shared" si="292"/>
        <v>0</v>
      </c>
      <c r="Z3016" s="5">
        <f t="shared" si="293"/>
        <v>0</v>
      </c>
      <c r="AA3016" s="5">
        <f t="shared" si="294"/>
        <v>0</v>
      </c>
      <c r="AB3016" s="5">
        <f t="shared" si="295"/>
        <v>0</v>
      </c>
      <c r="AC3016" s="5"/>
      <c r="AD3016" s="5">
        <v>0</v>
      </c>
      <c r="AE3016" s="5">
        <f t="shared" si="296"/>
        <v>0</v>
      </c>
      <c r="AF3016" s="70">
        <v>0</v>
      </c>
      <c r="AG3016" s="17"/>
      <c r="AH3016" s="18"/>
      <c r="AI3016" s="47" t="s">
        <v>4346</v>
      </c>
      <c r="AJ3016" s="73" t="s">
        <v>4347</v>
      </c>
      <c r="AK3016" s="45"/>
      <c r="AL3016" s="89" t="s">
        <v>2798</v>
      </c>
      <c r="AM3016" s="121" t="s">
        <v>5348</v>
      </c>
      <c r="AN3016" s="19"/>
      <c r="AO3016" s="19"/>
      <c r="AP3016" s="19"/>
      <c r="AQ3016" s="19"/>
      <c r="AR3016" s="19"/>
      <c r="AS3016" s="19"/>
      <c r="AT3016" s="19"/>
      <c r="AU3016" s="19"/>
      <c r="AV3016" s="19"/>
      <c r="AW3016" s="19"/>
      <c r="AX3016" s="19"/>
      <c r="AY3016" s="19"/>
      <c r="AZ3016" s="19"/>
      <c r="BA3016" s="19"/>
      <c r="BB3016" s="19"/>
      <c r="BC3016" s="19"/>
      <c r="BD3016" s="19"/>
      <c r="BE3016" s="19"/>
      <c r="BF3016" s="19"/>
      <c r="BG3016" s="19"/>
      <c r="BH3016" s="19"/>
      <c r="BI3016" s="19"/>
      <c r="BJ3016" s="19"/>
      <c r="BK3016" s="19"/>
      <c r="BL3016" s="19"/>
      <c r="BM3016" s="19"/>
      <c r="BN3016" s="19"/>
      <c r="BO3016" s="19"/>
      <c r="BP3016" s="19"/>
      <c r="BQ3016" s="19"/>
      <c r="BR3016" s="19"/>
      <c r="BS3016" s="19"/>
      <c r="BT3016" s="19"/>
      <c r="BU3016" s="19"/>
      <c r="BV3016" s="19"/>
      <c r="BW3016" s="19"/>
      <c r="BX3016" s="19"/>
      <c r="BY3016" s="19"/>
      <c r="BZ3016" s="19"/>
      <c r="CA3016" s="19"/>
      <c r="CB3016" s="19"/>
      <c r="CC3016" s="19"/>
      <c r="CD3016" s="139"/>
      <c r="CE3016" s="138"/>
      <c r="CF3016" s="139"/>
      <c r="CG3016" s="138"/>
      <c r="CH3016" s="139"/>
      <c r="CI3016" s="138"/>
      <c r="CJ3016" s="72"/>
      <c r="CK3016" s="139"/>
      <c r="CL3016" s="71"/>
      <c r="CM3016" s="139"/>
      <c r="CN3016" s="138"/>
      <c r="CO3016" s="138"/>
      <c r="CP3016" s="138"/>
      <c r="CQ3016" s="139"/>
      <c r="CR3016" s="138"/>
      <c r="CS3016" s="45"/>
      <c r="CT3016" s="138"/>
      <c r="CU3016" s="45"/>
      <c r="CV3016" s="99">
        <f t="shared" si="297"/>
        <v>0</v>
      </c>
      <c r="CW3016" s="139"/>
      <c r="CX3016" s="138"/>
      <c r="CY3016" s="138"/>
      <c r="CZ3016" s="138"/>
      <c r="DA3016" s="139"/>
      <c r="DB3016" s="138"/>
      <c r="DC3016" s="45"/>
      <c r="DD3016" s="138"/>
      <c r="DE3016" s="45"/>
      <c r="DF3016" s="46"/>
    </row>
    <row r="3017" spans="1:110" s="42" customFormat="1" ht="168" x14ac:dyDescent="0.2">
      <c r="A3017" s="89">
        <v>40886</v>
      </c>
      <c r="B3017" s="151" t="s">
        <v>4387</v>
      </c>
      <c r="C3017" s="90" t="s">
        <v>4279</v>
      </c>
      <c r="D3017" s="90" t="s">
        <v>4396</v>
      </c>
      <c r="E3017" s="90" t="str">
        <f>VLOOKUP(B3017&amp;C3017,Divipola!$C$2:$F$1138,4,FALSE)</f>
        <v>52079</v>
      </c>
      <c r="F3017" s="4"/>
      <c r="G3017" s="101"/>
      <c r="H3017" s="101"/>
      <c r="I3017" s="101"/>
      <c r="J3017" s="101"/>
      <c r="K3017" s="101"/>
      <c r="L3017" s="101"/>
      <c r="M3017" s="101"/>
      <c r="N3017" s="101"/>
      <c r="O3017" s="101"/>
      <c r="P3017" s="101"/>
      <c r="Q3017" s="101">
        <v>1</v>
      </c>
      <c r="R3017" s="101"/>
      <c r="S3017" s="101"/>
      <c r="T3017" s="101"/>
      <c r="U3017" s="101"/>
      <c r="V3017" s="101"/>
      <c r="W3017" s="19"/>
      <c r="X3017" s="17"/>
      <c r="Y3017" s="5">
        <f t="shared" si="292"/>
        <v>0</v>
      </c>
      <c r="Z3017" s="5">
        <f t="shared" si="293"/>
        <v>93498328</v>
      </c>
      <c r="AA3017" s="5">
        <f t="shared" si="294"/>
        <v>0</v>
      </c>
      <c r="AB3017" s="5">
        <f t="shared" si="295"/>
        <v>0</v>
      </c>
      <c r="AC3017" s="143">
        <f>1100*7000</f>
        <v>7700000</v>
      </c>
      <c r="AD3017" s="5">
        <v>0</v>
      </c>
      <c r="AE3017" s="5">
        <f t="shared" si="296"/>
        <v>101198328</v>
      </c>
      <c r="AF3017" s="70">
        <v>0</v>
      </c>
      <c r="AG3017" s="17"/>
      <c r="AH3017" s="18"/>
      <c r="AI3017" s="47" t="s">
        <v>4346</v>
      </c>
      <c r="AJ3017" s="73" t="s">
        <v>4347</v>
      </c>
      <c r="AK3017" s="45"/>
      <c r="AL3017" s="17"/>
      <c r="AM3017" s="121" t="s">
        <v>5592</v>
      </c>
      <c r="AN3017" s="19"/>
      <c r="AO3017" s="19"/>
      <c r="AP3017" s="19"/>
      <c r="AQ3017" s="19"/>
      <c r="AR3017" s="19"/>
      <c r="AS3017" s="19"/>
      <c r="AT3017" s="19"/>
      <c r="AU3017" s="19"/>
      <c r="AV3017" s="19"/>
      <c r="AW3017" s="19"/>
      <c r="AX3017" s="19"/>
      <c r="AY3017" s="19"/>
      <c r="AZ3017" s="19"/>
      <c r="BA3017" s="19"/>
      <c r="BB3017" s="19"/>
      <c r="BC3017" s="19"/>
      <c r="BD3017" s="19"/>
      <c r="BE3017" s="19"/>
      <c r="BF3017" s="19"/>
      <c r="BG3017" s="19"/>
      <c r="BH3017" s="19"/>
      <c r="BI3017" s="19"/>
      <c r="BJ3017" s="19"/>
      <c r="BK3017" s="19"/>
      <c r="BL3017" s="19"/>
      <c r="BM3017" s="19"/>
      <c r="BN3017" s="19"/>
      <c r="BO3017" s="19"/>
      <c r="BP3017" s="19"/>
      <c r="BQ3017" s="19"/>
      <c r="BR3017" s="19"/>
      <c r="BS3017" s="19"/>
      <c r="BT3017" s="19"/>
      <c r="BU3017" s="19"/>
      <c r="BV3017" s="19"/>
      <c r="BW3017" s="19"/>
      <c r="BX3017" s="19"/>
      <c r="BY3017" s="19"/>
      <c r="BZ3017" s="19"/>
      <c r="CA3017" s="19"/>
      <c r="CB3017" s="19"/>
      <c r="CC3017" s="19"/>
      <c r="CD3017" s="139"/>
      <c r="CE3017" s="138"/>
      <c r="CF3017" s="139"/>
      <c r="CG3017" s="138"/>
      <c r="CH3017" s="139"/>
      <c r="CI3017" s="138"/>
      <c r="CJ3017" s="72"/>
      <c r="CK3017" s="139"/>
      <c r="CL3017" s="71"/>
      <c r="CM3017" s="139"/>
      <c r="CN3017" s="138"/>
      <c r="CO3017" s="138"/>
      <c r="CP3017" s="138"/>
      <c r="CQ3017" s="139"/>
      <c r="CR3017" s="138"/>
      <c r="CS3017" s="45"/>
      <c r="CT3017" s="138"/>
      <c r="CU3017" s="45"/>
      <c r="CV3017" s="99">
        <f t="shared" si="297"/>
        <v>0</v>
      </c>
      <c r="CW3017" s="139"/>
      <c r="CX3017" s="138"/>
      <c r="CY3017" s="138">
        <v>1100</v>
      </c>
      <c r="CZ3017" s="138">
        <f>1100*84998.48</f>
        <v>93498328</v>
      </c>
      <c r="DA3017" s="139"/>
      <c r="DB3017" s="138"/>
      <c r="DC3017" s="45"/>
      <c r="DD3017" s="138"/>
      <c r="DE3017" s="45"/>
      <c r="DF3017" s="46"/>
    </row>
    <row r="3018" spans="1:110" s="42" customFormat="1" ht="132" x14ac:dyDescent="0.2">
      <c r="A3018" s="89">
        <v>40886</v>
      </c>
      <c r="B3018" s="151" t="s">
        <v>4296</v>
      </c>
      <c r="C3018" s="90" t="s">
        <v>3395</v>
      </c>
      <c r="D3018" s="90" t="s">
        <v>2362</v>
      </c>
      <c r="E3018" s="90" t="str">
        <f>VLOOKUP(B3018&amp;C3018,Divipola!$C$2:$F$1138,4,FALSE)</f>
        <v>19548</v>
      </c>
      <c r="F3018" s="4"/>
      <c r="G3018" s="101"/>
      <c r="H3018" s="101"/>
      <c r="I3018" s="101"/>
      <c r="J3018" s="101"/>
      <c r="K3018" s="101"/>
      <c r="L3018" s="101"/>
      <c r="M3018" s="101"/>
      <c r="N3018" s="101">
        <v>3</v>
      </c>
      <c r="O3018" s="101"/>
      <c r="P3018" s="101"/>
      <c r="Q3018" s="101">
        <v>1</v>
      </c>
      <c r="R3018" s="101"/>
      <c r="S3018" s="101"/>
      <c r="T3018" s="101"/>
      <c r="U3018" s="101"/>
      <c r="V3018" s="101"/>
      <c r="W3018" s="19"/>
      <c r="X3018" s="17"/>
      <c r="Y3018" s="5">
        <f t="shared" si="292"/>
        <v>0</v>
      </c>
      <c r="Z3018" s="5">
        <f t="shared" si="293"/>
        <v>0</v>
      </c>
      <c r="AA3018" s="5">
        <f t="shared" si="294"/>
        <v>0</v>
      </c>
      <c r="AB3018" s="5">
        <f t="shared" si="295"/>
        <v>0</v>
      </c>
      <c r="AC3018" s="5"/>
      <c r="AD3018" s="5">
        <v>0</v>
      </c>
      <c r="AE3018" s="5">
        <f t="shared" si="296"/>
        <v>0</v>
      </c>
      <c r="AF3018" s="70">
        <v>0</v>
      </c>
      <c r="AG3018" s="17"/>
      <c r="AH3018" s="18"/>
      <c r="AI3018" s="47" t="s">
        <v>4336</v>
      </c>
      <c r="AJ3018" s="73" t="s">
        <v>4337</v>
      </c>
      <c r="AK3018" s="45"/>
      <c r="AL3018" s="17"/>
      <c r="AM3018" s="121" t="s">
        <v>5349</v>
      </c>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9"/>
      <c r="BI3018" s="19"/>
      <c r="BJ3018" s="19"/>
      <c r="BK3018" s="19"/>
      <c r="BL3018" s="19"/>
      <c r="BM3018" s="19"/>
      <c r="BN3018" s="19"/>
      <c r="BO3018" s="19"/>
      <c r="BP3018" s="19"/>
      <c r="BQ3018" s="19"/>
      <c r="BR3018" s="19"/>
      <c r="BS3018" s="19"/>
      <c r="BT3018" s="19"/>
      <c r="BU3018" s="19"/>
      <c r="BV3018" s="19"/>
      <c r="BW3018" s="19"/>
      <c r="BX3018" s="19"/>
      <c r="BY3018" s="19"/>
      <c r="BZ3018" s="19"/>
      <c r="CA3018" s="19"/>
      <c r="CB3018" s="19"/>
      <c r="CC3018" s="19"/>
      <c r="CD3018" s="139"/>
      <c r="CE3018" s="138"/>
      <c r="CF3018" s="139"/>
      <c r="CG3018" s="138"/>
      <c r="CH3018" s="139"/>
      <c r="CI3018" s="138"/>
      <c r="CJ3018" s="72"/>
      <c r="CK3018" s="139"/>
      <c r="CL3018" s="71"/>
      <c r="CM3018" s="139"/>
      <c r="CN3018" s="138"/>
      <c r="CO3018" s="138"/>
      <c r="CP3018" s="138"/>
      <c r="CQ3018" s="139"/>
      <c r="CR3018" s="138"/>
      <c r="CS3018" s="45"/>
      <c r="CT3018" s="138"/>
      <c r="CU3018" s="45"/>
      <c r="CV3018" s="99">
        <f t="shared" si="297"/>
        <v>0</v>
      </c>
      <c r="CW3018" s="139"/>
      <c r="CX3018" s="138"/>
      <c r="CY3018" s="138"/>
      <c r="CZ3018" s="138"/>
      <c r="DA3018" s="139"/>
      <c r="DB3018" s="138"/>
      <c r="DC3018" s="45"/>
      <c r="DD3018" s="138"/>
      <c r="DE3018" s="45"/>
      <c r="DF3018" s="46"/>
    </row>
    <row r="3019" spans="1:110" s="42" customFormat="1" ht="72" x14ac:dyDescent="0.2">
      <c r="A3019" s="89">
        <v>40886</v>
      </c>
      <c r="B3019" s="151" t="s">
        <v>4221</v>
      </c>
      <c r="C3019" s="90" t="s">
        <v>4299</v>
      </c>
      <c r="D3019" s="90" t="s">
        <v>2362</v>
      </c>
      <c r="E3019" s="90" t="str">
        <f>VLOOKUP(B3019&amp;C3019,Divipola!$C$2:$F$1138,4,FALSE)</f>
        <v>54001</v>
      </c>
      <c r="F3019" s="4"/>
      <c r="G3019" s="101"/>
      <c r="H3019" s="101"/>
      <c r="I3019" s="101"/>
      <c r="J3019" s="101">
        <v>200</v>
      </c>
      <c r="K3019" s="101">
        <v>40</v>
      </c>
      <c r="L3019" s="101">
        <v>15</v>
      </c>
      <c r="M3019" s="101">
        <v>25</v>
      </c>
      <c r="N3019" s="101"/>
      <c r="O3019" s="101"/>
      <c r="P3019" s="101"/>
      <c r="Q3019" s="101"/>
      <c r="R3019" s="101"/>
      <c r="S3019" s="101"/>
      <c r="T3019" s="101"/>
      <c r="U3019" s="101"/>
      <c r="V3019" s="101"/>
      <c r="W3019" s="19"/>
      <c r="X3019" s="17"/>
      <c r="Y3019" s="5">
        <f t="shared" si="292"/>
        <v>0</v>
      </c>
      <c r="Z3019" s="5">
        <f t="shared" si="293"/>
        <v>0</v>
      </c>
      <c r="AA3019" s="5">
        <f t="shared" si="294"/>
        <v>0</v>
      </c>
      <c r="AB3019" s="5">
        <f t="shared" si="295"/>
        <v>0</v>
      </c>
      <c r="AC3019" s="5"/>
      <c r="AD3019" s="5">
        <v>0</v>
      </c>
      <c r="AE3019" s="5">
        <f t="shared" si="296"/>
        <v>0</v>
      </c>
      <c r="AF3019" s="70">
        <v>0</v>
      </c>
      <c r="AG3019" s="17"/>
      <c r="AH3019" s="18"/>
      <c r="AI3019" s="47" t="s">
        <v>4336</v>
      </c>
      <c r="AJ3019" s="73" t="s">
        <v>4337</v>
      </c>
      <c r="AK3019" s="45"/>
      <c r="AL3019" s="17"/>
      <c r="AM3019" s="121" t="s">
        <v>5350</v>
      </c>
      <c r="AN3019" s="19"/>
      <c r="AO3019" s="19"/>
      <c r="AP3019" s="19"/>
      <c r="AQ3019" s="19"/>
      <c r="AR3019" s="19"/>
      <c r="AS3019" s="19"/>
      <c r="AT3019" s="19"/>
      <c r="AU3019" s="19"/>
      <c r="AV3019" s="19"/>
      <c r="AW3019" s="19"/>
      <c r="AX3019" s="19"/>
      <c r="AY3019" s="19"/>
      <c r="AZ3019" s="19"/>
      <c r="BA3019" s="19"/>
      <c r="BB3019" s="19"/>
      <c r="BC3019" s="19"/>
      <c r="BD3019" s="19"/>
      <c r="BE3019" s="19"/>
      <c r="BF3019" s="19"/>
      <c r="BG3019" s="19"/>
      <c r="BH3019" s="19"/>
      <c r="BI3019" s="19"/>
      <c r="BJ3019" s="19"/>
      <c r="BK3019" s="19"/>
      <c r="BL3019" s="19"/>
      <c r="BM3019" s="19"/>
      <c r="BN3019" s="19"/>
      <c r="BO3019" s="19"/>
      <c r="BP3019" s="19"/>
      <c r="BQ3019" s="19"/>
      <c r="BR3019" s="19"/>
      <c r="BS3019" s="19"/>
      <c r="BT3019" s="19"/>
      <c r="BU3019" s="19"/>
      <c r="BV3019" s="19"/>
      <c r="BW3019" s="19"/>
      <c r="BX3019" s="19"/>
      <c r="BY3019" s="19"/>
      <c r="BZ3019" s="19"/>
      <c r="CA3019" s="19"/>
      <c r="CB3019" s="19"/>
      <c r="CC3019" s="19"/>
      <c r="CD3019" s="139"/>
      <c r="CE3019" s="138"/>
      <c r="CF3019" s="139"/>
      <c r="CG3019" s="138"/>
      <c r="CH3019" s="139"/>
      <c r="CI3019" s="138"/>
      <c r="CJ3019" s="72"/>
      <c r="CK3019" s="139"/>
      <c r="CL3019" s="71"/>
      <c r="CM3019" s="139"/>
      <c r="CN3019" s="138"/>
      <c r="CO3019" s="138"/>
      <c r="CP3019" s="138"/>
      <c r="CQ3019" s="139"/>
      <c r="CR3019" s="138"/>
      <c r="CS3019" s="45"/>
      <c r="CT3019" s="138"/>
      <c r="CU3019" s="45"/>
      <c r="CV3019" s="99">
        <f t="shared" si="297"/>
        <v>0</v>
      </c>
      <c r="CW3019" s="139"/>
      <c r="CX3019" s="138"/>
      <c r="CY3019" s="138"/>
      <c r="CZ3019" s="138"/>
      <c r="DA3019" s="139"/>
      <c r="DB3019" s="138"/>
      <c r="DC3019" s="45"/>
      <c r="DD3019" s="138"/>
      <c r="DE3019" s="45"/>
      <c r="DF3019" s="46"/>
    </row>
    <row r="3020" spans="1:110" s="42" customFormat="1" ht="204" x14ac:dyDescent="0.2">
      <c r="A3020" s="89">
        <v>40886</v>
      </c>
      <c r="B3020" s="16" t="s">
        <v>3316</v>
      </c>
      <c r="C3020" s="16" t="s">
        <v>4234</v>
      </c>
      <c r="D3020" s="16" t="s">
        <v>4264</v>
      </c>
      <c r="E3020" s="90" t="str">
        <f>VLOOKUP(B3020&amp;C3020,Divipola!$C$2:$F$1138,4,FALSE)</f>
        <v>73349</v>
      </c>
      <c r="F3020" s="4"/>
      <c r="G3020" s="208"/>
      <c r="H3020" s="208"/>
      <c r="I3020" s="208"/>
      <c r="J3020" s="208">
        <f>400*5</f>
        <v>2000</v>
      </c>
      <c r="K3020" s="208">
        <v>400</v>
      </c>
      <c r="L3020" s="208"/>
      <c r="M3020" s="208">
        <v>400</v>
      </c>
      <c r="N3020" s="208"/>
      <c r="O3020" s="208"/>
      <c r="P3020" s="208"/>
      <c r="Q3020" s="208"/>
      <c r="R3020" s="208"/>
      <c r="S3020" s="208"/>
      <c r="T3020" s="208"/>
      <c r="U3020" s="208"/>
      <c r="V3020" s="208"/>
      <c r="W3020" s="19"/>
      <c r="X3020" s="17"/>
      <c r="Y3020" s="5">
        <f t="shared" si="292"/>
        <v>56498960</v>
      </c>
      <c r="Z3020" s="5">
        <f t="shared" si="293"/>
        <v>85000000</v>
      </c>
      <c r="AA3020" s="5">
        <f t="shared" si="294"/>
        <v>0</v>
      </c>
      <c r="AB3020" s="5">
        <f t="shared" si="295"/>
        <v>0</v>
      </c>
      <c r="AC3020" s="5">
        <f>100*129998.88+156*12499</f>
        <v>14949732</v>
      </c>
      <c r="AD3020" s="5">
        <v>0</v>
      </c>
      <c r="AE3020" s="5">
        <f t="shared" si="296"/>
        <v>156448692</v>
      </c>
      <c r="AF3020" s="70">
        <v>0</v>
      </c>
      <c r="AG3020" s="17"/>
      <c r="AH3020" s="18"/>
      <c r="AI3020" s="47" t="s">
        <v>4346</v>
      </c>
      <c r="AJ3020" s="73" t="s">
        <v>4347</v>
      </c>
      <c r="AK3020" s="45"/>
      <c r="AL3020" s="17"/>
      <c r="AM3020" s="20" t="s">
        <v>5435</v>
      </c>
      <c r="AN3020" s="19"/>
      <c r="AO3020" s="19"/>
      <c r="AP3020" s="19"/>
      <c r="AQ3020" s="19"/>
      <c r="AR3020" s="19"/>
      <c r="AS3020" s="19"/>
      <c r="AT3020" s="19"/>
      <c r="AU3020" s="19"/>
      <c r="AV3020" s="19"/>
      <c r="AW3020" s="19"/>
      <c r="AX3020" s="19"/>
      <c r="AY3020" s="19"/>
      <c r="AZ3020" s="19"/>
      <c r="BA3020" s="19"/>
      <c r="BB3020" s="19"/>
      <c r="BC3020" s="19"/>
      <c r="BD3020" s="19"/>
      <c r="BE3020" s="19"/>
      <c r="BF3020" s="19"/>
      <c r="BG3020" s="19"/>
      <c r="BH3020" s="19"/>
      <c r="BI3020" s="19"/>
      <c r="BJ3020" s="19"/>
      <c r="BK3020" s="19"/>
      <c r="BL3020" s="19"/>
      <c r="BM3020" s="19"/>
      <c r="BN3020" s="19"/>
      <c r="BO3020" s="19"/>
      <c r="BP3020" s="19"/>
      <c r="BQ3020" s="19"/>
      <c r="BR3020" s="19"/>
      <c r="BS3020" s="19"/>
      <c r="BT3020" s="19"/>
      <c r="BU3020" s="19"/>
      <c r="BV3020" s="19"/>
      <c r="BW3020" s="19"/>
      <c r="BX3020" s="19"/>
      <c r="BY3020" s="19"/>
      <c r="BZ3020" s="19"/>
      <c r="CA3020" s="19"/>
      <c r="CB3020" s="19"/>
      <c r="CC3020" s="19"/>
      <c r="CD3020" s="139"/>
      <c r="CE3020" s="138"/>
      <c r="CF3020" s="139"/>
      <c r="CG3020" s="138"/>
      <c r="CH3020" s="139">
        <v>500</v>
      </c>
      <c r="CI3020" s="138">
        <f>500*17999.72</f>
        <v>8999860</v>
      </c>
      <c r="CJ3020" s="72">
        <v>500</v>
      </c>
      <c r="CK3020" s="139">
        <f>500*20999.48</f>
        <v>10499740</v>
      </c>
      <c r="CL3020" s="71"/>
      <c r="CM3020" s="139"/>
      <c r="CN3020" s="138"/>
      <c r="CO3020" s="138"/>
      <c r="CP3020" s="138">
        <v>1000</v>
      </c>
      <c r="CQ3020" s="139">
        <f>1000*36999.36</f>
        <v>36999360</v>
      </c>
      <c r="CR3020" s="138"/>
      <c r="CS3020" s="45"/>
      <c r="CT3020" s="138"/>
      <c r="CU3020" s="45"/>
      <c r="CV3020" s="99">
        <f t="shared" si="297"/>
        <v>56498960</v>
      </c>
      <c r="CW3020" s="139"/>
      <c r="CX3020" s="138"/>
      <c r="CY3020" s="138">
        <v>1000</v>
      </c>
      <c r="CZ3020" s="138">
        <f>1000*85000</f>
        <v>85000000</v>
      </c>
      <c r="DA3020" s="139"/>
      <c r="DB3020" s="138"/>
      <c r="DC3020" s="45"/>
      <c r="DD3020" s="138"/>
      <c r="DE3020" s="45"/>
      <c r="DF3020" s="46"/>
    </row>
    <row r="3021" spans="1:110" s="42" customFormat="1" ht="84" x14ac:dyDescent="0.2">
      <c r="A3021" s="89">
        <v>40886</v>
      </c>
      <c r="B3021" s="196" t="s">
        <v>2225</v>
      </c>
      <c r="C3021" s="197" t="s">
        <v>3381</v>
      </c>
      <c r="D3021" s="197" t="s">
        <v>4264</v>
      </c>
      <c r="E3021" s="90" t="str">
        <f>VLOOKUP(B3021&amp;C3021,Divipola!$C$2:$F$1138,4,FALSE)</f>
        <v>27615</v>
      </c>
      <c r="F3021" s="4"/>
      <c r="G3021" s="194"/>
      <c r="H3021" s="194"/>
      <c r="I3021" s="194"/>
      <c r="J3021" s="194">
        <v>15136</v>
      </c>
      <c r="K3021" s="194">
        <v>5220</v>
      </c>
      <c r="L3021" s="194"/>
      <c r="M3021" s="194">
        <v>3840</v>
      </c>
      <c r="N3021" s="194">
        <v>1</v>
      </c>
      <c r="O3021" s="194"/>
      <c r="P3021" s="194"/>
      <c r="Q3021" s="194"/>
      <c r="R3021" s="194"/>
      <c r="S3021" s="194">
        <v>1</v>
      </c>
      <c r="T3021" s="194">
        <v>3</v>
      </c>
      <c r="U3021" s="194">
        <v>1</v>
      </c>
      <c r="V3021" s="194"/>
      <c r="W3021" s="19"/>
      <c r="X3021" s="17"/>
      <c r="Y3021" s="5">
        <f t="shared" si="292"/>
        <v>0</v>
      </c>
      <c r="Z3021" s="5">
        <f t="shared" si="293"/>
        <v>455800000</v>
      </c>
      <c r="AA3021" s="5">
        <f t="shared" si="294"/>
        <v>0</v>
      </c>
      <c r="AB3021" s="5">
        <f t="shared" si="295"/>
        <v>0</v>
      </c>
      <c r="AC3021" s="5"/>
      <c r="AD3021" s="5">
        <v>0</v>
      </c>
      <c r="AE3021" s="5">
        <f t="shared" si="296"/>
        <v>455800000</v>
      </c>
      <c r="AF3021" s="70">
        <v>0</v>
      </c>
      <c r="AG3021" s="17"/>
      <c r="AH3021" s="18"/>
      <c r="AI3021" s="47" t="s">
        <v>4346</v>
      </c>
      <c r="AJ3021" s="73" t="s">
        <v>4347</v>
      </c>
      <c r="AK3021" s="45"/>
      <c r="AL3021" s="17"/>
      <c r="AM3021" s="195" t="s">
        <v>5423</v>
      </c>
      <c r="AN3021" s="19"/>
      <c r="AO3021" s="19"/>
      <c r="AP3021" s="19"/>
      <c r="AQ3021" s="19"/>
      <c r="AR3021" s="19"/>
      <c r="AS3021" s="19"/>
      <c r="AT3021" s="19"/>
      <c r="AU3021" s="19"/>
      <c r="AV3021" s="19"/>
      <c r="AW3021" s="19"/>
      <c r="AX3021" s="19"/>
      <c r="AY3021" s="19"/>
      <c r="AZ3021" s="19"/>
      <c r="BA3021" s="19"/>
      <c r="BB3021" s="19"/>
      <c r="BC3021" s="19"/>
      <c r="BD3021" s="19"/>
      <c r="BE3021" s="19"/>
      <c r="BF3021" s="19"/>
      <c r="BG3021" s="19"/>
      <c r="BH3021" s="19"/>
      <c r="BI3021" s="19"/>
      <c r="BJ3021" s="19"/>
      <c r="BK3021" s="19"/>
      <c r="BL3021" s="19"/>
      <c r="BM3021" s="19"/>
      <c r="BN3021" s="19"/>
      <c r="BO3021" s="19"/>
      <c r="BP3021" s="19"/>
      <c r="BQ3021" s="19"/>
      <c r="BR3021" s="19"/>
      <c r="BS3021" s="19"/>
      <c r="BT3021" s="19"/>
      <c r="BU3021" s="19"/>
      <c r="BV3021" s="19"/>
      <c r="BW3021" s="19"/>
      <c r="BX3021" s="19"/>
      <c r="BY3021" s="19"/>
      <c r="BZ3021" s="19"/>
      <c r="CA3021" s="19"/>
      <c r="CB3021" s="19"/>
      <c r="CC3021" s="19"/>
      <c r="CD3021" s="139"/>
      <c r="CE3021" s="138"/>
      <c r="CF3021" s="139"/>
      <c r="CG3021" s="138"/>
      <c r="CH3021" s="139"/>
      <c r="CI3021" s="138"/>
      <c r="CJ3021" s="72"/>
      <c r="CK3021" s="139"/>
      <c r="CL3021" s="71"/>
      <c r="CM3021" s="139"/>
      <c r="CN3021" s="138"/>
      <c r="CO3021" s="138"/>
      <c r="CP3021" s="138"/>
      <c r="CQ3021" s="139"/>
      <c r="CR3021" s="138"/>
      <c r="CS3021" s="45"/>
      <c r="CT3021" s="138"/>
      <c r="CU3021" s="45"/>
      <c r="CV3021" s="99">
        <f t="shared" si="297"/>
        <v>0</v>
      </c>
      <c r="CW3021" s="139"/>
      <c r="CX3021" s="138"/>
      <c r="CY3021" s="138">
        <v>5300</v>
      </c>
      <c r="CZ3021" s="138">
        <f>2650*85000+2650*87000</f>
        <v>455800000</v>
      </c>
      <c r="DA3021" s="139"/>
      <c r="DB3021" s="138"/>
      <c r="DC3021" s="45"/>
      <c r="DD3021" s="138"/>
      <c r="DE3021" s="45"/>
      <c r="DF3021" s="46"/>
    </row>
    <row r="3022" spans="1:110" s="42" customFormat="1" x14ac:dyDescent="0.2">
      <c r="A3022" s="89">
        <v>40886</v>
      </c>
      <c r="B3022" s="90" t="s">
        <v>4348</v>
      </c>
      <c r="C3022" s="90" t="s">
        <v>4345</v>
      </c>
      <c r="D3022" s="90" t="s">
        <v>4264</v>
      </c>
      <c r="E3022" s="90">
        <f>VLOOKUP(B3022&amp;C3022,Divipola!$C$2:$F$1138,4,FALSE)</f>
        <v>66</v>
      </c>
      <c r="F3022" s="4"/>
      <c r="G3022" s="208"/>
      <c r="H3022" s="208"/>
      <c r="I3022" s="208"/>
      <c r="J3022" s="208"/>
      <c r="K3022" s="208"/>
      <c r="L3022" s="208"/>
      <c r="M3022" s="208"/>
      <c r="N3022" s="208" t="s">
        <v>4265</v>
      </c>
      <c r="O3022" s="208"/>
      <c r="P3022" s="208"/>
      <c r="Q3022" s="208"/>
      <c r="R3022" s="208"/>
      <c r="S3022" s="208"/>
      <c r="T3022" s="208"/>
      <c r="U3022" s="208"/>
      <c r="V3022" s="208"/>
      <c r="W3022" s="19"/>
      <c r="X3022" s="17"/>
      <c r="Y3022" s="5">
        <f t="shared" si="292"/>
        <v>340120320</v>
      </c>
      <c r="Z3022" s="5">
        <f t="shared" si="293"/>
        <v>255000000</v>
      </c>
      <c r="AA3022" s="5">
        <f t="shared" si="294"/>
        <v>0</v>
      </c>
      <c r="AB3022" s="5">
        <f t="shared" si="295"/>
        <v>0</v>
      </c>
      <c r="AC3022" s="5"/>
      <c r="AD3022" s="5">
        <v>0</v>
      </c>
      <c r="AE3022" s="5">
        <f t="shared" si="296"/>
        <v>595120320</v>
      </c>
      <c r="AF3022" s="70">
        <v>0</v>
      </c>
      <c r="AG3022" s="17"/>
      <c r="AH3022" s="18"/>
      <c r="AI3022" s="47" t="s">
        <v>4346</v>
      </c>
      <c r="AJ3022" s="73" t="s">
        <v>4347</v>
      </c>
      <c r="AK3022" s="45"/>
      <c r="AL3022" s="17"/>
      <c r="AM3022" s="20"/>
      <c r="AN3022" s="19"/>
      <c r="AO3022" s="19"/>
      <c r="AP3022" s="19"/>
      <c r="AQ3022" s="19"/>
      <c r="AR3022" s="19"/>
      <c r="AS3022" s="19"/>
      <c r="AT3022" s="19"/>
      <c r="AU3022" s="19"/>
      <c r="AV3022" s="19"/>
      <c r="AW3022" s="19"/>
      <c r="AX3022" s="19"/>
      <c r="AY3022" s="19"/>
      <c r="AZ3022" s="19">
        <v>3000</v>
      </c>
      <c r="BA3022" s="19">
        <f>750*56000+750*55999+750*55999+750*55999</f>
        <v>167997750</v>
      </c>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39"/>
      <c r="CE3022" s="138"/>
      <c r="CF3022" s="139"/>
      <c r="CG3022" s="138"/>
      <c r="CH3022" s="139"/>
      <c r="CI3022" s="138"/>
      <c r="CJ3022" s="72">
        <v>3000</v>
      </c>
      <c r="CK3022" s="139">
        <f>750*21500+750*20999.48+750*17999.72+750*20999.48</f>
        <v>61124010</v>
      </c>
      <c r="CL3022" s="71"/>
      <c r="CM3022" s="139"/>
      <c r="CN3022" s="138"/>
      <c r="CO3022" s="138"/>
      <c r="CP3022" s="138">
        <v>3000</v>
      </c>
      <c r="CQ3022" s="139">
        <f>750*37000+750*36999.36+1500*36999.36</f>
        <v>110998560</v>
      </c>
      <c r="CR3022" s="138"/>
      <c r="CS3022" s="45"/>
      <c r="CT3022" s="138"/>
      <c r="CU3022" s="45"/>
      <c r="CV3022" s="99">
        <f t="shared" si="297"/>
        <v>340120320</v>
      </c>
      <c r="CW3022" s="139"/>
      <c r="CX3022" s="138"/>
      <c r="CY3022" s="138">
        <v>3000</v>
      </c>
      <c r="CZ3022" s="138">
        <f>750*85000+750*85000+1500*85000</f>
        <v>255000000</v>
      </c>
      <c r="DA3022" s="139"/>
      <c r="DB3022" s="138"/>
      <c r="DC3022" s="45"/>
      <c r="DD3022" s="138"/>
      <c r="DE3022" s="45"/>
      <c r="DF3022" s="46"/>
    </row>
    <row r="3023" spans="1:110" s="42" customFormat="1" ht="48" x14ac:dyDescent="0.2">
      <c r="A3023" s="89">
        <v>40886</v>
      </c>
      <c r="B3023" s="16" t="s">
        <v>4387</v>
      </c>
      <c r="C3023" s="16" t="s">
        <v>798</v>
      </c>
      <c r="D3023" s="90" t="s">
        <v>4396</v>
      </c>
      <c r="E3023" s="90" t="str">
        <f>VLOOKUP(B3023&amp;C3023,Divipola!$C$2:$F$1138,4,FALSE)</f>
        <v>52621</v>
      </c>
      <c r="F3023" s="4"/>
      <c r="G3023" s="208"/>
      <c r="H3023" s="208"/>
      <c r="I3023" s="208"/>
      <c r="J3023" s="208"/>
      <c r="K3023" s="208"/>
      <c r="L3023" s="208"/>
      <c r="M3023" s="208"/>
      <c r="N3023" s="208"/>
      <c r="O3023" s="208"/>
      <c r="P3023" s="208"/>
      <c r="Q3023" s="208"/>
      <c r="R3023" s="208"/>
      <c r="S3023" s="208"/>
      <c r="T3023" s="208"/>
      <c r="U3023" s="208"/>
      <c r="V3023" s="208"/>
      <c r="W3023" s="19"/>
      <c r="X3023" s="17"/>
      <c r="Y3023" s="5">
        <f t="shared" si="292"/>
        <v>0</v>
      </c>
      <c r="Z3023" s="5">
        <f t="shared" si="293"/>
        <v>118997872</v>
      </c>
      <c r="AA3023" s="5">
        <f t="shared" si="294"/>
        <v>0</v>
      </c>
      <c r="AB3023" s="5">
        <f t="shared" si="295"/>
        <v>0</v>
      </c>
      <c r="AC3023" s="5">
        <f>7000*1400</f>
        <v>9800000</v>
      </c>
      <c r="AD3023" s="5">
        <v>0</v>
      </c>
      <c r="AE3023" s="5">
        <f t="shared" si="296"/>
        <v>128797872</v>
      </c>
      <c r="AF3023" s="70">
        <v>0</v>
      </c>
      <c r="AG3023" s="17"/>
      <c r="AH3023" s="18"/>
      <c r="AI3023" s="47" t="s">
        <v>4346</v>
      </c>
      <c r="AJ3023" s="73" t="s">
        <v>4347</v>
      </c>
      <c r="AK3023" s="45"/>
      <c r="AL3023" s="17"/>
      <c r="AM3023" s="20" t="s">
        <v>5591</v>
      </c>
      <c r="AN3023" s="19"/>
      <c r="AO3023" s="19"/>
      <c r="AP3023" s="19"/>
      <c r="AQ3023" s="19"/>
      <c r="AR3023" s="19"/>
      <c r="AS3023" s="19"/>
      <c r="AT3023" s="19"/>
      <c r="AU3023" s="19"/>
      <c r="AV3023" s="19"/>
      <c r="AW3023" s="19"/>
      <c r="AX3023" s="19"/>
      <c r="AY3023" s="19"/>
      <c r="AZ3023" s="19"/>
      <c r="BA3023" s="19"/>
      <c r="BB3023" s="19"/>
      <c r="BC3023" s="19"/>
      <c r="BD3023" s="19"/>
      <c r="BE3023" s="19"/>
      <c r="BF3023" s="19"/>
      <c r="BG3023" s="19"/>
      <c r="BH3023" s="19"/>
      <c r="BI3023" s="19"/>
      <c r="BJ3023" s="19"/>
      <c r="BK3023" s="19"/>
      <c r="BL3023" s="19"/>
      <c r="BM3023" s="19"/>
      <c r="BN3023" s="19"/>
      <c r="BO3023" s="19"/>
      <c r="BP3023" s="19"/>
      <c r="BQ3023" s="19"/>
      <c r="BR3023" s="19"/>
      <c r="BS3023" s="19"/>
      <c r="BT3023" s="19"/>
      <c r="BU3023" s="19"/>
      <c r="BV3023" s="19"/>
      <c r="BW3023" s="19"/>
      <c r="BX3023" s="19"/>
      <c r="BY3023" s="19"/>
      <c r="BZ3023" s="19"/>
      <c r="CA3023" s="19"/>
      <c r="CB3023" s="19"/>
      <c r="CC3023" s="19"/>
      <c r="CD3023" s="139"/>
      <c r="CE3023" s="138"/>
      <c r="CF3023" s="139"/>
      <c r="CG3023" s="138"/>
      <c r="CH3023" s="139"/>
      <c r="CI3023" s="138"/>
      <c r="CJ3023" s="72"/>
      <c r="CK3023" s="139"/>
      <c r="CL3023" s="71"/>
      <c r="CM3023" s="139"/>
      <c r="CN3023" s="138"/>
      <c r="CO3023" s="138"/>
      <c r="CP3023" s="138"/>
      <c r="CQ3023" s="139"/>
      <c r="CR3023" s="138"/>
      <c r="CS3023" s="45"/>
      <c r="CT3023" s="138"/>
      <c r="CU3023" s="45"/>
      <c r="CV3023" s="99">
        <f t="shared" si="297"/>
        <v>0</v>
      </c>
      <c r="CW3023" s="139"/>
      <c r="CX3023" s="138"/>
      <c r="CY3023" s="138">
        <v>1400</v>
      </c>
      <c r="CZ3023" s="138">
        <f>1400*84998.48</f>
        <v>118997872</v>
      </c>
      <c r="DA3023" s="139"/>
      <c r="DB3023" s="138"/>
      <c r="DC3023" s="45"/>
      <c r="DD3023" s="138"/>
      <c r="DE3023" s="45"/>
      <c r="DF3023" s="46"/>
    </row>
    <row r="3024" spans="1:110" s="42" customFormat="1" ht="48" x14ac:dyDescent="0.2">
      <c r="A3024" s="89">
        <v>40887</v>
      </c>
      <c r="B3024" s="196" t="s">
        <v>4348</v>
      </c>
      <c r="C3024" s="197" t="s">
        <v>2228</v>
      </c>
      <c r="D3024" s="197" t="s">
        <v>4264</v>
      </c>
      <c r="E3024" s="90" t="str">
        <f>VLOOKUP(B3024&amp;C3024,Divipola!$C$2:$F$1138,4,FALSE)</f>
        <v>66001</v>
      </c>
      <c r="F3024" s="4"/>
      <c r="G3024" s="194"/>
      <c r="H3024" s="194"/>
      <c r="I3024" s="194"/>
      <c r="J3024" s="194">
        <v>1730</v>
      </c>
      <c r="K3024" s="194">
        <v>346</v>
      </c>
      <c r="L3024" s="194"/>
      <c r="M3024" s="194">
        <v>346</v>
      </c>
      <c r="N3024" s="194"/>
      <c r="O3024" s="194"/>
      <c r="P3024" s="194"/>
      <c r="Q3024" s="194"/>
      <c r="R3024" s="194"/>
      <c r="S3024" s="194"/>
      <c r="T3024" s="194"/>
      <c r="U3024" s="194"/>
      <c r="V3024" s="194"/>
      <c r="W3024" s="19"/>
      <c r="X3024" s="17"/>
      <c r="Y3024" s="5">
        <f t="shared" si="292"/>
        <v>0</v>
      </c>
      <c r="Z3024" s="5">
        <f t="shared" si="293"/>
        <v>0</v>
      </c>
      <c r="AA3024" s="5">
        <f t="shared" si="294"/>
        <v>0</v>
      </c>
      <c r="AB3024" s="5">
        <f t="shared" si="295"/>
        <v>0</v>
      </c>
      <c r="AC3024" s="5"/>
      <c r="AD3024" s="5">
        <v>0</v>
      </c>
      <c r="AE3024" s="5">
        <f t="shared" si="296"/>
        <v>0</v>
      </c>
      <c r="AF3024" s="70">
        <v>0</v>
      </c>
      <c r="AG3024" s="17"/>
      <c r="AH3024" s="18"/>
      <c r="AI3024" s="47" t="s">
        <v>4346</v>
      </c>
      <c r="AJ3024" s="73" t="s">
        <v>4347</v>
      </c>
      <c r="AK3024" s="45"/>
      <c r="AL3024" s="89" t="s">
        <v>2798</v>
      </c>
      <c r="AM3024" s="195" t="s">
        <v>5417</v>
      </c>
      <c r="AN3024" s="19"/>
      <c r="AO3024" s="19"/>
      <c r="AP3024" s="19"/>
      <c r="AQ3024" s="19"/>
      <c r="AR3024" s="19"/>
      <c r="AS3024" s="19"/>
      <c r="AT3024" s="19"/>
      <c r="AU3024" s="19"/>
      <c r="AV3024" s="19"/>
      <c r="AW3024" s="19"/>
      <c r="AX3024" s="19"/>
      <c r="AY3024" s="19"/>
      <c r="AZ3024" s="19"/>
      <c r="BA3024" s="19"/>
      <c r="BB3024" s="19"/>
      <c r="BC3024" s="19"/>
      <c r="BD3024" s="19"/>
      <c r="BE3024" s="19"/>
      <c r="BF3024" s="19"/>
      <c r="BG3024" s="19"/>
      <c r="BH3024" s="19"/>
      <c r="BI3024" s="19"/>
      <c r="BJ3024" s="19"/>
      <c r="BK3024" s="19"/>
      <c r="BL3024" s="19"/>
      <c r="BM3024" s="19"/>
      <c r="BN3024" s="19"/>
      <c r="BO3024" s="19"/>
      <c r="BP3024" s="19"/>
      <c r="BQ3024" s="19"/>
      <c r="BR3024" s="19"/>
      <c r="BS3024" s="19"/>
      <c r="BT3024" s="19"/>
      <c r="BU3024" s="19"/>
      <c r="BV3024" s="19"/>
      <c r="BW3024" s="19"/>
      <c r="BX3024" s="19"/>
      <c r="BY3024" s="19"/>
      <c r="BZ3024" s="19"/>
      <c r="CA3024" s="19"/>
      <c r="CB3024" s="19"/>
      <c r="CC3024" s="19"/>
      <c r="CD3024" s="139"/>
      <c r="CE3024" s="138"/>
      <c r="CF3024" s="139"/>
      <c r="CG3024" s="138"/>
      <c r="CH3024" s="139"/>
      <c r="CI3024" s="138"/>
      <c r="CJ3024" s="72"/>
      <c r="CK3024" s="139"/>
      <c r="CL3024" s="71"/>
      <c r="CM3024" s="139"/>
      <c r="CN3024" s="138"/>
      <c r="CO3024" s="138"/>
      <c r="CP3024" s="138"/>
      <c r="CQ3024" s="139"/>
      <c r="CR3024" s="138"/>
      <c r="CS3024" s="45"/>
      <c r="CT3024" s="138"/>
      <c r="CU3024" s="45"/>
      <c r="CV3024" s="99">
        <f t="shared" si="297"/>
        <v>0</v>
      </c>
      <c r="CW3024" s="139"/>
      <c r="CX3024" s="138"/>
      <c r="CY3024" s="138"/>
      <c r="CZ3024" s="138"/>
      <c r="DA3024" s="139"/>
      <c r="DB3024" s="138"/>
      <c r="DC3024" s="45"/>
      <c r="DD3024" s="138"/>
      <c r="DE3024" s="45"/>
      <c r="DF3024" s="46"/>
    </row>
    <row r="3025" spans="1:110" s="42" customFormat="1" x14ac:dyDescent="0.2">
      <c r="A3025" s="17">
        <v>40887</v>
      </c>
      <c r="B3025" s="16" t="s">
        <v>4296</v>
      </c>
      <c r="C3025" s="16" t="s">
        <v>4305</v>
      </c>
      <c r="D3025" s="16" t="s">
        <v>4264</v>
      </c>
      <c r="E3025" s="90" t="str">
        <f>VLOOKUP(B3025&amp;C3025,Divipola!$C$2:$F$1138,4,FALSE)</f>
        <v>19473</v>
      </c>
      <c r="F3025" s="4"/>
      <c r="G3025" s="208"/>
      <c r="H3025" s="208"/>
      <c r="I3025" s="208"/>
      <c r="J3025" s="208">
        <f>500*5</f>
        <v>2500</v>
      </c>
      <c r="K3025" s="208">
        <v>500</v>
      </c>
      <c r="L3025" s="208"/>
      <c r="M3025" s="208">
        <v>200</v>
      </c>
      <c r="N3025" s="208"/>
      <c r="O3025" s="208"/>
      <c r="P3025" s="208"/>
      <c r="Q3025" s="208"/>
      <c r="R3025" s="208"/>
      <c r="S3025" s="208"/>
      <c r="T3025" s="208"/>
      <c r="U3025" s="208"/>
      <c r="V3025" s="208"/>
      <c r="W3025" s="19"/>
      <c r="X3025" s="17"/>
      <c r="Y3025" s="5">
        <f t="shared" si="292"/>
        <v>0</v>
      </c>
      <c r="Z3025" s="5">
        <f t="shared" si="293"/>
        <v>85000000</v>
      </c>
      <c r="AA3025" s="5">
        <f t="shared" si="294"/>
        <v>29600880</v>
      </c>
      <c r="AB3025" s="5">
        <f t="shared" si="295"/>
        <v>0</v>
      </c>
      <c r="AC3025" s="5"/>
      <c r="AD3025" s="5">
        <v>0</v>
      </c>
      <c r="AE3025" s="5">
        <f t="shared" si="296"/>
        <v>114600880</v>
      </c>
      <c r="AF3025" s="70">
        <v>0</v>
      </c>
      <c r="AG3025" s="17"/>
      <c r="AH3025" s="18"/>
      <c r="AI3025" s="47" t="s">
        <v>4346</v>
      </c>
      <c r="AJ3025" s="73" t="s">
        <v>4347</v>
      </c>
      <c r="AK3025" s="45"/>
      <c r="AL3025" s="17"/>
      <c r="AM3025" s="20" t="s">
        <v>3530</v>
      </c>
      <c r="AN3025" s="19"/>
      <c r="AO3025" s="19"/>
      <c r="AP3025" s="19"/>
      <c r="AQ3025" s="19"/>
      <c r="AR3025" s="19"/>
      <c r="AS3025" s="19"/>
      <c r="AT3025" s="19"/>
      <c r="AU3025" s="19"/>
      <c r="AV3025" s="19"/>
      <c r="AW3025" s="19"/>
      <c r="AX3025" s="19"/>
      <c r="AY3025" s="19"/>
      <c r="AZ3025" s="19"/>
      <c r="BA3025" s="19"/>
      <c r="BB3025" s="19"/>
      <c r="BC3025" s="19"/>
      <c r="BD3025" s="19"/>
      <c r="BE3025" s="19"/>
      <c r="BF3025" s="19"/>
      <c r="BG3025" s="19"/>
      <c r="BH3025" s="19"/>
      <c r="BI3025" s="19"/>
      <c r="BJ3025" s="19"/>
      <c r="BK3025" s="19"/>
      <c r="BL3025" s="19"/>
      <c r="BM3025" s="19"/>
      <c r="BN3025" s="19"/>
      <c r="BO3025" s="19"/>
      <c r="BP3025" s="19"/>
      <c r="BQ3025" s="19"/>
      <c r="BR3025" s="19"/>
      <c r="BS3025" s="19"/>
      <c r="BT3025" s="19"/>
      <c r="BU3025" s="19"/>
      <c r="BV3025" s="19"/>
      <c r="BW3025" s="19"/>
      <c r="BX3025" s="19"/>
      <c r="BY3025" s="19"/>
      <c r="BZ3025" s="19"/>
      <c r="CA3025" s="19"/>
      <c r="CB3025" s="19"/>
      <c r="CC3025" s="19"/>
      <c r="CD3025" s="139"/>
      <c r="CE3025" s="138"/>
      <c r="CF3025" s="139"/>
      <c r="CG3025" s="138"/>
      <c r="CH3025" s="139"/>
      <c r="CI3025" s="138"/>
      <c r="CJ3025" s="72"/>
      <c r="CK3025" s="139"/>
      <c r="CL3025" s="71"/>
      <c r="CM3025" s="139"/>
      <c r="CN3025" s="138"/>
      <c r="CO3025" s="138"/>
      <c r="CP3025" s="138"/>
      <c r="CQ3025" s="139"/>
      <c r="CR3025" s="138"/>
      <c r="CS3025" s="45"/>
      <c r="CT3025" s="138"/>
      <c r="CU3025" s="45"/>
      <c r="CV3025" s="99">
        <f t="shared" si="297"/>
        <v>0</v>
      </c>
      <c r="CW3025" s="139"/>
      <c r="CX3025" s="138"/>
      <c r="CY3025" s="138">
        <v>1000</v>
      </c>
      <c r="CZ3025" s="138">
        <f>1000*85000</f>
        <v>85000000</v>
      </c>
      <c r="DA3025" s="139"/>
      <c r="DB3025" s="138"/>
      <c r="DC3025" s="45">
        <v>2000</v>
      </c>
      <c r="DD3025" s="138">
        <f>2000*14800.44</f>
        <v>29600880</v>
      </c>
      <c r="DE3025" s="45"/>
      <c r="DF3025" s="46"/>
    </row>
    <row r="3026" spans="1:110" s="42" customFormat="1" ht="48" x14ac:dyDescent="0.2">
      <c r="A3026" s="89">
        <v>40888</v>
      </c>
      <c r="B3026" s="151" t="s">
        <v>3533</v>
      </c>
      <c r="C3026" s="151" t="s">
        <v>4235</v>
      </c>
      <c r="D3026" s="90" t="s">
        <v>4264</v>
      </c>
      <c r="E3026" s="90" t="str">
        <f>VLOOKUP(B3026&amp;C3026,Divipola!$C$2:$F$1138,4,FALSE)</f>
        <v>17380</v>
      </c>
      <c r="F3026" s="4"/>
      <c r="G3026" s="101"/>
      <c r="H3026" s="101"/>
      <c r="I3026" s="101"/>
      <c r="J3026" s="101"/>
      <c r="K3026" s="101"/>
      <c r="L3026" s="101"/>
      <c r="M3026" s="101"/>
      <c r="N3026" s="101"/>
      <c r="O3026" s="101"/>
      <c r="P3026" s="101"/>
      <c r="Q3026" s="101"/>
      <c r="R3026" s="101"/>
      <c r="S3026" s="101"/>
      <c r="T3026" s="101"/>
      <c r="U3026" s="101"/>
      <c r="V3026" s="101"/>
      <c r="W3026" s="19"/>
      <c r="X3026" s="17"/>
      <c r="Y3026" s="5">
        <f t="shared" si="292"/>
        <v>47000000</v>
      </c>
      <c r="Z3026" s="5">
        <f t="shared" si="293"/>
        <v>170000000</v>
      </c>
      <c r="AA3026" s="5">
        <f t="shared" si="294"/>
        <v>22500000</v>
      </c>
      <c r="AB3026" s="5">
        <f t="shared" si="295"/>
        <v>18212000</v>
      </c>
      <c r="AC3026" s="5"/>
      <c r="AD3026" s="5">
        <v>0</v>
      </c>
      <c r="AE3026" s="5">
        <f t="shared" si="296"/>
        <v>257712000</v>
      </c>
      <c r="AF3026" s="70">
        <v>0</v>
      </c>
      <c r="AG3026" s="17"/>
      <c r="AH3026" s="18"/>
      <c r="AI3026" s="47" t="s">
        <v>4346</v>
      </c>
      <c r="AJ3026" s="73" t="s">
        <v>4347</v>
      </c>
      <c r="AK3026" s="45"/>
      <c r="AL3026" s="17"/>
      <c r="AM3026" s="121" t="s">
        <v>5359</v>
      </c>
      <c r="AN3026" s="19"/>
      <c r="AO3026" s="19"/>
      <c r="AP3026" s="19"/>
      <c r="AQ3026" s="19"/>
      <c r="AR3026" s="19"/>
      <c r="AS3026" s="19"/>
      <c r="AT3026" s="19"/>
      <c r="AU3026" s="19"/>
      <c r="AV3026" s="19"/>
      <c r="AW3026" s="19"/>
      <c r="AX3026" s="19"/>
      <c r="AY3026" s="19"/>
      <c r="AZ3026" s="19"/>
      <c r="BA3026" s="19"/>
      <c r="BB3026" s="19"/>
      <c r="BC3026" s="19"/>
      <c r="BD3026" s="19"/>
      <c r="BE3026" s="19"/>
      <c r="BF3026" s="19"/>
      <c r="BG3026" s="19"/>
      <c r="BH3026" s="19"/>
      <c r="BI3026" s="19"/>
      <c r="BJ3026" s="19"/>
      <c r="BK3026" s="19"/>
      <c r="BL3026" s="19"/>
      <c r="BM3026" s="19"/>
      <c r="BN3026" s="19"/>
      <c r="BO3026" s="19"/>
      <c r="BP3026" s="19"/>
      <c r="BQ3026" s="19"/>
      <c r="BR3026" s="19"/>
      <c r="BS3026" s="19"/>
      <c r="BT3026" s="19"/>
      <c r="BU3026" s="19"/>
      <c r="BV3026" s="19"/>
      <c r="BW3026" s="19"/>
      <c r="BX3026" s="19"/>
      <c r="BY3026" s="19"/>
      <c r="BZ3026" s="19">
        <v>8</v>
      </c>
      <c r="CA3026" s="19">
        <f>8*500000</f>
        <v>4000000</v>
      </c>
      <c r="CB3026" s="19"/>
      <c r="CC3026" s="19"/>
      <c r="CD3026" s="139"/>
      <c r="CE3026" s="138"/>
      <c r="CF3026" s="139"/>
      <c r="CG3026" s="138"/>
      <c r="CH3026" s="139"/>
      <c r="CI3026" s="138"/>
      <c r="CJ3026" s="72">
        <v>2000</v>
      </c>
      <c r="CK3026" s="139">
        <f>2000*21500</f>
        <v>43000000</v>
      </c>
      <c r="CL3026" s="71"/>
      <c r="CM3026" s="139"/>
      <c r="CN3026" s="138"/>
      <c r="CO3026" s="138"/>
      <c r="CP3026" s="138"/>
      <c r="CQ3026" s="139"/>
      <c r="CR3026" s="138"/>
      <c r="CS3026" s="45"/>
      <c r="CT3026" s="138"/>
      <c r="CU3026" s="45"/>
      <c r="CV3026" s="99">
        <f t="shared" si="297"/>
        <v>47000000</v>
      </c>
      <c r="CW3026" s="139">
        <v>20000</v>
      </c>
      <c r="CX3026" s="138">
        <f>20000*910.6</f>
        <v>18212000</v>
      </c>
      <c r="CY3026" s="138">
        <v>2000</v>
      </c>
      <c r="CZ3026" s="138">
        <f>2000*85000</f>
        <v>170000000</v>
      </c>
      <c r="DA3026" s="139"/>
      <c r="DB3026" s="138"/>
      <c r="DC3026" s="45">
        <v>1000</v>
      </c>
      <c r="DD3026" s="138">
        <f>1000*22500</f>
        <v>22500000</v>
      </c>
      <c r="DE3026" s="45"/>
      <c r="DF3026" s="46"/>
    </row>
    <row r="3027" spans="1:110" s="42" customFormat="1" ht="48" x14ac:dyDescent="0.2">
      <c r="A3027" s="89">
        <v>40888</v>
      </c>
      <c r="B3027" s="89" t="s">
        <v>4344</v>
      </c>
      <c r="C3027" s="90" t="s">
        <v>3552</v>
      </c>
      <c r="D3027" s="90" t="s">
        <v>4264</v>
      </c>
      <c r="E3027" s="90" t="str">
        <f>VLOOKUP(B3027&amp;C3027,Divipola!$C$2:$F$1138,4,FALSE)</f>
        <v>25320</v>
      </c>
      <c r="F3027" s="4"/>
      <c r="G3027" s="101"/>
      <c r="H3027" s="101"/>
      <c r="I3027" s="101"/>
      <c r="J3027" s="101">
        <v>300</v>
      </c>
      <c r="K3027" s="101">
        <v>60</v>
      </c>
      <c r="L3027" s="101"/>
      <c r="M3027" s="101">
        <v>60</v>
      </c>
      <c r="N3027" s="101"/>
      <c r="O3027" s="101"/>
      <c r="P3027" s="101"/>
      <c r="Q3027" s="101"/>
      <c r="R3027" s="101"/>
      <c r="S3027" s="101"/>
      <c r="T3027" s="101"/>
      <c r="U3027" s="101"/>
      <c r="V3027" s="101"/>
      <c r="W3027" s="19"/>
      <c r="X3027" s="17"/>
      <c r="Y3027" s="5">
        <f t="shared" si="292"/>
        <v>0</v>
      </c>
      <c r="Z3027" s="5">
        <f t="shared" si="293"/>
        <v>0</v>
      </c>
      <c r="AA3027" s="5">
        <f t="shared" si="294"/>
        <v>0</v>
      </c>
      <c r="AB3027" s="5">
        <f t="shared" si="295"/>
        <v>0</v>
      </c>
      <c r="AC3027" s="5"/>
      <c r="AD3027" s="5">
        <v>0</v>
      </c>
      <c r="AE3027" s="5">
        <f t="shared" si="296"/>
        <v>0</v>
      </c>
      <c r="AF3027" s="70">
        <v>0</v>
      </c>
      <c r="AG3027" s="17"/>
      <c r="AH3027" s="18"/>
      <c r="AI3027" s="47" t="s">
        <v>4346</v>
      </c>
      <c r="AJ3027" s="73" t="s">
        <v>4347</v>
      </c>
      <c r="AK3027" s="45"/>
      <c r="AL3027" s="89" t="s">
        <v>2798</v>
      </c>
      <c r="AM3027" s="121" t="s">
        <v>5367</v>
      </c>
      <c r="AN3027" s="19"/>
      <c r="AO3027" s="19"/>
      <c r="AP3027" s="19"/>
      <c r="AQ3027" s="19"/>
      <c r="AR3027" s="19"/>
      <c r="AS3027" s="19"/>
      <c r="AT3027" s="19"/>
      <c r="AU3027" s="19"/>
      <c r="AV3027" s="19"/>
      <c r="AW3027" s="19"/>
      <c r="AX3027" s="19"/>
      <c r="AY3027" s="19"/>
      <c r="AZ3027" s="19"/>
      <c r="BA3027" s="19"/>
      <c r="BB3027" s="19"/>
      <c r="BC3027" s="19"/>
      <c r="BD3027" s="19"/>
      <c r="BE3027" s="19"/>
      <c r="BF3027" s="19"/>
      <c r="BG3027" s="19"/>
      <c r="BH3027" s="19"/>
      <c r="BI3027" s="19"/>
      <c r="BJ3027" s="19"/>
      <c r="BK3027" s="19"/>
      <c r="BL3027" s="19"/>
      <c r="BM3027" s="19"/>
      <c r="BN3027" s="19"/>
      <c r="BO3027" s="19"/>
      <c r="BP3027" s="19"/>
      <c r="BQ3027" s="19"/>
      <c r="BR3027" s="19"/>
      <c r="BS3027" s="19"/>
      <c r="BT3027" s="19"/>
      <c r="BU3027" s="19"/>
      <c r="BV3027" s="19"/>
      <c r="BW3027" s="19"/>
      <c r="BX3027" s="19"/>
      <c r="BY3027" s="19"/>
      <c r="BZ3027" s="19"/>
      <c r="CA3027" s="19"/>
      <c r="CB3027" s="19"/>
      <c r="CC3027" s="19"/>
      <c r="CD3027" s="139"/>
      <c r="CE3027" s="138"/>
      <c r="CF3027" s="139"/>
      <c r="CG3027" s="138"/>
      <c r="CH3027" s="139"/>
      <c r="CI3027" s="138"/>
      <c r="CJ3027" s="72"/>
      <c r="CK3027" s="139"/>
      <c r="CL3027" s="71"/>
      <c r="CM3027" s="139"/>
      <c r="CN3027" s="138"/>
      <c r="CO3027" s="138"/>
      <c r="CP3027" s="138"/>
      <c r="CQ3027" s="139"/>
      <c r="CR3027" s="138"/>
      <c r="CS3027" s="45"/>
      <c r="CT3027" s="138"/>
      <c r="CU3027" s="45"/>
      <c r="CV3027" s="99">
        <f t="shared" si="297"/>
        <v>0</v>
      </c>
      <c r="CW3027" s="139"/>
      <c r="CX3027" s="138"/>
      <c r="CY3027" s="138"/>
      <c r="CZ3027" s="138"/>
      <c r="DA3027" s="139"/>
      <c r="DB3027" s="138"/>
      <c r="DC3027" s="45"/>
      <c r="DD3027" s="138"/>
      <c r="DE3027" s="45"/>
      <c r="DF3027" s="46"/>
    </row>
    <row r="3028" spans="1:110" s="42" customFormat="1" ht="84" x14ac:dyDescent="0.2">
      <c r="A3028" s="89">
        <v>40888</v>
      </c>
      <c r="B3028" s="151" t="s">
        <v>4219</v>
      </c>
      <c r="C3028" s="90" t="s">
        <v>795</v>
      </c>
      <c r="D3028" s="90" t="s">
        <v>2362</v>
      </c>
      <c r="E3028" s="90" t="str">
        <f>VLOOKUP(B3028&amp;C3028,Divipola!$C$2:$F$1138,4,FALSE)</f>
        <v>41660</v>
      </c>
      <c r="F3028" s="4"/>
      <c r="G3028" s="101"/>
      <c r="H3028" s="101"/>
      <c r="I3028" s="101"/>
      <c r="J3028" s="101">
        <v>15</v>
      </c>
      <c r="K3028" s="101">
        <v>3</v>
      </c>
      <c r="L3028" s="101"/>
      <c r="M3028" s="101">
        <v>3</v>
      </c>
      <c r="N3028" s="101"/>
      <c r="O3028" s="101"/>
      <c r="P3028" s="101"/>
      <c r="Q3028" s="101"/>
      <c r="R3028" s="101"/>
      <c r="S3028" s="101"/>
      <c r="T3028" s="101"/>
      <c r="U3028" s="101"/>
      <c r="V3028" s="101"/>
      <c r="W3028" s="19"/>
      <c r="X3028" s="17"/>
      <c r="Y3028" s="5">
        <f t="shared" si="292"/>
        <v>0</v>
      </c>
      <c r="Z3028" s="5">
        <f t="shared" si="293"/>
        <v>0</v>
      </c>
      <c r="AA3028" s="5">
        <f t="shared" si="294"/>
        <v>0</v>
      </c>
      <c r="AB3028" s="5">
        <f t="shared" si="295"/>
        <v>0</v>
      </c>
      <c r="AC3028" s="5"/>
      <c r="AD3028" s="5">
        <v>0</v>
      </c>
      <c r="AE3028" s="5">
        <f t="shared" si="296"/>
        <v>0</v>
      </c>
      <c r="AF3028" s="70">
        <v>0</v>
      </c>
      <c r="AG3028" s="17"/>
      <c r="AH3028" s="18"/>
      <c r="AI3028" s="47" t="s">
        <v>4346</v>
      </c>
      <c r="AJ3028" s="73" t="s">
        <v>4347</v>
      </c>
      <c r="AK3028" s="45"/>
      <c r="AL3028" s="89" t="s">
        <v>2798</v>
      </c>
      <c r="AM3028" s="121" t="s">
        <v>5370</v>
      </c>
      <c r="AN3028" s="19"/>
      <c r="AO3028" s="19"/>
      <c r="AP3028" s="19"/>
      <c r="AQ3028" s="19"/>
      <c r="AR3028" s="19"/>
      <c r="AS3028" s="19"/>
      <c r="AT3028" s="19"/>
      <c r="AU3028" s="19"/>
      <c r="AV3028" s="19"/>
      <c r="AW3028" s="19"/>
      <c r="AX3028" s="19"/>
      <c r="AY3028" s="19"/>
      <c r="AZ3028" s="19"/>
      <c r="BA3028" s="19"/>
      <c r="BB3028" s="19"/>
      <c r="BC3028" s="19"/>
      <c r="BD3028" s="19"/>
      <c r="BE3028" s="19"/>
      <c r="BF3028" s="19"/>
      <c r="BG3028" s="19"/>
      <c r="BH3028" s="19"/>
      <c r="BI3028" s="19"/>
      <c r="BJ3028" s="19"/>
      <c r="BK3028" s="19"/>
      <c r="BL3028" s="19"/>
      <c r="BM3028" s="19"/>
      <c r="BN3028" s="19"/>
      <c r="BO3028" s="19"/>
      <c r="BP3028" s="19"/>
      <c r="BQ3028" s="19"/>
      <c r="BR3028" s="19"/>
      <c r="BS3028" s="19"/>
      <c r="BT3028" s="19"/>
      <c r="BU3028" s="19"/>
      <c r="BV3028" s="19"/>
      <c r="BW3028" s="19"/>
      <c r="BX3028" s="19"/>
      <c r="BY3028" s="19"/>
      <c r="BZ3028" s="19"/>
      <c r="CA3028" s="19"/>
      <c r="CB3028" s="19"/>
      <c r="CC3028" s="19"/>
      <c r="CD3028" s="139"/>
      <c r="CE3028" s="138"/>
      <c r="CF3028" s="139"/>
      <c r="CG3028" s="138"/>
      <c r="CH3028" s="139"/>
      <c r="CI3028" s="138"/>
      <c r="CJ3028" s="72"/>
      <c r="CK3028" s="139"/>
      <c r="CL3028" s="71"/>
      <c r="CM3028" s="139"/>
      <c r="CN3028" s="138"/>
      <c r="CO3028" s="138"/>
      <c r="CP3028" s="138"/>
      <c r="CQ3028" s="139"/>
      <c r="CR3028" s="138"/>
      <c r="CS3028" s="45"/>
      <c r="CT3028" s="138"/>
      <c r="CU3028" s="45"/>
      <c r="CV3028" s="99">
        <f t="shared" si="297"/>
        <v>0</v>
      </c>
      <c r="CW3028" s="139"/>
      <c r="CX3028" s="138"/>
      <c r="CY3028" s="138"/>
      <c r="CZ3028" s="138"/>
      <c r="DA3028" s="139"/>
      <c r="DB3028" s="138"/>
      <c r="DC3028" s="45"/>
      <c r="DD3028" s="138"/>
      <c r="DE3028" s="45"/>
      <c r="DF3028" s="46"/>
    </row>
    <row r="3029" spans="1:110" s="42" customFormat="1" ht="60" x14ac:dyDescent="0.2">
      <c r="A3029" s="89">
        <v>40888</v>
      </c>
      <c r="B3029" s="151" t="s">
        <v>4219</v>
      </c>
      <c r="C3029" s="90" t="s">
        <v>3298</v>
      </c>
      <c r="D3029" s="90" t="s">
        <v>2362</v>
      </c>
      <c r="E3029" s="90" t="str">
        <f>VLOOKUP(B3029&amp;C3029,Divipola!$C$2:$F$1138,4,FALSE)</f>
        <v>41872</v>
      </c>
      <c r="F3029" s="4"/>
      <c r="G3029" s="101"/>
      <c r="H3029" s="101"/>
      <c r="I3029" s="101"/>
      <c r="J3029" s="101"/>
      <c r="K3029" s="101"/>
      <c r="L3029" s="101"/>
      <c r="M3029" s="101"/>
      <c r="N3029" s="101">
        <v>1</v>
      </c>
      <c r="O3029" s="101"/>
      <c r="P3029" s="101"/>
      <c r="Q3029" s="101"/>
      <c r="R3029" s="101"/>
      <c r="S3029" s="101"/>
      <c r="T3029" s="101"/>
      <c r="U3029" s="101"/>
      <c r="V3029" s="101"/>
      <c r="W3029" s="19"/>
      <c r="X3029" s="17"/>
      <c r="Y3029" s="5">
        <f t="shared" si="292"/>
        <v>0</v>
      </c>
      <c r="Z3029" s="5">
        <f t="shared" si="293"/>
        <v>0</v>
      </c>
      <c r="AA3029" s="5">
        <f t="shared" si="294"/>
        <v>0</v>
      </c>
      <c r="AB3029" s="5">
        <f t="shared" si="295"/>
        <v>0</v>
      </c>
      <c r="AC3029" s="5"/>
      <c r="AD3029" s="5">
        <v>0</v>
      </c>
      <c r="AE3029" s="5">
        <f t="shared" si="296"/>
        <v>0</v>
      </c>
      <c r="AF3029" s="70">
        <v>0</v>
      </c>
      <c r="AG3029" s="17"/>
      <c r="AH3029" s="18"/>
      <c r="AI3029" s="47" t="s">
        <v>4346</v>
      </c>
      <c r="AJ3029" s="73" t="s">
        <v>4347</v>
      </c>
      <c r="AK3029" s="45"/>
      <c r="AL3029" s="89" t="s">
        <v>2798</v>
      </c>
      <c r="AM3029" s="121" t="s">
        <v>5371</v>
      </c>
      <c r="AN3029" s="19"/>
      <c r="AO3029" s="19"/>
      <c r="AP3029" s="19"/>
      <c r="AQ3029" s="19"/>
      <c r="AR3029" s="19"/>
      <c r="AS3029" s="19"/>
      <c r="AT3029" s="19"/>
      <c r="AU3029" s="19"/>
      <c r="AV3029" s="19"/>
      <c r="AW3029" s="19"/>
      <c r="AX3029" s="19"/>
      <c r="AY3029" s="19"/>
      <c r="AZ3029" s="19"/>
      <c r="BA3029" s="19"/>
      <c r="BB3029" s="19"/>
      <c r="BC3029" s="19"/>
      <c r="BD3029" s="19"/>
      <c r="BE3029" s="19"/>
      <c r="BF3029" s="19"/>
      <c r="BG3029" s="19"/>
      <c r="BH3029" s="19"/>
      <c r="BI3029" s="19"/>
      <c r="BJ3029" s="19"/>
      <c r="BK3029" s="19"/>
      <c r="BL3029" s="19"/>
      <c r="BM3029" s="19"/>
      <c r="BN3029" s="19"/>
      <c r="BO3029" s="19"/>
      <c r="BP3029" s="19"/>
      <c r="BQ3029" s="19"/>
      <c r="BR3029" s="19"/>
      <c r="BS3029" s="19"/>
      <c r="BT3029" s="19"/>
      <c r="BU3029" s="19"/>
      <c r="BV3029" s="19"/>
      <c r="BW3029" s="19"/>
      <c r="BX3029" s="19"/>
      <c r="BY3029" s="19"/>
      <c r="BZ3029" s="19"/>
      <c r="CA3029" s="19"/>
      <c r="CB3029" s="19"/>
      <c r="CC3029" s="19"/>
      <c r="CD3029" s="139"/>
      <c r="CE3029" s="138"/>
      <c r="CF3029" s="139"/>
      <c r="CG3029" s="138"/>
      <c r="CH3029" s="139"/>
      <c r="CI3029" s="138"/>
      <c r="CJ3029" s="72"/>
      <c r="CK3029" s="139"/>
      <c r="CL3029" s="71"/>
      <c r="CM3029" s="139"/>
      <c r="CN3029" s="138"/>
      <c r="CO3029" s="138"/>
      <c r="CP3029" s="138"/>
      <c r="CQ3029" s="139"/>
      <c r="CR3029" s="138"/>
      <c r="CS3029" s="45"/>
      <c r="CT3029" s="138"/>
      <c r="CU3029" s="45"/>
      <c r="CV3029" s="99">
        <f t="shared" si="297"/>
        <v>0</v>
      </c>
      <c r="CW3029" s="139"/>
      <c r="CX3029" s="138"/>
      <c r="CY3029" s="138"/>
      <c r="CZ3029" s="138"/>
      <c r="DA3029" s="139"/>
      <c r="DB3029" s="138"/>
      <c r="DC3029" s="45"/>
      <c r="DD3029" s="138"/>
      <c r="DE3029" s="45"/>
      <c r="DF3029" s="46"/>
    </row>
    <row r="3030" spans="1:110" s="42" customFormat="1" ht="48" x14ac:dyDescent="0.2">
      <c r="A3030" s="89">
        <v>40888</v>
      </c>
      <c r="B3030" s="151" t="s">
        <v>4219</v>
      </c>
      <c r="C3030" s="90" t="s">
        <v>2278</v>
      </c>
      <c r="D3030" s="90" t="s">
        <v>2362</v>
      </c>
      <c r="E3030" s="90" t="str">
        <f>VLOOKUP(B3030&amp;C3030,Divipola!$C$2:$F$1138,4,FALSE)</f>
        <v>41306</v>
      </c>
      <c r="F3030" s="4"/>
      <c r="G3030" s="101"/>
      <c r="H3030" s="101"/>
      <c r="I3030" s="101"/>
      <c r="J3030" s="101"/>
      <c r="K3030" s="101"/>
      <c r="L3030" s="101"/>
      <c r="M3030" s="101"/>
      <c r="N3030" s="101">
        <v>1</v>
      </c>
      <c r="O3030" s="101"/>
      <c r="P3030" s="101"/>
      <c r="Q3030" s="101"/>
      <c r="R3030" s="101"/>
      <c r="S3030" s="101"/>
      <c r="T3030" s="101"/>
      <c r="U3030" s="101"/>
      <c r="V3030" s="101"/>
      <c r="W3030" s="19"/>
      <c r="X3030" s="17"/>
      <c r="Y3030" s="5">
        <f t="shared" si="292"/>
        <v>0</v>
      </c>
      <c r="Z3030" s="5">
        <f t="shared" si="293"/>
        <v>0</v>
      </c>
      <c r="AA3030" s="5">
        <f t="shared" si="294"/>
        <v>0</v>
      </c>
      <c r="AB3030" s="5">
        <f t="shared" si="295"/>
        <v>0</v>
      </c>
      <c r="AC3030" s="5"/>
      <c r="AD3030" s="5">
        <v>0</v>
      </c>
      <c r="AE3030" s="5">
        <f t="shared" si="296"/>
        <v>0</v>
      </c>
      <c r="AF3030" s="70">
        <v>0</v>
      </c>
      <c r="AG3030" s="17"/>
      <c r="AH3030" s="18"/>
      <c r="AI3030" s="47" t="s">
        <v>4346</v>
      </c>
      <c r="AJ3030" s="73" t="s">
        <v>4347</v>
      </c>
      <c r="AK3030" s="45"/>
      <c r="AL3030" s="89" t="s">
        <v>2798</v>
      </c>
      <c r="AM3030" s="121" t="s">
        <v>5372</v>
      </c>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39"/>
      <c r="CE3030" s="138"/>
      <c r="CF3030" s="139"/>
      <c r="CG3030" s="138"/>
      <c r="CH3030" s="139"/>
      <c r="CI3030" s="138"/>
      <c r="CJ3030" s="72"/>
      <c r="CK3030" s="139"/>
      <c r="CL3030" s="71"/>
      <c r="CM3030" s="139"/>
      <c r="CN3030" s="138"/>
      <c r="CO3030" s="138"/>
      <c r="CP3030" s="138"/>
      <c r="CQ3030" s="139"/>
      <c r="CR3030" s="138"/>
      <c r="CS3030" s="45"/>
      <c r="CT3030" s="138"/>
      <c r="CU3030" s="45"/>
      <c r="CV3030" s="99">
        <f t="shared" si="297"/>
        <v>0</v>
      </c>
      <c r="CW3030" s="139"/>
      <c r="CX3030" s="138"/>
      <c r="CY3030" s="138"/>
      <c r="CZ3030" s="138"/>
      <c r="DA3030" s="139"/>
      <c r="DB3030" s="138"/>
      <c r="DC3030" s="45"/>
      <c r="DD3030" s="138"/>
      <c r="DE3030" s="45"/>
      <c r="DF3030" s="46"/>
    </row>
    <row r="3031" spans="1:110" s="42" customFormat="1" ht="72" x14ac:dyDescent="0.2">
      <c r="A3031" s="89">
        <v>40888</v>
      </c>
      <c r="B3031" s="151" t="s">
        <v>4219</v>
      </c>
      <c r="C3031" s="90" t="s">
        <v>3503</v>
      </c>
      <c r="D3031" s="90" t="s">
        <v>4264</v>
      </c>
      <c r="E3031" s="90" t="str">
        <f>VLOOKUP(B3031&amp;C3031,Divipola!$C$2:$F$1138,4,FALSE)</f>
        <v>41001</v>
      </c>
      <c r="F3031" s="4"/>
      <c r="G3031" s="101"/>
      <c r="H3031" s="101"/>
      <c r="I3031" s="101"/>
      <c r="J3031" s="101">
        <v>15</v>
      </c>
      <c r="K3031" s="101">
        <v>3</v>
      </c>
      <c r="L3031" s="101"/>
      <c r="M3031" s="101">
        <v>3</v>
      </c>
      <c r="N3031" s="101"/>
      <c r="O3031" s="101"/>
      <c r="P3031" s="101"/>
      <c r="Q3031" s="101"/>
      <c r="R3031" s="101"/>
      <c r="S3031" s="101"/>
      <c r="T3031" s="101"/>
      <c r="U3031" s="101"/>
      <c r="V3031" s="101"/>
      <c r="W3031" s="19"/>
      <c r="X3031" s="17"/>
      <c r="Y3031" s="5">
        <f t="shared" si="292"/>
        <v>0</v>
      </c>
      <c r="Z3031" s="5">
        <f t="shared" si="293"/>
        <v>0</v>
      </c>
      <c r="AA3031" s="5">
        <f t="shared" si="294"/>
        <v>0</v>
      </c>
      <c r="AB3031" s="5">
        <f t="shared" si="295"/>
        <v>0</v>
      </c>
      <c r="AC3031" s="5"/>
      <c r="AD3031" s="5">
        <v>0</v>
      </c>
      <c r="AE3031" s="5">
        <f t="shared" si="296"/>
        <v>0</v>
      </c>
      <c r="AF3031" s="70">
        <v>0</v>
      </c>
      <c r="AG3031" s="17"/>
      <c r="AH3031" s="18"/>
      <c r="AI3031" s="47" t="s">
        <v>4346</v>
      </c>
      <c r="AJ3031" s="73" t="s">
        <v>4347</v>
      </c>
      <c r="AK3031" s="45"/>
      <c r="AL3031" s="89" t="s">
        <v>2798</v>
      </c>
      <c r="AM3031" s="121" t="s">
        <v>5373</v>
      </c>
      <c r="AN3031" s="19"/>
      <c r="AO3031" s="19"/>
      <c r="AP3031" s="19"/>
      <c r="AQ3031" s="19"/>
      <c r="AR3031" s="19"/>
      <c r="AS3031" s="19"/>
      <c r="AT3031" s="19"/>
      <c r="AU3031" s="19"/>
      <c r="AV3031" s="19"/>
      <c r="AW3031" s="19"/>
      <c r="AX3031" s="19"/>
      <c r="AY3031" s="19"/>
      <c r="AZ3031" s="19"/>
      <c r="BA3031" s="19"/>
      <c r="BB3031" s="19"/>
      <c r="BC3031" s="19"/>
      <c r="BD3031" s="19"/>
      <c r="BE3031" s="19"/>
      <c r="BF3031" s="19"/>
      <c r="BG3031" s="19"/>
      <c r="BH3031" s="19"/>
      <c r="BI3031" s="19"/>
      <c r="BJ3031" s="19"/>
      <c r="BK3031" s="19"/>
      <c r="BL3031" s="19"/>
      <c r="BM3031" s="19"/>
      <c r="BN3031" s="19"/>
      <c r="BO3031" s="19"/>
      <c r="BP3031" s="19"/>
      <c r="BQ3031" s="19"/>
      <c r="BR3031" s="19"/>
      <c r="BS3031" s="19"/>
      <c r="BT3031" s="19"/>
      <c r="BU3031" s="19"/>
      <c r="BV3031" s="19"/>
      <c r="BW3031" s="19"/>
      <c r="BX3031" s="19"/>
      <c r="BY3031" s="19"/>
      <c r="BZ3031" s="19"/>
      <c r="CA3031" s="19"/>
      <c r="CB3031" s="19"/>
      <c r="CC3031" s="19"/>
      <c r="CD3031" s="139"/>
      <c r="CE3031" s="138"/>
      <c r="CF3031" s="139"/>
      <c r="CG3031" s="138"/>
      <c r="CH3031" s="139"/>
      <c r="CI3031" s="138"/>
      <c r="CJ3031" s="72"/>
      <c r="CK3031" s="139"/>
      <c r="CL3031" s="71"/>
      <c r="CM3031" s="139"/>
      <c r="CN3031" s="138"/>
      <c r="CO3031" s="138"/>
      <c r="CP3031" s="138"/>
      <c r="CQ3031" s="139"/>
      <c r="CR3031" s="138"/>
      <c r="CS3031" s="45"/>
      <c r="CT3031" s="138"/>
      <c r="CU3031" s="45"/>
      <c r="CV3031" s="99">
        <f t="shared" si="297"/>
        <v>0</v>
      </c>
      <c r="CW3031" s="139"/>
      <c r="CX3031" s="138"/>
      <c r="CY3031" s="138"/>
      <c r="CZ3031" s="138"/>
      <c r="DA3031" s="139"/>
      <c r="DB3031" s="138"/>
      <c r="DC3031" s="45"/>
      <c r="DD3031" s="138"/>
      <c r="DE3031" s="45"/>
      <c r="DF3031" s="46"/>
    </row>
    <row r="3032" spans="1:110" s="42" customFormat="1" ht="408" x14ac:dyDescent="0.2">
      <c r="A3032" s="89">
        <v>40888</v>
      </c>
      <c r="B3032" s="151" t="s">
        <v>4221</v>
      </c>
      <c r="C3032" s="90" t="s">
        <v>3392</v>
      </c>
      <c r="D3032" s="90" t="s">
        <v>2362</v>
      </c>
      <c r="E3032" s="90" t="str">
        <f>VLOOKUP(B3032&amp;C3032,Divipola!$C$2:$F$1138,4,FALSE)</f>
        <v>54172</v>
      </c>
      <c r="F3032" s="4"/>
      <c r="G3032" s="101"/>
      <c r="H3032" s="101"/>
      <c r="I3032" s="101"/>
      <c r="J3032" s="101"/>
      <c r="K3032" s="101"/>
      <c r="L3032" s="101"/>
      <c r="M3032" s="101"/>
      <c r="N3032" s="101"/>
      <c r="O3032" s="101"/>
      <c r="P3032" s="101"/>
      <c r="Q3032" s="101">
        <v>1</v>
      </c>
      <c r="R3032" s="101"/>
      <c r="S3032" s="101"/>
      <c r="T3032" s="101"/>
      <c r="U3032" s="101"/>
      <c r="V3032" s="101"/>
      <c r="W3032" s="19"/>
      <c r="X3032" s="17"/>
      <c r="Y3032" s="5">
        <f t="shared" si="292"/>
        <v>0</v>
      </c>
      <c r="Z3032" s="5">
        <f t="shared" si="293"/>
        <v>0</v>
      </c>
      <c r="AA3032" s="5">
        <f t="shared" si="294"/>
        <v>0</v>
      </c>
      <c r="AB3032" s="5">
        <f t="shared" si="295"/>
        <v>0</v>
      </c>
      <c r="AC3032" s="5"/>
      <c r="AD3032" s="5">
        <v>0</v>
      </c>
      <c r="AE3032" s="5">
        <f t="shared" si="296"/>
        <v>0</v>
      </c>
      <c r="AF3032" s="70">
        <v>0</v>
      </c>
      <c r="AG3032" s="17"/>
      <c r="AH3032" s="18"/>
      <c r="AI3032" s="47" t="s">
        <v>4336</v>
      </c>
      <c r="AJ3032" s="73" t="s">
        <v>4337</v>
      </c>
      <c r="AK3032" s="45"/>
      <c r="AL3032" s="17"/>
      <c r="AM3032" s="121" t="s">
        <v>5376</v>
      </c>
      <c r="AN3032" s="19"/>
      <c r="AO3032" s="19"/>
      <c r="AP3032" s="19"/>
      <c r="AQ3032" s="19"/>
      <c r="AR3032" s="19"/>
      <c r="AS3032" s="19"/>
      <c r="AT3032" s="19"/>
      <c r="AU3032" s="19"/>
      <c r="AV3032" s="19"/>
      <c r="AW3032" s="19"/>
      <c r="AX3032" s="19"/>
      <c r="AY3032" s="19"/>
      <c r="AZ3032" s="19"/>
      <c r="BA3032" s="19"/>
      <c r="BB3032" s="19"/>
      <c r="BC3032" s="19"/>
      <c r="BD3032" s="19"/>
      <c r="BE3032" s="19"/>
      <c r="BF3032" s="19"/>
      <c r="BG3032" s="19"/>
      <c r="BH3032" s="19"/>
      <c r="BI3032" s="19"/>
      <c r="BJ3032" s="19"/>
      <c r="BK3032" s="19"/>
      <c r="BL3032" s="19"/>
      <c r="BM3032" s="19"/>
      <c r="BN3032" s="19"/>
      <c r="BO3032" s="19"/>
      <c r="BP3032" s="19"/>
      <c r="BQ3032" s="19"/>
      <c r="BR3032" s="19"/>
      <c r="BS3032" s="19"/>
      <c r="BT3032" s="19"/>
      <c r="BU3032" s="19"/>
      <c r="BV3032" s="19"/>
      <c r="BW3032" s="19"/>
      <c r="BX3032" s="19"/>
      <c r="BY3032" s="19"/>
      <c r="BZ3032" s="19"/>
      <c r="CA3032" s="19"/>
      <c r="CB3032" s="19"/>
      <c r="CC3032" s="19"/>
      <c r="CD3032" s="139"/>
      <c r="CE3032" s="138"/>
      <c r="CF3032" s="139"/>
      <c r="CG3032" s="138"/>
      <c r="CH3032" s="139"/>
      <c r="CI3032" s="138"/>
      <c r="CJ3032" s="72"/>
      <c r="CK3032" s="139"/>
      <c r="CL3032" s="71"/>
      <c r="CM3032" s="139"/>
      <c r="CN3032" s="138"/>
      <c r="CO3032" s="138"/>
      <c r="CP3032" s="138"/>
      <c r="CQ3032" s="139"/>
      <c r="CR3032" s="138"/>
      <c r="CS3032" s="45"/>
      <c r="CT3032" s="138"/>
      <c r="CU3032" s="45"/>
      <c r="CV3032" s="99">
        <f t="shared" si="297"/>
        <v>0</v>
      </c>
      <c r="CW3032" s="139"/>
      <c r="CX3032" s="138"/>
      <c r="CY3032" s="138"/>
      <c r="CZ3032" s="138"/>
      <c r="DA3032" s="139"/>
      <c r="DB3032" s="138"/>
      <c r="DC3032" s="45"/>
      <c r="DD3032" s="138"/>
      <c r="DE3032" s="45"/>
      <c r="DF3032" s="46"/>
    </row>
    <row r="3033" spans="1:110" s="42" customFormat="1" ht="96" x14ac:dyDescent="0.2">
      <c r="A3033" s="89">
        <v>40888</v>
      </c>
      <c r="B3033" s="151" t="s">
        <v>4296</v>
      </c>
      <c r="C3033" s="90" t="s">
        <v>3371</v>
      </c>
      <c r="D3033" s="90" t="s">
        <v>2362</v>
      </c>
      <c r="E3033" s="90" t="str">
        <f>VLOOKUP(B3033&amp;C3033,Divipola!$C$2:$F$1138,4,FALSE)</f>
        <v>19397</v>
      </c>
      <c r="F3033" s="4"/>
      <c r="G3033" s="101"/>
      <c r="H3033" s="101"/>
      <c r="I3033" s="101"/>
      <c r="J3033" s="101">
        <v>100</v>
      </c>
      <c r="K3033" s="101">
        <v>20</v>
      </c>
      <c r="L3033" s="101"/>
      <c r="M3033" s="101">
        <v>20</v>
      </c>
      <c r="N3033" s="101"/>
      <c r="O3033" s="101"/>
      <c r="P3033" s="101"/>
      <c r="Q3033" s="101">
        <v>1</v>
      </c>
      <c r="R3033" s="101"/>
      <c r="S3033" s="101"/>
      <c r="T3033" s="101"/>
      <c r="U3033" s="101"/>
      <c r="V3033" s="101"/>
      <c r="W3033" s="19"/>
      <c r="X3033" s="17"/>
      <c r="Y3033" s="5">
        <f t="shared" si="292"/>
        <v>0</v>
      </c>
      <c r="Z3033" s="5">
        <f t="shared" si="293"/>
        <v>0</v>
      </c>
      <c r="AA3033" s="5">
        <f t="shared" si="294"/>
        <v>0</v>
      </c>
      <c r="AB3033" s="5">
        <f t="shared" si="295"/>
        <v>0</v>
      </c>
      <c r="AC3033" s="5"/>
      <c r="AD3033" s="5">
        <v>0</v>
      </c>
      <c r="AE3033" s="5">
        <f t="shared" si="296"/>
        <v>0</v>
      </c>
      <c r="AF3033" s="70">
        <v>0</v>
      </c>
      <c r="AG3033" s="17"/>
      <c r="AH3033" s="18"/>
      <c r="AI3033" s="47" t="s">
        <v>4336</v>
      </c>
      <c r="AJ3033" s="73" t="s">
        <v>4337</v>
      </c>
      <c r="AK3033" s="45"/>
      <c r="AL3033" s="17"/>
      <c r="AM3033" s="121" t="s">
        <v>5378</v>
      </c>
      <c r="AN3033" s="19"/>
      <c r="AO3033" s="19"/>
      <c r="AP3033" s="19"/>
      <c r="AQ3033" s="19"/>
      <c r="AR3033" s="19"/>
      <c r="AS3033" s="19"/>
      <c r="AT3033" s="19"/>
      <c r="AU3033" s="19"/>
      <c r="AV3033" s="19"/>
      <c r="AW3033" s="19"/>
      <c r="AX3033" s="19"/>
      <c r="AY3033" s="19"/>
      <c r="AZ3033" s="19"/>
      <c r="BA3033" s="19"/>
      <c r="BB3033" s="19"/>
      <c r="BC3033" s="19"/>
      <c r="BD3033" s="19"/>
      <c r="BE3033" s="19"/>
      <c r="BF3033" s="19"/>
      <c r="BG3033" s="19"/>
      <c r="BH3033" s="19"/>
      <c r="BI3033" s="19"/>
      <c r="BJ3033" s="19"/>
      <c r="BK3033" s="19"/>
      <c r="BL3033" s="19"/>
      <c r="BM3033" s="19"/>
      <c r="BN3033" s="19"/>
      <c r="BO3033" s="19"/>
      <c r="BP3033" s="19"/>
      <c r="BQ3033" s="19"/>
      <c r="BR3033" s="19"/>
      <c r="BS3033" s="19"/>
      <c r="BT3033" s="19"/>
      <c r="BU3033" s="19"/>
      <c r="BV3033" s="19"/>
      <c r="BW3033" s="19"/>
      <c r="BX3033" s="19"/>
      <c r="BY3033" s="19"/>
      <c r="BZ3033" s="19"/>
      <c r="CA3033" s="19"/>
      <c r="CB3033" s="19"/>
      <c r="CC3033" s="19"/>
      <c r="CD3033" s="139"/>
      <c r="CE3033" s="138"/>
      <c r="CF3033" s="139"/>
      <c r="CG3033" s="138"/>
      <c r="CH3033" s="139"/>
      <c r="CI3033" s="138"/>
      <c r="CJ3033" s="72"/>
      <c r="CK3033" s="139"/>
      <c r="CL3033" s="71"/>
      <c r="CM3033" s="139"/>
      <c r="CN3033" s="138"/>
      <c r="CO3033" s="138"/>
      <c r="CP3033" s="138"/>
      <c r="CQ3033" s="139"/>
      <c r="CR3033" s="138"/>
      <c r="CS3033" s="45"/>
      <c r="CT3033" s="138"/>
      <c r="CU3033" s="45"/>
      <c r="CV3033" s="99">
        <f t="shared" si="297"/>
        <v>0</v>
      </c>
      <c r="CW3033" s="139"/>
      <c r="CX3033" s="138"/>
      <c r="CY3033" s="138"/>
      <c r="CZ3033" s="138"/>
      <c r="DA3033" s="139"/>
      <c r="DB3033" s="138"/>
      <c r="DC3033" s="45"/>
      <c r="DD3033" s="138"/>
      <c r="DE3033" s="45"/>
      <c r="DF3033" s="46"/>
    </row>
    <row r="3034" spans="1:110" s="42" customFormat="1" ht="60" x14ac:dyDescent="0.2">
      <c r="A3034" s="89">
        <v>40888</v>
      </c>
      <c r="B3034" s="151" t="s">
        <v>874</v>
      </c>
      <c r="C3034" s="90" t="s">
        <v>4327</v>
      </c>
      <c r="D3034" s="90" t="s">
        <v>4264</v>
      </c>
      <c r="E3034" s="90" t="str">
        <f>VLOOKUP(B3034&amp;C3034,Divipola!$C$2:$F$1138,4,FALSE)</f>
        <v>44874</v>
      </c>
      <c r="F3034" s="4"/>
      <c r="G3034" s="101"/>
      <c r="H3034" s="101"/>
      <c r="I3034" s="101"/>
      <c r="J3034" s="101">
        <v>399</v>
      </c>
      <c r="K3034" s="101">
        <v>76</v>
      </c>
      <c r="L3034" s="101"/>
      <c r="M3034" s="101">
        <v>76</v>
      </c>
      <c r="N3034" s="101"/>
      <c r="O3034" s="101"/>
      <c r="P3034" s="101"/>
      <c r="Q3034" s="101"/>
      <c r="R3034" s="101"/>
      <c r="S3034" s="101"/>
      <c r="T3034" s="101"/>
      <c r="U3034" s="101"/>
      <c r="V3034" s="101"/>
      <c r="W3034" s="19"/>
      <c r="X3034" s="17"/>
      <c r="Y3034" s="5">
        <f t="shared" si="292"/>
        <v>0</v>
      </c>
      <c r="Z3034" s="5">
        <f t="shared" si="293"/>
        <v>0</v>
      </c>
      <c r="AA3034" s="5">
        <f t="shared" si="294"/>
        <v>0</v>
      </c>
      <c r="AB3034" s="5">
        <f t="shared" si="295"/>
        <v>0</v>
      </c>
      <c r="AC3034" s="5"/>
      <c r="AD3034" s="5">
        <v>0</v>
      </c>
      <c r="AE3034" s="5">
        <f t="shared" si="296"/>
        <v>0</v>
      </c>
      <c r="AF3034" s="70">
        <v>0</v>
      </c>
      <c r="AG3034" s="17"/>
      <c r="AH3034" s="18"/>
      <c r="AI3034" s="47" t="s">
        <v>4336</v>
      </c>
      <c r="AJ3034" s="73" t="s">
        <v>4337</v>
      </c>
      <c r="AK3034" s="45"/>
      <c r="AL3034" s="17"/>
      <c r="AM3034" s="121" t="s">
        <v>5394</v>
      </c>
      <c r="AN3034" s="19"/>
      <c r="AO3034" s="19"/>
      <c r="AP3034" s="19"/>
      <c r="AQ3034" s="19"/>
      <c r="AR3034" s="19"/>
      <c r="AS3034" s="19"/>
      <c r="AT3034" s="19"/>
      <c r="AU3034" s="19"/>
      <c r="AV3034" s="19"/>
      <c r="AW3034" s="19"/>
      <c r="AX3034" s="19"/>
      <c r="AY3034" s="19"/>
      <c r="AZ3034" s="19"/>
      <c r="BA3034" s="19"/>
      <c r="BB3034" s="19"/>
      <c r="BC3034" s="19"/>
      <c r="BD3034" s="19"/>
      <c r="BE3034" s="19"/>
      <c r="BF3034" s="19"/>
      <c r="BG3034" s="19"/>
      <c r="BH3034" s="19"/>
      <c r="BI3034" s="19"/>
      <c r="BJ3034" s="19"/>
      <c r="BK3034" s="19"/>
      <c r="BL3034" s="19"/>
      <c r="BM3034" s="19"/>
      <c r="BN3034" s="19"/>
      <c r="BO3034" s="19"/>
      <c r="BP3034" s="19"/>
      <c r="BQ3034" s="19"/>
      <c r="BR3034" s="19"/>
      <c r="BS3034" s="19"/>
      <c r="BT3034" s="19"/>
      <c r="BU3034" s="19"/>
      <c r="BV3034" s="19"/>
      <c r="BW3034" s="19"/>
      <c r="BX3034" s="19"/>
      <c r="BY3034" s="19"/>
      <c r="BZ3034" s="19"/>
      <c r="CA3034" s="19"/>
      <c r="CB3034" s="19"/>
      <c r="CC3034" s="19"/>
      <c r="CD3034" s="139"/>
      <c r="CE3034" s="138"/>
      <c r="CF3034" s="139"/>
      <c r="CG3034" s="138"/>
      <c r="CH3034" s="139"/>
      <c r="CI3034" s="138"/>
      <c r="CJ3034" s="72"/>
      <c r="CK3034" s="139"/>
      <c r="CL3034" s="71"/>
      <c r="CM3034" s="139"/>
      <c r="CN3034" s="138"/>
      <c r="CO3034" s="138"/>
      <c r="CP3034" s="138"/>
      <c r="CQ3034" s="139"/>
      <c r="CR3034" s="138"/>
      <c r="CS3034" s="45"/>
      <c r="CT3034" s="138"/>
      <c r="CU3034" s="45"/>
      <c r="CV3034" s="99">
        <f t="shared" si="297"/>
        <v>0</v>
      </c>
      <c r="CW3034" s="139"/>
      <c r="CX3034" s="138"/>
      <c r="CY3034" s="138"/>
      <c r="CZ3034" s="138"/>
      <c r="DA3034" s="139"/>
      <c r="DB3034" s="138"/>
      <c r="DC3034" s="45"/>
      <c r="DD3034" s="138"/>
      <c r="DE3034" s="45"/>
      <c r="DF3034" s="46"/>
    </row>
    <row r="3035" spans="1:110" s="42" customFormat="1" ht="36" x14ac:dyDescent="0.2">
      <c r="A3035" s="89">
        <v>40889</v>
      </c>
      <c r="B3035" s="151" t="s">
        <v>2204</v>
      </c>
      <c r="C3035" s="90" t="s">
        <v>3072</v>
      </c>
      <c r="D3035" s="90" t="s">
        <v>4264</v>
      </c>
      <c r="E3035" s="90" t="str">
        <f>VLOOKUP(B3035&amp;C3035,Divipola!$C$2:$F$1138,4,FALSE)</f>
        <v>70823</v>
      </c>
      <c r="F3035" s="4"/>
      <c r="G3035" s="101"/>
      <c r="H3035" s="101"/>
      <c r="I3035" s="101"/>
      <c r="J3035" s="101">
        <v>350</v>
      </c>
      <c r="K3035" s="101">
        <v>70</v>
      </c>
      <c r="L3035" s="101"/>
      <c r="M3035" s="101">
        <v>70</v>
      </c>
      <c r="N3035" s="101"/>
      <c r="O3035" s="101"/>
      <c r="P3035" s="101"/>
      <c r="Q3035" s="101"/>
      <c r="R3035" s="101"/>
      <c r="S3035" s="101"/>
      <c r="T3035" s="101"/>
      <c r="U3035" s="101"/>
      <c r="V3035" s="101"/>
      <c r="W3035" s="19"/>
      <c r="X3035" s="17"/>
      <c r="Y3035" s="5">
        <f t="shared" si="292"/>
        <v>0</v>
      </c>
      <c r="Z3035" s="5">
        <f t="shared" si="293"/>
        <v>0</v>
      </c>
      <c r="AA3035" s="5">
        <f t="shared" si="294"/>
        <v>0</v>
      </c>
      <c r="AB3035" s="5">
        <f t="shared" si="295"/>
        <v>0</v>
      </c>
      <c r="AC3035" s="5"/>
      <c r="AD3035" s="5">
        <v>0</v>
      </c>
      <c r="AE3035" s="5">
        <f t="shared" si="296"/>
        <v>0</v>
      </c>
      <c r="AF3035" s="70">
        <v>0</v>
      </c>
      <c r="AG3035" s="17"/>
      <c r="AH3035" s="18"/>
      <c r="AI3035" s="47" t="s">
        <v>4346</v>
      </c>
      <c r="AJ3035" s="73" t="s">
        <v>4347</v>
      </c>
      <c r="AK3035" s="45"/>
      <c r="AL3035" s="89" t="s">
        <v>2798</v>
      </c>
      <c r="AM3035" s="121" t="s">
        <v>5379</v>
      </c>
      <c r="AN3035" s="19"/>
      <c r="AO3035" s="19"/>
      <c r="AP3035" s="19"/>
      <c r="AQ3035" s="19"/>
      <c r="AR3035" s="19"/>
      <c r="AS3035" s="19"/>
      <c r="AT3035" s="19"/>
      <c r="AU3035" s="19"/>
      <c r="AV3035" s="19"/>
      <c r="AW3035" s="19"/>
      <c r="AX3035" s="19"/>
      <c r="AY3035" s="19"/>
      <c r="AZ3035" s="19"/>
      <c r="BA3035" s="19"/>
      <c r="BB3035" s="19"/>
      <c r="BC3035" s="19"/>
      <c r="BD3035" s="19"/>
      <c r="BE3035" s="19"/>
      <c r="BF3035" s="19"/>
      <c r="BG3035" s="19"/>
      <c r="BH3035" s="19"/>
      <c r="BI3035" s="19"/>
      <c r="BJ3035" s="19"/>
      <c r="BK3035" s="19"/>
      <c r="BL3035" s="19"/>
      <c r="BM3035" s="19"/>
      <c r="BN3035" s="19"/>
      <c r="BO3035" s="19"/>
      <c r="BP3035" s="19"/>
      <c r="BQ3035" s="19"/>
      <c r="BR3035" s="19"/>
      <c r="BS3035" s="19"/>
      <c r="BT3035" s="19"/>
      <c r="BU3035" s="19"/>
      <c r="BV3035" s="19"/>
      <c r="BW3035" s="19"/>
      <c r="BX3035" s="19"/>
      <c r="BY3035" s="19"/>
      <c r="BZ3035" s="19"/>
      <c r="CA3035" s="19"/>
      <c r="CB3035" s="19"/>
      <c r="CC3035" s="19"/>
      <c r="CD3035" s="139"/>
      <c r="CE3035" s="138"/>
      <c r="CF3035" s="139"/>
      <c r="CG3035" s="138"/>
      <c r="CH3035" s="139"/>
      <c r="CI3035" s="138"/>
      <c r="CJ3035" s="72"/>
      <c r="CK3035" s="139"/>
      <c r="CL3035" s="71"/>
      <c r="CM3035" s="139"/>
      <c r="CN3035" s="138"/>
      <c r="CO3035" s="138"/>
      <c r="CP3035" s="138"/>
      <c r="CQ3035" s="139"/>
      <c r="CR3035" s="138"/>
      <c r="CS3035" s="45"/>
      <c r="CT3035" s="138"/>
      <c r="CU3035" s="45"/>
      <c r="CV3035" s="99">
        <f t="shared" si="297"/>
        <v>0</v>
      </c>
      <c r="CW3035" s="139"/>
      <c r="CX3035" s="138"/>
      <c r="CY3035" s="138"/>
      <c r="CZ3035" s="138"/>
      <c r="DA3035" s="139"/>
      <c r="DB3035" s="138"/>
      <c r="DC3035" s="45"/>
      <c r="DD3035" s="138"/>
      <c r="DE3035" s="45"/>
      <c r="DF3035" s="46"/>
    </row>
    <row r="3036" spans="1:110" s="42" customFormat="1" ht="108" x14ac:dyDescent="0.2">
      <c r="A3036" s="89">
        <v>40889</v>
      </c>
      <c r="B3036" s="151" t="s">
        <v>4219</v>
      </c>
      <c r="C3036" s="90" t="s">
        <v>3322</v>
      </c>
      <c r="D3036" s="90" t="s">
        <v>2362</v>
      </c>
      <c r="E3036" s="90" t="str">
        <f>VLOOKUP(B3036&amp;C3036,Divipola!$C$2:$F$1138,4,FALSE)</f>
        <v>41319</v>
      </c>
      <c r="F3036" s="4"/>
      <c r="G3036" s="101">
        <v>1</v>
      </c>
      <c r="H3036" s="101">
        <v>1</v>
      </c>
      <c r="I3036" s="101"/>
      <c r="J3036" s="101"/>
      <c r="K3036" s="101"/>
      <c r="L3036" s="101"/>
      <c r="M3036" s="101"/>
      <c r="N3036" s="101">
        <v>1</v>
      </c>
      <c r="O3036" s="101"/>
      <c r="P3036" s="101"/>
      <c r="Q3036" s="101"/>
      <c r="R3036" s="101"/>
      <c r="S3036" s="101"/>
      <c r="T3036" s="101"/>
      <c r="U3036" s="101"/>
      <c r="V3036" s="101"/>
      <c r="W3036" s="19"/>
      <c r="X3036" s="17"/>
      <c r="Y3036" s="5">
        <f t="shared" si="292"/>
        <v>0</v>
      </c>
      <c r="Z3036" s="5">
        <f t="shared" si="293"/>
        <v>0</v>
      </c>
      <c r="AA3036" s="5">
        <f t="shared" si="294"/>
        <v>0</v>
      </c>
      <c r="AB3036" s="5">
        <f t="shared" si="295"/>
        <v>0</v>
      </c>
      <c r="AC3036" s="5"/>
      <c r="AD3036" s="5">
        <v>0</v>
      </c>
      <c r="AE3036" s="5">
        <f t="shared" si="296"/>
        <v>0</v>
      </c>
      <c r="AF3036" s="70">
        <v>0</v>
      </c>
      <c r="AG3036" s="17"/>
      <c r="AH3036" s="18"/>
      <c r="AI3036" s="47" t="s">
        <v>4346</v>
      </c>
      <c r="AJ3036" s="73" t="s">
        <v>4347</v>
      </c>
      <c r="AK3036" s="45"/>
      <c r="AL3036" s="89" t="s">
        <v>2798</v>
      </c>
      <c r="AM3036" s="121" t="s">
        <v>5380</v>
      </c>
      <c r="AN3036" s="19"/>
      <c r="AO3036" s="19"/>
      <c r="AP3036" s="19"/>
      <c r="AQ3036" s="19"/>
      <c r="AR3036" s="19"/>
      <c r="AS3036" s="19"/>
      <c r="AT3036" s="19"/>
      <c r="AU3036" s="19"/>
      <c r="AV3036" s="19"/>
      <c r="AW3036" s="19"/>
      <c r="AX3036" s="19"/>
      <c r="AY3036" s="19"/>
      <c r="AZ3036" s="19"/>
      <c r="BA3036" s="19"/>
      <c r="BB3036" s="19"/>
      <c r="BC3036" s="19"/>
      <c r="BD3036" s="19"/>
      <c r="BE3036" s="19"/>
      <c r="BF3036" s="19"/>
      <c r="BG3036" s="19"/>
      <c r="BH3036" s="19"/>
      <c r="BI3036" s="19"/>
      <c r="BJ3036" s="19"/>
      <c r="BK3036" s="19"/>
      <c r="BL3036" s="19"/>
      <c r="BM3036" s="19"/>
      <c r="BN3036" s="19"/>
      <c r="BO3036" s="19"/>
      <c r="BP3036" s="19"/>
      <c r="BQ3036" s="19"/>
      <c r="BR3036" s="19"/>
      <c r="BS3036" s="19"/>
      <c r="BT3036" s="19"/>
      <c r="BU3036" s="19"/>
      <c r="BV3036" s="19"/>
      <c r="BW3036" s="19"/>
      <c r="BX3036" s="19"/>
      <c r="BY3036" s="19"/>
      <c r="BZ3036" s="19"/>
      <c r="CA3036" s="19"/>
      <c r="CB3036" s="19"/>
      <c r="CC3036" s="19"/>
      <c r="CD3036" s="139"/>
      <c r="CE3036" s="138"/>
      <c r="CF3036" s="139"/>
      <c r="CG3036" s="138"/>
      <c r="CH3036" s="139"/>
      <c r="CI3036" s="138"/>
      <c r="CJ3036" s="72"/>
      <c r="CK3036" s="139"/>
      <c r="CL3036" s="71"/>
      <c r="CM3036" s="139"/>
      <c r="CN3036" s="138"/>
      <c r="CO3036" s="138"/>
      <c r="CP3036" s="138"/>
      <c r="CQ3036" s="139"/>
      <c r="CR3036" s="138"/>
      <c r="CS3036" s="45"/>
      <c r="CT3036" s="138"/>
      <c r="CU3036" s="45"/>
      <c r="CV3036" s="99">
        <f t="shared" si="297"/>
        <v>0</v>
      </c>
      <c r="CW3036" s="139"/>
      <c r="CX3036" s="138"/>
      <c r="CY3036" s="138"/>
      <c r="CZ3036" s="138"/>
      <c r="DA3036" s="139"/>
      <c r="DB3036" s="138"/>
      <c r="DC3036" s="45"/>
      <c r="DD3036" s="138"/>
      <c r="DE3036" s="45"/>
      <c r="DF3036" s="46"/>
    </row>
    <row r="3037" spans="1:110" s="42" customFormat="1" ht="72" x14ac:dyDescent="0.2">
      <c r="A3037" s="89">
        <v>40889</v>
      </c>
      <c r="B3037" s="151" t="s">
        <v>4219</v>
      </c>
      <c r="C3037" s="90" t="s">
        <v>796</v>
      </c>
      <c r="D3037" s="90" t="s">
        <v>3346</v>
      </c>
      <c r="E3037" s="90" t="str">
        <f>VLOOKUP(B3037&amp;C3037,Divipola!$C$2:$F$1138,4,FALSE)</f>
        <v>41006</v>
      </c>
      <c r="F3037" s="4"/>
      <c r="G3037" s="101"/>
      <c r="H3037" s="101"/>
      <c r="I3037" s="101"/>
      <c r="J3037" s="101">
        <v>25</v>
      </c>
      <c r="K3037" s="101">
        <v>5</v>
      </c>
      <c r="L3037" s="101"/>
      <c r="M3037" s="101">
        <v>5</v>
      </c>
      <c r="N3037" s="101"/>
      <c r="O3037" s="101"/>
      <c r="P3037" s="101"/>
      <c r="Q3037" s="101"/>
      <c r="R3037" s="101"/>
      <c r="S3037" s="101"/>
      <c r="T3037" s="101"/>
      <c r="U3037" s="101"/>
      <c r="V3037" s="101"/>
      <c r="W3037" s="19"/>
      <c r="X3037" s="17"/>
      <c r="Y3037" s="5">
        <f t="shared" si="292"/>
        <v>0</v>
      </c>
      <c r="Z3037" s="5">
        <f t="shared" si="293"/>
        <v>0</v>
      </c>
      <c r="AA3037" s="5">
        <f t="shared" si="294"/>
        <v>0</v>
      </c>
      <c r="AB3037" s="5">
        <f t="shared" si="295"/>
        <v>0</v>
      </c>
      <c r="AC3037" s="5"/>
      <c r="AD3037" s="5">
        <v>0</v>
      </c>
      <c r="AE3037" s="5">
        <f t="shared" si="296"/>
        <v>0</v>
      </c>
      <c r="AF3037" s="70">
        <v>0</v>
      </c>
      <c r="AG3037" s="17"/>
      <c r="AH3037" s="18"/>
      <c r="AI3037" s="47" t="s">
        <v>4346</v>
      </c>
      <c r="AJ3037" s="73" t="s">
        <v>4347</v>
      </c>
      <c r="AK3037" s="45"/>
      <c r="AL3037" s="89" t="s">
        <v>2798</v>
      </c>
      <c r="AM3037" s="121" t="s">
        <v>5381</v>
      </c>
      <c r="AN3037" s="19"/>
      <c r="AO3037" s="19"/>
      <c r="AP3037" s="19"/>
      <c r="AQ3037" s="19"/>
      <c r="AR3037" s="19"/>
      <c r="AS3037" s="19"/>
      <c r="AT3037" s="19"/>
      <c r="AU3037" s="19"/>
      <c r="AV3037" s="19"/>
      <c r="AW3037" s="19"/>
      <c r="AX3037" s="19"/>
      <c r="AY3037" s="19"/>
      <c r="AZ3037" s="19"/>
      <c r="BA3037" s="19"/>
      <c r="BB3037" s="19"/>
      <c r="BC3037" s="19"/>
      <c r="BD3037" s="19"/>
      <c r="BE3037" s="19"/>
      <c r="BF3037" s="19"/>
      <c r="BG3037" s="19"/>
      <c r="BH3037" s="19"/>
      <c r="BI3037" s="19"/>
      <c r="BJ3037" s="19"/>
      <c r="BK3037" s="19"/>
      <c r="BL3037" s="19"/>
      <c r="BM3037" s="19"/>
      <c r="BN3037" s="19"/>
      <c r="BO3037" s="19"/>
      <c r="BP3037" s="19"/>
      <c r="BQ3037" s="19"/>
      <c r="BR3037" s="19"/>
      <c r="BS3037" s="19"/>
      <c r="BT3037" s="19"/>
      <c r="BU3037" s="19"/>
      <c r="BV3037" s="19"/>
      <c r="BW3037" s="19"/>
      <c r="BX3037" s="19"/>
      <c r="BY3037" s="19"/>
      <c r="BZ3037" s="19"/>
      <c r="CA3037" s="19"/>
      <c r="CB3037" s="19"/>
      <c r="CC3037" s="19"/>
      <c r="CD3037" s="139"/>
      <c r="CE3037" s="138"/>
      <c r="CF3037" s="139"/>
      <c r="CG3037" s="138"/>
      <c r="CH3037" s="139"/>
      <c r="CI3037" s="138"/>
      <c r="CJ3037" s="72"/>
      <c r="CK3037" s="139"/>
      <c r="CL3037" s="71"/>
      <c r="CM3037" s="139"/>
      <c r="CN3037" s="138"/>
      <c r="CO3037" s="138"/>
      <c r="CP3037" s="138"/>
      <c r="CQ3037" s="139"/>
      <c r="CR3037" s="138"/>
      <c r="CS3037" s="45"/>
      <c r="CT3037" s="138"/>
      <c r="CU3037" s="45"/>
      <c r="CV3037" s="99">
        <f t="shared" si="297"/>
        <v>0</v>
      </c>
      <c r="CW3037" s="139"/>
      <c r="CX3037" s="138"/>
      <c r="CY3037" s="138"/>
      <c r="CZ3037" s="138"/>
      <c r="DA3037" s="139"/>
      <c r="DB3037" s="138"/>
      <c r="DC3037" s="45"/>
      <c r="DD3037" s="138"/>
      <c r="DE3037" s="45"/>
      <c r="DF3037" s="46"/>
    </row>
    <row r="3038" spans="1:110" s="42" customFormat="1" ht="36" x14ac:dyDescent="0.2">
      <c r="A3038" s="89">
        <v>40889</v>
      </c>
      <c r="B3038" s="151" t="s">
        <v>4219</v>
      </c>
      <c r="C3038" s="90" t="s">
        <v>3495</v>
      </c>
      <c r="D3038" s="90" t="s">
        <v>2362</v>
      </c>
      <c r="E3038" s="90" t="str">
        <f>VLOOKUP(B3038&amp;C3038,Divipola!$C$2:$F$1138,4,FALSE)</f>
        <v>41078</v>
      </c>
      <c r="F3038" s="4"/>
      <c r="G3038" s="101"/>
      <c r="H3038" s="101"/>
      <c r="I3038" s="101"/>
      <c r="J3038" s="101"/>
      <c r="K3038" s="101"/>
      <c r="L3038" s="101"/>
      <c r="M3038" s="101"/>
      <c r="N3038" s="101">
        <v>1</v>
      </c>
      <c r="O3038" s="101"/>
      <c r="P3038" s="101"/>
      <c r="Q3038" s="101"/>
      <c r="R3038" s="101"/>
      <c r="S3038" s="101"/>
      <c r="T3038" s="101"/>
      <c r="U3038" s="101"/>
      <c r="V3038" s="101"/>
      <c r="W3038" s="19"/>
      <c r="X3038" s="17"/>
      <c r="Y3038" s="5">
        <f t="shared" si="292"/>
        <v>0</v>
      </c>
      <c r="Z3038" s="5">
        <f t="shared" si="293"/>
        <v>0</v>
      </c>
      <c r="AA3038" s="5">
        <f t="shared" si="294"/>
        <v>0</v>
      </c>
      <c r="AB3038" s="5">
        <f t="shared" si="295"/>
        <v>0</v>
      </c>
      <c r="AC3038" s="5"/>
      <c r="AD3038" s="5">
        <v>0</v>
      </c>
      <c r="AE3038" s="5">
        <f t="shared" si="296"/>
        <v>0</v>
      </c>
      <c r="AF3038" s="70">
        <v>0</v>
      </c>
      <c r="AG3038" s="17"/>
      <c r="AH3038" s="18"/>
      <c r="AI3038" s="47" t="s">
        <v>4346</v>
      </c>
      <c r="AJ3038" s="73" t="s">
        <v>4347</v>
      </c>
      <c r="AK3038" s="45"/>
      <c r="AL3038" s="89" t="s">
        <v>2798</v>
      </c>
      <c r="AM3038" s="121" t="s">
        <v>5382</v>
      </c>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39"/>
      <c r="CE3038" s="138"/>
      <c r="CF3038" s="139"/>
      <c r="CG3038" s="138"/>
      <c r="CH3038" s="139"/>
      <c r="CI3038" s="138"/>
      <c r="CJ3038" s="72"/>
      <c r="CK3038" s="139"/>
      <c r="CL3038" s="71"/>
      <c r="CM3038" s="139"/>
      <c r="CN3038" s="138"/>
      <c r="CO3038" s="138"/>
      <c r="CP3038" s="138"/>
      <c r="CQ3038" s="139"/>
      <c r="CR3038" s="138"/>
      <c r="CS3038" s="45"/>
      <c r="CT3038" s="138"/>
      <c r="CU3038" s="45"/>
      <c r="CV3038" s="99">
        <f t="shared" si="297"/>
        <v>0</v>
      </c>
      <c r="CW3038" s="139"/>
      <c r="CX3038" s="138"/>
      <c r="CY3038" s="138"/>
      <c r="CZ3038" s="138"/>
      <c r="DA3038" s="139"/>
      <c r="DB3038" s="138"/>
      <c r="DC3038" s="45"/>
      <c r="DD3038" s="138"/>
      <c r="DE3038" s="45"/>
      <c r="DF3038" s="46"/>
    </row>
    <row r="3039" spans="1:110" s="42" customFormat="1" ht="48" x14ac:dyDescent="0.2">
      <c r="A3039" s="89">
        <v>40889</v>
      </c>
      <c r="B3039" s="151" t="s">
        <v>4352</v>
      </c>
      <c r="C3039" s="90" t="s">
        <v>4330</v>
      </c>
      <c r="D3039" s="90" t="s">
        <v>4264</v>
      </c>
      <c r="E3039" s="90" t="str">
        <f>VLOOKUP(B3039&amp;C3039,Divipola!$C$2:$F$1138,4,FALSE)</f>
        <v>13188</v>
      </c>
      <c r="F3039" s="4"/>
      <c r="G3039" s="101"/>
      <c r="H3039" s="101"/>
      <c r="I3039" s="101"/>
      <c r="J3039" s="101">
        <v>8515</v>
      </c>
      <c r="K3039" s="101">
        <v>1854</v>
      </c>
      <c r="L3039" s="101"/>
      <c r="M3039" s="101">
        <v>516</v>
      </c>
      <c r="N3039" s="101"/>
      <c r="O3039" s="101"/>
      <c r="P3039" s="101"/>
      <c r="Q3039" s="101"/>
      <c r="R3039" s="101"/>
      <c r="S3039" s="101"/>
      <c r="T3039" s="101"/>
      <c r="U3039" s="101"/>
      <c r="V3039" s="101"/>
      <c r="W3039" s="19"/>
      <c r="X3039" s="17"/>
      <c r="Y3039" s="5">
        <f t="shared" si="292"/>
        <v>0</v>
      </c>
      <c r="Z3039" s="5">
        <f t="shared" si="293"/>
        <v>0</v>
      </c>
      <c r="AA3039" s="5">
        <f t="shared" si="294"/>
        <v>0</v>
      </c>
      <c r="AB3039" s="5">
        <f t="shared" si="295"/>
        <v>0</v>
      </c>
      <c r="AC3039" s="5"/>
      <c r="AD3039" s="5">
        <v>0</v>
      </c>
      <c r="AE3039" s="5">
        <f t="shared" si="296"/>
        <v>0</v>
      </c>
      <c r="AF3039" s="70">
        <v>0</v>
      </c>
      <c r="AG3039" s="17"/>
      <c r="AH3039" s="18"/>
      <c r="AI3039" s="47" t="s">
        <v>4346</v>
      </c>
      <c r="AJ3039" s="73" t="s">
        <v>4347</v>
      </c>
      <c r="AK3039" s="45"/>
      <c r="AL3039" s="89" t="s">
        <v>2798</v>
      </c>
      <c r="AM3039" s="121" t="s">
        <v>5388</v>
      </c>
      <c r="AN3039" s="19"/>
      <c r="AO3039" s="19"/>
      <c r="AP3039" s="19"/>
      <c r="AQ3039" s="19"/>
      <c r="AR3039" s="19"/>
      <c r="AS3039" s="19"/>
      <c r="AT3039" s="19"/>
      <c r="AU3039" s="19"/>
      <c r="AV3039" s="19"/>
      <c r="AW3039" s="19"/>
      <c r="AX3039" s="19"/>
      <c r="AY3039" s="19"/>
      <c r="AZ3039" s="19"/>
      <c r="BA3039" s="19"/>
      <c r="BB3039" s="19"/>
      <c r="BC3039" s="19"/>
      <c r="BD3039" s="19"/>
      <c r="BE3039" s="19"/>
      <c r="BF3039" s="19"/>
      <c r="BG3039" s="19"/>
      <c r="BH3039" s="19"/>
      <c r="BI3039" s="19"/>
      <c r="BJ3039" s="19"/>
      <c r="BK3039" s="19"/>
      <c r="BL3039" s="19"/>
      <c r="BM3039" s="19"/>
      <c r="BN3039" s="19"/>
      <c r="BO3039" s="19"/>
      <c r="BP3039" s="19"/>
      <c r="BQ3039" s="19"/>
      <c r="BR3039" s="19"/>
      <c r="BS3039" s="19"/>
      <c r="BT3039" s="19"/>
      <c r="BU3039" s="19"/>
      <c r="BV3039" s="19"/>
      <c r="BW3039" s="19"/>
      <c r="BX3039" s="19"/>
      <c r="BY3039" s="19"/>
      <c r="BZ3039" s="19"/>
      <c r="CA3039" s="19"/>
      <c r="CB3039" s="19"/>
      <c r="CC3039" s="19"/>
      <c r="CD3039" s="139"/>
      <c r="CE3039" s="138"/>
      <c r="CF3039" s="139"/>
      <c r="CG3039" s="138"/>
      <c r="CH3039" s="139"/>
      <c r="CI3039" s="138"/>
      <c r="CJ3039" s="72"/>
      <c r="CK3039" s="139"/>
      <c r="CL3039" s="71"/>
      <c r="CM3039" s="139"/>
      <c r="CN3039" s="138"/>
      <c r="CO3039" s="138"/>
      <c r="CP3039" s="138"/>
      <c r="CQ3039" s="139"/>
      <c r="CR3039" s="138"/>
      <c r="CS3039" s="45"/>
      <c r="CT3039" s="138"/>
      <c r="CU3039" s="45"/>
      <c r="CV3039" s="99">
        <f t="shared" si="297"/>
        <v>0</v>
      </c>
      <c r="CW3039" s="139"/>
      <c r="CX3039" s="138"/>
      <c r="CY3039" s="138"/>
      <c r="CZ3039" s="138"/>
      <c r="DA3039" s="139"/>
      <c r="DB3039" s="138"/>
      <c r="DC3039" s="45"/>
      <c r="DD3039" s="138"/>
      <c r="DE3039" s="45"/>
      <c r="DF3039" s="46"/>
    </row>
    <row r="3040" spans="1:110" s="42" customFormat="1" ht="408" x14ac:dyDescent="0.2">
      <c r="A3040" s="89">
        <v>40889</v>
      </c>
      <c r="B3040" s="151" t="s">
        <v>4387</v>
      </c>
      <c r="C3040" s="90" t="s">
        <v>487</v>
      </c>
      <c r="D3040" s="90" t="s">
        <v>2362</v>
      </c>
      <c r="E3040" s="90" t="str">
        <f>VLOOKUP(B3040&amp;C3040,Divipola!$C$2:$F$1138,4,FALSE)</f>
        <v>52378</v>
      </c>
      <c r="F3040" s="4"/>
      <c r="G3040" s="101">
        <v>15</v>
      </c>
      <c r="H3040" s="101"/>
      <c r="I3040" s="101"/>
      <c r="J3040" s="101">
        <v>15</v>
      </c>
      <c r="K3040" s="101">
        <v>3</v>
      </c>
      <c r="L3040" s="101">
        <v>3</v>
      </c>
      <c r="M3040" s="101"/>
      <c r="N3040" s="101">
        <v>1</v>
      </c>
      <c r="O3040" s="101"/>
      <c r="P3040" s="101"/>
      <c r="Q3040" s="101"/>
      <c r="R3040" s="101"/>
      <c r="S3040" s="101"/>
      <c r="T3040" s="101">
        <v>1</v>
      </c>
      <c r="U3040" s="101"/>
      <c r="V3040" s="101"/>
      <c r="W3040" s="19"/>
      <c r="X3040" s="17"/>
      <c r="Y3040" s="5">
        <f t="shared" si="292"/>
        <v>0</v>
      </c>
      <c r="Z3040" s="5">
        <f t="shared" si="293"/>
        <v>0</v>
      </c>
      <c r="AA3040" s="5">
        <f t="shared" si="294"/>
        <v>0</v>
      </c>
      <c r="AB3040" s="5">
        <f t="shared" si="295"/>
        <v>0</v>
      </c>
      <c r="AC3040" s="5"/>
      <c r="AD3040" s="5">
        <v>0</v>
      </c>
      <c r="AE3040" s="5">
        <f t="shared" si="296"/>
        <v>0</v>
      </c>
      <c r="AF3040" s="70">
        <v>0</v>
      </c>
      <c r="AG3040" s="17"/>
      <c r="AH3040" s="18"/>
      <c r="AI3040" s="47" t="s">
        <v>4336</v>
      </c>
      <c r="AJ3040" s="73" t="s">
        <v>4337</v>
      </c>
      <c r="AK3040" s="45"/>
      <c r="AL3040" s="17"/>
      <c r="AM3040" s="121" t="s">
        <v>5634</v>
      </c>
      <c r="AN3040" s="19"/>
      <c r="AO3040" s="19"/>
      <c r="AP3040" s="19"/>
      <c r="AQ3040" s="19"/>
      <c r="AR3040" s="19"/>
      <c r="AS3040" s="19"/>
      <c r="AT3040" s="19"/>
      <c r="AU3040" s="19"/>
      <c r="AV3040" s="19"/>
      <c r="AW3040" s="19"/>
      <c r="AX3040" s="19"/>
      <c r="AY3040" s="19"/>
      <c r="AZ3040" s="19"/>
      <c r="BA3040" s="19"/>
      <c r="BB3040" s="19"/>
      <c r="BC3040" s="19"/>
      <c r="BD3040" s="19"/>
      <c r="BE3040" s="19"/>
      <c r="BF3040" s="19"/>
      <c r="BG3040" s="19"/>
      <c r="BH3040" s="19"/>
      <c r="BI3040" s="19"/>
      <c r="BJ3040" s="19"/>
      <c r="BK3040" s="19"/>
      <c r="BL3040" s="19"/>
      <c r="BM3040" s="19"/>
      <c r="BN3040" s="19"/>
      <c r="BO3040" s="19"/>
      <c r="BP3040" s="19"/>
      <c r="BQ3040" s="19"/>
      <c r="BR3040" s="19"/>
      <c r="BS3040" s="19"/>
      <c r="BT3040" s="19"/>
      <c r="BU3040" s="19"/>
      <c r="BV3040" s="19"/>
      <c r="BW3040" s="19"/>
      <c r="BX3040" s="19"/>
      <c r="BY3040" s="19"/>
      <c r="BZ3040" s="19"/>
      <c r="CA3040" s="19"/>
      <c r="CB3040" s="19"/>
      <c r="CC3040" s="19"/>
      <c r="CD3040" s="139"/>
      <c r="CE3040" s="138"/>
      <c r="CF3040" s="139"/>
      <c r="CG3040" s="138"/>
      <c r="CH3040" s="139"/>
      <c r="CI3040" s="138"/>
      <c r="CJ3040" s="72"/>
      <c r="CK3040" s="139"/>
      <c r="CL3040" s="71"/>
      <c r="CM3040" s="139"/>
      <c r="CN3040" s="138"/>
      <c r="CO3040" s="138"/>
      <c r="CP3040" s="138"/>
      <c r="CQ3040" s="139"/>
      <c r="CR3040" s="138"/>
      <c r="CS3040" s="45"/>
      <c r="CT3040" s="138"/>
      <c r="CU3040" s="45"/>
      <c r="CV3040" s="99">
        <f t="shared" si="297"/>
        <v>0</v>
      </c>
      <c r="CW3040" s="139"/>
      <c r="CX3040" s="138"/>
      <c r="CY3040" s="138"/>
      <c r="CZ3040" s="138"/>
      <c r="DA3040" s="139"/>
      <c r="DB3040" s="138"/>
      <c r="DC3040" s="45"/>
      <c r="DD3040" s="138"/>
      <c r="DE3040" s="45"/>
      <c r="DF3040" s="46"/>
    </row>
    <row r="3041" spans="1:110" s="42" customFormat="1" ht="36" x14ac:dyDescent="0.2">
      <c r="A3041" s="89">
        <v>40889</v>
      </c>
      <c r="B3041" s="151" t="s">
        <v>4261</v>
      </c>
      <c r="C3041" s="90" t="s">
        <v>2863</v>
      </c>
      <c r="D3041" s="90" t="s">
        <v>4264</v>
      </c>
      <c r="E3041" s="90" t="str">
        <f>VLOOKUP(B3041&amp;C3041,Divipola!$C$2:$F$1138,4,FALSE)</f>
        <v>15238</v>
      </c>
      <c r="F3041" s="4"/>
      <c r="G3041" s="101"/>
      <c r="H3041" s="101"/>
      <c r="I3041" s="101"/>
      <c r="J3041" s="101">
        <v>680</v>
      </c>
      <c r="K3041" s="101">
        <v>170</v>
      </c>
      <c r="L3041" s="101"/>
      <c r="M3041" s="101">
        <v>170</v>
      </c>
      <c r="N3041" s="101"/>
      <c r="O3041" s="101"/>
      <c r="P3041" s="101"/>
      <c r="Q3041" s="101"/>
      <c r="R3041" s="101"/>
      <c r="S3041" s="101"/>
      <c r="T3041" s="101"/>
      <c r="U3041" s="101"/>
      <c r="V3041" s="101"/>
      <c r="W3041" s="19"/>
      <c r="X3041" s="17"/>
      <c r="Y3041" s="5">
        <f t="shared" si="292"/>
        <v>0</v>
      </c>
      <c r="Z3041" s="5">
        <f t="shared" si="293"/>
        <v>0</v>
      </c>
      <c r="AA3041" s="5">
        <f t="shared" si="294"/>
        <v>0</v>
      </c>
      <c r="AB3041" s="5">
        <f t="shared" si="295"/>
        <v>0</v>
      </c>
      <c r="AC3041" s="5"/>
      <c r="AD3041" s="5">
        <v>0</v>
      </c>
      <c r="AE3041" s="5">
        <f t="shared" si="296"/>
        <v>0</v>
      </c>
      <c r="AF3041" s="70">
        <v>0</v>
      </c>
      <c r="AG3041" s="17"/>
      <c r="AH3041" s="18"/>
      <c r="AI3041" s="47" t="s">
        <v>4336</v>
      </c>
      <c r="AJ3041" s="73" t="s">
        <v>4337</v>
      </c>
      <c r="AK3041" s="45"/>
      <c r="AL3041" s="17"/>
      <c r="AM3041" s="121" t="s">
        <v>5455</v>
      </c>
      <c r="AN3041" s="19"/>
      <c r="AO3041" s="19"/>
      <c r="AP3041" s="19"/>
      <c r="AQ3041" s="19"/>
      <c r="AR3041" s="19"/>
      <c r="AS3041" s="19"/>
      <c r="AT3041" s="19"/>
      <c r="AU3041" s="19"/>
      <c r="AV3041" s="19"/>
      <c r="AW3041" s="19"/>
      <c r="AX3041" s="19"/>
      <c r="AY3041" s="19"/>
      <c r="AZ3041" s="19"/>
      <c r="BA3041" s="19"/>
      <c r="BB3041" s="19"/>
      <c r="BC3041" s="19"/>
      <c r="BD3041" s="19"/>
      <c r="BE3041" s="19"/>
      <c r="BF3041" s="19"/>
      <c r="BG3041" s="19"/>
      <c r="BH3041" s="19"/>
      <c r="BI3041" s="19"/>
      <c r="BJ3041" s="19"/>
      <c r="BK3041" s="19"/>
      <c r="BL3041" s="19"/>
      <c r="BM3041" s="19"/>
      <c r="BN3041" s="19"/>
      <c r="BO3041" s="19"/>
      <c r="BP3041" s="19"/>
      <c r="BQ3041" s="19"/>
      <c r="BR3041" s="19"/>
      <c r="BS3041" s="19"/>
      <c r="BT3041" s="19"/>
      <c r="BU3041" s="19"/>
      <c r="BV3041" s="19"/>
      <c r="BW3041" s="19"/>
      <c r="BX3041" s="19"/>
      <c r="BY3041" s="19"/>
      <c r="BZ3041" s="19"/>
      <c r="CA3041" s="19"/>
      <c r="CB3041" s="19"/>
      <c r="CC3041" s="19"/>
      <c r="CD3041" s="139"/>
      <c r="CE3041" s="138"/>
      <c r="CF3041" s="139"/>
      <c r="CG3041" s="138"/>
      <c r="CH3041" s="139"/>
      <c r="CI3041" s="138"/>
      <c r="CJ3041" s="72"/>
      <c r="CK3041" s="139"/>
      <c r="CL3041" s="71"/>
      <c r="CM3041" s="139"/>
      <c r="CN3041" s="138"/>
      <c r="CO3041" s="138"/>
      <c r="CP3041" s="138"/>
      <c r="CQ3041" s="139"/>
      <c r="CR3041" s="138"/>
      <c r="CS3041" s="45"/>
      <c r="CT3041" s="138"/>
      <c r="CU3041" s="45"/>
      <c r="CV3041" s="99">
        <f t="shared" si="297"/>
        <v>0</v>
      </c>
      <c r="CW3041" s="139"/>
      <c r="CX3041" s="138"/>
      <c r="CY3041" s="138"/>
      <c r="CZ3041" s="138"/>
      <c r="DA3041" s="139"/>
      <c r="DB3041" s="138"/>
      <c r="DC3041" s="45"/>
      <c r="DD3041" s="138"/>
      <c r="DE3041" s="45"/>
      <c r="DF3041" s="46"/>
    </row>
    <row r="3042" spans="1:110" s="42" customFormat="1" ht="36" x14ac:dyDescent="0.2">
      <c r="A3042" s="89">
        <v>40889</v>
      </c>
      <c r="B3042" s="151" t="s">
        <v>4352</v>
      </c>
      <c r="C3042" s="90" t="s">
        <v>4311</v>
      </c>
      <c r="D3042" s="90" t="s">
        <v>4264</v>
      </c>
      <c r="E3042" s="90" t="str">
        <f>VLOOKUP(B3042&amp;C3042,Divipola!$C$2:$F$1138,4,FALSE)</f>
        <v>13650</v>
      </c>
      <c r="F3042" s="4"/>
      <c r="G3042" s="208"/>
      <c r="H3042" s="208"/>
      <c r="I3042" s="208"/>
      <c r="J3042" s="208">
        <v>2600</v>
      </c>
      <c r="K3042" s="208">
        <v>600</v>
      </c>
      <c r="L3042" s="208"/>
      <c r="M3042" s="208"/>
      <c r="N3042" s="208"/>
      <c r="O3042" s="208"/>
      <c r="P3042" s="208"/>
      <c r="Q3042" s="208"/>
      <c r="R3042" s="208"/>
      <c r="S3042" s="208"/>
      <c r="T3042" s="208"/>
      <c r="U3042" s="208"/>
      <c r="V3042" s="208"/>
      <c r="W3042" s="19"/>
      <c r="X3042" s="17"/>
      <c r="Y3042" s="5">
        <f t="shared" si="292"/>
        <v>68464012</v>
      </c>
      <c r="Z3042" s="5">
        <f t="shared" si="293"/>
        <v>221000000</v>
      </c>
      <c r="AA3042" s="5">
        <f t="shared" si="294"/>
        <v>22499360</v>
      </c>
      <c r="AB3042" s="5">
        <f t="shared" si="295"/>
        <v>0</v>
      </c>
      <c r="AC3042" s="5"/>
      <c r="AD3042" s="5">
        <v>0</v>
      </c>
      <c r="AE3042" s="5">
        <f t="shared" si="296"/>
        <v>311963372</v>
      </c>
      <c r="AF3042" s="70">
        <v>0</v>
      </c>
      <c r="AG3042" s="17"/>
      <c r="AH3042" s="18"/>
      <c r="AI3042" s="47" t="s">
        <v>4346</v>
      </c>
      <c r="AJ3042" s="73" t="s">
        <v>4347</v>
      </c>
      <c r="AK3042" s="45"/>
      <c r="AL3042" s="17"/>
      <c r="AM3042" s="20" t="s">
        <v>5476</v>
      </c>
      <c r="AN3042" s="19"/>
      <c r="AO3042" s="19"/>
      <c r="AP3042" s="19"/>
      <c r="AQ3042" s="19"/>
      <c r="AR3042" s="19"/>
      <c r="AS3042" s="19"/>
      <c r="AT3042" s="19"/>
      <c r="AU3042" s="19"/>
      <c r="AV3042" s="19"/>
      <c r="AW3042" s="19"/>
      <c r="AX3042" s="19"/>
      <c r="AY3042" s="19"/>
      <c r="AZ3042" s="19"/>
      <c r="BA3042" s="19"/>
      <c r="BB3042" s="19"/>
      <c r="BC3042" s="19"/>
      <c r="BD3042" s="19"/>
      <c r="BE3042" s="19"/>
      <c r="BF3042" s="19"/>
      <c r="BG3042" s="19"/>
      <c r="BH3042" s="19"/>
      <c r="BI3042" s="19"/>
      <c r="BJ3042" s="19"/>
      <c r="BK3042" s="19"/>
      <c r="BL3042" s="19">
        <v>1000</v>
      </c>
      <c r="BM3042" s="19">
        <f>1000*25464.32</f>
        <v>25464320</v>
      </c>
      <c r="BN3042" s="19"/>
      <c r="BO3042" s="19"/>
      <c r="BP3042" s="19"/>
      <c r="BQ3042" s="19"/>
      <c r="BR3042" s="19"/>
      <c r="BS3042" s="19"/>
      <c r="BT3042" s="19"/>
      <c r="BU3042" s="19"/>
      <c r="BV3042" s="19"/>
      <c r="BW3042" s="19"/>
      <c r="BX3042" s="19"/>
      <c r="BY3042" s="19"/>
      <c r="BZ3042" s="19">
        <v>50</v>
      </c>
      <c r="CA3042" s="19">
        <f>50*499999.44</f>
        <v>24999972</v>
      </c>
      <c r="CB3042" s="19"/>
      <c r="CC3042" s="19"/>
      <c r="CD3042" s="139"/>
      <c r="CE3042" s="138"/>
      <c r="CF3042" s="139"/>
      <c r="CG3042" s="138"/>
      <c r="CH3042" s="139"/>
      <c r="CI3042" s="138"/>
      <c r="CJ3042" s="72"/>
      <c r="CK3042" s="139"/>
      <c r="CL3042" s="71"/>
      <c r="CM3042" s="139"/>
      <c r="CN3042" s="138">
        <v>1000</v>
      </c>
      <c r="CO3042" s="138">
        <f>1000*17999.72</f>
        <v>17999720</v>
      </c>
      <c r="CP3042" s="138"/>
      <c r="CQ3042" s="139"/>
      <c r="CR3042" s="138"/>
      <c r="CS3042" s="45"/>
      <c r="CT3042" s="138"/>
      <c r="CU3042" s="45"/>
      <c r="CV3042" s="99">
        <f t="shared" si="297"/>
        <v>68464012</v>
      </c>
      <c r="CW3042" s="139"/>
      <c r="CX3042" s="138"/>
      <c r="CY3042" s="138">
        <v>2600</v>
      </c>
      <c r="CZ3042" s="138">
        <f>1000*85000+600*85000+1000*85000</f>
        <v>221000000</v>
      </c>
      <c r="DA3042" s="139"/>
      <c r="DB3042" s="138"/>
      <c r="DC3042" s="45">
        <v>1000</v>
      </c>
      <c r="DD3042" s="138">
        <f>1000*22499.36</f>
        <v>22499360</v>
      </c>
      <c r="DE3042" s="45"/>
      <c r="DF3042" s="46"/>
    </row>
    <row r="3043" spans="1:110" s="42" customFormat="1" ht="120" x14ac:dyDescent="0.2">
      <c r="A3043" s="89">
        <v>40889</v>
      </c>
      <c r="B3043" s="151" t="s">
        <v>4344</v>
      </c>
      <c r="C3043" s="90" t="s">
        <v>1822</v>
      </c>
      <c r="D3043" s="90" t="s">
        <v>2362</v>
      </c>
      <c r="E3043" s="90" t="str">
        <f>VLOOKUP(B3043&amp;C3043,Divipola!$C$2:$F$1138,4,FALSE)</f>
        <v>25805</v>
      </c>
      <c r="F3043" s="4"/>
      <c r="G3043" s="101"/>
      <c r="H3043" s="101"/>
      <c r="I3043" s="101"/>
      <c r="J3043" s="101"/>
      <c r="K3043" s="101"/>
      <c r="L3043" s="101"/>
      <c r="M3043" s="101"/>
      <c r="N3043" s="101">
        <v>8</v>
      </c>
      <c r="O3043" s="101"/>
      <c r="P3043" s="101"/>
      <c r="Q3043" s="101"/>
      <c r="R3043" s="101"/>
      <c r="S3043" s="101"/>
      <c r="T3043" s="101"/>
      <c r="U3043" s="101"/>
      <c r="V3043" s="101"/>
      <c r="W3043" s="19"/>
      <c r="X3043" s="17"/>
      <c r="Y3043" s="5">
        <f t="shared" si="292"/>
        <v>0</v>
      </c>
      <c r="Z3043" s="5">
        <f t="shared" si="293"/>
        <v>0</v>
      </c>
      <c r="AA3043" s="5">
        <f t="shared" si="294"/>
        <v>0</v>
      </c>
      <c r="AB3043" s="5">
        <f t="shared" si="295"/>
        <v>0</v>
      </c>
      <c r="AC3043" s="5"/>
      <c r="AD3043" s="5">
        <v>70000000</v>
      </c>
      <c r="AE3043" s="5">
        <f t="shared" si="296"/>
        <v>70000000</v>
      </c>
      <c r="AF3043" s="70">
        <v>0</v>
      </c>
      <c r="AG3043" s="17"/>
      <c r="AH3043" s="18"/>
      <c r="AI3043" s="47" t="s">
        <v>4346</v>
      </c>
      <c r="AJ3043" s="73" t="s">
        <v>4347</v>
      </c>
      <c r="AK3043" s="45"/>
      <c r="AL3043" s="17"/>
      <c r="AM3043" s="121" t="s">
        <v>5546</v>
      </c>
      <c r="AN3043" s="19"/>
      <c r="AO3043" s="19"/>
      <c r="AP3043" s="19"/>
      <c r="AQ3043" s="19"/>
      <c r="AR3043" s="19"/>
      <c r="AS3043" s="19"/>
      <c r="AT3043" s="19"/>
      <c r="AU3043" s="19"/>
      <c r="AV3043" s="19"/>
      <c r="AW3043" s="19"/>
      <c r="AX3043" s="19"/>
      <c r="AY3043" s="19"/>
      <c r="AZ3043" s="19"/>
      <c r="BA3043" s="19"/>
      <c r="BB3043" s="19"/>
      <c r="BC3043" s="19"/>
      <c r="BD3043" s="19"/>
      <c r="BE3043" s="19"/>
      <c r="BF3043" s="19"/>
      <c r="BG3043" s="19"/>
      <c r="BH3043" s="19"/>
      <c r="BI3043" s="19"/>
      <c r="BJ3043" s="19"/>
      <c r="BK3043" s="19"/>
      <c r="BL3043" s="19"/>
      <c r="BM3043" s="19"/>
      <c r="BN3043" s="19"/>
      <c r="BO3043" s="19"/>
      <c r="BP3043" s="19"/>
      <c r="BQ3043" s="19"/>
      <c r="BR3043" s="19"/>
      <c r="BS3043" s="19"/>
      <c r="BT3043" s="19"/>
      <c r="BU3043" s="19"/>
      <c r="BV3043" s="19"/>
      <c r="BW3043" s="19"/>
      <c r="BX3043" s="19"/>
      <c r="BY3043" s="19"/>
      <c r="BZ3043" s="19"/>
      <c r="CA3043" s="19"/>
      <c r="CB3043" s="19"/>
      <c r="CC3043" s="19"/>
      <c r="CD3043" s="139"/>
      <c r="CE3043" s="138"/>
      <c r="CF3043" s="139"/>
      <c r="CG3043" s="138"/>
      <c r="CH3043" s="139"/>
      <c r="CI3043" s="138"/>
      <c r="CJ3043" s="72"/>
      <c r="CK3043" s="139"/>
      <c r="CL3043" s="71"/>
      <c r="CM3043" s="139"/>
      <c r="CN3043" s="138"/>
      <c r="CO3043" s="138"/>
      <c r="CP3043" s="138"/>
      <c r="CQ3043" s="139"/>
      <c r="CR3043" s="138"/>
      <c r="CS3043" s="45"/>
      <c r="CT3043" s="138"/>
      <c r="CU3043" s="45"/>
      <c r="CV3043" s="99">
        <f t="shared" si="297"/>
        <v>0</v>
      </c>
      <c r="CW3043" s="139"/>
      <c r="CX3043" s="138"/>
      <c r="CY3043" s="138"/>
      <c r="CZ3043" s="138"/>
      <c r="DA3043" s="139"/>
      <c r="DB3043" s="138"/>
      <c r="DC3043" s="45"/>
      <c r="DD3043" s="138"/>
      <c r="DE3043" s="45"/>
      <c r="DF3043" s="46"/>
    </row>
    <row r="3044" spans="1:110" s="42" customFormat="1" ht="48" x14ac:dyDescent="0.2">
      <c r="A3044" s="17">
        <v>40889</v>
      </c>
      <c r="B3044" s="16" t="s">
        <v>4308</v>
      </c>
      <c r="C3044" s="16" t="s">
        <v>2248</v>
      </c>
      <c r="D3044" s="16" t="s">
        <v>4264</v>
      </c>
      <c r="E3044" s="90" t="str">
        <f>VLOOKUP(B3044&amp;C3044,Divipola!$C$2:$F$1138,4,FALSE)</f>
        <v>47675</v>
      </c>
      <c r="F3044" s="4"/>
      <c r="G3044" s="208"/>
      <c r="H3044" s="208"/>
      <c r="I3044" s="208"/>
      <c r="J3044" s="208"/>
      <c r="K3044" s="208"/>
      <c r="L3044" s="208"/>
      <c r="M3044" s="208"/>
      <c r="N3044" s="208"/>
      <c r="O3044" s="208"/>
      <c r="P3044" s="208"/>
      <c r="Q3044" s="208"/>
      <c r="R3044" s="208"/>
      <c r="S3044" s="208"/>
      <c r="T3044" s="208"/>
      <c r="U3044" s="208"/>
      <c r="V3044" s="208"/>
      <c r="W3044" s="19"/>
      <c r="X3044" s="17"/>
      <c r="Y3044" s="5">
        <f t="shared" si="292"/>
        <v>105461400</v>
      </c>
      <c r="Z3044" s="5">
        <f t="shared" si="293"/>
        <v>116875000</v>
      </c>
      <c r="AA3044" s="5">
        <f t="shared" si="294"/>
        <v>0</v>
      </c>
      <c r="AB3044" s="5">
        <f t="shared" si="295"/>
        <v>0</v>
      </c>
      <c r="AC3044" s="5"/>
      <c r="AD3044" s="5">
        <v>20000000</v>
      </c>
      <c r="AE3044" s="5">
        <f t="shared" si="296"/>
        <v>242336400</v>
      </c>
      <c r="AF3044" s="70">
        <v>0</v>
      </c>
      <c r="AG3044" s="17"/>
      <c r="AH3044" s="18"/>
      <c r="AI3044" s="47" t="s">
        <v>4346</v>
      </c>
      <c r="AJ3044" s="73" t="s">
        <v>4347</v>
      </c>
      <c r="AK3044" s="45"/>
      <c r="AL3044" s="17"/>
      <c r="AM3044" s="20" t="s">
        <v>5543</v>
      </c>
      <c r="AN3044" s="19"/>
      <c r="AO3044" s="19"/>
      <c r="AP3044" s="19"/>
      <c r="AQ3044" s="19"/>
      <c r="AR3044" s="19"/>
      <c r="AS3044" s="19"/>
      <c r="AT3044" s="19"/>
      <c r="AU3044" s="19"/>
      <c r="AV3044" s="19"/>
      <c r="AW3044" s="19"/>
      <c r="AX3044" s="19"/>
      <c r="AY3044" s="19"/>
      <c r="AZ3044" s="19"/>
      <c r="BA3044" s="19"/>
      <c r="BB3044" s="19"/>
      <c r="BC3044" s="19"/>
      <c r="BD3044" s="19"/>
      <c r="BE3044" s="19"/>
      <c r="BF3044" s="19"/>
      <c r="BG3044" s="19"/>
      <c r="BH3044" s="19"/>
      <c r="BI3044" s="19"/>
      <c r="BJ3044" s="19"/>
      <c r="BK3044" s="19"/>
      <c r="BL3044" s="19"/>
      <c r="BM3044" s="19"/>
      <c r="BN3044" s="19"/>
      <c r="BO3044" s="19"/>
      <c r="BP3044" s="19"/>
      <c r="BQ3044" s="19"/>
      <c r="BR3044" s="19"/>
      <c r="BS3044" s="19"/>
      <c r="BT3044" s="19"/>
      <c r="BU3044" s="19"/>
      <c r="BV3044" s="19"/>
      <c r="BW3044" s="19"/>
      <c r="BX3044" s="19"/>
      <c r="BY3044" s="19"/>
      <c r="BZ3044" s="19"/>
      <c r="CA3044" s="19"/>
      <c r="CB3044" s="19"/>
      <c r="CC3044" s="19"/>
      <c r="CD3044" s="139"/>
      <c r="CE3044" s="138"/>
      <c r="CF3044" s="139"/>
      <c r="CG3044" s="138"/>
      <c r="CH3044" s="139"/>
      <c r="CI3044" s="138"/>
      <c r="CJ3044" s="72"/>
      <c r="CK3044" s="139"/>
      <c r="CL3044" s="71"/>
      <c r="CM3044" s="139"/>
      <c r="CN3044" s="138"/>
      <c r="CO3044" s="138"/>
      <c r="CP3044" s="138">
        <v>1375</v>
      </c>
      <c r="CQ3044" s="139">
        <f>1375*36999.36</f>
        <v>50874120</v>
      </c>
      <c r="CR3044" s="138">
        <v>1375</v>
      </c>
      <c r="CS3044" s="45">
        <f>1375*39699.84</f>
        <v>54587279.999999993</v>
      </c>
      <c r="CT3044" s="138"/>
      <c r="CU3044" s="45"/>
      <c r="CV3044" s="99">
        <f t="shared" si="297"/>
        <v>105461400</v>
      </c>
      <c r="CW3044" s="139"/>
      <c r="CX3044" s="138"/>
      <c r="CY3044" s="138">
        <v>1375</v>
      </c>
      <c r="CZ3044" s="138">
        <f>1375*85000</f>
        <v>116875000</v>
      </c>
      <c r="DA3044" s="139"/>
      <c r="DB3044" s="138"/>
      <c r="DC3044" s="45"/>
      <c r="DD3044" s="138"/>
      <c r="DE3044" s="45"/>
      <c r="DF3044" s="46"/>
    </row>
    <row r="3045" spans="1:110" s="42" customFormat="1" ht="60" x14ac:dyDescent="0.2">
      <c r="A3045" s="89">
        <v>40890</v>
      </c>
      <c r="B3045" s="151" t="s">
        <v>4296</v>
      </c>
      <c r="C3045" s="90" t="s">
        <v>3352</v>
      </c>
      <c r="D3045" s="90" t="s">
        <v>2362</v>
      </c>
      <c r="E3045" s="90" t="str">
        <f>VLOOKUP(B3045&amp;C3045,Divipola!$C$2:$F$1138,4,FALSE)</f>
        <v>19532</v>
      </c>
      <c r="F3045" s="4"/>
      <c r="G3045" s="101"/>
      <c r="H3045" s="101"/>
      <c r="I3045" s="101"/>
      <c r="J3045" s="101">
        <v>25</v>
      </c>
      <c r="K3045" s="101">
        <v>5</v>
      </c>
      <c r="L3045" s="101">
        <v>5</v>
      </c>
      <c r="M3045" s="101"/>
      <c r="N3045" s="101"/>
      <c r="O3045" s="101"/>
      <c r="P3045" s="101"/>
      <c r="Q3045" s="101"/>
      <c r="R3045" s="101"/>
      <c r="S3045" s="101"/>
      <c r="T3045" s="101"/>
      <c r="U3045" s="101"/>
      <c r="V3045" s="101"/>
      <c r="W3045" s="19"/>
      <c r="X3045" s="17"/>
      <c r="Y3045" s="5">
        <f t="shared" si="292"/>
        <v>0</v>
      </c>
      <c r="Z3045" s="5">
        <f t="shared" si="293"/>
        <v>0</v>
      </c>
      <c r="AA3045" s="5">
        <f t="shared" si="294"/>
        <v>0</v>
      </c>
      <c r="AB3045" s="5">
        <f t="shared" si="295"/>
        <v>0</v>
      </c>
      <c r="AC3045" s="5"/>
      <c r="AD3045" s="5">
        <v>0</v>
      </c>
      <c r="AE3045" s="5">
        <f t="shared" si="296"/>
        <v>0</v>
      </c>
      <c r="AF3045" s="70">
        <v>0</v>
      </c>
      <c r="AG3045" s="17"/>
      <c r="AH3045" s="18"/>
      <c r="AI3045" s="47" t="s">
        <v>4336</v>
      </c>
      <c r="AJ3045" s="73" t="s">
        <v>4337</v>
      </c>
      <c r="AK3045" s="45"/>
      <c r="AL3045" s="17"/>
      <c r="AM3045" s="121" t="s">
        <v>5385</v>
      </c>
      <c r="AN3045" s="19"/>
      <c r="AO3045" s="19"/>
      <c r="AP3045" s="19"/>
      <c r="AQ3045" s="19"/>
      <c r="AR3045" s="19"/>
      <c r="AS3045" s="19"/>
      <c r="AT3045" s="19"/>
      <c r="AU3045" s="19"/>
      <c r="AV3045" s="19"/>
      <c r="AW3045" s="19"/>
      <c r="AX3045" s="19"/>
      <c r="AY3045" s="19"/>
      <c r="AZ3045" s="19"/>
      <c r="BA3045" s="19"/>
      <c r="BB3045" s="19"/>
      <c r="BC3045" s="19"/>
      <c r="BD3045" s="19"/>
      <c r="BE3045" s="19"/>
      <c r="BF3045" s="19"/>
      <c r="BG3045" s="19"/>
      <c r="BH3045" s="19"/>
      <c r="BI3045" s="19"/>
      <c r="BJ3045" s="19"/>
      <c r="BK3045" s="19"/>
      <c r="BL3045" s="19"/>
      <c r="BM3045" s="19"/>
      <c r="BN3045" s="19"/>
      <c r="BO3045" s="19"/>
      <c r="BP3045" s="19"/>
      <c r="BQ3045" s="19"/>
      <c r="BR3045" s="19"/>
      <c r="BS3045" s="19"/>
      <c r="BT3045" s="19"/>
      <c r="BU3045" s="19"/>
      <c r="BV3045" s="19"/>
      <c r="BW3045" s="19"/>
      <c r="BX3045" s="19"/>
      <c r="BY3045" s="19"/>
      <c r="BZ3045" s="19"/>
      <c r="CA3045" s="19"/>
      <c r="CB3045" s="19"/>
      <c r="CC3045" s="19"/>
      <c r="CD3045" s="139"/>
      <c r="CE3045" s="138"/>
      <c r="CF3045" s="139"/>
      <c r="CG3045" s="138"/>
      <c r="CH3045" s="139"/>
      <c r="CI3045" s="138"/>
      <c r="CJ3045" s="72"/>
      <c r="CK3045" s="139"/>
      <c r="CL3045" s="71"/>
      <c r="CM3045" s="139"/>
      <c r="CN3045" s="138"/>
      <c r="CO3045" s="138"/>
      <c r="CP3045" s="138"/>
      <c r="CQ3045" s="139"/>
      <c r="CR3045" s="138"/>
      <c r="CS3045" s="45"/>
      <c r="CT3045" s="138"/>
      <c r="CU3045" s="45"/>
      <c r="CV3045" s="99">
        <f t="shared" si="297"/>
        <v>0</v>
      </c>
      <c r="CW3045" s="139"/>
      <c r="CX3045" s="138"/>
      <c r="CY3045" s="138"/>
      <c r="CZ3045" s="138"/>
      <c r="DA3045" s="139"/>
      <c r="DB3045" s="138"/>
      <c r="DC3045" s="45"/>
      <c r="DD3045" s="138"/>
      <c r="DE3045" s="45"/>
      <c r="DF3045" s="46"/>
    </row>
    <row r="3046" spans="1:110" s="42" customFormat="1" ht="156" x14ac:dyDescent="0.2">
      <c r="A3046" s="89">
        <v>40890</v>
      </c>
      <c r="B3046" s="151" t="s">
        <v>2204</v>
      </c>
      <c r="C3046" s="90" t="s">
        <v>4274</v>
      </c>
      <c r="D3046" s="90" t="s">
        <v>4264</v>
      </c>
      <c r="E3046" s="90" t="str">
        <f>VLOOKUP(B3046&amp;C3046,Divipola!$C$2:$F$1138,4,FALSE)</f>
        <v>70124</v>
      </c>
      <c r="F3046" s="4"/>
      <c r="G3046" s="101"/>
      <c r="H3046" s="101"/>
      <c r="I3046" s="101"/>
      <c r="J3046" s="101"/>
      <c r="K3046" s="101"/>
      <c r="L3046" s="101"/>
      <c r="M3046" s="101"/>
      <c r="N3046" s="101"/>
      <c r="O3046" s="101"/>
      <c r="P3046" s="101"/>
      <c r="Q3046" s="101"/>
      <c r="R3046" s="101"/>
      <c r="S3046" s="101"/>
      <c r="T3046" s="101"/>
      <c r="U3046" s="101"/>
      <c r="V3046" s="101"/>
      <c r="W3046" s="19"/>
      <c r="X3046" s="17"/>
      <c r="Y3046" s="5">
        <f t="shared" si="292"/>
        <v>0</v>
      </c>
      <c r="Z3046" s="5">
        <f t="shared" si="293"/>
        <v>0</v>
      </c>
      <c r="AA3046" s="5">
        <f t="shared" si="294"/>
        <v>0</v>
      </c>
      <c r="AB3046" s="5">
        <f t="shared" si="295"/>
        <v>0</v>
      </c>
      <c r="AC3046" s="5"/>
      <c r="AD3046" s="5">
        <v>0</v>
      </c>
      <c r="AE3046" s="5">
        <f t="shared" si="296"/>
        <v>0</v>
      </c>
      <c r="AF3046" s="70">
        <v>0</v>
      </c>
      <c r="AG3046" s="17"/>
      <c r="AH3046" s="18"/>
      <c r="AI3046" s="47" t="s">
        <v>4346</v>
      </c>
      <c r="AJ3046" s="73" t="s">
        <v>4347</v>
      </c>
      <c r="AK3046" s="45"/>
      <c r="AL3046" s="89" t="s">
        <v>2798</v>
      </c>
      <c r="AM3046" s="121" t="s">
        <v>5397</v>
      </c>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39"/>
      <c r="CE3046" s="138"/>
      <c r="CF3046" s="139"/>
      <c r="CG3046" s="138"/>
      <c r="CH3046" s="139"/>
      <c r="CI3046" s="138"/>
      <c r="CJ3046" s="72"/>
      <c r="CK3046" s="139"/>
      <c r="CL3046" s="71"/>
      <c r="CM3046" s="139"/>
      <c r="CN3046" s="138"/>
      <c r="CO3046" s="138"/>
      <c r="CP3046" s="138"/>
      <c r="CQ3046" s="139"/>
      <c r="CR3046" s="138"/>
      <c r="CS3046" s="45"/>
      <c r="CT3046" s="138"/>
      <c r="CU3046" s="45"/>
      <c r="CV3046" s="99">
        <f t="shared" si="297"/>
        <v>0</v>
      </c>
      <c r="CW3046" s="139"/>
      <c r="CX3046" s="138"/>
      <c r="CY3046" s="138"/>
      <c r="CZ3046" s="138"/>
      <c r="DA3046" s="139"/>
      <c r="DB3046" s="138"/>
      <c r="DC3046" s="45"/>
      <c r="DD3046" s="138"/>
      <c r="DE3046" s="45"/>
      <c r="DF3046" s="46"/>
    </row>
    <row r="3047" spans="1:110" s="42" customFormat="1" ht="48" x14ac:dyDescent="0.2">
      <c r="A3047" s="89">
        <v>40890</v>
      </c>
      <c r="B3047" s="151" t="s">
        <v>4326</v>
      </c>
      <c r="C3047" s="90" t="s">
        <v>844</v>
      </c>
      <c r="D3047" s="90" t="s">
        <v>4264</v>
      </c>
      <c r="E3047" s="90" t="str">
        <f>VLOOKUP(B3047&amp;C3047,Divipola!$C$2:$F$1138,4,FALSE)</f>
        <v>08606</v>
      </c>
      <c r="F3047" s="4"/>
      <c r="G3047" s="101"/>
      <c r="H3047" s="101"/>
      <c r="I3047" s="101"/>
      <c r="J3047" s="101">
        <v>575</v>
      </c>
      <c r="K3047" s="101">
        <v>115</v>
      </c>
      <c r="L3047" s="101"/>
      <c r="M3047" s="101">
        <v>115</v>
      </c>
      <c r="N3047" s="101"/>
      <c r="O3047" s="101"/>
      <c r="P3047" s="101"/>
      <c r="Q3047" s="101"/>
      <c r="R3047" s="101"/>
      <c r="S3047" s="101"/>
      <c r="T3047" s="101"/>
      <c r="U3047" s="101"/>
      <c r="V3047" s="101"/>
      <c r="W3047" s="19"/>
      <c r="X3047" s="17"/>
      <c r="Y3047" s="5">
        <f t="shared" si="292"/>
        <v>0</v>
      </c>
      <c r="Z3047" s="5">
        <f t="shared" si="293"/>
        <v>0</v>
      </c>
      <c r="AA3047" s="5">
        <f t="shared" si="294"/>
        <v>0</v>
      </c>
      <c r="AB3047" s="5">
        <f t="shared" si="295"/>
        <v>0</v>
      </c>
      <c r="AC3047" s="5"/>
      <c r="AD3047" s="5">
        <v>0</v>
      </c>
      <c r="AE3047" s="5">
        <f t="shared" si="296"/>
        <v>0</v>
      </c>
      <c r="AF3047" s="70">
        <v>0</v>
      </c>
      <c r="AG3047" s="17"/>
      <c r="AH3047" s="18"/>
      <c r="AI3047" s="47" t="s">
        <v>4346</v>
      </c>
      <c r="AJ3047" s="73" t="s">
        <v>4347</v>
      </c>
      <c r="AK3047" s="45"/>
      <c r="AL3047" s="89" t="s">
        <v>2798</v>
      </c>
      <c r="AM3047" s="121" t="s">
        <v>5386</v>
      </c>
      <c r="AN3047" s="19"/>
      <c r="AO3047" s="19"/>
      <c r="AP3047" s="19"/>
      <c r="AQ3047" s="19"/>
      <c r="AR3047" s="19"/>
      <c r="AS3047" s="19"/>
      <c r="AT3047" s="19"/>
      <c r="AU3047" s="19"/>
      <c r="AV3047" s="19"/>
      <c r="AW3047" s="19"/>
      <c r="AX3047" s="19"/>
      <c r="AY3047" s="19"/>
      <c r="AZ3047" s="19"/>
      <c r="BA3047" s="19"/>
      <c r="BB3047" s="19"/>
      <c r="BC3047" s="19"/>
      <c r="BD3047" s="19"/>
      <c r="BE3047" s="19"/>
      <c r="BF3047" s="19"/>
      <c r="BG3047" s="19"/>
      <c r="BH3047" s="19"/>
      <c r="BI3047" s="19"/>
      <c r="BJ3047" s="19"/>
      <c r="BK3047" s="19"/>
      <c r="BL3047" s="19"/>
      <c r="BM3047" s="19"/>
      <c r="BN3047" s="19"/>
      <c r="BO3047" s="19"/>
      <c r="BP3047" s="19"/>
      <c r="BQ3047" s="19"/>
      <c r="BR3047" s="19"/>
      <c r="BS3047" s="19"/>
      <c r="BT3047" s="19"/>
      <c r="BU3047" s="19"/>
      <c r="BV3047" s="19"/>
      <c r="BW3047" s="19"/>
      <c r="BX3047" s="19"/>
      <c r="BY3047" s="19"/>
      <c r="BZ3047" s="19"/>
      <c r="CA3047" s="19"/>
      <c r="CB3047" s="19"/>
      <c r="CC3047" s="19"/>
      <c r="CD3047" s="139"/>
      <c r="CE3047" s="138"/>
      <c r="CF3047" s="139"/>
      <c r="CG3047" s="138"/>
      <c r="CH3047" s="139"/>
      <c r="CI3047" s="138"/>
      <c r="CJ3047" s="72"/>
      <c r="CK3047" s="139"/>
      <c r="CL3047" s="71"/>
      <c r="CM3047" s="139"/>
      <c r="CN3047" s="138"/>
      <c r="CO3047" s="138"/>
      <c r="CP3047" s="138"/>
      <c r="CQ3047" s="139"/>
      <c r="CR3047" s="138"/>
      <c r="CS3047" s="45"/>
      <c r="CT3047" s="138"/>
      <c r="CU3047" s="45"/>
      <c r="CV3047" s="99">
        <f t="shared" si="297"/>
        <v>0</v>
      </c>
      <c r="CW3047" s="139"/>
      <c r="CX3047" s="138"/>
      <c r="CY3047" s="138"/>
      <c r="CZ3047" s="138"/>
      <c r="DA3047" s="139"/>
      <c r="DB3047" s="138"/>
      <c r="DC3047" s="45"/>
      <c r="DD3047" s="138"/>
      <c r="DE3047" s="45"/>
      <c r="DF3047" s="46"/>
    </row>
    <row r="3048" spans="1:110" s="42" customFormat="1" ht="48" x14ac:dyDescent="0.2">
      <c r="A3048" s="89">
        <v>40890</v>
      </c>
      <c r="B3048" s="151" t="s">
        <v>4261</v>
      </c>
      <c r="C3048" s="90" t="s">
        <v>2256</v>
      </c>
      <c r="D3048" s="90" t="s">
        <v>2362</v>
      </c>
      <c r="E3048" s="90" t="str">
        <f>VLOOKUP(B3048&amp;C3048,Divipola!$C$2:$F$1138,4,FALSE)</f>
        <v>15759</v>
      </c>
      <c r="F3048" s="4"/>
      <c r="G3048" s="101"/>
      <c r="H3048" s="101"/>
      <c r="I3048" s="101"/>
      <c r="J3048" s="101"/>
      <c r="K3048" s="101"/>
      <c r="L3048" s="101"/>
      <c r="M3048" s="101"/>
      <c r="N3048" s="101"/>
      <c r="O3048" s="101"/>
      <c r="P3048" s="101"/>
      <c r="Q3048" s="101"/>
      <c r="R3048" s="101"/>
      <c r="S3048" s="101"/>
      <c r="T3048" s="101"/>
      <c r="U3048" s="101"/>
      <c r="V3048" s="101"/>
      <c r="W3048" s="19"/>
      <c r="X3048" s="17"/>
      <c r="Y3048" s="5">
        <f t="shared" si="292"/>
        <v>0</v>
      </c>
      <c r="Z3048" s="5">
        <f t="shared" si="293"/>
        <v>0</v>
      </c>
      <c r="AA3048" s="5">
        <f t="shared" si="294"/>
        <v>0</v>
      </c>
      <c r="AB3048" s="5">
        <f t="shared" si="295"/>
        <v>0</v>
      </c>
      <c r="AC3048" s="5"/>
      <c r="AD3048" s="5">
        <v>0</v>
      </c>
      <c r="AE3048" s="5">
        <f t="shared" si="296"/>
        <v>0</v>
      </c>
      <c r="AF3048" s="70">
        <v>0</v>
      </c>
      <c r="AG3048" s="17"/>
      <c r="AH3048" s="18"/>
      <c r="AI3048" s="47" t="s">
        <v>4336</v>
      </c>
      <c r="AJ3048" s="73" t="s">
        <v>4337</v>
      </c>
      <c r="AK3048" s="45"/>
      <c r="AL3048" s="17"/>
      <c r="AM3048" s="121" t="s">
        <v>5387</v>
      </c>
      <c r="AN3048" s="19"/>
      <c r="AO3048" s="19"/>
      <c r="AP3048" s="19"/>
      <c r="AQ3048" s="19"/>
      <c r="AR3048" s="19"/>
      <c r="AS3048" s="19"/>
      <c r="AT3048" s="19"/>
      <c r="AU3048" s="19"/>
      <c r="AV3048" s="19"/>
      <c r="AW3048" s="19"/>
      <c r="AX3048" s="19"/>
      <c r="AY3048" s="19"/>
      <c r="AZ3048" s="19"/>
      <c r="BA3048" s="19"/>
      <c r="BB3048" s="19"/>
      <c r="BC3048" s="19"/>
      <c r="BD3048" s="19"/>
      <c r="BE3048" s="19"/>
      <c r="BF3048" s="19"/>
      <c r="BG3048" s="19"/>
      <c r="BH3048" s="19"/>
      <c r="BI3048" s="19"/>
      <c r="BJ3048" s="19"/>
      <c r="BK3048" s="19"/>
      <c r="BL3048" s="19"/>
      <c r="BM3048" s="19"/>
      <c r="BN3048" s="19"/>
      <c r="BO3048" s="19"/>
      <c r="BP3048" s="19"/>
      <c r="BQ3048" s="19"/>
      <c r="BR3048" s="19"/>
      <c r="BS3048" s="19"/>
      <c r="BT3048" s="19"/>
      <c r="BU3048" s="19"/>
      <c r="BV3048" s="19"/>
      <c r="BW3048" s="19"/>
      <c r="BX3048" s="19"/>
      <c r="BY3048" s="19"/>
      <c r="BZ3048" s="19"/>
      <c r="CA3048" s="19"/>
      <c r="CB3048" s="19"/>
      <c r="CC3048" s="19"/>
      <c r="CD3048" s="139"/>
      <c r="CE3048" s="138"/>
      <c r="CF3048" s="139"/>
      <c r="CG3048" s="138"/>
      <c r="CH3048" s="139"/>
      <c r="CI3048" s="138"/>
      <c r="CJ3048" s="72"/>
      <c r="CK3048" s="139"/>
      <c r="CL3048" s="71"/>
      <c r="CM3048" s="139"/>
      <c r="CN3048" s="138"/>
      <c r="CO3048" s="138"/>
      <c r="CP3048" s="138"/>
      <c r="CQ3048" s="139"/>
      <c r="CR3048" s="138"/>
      <c r="CS3048" s="45"/>
      <c r="CT3048" s="138"/>
      <c r="CU3048" s="45"/>
      <c r="CV3048" s="99">
        <f t="shared" si="297"/>
        <v>0</v>
      </c>
      <c r="CW3048" s="139"/>
      <c r="CX3048" s="138"/>
      <c r="CY3048" s="138"/>
      <c r="CZ3048" s="138"/>
      <c r="DA3048" s="139"/>
      <c r="DB3048" s="138"/>
      <c r="DC3048" s="45"/>
      <c r="DD3048" s="138"/>
      <c r="DE3048" s="45"/>
      <c r="DF3048" s="46"/>
    </row>
    <row r="3049" spans="1:110" s="42" customFormat="1" ht="408" x14ac:dyDescent="0.2">
      <c r="A3049" s="89">
        <v>40890</v>
      </c>
      <c r="B3049" s="151" t="s">
        <v>2204</v>
      </c>
      <c r="C3049" s="90" t="s">
        <v>2204</v>
      </c>
      <c r="D3049" s="90" t="s">
        <v>4264</v>
      </c>
      <c r="E3049" s="90" t="str">
        <f>VLOOKUP(B3049&amp;C3049,Divipola!$C$2:$F$1138,4,FALSE)</f>
        <v>70771</v>
      </c>
      <c r="F3049" s="4"/>
      <c r="G3049" s="101"/>
      <c r="H3049" s="101"/>
      <c r="I3049" s="101"/>
      <c r="J3049" s="101"/>
      <c r="K3049" s="101"/>
      <c r="L3049" s="101"/>
      <c r="M3049" s="101"/>
      <c r="N3049" s="101"/>
      <c r="O3049" s="101"/>
      <c r="P3049" s="101"/>
      <c r="Q3049" s="101"/>
      <c r="R3049" s="101"/>
      <c r="S3049" s="101"/>
      <c r="T3049" s="101"/>
      <c r="U3049" s="101"/>
      <c r="V3049" s="101"/>
      <c r="W3049" s="19"/>
      <c r="X3049" s="17"/>
      <c r="Y3049" s="5">
        <f t="shared" si="292"/>
        <v>0</v>
      </c>
      <c r="Z3049" s="5">
        <f t="shared" si="293"/>
        <v>0</v>
      </c>
      <c r="AA3049" s="5">
        <f t="shared" si="294"/>
        <v>0</v>
      </c>
      <c r="AB3049" s="5">
        <f t="shared" si="295"/>
        <v>0</v>
      </c>
      <c r="AC3049" s="5"/>
      <c r="AD3049" s="5">
        <v>0</v>
      </c>
      <c r="AE3049" s="5">
        <f t="shared" si="296"/>
        <v>0</v>
      </c>
      <c r="AF3049" s="70">
        <v>0</v>
      </c>
      <c r="AG3049" s="17"/>
      <c r="AH3049" s="18"/>
      <c r="AI3049" s="47" t="s">
        <v>4346</v>
      </c>
      <c r="AJ3049" s="73" t="s">
        <v>4347</v>
      </c>
      <c r="AK3049" s="45"/>
      <c r="AL3049" s="89" t="s">
        <v>2798</v>
      </c>
      <c r="AM3049" s="121" t="s">
        <v>5395</v>
      </c>
      <c r="AN3049" s="19"/>
      <c r="AO3049" s="19"/>
      <c r="AP3049" s="19"/>
      <c r="AQ3049" s="19"/>
      <c r="AR3049" s="19"/>
      <c r="AS3049" s="19"/>
      <c r="AT3049" s="19"/>
      <c r="AU3049" s="19"/>
      <c r="AV3049" s="19"/>
      <c r="AW3049" s="19"/>
      <c r="AX3049" s="19"/>
      <c r="AY3049" s="19"/>
      <c r="AZ3049" s="19"/>
      <c r="BA3049" s="19"/>
      <c r="BB3049" s="19"/>
      <c r="BC3049" s="19"/>
      <c r="BD3049" s="19"/>
      <c r="BE3049" s="19"/>
      <c r="BF3049" s="19"/>
      <c r="BG3049" s="19"/>
      <c r="BH3049" s="19"/>
      <c r="BI3049" s="19"/>
      <c r="BJ3049" s="19"/>
      <c r="BK3049" s="19"/>
      <c r="BL3049" s="19"/>
      <c r="BM3049" s="19"/>
      <c r="BN3049" s="19"/>
      <c r="BO3049" s="19"/>
      <c r="BP3049" s="19"/>
      <c r="BQ3049" s="19"/>
      <c r="BR3049" s="19"/>
      <c r="BS3049" s="19"/>
      <c r="BT3049" s="19"/>
      <c r="BU3049" s="19"/>
      <c r="BV3049" s="19"/>
      <c r="BW3049" s="19"/>
      <c r="BX3049" s="19"/>
      <c r="BY3049" s="19"/>
      <c r="BZ3049" s="19"/>
      <c r="CA3049" s="19"/>
      <c r="CB3049" s="19"/>
      <c r="CC3049" s="19"/>
      <c r="CD3049" s="139"/>
      <c r="CE3049" s="138"/>
      <c r="CF3049" s="139"/>
      <c r="CG3049" s="138"/>
      <c r="CH3049" s="139"/>
      <c r="CI3049" s="138"/>
      <c r="CJ3049" s="72"/>
      <c r="CK3049" s="139"/>
      <c r="CL3049" s="71"/>
      <c r="CM3049" s="139"/>
      <c r="CN3049" s="138"/>
      <c r="CO3049" s="138"/>
      <c r="CP3049" s="138"/>
      <c r="CQ3049" s="139"/>
      <c r="CR3049" s="138"/>
      <c r="CS3049" s="45"/>
      <c r="CT3049" s="138"/>
      <c r="CU3049" s="45"/>
      <c r="CV3049" s="99">
        <f t="shared" si="297"/>
        <v>0</v>
      </c>
      <c r="CW3049" s="139"/>
      <c r="CX3049" s="138"/>
      <c r="CY3049" s="138"/>
      <c r="CZ3049" s="138"/>
      <c r="DA3049" s="139"/>
      <c r="DB3049" s="138"/>
      <c r="DC3049" s="45"/>
      <c r="DD3049" s="138"/>
      <c r="DE3049" s="45"/>
      <c r="DF3049" s="46"/>
    </row>
    <row r="3050" spans="1:110" s="42" customFormat="1" ht="96" x14ac:dyDescent="0.2">
      <c r="A3050" s="89">
        <v>40890</v>
      </c>
      <c r="B3050" s="151" t="s">
        <v>2204</v>
      </c>
      <c r="C3050" s="90" t="s">
        <v>3043</v>
      </c>
      <c r="D3050" s="90" t="s">
        <v>4264</v>
      </c>
      <c r="E3050" s="90" t="str">
        <f>VLOOKUP(B3050&amp;C3050,Divipola!$C$2:$F$1138,4,FALSE)</f>
        <v>70429</v>
      </c>
      <c r="F3050" s="4"/>
      <c r="G3050" s="101"/>
      <c r="H3050" s="101"/>
      <c r="I3050" s="101"/>
      <c r="J3050" s="101">
        <v>5250</v>
      </c>
      <c r="K3050" s="101">
        <v>1050</v>
      </c>
      <c r="L3050" s="101"/>
      <c r="M3050" s="101">
        <v>1050</v>
      </c>
      <c r="N3050" s="101"/>
      <c r="O3050" s="101"/>
      <c r="P3050" s="101"/>
      <c r="Q3050" s="101"/>
      <c r="R3050" s="101"/>
      <c r="S3050" s="101"/>
      <c r="T3050" s="101"/>
      <c r="U3050" s="101"/>
      <c r="V3050" s="101"/>
      <c r="W3050" s="19"/>
      <c r="X3050" s="17"/>
      <c r="Y3050" s="5">
        <f t="shared" si="292"/>
        <v>0</v>
      </c>
      <c r="Z3050" s="5">
        <f t="shared" si="293"/>
        <v>0</v>
      </c>
      <c r="AA3050" s="5">
        <f t="shared" si="294"/>
        <v>0</v>
      </c>
      <c r="AB3050" s="5">
        <f t="shared" si="295"/>
        <v>0</v>
      </c>
      <c r="AC3050" s="5"/>
      <c r="AD3050" s="5">
        <v>0</v>
      </c>
      <c r="AE3050" s="5">
        <f t="shared" si="296"/>
        <v>0</v>
      </c>
      <c r="AF3050" s="70">
        <v>0</v>
      </c>
      <c r="AG3050" s="17"/>
      <c r="AH3050" s="18"/>
      <c r="AI3050" s="47" t="s">
        <v>4346</v>
      </c>
      <c r="AJ3050" s="73" t="s">
        <v>4347</v>
      </c>
      <c r="AK3050" s="45"/>
      <c r="AL3050" s="89" t="s">
        <v>2798</v>
      </c>
      <c r="AM3050" s="121" t="s">
        <v>5389</v>
      </c>
      <c r="AN3050" s="19"/>
      <c r="AO3050" s="19"/>
      <c r="AP3050" s="19"/>
      <c r="AQ3050" s="19"/>
      <c r="AR3050" s="19"/>
      <c r="AS3050" s="19"/>
      <c r="AT3050" s="19"/>
      <c r="AU3050" s="19"/>
      <c r="AV3050" s="19"/>
      <c r="AW3050" s="19"/>
      <c r="AX3050" s="19"/>
      <c r="AY3050" s="19"/>
      <c r="AZ3050" s="19"/>
      <c r="BA3050" s="19"/>
      <c r="BB3050" s="19"/>
      <c r="BC3050" s="19"/>
      <c r="BD3050" s="19"/>
      <c r="BE3050" s="19"/>
      <c r="BF3050" s="19"/>
      <c r="BG3050" s="19"/>
      <c r="BH3050" s="19"/>
      <c r="BI3050" s="19"/>
      <c r="BJ3050" s="19"/>
      <c r="BK3050" s="19"/>
      <c r="BL3050" s="19"/>
      <c r="BM3050" s="19"/>
      <c r="BN3050" s="19"/>
      <c r="BO3050" s="19"/>
      <c r="BP3050" s="19"/>
      <c r="BQ3050" s="19"/>
      <c r="BR3050" s="19"/>
      <c r="BS3050" s="19"/>
      <c r="BT3050" s="19"/>
      <c r="BU3050" s="19"/>
      <c r="BV3050" s="19"/>
      <c r="BW3050" s="19"/>
      <c r="BX3050" s="19"/>
      <c r="BY3050" s="19"/>
      <c r="BZ3050" s="19"/>
      <c r="CA3050" s="19"/>
      <c r="CB3050" s="19"/>
      <c r="CC3050" s="19"/>
      <c r="CD3050" s="139"/>
      <c r="CE3050" s="138"/>
      <c r="CF3050" s="139"/>
      <c r="CG3050" s="138"/>
      <c r="CH3050" s="139"/>
      <c r="CI3050" s="138"/>
      <c r="CJ3050" s="72"/>
      <c r="CK3050" s="139"/>
      <c r="CL3050" s="71"/>
      <c r="CM3050" s="139"/>
      <c r="CN3050" s="138"/>
      <c r="CO3050" s="138"/>
      <c r="CP3050" s="138"/>
      <c r="CQ3050" s="139"/>
      <c r="CR3050" s="138"/>
      <c r="CS3050" s="45"/>
      <c r="CT3050" s="138"/>
      <c r="CU3050" s="45"/>
      <c r="CV3050" s="99">
        <f t="shared" si="297"/>
        <v>0</v>
      </c>
      <c r="CW3050" s="139"/>
      <c r="CX3050" s="138"/>
      <c r="CY3050" s="138"/>
      <c r="CZ3050" s="138"/>
      <c r="DA3050" s="139"/>
      <c r="DB3050" s="138"/>
      <c r="DC3050" s="45"/>
      <c r="DD3050" s="138"/>
      <c r="DE3050" s="45"/>
      <c r="DF3050" s="46"/>
    </row>
    <row r="3051" spans="1:110" s="42" customFormat="1" ht="240" x14ac:dyDescent="0.2">
      <c r="A3051" s="89">
        <v>40890</v>
      </c>
      <c r="B3051" s="151" t="s">
        <v>2204</v>
      </c>
      <c r="C3051" s="90" t="s">
        <v>4275</v>
      </c>
      <c r="D3051" s="90" t="s">
        <v>4264</v>
      </c>
      <c r="E3051" s="90" t="str">
        <f>VLOOKUP(B3051&amp;C3051,Divipola!$C$2:$F$1138,4,FALSE)</f>
        <v>70678</v>
      </c>
      <c r="F3051" s="4"/>
      <c r="G3051" s="101"/>
      <c r="H3051" s="101"/>
      <c r="I3051" s="101"/>
      <c r="J3051" s="101"/>
      <c r="K3051" s="101"/>
      <c r="L3051" s="101"/>
      <c r="M3051" s="101"/>
      <c r="N3051" s="101"/>
      <c r="O3051" s="101"/>
      <c r="P3051" s="101"/>
      <c r="Q3051" s="101"/>
      <c r="R3051" s="101"/>
      <c r="S3051" s="101"/>
      <c r="T3051" s="101"/>
      <c r="U3051" s="101"/>
      <c r="V3051" s="101"/>
      <c r="W3051" s="19"/>
      <c r="X3051" s="17"/>
      <c r="Y3051" s="5">
        <f t="shared" si="292"/>
        <v>0</v>
      </c>
      <c r="Z3051" s="5">
        <f t="shared" si="293"/>
        <v>0</v>
      </c>
      <c r="AA3051" s="5">
        <f t="shared" si="294"/>
        <v>0</v>
      </c>
      <c r="AB3051" s="5">
        <f t="shared" si="295"/>
        <v>0</v>
      </c>
      <c r="AC3051" s="5"/>
      <c r="AD3051" s="5">
        <v>0</v>
      </c>
      <c r="AE3051" s="5">
        <f t="shared" si="296"/>
        <v>0</v>
      </c>
      <c r="AF3051" s="70">
        <v>0</v>
      </c>
      <c r="AG3051" s="17"/>
      <c r="AH3051" s="18"/>
      <c r="AI3051" s="47" t="s">
        <v>4346</v>
      </c>
      <c r="AJ3051" s="73" t="s">
        <v>4347</v>
      </c>
      <c r="AK3051" s="45"/>
      <c r="AL3051" s="89" t="s">
        <v>2798</v>
      </c>
      <c r="AM3051" s="121" t="s">
        <v>5396</v>
      </c>
      <c r="AN3051" s="19"/>
      <c r="AO3051" s="19"/>
      <c r="AP3051" s="19"/>
      <c r="AQ3051" s="19"/>
      <c r="AR3051" s="19"/>
      <c r="AS3051" s="19"/>
      <c r="AT3051" s="19"/>
      <c r="AU3051" s="19"/>
      <c r="AV3051" s="19"/>
      <c r="AW3051" s="19"/>
      <c r="AX3051" s="19"/>
      <c r="AY3051" s="19"/>
      <c r="AZ3051" s="19"/>
      <c r="BA3051" s="19"/>
      <c r="BB3051" s="19"/>
      <c r="BC3051" s="19"/>
      <c r="BD3051" s="19"/>
      <c r="BE3051" s="19"/>
      <c r="BF3051" s="19"/>
      <c r="BG3051" s="19"/>
      <c r="BH3051" s="19"/>
      <c r="BI3051" s="19"/>
      <c r="BJ3051" s="19"/>
      <c r="BK3051" s="19"/>
      <c r="BL3051" s="19"/>
      <c r="BM3051" s="19"/>
      <c r="BN3051" s="19"/>
      <c r="BO3051" s="19"/>
      <c r="BP3051" s="19"/>
      <c r="BQ3051" s="19"/>
      <c r="BR3051" s="19"/>
      <c r="BS3051" s="19"/>
      <c r="BT3051" s="19"/>
      <c r="BU3051" s="19"/>
      <c r="BV3051" s="19"/>
      <c r="BW3051" s="19"/>
      <c r="BX3051" s="19"/>
      <c r="BY3051" s="19"/>
      <c r="BZ3051" s="19"/>
      <c r="CA3051" s="19"/>
      <c r="CB3051" s="19"/>
      <c r="CC3051" s="19"/>
      <c r="CD3051" s="139"/>
      <c r="CE3051" s="138"/>
      <c r="CF3051" s="139"/>
      <c r="CG3051" s="138"/>
      <c r="CH3051" s="139"/>
      <c r="CI3051" s="138"/>
      <c r="CJ3051" s="72"/>
      <c r="CK3051" s="139"/>
      <c r="CL3051" s="71"/>
      <c r="CM3051" s="139"/>
      <c r="CN3051" s="138"/>
      <c r="CO3051" s="138"/>
      <c r="CP3051" s="138"/>
      <c r="CQ3051" s="139"/>
      <c r="CR3051" s="138"/>
      <c r="CS3051" s="45"/>
      <c r="CT3051" s="138"/>
      <c r="CU3051" s="45"/>
      <c r="CV3051" s="99">
        <f t="shared" si="297"/>
        <v>0</v>
      </c>
      <c r="CW3051" s="139"/>
      <c r="CX3051" s="138"/>
      <c r="CY3051" s="138"/>
      <c r="CZ3051" s="138"/>
      <c r="DA3051" s="139"/>
      <c r="DB3051" s="138"/>
      <c r="DC3051" s="45"/>
      <c r="DD3051" s="138"/>
      <c r="DE3051" s="45"/>
      <c r="DF3051" s="46"/>
    </row>
    <row r="3052" spans="1:110" s="42" customFormat="1" ht="288" x14ac:dyDescent="0.2">
      <c r="A3052" s="89">
        <v>40890</v>
      </c>
      <c r="B3052" s="151" t="s">
        <v>2204</v>
      </c>
      <c r="C3052" s="90" t="s">
        <v>3060</v>
      </c>
      <c r="D3052" s="90" t="s">
        <v>4264</v>
      </c>
      <c r="E3052" s="90" t="str">
        <f>VLOOKUP(B3052&amp;C3052,Divipola!$C$2:$F$1138,4,FALSE)</f>
        <v>70708</v>
      </c>
      <c r="F3052" s="4"/>
      <c r="G3052" s="101"/>
      <c r="H3052" s="101"/>
      <c r="I3052" s="101"/>
      <c r="J3052" s="101">
        <v>17065</v>
      </c>
      <c r="K3052" s="101">
        <v>3413</v>
      </c>
      <c r="L3052" s="101"/>
      <c r="M3052" s="101">
        <v>3413</v>
      </c>
      <c r="N3052" s="101"/>
      <c r="O3052" s="101"/>
      <c r="P3052" s="101"/>
      <c r="Q3052" s="101"/>
      <c r="R3052" s="101"/>
      <c r="S3052" s="101"/>
      <c r="T3052" s="101"/>
      <c r="U3052" s="101"/>
      <c r="V3052" s="101"/>
      <c r="W3052" s="19"/>
      <c r="X3052" s="17"/>
      <c r="Y3052" s="5">
        <f t="shared" si="292"/>
        <v>0</v>
      </c>
      <c r="Z3052" s="5">
        <f t="shared" si="293"/>
        <v>0</v>
      </c>
      <c r="AA3052" s="5">
        <f t="shared" si="294"/>
        <v>0</v>
      </c>
      <c r="AB3052" s="5">
        <f t="shared" si="295"/>
        <v>0</v>
      </c>
      <c r="AC3052" s="5"/>
      <c r="AD3052" s="5">
        <v>0</v>
      </c>
      <c r="AE3052" s="5">
        <f t="shared" si="296"/>
        <v>0</v>
      </c>
      <c r="AF3052" s="70">
        <v>0</v>
      </c>
      <c r="AG3052" s="17"/>
      <c r="AH3052" s="18"/>
      <c r="AI3052" s="47" t="s">
        <v>4346</v>
      </c>
      <c r="AJ3052" s="73" t="s">
        <v>4347</v>
      </c>
      <c r="AK3052" s="45"/>
      <c r="AL3052" s="89" t="s">
        <v>2798</v>
      </c>
      <c r="AM3052" s="121" t="s">
        <v>5390</v>
      </c>
      <c r="AN3052" s="19"/>
      <c r="AO3052" s="19"/>
      <c r="AP3052" s="19"/>
      <c r="AQ3052" s="19"/>
      <c r="AR3052" s="19"/>
      <c r="AS3052" s="19"/>
      <c r="AT3052" s="19"/>
      <c r="AU3052" s="19"/>
      <c r="AV3052" s="19"/>
      <c r="AW3052" s="19"/>
      <c r="AX3052" s="19"/>
      <c r="AY3052" s="19"/>
      <c r="AZ3052" s="19"/>
      <c r="BA3052" s="19"/>
      <c r="BB3052" s="19"/>
      <c r="BC3052" s="19"/>
      <c r="BD3052" s="19"/>
      <c r="BE3052" s="19"/>
      <c r="BF3052" s="19"/>
      <c r="BG3052" s="19"/>
      <c r="BH3052" s="19"/>
      <c r="BI3052" s="19"/>
      <c r="BJ3052" s="19"/>
      <c r="BK3052" s="19"/>
      <c r="BL3052" s="19"/>
      <c r="BM3052" s="19"/>
      <c r="BN3052" s="19"/>
      <c r="BO3052" s="19"/>
      <c r="BP3052" s="19"/>
      <c r="BQ3052" s="19"/>
      <c r="BR3052" s="19"/>
      <c r="BS3052" s="19"/>
      <c r="BT3052" s="19"/>
      <c r="BU3052" s="19"/>
      <c r="BV3052" s="19"/>
      <c r="BW3052" s="19"/>
      <c r="BX3052" s="19"/>
      <c r="BY3052" s="19"/>
      <c r="BZ3052" s="19"/>
      <c r="CA3052" s="19"/>
      <c r="CB3052" s="19"/>
      <c r="CC3052" s="19"/>
      <c r="CD3052" s="139"/>
      <c r="CE3052" s="138"/>
      <c r="CF3052" s="139"/>
      <c r="CG3052" s="138"/>
      <c r="CH3052" s="139"/>
      <c r="CI3052" s="138"/>
      <c r="CJ3052" s="72"/>
      <c r="CK3052" s="139"/>
      <c r="CL3052" s="71"/>
      <c r="CM3052" s="139"/>
      <c r="CN3052" s="138"/>
      <c r="CO3052" s="138"/>
      <c r="CP3052" s="138"/>
      <c r="CQ3052" s="139"/>
      <c r="CR3052" s="138"/>
      <c r="CS3052" s="45"/>
      <c r="CT3052" s="138"/>
      <c r="CU3052" s="45"/>
      <c r="CV3052" s="99">
        <f t="shared" si="297"/>
        <v>0</v>
      </c>
      <c r="CW3052" s="139"/>
      <c r="CX3052" s="138"/>
      <c r="CY3052" s="138"/>
      <c r="CZ3052" s="138"/>
      <c r="DA3052" s="139"/>
      <c r="DB3052" s="138"/>
      <c r="DC3052" s="45"/>
      <c r="DD3052" s="138"/>
      <c r="DE3052" s="45"/>
      <c r="DF3052" s="46"/>
    </row>
    <row r="3053" spans="1:110" s="42" customFormat="1" ht="120" x14ac:dyDescent="0.2">
      <c r="A3053" s="89">
        <v>40890</v>
      </c>
      <c r="B3053" s="151" t="s">
        <v>2204</v>
      </c>
      <c r="C3053" s="90" t="s">
        <v>3492</v>
      </c>
      <c r="D3053" s="90" t="s">
        <v>4264</v>
      </c>
      <c r="E3053" s="90" t="str">
        <f>VLOOKUP(B3053&amp;C3053,Divipola!$C$2:$F$1138,4,FALSE)</f>
        <v>70717</v>
      </c>
      <c r="F3053" s="4"/>
      <c r="G3053" s="101"/>
      <c r="H3053" s="101"/>
      <c r="I3053" s="101"/>
      <c r="J3053" s="101"/>
      <c r="K3053" s="101"/>
      <c r="L3053" s="101"/>
      <c r="M3053" s="101"/>
      <c r="N3053" s="101"/>
      <c r="O3053" s="101"/>
      <c r="P3053" s="101"/>
      <c r="Q3053" s="101"/>
      <c r="R3053" s="101"/>
      <c r="S3053" s="101"/>
      <c r="T3053" s="101"/>
      <c r="U3053" s="101"/>
      <c r="V3053" s="101"/>
      <c r="W3053" s="19"/>
      <c r="X3053" s="17"/>
      <c r="Y3053" s="5">
        <f t="shared" si="292"/>
        <v>0</v>
      </c>
      <c r="Z3053" s="5">
        <f t="shared" si="293"/>
        <v>0</v>
      </c>
      <c r="AA3053" s="5">
        <f t="shared" si="294"/>
        <v>0</v>
      </c>
      <c r="AB3053" s="5">
        <f t="shared" si="295"/>
        <v>0</v>
      </c>
      <c r="AC3053" s="5"/>
      <c r="AD3053" s="5">
        <v>0</v>
      </c>
      <c r="AE3053" s="5">
        <f t="shared" si="296"/>
        <v>0</v>
      </c>
      <c r="AF3053" s="70">
        <v>0</v>
      </c>
      <c r="AG3053" s="17"/>
      <c r="AH3053" s="18"/>
      <c r="AI3053" s="47" t="s">
        <v>4346</v>
      </c>
      <c r="AJ3053" s="73" t="s">
        <v>4347</v>
      </c>
      <c r="AK3053" s="45"/>
      <c r="AL3053" s="89" t="s">
        <v>2798</v>
      </c>
      <c r="AM3053" s="121" t="s">
        <v>5398</v>
      </c>
      <c r="AN3053" s="19"/>
      <c r="AO3053" s="19"/>
      <c r="AP3053" s="19"/>
      <c r="AQ3053" s="19"/>
      <c r="AR3053" s="19"/>
      <c r="AS3053" s="19"/>
      <c r="AT3053" s="19"/>
      <c r="AU3053" s="19"/>
      <c r="AV3053" s="19"/>
      <c r="AW3053" s="19"/>
      <c r="AX3053" s="19"/>
      <c r="AY3053" s="19"/>
      <c r="AZ3053" s="19"/>
      <c r="BA3053" s="19"/>
      <c r="BB3053" s="19"/>
      <c r="BC3053" s="19"/>
      <c r="BD3053" s="19"/>
      <c r="BE3053" s="19"/>
      <c r="BF3053" s="19"/>
      <c r="BG3053" s="19"/>
      <c r="BH3053" s="19"/>
      <c r="BI3053" s="19"/>
      <c r="BJ3053" s="19"/>
      <c r="BK3053" s="19"/>
      <c r="BL3053" s="19"/>
      <c r="BM3053" s="19"/>
      <c r="BN3053" s="19"/>
      <c r="BO3053" s="19"/>
      <c r="BP3053" s="19"/>
      <c r="BQ3053" s="19"/>
      <c r="BR3053" s="19"/>
      <c r="BS3053" s="19"/>
      <c r="BT3053" s="19"/>
      <c r="BU3053" s="19"/>
      <c r="BV3053" s="19"/>
      <c r="BW3053" s="19"/>
      <c r="BX3053" s="19"/>
      <c r="BY3053" s="19"/>
      <c r="BZ3053" s="19"/>
      <c r="CA3053" s="19"/>
      <c r="CB3053" s="19"/>
      <c r="CC3053" s="19"/>
      <c r="CD3053" s="139"/>
      <c r="CE3053" s="138"/>
      <c r="CF3053" s="139"/>
      <c r="CG3053" s="138"/>
      <c r="CH3053" s="139"/>
      <c r="CI3053" s="138"/>
      <c r="CJ3053" s="72"/>
      <c r="CK3053" s="139"/>
      <c r="CL3053" s="71"/>
      <c r="CM3053" s="139"/>
      <c r="CN3053" s="138"/>
      <c r="CO3053" s="138"/>
      <c r="CP3053" s="138"/>
      <c r="CQ3053" s="139"/>
      <c r="CR3053" s="138"/>
      <c r="CS3053" s="45"/>
      <c r="CT3053" s="138"/>
      <c r="CU3053" s="45"/>
      <c r="CV3053" s="99">
        <f t="shared" si="297"/>
        <v>0</v>
      </c>
      <c r="CW3053" s="139"/>
      <c r="CX3053" s="138"/>
      <c r="CY3053" s="138"/>
      <c r="CZ3053" s="138"/>
      <c r="DA3053" s="139"/>
      <c r="DB3053" s="138"/>
      <c r="DC3053" s="45"/>
      <c r="DD3053" s="138"/>
      <c r="DE3053" s="45"/>
      <c r="DF3053" s="46"/>
    </row>
    <row r="3054" spans="1:110" s="42" customFormat="1" ht="132" x14ac:dyDescent="0.2">
      <c r="A3054" s="89">
        <v>40890</v>
      </c>
      <c r="B3054" s="151" t="s">
        <v>2204</v>
      </c>
      <c r="C3054" s="90" t="s">
        <v>2217</v>
      </c>
      <c r="D3054" s="90" t="s">
        <v>4264</v>
      </c>
      <c r="E3054" s="90" t="str">
        <f>VLOOKUP(B3054&amp;C3054,Divipola!$C$2:$F$1138,4,FALSE)</f>
        <v>70713</v>
      </c>
      <c r="F3054" s="4"/>
      <c r="G3054" s="101"/>
      <c r="H3054" s="101"/>
      <c r="I3054" s="101"/>
      <c r="J3054" s="101">
        <v>4500</v>
      </c>
      <c r="K3054" s="101">
        <v>900</v>
      </c>
      <c r="L3054" s="101"/>
      <c r="M3054" s="101">
        <v>900</v>
      </c>
      <c r="N3054" s="101"/>
      <c r="O3054" s="101"/>
      <c r="P3054" s="101"/>
      <c r="Q3054" s="101"/>
      <c r="R3054" s="101"/>
      <c r="S3054" s="101"/>
      <c r="T3054" s="101"/>
      <c r="U3054" s="101"/>
      <c r="V3054" s="101"/>
      <c r="W3054" s="19"/>
      <c r="X3054" s="17"/>
      <c r="Y3054" s="5">
        <f t="shared" si="292"/>
        <v>0</v>
      </c>
      <c r="Z3054" s="5">
        <f t="shared" si="293"/>
        <v>0</v>
      </c>
      <c r="AA3054" s="5">
        <f t="shared" si="294"/>
        <v>0</v>
      </c>
      <c r="AB3054" s="5">
        <f t="shared" si="295"/>
        <v>0</v>
      </c>
      <c r="AC3054" s="5"/>
      <c r="AD3054" s="5">
        <v>0</v>
      </c>
      <c r="AE3054" s="5">
        <f t="shared" si="296"/>
        <v>0</v>
      </c>
      <c r="AF3054" s="70">
        <v>0</v>
      </c>
      <c r="AG3054" s="17"/>
      <c r="AH3054" s="18"/>
      <c r="AI3054" s="47" t="s">
        <v>4346</v>
      </c>
      <c r="AJ3054" s="73" t="s">
        <v>4347</v>
      </c>
      <c r="AK3054" s="45"/>
      <c r="AL3054" s="89" t="s">
        <v>2798</v>
      </c>
      <c r="AM3054" s="121" t="s">
        <v>5391</v>
      </c>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39"/>
      <c r="CE3054" s="138"/>
      <c r="CF3054" s="139"/>
      <c r="CG3054" s="138"/>
      <c r="CH3054" s="139"/>
      <c r="CI3054" s="138"/>
      <c r="CJ3054" s="72"/>
      <c r="CK3054" s="139"/>
      <c r="CL3054" s="71"/>
      <c r="CM3054" s="139"/>
      <c r="CN3054" s="138"/>
      <c r="CO3054" s="138"/>
      <c r="CP3054" s="138"/>
      <c r="CQ3054" s="139"/>
      <c r="CR3054" s="138"/>
      <c r="CS3054" s="45"/>
      <c r="CT3054" s="138"/>
      <c r="CU3054" s="45"/>
      <c r="CV3054" s="99">
        <f t="shared" si="297"/>
        <v>0</v>
      </c>
      <c r="CW3054" s="139"/>
      <c r="CX3054" s="138"/>
      <c r="CY3054" s="138"/>
      <c r="CZ3054" s="138"/>
      <c r="DA3054" s="139"/>
      <c r="DB3054" s="138"/>
      <c r="DC3054" s="45"/>
      <c r="DD3054" s="138"/>
      <c r="DE3054" s="45"/>
      <c r="DF3054" s="46"/>
    </row>
    <row r="3055" spans="1:110" s="42" customFormat="1" ht="84" x14ac:dyDescent="0.2">
      <c r="A3055" s="89">
        <v>40890</v>
      </c>
      <c r="B3055" s="151" t="s">
        <v>2226</v>
      </c>
      <c r="C3055" s="90" t="s">
        <v>801</v>
      </c>
      <c r="D3055" s="90" t="s">
        <v>2362</v>
      </c>
      <c r="E3055" s="90" t="str">
        <f>VLOOKUP(B3055&amp;C3055,Divipola!$C$2:$F$1138,4,FALSE)</f>
        <v>68820</v>
      </c>
      <c r="F3055" s="4"/>
      <c r="G3055" s="101">
        <v>1</v>
      </c>
      <c r="H3055" s="101">
        <v>4</v>
      </c>
      <c r="I3055" s="101"/>
      <c r="J3055" s="101">
        <v>5</v>
      </c>
      <c r="K3055" s="101"/>
      <c r="L3055" s="101"/>
      <c r="M3055" s="101"/>
      <c r="N3055" s="101"/>
      <c r="O3055" s="101"/>
      <c r="P3055" s="101"/>
      <c r="Q3055" s="101"/>
      <c r="R3055" s="101"/>
      <c r="S3055" s="101"/>
      <c r="T3055" s="101"/>
      <c r="U3055" s="101"/>
      <c r="V3055" s="101"/>
      <c r="W3055" s="19"/>
      <c r="X3055" s="17"/>
      <c r="Y3055" s="5">
        <f t="shared" si="292"/>
        <v>0</v>
      </c>
      <c r="Z3055" s="5">
        <f t="shared" si="293"/>
        <v>0</v>
      </c>
      <c r="AA3055" s="5">
        <f t="shared" si="294"/>
        <v>0</v>
      </c>
      <c r="AB3055" s="5">
        <f t="shared" si="295"/>
        <v>0</v>
      </c>
      <c r="AC3055" s="5"/>
      <c r="AD3055" s="5">
        <v>0</v>
      </c>
      <c r="AE3055" s="5">
        <f t="shared" si="296"/>
        <v>0</v>
      </c>
      <c r="AF3055" s="70">
        <v>0</v>
      </c>
      <c r="AG3055" s="17"/>
      <c r="AH3055" s="18"/>
      <c r="AI3055" s="47" t="s">
        <v>4336</v>
      </c>
      <c r="AJ3055" s="73" t="s">
        <v>4337</v>
      </c>
      <c r="AK3055" s="45"/>
      <c r="AL3055" s="17"/>
      <c r="AM3055" s="121" t="s">
        <v>5392</v>
      </c>
      <c r="AN3055" s="19"/>
      <c r="AO3055" s="19"/>
      <c r="AP3055" s="19"/>
      <c r="AQ3055" s="19"/>
      <c r="AR3055" s="19"/>
      <c r="AS3055" s="19"/>
      <c r="AT3055" s="19"/>
      <c r="AU3055" s="19"/>
      <c r="AV3055" s="19"/>
      <c r="AW3055" s="19"/>
      <c r="AX3055" s="19"/>
      <c r="AY3055" s="19"/>
      <c r="AZ3055" s="19"/>
      <c r="BA3055" s="19"/>
      <c r="BB3055" s="19"/>
      <c r="BC3055" s="19"/>
      <c r="BD3055" s="19"/>
      <c r="BE3055" s="19"/>
      <c r="BF3055" s="19"/>
      <c r="BG3055" s="19"/>
      <c r="BH3055" s="19"/>
      <c r="BI3055" s="19"/>
      <c r="BJ3055" s="19"/>
      <c r="BK3055" s="19"/>
      <c r="BL3055" s="19"/>
      <c r="BM3055" s="19"/>
      <c r="BN3055" s="19"/>
      <c r="BO3055" s="19"/>
      <c r="BP3055" s="19"/>
      <c r="BQ3055" s="19"/>
      <c r="BR3055" s="19"/>
      <c r="BS3055" s="19"/>
      <c r="BT3055" s="19"/>
      <c r="BU3055" s="19"/>
      <c r="BV3055" s="19"/>
      <c r="BW3055" s="19"/>
      <c r="BX3055" s="19"/>
      <c r="BY3055" s="19"/>
      <c r="BZ3055" s="19"/>
      <c r="CA3055" s="19"/>
      <c r="CB3055" s="19"/>
      <c r="CC3055" s="19"/>
      <c r="CD3055" s="139"/>
      <c r="CE3055" s="138"/>
      <c r="CF3055" s="139"/>
      <c r="CG3055" s="138"/>
      <c r="CH3055" s="139"/>
      <c r="CI3055" s="138"/>
      <c r="CJ3055" s="72"/>
      <c r="CK3055" s="139"/>
      <c r="CL3055" s="71"/>
      <c r="CM3055" s="139"/>
      <c r="CN3055" s="138"/>
      <c r="CO3055" s="138"/>
      <c r="CP3055" s="138"/>
      <c r="CQ3055" s="139"/>
      <c r="CR3055" s="138"/>
      <c r="CS3055" s="45"/>
      <c r="CT3055" s="138"/>
      <c r="CU3055" s="45"/>
      <c r="CV3055" s="99">
        <f t="shared" si="297"/>
        <v>0</v>
      </c>
      <c r="CW3055" s="139"/>
      <c r="CX3055" s="138"/>
      <c r="CY3055" s="138"/>
      <c r="CZ3055" s="138"/>
      <c r="DA3055" s="139"/>
      <c r="DB3055" s="138"/>
      <c r="DC3055" s="45"/>
      <c r="DD3055" s="138"/>
      <c r="DE3055" s="45"/>
      <c r="DF3055" s="46"/>
    </row>
    <row r="3056" spans="1:110" s="42" customFormat="1" ht="48" x14ac:dyDescent="0.2">
      <c r="A3056" s="89">
        <v>40890</v>
      </c>
      <c r="B3056" s="151" t="s">
        <v>4350</v>
      </c>
      <c r="C3056" s="90" t="s">
        <v>3361</v>
      </c>
      <c r="D3056" s="90" t="s">
        <v>4264</v>
      </c>
      <c r="E3056" s="90" t="str">
        <f>VLOOKUP(B3056&amp;C3056,Divipola!$C$2:$F$1138,4,FALSE)</f>
        <v>63548</v>
      </c>
      <c r="F3056" s="4"/>
      <c r="G3056" s="101"/>
      <c r="H3056" s="101"/>
      <c r="I3056" s="101"/>
      <c r="J3056" s="101">
        <v>135</v>
      </c>
      <c r="K3056" s="101">
        <v>27</v>
      </c>
      <c r="L3056" s="101"/>
      <c r="M3056" s="101">
        <v>27</v>
      </c>
      <c r="N3056" s="101"/>
      <c r="O3056" s="101"/>
      <c r="P3056" s="101"/>
      <c r="Q3056" s="101"/>
      <c r="R3056" s="101"/>
      <c r="S3056" s="101"/>
      <c r="T3056" s="101"/>
      <c r="U3056" s="101"/>
      <c r="V3056" s="101"/>
      <c r="W3056" s="19"/>
      <c r="X3056" s="17"/>
      <c r="Y3056" s="5">
        <f t="shared" si="292"/>
        <v>0</v>
      </c>
      <c r="Z3056" s="5">
        <f t="shared" si="293"/>
        <v>0</v>
      </c>
      <c r="AA3056" s="5">
        <f t="shared" si="294"/>
        <v>0</v>
      </c>
      <c r="AB3056" s="5">
        <f t="shared" si="295"/>
        <v>0</v>
      </c>
      <c r="AC3056" s="5"/>
      <c r="AD3056" s="5">
        <v>0</v>
      </c>
      <c r="AE3056" s="5">
        <f t="shared" si="296"/>
        <v>0</v>
      </c>
      <c r="AF3056" s="70">
        <v>0</v>
      </c>
      <c r="AG3056" s="17"/>
      <c r="AH3056" s="18"/>
      <c r="AI3056" s="47" t="s">
        <v>4336</v>
      </c>
      <c r="AJ3056" s="73" t="s">
        <v>4337</v>
      </c>
      <c r="AK3056" s="45"/>
      <c r="AL3056" s="17"/>
      <c r="AM3056" s="121" t="s">
        <v>5393</v>
      </c>
      <c r="AN3056" s="19"/>
      <c r="AO3056" s="19"/>
      <c r="AP3056" s="19"/>
      <c r="AQ3056" s="19"/>
      <c r="AR3056" s="19"/>
      <c r="AS3056" s="19"/>
      <c r="AT3056" s="19"/>
      <c r="AU3056" s="19"/>
      <c r="AV3056" s="19"/>
      <c r="AW3056" s="19"/>
      <c r="AX3056" s="19"/>
      <c r="AY3056" s="19"/>
      <c r="AZ3056" s="19"/>
      <c r="BA3056" s="19"/>
      <c r="BB3056" s="19"/>
      <c r="BC3056" s="19"/>
      <c r="BD3056" s="19"/>
      <c r="BE3056" s="19"/>
      <c r="BF3056" s="19"/>
      <c r="BG3056" s="19"/>
      <c r="BH3056" s="19"/>
      <c r="BI3056" s="19"/>
      <c r="BJ3056" s="19"/>
      <c r="BK3056" s="19"/>
      <c r="BL3056" s="19"/>
      <c r="BM3056" s="19"/>
      <c r="BN3056" s="19"/>
      <c r="BO3056" s="19"/>
      <c r="BP3056" s="19"/>
      <c r="BQ3056" s="19"/>
      <c r="BR3056" s="19"/>
      <c r="BS3056" s="19"/>
      <c r="BT3056" s="19"/>
      <c r="BU3056" s="19"/>
      <c r="BV3056" s="19"/>
      <c r="BW3056" s="19"/>
      <c r="BX3056" s="19"/>
      <c r="BY3056" s="19"/>
      <c r="BZ3056" s="19"/>
      <c r="CA3056" s="19"/>
      <c r="CB3056" s="19"/>
      <c r="CC3056" s="19"/>
      <c r="CD3056" s="139"/>
      <c r="CE3056" s="138"/>
      <c r="CF3056" s="139"/>
      <c r="CG3056" s="138"/>
      <c r="CH3056" s="139"/>
      <c r="CI3056" s="138"/>
      <c r="CJ3056" s="72"/>
      <c r="CK3056" s="139"/>
      <c r="CL3056" s="71"/>
      <c r="CM3056" s="139"/>
      <c r="CN3056" s="138"/>
      <c r="CO3056" s="138"/>
      <c r="CP3056" s="138"/>
      <c r="CQ3056" s="139"/>
      <c r="CR3056" s="138"/>
      <c r="CS3056" s="45"/>
      <c r="CT3056" s="138"/>
      <c r="CU3056" s="45"/>
      <c r="CV3056" s="99">
        <f t="shared" si="297"/>
        <v>0</v>
      </c>
      <c r="CW3056" s="139"/>
      <c r="CX3056" s="138"/>
      <c r="CY3056" s="138"/>
      <c r="CZ3056" s="138"/>
      <c r="DA3056" s="139"/>
      <c r="DB3056" s="138"/>
      <c r="DC3056" s="45"/>
      <c r="DD3056" s="138"/>
      <c r="DE3056" s="45"/>
      <c r="DF3056" s="46"/>
    </row>
    <row r="3057" spans="1:110" s="42" customFormat="1" x14ac:dyDescent="0.2">
      <c r="A3057" s="89">
        <v>40890</v>
      </c>
      <c r="B3057" s="151" t="s">
        <v>4352</v>
      </c>
      <c r="C3057" s="90" t="s">
        <v>4329</v>
      </c>
      <c r="D3057" s="90" t="s">
        <v>4264</v>
      </c>
      <c r="E3057" s="90" t="str">
        <f>VLOOKUP(B3057&amp;C3057,Divipola!$C$2:$F$1138,4,FALSE)</f>
        <v>13430</v>
      </c>
      <c r="F3057" s="4"/>
      <c r="G3057" s="208"/>
      <c r="H3057" s="208"/>
      <c r="I3057" s="208"/>
      <c r="J3057" s="208">
        <f>30140-1136</f>
        <v>29004</v>
      </c>
      <c r="K3057" s="208">
        <f>9299-284</f>
        <v>9015</v>
      </c>
      <c r="L3057" s="208"/>
      <c r="M3057" s="208"/>
      <c r="N3057" s="208"/>
      <c r="O3057" s="208"/>
      <c r="P3057" s="208"/>
      <c r="Q3057" s="208"/>
      <c r="R3057" s="208"/>
      <c r="S3057" s="208"/>
      <c r="T3057" s="208"/>
      <c r="U3057" s="208"/>
      <c r="V3057" s="208"/>
      <c r="W3057" s="19"/>
      <c r="X3057" s="17"/>
      <c r="Y3057" s="5">
        <f t="shared" si="292"/>
        <v>134400000</v>
      </c>
      <c r="Z3057" s="5">
        <f t="shared" si="293"/>
        <v>0</v>
      </c>
      <c r="AA3057" s="5">
        <f t="shared" si="294"/>
        <v>0</v>
      </c>
      <c r="AB3057" s="5">
        <f t="shared" si="295"/>
        <v>0</v>
      </c>
      <c r="AC3057" s="5"/>
      <c r="AD3057" s="5">
        <v>0</v>
      </c>
      <c r="AE3057" s="5">
        <f t="shared" si="296"/>
        <v>134400000</v>
      </c>
      <c r="AF3057" s="70">
        <v>0</v>
      </c>
      <c r="AG3057" s="17"/>
      <c r="AH3057" s="18"/>
      <c r="AI3057" s="47" t="s">
        <v>4346</v>
      </c>
      <c r="AJ3057" s="73" t="s">
        <v>4347</v>
      </c>
      <c r="AK3057" s="45"/>
      <c r="AL3057" s="17"/>
      <c r="AM3057" s="20"/>
      <c r="AN3057" s="19"/>
      <c r="AO3057" s="19"/>
      <c r="AP3057" s="19"/>
      <c r="AQ3057" s="19"/>
      <c r="AR3057" s="19"/>
      <c r="AS3057" s="19"/>
      <c r="AT3057" s="19"/>
      <c r="AU3057" s="19"/>
      <c r="AV3057" s="19"/>
      <c r="AW3057" s="19"/>
      <c r="AX3057" s="19">
        <v>300</v>
      </c>
      <c r="AY3057" s="19">
        <f>64*450000+56*600000+180*400000</f>
        <v>134400000</v>
      </c>
      <c r="AZ3057" s="19"/>
      <c r="BA3057" s="19"/>
      <c r="BB3057" s="19"/>
      <c r="BC3057" s="19"/>
      <c r="BD3057" s="19"/>
      <c r="BE3057" s="19"/>
      <c r="BF3057" s="19"/>
      <c r="BG3057" s="19"/>
      <c r="BH3057" s="19"/>
      <c r="BI3057" s="19"/>
      <c r="BJ3057" s="19"/>
      <c r="BK3057" s="19"/>
      <c r="BL3057" s="19"/>
      <c r="BM3057" s="19"/>
      <c r="BN3057" s="19"/>
      <c r="BO3057" s="19"/>
      <c r="BP3057" s="19"/>
      <c r="BQ3057" s="19"/>
      <c r="BR3057" s="19"/>
      <c r="BS3057" s="19"/>
      <c r="BT3057" s="19"/>
      <c r="BU3057" s="19"/>
      <c r="BV3057" s="19"/>
      <c r="BW3057" s="19"/>
      <c r="BX3057" s="19"/>
      <c r="BY3057" s="19"/>
      <c r="BZ3057" s="19"/>
      <c r="CA3057" s="19"/>
      <c r="CB3057" s="19"/>
      <c r="CC3057" s="19"/>
      <c r="CD3057" s="139"/>
      <c r="CE3057" s="138"/>
      <c r="CF3057" s="139"/>
      <c r="CG3057" s="138"/>
      <c r="CH3057" s="139"/>
      <c r="CI3057" s="138"/>
      <c r="CJ3057" s="72"/>
      <c r="CK3057" s="139"/>
      <c r="CL3057" s="71"/>
      <c r="CM3057" s="139"/>
      <c r="CN3057" s="138"/>
      <c r="CO3057" s="138"/>
      <c r="CP3057" s="138"/>
      <c r="CQ3057" s="139"/>
      <c r="CR3057" s="138"/>
      <c r="CS3057" s="45"/>
      <c r="CT3057" s="138"/>
      <c r="CU3057" s="45"/>
      <c r="CV3057" s="99">
        <f t="shared" si="297"/>
        <v>134400000</v>
      </c>
      <c r="CW3057" s="139"/>
      <c r="CX3057" s="138"/>
      <c r="CY3057" s="138"/>
      <c r="CZ3057" s="138"/>
      <c r="DA3057" s="139"/>
      <c r="DB3057" s="138"/>
      <c r="DC3057" s="45"/>
      <c r="DD3057" s="138"/>
      <c r="DE3057" s="45"/>
      <c r="DF3057" s="46"/>
    </row>
    <row r="3058" spans="1:110" s="42" customFormat="1" x14ac:dyDescent="0.2">
      <c r="A3058" s="89">
        <v>40890</v>
      </c>
      <c r="B3058" s="151" t="s">
        <v>4308</v>
      </c>
      <c r="C3058" s="90" t="s">
        <v>4345</v>
      </c>
      <c r="D3058" s="90" t="s">
        <v>4264</v>
      </c>
      <c r="E3058" s="90">
        <f>VLOOKUP(B3058&amp;C3058,Divipola!$C$2:$F$1138,4,FALSE)</f>
        <v>47</v>
      </c>
      <c r="F3058" s="4"/>
      <c r="G3058" s="208"/>
      <c r="H3058" s="208"/>
      <c r="I3058" s="208"/>
      <c r="J3058" s="208"/>
      <c r="K3058" s="208"/>
      <c r="L3058" s="208"/>
      <c r="M3058" s="208"/>
      <c r="N3058" s="208"/>
      <c r="O3058" s="208"/>
      <c r="P3058" s="208"/>
      <c r="Q3058" s="208"/>
      <c r="R3058" s="208"/>
      <c r="S3058" s="208"/>
      <c r="T3058" s="208"/>
      <c r="U3058" s="208"/>
      <c r="V3058" s="208"/>
      <c r="W3058" s="19"/>
      <c r="X3058" s="17"/>
      <c r="Y3058" s="5">
        <f t="shared" si="292"/>
        <v>329421440.07999998</v>
      </c>
      <c r="Z3058" s="5">
        <f t="shared" si="293"/>
        <v>340000000</v>
      </c>
      <c r="AA3058" s="5">
        <f t="shared" si="294"/>
        <v>0</v>
      </c>
      <c r="AB3058" s="5">
        <f t="shared" si="295"/>
        <v>0</v>
      </c>
      <c r="AC3058" s="5"/>
      <c r="AD3058" s="5">
        <v>0</v>
      </c>
      <c r="AE3058" s="5">
        <f t="shared" si="296"/>
        <v>669421440.07999992</v>
      </c>
      <c r="AF3058" s="70">
        <v>0</v>
      </c>
      <c r="AG3058" s="17"/>
      <c r="AH3058" s="18"/>
      <c r="AI3058" s="47" t="s">
        <v>4346</v>
      </c>
      <c r="AJ3058" s="73" t="s">
        <v>4347</v>
      </c>
      <c r="AK3058" s="45"/>
      <c r="AL3058" s="17"/>
      <c r="AM3058" s="20"/>
      <c r="AN3058" s="19"/>
      <c r="AO3058" s="19"/>
      <c r="AP3058" s="19"/>
      <c r="AQ3058" s="19"/>
      <c r="AR3058" s="19"/>
      <c r="AS3058" s="19"/>
      <c r="AT3058" s="19"/>
      <c r="AU3058" s="19"/>
      <c r="AV3058" s="19"/>
      <c r="AW3058" s="19"/>
      <c r="AX3058" s="19"/>
      <c r="AY3058" s="19"/>
      <c r="AZ3058" s="19"/>
      <c r="BA3058" s="19"/>
      <c r="BB3058" s="19"/>
      <c r="BC3058" s="19"/>
      <c r="BD3058" s="19"/>
      <c r="BE3058" s="19"/>
      <c r="BF3058" s="19"/>
      <c r="BG3058" s="19"/>
      <c r="BH3058" s="19"/>
      <c r="BI3058" s="19"/>
      <c r="BJ3058" s="19"/>
      <c r="BK3058" s="19"/>
      <c r="BL3058" s="19">
        <v>4000</v>
      </c>
      <c r="BM3058" s="19">
        <f>1250*25500+1350*25499.12+1400*25500</f>
        <v>101998812</v>
      </c>
      <c r="BN3058" s="19"/>
      <c r="BO3058" s="19"/>
      <c r="BP3058" s="19"/>
      <c r="BQ3058" s="19"/>
      <c r="BR3058" s="19"/>
      <c r="BS3058" s="19"/>
      <c r="BT3058" s="19"/>
      <c r="BU3058" s="19"/>
      <c r="BV3058" s="19"/>
      <c r="BW3058" s="19"/>
      <c r="BX3058" s="19"/>
      <c r="BY3058" s="19"/>
      <c r="BZ3058" s="19"/>
      <c r="CA3058" s="19"/>
      <c r="CB3058" s="19"/>
      <c r="CC3058" s="19"/>
      <c r="CD3058" s="139"/>
      <c r="CE3058" s="138"/>
      <c r="CF3058" s="139"/>
      <c r="CG3058" s="138"/>
      <c r="CH3058" s="139"/>
      <c r="CI3058" s="138"/>
      <c r="CJ3058" s="72"/>
      <c r="CK3058" s="139"/>
      <c r="CL3058" s="71"/>
      <c r="CM3058" s="139"/>
      <c r="CN3058" s="138">
        <v>4000</v>
      </c>
      <c r="CO3058" s="138">
        <f>1250*18000+1350*17999.72+1400*18000</f>
        <v>71999622</v>
      </c>
      <c r="CP3058" s="138">
        <v>4000</v>
      </c>
      <c r="CQ3058" s="139">
        <f>1250*37000+1350*36999.36+1400*37000</f>
        <v>147999136</v>
      </c>
      <c r="CR3058" s="138">
        <v>187</v>
      </c>
      <c r="CS3058" s="45">
        <f>187*39699.84</f>
        <v>7423870.0799999991</v>
      </c>
      <c r="CT3058" s="138"/>
      <c r="CU3058" s="45"/>
      <c r="CV3058" s="99">
        <f t="shared" si="297"/>
        <v>329421440.07999998</v>
      </c>
      <c r="CW3058" s="139"/>
      <c r="CX3058" s="138"/>
      <c r="CY3058" s="138">
        <v>4000</v>
      </c>
      <c r="CZ3058" s="138">
        <f>4000*85000</f>
        <v>340000000</v>
      </c>
      <c r="DA3058" s="139"/>
      <c r="DB3058" s="138"/>
      <c r="DC3058" s="45"/>
      <c r="DD3058" s="138"/>
      <c r="DE3058" s="45"/>
      <c r="DF3058" s="46"/>
    </row>
    <row r="3059" spans="1:110" s="42" customFormat="1" x14ac:dyDescent="0.2">
      <c r="A3059" s="89">
        <v>40890</v>
      </c>
      <c r="B3059" s="151" t="s">
        <v>2204</v>
      </c>
      <c r="C3059" s="90" t="s">
        <v>4345</v>
      </c>
      <c r="D3059" s="90" t="s">
        <v>4264</v>
      </c>
      <c r="E3059" s="90">
        <f>VLOOKUP(B3059&amp;C3059,Divipola!$C$2:$F$1138,4,FALSE)</f>
        <v>70</v>
      </c>
      <c r="F3059" s="4"/>
      <c r="G3059" s="208"/>
      <c r="H3059" s="208"/>
      <c r="I3059" s="208"/>
      <c r="J3059" s="208"/>
      <c r="K3059" s="208"/>
      <c r="L3059" s="208"/>
      <c r="M3059" s="208"/>
      <c r="N3059" s="208"/>
      <c r="O3059" s="208"/>
      <c r="P3059" s="208"/>
      <c r="Q3059" s="208"/>
      <c r="R3059" s="208"/>
      <c r="S3059" s="208"/>
      <c r="T3059" s="208"/>
      <c r="U3059" s="208"/>
      <c r="V3059" s="208"/>
      <c r="W3059" s="19"/>
      <c r="X3059" s="17"/>
      <c r="Y3059" s="5">
        <f t="shared" si="292"/>
        <v>325892380</v>
      </c>
      <c r="Z3059" s="5">
        <f t="shared" si="293"/>
        <v>680000000</v>
      </c>
      <c r="AA3059" s="5">
        <f t="shared" si="294"/>
        <v>0</v>
      </c>
      <c r="AB3059" s="5">
        <f t="shared" si="295"/>
        <v>47502000</v>
      </c>
      <c r="AC3059" s="5"/>
      <c r="AD3059" s="5">
        <v>0</v>
      </c>
      <c r="AE3059" s="5">
        <f t="shared" si="296"/>
        <v>1053394380</v>
      </c>
      <c r="AF3059" s="70">
        <v>0</v>
      </c>
      <c r="AG3059" s="17"/>
      <c r="AH3059" s="18"/>
      <c r="AI3059" s="47" t="s">
        <v>4346</v>
      </c>
      <c r="AJ3059" s="73" t="s">
        <v>4347</v>
      </c>
      <c r="AK3059" s="45"/>
      <c r="AL3059" s="17"/>
      <c r="AM3059" s="20"/>
      <c r="AN3059" s="19"/>
      <c r="AO3059" s="19"/>
      <c r="AP3059" s="19"/>
      <c r="AQ3059" s="19"/>
      <c r="AR3059" s="19"/>
      <c r="AS3059" s="19"/>
      <c r="AT3059" s="19"/>
      <c r="AU3059" s="19"/>
      <c r="AV3059" s="19"/>
      <c r="AW3059" s="19"/>
      <c r="AX3059" s="19"/>
      <c r="AY3059" s="19"/>
      <c r="AZ3059" s="19"/>
      <c r="BA3059" s="19"/>
      <c r="BB3059" s="19"/>
      <c r="BC3059" s="19"/>
      <c r="BD3059" s="19"/>
      <c r="BE3059" s="19"/>
      <c r="BF3059" s="19"/>
      <c r="BG3059" s="19"/>
      <c r="BH3059" s="19"/>
      <c r="BI3059" s="19"/>
      <c r="BJ3059" s="19"/>
      <c r="BK3059" s="19"/>
      <c r="BL3059" s="19"/>
      <c r="BM3059" s="19"/>
      <c r="BN3059" s="19"/>
      <c r="BO3059" s="19"/>
      <c r="BP3059" s="19"/>
      <c r="BQ3059" s="19"/>
      <c r="BR3059" s="19"/>
      <c r="BS3059" s="19"/>
      <c r="BT3059" s="19"/>
      <c r="BU3059" s="19"/>
      <c r="BV3059" s="19"/>
      <c r="BW3059" s="19"/>
      <c r="BX3059" s="19"/>
      <c r="BY3059" s="19"/>
      <c r="BZ3059" s="19">
        <v>60</v>
      </c>
      <c r="CA3059" s="19">
        <f>60*498249</f>
        <v>29894940</v>
      </c>
      <c r="CB3059" s="19"/>
      <c r="CC3059" s="19"/>
      <c r="CD3059" s="139"/>
      <c r="CE3059" s="138"/>
      <c r="CF3059" s="139"/>
      <c r="CG3059" s="138"/>
      <c r="CH3059" s="139"/>
      <c r="CI3059" s="138"/>
      <c r="CJ3059" s="72"/>
      <c r="CK3059" s="139"/>
      <c r="CL3059" s="71"/>
      <c r="CM3059" s="139"/>
      <c r="CN3059" s="138"/>
      <c r="CO3059" s="138"/>
      <c r="CP3059" s="138">
        <v>8000</v>
      </c>
      <c r="CQ3059" s="139">
        <f>3000*36999.36+2000*37000+2000*37000+1000*36999.36</f>
        <v>295997440</v>
      </c>
      <c r="CR3059" s="138"/>
      <c r="CS3059" s="45"/>
      <c r="CT3059" s="138"/>
      <c r="CU3059" s="45"/>
      <c r="CV3059" s="99">
        <f t="shared" si="297"/>
        <v>325892380</v>
      </c>
      <c r="CW3059" s="139">
        <v>50000</v>
      </c>
      <c r="CX3059" s="138">
        <f>50000*950.04</f>
        <v>47502000</v>
      </c>
      <c r="CY3059" s="138">
        <v>8000</v>
      </c>
      <c r="CZ3059" s="138">
        <f>3000*85000+2000*85000+2000*85000+1000*85000</f>
        <v>680000000</v>
      </c>
      <c r="DA3059" s="139"/>
      <c r="DB3059" s="138"/>
      <c r="DC3059" s="45"/>
      <c r="DD3059" s="138"/>
      <c r="DE3059" s="45"/>
      <c r="DF3059" s="46"/>
    </row>
    <row r="3060" spans="1:110" s="42" customFormat="1" ht="36" x14ac:dyDescent="0.2">
      <c r="A3060" s="17">
        <v>40890</v>
      </c>
      <c r="B3060" s="151" t="s">
        <v>4344</v>
      </c>
      <c r="C3060" s="16" t="s">
        <v>4345</v>
      </c>
      <c r="D3060" s="16" t="s">
        <v>4264</v>
      </c>
      <c r="E3060" s="90">
        <f>VLOOKUP(B3060&amp;C3060,Divipola!$C$2:$F$1138,4,FALSE)</f>
        <v>25</v>
      </c>
      <c r="F3060" s="4"/>
      <c r="G3060" s="208"/>
      <c r="H3060" s="208"/>
      <c r="I3060" s="208"/>
      <c r="J3060" s="208"/>
      <c r="K3060" s="208"/>
      <c r="L3060" s="208"/>
      <c r="M3060" s="208"/>
      <c r="N3060" s="208"/>
      <c r="O3060" s="208"/>
      <c r="P3060" s="208"/>
      <c r="Q3060" s="208"/>
      <c r="R3060" s="208"/>
      <c r="S3060" s="208"/>
      <c r="T3060" s="208"/>
      <c r="U3060" s="208"/>
      <c r="V3060" s="208"/>
      <c r="W3060" s="19"/>
      <c r="X3060" s="17"/>
      <c r="Y3060" s="5">
        <f t="shared" si="292"/>
        <v>0</v>
      </c>
      <c r="Z3060" s="5">
        <f t="shared" si="293"/>
        <v>0</v>
      </c>
      <c r="AA3060" s="5">
        <f t="shared" si="294"/>
        <v>0</v>
      </c>
      <c r="AB3060" s="5">
        <f t="shared" si="295"/>
        <v>0</v>
      </c>
      <c r="AC3060" s="5">
        <f>30*266800</f>
        <v>8004000</v>
      </c>
      <c r="AD3060" s="5">
        <v>0</v>
      </c>
      <c r="AE3060" s="5">
        <f t="shared" si="296"/>
        <v>8004000</v>
      </c>
      <c r="AF3060" s="70">
        <v>0</v>
      </c>
      <c r="AG3060" s="17"/>
      <c r="AH3060" s="18"/>
      <c r="AI3060" s="47" t="s">
        <v>4346</v>
      </c>
      <c r="AJ3060" s="73" t="s">
        <v>4347</v>
      </c>
      <c r="AK3060" s="45"/>
      <c r="AL3060" s="17"/>
      <c r="AM3060" s="20" t="s">
        <v>5607</v>
      </c>
      <c r="AN3060" s="19"/>
      <c r="AO3060" s="19"/>
      <c r="AP3060" s="19"/>
      <c r="AQ3060" s="19"/>
      <c r="AR3060" s="19"/>
      <c r="AS3060" s="19"/>
      <c r="AT3060" s="19"/>
      <c r="AU3060" s="19"/>
      <c r="AV3060" s="19"/>
      <c r="AW3060" s="19"/>
      <c r="AX3060" s="19"/>
      <c r="AY3060" s="19"/>
      <c r="AZ3060" s="19"/>
      <c r="BA3060" s="19"/>
      <c r="BB3060" s="19"/>
      <c r="BC3060" s="19"/>
      <c r="BD3060" s="19"/>
      <c r="BE3060" s="19"/>
      <c r="BF3060" s="19"/>
      <c r="BG3060" s="19"/>
      <c r="BH3060" s="19"/>
      <c r="BI3060" s="19"/>
      <c r="BJ3060" s="19"/>
      <c r="BK3060" s="19"/>
      <c r="BL3060" s="19"/>
      <c r="BM3060" s="19"/>
      <c r="BN3060" s="19"/>
      <c r="BO3060" s="19"/>
      <c r="BP3060" s="19"/>
      <c r="BQ3060" s="19"/>
      <c r="BR3060" s="19"/>
      <c r="BS3060" s="19"/>
      <c r="BT3060" s="19"/>
      <c r="BU3060" s="19"/>
      <c r="BV3060" s="19"/>
      <c r="BW3060" s="19"/>
      <c r="BX3060" s="19"/>
      <c r="BY3060" s="19"/>
      <c r="BZ3060" s="19"/>
      <c r="CA3060" s="19"/>
      <c r="CB3060" s="19"/>
      <c r="CC3060" s="19"/>
      <c r="CD3060" s="139"/>
      <c r="CE3060" s="138"/>
      <c r="CF3060" s="139"/>
      <c r="CG3060" s="138"/>
      <c r="CH3060" s="139"/>
      <c r="CI3060" s="138"/>
      <c r="CJ3060" s="72"/>
      <c r="CK3060" s="139"/>
      <c r="CL3060" s="71"/>
      <c r="CM3060" s="139"/>
      <c r="CN3060" s="138"/>
      <c r="CO3060" s="138"/>
      <c r="CP3060" s="138"/>
      <c r="CQ3060" s="139"/>
      <c r="CR3060" s="138"/>
      <c r="CS3060" s="45"/>
      <c r="CT3060" s="138"/>
      <c r="CU3060" s="45"/>
      <c r="CV3060" s="99">
        <f t="shared" si="297"/>
        <v>0</v>
      </c>
      <c r="CW3060" s="139"/>
      <c r="CX3060" s="138"/>
      <c r="CY3060" s="138"/>
      <c r="CZ3060" s="138"/>
      <c r="DA3060" s="139"/>
      <c r="DB3060" s="138"/>
      <c r="DC3060" s="45"/>
      <c r="DD3060" s="138"/>
      <c r="DE3060" s="45"/>
      <c r="DF3060" s="46"/>
    </row>
    <row r="3061" spans="1:110" s="42" customFormat="1" ht="48" x14ac:dyDescent="0.2">
      <c r="A3061" s="89">
        <v>40891</v>
      </c>
      <c r="B3061" s="151" t="s">
        <v>4219</v>
      </c>
      <c r="C3061" s="90" t="s">
        <v>3356</v>
      </c>
      <c r="D3061" s="90" t="s">
        <v>2362</v>
      </c>
      <c r="E3061" s="90" t="str">
        <f>VLOOKUP(B3061&amp;C3061,Divipola!$C$2:$F$1138,4,FALSE)</f>
        <v>41676</v>
      </c>
      <c r="F3061" s="4"/>
      <c r="G3061" s="194"/>
      <c r="H3061" s="194"/>
      <c r="I3061" s="194"/>
      <c r="J3061" s="194"/>
      <c r="K3061" s="194"/>
      <c r="L3061" s="194"/>
      <c r="M3061" s="194"/>
      <c r="N3061" s="194">
        <v>1</v>
      </c>
      <c r="O3061" s="194"/>
      <c r="P3061" s="194"/>
      <c r="Q3061" s="194"/>
      <c r="R3061" s="194"/>
      <c r="S3061" s="194"/>
      <c r="T3061" s="194"/>
      <c r="U3061" s="194"/>
      <c r="V3061" s="194"/>
      <c r="W3061" s="19"/>
      <c r="X3061" s="17"/>
      <c r="Y3061" s="5">
        <f t="shared" si="292"/>
        <v>0</v>
      </c>
      <c r="Z3061" s="5">
        <f t="shared" si="293"/>
        <v>0</v>
      </c>
      <c r="AA3061" s="5">
        <f t="shared" si="294"/>
        <v>0</v>
      </c>
      <c r="AB3061" s="5">
        <f t="shared" si="295"/>
        <v>0</v>
      </c>
      <c r="AC3061" s="5"/>
      <c r="AD3061" s="5">
        <v>0</v>
      </c>
      <c r="AE3061" s="5">
        <f t="shared" si="296"/>
        <v>0</v>
      </c>
      <c r="AF3061" s="70">
        <v>0</v>
      </c>
      <c r="AG3061" s="17"/>
      <c r="AH3061" s="18"/>
      <c r="AI3061" s="47" t="s">
        <v>4346</v>
      </c>
      <c r="AJ3061" s="73" t="s">
        <v>4347</v>
      </c>
      <c r="AK3061" s="45"/>
      <c r="AL3061" s="89" t="s">
        <v>2798</v>
      </c>
      <c r="AM3061" s="195" t="s">
        <v>5405</v>
      </c>
      <c r="AN3061" s="19"/>
      <c r="AO3061" s="19"/>
      <c r="AP3061" s="19"/>
      <c r="AQ3061" s="19"/>
      <c r="AR3061" s="19"/>
      <c r="AS3061" s="19"/>
      <c r="AT3061" s="19"/>
      <c r="AU3061" s="19"/>
      <c r="AV3061" s="19"/>
      <c r="AW3061" s="19"/>
      <c r="AX3061" s="19"/>
      <c r="AY3061" s="19"/>
      <c r="AZ3061" s="19"/>
      <c r="BA3061" s="19"/>
      <c r="BB3061" s="19"/>
      <c r="BC3061" s="19"/>
      <c r="BD3061" s="19"/>
      <c r="BE3061" s="19"/>
      <c r="BF3061" s="19"/>
      <c r="BG3061" s="19"/>
      <c r="BH3061" s="19"/>
      <c r="BI3061" s="19"/>
      <c r="BJ3061" s="19"/>
      <c r="BK3061" s="19"/>
      <c r="BL3061" s="19"/>
      <c r="BM3061" s="19"/>
      <c r="BN3061" s="19"/>
      <c r="BO3061" s="19"/>
      <c r="BP3061" s="19"/>
      <c r="BQ3061" s="19"/>
      <c r="BR3061" s="19"/>
      <c r="BS3061" s="19"/>
      <c r="BT3061" s="19"/>
      <c r="BU3061" s="19"/>
      <c r="BV3061" s="19"/>
      <c r="BW3061" s="19"/>
      <c r="BX3061" s="19"/>
      <c r="BY3061" s="19"/>
      <c r="BZ3061" s="19"/>
      <c r="CA3061" s="19"/>
      <c r="CB3061" s="19"/>
      <c r="CC3061" s="19"/>
      <c r="CD3061" s="139"/>
      <c r="CE3061" s="138"/>
      <c r="CF3061" s="139"/>
      <c r="CG3061" s="138"/>
      <c r="CH3061" s="139"/>
      <c r="CI3061" s="138"/>
      <c r="CJ3061" s="72"/>
      <c r="CK3061" s="139"/>
      <c r="CL3061" s="71"/>
      <c r="CM3061" s="139"/>
      <c r="CN3061" s="138"/>
      <c r="CO3061" s="138"/>
      <c r="CP3061" s="138"/>
      <c r="CQ3061" s="139"/>
      <c r="CR3061" s="138"/>
      <c r="CS3061" s="45"/>
      <c r="CT3061" s="138"/>
      <c r="CU3061" s="45"/>
      <c r="CV3061" s="99">
        <f t="shared" si="297"/>
        <v>0</v>
      </c>
      <c r="CW3061" s="139"/>
      <c r="CX3061" s="138"/>
      <c r="CY3061" s="138"/>
      <c r="CZ3061" s="138"/>
      <c r="DA3061" s="139"/>
      <c r="DB3061" s="138"/>
      <c r="DC3061" s="45"/>
      <c r="DD3061" s="138"/>
      <c r="DE3061" s="45"/>
      <c r="DF3061" s="46"/>
    </row>
    <row r="3062" spans="1:110" s="42" customFormat="1" ht="48" x14ac:dyDescent="0.2">
      <c r="A3062" s="89">
        <v>40891</v>
      </c>
      <c r="B3062" s="151" t="s">
        <v>4219</v>
      </c>
      <c r="C3062" s="90" t="s">
        <v>956</v>
      </c>
      <c r="D3062" s="90" t="s">
        <v>2362</v>
      </c>
      <c r="E3062" s="90" t="str">
        <f>VLOOKUP(B3062&amp;C3062,Divipola!$C$2:$F$1138,4,FALSE)</f>
        <v>41298</v>
      </c>
      <c r="F3062" s="4"/>
      <c r="G3062" s="194"/>
      <c r="H3062" s="194"/>
      <c r="I3062" s="194"/>
      <c r="J3062" s="194"/>
      <c r="K3062" s="194"/>
      <c r="L3062" s="194"/>
      <c r="M3062" s="194"/>
      <c r="N3062" s="194">
        <v>1</v>
      </c>
      <c r="O3062" s="194"/>
      <c r="P3062" s="194"/>
      <c r="Q3062" s="194"/>
      <c r="R3062" s="194"/>
      <c r="S3062" s="194"/>
      <c r="T3062" s="194"/>
      <c r="U3062" s="194"/>
      <c r="V3062" s="194"/>
      <c r="W3062" s="19"/>
      <c r="X3062" s="17"/>
      <c r="Y3062" s="5">
        <f t="shared" si="292"/>
        <v>0</v>
      </c>
      <c r="Z3062" s="5">
        <f t="shared" si="293"/>
        <v>0</v>
      </c>
      <c r="AA3062" s="5">
        <f t="shared" si="294"/>
        <v>0</v>
      </c>
      <c r="AB3062" s="5">
        <f t="shared" si="295"/>
        <v>0</v>
      </c>
      <c r="AC3062" s="5"/>
      <c r="AD3062" s="5">
        <v>0</v>
      </c>
      <c r="AE3062" s="5">
        <f t="shared" si="296"/>
        <v>0</v>
      </c>
      <c r="AF3062" s="70">
        <v>0</v>
      </c>
      <c r="AG3062" s="17"/>
      <c r="AH3062" s="18"/>
      <c r="AI3062" s="47" t="s">
        <v>4346</v>
      </c>
      <c r="AJ3062" s="73" t="s">
        <v>4347</v>
      </c>
      <c r="AK3062" s="45"/>
      <c r="AL3062" s="89" t="s">
        <v>2798</v>
      </c>
      <c r="AM3062" s="195" t="s">
        <v>5406</v>
      </c>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39"/>
      <c r="CE3062" s="138"/>
      <c r="CF3062" s="139"/>
      <c r="CG3062" s="138"/>
      <c r="CH3062" s="139"/>
      <c r="CI3062" s="138"/>
      <c r="CJ3062" s="72"/>
      <c r="CK3062" s="139"/>
      <c r="CL3062" s="71"/>
      <c r="CM3062" s="139"/>
      <c r="CN3062" s="138"/>
      <c r="CO3062" s="138"/>
      <c r="CP3062" s="138"/>
      <c r="CQ3062" s="139"/>
      <c r="CR3062" s="138"/>
      <c r="CS3062" s="45"/>
      <c r="CT3062" s="138"/>
      <c r="CU3062" s="45"/>
      <c r="CV3062" s="99">
        <f t="shared" si="297"/>
        <v>0</v>
      </c>
      <c r="CW3062" s="139"/>
      <c r="CX3062" s="138"/>
      <c r="CY3062" s="138"/>
      <c r="CZ3062" s="138"/>
      <c r="DA3062" s="139"/>
      <c r="DB3062" s="138"/>
      <c r="DC3062" s="45"/>
      <c r="DD3062" s="138"/>
      <c r="DE3062" s="45"/>
      <c r="DF3062" s="46"/>
    </row>
    <row r="3063" spans="1:110" s="42" customFormat="1" ht="72" x14ac:dyDescent="0.2">
      <c r="A3063" s="89">
        <v>40891</v>
      </c>
      <c r="B3063" s="196" t="s">
        <v>4308</v>
      </c>
      <c r="C3063" s="197" t="s">
        <v>760</v>
      </c>
      <c r="D3063" s="197" t="s">
        <v>4264</v>
      </c>
      <c r="E3063" s="90" t="str">
        <f>VLOOKUP(B3063&amp;C3063,Divipola!$C$2:$F$1138,4,FALSE)</f>
        <v>47318</v>
      </c>
      <c r="F3063" s="4"/>
      <c r="G3063" s="194"/>
      <c r="H3063" s="194"/>
      <c r="I3063" s="194"/>
      <c r="J3063" s="194">
        <f>784*4</f>
        <v>3136</v>
      </c>
      <c r="K3063" s="194">
        <v>784</v>
      </c>
      <c r="L3063" s="194"/>
      <c r="M3063" s="194">
        <v>160</v>
      </c>
      <c r="N3063" s="194"/>
      <c r="O3063" s="194"/>
      <c r="P3063" s="194"/>
      <c r="Q3063" s="194"/>
      <c r="R3063" s="194"/>
      <c r="S3063" s="194"/>
      <c r="T3063" s="194"/>
      <c r="U3063" s="194"/>
      <c r="V3063" s="194"/>
      <c r="W3063" s="19"/>
      <c r="X3063" s="17"/>
      <c r="Y3063" s="5">
        <f t="shared" si="292"/>
        <v>0</v>
      </c>
      <c r="Z3063" s="5">
        <f t="shared" si="293"/>
        <v>0</v>
      </c>
      <c r="AA3063" s="5">
        <f t="shared" si="294"/>
        <v>0</v>
      </c>
      <c r="AB3063" s="5">
        <f t="shared" si="295"/>
        <v>0</v>
      </c>
      <c r="AC3063" s="5"/>
      <c r="AD3063" s="5">
        <v>0</v>
      </c>
      <c r="AE3063" s="5">
        <f t="shared" si="296"/>
        <v>0</v>
      </c>
      <c r="AF3063" s="70">
        <v>0</v>
      </c>
      <c r="AG3063" s="17"/>
      <c r="AH3063" s="18"/>
      <c r="AI3063" s="47" t="s">
        <v>4346</v>
      </c>
      <c r="AJ3063" s="73" t="s">
        <v>4347</v>
      </c>
      <c r="AK3063" s="45"/>
      <c r="AL3063" s="89" t="s">
        <v>2798</v>
      </c>
      <c r="AM3063" s="195" t="s">
        <v>5566</v>
      </c>
      <c r="AN3063" s="19"/>
      <c r="AO3063" s="19"/>
      <c r="AP3063" s="19"/>
      <c r="AQ3063" s="19"/>
      <c r="AR3063" s="19"/>
      <c r="AS3063" s="19"/>
      <c r="AT3063" s="19"/>
      <c r="AU3063" s="19"/>
      <c r="AV3063" s="19"/>
      <c r="AW3063" s="19"/>
      <c r="AX3063" s="19"/>
      <c r="AY3063" s="19"/>
      <c r="AZ3063" s="19"/>
      <c r="BA3063" s="19"/>
      <c r="BB3063" s="19"/>
      <c r="BC3063" s="19"/>
      <c r="BD3063" s="19"/>
      <c r="BE3063" s="19"/>
      <c r="BF3063" s="19"/>
      <c r="BG3063" s="19"/>
      <c r="BH3063" s="19"/>
      <c r="BI3063" s="19"/>
      <c r="BJ3063" s="19"/>
      <c r="BK3063" s="19"/>
      <c r="BL3063" s="19"/>
      <c r="BM3063" s="19"/>
      <c r="BN3063" s="19"/>
      <c r="BO3063" s="19"/>
      <c r="BP3063" s="19"/>
      <c r="BQ3063" s="19"/>
      <c r="BR3063" s="19"/>
      <c r="BS3063" s="19"/>
      <c r="BT3063" s="19"/>
      <c r="BU3063" s="19"/>
      <c r="BV3063" s="19"/>
      <c r="BW3063" s="19"/>
      <c r="BX3063" s="19"/>
      <c r="BY3063" s="19"/>
      <c r="BZ3063" s="19"/>
      <c r="CA3063" s="19"/>
      <c r="CB3063" s="19"/>
      <c r="CC3063" s="19"/>
      <c r="CD3063" s="139"/>
      <c r="CE3063" s="138"/>
      <c r="CF3063" s="139"/>
      <c r="CG3063" s="138"/>
      <c r="CH3063" s="139"/>
      <c r="CI3063" s="138"/>
      <c r="CJ3063" s="72"/>
      <c r="CK3063" s="139"/>
      <c r="CL3063" s="71"/>
      <c r="CM3063" s="139"/>
      <c r="CN3063" s="138"/>
      <c r="CO3063" s="138"/>
      <c r="CP3063" s="138"/>
      <c r="CQ3063" s="139"/>
      <c r="CR3063" s="138"/>
      <c r="CS3063" s="45"/>
      <c r="CT3063" s="138"/>
      <c r="CU3063" s="45"/>
      <c r="CV3063" s="99">
        <f t="shared" si="297"/>
        <v>0</v>
      </c>
      <c r="CW3063" s="139"/>
      <c r="CX3063" s="138"/>
      <c r="CY3063" s="138"/>
      <c r="CZ3063" s="138"/>
      <c r="DA3063" s="139"/>
      <c r="DB3063" s="138"/>
      <c r="DC3063" s="45"/>
      <c r="DD3063" s="138"/>
      <c r="DE3063" s="45"/>
      <c r="DF3063" s="46"/>
    </row>
    <row r="3064" spans="1:110" s="42" customFormat="1" ht="36" x14ac:dyDescent="0.2">
      <c r="A3064" s="89">
        <v>40891</v>
      </c>
      <c r="B3064" s="196" t="s">
        <v>4348</v>
      </c>
      <c r="C3064" s="197" t="s">
        <v>3304</v>
      </c>
      <c r="D3064" s="197" t="s">
        <v>4264</v>
      </c>
      <c r="E3064" s="90" t="str">
        <f>VLOOKUP(B3064&amp;C3064,Divipola!$C$2:$F$1138,4,FALSE)</f>
        <v>66440</v>
      </c>
      <c r="F3064" s="4"/>
      <c r="G3064" s="194"/>
      <c r="H3064" s="194"/>
      <c r="I3064" s="194"/>
      <c r="J3064" s="194">
        <v>30</v>
      </c>
      <c r="K3064" s="194">
        <v>6</v>
      </c>
      <c r="L3064" s="194"/>
      <c r="M3064" s="194">
        <v>6</v>
      </c>
      <c r="N3064" s="194"/>
      <c r="O3064" s="194"/>
      <c r="P3064" s="194"/>
      <c r="Q3064" s="194"/>
      <c r="R3064" s="194"/>
      <c r="S3064" s="194"/>
      <c r="T3064" s="194"/>
      <c r="U3064" s="194"/>
      <c r="V3064" s="194"/>
      <c r="W3064" s="19"/>
      <c r="X3064" s="17"/>
      <c r="Y3064" s="5">
        <f t="shared" si="292"/>
        <v>0</v>
      </c>
      <c r="Z3064" s="5">
        <f t="shared" si="293"/>
        <v>0</v>
      </c>
      <c r="AA3064" s="5">
        <f t="shared" si="294"/>
        <v>0</v>
      </c>
      <c r="AB3064" s="5">
        <f t="shared" si="295"/>
        <v>0</v>
      </c>
      <c r="AC3064" s="5"/>
      <c r="AD3064" s="5">
        <v>0</v>
      </c>
      <c r="AE3064" s="5">
        <f t="shared" si="296"/>
        <v>0</v>
      </c>
      <c r="AF3064" s="70">
        <v>0</v>
      </c>
      <c r="AG3064" s="17"/>
      <c r="AH3064" s="18"/>
      <c r="AI3064" s="47" t="s">
        <v>4346</v>
      </c>
      <c r="AJ3064" s="73" t="s">
        <v>4347</v>
      </c>
      <c r="AK3064" s="45"/>
      <c r="AL3064" s="89" t="s">
        <v>2798</v>
      </c>
      <c r="AM3064" s="195" t="s">
        <v>5418</v>
      </c>
      <c r="AN3064" s="19"/>
      <c r="AO3064" s="19"/>
      <c r="AP3064" s="19"/>
      <c r="AQ3064" s="19"/>
      <c r="AR3064" s="19"/>
      <c r="AS3064" s="19"/>
      <c r="AT3064" s="19"/>
      <c r="AU3064" s="19"/>
      <c r="AV3064" s="19"/>
      <c r="AW3064" s="19"/>
      <c r="AX3064" s="19"/>
      <c r="AY3064" s="19"/>
      <c r="AZ3064" s="19"/>
      <c r="BA3064" s="19"/>
      <c r="BB3064" s="19"/>
      <c r="BC3064" s="19"/>
      <c r="BD3064" s="19"/>
      <c r="BE3064" s="19"/>
      <c r="BF3064" s="19"/>
      <c r="BG3064" s="19"/>
      <c r="BH3064" s="19"/>
      <c r="BI3064" s="19"/>
      <c r="BJ3064" s="19"/>
      <c r="BK3064" s="19"/>
      <c r="BL3064" s="19"/>
      <c r="BM3064" s="19"/>
      <c r="BN3064" s="19"/>
      <c r="BO3064" s="19"/>
      <c r="BP3064" s="19"/>
      <c r="BQ3064" s="19"/>
      <c r="BR3064" s="19"/>
      <c r="BS3064" s="19"/>
      <c r="BT3064" s="19"/>
      <c r="BU3064" s="19"/>
      <c r="BV3064" s="19"/>
      <c r="BW3064" s="19"/>
      <c r="BX3064" s="19"/>
      <c r="BY3064" s="19"/>
      <c r="BZ3064" s="19"/>
      <c r="CA3064" s="19"/>
      <c r="CB3064" s="19"/>
      <c r="CC3064" s="19"/>
      <c r="CD3064" s="139"/>
      <c r="CE3064" s="138"/>
      <c r="CF3064" s="139"/>
      <c r="CG3064" s="138"/>
      <c r="CH3064" s="139"/>
      <c r="CI3064" s="138"/>
      <c r="CJ3064" s="72"/>
      <c r="CK3064" s="139"/>
      <c r="CL3064" s="71"/>
      <c r="CM3064" s="139"/>
      <c r="CN3064" s="138"/>
      <c r="CO3064" s="138"/>
      <c r="CP3064" s="138"/>
      <c r="CQ3064" s="139"/>
      <c r="CR3064" s="138"/>
      <c r="CS3064" s="45"/>
      <c r="CT3064" s="138"/>
      <c r="CU3064" s="45"/>
      <c r="CV3064" s="99">
        <f t="shared" si="297"/>
        <v>0</v>
      </c>
      <c r="CW3064" s="139"/>
      <c r="CX3064" s="138"/>
      <c r="CY3064" s="138"/>
      <c r="CZ3064" s="138"/>
      <c r="DA3064" s="139"/>
      <c r="DB3064" s="138"/>
      <c r="DC3064" s="45"/>
      <c r="DD3064" s="138"/>
      <c r="DE3064" s="45"/>
      <c r="DF3064" s="46"/>
    </row>
    <row r="3065" spans="1:110" s="42" customFormat="1" ht="36" x14ac:dyDescent="0.2">
      <c r="A3065" s="89">
        <v>40891</v>
      </c>
      <c r="B3065" s="196" t="s">
        <v>4348</v>
      </c>
      <c r="C3065" s="197" t="s">
        <v>3342</v>
      </c>
      <c r="D3065" s="197" t="s">
        <v>2362</v>
      </c>
      <c r="E3065" s="90" t="str">
        <f>VLOOKUP(B3065&amp;C3065,Divipola!$C$2:$F$1138,4,FALSE)</f>
        <v>66383</v>
      </c>
      <c r="F3065" s="4"/>
      <c r="G3065" s="194"/>
      <c r="H3065" s="194"/>
      <c r="I3065" s="194"/>
      <c r="J3065" s="194">
        <v>5</v>
      </c>
      <c r="K3065" s="194">
        <v>1</v>
      </c>
      <c r="L3065" s="194">
        <v>1</v>
      </c>
      <c r="M3065" s="194"/>
      <c r="N3065" s="194"/>
      <c r="O3065" s="194"/>
      <c r="P3065" s="194"/>
      <c r="Q3065" s="194"/>
      <c r="R3065" s="194"/>
      <c r="S3065" s="194"/>
      <c r="T3065" s="194"/>
      <c r="U3065" s="194"/>
      <c r="V3065" s="194"/>
      <c r="W3065" s="19"/>
      <c r="X3065" s="17"/>
      <c r="Y3065" s="5">
        <f t="shared" si="292"/>
        <v>0</v>
      </c>
      <c r="Z3065" s="5">
        <f t="shared" si="293"/>
        <v>0</v>
      </c>
      <c r="AA3065" s="5">
        <f t="shared" si="294"/>
        <v>0</v>
      </c>
      <c r="AB3065" s="5">
        <f t="shared" si="295"/>
        <v>0</v>
      </c>
      <c r="AC3065" s="5"/>
      <c r="AD3065" s="5">
        <v>0</v>
      </c>
      <c r="AE3065" s="5">
        <f t="shared" si="296"/>
        <v>0</v>
      </c>
      <c r="AF3065" s="70">
        <v>0</v>
      </c>
      <c r="AG3065" s="17"/>
      <c r="AH3065" s="18"/>
      <c r="AI3065" s="47" t="s">
        <v>4346</v>
      </c>
      <c r="AJ3065" s="73" t="s">
        <v>4347</v>
      </c>
      <c r="AK3065" s="45"/>
      <c r="AL3065" s="89" t="s">
        <v>2798</v>
      </c>
      <c r="AM3065" s="195" t="s">
        <v>5419</v>
      </c>
      <c r="AN3065" s="19"/>
      <c r="AO3065" s="19"/>
      <c r="AP3065" s="19"/>
      <c r="AQ3065" s="19"/>
      <c r="AR3065" s="19"/>
      <c r="AS3065" s="19"/>
      <c r="AT3065" s="19"/>
      <c r="AU3065" s="19"/>
      <c r="AV3065" s="19"/>
      <c r="AW3065" s="19"/>
      <c r="AX3065" s="19"/>
      <c r="AY3065" s="19"/>
      <c r="AZ3065" s="19"/>
      <c r="BA3065" s="19"/>
      <c r="BB3065" s="19"/>
      <c r="BC3065" s="19"/>
      <c r="BD3065" s="19"/>
      <c r="BE3065" s="19"/>
      <c r="BF3065" s="19"/>
      <c r="BG3065" s="19"/>
      <c r="BH3065" s="19"/>
      <c r="BI3065" s="19"/>
      <c r="BJ3065" s="19"/>
      <c r="BK3065" s="19"/>
      <c r="BL3065" s="19"/>
      <c r="BM3065" s="19"/>
      <c r="BN3065" s="19"/>
      <c r="BO3065" s="19"/>
      <c r="BP3065" s="19"/>
      <c r="BQ3065" s="19"/>
      <c r="BR3065" s="19"/>
      <c r="BS3065" s="19"/>
      <c r="BT3065" s="19"/>
      <c r="BU3065" s="19"/>
      <c r="BV3065" s="19"/>
      <c r="BW3065" s="19"/>
      <c r="BX3065" s="19"/>
      <c r="BY3065" s="19"/>
      <c r="BZ3065" s="19"/>
      <c r="CA3065" s="19"/>
      <c r="CB3065" s="19"/>
      <c r="CC3065" s="19"/>
      <c r="CD3065" s="139"/>
      <c r="CE3065" s="138"/>
      <c r="CF3065" s="139"/>
      <c r="CG3065" s="138"/>
      <c r="CH3065" s="139"/>
      <c r="CI3065" s="138"/>
      <c r="CJ3065" s="72"/>
      <c r="CK3065" s="139"/>
      <c r="CL3065" s="71"/>
      <c r="CM3065" s="139"/>
      <c r="CN3065" s="138"/>
      <c r="CO3065" s="138"/>
      <c r="CP3065" s="138"/>
      <c r="CQ3065" s="139"/>
      <c r="CR3065" s="138"/>
      <c r="CS3065" s="45"/>
      <c r="CT3065" s="138"/>
      <c r="CU3065" s="45"/>
      <c r="CV3065" s="99">
        <f t="shared" si="297"/>
        <v>0</v>
      </c>
      <c r="CW3065" s="139"/>
      <c r="CX3065" s="138"/>
      <c r="CY3065" s="138"/>
      <c r="CZ3065" s="138"/>
      <c r="DA3065" s="139"/>
      <c r="DB3065" s="138"/>
      <c r="DC3065" s="45"/>
      <c r="DD3065" s="138"/>
      <c r="DE3065" s="45"/>
      <c r="DF3065" s="46"/>
    </row>
    <row r="3066" spans="1:110" s="42" customFormat="1" ht="24" x14ac:dyDescent="0.2">
      <c r="A3066" s="89">
        <v>40891</v>
      </c>
      <c r="B3066" s="196" t="s">
        <v>4348</v>
      </c>
      <c r="C3066" s="197" t="s">
        <v>3553</v>
      </c>
      <c r="D3066" s="197" t="s">
        <v>4264</v>
      </c>
      <c r="E3066" s="90" t="str">
        <f>VLOOKUP(B3066&amp;C3066,Divipola!$C$2:$F$1138,4,FALSE)</f>
        <v>66075</v>
      </c>
      <c r="F3066" s="4"/>
      <c r="G3066" s="194"/>
      <c r="H3066" s="194"/>
      <c r="I3066" s="194"/>
      <c r="J3066" s="194">
        <v>15</v>
      </c>
      <c r="K3066" s="194">
        <v>3</v>
      </c>
      <c r="L3066" s="194"/>
      <c r="M3066" s="194">
        <v>3</v>
      </c>
      <c r="N3066" s="194"/>
      <c r="O3066" s="194"/>
      <c r="P3066" s="194"/>
      <c r="Q3066" s="194"/>
      <c r="R3066" s="194"/>
      <c r="S3066" s="194"/>
      <c r="T3066" s="194"/>
      <c r="U3066" s="194"/>
      <c r="V3066" s="194"/>
      <c r="W3066" s="19"/>
      <c r="X3066" s="17"/>
      <c r="Y3066" s="5">
        <f t="shared" si="292"/>
        <v>0</v>
      </c>
      <c r="Z3066" s="5">
        <f t="shared" si="293"/>
        <v>0</v>
      </c>
      <c r="AA3066" s="5">
        <f t="shared" si="294"/>
        <v>0</v>
      </c>
      <c r="AB3066" s="5">
        <f t="shared" si="295"/>
        <v>0</v>
      </c>
      <c r="AC3066" s="5"/>
      <c r="AD3066" s="5">
        <v>0</v>
      </c>
      <c r="AE3066" s="5">
        <f t="shared" si="296"/>
        <v>0</v>
      </c>
      <c r="AF3066" s="70">
        <v>0</v>
      </c>
      <c r="AG3066" s="17"/>
      <c r="AH3066" s="18"/>
      <c r="AI3066" s="47" t="s">
        <v>4346</v>
      </c>
      <c r="AJ3066" s="73" t="s">
        <v>4347</v>
      </c>
      <c r="AK3066" s="45"/>
      <c r="AL3066" s="89" t="s">
        <v>2798</v>
      </c>
      <c r="AM3066" s="195" t="s">
        <v>5416</v>
      </c>
      <c r="AN3066" s="19"/>
      <c r="AO3066" s="19"/>
      <c r="AP3066" s="19"/>
      <c r="AQ3066" s="19"/>
      <c r="AR3066" s="19"/>
      <c r="AS3066" s="19"/>
      <c r="AT3066" s="19"/>
      <c r="AU3066" s="19"/>
      <c r="AV3066" s="19"/>
      <c r="AW3066" s="19"/>
      <c r="AX3066" s="19"/>
      <c r="AY3066" s="19"/>
      <c r="AZ3066" s="19"/>
      <c r="BA3066" s="19"/>
      <c r="BB3066" s="19"/>
      <c r="BC3066" s="19"/>
      <c r="BD3066" s="19"/>
      <c r="BE3066" s="19"/>
      <c r="BF3066" s="19"/>
      <c r="BG3066" s="19"/>
      <c r="BH3066" s="19"/>
      <c r="BI3066" s="19"/>
      <c r="BJ3066" s="19"/>
      <c r="BK3066" s="19"/>
      <c r="BL3066" s="19"/>
      <c r="BM3066" s="19"/>
      <c r="BN3066" s="19"/>
      <c r="BO3066" s="19"/>
      <c r="BP3066" s="19"/>
      <c r="BQ3066" s="19"/>
      <c r="BR3066" s="19"/>
      <c r="BS3066" s="19"/>
      <c r="BT3066" s="19"/>
      <c r="BU3066" s="19"/>
      <c r="BV3066" s="19"/>
      <c r="BW3066" s="19"/>
      <c r="BX3066" s="19"/>
      <c r="BY3066" s="19"/>
      <c r="BZ3066" s="19"/>
      <c r="CA3066" s="19"/>
      <c r="CB3066" s="19"/>
      <c r="CC3066" s="19"/>
      <c r="CD3066" s="139"/>
      <c r="CE3066" s="138"/>
      <c r="CF3066" s="139"/>
      <c r="CG3066" s="138"/>
      <c r="CH3066" s="139"/>
      <c r="CI3066" s="138"/>
      <c r="CJ3066" s="72"/>
      <c r="CK3066" s="139"/>
      <c r="CL3066" s="71"/>
      <c r="CM3066" s="139"/>
      <c r="CN3066" s="138"/>
      <c r="CO3066" s="138"/>
      <c r="CP3066" s="138"/>
      <c r="CQ3066" s="139"/>
      <c r="CR3066" s="138"/>
      <c r="CS3066" s="45"/>
      <c r="CT3066" s="138"/>
      <c r="CU3066" s="45"/>
      <c r="CV3066" s="99">
        <f t="shared" si="297"/>
        <v>0</v>
      </c>
      <c r="CW3066" s="139"/>
      <c r="CX3066" s="138"/>
      <c r="CY3066" s="138"/>
      <c r="CZ3066" s="138"/>
      <c r="DA3066" s="139"/>
      <c r="DB3066" s="138"/>
      <c r="DC3066" s="45"/>
      <c r="DD3066" s="138"/>
      <c r="DE3066" s="45"/>
      <c r="DF3066" s="46"/>
    </row>
    <row r="3067" spans="1:110" s="42" customFormat="1" ht="36" x14ac:dyDescent="0.2">
      <c r="A3067" s="89">
        <v>40891</v>
      </c>
      <c r="B3067" s="196" t="s">
        <v>4348</v>
      </c>
      <c r="C3067" s="197" t="s">
        <v>4313</v>
      </c>
      <c r="D3067" s="197" t="s">
        <v>2362</v>
      </c>
      <c r="E3067" s="90" t="str">
        <f>VLOOKUP(B3067&amp;C3067,Divipola!$C$2:$F$1138,4,FALSE)</f>
        <v>66318</v>
      </c>
      <c r="F3067" s="4"/>
      <c r="G3067" s="194"/>
      <c r="H3067" s="194"/>
      <c r="I3067" s="194"/>
      <c r="J3067" s="194"/>
      <c r="K3067" s="194"/>
      <c r="L3067" s="194"/>
      <c r="M3067" s="194"/>
      <c r="N3067" s="194">
        <v>1</v>
      </c>
      <c r="O3067" s="194"/>
      <c r="P3067" s="194"/>
      <c r="Q3067" s="194"/>
      <c r="R3067" s="194"/>
      <c r="S3067" s="194"/>
      <c r="T3067" s="194"/>
      <c r="U3067" s="194"/>
      <c r="V3067" s="194"/>
      <c r="W3067" s="19"/>
      <c r="X3067" s="17"/>
      <c r="Y3067" s="5">
        <f t="shared" si="292"/>
        <v>0</v>
      </c>
      <c r="Z3067" s="5">
        <f t="shared" si="293"/>
        <v>0</v>
      </c>
      <c r="AA3067" s="5">
        <f t="shared" si="294"/>
        <v>0</v>
      </c>
      <c r="AB3067" s="5">
        <f t="shared" si="295"/>
        <v>0</v>
      </c>
      <c r="AC3067" s="5"/>
      <c r="AD3067" s="5">
        <v>0</v>
      </c>
      <c r="AE3067" s="5">
        <f t="shared" si="296"/>
        <v>0</v>
      </c>
      <c r="AF3067" s="70">
        <v>0</v>
      </c>
      <c r="AG3067" s="17"/>
      <c r="AH3067" s="18"/>
      <c r="AI3067" s="47" t="s">
        <v>4346</v>
      </c>
      <c r="AJ3067" s="73" t="s">
        <v>4347</v>
      </c>
      <c r="AK3067" s="45"/>
      <c r="AL3067" s="89" t="s">
        <v>2798</v>
      </c>
      <c r="AM3067" s="195" t="s">
        <v>5420</v>
      </c>
      <c r="AN3067" s="19"/>
      <c r="AO3067" s="19"/>
      <c r="AP3067" s="19"/>
      <c r="AQ3067" s="19"/>
      <c r="AR3067" s="19"/>
      <c r="AS3067" s="19"/>
      <c r="AT3067" s="19"/>
      <c r="AU3067" s="19"/>
      <c r="AV3067" s="19"/>
      <c r="AW3067" s="19"/>
      <c r="AX3067" s="19"/>
      <c r="AY3067" s="19"/>
      <c r="AZ3067" s="19"/>
      <c r="BA3067" s="19"/>
      <c r="BB3067" s="19"/>
      <c r="BC3067" s="19"/>
      <c r="BD3067" s="19"/>
      <c r="BE3067" s="19"/>
      <c r="BF3067" s="19"/>
      <c r="BG3067" s="19"/>
      <c r="BH3067" s="19"/>
      <c r="BI3067" s="19"/>
      <c r="BJ3067" s="19"/>
      <c r="BK3067" s="19"/>
      <c r="BL3067" s="19"/>
      <c r="BM3067" s="19"/>
      <c r="BN3067" s="19"/>
      <c r="BO3067" s="19"/>
      <c r="BP3067" s="19"/>
      <c r="BQ3067" s="19"/>
      <c r="BR3067" s="19"/>
      <c r="BS3067" s="19"/>
      <c r="BT3067" s="19"/>
      <c r="BU3067" s="19"/>
      <c r="BV3067" s="19"/>
      <c r="BW3067" s="19"/>
      <c r="BX3067" s="19"/>
      <c r="BY3067" s="19"/>
      <c r="BZ3067" s="19"/>
      <c r="CA3067" s="19"/>
      <c r="CB3067" s="19"/>
      <c r="CC3067" s="19"/>
      <c r="CD3067" s="139"/>
      <c r="CE3067" s="138"/>
      <c r="CF3067" s="139"/>
      <c r="CG3067" s="138"/>
      <c r="CH3067" s="139"/>
      <c r="CI3067" s="138"/>
      <c r="CJ3067" s="72"/>
      <c r="CK3067" s="139"/>
      <c r="CL3067" s="71"/>
      <c r="CM3067" s="139"/>
      <c r="CN3067" s="138"/>
      <c r="CO3067" s="138"/>
      <c r="CP3067" s="138"/>
      <c r="CQ3067" s="139"/>
      <c r="CR3067" s="138"/>
      <c r="CS3067" s="45"/>
      <c r="CT3067" s="138"/>
      <c r="CU3067" s="45"/>
      <c r="CV3067" s="99">
        <f t="shared" si="297"/>
        <v>0</v>
      </c>
      <c r="CW3067" s="139"/>
      <c r="CX3067" s="138"/>
      <c r="CY3067" s="138"/>
      <c r="CZ3067" s="138"/>
      <c r="DA3067" s="139"/>
      <c r="DB3067" s="138"/>
      <c r="DC3067" s="45"/>
      <c r="DD3067" s="138"/>
      <c r="DE3067" s="45"/>
      <c r="DF3067" s="46"/>
    </row>
    <row r="3068" spans="1:110" s="42" customFormat="1" ht="24" x14ac:dyDescent="0.2">
      <c r="A3068" s="89">
        <v>40891</v>
      </c>
      <c r="B3068" s="196" t="s">
        <v>2225</v>
      </c>
      <c r="C3068" s="197" t="s">
        <v>2205</v>
      </c>
      <c r="D3068" s="197" t="s">
        <v>2362</v>
      </c>
      <c r="E3068" s="90" t="str">
        <f>VLOOKUP(B3068&amp;C3068,Divipola!$C$2:$F$1138,4,FALSE)</f>
        <v>27001</v>
      </c>
      <c r="F3068" s="4"/>
      <c r="G3068" s="194"/>
      <c r="H3068" s="194"/>
      <c r="I3068" s="194"/>
      <c r="J3068" s="194">
        <v>4</v>
      </c>
      <c r="K3068" s="194">
        <v>1</v>
      </c>
      <c r="L3068" s="194">
        <v>1</v>
      </c>
      <c r="M3068" s="194"/>
      <c r="N3068" s="194"/>
      <c r="O3068" s="194"/>
      <c r="P3068" s="194"/>
      <c r="Q3068" s="194"/>
      <c r="R3068" s="194"/>
      <c r="S3068" s="194"/>
      <c r="T3068" s="194"/>
      <c r="U3068" s="194"/>
      <c r="V3068" s="194"/>
      <c r="W3068" s="19"/>
      <c r="X3068" s="17"/>
      <c r="Y3068" s="5">
        <f t="shared" si="292"/>
        <v>0</v>
      </c>
      <c r="Z3068" s="5">
        <f t="shared" si="293"/>
        <v>0</v>
      </c>
      <c r="AA3068" s="5">
        <f t="shared" si="294"/>
        <v>0</v>
      </c>
      <c r="AB3068" s="5">
        <f t="shared" si="295"/>
        <v>0</v>
      </c>
      <c r="AC3068" s="5"/>
      <c r="AD3068" s="5">
        <v>0</v>
      </c>
      <c r="AE3068" s="5">
        <f t="shared" si="296"/>
        <v>0</v>
      </c>
      <c r="AF3068" s="70">
        <v>0</v>
      </c>
      <c r="AG3068" s="17"/>
      <c r="AH3068" s="18"/>
      <c r="AI3068" s="47" t="s">
        <v>4336</v>
      </c>
      <c r="AJ3068" s="73" t="s">
        <v>4337</v>
      </c>
      <c r="AK3068" s="45"/>
      <c r="AL3068" s="17"/>
      <c r="AM3068" s="195" t="s">
        <v>5422</v>
      </c>
      <c r="AN3068" s="19"/>
      <c r="AO3068" s="19"/>
      <c r="AP3068" s="19"/>
      <c r="AQ3068" s="19"/>
      <c r="AR3068" s="19"/>
      <c r="AS3068" s="19"/>
      <c r="AT3068" s="19"/>
      <c r="AU3068" s="19"/>
      <c r="AV3068" s="19"/>
      <c r="AW3068" s="19"/>
      <c r="AX3068" s="19"/>
      <c r="AY3068" s="19"/>
      <c r="AZ3068" s="19"/>
      <c r="BA3068" s="19"/>
      <c r="BB3068" s="19"/>
      <c r="BC3068" s="19"/>
      <c r="BD3068" s="19"/>
      <c r="BE3068" s="19"/>
      <c r="BF3068" s="19"/>
      <c r="BG3068" s="19"/>
      <c r="BH3068" s="19"/>
      <c r="BI3068" s="19"/>
      <c r="BJ3068" s="19"/>
      <c r="BK3068" s="19"/>
      <c r="BL3068" s="19"/>
      <c r="BM3068" s="19"/>
      <c r="BN3068" s="19"/>
      <c r="BO3068" s="19"/>
      <c r="BP3068" s="19"/>
      <c r="BQ3068" s="19"/>
      <c r="BR3068" s="19"/>
      <c r="BS3068" s="19"/>
      <c r="BT3068" s="19"/>
      <c r="BU3068" s="19"/>
      <c r="BV3068" s="19"/>
      <c r="BW3068" s="19"/>
      <c r="BX3068" s="19"/>
      <c r="BY3068" s="19"/>
      <c r="BZ3068" s="19"/>
      <c r="CA3068" s="19"/>
      <c r="CB3068" s="19"/>
      <c r="CC3068" s="19"/>
      <c r="CD3068" s="139"/>
      <c r="CE3068" s="138"/>
      <c r="CF3068" s="139"/>
      <c r="CG3068" s="138"/>
      <c r="CH3068" s="139"/>
      <c r="CI3068" s="138"/>
      <c r="CJ3068" s="72"/>
      <c r="CK3068" s="139"/>
      <c r="CL3068" s="71"/>
      <c r="CM3068" s="139"/>
      <c r="CN3068" s="138"/>
      <c r="CO3068" s="138"/>
      <c r="CP3068" s="138"/>
      <c r="CQ3068" s="139"/>
      <c r="CR3068" s="138"/>
      <c r="CS3068" s="45"/>
      <c r="CT3068" s="138"/>
      <c r="CU3068" s="45"/>
      <c r="CV3068" s="99">
        <f t="shared" si="297"/>
        <v>0</v>
      </c>
      <c r="CW3068" s="139"/>
      <c r="CX3068" s="138"/>
      <c r="CY3068" s="138"/>
      <c r="CZ3068" s="138"/>
      <c r="DA3068" s="139"/>
      <c r="DB3068" s="138"/>
      <c r="DC3068" s="45"/>
      <c r="DD3068" s="138"/>
      <c r="DE3068" s="45"/>
      <c r="DF3068" s="46"/>
    </row>
    <row r="3069" spans="1:110" s="42" customFormat="1" ht="96" x14ac:dyDescent="0.2">
      <c r="A3069" s="89">
        <v>40891</v>
      </c>
      <c r="B3069" s="196" t="s">
        <v>2225</v>
      </c>
      <c r="C3069" s="197" t="s">
        <v>2205</v>
      </c>
      <c r="D3069" s="197" t="s">
        <v>4264</v>
      </c>
      <c r="E3069" s="90" t="str">
        <f>VLOOKUP(B3069&amp;C3069,Divipola!$C$2:$F$1138,4,FALSE)</f>
        <v>27001</v>
      </c>
      <c r="F3069" s="4"/>
      <c r="G3069" s="194"/>
      <c r="H3069" s="194"/>
      <c r="I3069" s="194"/>
      <c r="J3069" s="194">
        <v>27346</v>
      </c>
      <c r="K3069" s="194">
        <v>6215</v>
      </c>
      <c r="L3069" s="194"/>
      <c r="M3069" s="194">
        <v>6215</v>
      </c>
      <c r="N3069" s="194"/>
      <c r="O3069" s="194"/>
      <c r="P3069" s="194"/>
      <c r="Q3069" s="194"/>
      <c r="R3069" s="194"/>
      <c r="S3069" s="194"/>
      <c r="T3069" s="194"/>
      <c r="U3069" s="194"/>
      <c r="V3069" s="194"/>
      <c r="W3069" s="19"/>
      <c r="X3069" s="17"/>
      <c r="Y3069" s="5">
        <f t="shared" si="292"/>
        <v>30680000</v>
      </c>
      <c r="Z3069" s="5">
        <f t="shared" si="293"/>
        <v>567575020</v>
      </c>
      <c r="AA3069" s="5">
        <f t="shared" si="294"/>
        <v>0</v>
      </c>
      <c r="AB3069" s="5">
        <f t="shared" si="295"/>
        <v>0</v>
      </c>
      <c r="AC3069" s="5"/>
      <c r="AD3069" s="5">
        <v>0</v>
      </c>
      <c r="AE3069" s="5">
        <f t="shared" si="296"/>
        <v>598255020</v>
      </c>
      <c r="AF3069" s="70">
        <v>0</v>
      </c>
      <c r="AG3069" s="17"/>
      <c r="AH3069" s="18"/>
      <c r="AI3069" s="47" t="s">
        <v>4346</v>
      </c>
      <c r="AJ3069" s="73" t="s">
        <v>4347</v>
      </c>
      <c r="AK3069" s="45"/>
      <c r="AL3069" s="17"/>
      <c r="AM3069" s="195" t="s">
        <v>5479</v>
      </c>
      <c r="AN3069" s="19"/>
      <c r="AO3069" s="19"/>
      <c r="AP3069" s="19"/>
      <c r="AQ3069" s="19"/>
      <c r="AR3069" s="19"/>
      <c r="AS3069" s="19"/>
      <c r="AT3069" s="19"/>
      <c r="AU3069" s="19"/>
      <c r="AV3069" s="19"/>
      <c r="AW3069" s="19"/>
      <c r="AX3069" s="19"/>
      <c r="AY3069" s="19"/>
      <c r="AZ3069" s="19"/>
      <c r="BA3069" s="19"/>
      <c r="BB3069" s="19"/>
      <c r="BC3069" s="19"/>
      <c r="BD3069" s="19"/>
      <c r="BE3069" s="19"/>
      <c r="BF3069" s="19"/>
      <c r="BG3069" s="19"/>
      <c r="BH3069" s="19"/>
      <c r="BI3069" s="19"/>
      <c r="BJ3069" s="19"/>
      <c r="BK3069" s="19"/>
      <c r="BL3069" s="19"/>
      <c r="BM3069" s="19"/>
      <c r="BN3069" s="19"/>
      <c r="BO3069" s="19"/>
      <c r="BP3069" s="19"/>
      <c r="BQ3069" s="19"/>
      <c r="BR3069" s="19"/>
      <c r="BS3069" s="19"/>
      <c r="BT3069" s="19"/>
      <c r="BU3069" s="19"/>
      <c r="BV3069" s="19"/>
      <c r="BW3069" s="19"/>
      <c r="BX3069" s="19"/>
      <c r="BY3069" s="19"/>
      <c r="BZ3069" s="19"/>
      <c r="CA3069" s="19"/>
      <c r="CB3069" s="19"/>
      <c r="CC3069" s="19"/>
      <c r="CD3069" s="139"/>
      <c r="CE3069" s="138"/>
      <c r="CF3069" s="139"/>
      <c r="CG3069" s="138"/>
      <c r="CH3069" s="139"/>
      <c r="CI3069" s="138"/>
      <c r="CJ3069" s="72"/>
      <c r="CK3069" s="139"/>
      <c r="CL3069" s="71"/>
      <c r="CM3069" s="139"/>
      <c r="CN3069" s="138"/>
      <c r="CO3069" s="138"/>
      <c r="CP3069" s="138">
        <v>400</v>
      </c>
      <c r="CQ3069" s="139">
        <f>400*37000</f>
        <v>14800000</v>
      </c>
      <c r="CR3069" s="138">
        <v>400</v>
      </c>
      <c r="CS3069" s="45">
        <f>400*39700</f>
        <v>15880000</v>
      </c>
      <c r="CT3069" s="138"/>
      <c r="CU3069" s="45"/>
      <c r="CV3069" s="99">
        <f t="shared" si="297"/>
        <v>30680000</v>
      </c>
      <c r="CW3069" s="139"/>
      <c r="CX3069" s="138"/>
      <c r="CY3069" s="138">
        <f>6225+400</f>
        <v>6625</v>
      </c>
      <c r="CZ3069" s="138">
        <f>2000*85000.01+400*85000+2000*85000+2225*87000</f>
        <v>567575020</v>
      </c>
      <c r="DA3069" s="139"/>
      <c r="DB3069" s="138"/>
      <c r="DC3069" s="45"/>
      <c r="DD3069" s="138"/>
      <c r="DE3069" s="45"/>
      <c r="DF3069" s="46"/>
    </row>
    <row r="3070" spans="1:110" s="42" customFormat="1" ht="48" x14ac:dyDescent="0.2">
      <c r="A3070" s="89">
        <v>40891</v>
      </c>
      <c r="B3070" s="196" t="s">
        <v>2225</v>
      </c>
      <c r="C3070" s="197" t="s">
        <v>1893</v>
      </c>
      <c r="D3070" s="197" t="s">
        <v>4264</v>
      </c>
      <c r="E3070" s="90" t="str">
        <f>VLOOKUP(B3070&amp;C3070,Divipola!$C$2:$F$1138,4,FALSE)</f>
        <v>27600</v>
      </c>
      <c r="F3070" s="4"/>
      <c r="G3070" s="194"/>
      <c r="H3070" s="194"/>
      <c r="I3070" s="194"/>
      <c r="J3070" s="194">
        <v>6527</v>
      </c>
      <c r="K3070" s="194">
        <v>1419</v>
      </c>
      <c r="L3070" s="194"/>
      <c r="M3070" s="194">
        <v>1419</v>
      </c>
      <c r="N3070" s="194"/>
      <c r="O3070" s="194"/>
      <c r="P3070" s="194"/>
      <c r="Q3070" s="194"/>
      <c r="R3070" s="194"/>
      <c r="S3070" s="194"/>
      <c r="T3070" s="194"/>
      <c r="U3070" s="194"/>
      <c r="V3070" s="194"/>
      <c r="W3070" s="19"/>
      <c r="X3070" s="17"/>
      <c r="Y3070" s="5">
        <f t="shared" si="292"/>
        <v>0</v>
      </c>
      <c r="Z3070" s="5">
        <f t="shared" si="293"/>
        <v>130500000</v>
      </c>
      <c r="AA3070" s="5">
        <f t="shared" si="294"/>
        <v>0</v>
      </c>
      <c r="AB3070" s="5">
        <f t="shared" si="295"/>
        <v>0</v>
      </c>
      <c r="AC3070" s="5"/>
      <c r="AD3070" s="5">
        <v>0</v>
      </c>
      <c r="AE3070" s="5">
        <f t="shared" si="296"/>
        <v>130500000</v>
      </c>
      <c r="AF3070" s="70">
        <v>0</v>
      </c>
      <c r="AG3070" s="17"/>
      <c r="AH3070" s="18"/>
      <c r="AI3070" s="47" t="s">
        <v>4346</v>
      </c>
      <c r="AJ3070" s="73" t="s">
        <v>4347</v>
      </c>
      <c r="AK3070" s="45"/>
      <c r="AL3070" s="17"/>
      <c r="AM3070" s="195" t="s">
        <v>5429</v>
      </c>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39"/>
      <c r="CE3070" s="138"/>
      <c r="CF3070" s="139"/>
      <c r="CG3070" s="138"/>
      <c r="CH3070" s="139"/>
      <c r="CI3070" s="138"/>
      <c r="CJ3070" s="72"/>
      <c r="CK3070" s="139"/>
      <c r="CL3070" s="71"/>
      <c r="CM3070" s="139"/>
      <c r="CN3070" s="138"/>
      <c r="CO3070" s="138"/>
      <c r="CP3070" s="138"/>
      <c r="CQ3070" s="139"/>
      <c r="CR3070" s="138"/>
      <c r="CS3070" s="45"/>
      <c r="CT3070" s="138"/>
      <c r="CU3070" s="45"/>
      <c r="CV3070" s="99">
        <f t="shared" si="297"/>
        <v>0</v>
      </c>
      <c r="CW3070" s="139"/>
      <c r="CX3070" s="138"/>
      <c r="CY3070" s="138">
        <v>1500</v>
      </c>
      <c r="CZ3070" s="138">
        <f>1500*87000</f>
        <v>130500000</v>
      </c>
      <c r="DA3070" s="139"/>
      <c r="DB3070" s="138"/>
      <c r="DC3070" s="45"/>
      <c r="DD3070" s="138"/>
      <c r="DE3070" s="45"/>
      <c r="DF3070" s="46"/>
    </row>
    <row r="3071" spans="1:110" s="42" customFormat="1" ht="84" x14ac:dyDescent="0.2">
      <c r="A3071" s="89">
        <v>40891</v>
      </c>
      <c r="B3071" s="196" t="s">
        <v>2225</v>
      </c>
      <c r="C3071" s="197" t="s">
        <v>1882</v>
      </c>
      <c r="D3071" s="197" t="s">
        <v>4264</v>
      </c>
      <c r="E3071" s="90" t="str">
        <f>VLOOKUP(B3071&amp;C3071,Divipola!$C$2:$F$1138,4,FALSE)</f>
        <v>27425</v>
      </c>
      <c r="F3071" s="4"/>
      <c r="G3071" s="194"/>
      <c r="H3071" s="194"/>
      <c r="I3071" s="194"/>
      <c r="J3071" s="194">
        <v>4395</v>
      </c>
      <c r="K3071" s="194">
        <v>1870</v>
      </c>
      <c r="L3071" s="194">
        <v>6</v>
      </c>
      <c r="M3071" s="194">
        <v>1137</v>
      </c>
      <c r="N3071" s="194"/>
      <c r="O3071" s="194"/>
      <c r="P3071" s="194"/>
      <c r="Q3071" s="194"/>
      <c r="R3071" s="194"/>
      <c r="S3071" s="194"/>
      <c r="T3071" s="194"/>
      <c r="U3071" s="194"/>
      <c r="V3071" s="194"/>
      <c r="W3071" s="19"/>
      <c r="X3071" s="17"/>
      <c r="Y3071" s="5">
        <f t="shared" si="292"/>
        <v>0</v>
      </c>
      <c r="Z3071" s="5">
        <f t="shared" si="293"/>
        <v>174000000</v>
      </c>
      <c r="AA3071" s="5">
        <f t="shared" si="294"/>
        <v>0</v>
      </c>
      <c r="AB3071" s="5">
        <f t="shared" si="295"/>
        <v>0</v>
      </c>
      <c r="AC3071" s="5"/>
      <c r="AD3071" s="5">
        <v>0</v>
      </c>
      <c r="AE3071" s="5">
        <f t="shared" si="296"/>
        <v>174000000</v>
      </c>
      <c r="AF3071" s="70">
        <v>0</v>
      </c>
      <c r="AG3071" s="17"/>
      <c r="AH3071" s="18"/>
      <c r="AI3071" s="47" t="s">
        <v>4346</v>
      </c>
      <c r="AJ3071" s="73" t="s">
        <v>4347</v>
      </c>
      <c r="AK3071" s="45"/>
      <c r="AL3071" s="17"/>
      <c r="AM3071" s="195" t="s">
        <v>5561</v>
      </c>
      <c r="AN3071" s="19"/>
      <c r="AO3071" s="19"/>
      <c r="AP3071" s="19"/>
      <c r="AQ3071" s="19"/>
      <c r="AR3071" s="19"/>
      <c r="AS3071" s="19"/>
      <c r="AT3071" s="19"/>
      <c r="AU3071" s="19"/>
      <c r="AV3071" s="19"/>
      <c r="AW3071" s="19"/>
      <c r="AX3071" s="19"/>
      <c r="AY3071" s="19"/>
      <c r="AZ3071" s="19"/>
      <c r="BA3071" s="19"/>
      <c r="BB3071" s="19"/>
      <c r="BC3071" s="19"/>
      <c r="BD3071" s="19"/>
      <c r="BE3071" s="19"/>
      <c r="BF3071" s="19"/>
      <c r="BG3071" s="19"/>
      <c r="BH3071" s="19"/>
      <c r="BI3071" s="19"/>
      <c r="BJ3071" s="19"/>
      <c r="BK3071" s="19"/>
      <c r="BL3071" s="19"/>
      <c r="BM3071" s="19"/>
      <c r="BN3071" s="19"/>
      <c r="BO3071" s="19"/>
      <c r="BP3071" s="19"/>
      <c r="BQ3071" s="19"/>
      <c r="BR3071" s="19"/>
      <c r="BS3071" s="19"/>
      <c r="BT3071" s="19"/>
      <c r="BU3071" s="19"/>
      <c r="BV3071" s="19"/>
      <c r="BW3071" s="19"/>
      <c r="BX3071" s="19"/>
      <c r="BY3071" s="19"/>
      <c r="BZ3071" s="19"/>
      <c r="CA3071" s="19"/>
      <c r="CB3071" s="19"/>
      <c r="CC3071" s="19"/>
      <c r="CD3071" s="139"/>
      <c r="CE3071" s="138"/>
      <c r="CF3071" s="139"/>
      <c r="CG3071" s="138"/>
      <c r="CH3071" s="139"/>
      <c r="CI3071" s="138"/>
      <c r="CJ3071" s="72"/>
      <c r="CK3071" s="139"/>
      <c r="CL3071" s="71"/>
      <c r="CM3071" s="139"/>
      <c r="CN3071" s="138"/>
      <c r="CO3071" s="138"/>
      <c r="CP3071" s="138"/>
      <c r="CQ3071" s="139"/>
      <c r="CR3071" s="138"/>
      <c r="CS3071" s="45"/>
      <c r="CT3071" s="138"/>
      <c r="CU3071" s="45"/>
      <c r="CV3071" s="99">
        <f t="shared" si="297"/>
        <v>0</v>
      </c>
      <c r="CW3071" s="139"/>
      <c r="CX3071" s="138"/>
      <c r="CY3071" s="138">
        <v>2000</v>
      </c>
      <c r="CZ3071" s="138">
        <f>2000*87000</f>
        <v>174000000</v>
      </c>
      <c r="DA3071" s="139"/>
      <c r="DB3071" s="138"/>
      <c r="DC3071" s="45"/>
      <c r="DD3071" s="138"/>
      <c r="DE3071" s="45"/>
      <c r="DF3071" s="46"/>
    </row>
    <row r="3072" spans="1:110" s="42" customFormat="1" ht="84" x14ac:dyDescent="0.2">
      <c r="A3072" s="89">
        <v>40891</v>
      </c>
      <c r="B3072" s="196" t="s">
        <v>2225</v>
      </c>
      <c r="C3072" s="197" t="s">
        <v>1866</v>
      </c>
      <c r="D3072" s="197" t="s">
        <v>4264</v>
      </c>
      <c r="E3072" s="90" t="str">
        <f>VLOOKUP(B3072&amp;C3072,Divipola!$C$2:$F$1138,4,FALSE)</f>
        <v>27099</v>
      </c>
      <c r="F3072" s="4"/>
      <c r="G3072" s="194"/>
      <c r="H3072" s="194"/>
      <c r="I3072" s="194"/>
      <c r="J3072" s="194">
        <v>10080</v>
      </c>
      <c r="K3072" s="194">
        <v>2614</v>
      </c>
      <c r="L3072" s="194"/>
      <c r="M3072" s="194">
        <v>850</v>
      </c>
      <c r="N3072" s="194"/>
      <c r="O3072" s="194"/>
      <c r="P3072" s="194"/>
      <c r="Q3072" s="194"/>
      <c r="R3072" s="194"/>
      <c r="S3072" s="194"/>
      <c r="T3072" s="194"/>
      <c r="U3072" s="194"/>
      <c r="V3072" s="194"/>
      <c r="W3072" s="19"/>
      <c r="X3072" s="17"/>
      <c r="Y3072" s="5">
        <f t="shared" si="292"/>
        <v>0</v>
      </c>
      <c r="Z3072" s="5">
        <f t="shared" si="293"/>
        <v>227940000</v>
      </c>
      <c r="AA3072" s="5">
        <f t="shared" si="294"/>
        <v>0</v>
      </c>
      <c r="AB3072" s="5">
        <f t="shared" si="295"/>
        <v>0</v>
      </c>
      <c r="AC3072" s="5"/>
      <c r="AD3072" s="5">
        <v>0</v>
      </c>
      <c r="AE3072" s="5">
        <f t="shared" si="296"/>
        <v>227940000</v>
      </c>
      <c r="AF3072" s="70">
        <v>0</v>
      </c>
      <c r="AG3072" s="17"/>
      <c r="AH3072" s="18"/>
      <c r="AI3072" s="47" t="s">
        <v>4346</v>
      </c>
      <c r="AJ3072" s="73" t="s">
        <v>4347</v>
      </c>
      <c r="AK3072" s="45"/>
      <c r="AL3072" s="17"/>
      <c r="AM3072" s="195" t="s">
        <v>5528</v>
      </c>
      <c r="AN3072" s="19"/>
      <c r="AO3072" s="19"/>
      <c r="AP3072" s="19"/>
      <c r="AQ3072" s="19"/>
      <c r="AR3072" s="19"/>
      <c r="AS3072" s="19"/>
      <c r="AT3072" s="19"/>
      <c r="AU3072" s="19"/>
      <c r="AV3072" s="19"/>
      <c r="AW3072" s="19"/>
      <c r="AX3072" s="19"/>
      <c r="AY3072" s="19"/>
      <c r="AZ3072" s="19"/>
      <c r="BA3072" s="19"/>
      <c r="BB3072" s="19"/>
      <c r="BC3072" s="19"/>
      <c r="BD3072" s="19"/>
      <c r="BE3072" s="19"/>
      <c r="BF3072" s="19"/>
      <c r="BG3072" s="19"/>
      <c r="BH3072" s="19"/>
      <c r="BI3072" s="19"/>
      <c r="BJ3072" s="19"/>
      <c r="BK3072" s="19"/>
      <c r="BL3072" s="19"/>
      <c r="BM3072" s="19"/>
      <c r="BN3072" s="19"/>
      <c r="BO3072" s="19"/>
      <c r="BP3072" s="19"/>
      <c r="BQ3072" s="19"/>
      <c r="BR3072" s="19"/>
      <c r="BS3072" s="19"/>
      <c r="BT3072" s="19"/>
      <c r="BU3072" s="19"/>
      <c r="BV3072" s="19"/>
      <c r="BW3072" s="19"/>
      <c r="BX3072" s="19"/>
      <c r="BY3072" s="19"/>
      <c r="BZ3072" s="19"/>
      <c r="CA3072" s="19"/>
      <c r="CB3072" s="19"/>
      <c r="CC3072" s="19"/>
      <c r="CD3072" s="139"/>
      <c r="CE3072" s="138"/>
      <c r="CF3072" s="139"/>
      <c r="CG3072" s="138"/>
      <c r="CH3072" s="139"/>
      <c r="CI3072" s="138"/>
      <c r="CJ3072" s="72"/>
      <c r="CK3072" s="139"/>
      <c r="CL3072" s="71"/>
      <c r="CM3072" s="139"/>
      <c r="CN3072" s="138"/>
      <c r="CO3072" s="138"/>
      <c r="CP3072" s="138"/>
      <c r="CQ3072" s="139"/>
      <c r="CR3072" s="138"/>
      <c r="CS3072" s="45"/>
      <c r="CT3072" s="138"/>
      <c r="CU3072" s="45"/>
      <c r="CV3072" s="99">
        <f t="shared" si="297"/>
        <v>0</v>
      </c>
      <c r="CW3072" s="139"/>
      <c r="CX3072" s="138"/>
      <c r="CY3072" s="138">
        <v>2620</v>
      </c>
      <c r="CZ3072" s="138">
        <f>2620*87000</f>
        <v>227940000</v>
      </c>
      <c r="DA3072" s="139"/>
      <c r="DB3072" s="138"/>
      <c r="DC3072" s="45"/>
      <c r="DD3072" s="138"/>
      <c r="DE3072" s="45"/>
      <c r="DF3072" s="46"/>
    </row>
    <row r="3073" spans="1:110" s="42" customFormat="1" ht="22.5" x14ac:dyDescent="0.2">
      <c r="A3073" s="89">
        <v>40891</v>
      </c>
      <c r="B3073" s="151" t="s">
        <v>4244</v>
      </c>
      <c r="C3073" s="90" t="s">
        <v>4345</v>
      </c>
      <c r="D3073" s="90" t="s">
        <v>4264</v>
      </c>
      <c r="E3073" s="90">
        <f>VLOOKUP(B3073&amp;C3073,Divipola!$C$2:$F$1138,4,FALSE)</f>
        <v>76</v>
      </c>
      <c r="F3073" s="4"/>
      <c r="G3073" s="208"/>
      <c r="H3073" s="208"/>
      <c r="I3073" s="208"/>
      <c r="J3073" s="208"/>
      <c r="K3073" s="208"/>
      <c r="L3073" s="208"/>
      <c r="M3073" s="208"/>
      <c r="N3073" s="208"/>
      <c r="O3073" s="208"/>
      <c r="P3073" s="208"/>
      <c r="Q3073" s="208"/>
      <c r="R3073" s="208"/>
      <c r="S3073" s="208"/>
      <c r="T3073" s="208"/>
      <c r="U3073" s="208"/>
      <c r="V3073" s="208"/>
      <c r="W3073" s="19"/>
      <c r="X3073" s="17"/>
      <c r="Y3073" s="5">
        <f t="shared" ref="Y3073:Y3136" si="298">CV3073</f>
        <v>530798400</v>
      </c>
      <c r="Z3073" s="5">
        <f t="shared" ref="Z3073:Z3136" si="299">CZ3073</f>
        <v>340000000</v>
      </c>
      <c r="AA3073" s="5">
        <f t="shared" ref="AA3073:AA3136" si="300">DB3073+DD3073</f>
        <v>0</v>
      </c>
      <c r="AB3073" s="5">
        <f t="shared" ref="AB3073:AB3136" si="301">CX3073</f>
        <v>9106000</v>
      </c>
      <c r="AC3073" s="5"/>
      <c r="AD3073" s="5">
        <v>0</v>
      </c>
      <c r="AE3073" s="5">
        <f t="shared" ref="AE3073:AE3136" si="302">Y3073+Z3073+AA3073+AB3073+AC3073+AD3073</f>
        <v>879904400</v>
      </c>
      <c r="AF3073" s="70">
        <v>0</v>
      </c>
      <c r="AG3073" s="17"/>
      <c r="AH3073" s="18"/>
      <c r="AI3073" s="47" t="s">
        <v>4346</v>
      </c>
      <c r="AJ3073" s="73" t="s">
        <v>4347</v>
      </c>
      <c r="AK3073" s="45"/>
      <c r="AL3073" s="17"/>
      <c r="AM3073" s="20"/>
      <c r="AN3073" s="19"/>
      <c r="AO3073" s="19"/>
      <c r="AP3073" s="19"/>
      <c r="AQ3073" s="19"/>
      <c r="AR3073" s="19"/>
      <c r="AS3073" s="19"/>
      <c r="AT3073" s="19"/>
      <c r="AU3073" s="19"/>
      <c r="AV3073" s="19"/>
      <c r="AW3073" s="19"/>
      <c r="AX3073" s="19"/>
      <c r="AY3073" s="19"/>
      <c r="AZ3073" s="19">
        <v>4000</v>
      </c>
      <c r="BA3073" s="19">
        <f>1120*56000+1950*56000+930*56000</f>
        <v>224000000</v>
      </c>
      <c r="BB3073" s="19"/>
      <c r="BC3073" s="19"/>
      <c r="BD3073" s="19"/>
      <c r="BE3073" s="19"/>
      <c r="BF3073" s="19"/>
      <c r="BG3073" s="19"/>
      <c r="BH3073" s="19"/>
      <c r="BI3073" s="19"/>
      <c r="BJ3073" s="19"/>
      <c r="BK3073" s="19"/>
      <c r="BL3073" s="19"/>
      <c r="BM3073" s="19"/>
      <c r="BN3073" s="19"/>
      <c r="BO3073" s="19"/>
      <c r="BP3073" s="19"/>
      <c r="BQ3073" s="19"/>
      <c r="BR3073" s="19"/>
      <c r="BS3073" s="19"/>
      <c r="BT3073" s="19"/>
      <c r="BU3073" s="19"/>
      <c r="BV3073" s="19"/>
      <c r="BW3073" s="19"/>
      <c r="BX3073" s="19"/>
      <c r="BY3073" s="19"/>
      <c r="BZ3073" s="19"/>
      <c r="CA3073" s="19"/>
      <c r="CB3073" s="19"/>
      <c r="CC3073" s="19"/>
      <c r="CD3073" s="139"/>
      <c r="CE3073" s="138"/>
      <c r="CF3073" s="139"/>
      <c r="CG3073" s="138"/>
      <c r="CH3073" s="139"/>
      <c r="CI3073" s="138"/>
      <c r="CJ3073" s="72"/>
      <c r="CK3073" s="139"/>
      <c r="CL3073" s="71"/>
      <c r="CM3073" s="139"/>
      <c r="CN3073" s="138"/>
      <c r="CO3073" s="138"/>
      <c r="CP3073" s="138">
        <v>4000</v>
      </c>
      <c r="CQ3073" s="139">
        <f>1000*37000+2000*36999.36+1000*37000</f>
        <v>147998720</v>
      </c>
      <c r="CR3073" s="138">
        <v>4000</v>
      </c>
      <c r="CS3073" s="45">
        <f>2000*39699.84+2000*39700</f>
        <v>158799680</v>
      </c>
      <c r="CT3073" s="138"/>
      <c r="CU3073" s="45"/>
      <c r="CV3073" s="99">
        <f t="shared" si="297"/>
        <v>530798400</v>
      </c>
      <c r="CW3073" s="139">
        <v>10000</v>
      </c>
      <c r="CX3073" s="138">
        <f>10000*910.6</f>
        <v>9106000</v>
      </c>
      <c r="CY3073" s="138">
        <v>4000</v>
      </c>
      <c r="CZ3073" s="138">
        <f>1000*85000+2000*85000+1000*85000</f>
        <v>340000000</v>
      </c>
      <c r="DA3073" s="139"/>
      <c r="DB3073" s="138"/>
      <c r="DC3073" s="45"/>
      <c r="DD3073" s="138"/>
      <c r="DE3073" s="45"/>
      <c r="DF3073" s="46"/>
    </row>
    <row r="3074" spans="1:110" s="42" customFormat="1" ht="36" x14ac:dyDescent="0.2">
      <c r="A3074" s="89">
        <v>40891</v>
      </c>
      <c r="B3074" s="16" t="s">
        <v>2204</v>
      </c>
      <c r="C3074" s="16" t="s">
        <v>3045</v>
      </c>
      <c r="D3074" s="16" t="s">
        <v>4264</v>
      </c>
      <c r="E3074" s="90" t="str">
        <f>VLOOKUP(B3074&amp;C3074,Divipola!$C$2:$F$1138,4,FALSE)</f>
        <v>70473</v>
      </c>
      <c r="F3074" s="4"/>
      <c r="G3074" s="208"/>
      <c r="H3074" s="208"/>
      <c r="I3074" s="208"/>
      <c r="J3074" s="208">
        <v>560</v>
      </c>
      <c r="K3074" s="208">
        <v>110</v>
      </c>
      <c r="L3074" s="208">
        <v>1</v>
      </c>
      <c r="M3074" s="208">
        <v>44</v>
      </c>
      <c r="N3074" s="208">
        <v>2</v>
      </c>
      <c r="O3074" s="208"/>
      <c r="P3074" s="208"/>
      <c r="Q3074" s="208"/>
      <c r="R3074" s="208"/>
      <c r="S3074" s="208"/>
      <c r="T3074" s="208"/>
      <c r="U3074" s="208"/>
      <c r="V3074" s="208"/>
      <c r="W3074" s="19"/>
      <c r="X3074" s="17"/>
      <c r="Y3074" s="5">
        <f t="shared" si="298"/>
        <v>0</v>
      </c>
      <c r="Z3074" s="5">
        <f t="shared" si="299"/>
        <v>0</v>
      </c>
      <c r="AA3074" s="5">
        <f t="shared" si="300"/>
        <v>0</v>
      </c>
      <c r="AB3074" s="5">
        <f t="shared" si="301"/>
        <v>0</v>
      </c>
      <c r="AC3074" s="5"/>
      <c r="AD3074" s="5">
        <v>0</v>
      </c>
      <c r="AE3074" s="5">
        <f t="shared" si="302"/>
        <v>0</v>
      </c>
      <c r="AF3074" s="70">
        <v>0</v>
      </c>
      <c r="AG3074" s="17"/>
      <c r="AH3074" s="18"/>
      <c r="AI3074" s="47" t="s">
        <v>4336</v>
      </c>
      <c r="AJ3074" s="73" t="s">
        <v>4337</v>
      </c>
      <c r="AK3074" s="45"/>
      <c r="AL3074" s="17"/>
      <c r="AM3074" s="20" t="s">
        <v>5474</v>
      </c>
      <c r="AN3074" s="19"/>
      <c r="AO3074" s="19"/>
      <c r="AP3074" s="19"/>
      <c r="AQ3074" s="19"/>
      <c r="AR3074" s="19"/>
      <c r="AS3074" s="19"/>
      <c r="AT3074" s="19"/>
      <c r="AU3074" s="19"/>
      <c r="AV3074" s="19"/>
      <c r="AW3074" s="19"/>
      <c r="AX3074" s="19"/>
      <c r="AY3074" s="19"/>
      <c r="AZ3074" s="19"/>
      <c r="BA3074" s="19"/>
      <c r="BB3074" s="19"/>
      <c r="BC3074" s="19"/>
      <c r="BD3074" s="19"/>
      <c r="BE3074" s="19"/>
      <c r="BF3074" s="19"/>
      <c r="BG3074" s="19"/>
      <c r="BH3074" s="19"/>
      <c r="BI3074" s="19"/>
      <c r="BJ3074" s="19"/>
      <c r="BK3074" s="19"/>
      <c r="BL3074" s="19"/>
      <c r="BM3074" s="19"/>
      <c r="BN3074" s="19"/>
      <c r="BO3074" s="19"/>
      <c r="BP3074" s="19"/>
      <c r="BQ3074" s="19"/>
      <c r="BR3074" s="19"/>
      <c r="BS3074" s="19"/>
      <c r="BT3074" s="19"/>
      <c r="BU3074" s="19"/>
      <c r="BV3074" s="19"/>
      <c r="BW3074" s="19"/>
      <c r="BX3074" s="19"/>
      <c r="BY3074" s="19"/>
      <c r="BZ3074" s="19"/>
      <c r="CA3074" s="19"/>
      <c r="CB3074" s="19"/>
      <c r="CC3074" s="19"/>
      <c r="CD3074" s="139"/>
      <c r="CE3074" s="138"/>
      <c r="CF3074" s="139"/>
      <c r="CG3074" s="138"/>
      <c r="CH3074" s="139"/>
      <c r="CI3074" s="138"/>
      <c r="CJ3074" s="72"/>
      <c r="CK3074" s="139"/>
      <c r="CL3074" s="71"/>
      <c r="CM3074" s="139"/>
      <c r="CN3074" s="138"/>
      <c r="CO3074" s="138"/>
      <c r="CP3074" s="138"/>
      <c r="CQ3074" s="139"/>
      <c r="CR3074" s="138"/>
      <c r="CS3074" s="45"/>
      <c r="CT3074" s="138"/>
      <c r="CU3074" s="45"/>
      <c r="CV3074" s="99">
        <f t="shared" ref="CV3074:CV3137" si="303">AO3074+AQ3074+AS3074+AU3074+AW3074+AY3074+BA3074+BC3074+BE3074+BG3074+BI3074+BK3074+BM3074+BO3074+BQ3074+BS3074+BU3074+BW3074+BY3074+CA3074+CC3074+CE3074+CG3074+CI3074+CK3074+CM3074+CO3074+CQ3074+CS3074+CU3074</f>
        <v>0</v>
      </c>
      <c r="CW3074" s="139"/>
      <c r="CX3074" s="138"/>
      <c r="CY3074" s="138"/>
      <c r="CZ3074" s="138"/>
      <c r="DA3074" s="139"/>
      <c r="DB3074" s="138"/>
      <c r="DC3074" s="45"/>
      <c r="DD3074" s="138"/>
      <c r="DE3074" s="45"/>
      <c r="DF3074" s="46"/>
    </row>
    <row r="3075" spans="1:110" s="42" customFormat="1" ht="36" x14ac:dyDescent="0.2">
      <c r="A3075" s="89">
        <v>40891</v>
      </c>
      <c r="B3075" s="16" t="s">
        <v>2204</v>
      </c>
      <c r="C3075" s="16" t="s">
        <v>3045</v>
      </c>
      <c r="D3075" s="16" t="s">
        <v>4264</v>
      </c>
      <c r="E3075" s="90" t="str">
        <f>VLOOKUP(B3075&amp;C3075,Divipola!$C$2:$F$1138,4,FALSE)</f>
        <v>70473</v>
      </c>
      <c r="F3075" s="4"/>
      <c r="G3075" s="208"/>
      <c r="H3075" s="208"/>
      <c r="I3075" s="208"/>
      <c r="J3075" s="208">
        <v>100</v>
      </c>
      <c r="K3075" s="208">
        <v>20</v>
      </c>
      <c r="L3075" s="208"/>
      <c r="M3075" s="208"/>
      <c r="N3075" s="208"/>
      <c r="O3075" s="208"/>
      <c r="P3075" s="208"/>
      <c r="Q3075" s="208"/>
      <c r="R3075" s="208"/>
      <c r="S3075" s="208"/>
      <c r="T3075" s="208"/>
      <c r="U3075" s="208"/>
      <c r="V3075" s="208"/>
      <c r="W3075" s="19"/>
      <c r="X3075" s="17"/>
      <c r="Y3075" s="5">
        <f t="shared" si="298"/>
        <v>0</v>
      </c>
      <c r="Z3075" s="5">
        <f t="shared" si="299"/>
        <v>0</v>
      </c>
      <c r="AA3075" s="5">
        <f t="shared" si="300"/>
        <v>0</v>
      </c>
      <c r="AB3075" s="5">
        <f t="shared" si="301"/>
        <v>0</v>
      </c>
      <c r="AC3075" s="5"/>
      <c r="AD3075" s="5">
        <v>0</v>
      </c>
      <c r="AE3075" s="5">
        <f t="shared" si="302"/>
        <v>0</v>
      </c>
      <c r="AF3075" s="70">
        <v>0</v>
      </c>
      <c r="AG3075" s="17"/>
      <c r="AH3075" s="18"/>
      <c r="AI3075" s="47" t="s">
        <v>4336</v>
      </c>
      <c r="AJ3075" s="73" t="s">
        <v>4337</v>
      </c>
      <c r="AK3075" s="45"/>
      <c r="AL3075" s="17"/>
      <c r="AM3075" s="20" t="s">
        <v>5475</v>
      </c>
      <c r="AN3075" s="19"/>
      <c r="AO3075" s="19"/>
      <c r="AP3075" s="19"/>
      <c r="AQ3075" s="19"/>
      <c r="AR3075" s="19"/>
      <c r="AS3075" s="19"/>
      <c r="AT3075" s="19"/>
      <c r="AU3075" s="19"/>
      <c r="AV3075" s="19"/>
      <c r="AW3075" s="19"/>
      <c r="AX3075" s="19"/>
      <c r="AY3075" s="19"/>
      <c r="AZ3075" s="19"/>
      <c r="BA3075" s="19"/>
      <c r="BB3075" s="19"/>
      <c r="BC3075" s="19"/>
      <c r="BD3075" s="19"/>
      <c r="BE3075" s="19"/>
      <c r="BF3075" s="19"/>
      <c r="BG3075" s="19"/>
      <c r="BH3075" s="19"/>
      <c r="BI3075" s="19"/>
      <c r="BJ3075" s="19"/>
      <c r="BK3075" s="19"/>
      <c r="BL3075" s="19"/>
      <c r="BM3075" s="19"/>
      <c r="BN3075" s="19"/>
      <c r="BO3075" s="19"/>
      <c r="BP3075" s="19"/>
      <c r="BQ3075" s="19"/>
      <c r="BR3075" s="19"/>
      <c r="BS3075" s="19"/>
      <c r="BT3075" s="19"/>
      <c r="BU3075" s="19"/>
      <c r="BV3075" s="19"/>
      <c r="BW3075" s="19"/>
      <c r="BX3075" s="19"/>
      <c r="BY3075" s="19"/>
      <c r="BZ3075" s="19"/>
      <c r="CA3075" s="19"/>
      <c r="CB3075" s="19"/>
      <c r="CC3075" s="19"/>
      <c r="CD3075" s="139"/>
      <c r="CE3075" s="138"/>
      <c r="CF3075" s="139"/>
      <c r="CG3075" s="138"/>
      <c r="CH3075" s="139"/>
      <c r="CI3075" s="138"/>
      <c r="CJ3075" s="72"/>
      <c r="CK3075" s="139"/>
      <c r="CL3075" s="71"/>
      <c r="CM3075" s="139"/>
      <c r="CN3075" s="138"/>
      <c r="CO3075" s="138"/>
      <c r="CP3075" s="138"/>
      <c r="CQ3075" s="139"/>
      <c r="CR3075" s="138"/>
      <c r="CS3075" s="45"/>
      <c r="CT3075" s="138"/>
      <c r="CU3075" s="45"/>
      <c r="CV3075" s="99">
        <f t="shared" si="303"/>
        <v>0</v>
      </c>
      <c r="CW3075" s="139"/>
      <c r="CX3075" s="138"/>
      <c r="CY3075" s="138"/>
      <c r="CZ3075" s="138"/>
      <c r="DA3075" s="139"/>
      <c r="DB3075" s="138"/>
      <c r="DC3075" s="45"/>
      <c r="DD3075" s="138"/>
      <c r="DE3075" s="45"/>
      <c r="DF3075" s="46"/>
    </row>
    <row r="3076" spans="1:110" s="42" customFormat="1" ht="156" x14ac:dyDescent="0.2">
      <c r="A3076" s="89">
        <v>40891</v>
      </c>
      <c r="B3076" s="151" t="s">
        <v>4352</v>
      </c>
      <c r="C3076" s="90" t="s">
        <v>4282</v>
      </c>
      <c r="D3076" s="90" t="s">
        <v>4264</v>
      </c>
      <c r="E3076" s="90" t="str">
        <f>VLOOKUP(B3076&amp;C3076,Divipola!$C$2:$F$1138,4,FALSE)</f>
        <v>13212</v>
      </c>
      <c r="F3076" s="4"/>
      <c r="G3076" s="208"/>
      <c r="H3076" s="208"/>
      <c r="I3076" s="208"/>
      <c r="J3076" s="208">
        <v>4672</v>
      </c>
      <c r="K3076" s="208">
        <v>1433</v>
      </c>
      <c r="L3076" s="208"/>
      <c r="M3076" s="208"/>
      <c r="N3076" s="208"/>
      <c r="O3076" s="208"/>
      <c r="P3076" s="208"/>
      <c r="Q3076" s="208"/>
      <c r="R3076" s="208"/>
      <c r="S3076" s="208"/>
      <c r="T3076" s="208"/>
      <c r="U3076" s="208"/>
      <c r="V3076" s="208"/>
      <c r="W3076" s="19"/>
      <c r="X3076" s="17"/>
      <c r="Y3076" s="5">
        <f t="shared" si="298"/>
        <v>0</v>
      </c>
      <c r="Z3076" s="5">
        <f t="shared" si="299"/>
        <v>119680000</v>
      </c>
      <c r="AA3076" s="5">
        <f t="shared" si="300"/>
        <v>0</v>
      </c>
      <c r="AB3076" s="5">
        <f t="shared" si="301"/>
        <v>0</v>
      </c>
      <c r="AC3076" s="5"/>
      <c r="AD3076" s="5">
        <v>15000000</v>
      </c>
      <c r="AE3076" s="5">
        <f t="shared" si="302"/>
        <v>134680000</v>
      </c>
      <c r="AF3076" s="70">
        <v>0</v>
      </c>
      <c r="AG3076" s="17"/>
      <c r="AH3076" s="18"/>
      <c r="AI3076" s="47" t="s">
        <v>4346</v>
      </c>
      <c r="AJ3076" s="73" t="s">
        <v>4347</v>
      </c>
      <c r="AK3076" s="45"/>
      <c r="AL3076" s="17"/>
      <c r="AM3076" s="20" t="s">
        <v>5545</v>
      </c>
      <c r="AN3076" s="19"/>
      <c r="AO3076" s="19"/>
      <c r="AP3076" s="19"/>
      <c r="AQ3076" s="19"/>
      <c r="AR3076" s="19"/>
      <c r="AS3076" s="19"/>
      <c r="AT3076" s="19"/>
      <c r="AU3076" s="19"/>
      <c r="AV3076" s="19"/>
      <c r="AW3076" s="19"/>
      <c r="AX3076" s="19"/>
      <c r="AY3076" s="19"/>
      <c r="AZ3076" s="19"/>
      <c r="BA3076" s="19"/>
      <c r="BB3076" s="19"/>
      <c r="BC3076" s="19"/>
      <c r="BD3076" s="19"/>
      <c r="BE3076" s="19"/>
      <c r="BF3076" s="19"/>
      <c r="BG3076" s="19"/>
      <c r="BH3076" s="19"/>
      <c r="BI3076" s="19"/>
      <c r="BJ3076" s="19"/>
      <c r="BK3076" s="19"/>
      <c r="BL3076" s="19"/>
      <c r="BM3076" s="19"/>
      <c r="BN3076" s="19"/>
      <c r="BO3076" s="19"/>
      <c r="BP3076" s="19"/>
      <c r="BQ3076" s="19"/>
      <c r="BR3076" s="19"/>
      <c r="BS3076" s="19"/>
      <c r="BT3076" s="19"/>
      <c r="BU3076" s="19"/>
      <c r="BV3076" s="19"/>
      <c r="BW3076" s="19"/>
      <c r="BX3076" s="19"/>
      <c r="BY3076" s="19"/>
      <c r="BZ3076" s="19"/>
      <c r="CA3076" s="19"/>
      <c r="CB3076" s="19"/>
      <c r="CC3076" s="19"/>
      <c r="CD3076" s="139"/>
      <c r="CE3076" s="138"/>
      <c r="CF3076" s="139"/>
      <c r="CG3076" s="138"/>
      <c r="CH3076" s="139"/>
      <c r="CI3076" s="138"/>
      <c r="CJ3076" s="72"/>
      <c r="CK3076" s="139"/>
      <c r="CL3076" s="71"/>
      <c r="CM3076" s="139"/>
      <c r="CN3076" s="138"/>
      <c r="CO3076" s="138"/>
      <c r="CP3076" s="138"/>
      <c r="CQ3076" s="139"/>
      <c r="CR3076" s="138"/>
      <c r="CS3076" s="45"/>
      <c r="CT3076" s="138"/>
      <c r="CU3076" s="45"/>
      <c r="CV3076" s="99">
        <f t="shared" si="303"/>
        <v>0</v>
      </c>
      <c r="CW3076" s="139"/>
      <c r="CX3076" s="138"/>
      <c r="CY3076" s="138">
        <v>1408</v>
      </c>
      <c r="CZ3076" s="138">
        <f>1408*85000</f>
        <v>119680000</v>
      </c>
      <c r="DA3076" s="139"/>
      <c r="DB3076" s="138"/>
      <c r="DC3076" s="45"/>
      <c r="DD3076" s="138"/>
      <c r="DE3076" s="45"/>
      <c r="DF3076" s="46"/>
    </row>
    <row r="3077" spans="1:110" s="42" customFormat="1" ht="96" x14ac:dyDescent="0.2">
      <c r="A3077" s="89">
        <v>40891</v>
      </c>
      <c r="B3077" s="16" t="s">
        <v>4308</v>
      </c>
      <c r="C3077" s="16" t="s">
        <v>793</v>
      </c>
      <c r="D3077" s="90" t="s">
        <v>4264</v>
      </c>
      <c r="E3077" s="90" t="str">
        <f>VLOOKUP(B3077&amp;C3077,Divipola!$C$2:$F$1138,4,FALSE)</f>
        <v>47798</v>
      </c>
      <c r="F3077" s="4"/>
      <c r="G3077" s="208"/>
      <c r="H3077" s="208"/>
      <c r="I3077" s="208"/>
      <c r="J3077" s="208">
        <f>547*5</f>
        <v>2735</v>
      </c>
      <c r="K3077" s="208">
        <v>547</v>
      </c>
      <c r="L3077" s="208"/>
      <c r="M3077" s="208">
        <v>547</v>
      </c>
      <c r="N3077" s="208"/>
      <c r="O3077" s="208"/>
      <c r="P3077" s="208"/>
      <c r="Q3077" s="208"/>
      <c r="R3077" s="208"/>
      <c r="S3077" s="208"/>
      <c r="T3077" s="208"/>
      <c r="U3077" s="208"/>
      <c r="V3077" s="208"/>
      <c r="W3077" s="19"/>
      <c r="X3077" s="17"/>
      <c r="Y3077" s="5">
        <f t="shared" si="298"/>
        <v>49999944</v>
      </c>
      <c r="Z3077" s="5">
        <f t="shared" si="299"/>
        <v>44795000</v>
      </c>
      <c r="AA3077" s="5">
        <f t="shared" si="300"/>
        <v>0</v>
      </c>
      <c r="AB3077" s="5">
        <f t="shared" si="301"/>
        <v>0</v>
      </c>
      <c r="AC3077" s="5"/>
      <c r="AD3077" s="5">
        <v>15000000</v>
      </c>
      <c r="AE3077" s="5">
        <f t="shared" si="302"/>
        <v>109794944</v>
      </c>
      <c r="AF3077" s="70">
        <v>0</v>
      </c>
      <c r="AG3077" s="17"/>
      <c r="AH3077" s="18"/>
      <c r="AI3077" s="47" t="s">
        <v>4346</v>
      </c>
      <c r="AJ3077" s="73" t="s">
        <v>4347</v>
      </c>
      <c r="AK3077" s="45"/>
      <c r="AL3077" s="17"/>
      <c r="AM3077" s="20" t="s">
        <v>5510</v>
      </c>
      <c r="AN3077" s="19"/>
      <c r="AO3077" s="19"/>
      <c r="AP3077" s="19"/>
      <c r="AQ3077" s="19"/>
      <c r="AR3077" s="19"/>
      <c r="AS3077" s="19"/>
      <c r="AT3077" s="19"/>
      <c r="AU3077" s="19"/>
      <c r="AV3077" s="19"/>
      <c r="AW3077" s="19"/>
      <c r="AX3077" s="19"/>
      <c r="AY3077" s="19"/>
      <c r="AZ3077" s="19"/>
      <c r="BA3077" s="19"/>
      <c r="BB3077" s="19"/>
      <c r="BC3077" s="19"/>
      <c r="BD3077" s="19"/>
      <c r="BE3077" s="19"/>
      <c r="BF3077" s="19"/>
      <c r="BG3077" s="19"/>
      <c r="BH3077" s="19"/>
      <c r="BI3077" s="19"/>
      <c r="BJ3077" s="19"/>
      <c r="BK3077" s="19"/>
      <c r="BL3077" s="19"/>
      <c r="BM3077" s="19"/>
      <c r="BN3077" s="19"/>
      <c r="BO3077" s="19"/>
      <c r="BP3077" s="19"/>
      <c r="BQ3077" s="19"/>
      <c r="BR3077" s="19"/>
      <c r="BS3077" s="19"/>
      <c r="BT3077" s="19"/>
      <c r="BU3077" s="19"/>
      <c r="BV3077" s="19"/>
      <c r="BW3077" s="19"/>
      <c r="BX3077" s="19"/>
      <c r="BY3077" s="19"/>
      <c r="BZ3077" s="19">
        <v>100</v>
      </c>
      <c r="CA3077" s="19">
        <f>100*499999.44</f>
        <v>49999944</v>
      </c>
      <c r="CB3077" s="19"/>
      <c r="CC3077" s="19"/>
      <c r="CD3077" s="139"/>
      <c r="CE3077" s="138"/>
      <c r="CF3077" s="139"/>
      <c r="CG3077" s="138"/>
      <c r="CH3077" s="139"/>
      <c r="CI3077" s="138"/>
      <c r="CJ3077" s="72"/>
      <c r="CK3077" s="139"/>
      <c r="CL3077" s="71"/>
      <c r="CM3077" s="139"/>
      <c r="CN3077" s="138"/>
      <c r="CO3077" s="138"/>
      <c r="CP3077" s="138"/>
      <c r="CQ3077" s="139"/>
      <c r="CR3077" s="138"/>
      <c r="CS3077" s="45"/>
      <c r="CT3077" s="138"/>
      <c r="CU3077" s="45"/>
      <c r="CV3077" s="99">
        <f t="shared" si="303"/>
        <v>49999944</v>
      </c>
      <c r="CW3077" s="139"/>
      <c r="CX3077" s="138"/>
      <c r="CY3077" s="138">
        <v>527</v>
      </c>
      <c r="CZ3077" s="138">
        <f>527*85000</f>
        <v>44795000</v>
      </c>
      <c r="DA3077" s="139"/>
      <c r="DB3077" s="138"/>
      <c r="DC3077" s="45"/>
      <c r="DD3077" s="138"/>
      <c r="DE3077" s="45"/>
      <c r="DF3077" s="46"/>
    </row>
    <row r="3078" spans="1:110" s="42" customFormat="1" ht="36" x14ac:dyDescent="0.2">
      <c r="A3078" s="89">
        <v>40891</v>
      </c>
      <c r="B3078" s="151" t="s">
        <v>4348</v>
      </c>
      <c r="C3078" s="90" t="s">
        <v>3338</v>
      </c>
      <c r="D3078" s="90" t="s">
        <v>2362</v>
      </c>
      <c r="E3078" s="90" t="str">
        <f>VLOOKUP(B3078&amp;C3078,Divipola!$C$2:$F$1138,4,FALSE)</f>
        <v>66088</v>
      </c>
      <c r="F3078" s="4"/>
      <c r="G3078" s="101"/>
      <c r="H3078" s="101"/>
      <c r="I3078" s="101"/>
      <c r="J3078" s="101">
        <v>350</v>
      </c>
      <c r="K3078" s="101">
        <v>90</v>
      </c>
      <c r="L3078" s="101"/>
      <c r="M3078" s="101">
        <v>90</v>
      </c>
      <c r="N3078" s="101"/>
      <c r="O3078" s="101"/>
      <c r="P3078" s="101"/>
      <c r="Q3078" s="101"/>
      <c r="R3078" s="101"/>
      <c r="S3078" s="101"/>
      <c r="T3078" s="101"/>
      <c r="U3078" s="101"/>
      <c r="V3078" s="101"/>
      <c r="W3078" s="19"/>
      <c r="X3078" s="17"/>
      <c r="Y3078" s="5">
        <f t="shared" si="298"/>
        <v>0</v>
      </c>
      <c r="Z3078" s="5">
        <f t="shared" si="299"/>
        <v>0</v>
      </c>
      <c r="AA3078" s="5">
        <f t="shared" si="300"/>
        <v>0</v>
      </c>
      <c r="AB3078" s="5">
        <f t="shared" si="301"/>
        <v>0</v>
      </c>
      <c r="AC3078" s="5"/>
      <c r="AD3078" s="5">
        <v>0</v>
      </c>
      <c r="AE3078" s="5">
        <f t="shared" si="302"/>
        <v>0</v>
      </c>
      <c r="AF3078" s="70">
        <v>0</v>
      </c>
      <c r="AG3078" s="17"/>
      <c r="AH3078" s="18"/>
      <c r="AI3078" s="47" t="s">
        <v>4346</v>
      </c>
      <c r="AJ3078" s="73" t="s">
        <v>4347</v>
      </c>
      <c r="AK3078" s="45"/>
      <c r="AL3078" s="89" t="s">
        <v>2798</v>
      </c>
      <c r="AM3078" s="121" t="s">
        <v>5504</v>
      </c>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39"/>
      <c r="CE3078" s="138"/>
      <c r="CF3078" s="139"/>
      <c r="CG3078" s="138"/>
      <c r="CH3078" s="139"/>
      <c r="CI3078" s="138"/>
      <c r="CJ3078" s="72"/>
      <c r="CK3078" s="139"/>
      <c r="CL3078" s="71"/>
      <c r="CM3078" s="139"/>
      <c r="CN3078" s="138"/>
      <c r="CO3078" s="138"/>
      <c r="CP3078" s="138"/>
      <c r="CQ3078" s="139"/>
      <c r="CR3078" s="138"/>
      <c r="CS3078" s="45"/>
      <c r="CT3078" s="138"/>
      <c r="CU3078" s="45"/>
      <c r="CV3078" s="99">
        <f t="shared" si="303"/>
        <v>0</v>
      </c>
      <c r="CW3078" s="139"/>
      <c r="CX3078" s="138"/>
      <c r="CY3078" s="138"/>
      <c r="CZ3078" s="138"/>
      <c r="DA3078" s="139"/>
      <c r="DB3078" s="138"/>
      <c r="DC3078" s="45"/>
      <c r="DD3078" s="138"/>
      <c r="DE3078" s="45"/>
      <c r="DF3078" s="46"/>
    </row>
    <row r="3079" spans="1:110" s="42" customFormat="1" x14ac:dyDescent="0.2">
      <c r="A3079" s="89">
        <v>40891</v>
      </c>
      <c r="B3079" s="151" t="s">
        <v>4261</v>
      </c>
      <c r="C3079" s="90" t="s">
        <v>2869</v>
      </c>
      <c r="D3079" s="90" t="s">
        <v>4264</v>
      </c>
      <c r="E3079" s="90" t="str">
        <f>VLOOKUP(B3079&amp;C3079,Divipola!$C$2:$F$1138,4,FALSE)</f>
        <v>15572</v>
      </c>
      <c r="F3079" s="4"/>
      <c r="G3079" s="208"/>
      <c r="H3079" s="208"/>
      <c r="I3079" s="208"/>
      <c r="J3079" s="208">
        <f>2000*5</f>
        <v>10000</v>
      </c>
      <c r="K3079" s="208">
        <v>2000</v>
      </c>
      <c r="L3079" s="208"/>
      <c r="M3079" s="208"/>
      <c r="N3079" s="208"/>
      <c r="O3079" s="208"/>
      <c r="P3079" s="208"/>
      <c r="Q3079" s="208"/>
      <c r="R3079" s="208"/>
      <c r="S3079" s="208"/>
      <c r="T3079" s="208"/>
      <c r="U3079" s="208"/>
      <c r="V3079" s="208"/>
      <c r="W3079" s="19"/>
      <c r="X3079" s="17"/>
      <c r="Y3079" s="5">
        <f t="shared" si="298"/>
        <v>0</v>
      </c>
      <c r="Z3079" s="5">
        <f t="shared" si="299"/>
        <v>212500000</v>
      </c>
      <c r="AA3079" s="5">
        <f t="shared" si="300"/>
        <v>0</v>
      </c>
      <c r="AB3079" s="5">
        <f t="shared" si="301"/>
        <v>0</v>
      </c>
      <c r="AC3079" s="5"/>
      <c r="AD3079" s="5">
        <v>0</v>
      </c>
      <c r="AE3079" s="5">
        <f t="shared" si="302"/>
        <v>212500000</v>
      </c>
      <c r="AF3079" s="70">
        <v>0</v>
      </c>
      <c r="AG3079" s="17"/>
      <c r="AH3079" s="18"/>
      <c r="AI3079" s="47" t="s">
        <v>4346</v>
      </c>
      <c r="AJ3079" s="73" t="s">
        <v>4347</v>
      </c>
      <c r="AK3079" s="45"/>
      <c r="AL3079" s="17"/>
      <c r="AM3079" s="20"/>
      <c r="AN3079" s="19"/>
      <c r="AO3079" s="19"/>
      <c r="AP3079" s="19"/>
      <c r="AQ3079" s="19"/>
      <c r="AR3079" s="19"/>
      <c r="AS3079" s="19"/>
      <c r="AT3079" s="19"/>
      <c r="AU3079" s="19"/>
      <c r="AV3079" s="19"/>
      <c r="AW3079" s="19"/>
      <c r="AX3079" s="19"/>
      <c r="AY3079" s="19"/>
      <c r="AZ3079" s="19"/>
      <c r="BA3079" s="19"/>
      <c r="BB3079" s="19"/>
      <c r="BC3079" s="19"/>
      <c r="BD3079" s="19"/>
      <c r="BE3079" s="19"/>
      <c r="BF3079" s="19"/>
      <c r="BG3079" s="19"/>
      <c r="BH3079" s="19"/>
      <c r="BI3079" s="19"/>
      <c r="BJ3079" s="19"/>
      <c r="BK3079" s="19"/>
      <c r="BL3079" s="19"/>
      <c r="BM3079" s="19"/>
      <c r="BN3079" s="19"/>
      <c r="BO3079" s="19"/>
      <c r="BP3079" s="19"/>
      <c r="BQ3079" s="19"/>
      <c r="BR3079" s="19"/>
      <c r="BS3079" s="19"/>
      <c r="BT3079" s="19"/>
      <c r="BU3079" s="19"/>
      <c r="BV3079" s="19"/>
      <c r="BW3079" s="19"/>
      <c r="BX3079" s="19"/>
      <c r="BY3079" s="19"/>
      <c r="BZ3079" s="19"/>
      <c r="CA3079" s="19"/>
      <c r="CB3079" s="19"/>
      <c r="CC3079" s="19"/>
      <c r="CD3079" s="139"/>
      <c r="CE3079" s="138"/>
      <c r="CF3079" s="139"/>
      <c r="CG3079" s="138"/>
      <c r="CH3079" s="139"/>
      <c r="CI3079" s="138"/>
      <c r="CJ3079" s="72"/>
      <c r="CK3079" s="139"/>
      <c r="CL3079" s="71"/>
      <c r="CM3079" s="139"/>
      <c r="CN3079" s="138"/>
      <c r="CO3079" s="138"/>
      <c r="CP3079" s="138"/>
      <c r="CQ3079" s="139"/>
      <c r="CR3079" s="138"/>
      <c r="CS3079" s="45"/>
      <c r="CT3079" s="138"/>
      <c r="CU3079" s="45"/>
      <c r="CV3079" s="99">
        <f t="shared" si="303"/>
        <v>0</v>
      </c>
      <c r="CW3079" s="139"/>
      <c r="CX3079" s="138"/>
      <c r="CY3079" s="138">
        <v>2500</v>
      </c>
      <c r="CZ3079" s="138">
        <f>1250*85000+1250*85000</f>
        <v>212500000</v>
      </c>
      <c r="DA3079" s="139"/>
      <c r="DB3079" s="138"/>
      <c r="DC3079" s="45"/>
      <c r="DD3079" s="138"/>
      <c r="DE3079" s="45"/>
      <c r="DF3079" s="46"/>
    </row>
    <row r="3080" spans="1:110" s="42" customFormat="1" ht="24" x14ac:dyDescent="0.2">
      <c r="A3080" s="89">
        <v>40891</v>
      </c>
      <c r="B3080" s="151" t="s">
        <v>2225</v>
      </c>
      <c r="C3080" s="90" t="s">
        <v>3318</v>
      </c>
      <c r="D3080" s="90" t="s">
        <v>4264</v>
      </c>
      <c r="E3080" s="90" t="str">
        <f>VLOOKUP(B3080&amp;C3080,Divipola!$C$2:$F$1138,4,FALSE)</f>
        <v>27073</v>
      </c>
      <c r="F3080" s="4"/>
      <c r="G3080" s="194"/>
      <c r="H3080" s="194"/>
      <c r="I3080" s="194"/>
      <c r="J3080" s="194">
        <v>299</v>
      </c>
      <c r="K3080" s="194">
        <v>65</v>
      </c>
      <c r="L3080" s="194"/>
      <c r="M3080" s="194"/>
      <c r="N3080" s="194"/>
      <c r="O3080" s="194"/>
      <c r="P3080" s="194"/>
      <c r="Q3080" s="194">
        <v>1</v>
      </c>
      <c r="R3080" s="194"/>
      <c r="S3080" s="194"/>
      <c r="T3080" s="194"/>
      <c r="U3080" s="194"/>
      <c r="V3080" s="194"/>
      <c r="W3080" s="19"/>
      <c r="X3080" s="17"/>
      <c r="Y3080" s="5">
        <f t="shared" si="298"/>
        <v>0</v>
      </c>
      <c r="Z3080" s="5">
        <f t="shared" si="299"/>
        <v>5950000.6999999993</v>
      </c>
      <c r="AA3080" s="5">
        <f t="shared" si="300"/>
        <v>0</v>
      </c>
      <c r="AB3080" s="5">
        <f t="shared" si="301"/>
        <v>0</v>
      </c>
      <c r="AC3080" s="5"/>
      <c r="AD3080" s="5">
        <v>0</v>
      </c>
      <c r="AE3080" s="5">
        <f t="shared" si="302"/>
        <v>5950000.6999999993</v>
      </c>
      <c r="AF3080" s="70">
        <v>0</v>
      </c>
      <c r="AG3080" s="17"/>
      <c r="AH3080" s="18"/>
      <c r="AI3080" s="47" t="s">
        <v>4346</v>
      </c>
      <c r="AJ3080" s="73" t="s">
        <v>4347</v>
      </c>
      <c r="AK3080" s="45"/>
      <c r="AL3080" s="17"/>
      <c r="AM3080" s="195" t="s">
        <v>5570</v>
      </c>
      <c r="AN3080" s="19"/>
      <c r="AO3080" s="19"/>
      <c r="AP3080" s="19"/>
      <c r="AQ3080" s="19"/>
      <c r="AR3080" s="19"/>
      <c r="AS3080" s="19"/>
      <c r="AT3080" s="19"/>
      <c r="AU3080" s="19"/>
      <c r="AV3080" s="19"/>
      <c r="AW3080" s="19"/>
      <c r="AX3080" s="19"/>
      <c r="AY3080" s="19"/>
      <c r="AZ3080" s="19"/>
      <c r="BA3080" s="19"/>
      <c r="BB3080" s="19"/>
      <c r="BC3080" s="19"/>
      <c r="BD3080" s="19"/>
      <c r="BE3080" s="19"/>
      <c r="BF3080" s="19"/>
      <c r="BG3080" s="19"/>
      <c r="BH3080" s="19"/>
      <c r="BI3080" s="19"/>
      <c r="BJ3080" s="19"/>
      <c r="BK3080" s="19"/>
      <c r="BL3080" s="19"/>
      <c r="BM3080" s="19"/>
      <c r="BN3080" s="19"/>
      <c r="BO3080" s="19"/>
      <c r="BP3080" s="19"/>
      <c r="BQ3080" s="19"/>
      <c r="BR3080" s="19"/>
      <c r="BS3080" s="19"/>
      <c r="BT3080" s="19"/>
      <c r="BU3080" s="19"/>
      <c r="BV3080" s="19"/>
      <c r="BW3080" s="19"/>
      <c r="BX3080" s="19"/>
      <c r="BY3080" s="19"/>
      <c r="BZ3080" s="19"/>
      <c r="CA3080" s="19"/>
      <c r="CB3080" s="19"/>
      <c r="CC3080" s="19"/>
      <c r="CD3080" s="139"/>
      <c r="CE3080" s="138"/>
      <c r="CF3080" s="139"/>
      <c r="CG3080" s="138"/>
      <c r="CH3080" s="139"/>
      <c r="CI3080" s="138"/>
      <c r="CJ3080" s="72"/>
      <c r="CK3080" s="139"/>
      <c r="CL3080" s="71"/>
      <c r="CM3080" s="139"/>
      <c r="CN3080" s="138"/>
      <c r="CO3080" s="138"/>
      <c r="CP3080" s="138"/>
      <c r="CQ3080" s="139"/>
      <c r="CR3080" s="138"/>
      <c r="CS3080" s="45"/>
      <c r="CT3080" s="138"/>
      <c r="CU3080" s="45"/>
      <c r="CV3080" s="99">
        <f t="shared" si="303"/>
        <v>0</v>
      </c>
      <c r="CW3080" s="139"/>
      <c r="CX3080" s="138"/>
      <c r="CY3080" s="138">
        <v>70</v>
      </c>
      <c r="CZ3080" s="138">
        <f>70*85000.01</f>
        <v>5950000.6999999993</v>
      </c>
      <c r="DA3080" s="139"/>
      <c r="DB3080" s="138"/>
      <c r="DC3080" s="45"/>
      <c r="DD3080" s="138"/>
      <c r="DE3080" s="45"/>
      <c r="DF3080" s="46"/>
    </row>
    <row r="3081" spans="1:110" s="42" customFormat="1" ht="108" x14ac:dyDescent="0.2">
      <c r="A3081" s="89">
        <v>40891</v>
      </c>
      <c r="B3081" s="151" t="s">
        <v>4348</v>
      </c>
      <c r="C3081" s="90" t="s">
        <v>2243</v>
      </c>
      <c r="D3081" s="90" t="s">
        <v>2362</v>
      </c>
      <c r="E3081" s="90"/>
      <c r="F3081" s="4"/>
      <c r="G3081" s="101"/>
      <c r="H3081" s="101"/>
      <c r="I3081" s="101"/>
      <c r="J3081" s="101">
        <v>383</v>
      </c>
      <c r="K3081" s="101">
        <v>101</v>
      </c>
      <c r="L3081" s="101">
        <v>82</v>
      </c>
      <c r="M3081" s="101">
        <v>19</v>
      </c>
      <c r="N3081" s="101"/>
      <c r="O3081" s="101"/>
      <c r="P3081" s="101"/>
      <c r="Q3081" s="101"/>
      <c r="R3081" s="101"/>
      <c r="S3081" s="101"/>
      <c r="T3081" s="101"/>
      <c r="U3081" s="101"/>
      <c r="V3081" s="101"/>
      <c r="W3081" s="19"/>
      <c r="X3081" s="17"/>
      <c r="Y3081" s="5">
        <f t="shared" si="298"/>
        <v>0</v>
      </c>
      <c r="Z3081" s="5">
        <f t="shared" si="299"/>
        <v>0</v>
      </c>
      <c r="AA3081" s="5">
        <f t="shared" si="300"/>
        <v>0</v>
      </c>
      <c r="AB3081" s="5">
        <f t="shared" si="301"/>
        <v>0</v>
      </c>
      <c r="AC3081" s="5"/>
      <c r="AD3081" s="5">
        <v>0</v>
      </c>
      <c r="AE3081" s="5">
        <f t="shared" si="302"/>
        <v>0</v>
      </c>
      <c r="AF3081" s="70">
        <v>0</v>
      </c>
      <c r="AG3081" s="17"/>
      <c r="AH3081" s="18"/>
      <c r="AI3081" s="47" t="s">
        <v>4336</v>
      </c>
      <c r="AJ3081" s="73" t="s">
        <v>4337</v>
      </c>
      <c r="AK3081" s="45"/>
      <c r="AL3081" s="17" t="s">
        <v>5624</v>
      </c>
      <c r="AM3081" s="329" t="s">
        <v>5622</v>
      </c>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19"/>
      <c r="BW3081" s="19"/>
      <c r="BX3081" s="19"/>
      <c r="BY3081" s="19"/>
      <c r="BZ3081" s="19"/>
      <c r="CA3081" s="19"/>
      <c r="CB3081" s="19"/>
      <c r="CC3081" s="19"/>
      <c r="CD3081" s="139"/>
      <c r="CE3081" s="138"/>
      <c r="CF3081" s="139"/>
      <c r="CG3081" s="138"/>
      <c r="CH3081" s="139"/>
      <c r="CI3081" s="138"/>
      <c r="CJ3081" s="72"/>
      <c r="CK3081" s="139"/>
      <c r="CL3081" s="71"/>
      <c r="CM3081" s="139"/>
      <c r="CN3081" s="138"/>
      <c r="CO3081" s="138"/>
      <c r="CP3081" s="138"/>
      <c r="CQ3081" s="139"/>
      <c r="CR3081" s="138"/>
      <c r="CS3081" s="45"/>
      <c r="CT3081" s="138"/>
      <c r="CU3081" s="45"/>
      <c r="CV3081" s="99">
        <f t="shared" si="303"/>
        <v>0</v>
      </c>
      <c r="CW3081" s="139"/>
      <c r="CX3081" s="138"/>
      <c r="CY3081" s="138"/>
      <c r="CZ3081" s="138"/>
      <c r="DA3081" s="139"/>
      <c r="DB3081" s="138"/>
      <c r="DC3081" s="45"/>
      <c r="DD3081" s="138"/>
      <c r="DE3081" s="45"/>
      <c r="DF3081" s="46"/>
    </row>
    <row r="3082" spans="1:110" s="42" customFormat="1" ht="48" x14ac:dyDescent="0.2">
      <c r="A3082" s="89">
        <v>40892</v>
      </c>
      <c r="B3082" s="16" t="s">
        <v>4261</v>
      </c>
      <c r="C3082" s="16" t="s">
        <v>1198</v>
      </c>
      <c r="D3082" s="16" t="s">
        <v>4264</v>
      </c>
      <c r="E3082" s="90" t="str">
        <f>VLOOKUP(B3082&amp;C3082,Divipola!$C$2:$F$1138,4,FALSE)</f>
        <v>15403</v>
      </c>
      <c r="F3082" s="4"/>
      <c r="G3082" s="208"/>
      <c r="H3082" s="208"/>
      <c r="I3082" s="208"/>
      <c r="J3082" s="208"/>
      <c r="K3082" s="208"/>
      <c r="L3082" s="208"/>
      <c r="M3082" s="208"/>
      <c r="N3082" s="208"/>
      <c r="O3082" s="208"/>
      <c r="P3082" s="208"/>
      <c r="Q3082" s="208"/>
      <c r="R3082" s="208"/>
      <c r="S3082" s="208"/>
      <c r="T3082" s="208"/>
      <c r="U3082" s="208"/>
      <c r="V3082" s="208"/>
      <c r="W3082" s="19"/>
      <c r="X3082" s="17"/>
      <c r="Y3082" s="5">
        <f t="shared" si="298"/>
        <v>0</v>
      </c>
      <c r="Z3082" s="5">
        <f t="shared" si="299"/>
        <v>0</v>
      </c>
      <c r="AA3082" s="5">
        <f t="shared" si="300"/>
        <v>0</v>
      </c>
      <c r="AB3082" s="5">
        <f t="shared" si="301"/>
        <v>0</v>
      </c>
      <c r="AC3082" s="5"/>
      <c r="AD3082" s="5">
        <v>15000000</v>
      </c>
      <c r="AE3082" s="5">
        <f t="shared" si="302"/>
        <v>15000000</v>
      </c>
      <c r="AF3082" s="70">
        <v>0</v>
      </c>
      <c r="AG3082" s="17"/>
      <c r="AH3082" s="18"/>
      <c r="AI3082" s="47" t="s">
        <v>4346</v>
      </c>
      <c r="AJ3082" s="73" t="s">
        <v>4347</v>
      </c>
      <c r="AK3082" s="45"/>
      <c r="AL3082" s="17"/>
      <c r="AM3082" s="20" t="s">
        <v>5400</v>
      </c>
      <c r="AN3082" s="19"/>
      <c r="AO3082" s="19"/>
      <c r="AP3082" s="19"/>
      <c r="AQ3082" s="19"/>
      <c r="AR3082" s="19"/>
      <c r="AS3082" s="19"/>
      <c r="AT3082" s="19"/>
      <c r="AU3082" s="19"/>
      <c r="AV3082" s="19"/>
      <c r="AW3082" s="19"/>
      <c r="AX3082" s="19"/>
      <c r="AY3082" s="19"/>
      <c r="AZ3082" s="19"/>
      <c r="BA3082" s="19"/>
      <c r="BB3082" s="19"/>
      <c r="BC3082" s="19"/>
      <c r="BD3082" s="19"/>
      <c r="BE3082" s="19"/>
      <c r="BF3082" s="19"/>
      <c r="BG3082" s="19"/>
      <c r="BH3082" s="19"/>
      <c r="BI3082" s="19"/>
      <c r="BJ3082" s="19"/>
      <c r="BK3082" s="19"/>
      <c r="BL3082" s="19"/>
      <c r="BM3082" s="19"/>
      <c r="BN3082" s="19"/>
      <c r="BO3082" s="19"/>
      <c r="BP3082" s="19"/>
      <c r="BQ3082" s="19"/>
      <c r="BR3082" s="19"/>
      <c r="BS3082" s="19"/>
      <c r="BT3082" s="19"/>
      <c r="BU3082" s="19"/>
      <c r="BV3082" s="19"/>
      <c r="BW3082" s="19"/>
      <c r="BX3082" s="19"/>
      <c r="BY3082" s="19"/>
      <c r="BZ3082" s="19"/>
      <c r="CA3082" s="19"/>
      <c r="CB3082" s="19"/>
      <c r="CC3082" s="19"/>
      <c r="CD3082" s="139"/>
      <c r="CE3082" s="138"/>
      <c r="CF3082" s="139"/>
      <c r="CG3082" s="138"/>
      <c r="CH3082" s="139"/>
      <c r="CI3082" s="138"/>
      <c r="CJ3082" s="72"/>
      <c r="CK3082" s="139"/>
      <c r="CL3082" s="71"/>
      <c r="CM3082" s="139"/>
      <c r="CN3082" s="138"/>
      <c r="CO3082" s="138"/>
      <c r="CP3082" s="138"/>
      <c r="CQ3082" s="139"/>
      <c r="CR3082" s="138"/>
      <c r="CS3082" s="45"/>
      <c r="CT3082" s="138"/>
      <c r="CU3082" s="45"/>
      <c r="CV3082" s="99">
        <f t="shared" si="303"/>
        <v>0</v>
      </c>
      <c r="CW3082" s="139"/>
      <c r="CX3082" s="138"/>
      <c r="CY3082" s="138"/>
      <c r="CZ3082" s="138"/>
      <c r="DA3082" s="139"/>
      <c r="DB3082" s="138"/>
      <c r="DC3082" s="45"/>
      <c r="DD3082" s="138"/>
      <c r="DE3082" s="45"/>
      <c r="DF3082" s="46"/>
    </row>
    <row r="3083" spans="1:110" s="42" customFormat="1" ht="60" x14ac:dyDescent="0.2">
      <c r="A3083" s="89">
        <v>40892</v>
      </c>
      <c r="B3083" s="16" t="s">
        <v>3316</v>
      </c>
      <c r="C3083" s="16" t="s">
        <v>2275</v>
      </c>
      <c r="D3083" s="16" t="s">
        <v>4264</v>
      </c>
      <c r="E3083" s="90" t="str">
        <f>VLOOKUP(B3083&amp;C3083,Divipola!$C$2:$F$1138,4,FALSE)</f>
        <v>73483</v>
      </c>
      <c r="F3083" s="4"/>
      <c r="G3083" s="208"/>
      <c r="H3083" s="208"/>
      <c r="I3083" s="208"/>
      <c r="J3083" s="208"/>
      <c r="K3083" s="208"/>
      <c r="L3083" s="208"/>
      <c r="M3083" s="208"/>
      <c r="N3083" s="208"/>
      <c r="O3083" s="208"/>
      <c r="P3083" s="208"/>
      <c r="Q3083" s="208">
        <v>1</v>
      </c>
      <c r="R3083" s="208"/>
      <c r="S3083" s="208"/>
      <c r="T3083" s="208"/>
      <c r="U3083" s="208"/>
      <c r="V3083" s="208"/>
      <c r="W3083" s="19"/>
      <c r="X3083" s="17"/>
      <c r="Y3083" s="5">
        <f t="shared" si="298"/>
        <v>0</v>
      </c>
      <c r="Z3083" s="5">
        <f t="shared" si="299"/>
        <v>0</v>
      </c>
      <c r="AA3083" s="5">
        <f t="shared" si="300"/>
        <v>0</v>
      </c>
      <c r="AB3083" s="5">
        <f t="shared" si="301"/>
        <v>0</v>
      </c>
      <c r="AC3083" s="5"/>
      <c r="AD3083" s="5">
        <v>293422884</v>
      </c>
      <c r="AE3083" s="5">
        <f t="shared" si="302"/>
        <v>293422884</v>
      </c>
      <c r="AF3083" s="70">
        <v>0</v>
      </c>
      <c r="AG3083" s="17"/>
      <c r="AH3083" s="18"/>
      <c r="AI3083" s="47" t="s">
        <v>4346</v>
      </c>
      <c r="AJ3083" s="73" t="s">
        <v>4347</v>
      </c>
      <c r="AK3083" s="45"/>
      <c r="AL3083" s="17"/>
      <c r="AM3083" s="20" t="s">
        <v>5399</v>
      </c>
      <c r="AN3083" s="19"/>
      <c r="AO3083" s="19"/>
      <c r="AP3083" s="19"/>
      <c r="AQ3083" s="19"/>
      <c r="AR3083" s="19"/>
      <c r="AS3083" s="19"/>
      <c r="AT3083" s="19"/>
      <c r="AU3083" s="19"/>
      <c r="AV3083" s="19"/>
      <c r="AW3083" s="19"/>
      <c r="AX3083" s="19"/>
      <c r="AY3083" s="19"/>
      <c r="AZ3083" s="19"/>
      <c r="BA3083" s="19"/>
      <c r="BB3083" s="19"/>
      <c r="BC3083" s="19"/>
      <c r="BD3083" s="19"/>
      <c r="BE3083" s="19"/>
      <c r="BF3083" s="19"/>
      <c r="BG3083" s="19"/>
      <c r="BH3083" s="19"/>
      <c r="BI3083" s="19"/>
      <c r="BJ3083" s="19"/>
      <c r="BK3083" s="19"/>
      <c r="BL3083" s="19"/>
      <c r="BM3083" s="19"/>
      <c r="BN3083" s="19"/>
      <c r="BO3083" s="19"/>
      <c r="BP3083" s="19"/>
      <c r="BQ3083" s="19"/>
      <c r="BR3083" s="19"/>
      <c r="BS3083" s="19"/>
      <c r="BT3083" s="19"/>
      <c r="BU3083" s="19"/>
      <c r="BV3083" s="19"/>
      <c r="BW3083" s="19"/>
      <c r="BX3083" s="19"/>
      <c r="BY3083" s="19"/>
      <c r="BZ3083" s="19"/>
      <c r="CA3083" s="19"/>
      <c r="CB3083" s="19"/>
      <c r="CC3083" s="19"/>
      <c r="CD3083" s="139"/>
      <c r="CE3083" s="138"/>
      <c r="CF3083" s="139"/>
      <c r="CG3083" s="138"/>
      <c r="CH3083" s="139"/>
      <c r="CI3083" s="138"/>
      <c r="CJ3083" s="72"/>
      <c r="CK3083" s="139"/>
      <c r="CL3083" s="71"/>
      <c r="CM3083" s="139"/>
      <c r="CN3083" s="138"/>
      <c r="CO3083" s="138"/>
      <c r="CP3083" s="138"/>
      <c r="CQ3083" s="139"/>
      <c r="CR3083" s="138"/>
      <c r="CS3083" s="45"/>
      <c r="CT3083" s="138"/>
      <c r="CU3083" s="45"/>
      <c r="CV3083" s="99">
        <f t="shared" si="303"/>
        <v>0</v>
      </c>
      <c r="CW3083" s="139"/>
      <c r="CX3083" s="138"/>
      <c r="CY3083" s="138"/>
      <c r="CZ3083" s="138"/>
      <c r="DA3083" s="139"/>
      <c r="DB3083" s="138"/>
      <c r="DC3083" s="45"/>
      <c r="DD3083" s="138"/>
      <c r="DE3083" s="45"/>
      <c r="DF3083" s="46"/>
    </row>
    <row r="3084" spans="1:110" s="42" customFormat="1" ht="120" x14ac:dyDescent="0.2">
      <c r="A3084" s="89">
        <v>40892</v>
      </c>
      <c r="B3084" s="16" t="s">
        <v>4261</v>
      </c>
      <c r="C3084" s="16" t="s">
        <v>2668</v>
      </c>
      <c r="D3084" s="16" t="s">
        <v>2362</v>
      </c>
      <c r="E3084" s="90" t="str">
        <f>VLOOKUP(B3084&amp;C3084,Divipola!$C$2:$F$1138,4,FALSE)</f>
        <v>15293</v>
      </c>
      <c r="F3084" s="4"/>
      <c r="G3084" s="208"/>
      <c r="H3084" s="208"/>
      <c r="I3084" s="208"/>
      <c r="J3084" s="208"/>
      <c r="K3084" s="208"/>
      <c r="L3084" s="208"/>
      <c r="M3084" s="208"/>
      <c r="N3084" s="208">
        <v>7</v>
      </c>
      <c r="O3084" s="208"/>
      <c r="P3084" s="208"/>
      <c r="Q3084" s="208"/>
      <c r="R3084" s="208"/>
      <c r="S3084" s="208"/>
      <c r="T3084" s="208"/>
      <c r="U3084" s="208"/>
      <c r="V3084" s="208"/>
      <c r="W3084" s="19"/>
      <c r="X3084" s="17"/>
      <c r="Y3084" s="5">
        <f t="shared" si="298"/>
        <v>0</v>
      </c>
      <c r="Z3084" s="5">
        <f t="shared" si="299"/>
        <v>0</v>
      </c>
      <c r="AA3084" s="5">
        <f t="shared" si="300"/>
        <v>0</v>
      </c>
      <c r="AB3084" s="5">
        <f t="shared" si="301"/>
        <v>0</v>
      </c>
      <c r="AC3084" s="5"/>
      <c r="AD3084" s="5">
        <v>15000000</v>
      </c>
      <c r="AE3084" s="5">
        <f t="shared" si="302"/>
        <v>15000000</v>
      </c>
      <c r="AF3084" s="70">
        <v>0</v>
      </c>
      <c r="AG3084" s="17"/>
      <c r="AH3084" s="18"/>
      <c r="AI3084" s="47" t="s">
        <v>4346</v>
      </c>
      <c r="AJ3084" s="73" t="s">
        <v>4347</v>
      </c>
      <c r="AK3084" s="45"/>
      <c r="AL3084" s="17"/>
      <c r="AM3084" s="20" t="s">
        <v>5401</v>
      </c>
      <c r="AN3084" s="19"/>
      <c r="AO3084" s="19"/>
      <c r="AP3084" s="19"/>
      <c r="AQ3084" s="19"/>
      <c r="AR3084" s="19"/>
      <c r="AS3084" s="19"/>
      <c r="AT3084" s="19"/>
      <c r="AU3084" s="19"/>
      <c r="AV3084" s="19"/>
      <c r="AW3084" s="19"/>
      <c r="AX3084" s="19"/>
      <c r="AY3084" s="19"/>
      <c r="AZ3084" s="19"/>
      <c r="BA3084" s="19"/>
      <c r="BB3084" s="19"/>
      <c r="BC3084" s="19"/>
      <c r="BD3084" s="19"/>
      <c r="BE3084" s="19"/>
      <c r="BF3084" s="19"/>
      <c r="BG3084" s="19"/>
      <c r="BH3084" s="19"/>
      <c r="BI3084" s="19"/>
      <c r="BJ3084" s="19"/>
      <c r="BK3084" s="19"/>
      <c r="BL3084" s="19"/>
      <c r="BM3084" s="19"/>
      <c r="BN3084" s="19"/>
      <c r="BO3084" s="19"/>
      <c r="BP3084" s="19"/>
      <c r="BQ3084" s="19"/>
      <c r="BR3084" s="19"/>
      <c r="BS3084" s="19"/>
      <c r="BT3084" s="19"/>
      <c r="BU3084" s="19"/>
      <c r="BV3084" s="19"/>
      <c r="BW3084" s="19"/>
      <c r="BX3084" s="19"/>
      <c r="BY3084" s="19"/>
      <c r="BZ3084" s="19"/>
      <c r="CA3084" s="19"/>
      <c r="CB3084" s="19"/>
      <c r="CC3084" s="19"/>
      <c r="CD3084" s="139"/>
      <c r="CE3084" s="138"/>
      <c r="CF3084" s="139"/>
      <c r="CG3084" s="138"/>
      <c r="CH3084" s="139"/>
      <c r="CI3084" s="138"/>
      <c r="CJ3084" s="72"/>
      <c r="CK3084" s="139"/>
      <c r="CL3084" s="71"/>
      <c r="CM3084" s="139"/>
      <c r="CN3084" s="138"/>
      <c r="CO3084" s="138"/>
      <c r="CP3084" s="138"/>
      <c r="CQ3084" s="139"/>
      <c r="CR3084" s="138"/>
      <c r="CS3084" s="45"/>
      <c r="CT3084" s="138"/>
      <c r="CU3084" s="45"/>
      <c r="CV3084" s="99">
        <f t="shared" si="303"/>
        <v>0</v>
      </c>
      <c r="CW3084" s="139"/>
      <c r="CX3084" s="138"/>
      <c r="CY3084" s="138"/>
      <c r="CZ3084" s="138"/>
      <c r="DA3084" s="139"/>
      <c r="DB3084" s="138"/>
      <c r="DC3084" s="45"/>
      <c r="DD3084" s="138"/>
      <c r="DE3084" s="45"/>
      <c r="DF3084" s="46"/>
    </row>
    <row r="3085" spans="1:110" s="42" customFormat="1" ht="36" x14ac:dyDescent="0.2">
      <c r="A3085" s="89">
        <v>40892</v>
      </c>
      <c r="B3085" s="16" t="s">
        <v>4261</v>
      </c>
      <c r="C3085" s="16" t="s">
        <v>1332</v>
      </c>
      <c r="D3085" s="16" t="s">
        <v>2362</v>
      </c>
      <c r="E3085" s="90" t="str">
        <f>VLOOKUP(B3085&amp;C3085,Divipola!$C$2:$F$1138,4,FALSE)</f>
        <v>15778</v>
      </c>
      <c r="F3085" s="4"/>
      <c r="G3085" s="208"/>
      <c r="H3085" s="208"/>
      <c r="I3085" s="208"/>
      <c r="J3085" s="208"/>
      <c r="K3085" s="208"/>
      <c r="L3085" s="208"/>
      <c r="M3085" s="208"/>
      <c r="N3085" s="208"/>
      <c r="O3085" s="208"/>
      <c r="P3085" s="208"/>
      <c r="Q3085" s="208"/>
      <c r="R3085" s="208"/>
      <c r="S3085" s="208"/>
      <c r="T3085" s="208"/>
      <c r="U3085" s="208"/>
      <c r="V3085" s="208"/>
      <c r="W3085" s="19"/>
      <c r="X3085" s="17"/>
      <c r="Y3085" s="5">
        <f t="shared" si="298"/>
        <v>0</v>
      </c>
      <c r="Z3085" s="5">
        <f t="shared" si="299"/>
        <v>0</v>
      </c>
      <c r="AA3085" s="5">
        <f t="shared" si="300"/>
        <v>0</v>
      </c>
      <c r="AB3085" s="5">
        <f t="shared" si="301"/>
        <v>0</v>
      </c>
      <c r="AC3085" s="5"/>
      <c r="AD3085" s="5">
        <v>15000000</v>
      </c>
      <c r="AE3085" s="5">
        <f t="shared" si="302"/>
        <v>15000000</v>
      </c>
      <c r="AF3085" s="70">
        <v>0</v>
      </c>
      <c r="AG3085" s="17"/>
      <c r="AH3085" s="18"/>
      <c r="AI3085" s="47" t="s">
        <v>4346</v>
      </c>
      <c r="AJ3085" s="73" t="s">
        <v>4347</v>
      </c>
      <c r="AK3085" s="45"/>
      <c r="AL3085" s="17"/>
      <c r="AM3085" s="20" t="s">
        <v>5402</v>
      </c>
      <c r="AN3085" s="19"/>
      <c r="AO3085" s="19"/>
      <c r="AP3085" s="19"/>
      <c r="AQ3085" s="19"/>
      <c r="AR3085" s="19"/>
      <c r="AS3085" s="19"/>
      <c r="AT3085" s="19"/>
      <c r="AU3085" s="19"/>
      <c r="AV3085" s="19"/>
      <c r="AW3085" s="19"/>
      <c r="AX3085" s="19"/>
      <c r="AY3085" s="19"/>
      <c r="AZ3085" s="19"/>
      <c r="BA3085" s="19"/>
      <c r="BB3085" s="19"/>
      <c r="BC3085" s="19"/>
      <c r="BD3085" s="19"/>
      <c r="BE3085" s="19"/>
      <c r="BF3085" s="19"/>
      <c r="BG3085" s="19"/>
      <c r="BH3085" s="19"/>
      <c r="BI3085" s="19"/>
      <c r="BJ3085" s="19"/>
      <c r="BK3085" s="19"/>
      <c r="BL3085" s="19"/>
      <c r="BM3085" s="19"/>
      <c r="BN3085" s="19"/>
      <c r="BO3085" s="19"/>
      <c r="BP3085" s="19"/>
      <c r="BQ3085" s="19"/>
      <c r="BR3085" s="19"/>
      <c r="BS3085" s="19"/>
      <c r="BT3085" s="19"/>
      <c r="BU3085" s="19"/>
      <c r="BV3085" s="19"/>
      <c r="BW3085" s="19"/>
      <c r="BX3085" s="19"/>
      <c r="BY3085" s="19"/>
      <c r="BZ3085" s="19"/>
      <c r="CA3085" s="19"/>
      <c r="CB3085" s="19"/>
      <c r="CC3085" s="19"/>
      <c r="CD3085" s="139"/>
      <c r="CE3085" s="138"/>
      <c r="CF3085" s="139"/>
      <c r="CG3085" s="138"/>
      <c r="CH3085" s="139"/>
      <c r="CI3085" s="138"/>
      <c r="CJ3085" s="72"/>
      <c r="CK3085" s="139"/>
      <c r="CL3085" s="71"/>
      <c r="CM3085" s="139"/>
      <c r="CN3085" s="138"/>
      <c r="CO3085" s="138"/>
      <c r="CP3085" s="138"/>
      <c r="CQ3085" s="139"/>
      <c r="CR3085" s="138"/>
      <c r="CS3085" s="45"/>
      <c r="CT3085" s="138"/>
      <c r="CU3085" s="45"/>
      <c r="CV3085" s="99">
        <f t="shared" si="303"/>
        <v>0</v>
      </c>
      <c r="CW3085" s="139"/>
      <c r="CX3085" s="138"/>
      <c r="CY3085" s="138"/>
      <c r="CZ3085" s="138"/>
      <c r="DA3085" s="139"/>
      <c r="DB3085" s="138"/>
      <c r="DC3085" s="45"/>
      <c r="DD3085" s="138"/>
      <c r="DE3085" s="45"/>
      <c r="DF3085" s="46"/>
    </row>
    <row r="3086" spans="1:110" s="42" customFormat="1" ht="48" x14ac:dyDescent="0.2">
      <c r="A3086" s="89">
        <v>40892</v>
      </c>
      <c r="B3086" s="16" t="s">
        <v>4261</v>
      </c>
      <c r="C3086" s="16" t="s">
        <v>1348</v>
      </c>
      <c r="D3086" s="16" t="s">
        <v>2362</v>
      </c>
      <c r="E3086" s="90" t="str">
        <f>VLOOKUP(B3086&amp;C3086,Divipola!$C$2:$F$1138,4,FALSE)</f>
        <v>15814</v>
      </c>
      <c r="F3086" s="4"/>
      <c r="G3086" s="208"/>
      <c r="H3086" s="208"/>
      <c r="I3086" s="208"/>
      <c r="J3086" s="208"/>
      <c r="K3086" s="208"/>
      <c r="L3086" s="208"/>
      <c r="M3086" s="208"/>
      <c r="N3086" s="208"/>
      <c r="O3086" s="208"/>
      <c r="P3086" s="208"/>
      <c r="Q3086" s="208"/>
      <c r="R3086" s="208"/>
      <c r="S3086" s="208"/>
      <c r="T3086" s="208"/>
      <c r="U3086" s="208"/>
      <c r="V3086" s="208"/>
      <c r="W3086" s="19"/>
      <c r="X3086" s="17"/>
      <c r="Y3086" s="5">
        <f t="shared" si="298"/>
        <v>0</v>
      </c>
      <c r="Z3086" s="5">
        <f t="shared" si="299"/>
        <v>0</v>
      </c>
      <c r="AA3086" s="5">
        <f t="shared" si="300"/>
        <v>0</v>
      </c>
      <c r="AB3086" s="5">
        <f t="shared" si="301"/>
        <v>0</v>
      </c>
      <c r="AC3086" s="5"/>
      <c r="AD3086" s="5">
        <v>15000000</v>
      </c>
      <c r="AE3086" s="5">
        <f t="shared" si="302"/>
        <v>15000000</v>
      </c>
      <c r="AF3086" s="70">
        <v>0</v>
      </c>
      <c r="AG3086" s="17"/>
      <c r="AH3086" s="18"/>
      <c r="AI3086" s="47" t="s">
        <v>4346</v>
      </c>
      <c r="AJ3086" s="73" t="s">
        <v>4347</v>
      </c>
      <c r="AK3086" s="45"/>
      <c r="AL3086" s="17"/>
      <c r="AM3086" s="20" t="s">
        <v>5403</v>
      </c>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39"/>
      <c r="CE3086" s="138"/>
      <c r="CF3086" s="139"/>
      <c r="CG3086" s="138"/>
      <c r="CH3086" s="139"/>
      <c r="CI3086" s="138"/>
      <c r="CJ3086" s="72"/>
      <c r="CK3086" s="139"/>
      <c r="CL3086" s="71"/>
      <c r="CM3086" s="139"/>
      <c r="CN3086" s="138"/>
      <c r="CO3086" s="138"/>
      <c r="CP3086" s="138"/>
      <c r="CQ3086" s="139"/>
      <c r="CR3086" s="138"/>
      <c r="CS3086" s="45"/>
      <c r="CT3086" s="138"/>
      <c r="CU3086" s="45"/>
      <c r="CV3086" s="99">
        <f t="shared" si="303"/>
        <v>0</v>
      </c>
      <c r="CW3086" s="139"/>
      <c r="CX3086" s="138"/>
      <c r="CY3086" s="138"/>
      <c r="CZ3086" s="138"/>
      <c r="DA3086" s="139"/>
      <c r="DB3086" s="138"/>
      <c r="DC3086" s="45"/>
      <c r="DD3086" s="138"/>
      <c r="DE3086" s="45"/>
      <c r="DF3086" s="46"/>
    </row>
    <row r="3087" spans="1:110" s="42" customFormat="1" ht="60" x14ac:dyDescent="0.2">
      <c r="A3087" s="89">
        <v>40892</v>
      </c>
      <c r="B3087" s="16" t="s">
        <v>4221</v>
      </c>
      <c r="C3087" s="16" t="s">
        <v>3544</v>
      </c>
      <c r="D3087" s="16" t="s">
        <v>2362</v>
      </c>
      <c r="E3087" s="90" t="str">
        <f>VLOOKUP(B3087&amp;C3087,Divipola!$C$2:$F$1138,4,FALSE)</f>
        <v>54398</v>
      </c>
      <c r="F3087" s="4"/>
      <c r="G3087" s="208"/>
      <c r="H3087" s="208"/>
      <c r="I3087" s="208"/>
      <c r="J3087" s="208"/>
      <c r="K3087" s="208"/>
      <c r="L3087" s="208"/>
      <c r="M3087" s="208"/>
      <c r="N3087" s="208">
        <v>1</v>
      </c>
      <c r="O3087" s="208"/>
      <c r="P3087" s="208"/>
      <c r="Q3087" s="208"/>
      <c r="R3087" s="208"/>
      <c r="S3087" s="208"/>
      <c r="T3087" s="208"/>
      <c r="U3087" s="208"/>
      <c r="V3087" s="208"/>
      <c r="W3087" s="19"/>
      <c r="X3087" s="17"/>
      <c r="Y3087" s="5">
        <f t="shared" si="298"/>
        <v>0</v>
      </c>
      <c r="Z3087" s="5">
        <f t="shared" si="299"/>
        <v>0</v>
      </c>
      <c r="AA3087" s="5">
        <f t="shared" si="300"/>
        <v>0</v>
      </c>
      <c r="AB3087" s="5">
        <f t="shared" si="301"/>
        <v>0</v>
      </c>
      <c r="AC3087" s="5"/>
      <c r="AD3087" s="5">
        <v>300000000</v>
      </c>
      <c r="AE3087" s="5">
        <f t="shared" si="302"/>
        <v>300000000</v>
      </c>
      <c r="AF3087" s="70">
        <v>0</v>
      </c>
      <c r="AG3087" s="17"/>
      <c r="AH3087" s="18"/>
      <c r="AI3087" s="47" t="s">
        <v>4346</v>
      </c>
      <c r="AJ3087" s="73" t="s">
        <v>4347</v>
      </c>
      <c r="AK3087" s="45"/>
      <c r="AL3087" s="17"/>
      <c r="AM3087" s="20" t="s">
        <v>5404</v>
      </c>
      <c r="AN3087" s="19"/>
      <c r="AO3087" s="19"/>
      <c r="AP3087" s="19"/>
      <c r="AQ3087" s="19"/>
      <c r="AR3087" s="19"/>
      <c r="AS3087" s="19"/>
      <c r="AT3087" s="19"/>
      <c r="AU3087" s="19"/>
      <c r="AV3087" s="19"/>
      <c r="AW3087" s="19"/>
      <c r="AX3087" s="19"/>
      <c r="AY3087" s="19"/>
      <c r="AZ3087" s="19"/>
      <c r="BA3087" s="19"/>
      <c r="BB3087" s="19"/>
      <c r="BC3087" s="19"/>
      <c r="BD3087" s="19"/>
      <c r="BE3087" s="19"/>
      <c r="BF3087" s="19"/>
      <c r="BG3087" s="19"/>
      <c r="BH3087" s="19"/>
      <c r="BI3087" s="19"/>
      <c r="BJ3087" s="19"/>
      <c r="BK3087" s="19"/>
      <c r="BL3087" s="19"/>
      <c r="BM3087" s="19"/>
      <c r="BN3087" s="19"/>
      <c r="BO3087" s="19"/>
      <c r="BP3087" s="19"/>
      <c r="BQ3087" s="19"/>
      <c r="BR3087" s="19"/>
      <c r="BS3087" s="19"/>
      <c r="BT3087" s="19"/>
      <c r="BU3087" s="19"/>
      <c r="BV3087" s="19"/>
      <c r="BW3087" s="19"/>
      <c r="BX3087" s="19"/>
      <c r="BY3087" s="19"/>
      <c r="BZ3087" s="19"/>
      <c r="CA3087" s="19"/>
      <c r="CB3087" s="19"/>
      <c r="CC3087" s="19"/>
      <c r="CD3087" s="139"/>
      <c r="CE3087" s="138"/>
      <c r="CF3087" s="139"/>
      <c r="CG3087" s="138"/>
      <c r="CH3087" s="139"/>
      <c r="CI3087" s="138"/>
      <c r="CJ3087" s="72"/>
      <c r="CK3087" s="139"/>
      <c r="CL3087" s="71"/>
      <c r="CM3087" s="139"/>
      <c r="CN3087" s="138"/>
      <c r="CO3087" s="138"/>
      <c r="CP3087" s="138"/>
      <c r="CQ3087" s="139"/>
      <c r="CR3087" s="138"/>
      <c r="CS3087" s="45"/>
      <c r="CT3087" s="138"/>
      <c r="CU3087" s="45"/>
      <c r="CV3087" s="99">
        <f t="shared" si="303"/>
        <v>0</v>
      </c>
      <c r="CW3087" s="139"/>
      <c r="CX3087" s="138"/>
      <c r="CY3087" s="138"/>
      <c r="CZ3087" s="138"/>
      <c r="DA3087" s="139"/>
      <c r="DB3087" s="138"/>
      <c r="DC3087" s="45"/>
      <c r="DD3087" s="138"/>
      <c r="DE3087" s="45"/>
      <c r="DF3087" s="46"/>
    </row>
    <row r="3088" spans="1:110" s="42" customFormat="1" ht="72" x14ac:dyDescent="0.2">
      <c r="A3088" s="89">
        <v>40892</v>
      </c>
      <c r="B3088" s="196" t="s">
        <v>2218</v>
      </c>
      <c r="C3088" s="197" t="s">
        <v>3441</v>
      </c>
      <c r="D3088" s="197" t="s">
        <v>4264</v>
      </c>
      <c r="E3088" s="90" t="str">
        <f>VLOOKUP(B3088&amp;C3088,Divipola!$C$2:$F$1138,4,FALSE)</f>
        <v>05861</v>
      </c>
      <c r="F3088" s="4"/>
      <c r="G3088" s="194"/>
      <c r="H3088" s="194"/>
      <c r="I3088" s="194"/>
      <c r="J3088" s="194">
        <v>1500</v>
      </c>
      <c r="K3088" s="194">
        <v>300</v>
      </c>
      <c r="L3088" s="194"/>
      <c r="M3088" s="194">
        <v>300</v>
      </c>
      <c r="N3088" s="194"/>
      <c r="O3088" s="194"/>
      <c r="P3088" s="194"/>
      <c r="Q3088" s="194"/>
      <c r="R3088" s="194"/>
      <c r="S3088" s="194"/>
      <c r="T3088" s="194"/>
      <c r="U3088" s="194"/>
      <c r="V3088" s="194"/>
      <c r="W3088" s="19"/>
      <c r="X3088" s="17"/>
      <c r="Y3088" s="5">
        <f t="shared" si="298"/>
        <v>0</v>
      </c>
      <c r="Z3088" s="5">
        <f t="shared" si="299"/>
        <v>0</v>
      </c>
      <c r="AA3088" s="5">
        <f t="shared" si="300"/>
        <v>0</v>
      </c>
      <c r="AB3088" s="5">
        <f t="shared" si="301"/>
        <v>0</v>
      </c>
      <c r="AC3088" s="5"/>
      <c r="AD3088" s="5">
        <v>0</v>
      </c>
      <c r="AE3088" s="5">
        <f t="shared" si="302"/>
        <v>0</v>
      </c>
      <c r="AF3088" s="70">
        <v>0</v>
      </c>
      <c r="AG3088" s="17"/>
      <c r="AH3088" s="18"/>
      <c r="AI3088" s="47" t="s">
        <v>4336</v>
      </c>
      <c r="AJ3088" s="73" t="s">
        <v>4337</v>
      </c>
      <c r="AK3088" s="45"/>
      <c r="AL3088" s="17"/>
      <c r="AM3088" s="195" t="s">
        <v>5415</v>
      </c>
      <c r="AN3088" s="19"/>
      <c r="AO3088" s="19"/>
      <c r="AP3088" s="19"/>
      <c r="AQ3088" s="19"/>
      <c r="AR3088" s="19"/>
      <c r="AS3088" s="19"/>
      <c r="AT3088" s="19"/>
      <c r="AU3088" s="19"/>
      <c r="AV3088" s="19"/>
      <c r="AW3088" s="19"/>
      <c r="AX3088" s="19"/>
      <c r="AY3088" s="19"/>
      <c r="AZ3088" s="19"/>
      <c r="BA3088" s="19"/>
      <c r="BB3088" s="19"/>
      <c r="BC3088" s="19"/>
      <c r="BD3088" s="19"/>
      <c r="BE3088" s="19"/>
      <c r="BF3088" s="19"/>
      <c r="BG3088" s="19"/>
      <c r="BH3088" s="19"/>
      <c r="BI3088" s="19"/>
      <c r="BJ3088" s="19"/>
      <c r="BK3088" s="19"/>
      <c r="BL3088" s="19"/>
      <c r="BM3088" s="19"/>
      <c r="BN3088" s="19"/>
      <c r="BO3088" s="19"/>
      <c r="BP3088" s="19"/>
      <c r="BQ3088" s="19"/>
      <c r="BR3088" s="19"/>
      <c r="BS3088" s="19"/>
      <c r="BT3088" s="19"/>
      <c r="BU3088" s="19"/>
      <c r="BV3088" s="19"/>
      <c r="BW3088" s="19"/>
      <c r="BX3088" s="19"/>
      <c r="BY3088" s="19"/>
      <c r="BZ3088" s="19"/>
      <c r="CA3088" s="19"/>
      <c r="CB3088" s="19"/>
      <c r="CC3088" s="19"/>
      <c r="CD3088" s="139"/>
      <c r="CE3088" s="138"/>
      <c r="CF3088" s="139"/>
      <c r="CG3088" s="138"/>
      <c r="CH3088" s="139"/>
      <c r="CI3088" s="138"/>
      <c r="CJ3088" s="72"/>
      <c r="CK3088" s="139"/>
      <c r="CL3088" s="71"/>
      <c r="CM3088" s="139"/>
      <c r="CN3088" s="138"/>
      <c r="CO3088" s="138"/>
      <c r="CP3088" s="138"/>
      <c r="CQ3088" s="139"/>
      <c r="CR3088" s="138"/>
      <c r="CS3088" s="45"/>
      <c r="CT3088" s="138"/>
      <c r="CU3088" s="45"/>
      <c r="CV3088" s="99">
        <f t="shared" si="303"/>
        <v>0</v>
      </c>
      <c r="CW3088" s="139"/>
      <c r="CX3088" s="138"/>
      <c r="CY3088" s="138"/>
      <c r="CZ3088" s="138"/>
      <c r="DA3088" s="139"/>
      <c r="DB3088" s="138"/>
      <c r="DC3088" s="45"/>
      <c r="DD3088" s="138"/>
      <c r="DE3088" s="45"/>
      <c r="DF3088" s="46"/>
    </row>
    <row r="3089" spans="1:110" s="42" customFormat="1" ht="24" x14ac:dyDescent="0.2">
      <c r="A3089" s="89">
        <v>40892</v>
      </c>
      <c r="B3089" s="196" t="s">
        <v>4350</v>
      </c>
      <c r="C3089" s="197" t="s">
        <v>4339</v>
      </c>
      <c r="D3089" s="197" t="s">
        <v>4264</v>
      </c>
      <c r="E3089" s="90" t="str">
        <f>VLOOKUP(B3089&amp;C3089,Divipola!$C$2:$F$1138,4,FALSE)</f>
        <v>63401</v>
      </c>
      <c r="F3089" s="4"/>
      <c r="G3089" s="194"/>
      <c r="H3089" s="194"/>
      <c r="I3089" s="194"/>
      <c r="J3089" s="194">
        <v>40</v>
      </c>
      <c r="K3089" s="194">
        <v>8</v>
      </c>
      <c r="L3089" s="194"/>
      <c r="M3089" s="194">
        <v>8</v>
      </c>
      <c r="N3089" s="194"/>
      <c r="O3089" s="194"/>
      <c r="P3089" s="194"/>
      <c r="Q3089" s="194"/>
      <c r="R3089" s="194"/>
      <c r="S3089" s="194"/>
      <c r="T3089" s="194"/>
      <c r="U3089" s="194"/>
      <c r="V3089" s="194"/>
      <c r="W3089" s="19"/>
      <c r="X3089" s="17"/>
      <c r="Y3089" s="5">
        <f t="shared" si="298"/>
        <v>0</v>
      </c>
      <c r="Z3089" s="5">
        <f t="shared" si="299"/>
        <v>0</v>
      </c>
      <c r="AA3089" s="5">
        <f t="shared" si="300"/>
        <v>0</v>
      </c>
      <c r="AB3089" s="5">
        <f t="shared" si="301"/>
        <v>0</v>
      </c>
      <c r="AC3089" s="5"/>
      <c r="AD3089" s="5">
        <v>0</v>
      </c>
      <c r="AE3089" s="5">
        <f t="shared" si="302"/>
        <v>0</v>
      </c>
      <c r="AF3089" s="70">
        <v>0</v>
      </c>
      <c r="AG3089" s="17"/>
      <c r="AH3089" s="18"/>
      <c r="AI3089" s="47" t="s">
        <v>4336</v>
      </c>
      <c r="AJ3089" s="73" t="s">
        <v>4337</v>
      </c>
      <c r="AK3089" s="45"/>
      <c r="AL3089" s="17"/>
      <c r="AM3089" s="195" t="s">
        <v>5421</v>
      </c>
      <c r="AN3089" s="19"/>
      <c r="AO3089" s="19"/>
      <c r="AP3089" s="19"/>
      <c r="AQ3089" s="19"/>
      <c r="AR3089" s="19"/>
      <c r="AS3089" s="19"/>
      <c r="AT3089" s="19"/>
      <c r="AU3089" s="19"/>
      <c r="AV3089" s="19"/>
      <c r="AW3089" s="19"/>
      <c r="AX3089" s="19"/>
      <c r="AY3089" s="19"/>
      <c r="AZ3089" s="19"/>
      <c r="BA3089" s="19"/>
      <c r="BB3089" s="19"/>
      <c r="BC3089" s="19"/>
      <c r="BD3089" s="19"/>
      <c r="BE3089" s="19"/>
      <c r="BF3089" s="19"/>
      <c r="BG3089" s="19"/>
      <c r="BH3089" s="19"/>
      <c r="BI3089" s="19"/>
      <c r="BJ3089" s="19"/>
      <c r="BK3089" s="19"/>
      <c r="BL3089" s="19"/>
      <c r="BM3089" s="19"/>
      <c r="BN3089" s="19"/>
      <c r="BO3089" s="19"/>
      <c r="BP3089" s="19"/>
      <c r="BQ3089" s="19"/>
      <c r="BR3089" s="19"/>
      <c r="BS3089" s="19"/>
      <c r="BT3089" s="19"/>
      <c r="BU3089" s="19"/>
      <c r="BV3089" s="19"/>
      <c r="BW3089" s="19"/>
      <c r="BX3089" s="19"/>
      <c r="BY3089" s="19"/>
      <c r="BZ3089" s="19"/>
      <c r="CA3089" s="19"/>
      <c r="CB3089" s="19"/>
      <c r="CC3089" s="19"/>
      <c r="CD3089" s="139"/>
      <c r="CE3089" s="138"/>
      <c r="CF3089" s="139"/>
      <c r="CG3089" s="138"/>
      <c r="CH3089" s="139"/>
      <c r="CI3089" s="138"/>
      <c r="CJ3089" s="72"/>
      <c r="CK3089" s="139"/>
      <c r="CL3089" s="71"/>
      <c r="CM3089" s="139"/>
      <c r="CN3089" s="138"/>
      <c r="CO3089" s="138"/>
      <c r="CP3089" s="138"/>
      <c r="CQ3089" s="139"/>
      <c r="CR3089" s="138"/>
      <c r="CS3089" s="45"/>
      <c r="CT3089" s="138"/>
      <c r="CU3089" s="45"/>
      <c r="CV3089" s="99">
        <f t="shared" si="303"/>
        <v>0</v>
      </c>
      <c r="CW3089" s="139"/>
      <c r="CX3089" s="138"/>
      <c r="CY3089" s="138"/>
      <c r="CZ3089" s="138"/>
      <c r="DA3089" s="139"/>
      <c r="DB3089" s="138"/>
      <c r="DC3089" s="45"/>
      <c r="DD3089" s="138"/>
      <c r="DE3089" s="45"/>
      <c r="DF3089" s="46"/>
    </row>
    <row r="3090" spans="1:110" s="42" customFormat="1" ht="60" x14ac:dyDescent="0.2">
      <c r="A3090" s="89">
        <v>40892</v>
      </c>
      <c r="B3090" s="196" t="s">
        <v>4244</v>
      </c>
      <c r="C3090" s="197" t="s">
        <v>4245</v>
      </c>
      <c r="D3090" s="197" t="s">
        <v>4264</v>
      </c>
      <c r="E3090" s="90" t="str">
        <f>VLOOKUP(B3090&amp;C3090,Divipola!$C$2:$F$1138,4,FALSE)</f>
        <v>76497</v>
      </c>
      <c r="F3090" s="4"/>
      <c r="G3090" s="194"/>
      <c r="H3090" s="194"/>
      <c r="I3090" s="194"/>
      <c r="J3090" s="194">
        <v>720</v>
      </c>
      <c r="K3090" s="194">
        <v>144</v>
      </c>
      <c r="L3090" s="194"/>
      <c r="M3090" s="194">
        <v>144</v>
      </c>
      <c r="N3090" s="194"/>
      <c r="O3090" s="194"/>
      <c r="P3090" s="194"/>
      <c r="Q3090" s="194"/>
      <c r="R3090" s="194"/>
      <c r="S3090" s="194"/>
      <c r="T3090" s="194"/>
      <c r="U3090" s="194"/>
      <c r="V3090" s="194"/>
      <c r="W3090" s="19"/>
      <c r="X3090" s="17"/>
      <c r="Y3090" s="5">
        <f t="shared" si="298"/>
        <v>0</v>
      </c>
      <c r="Z3090" s="5">
        <f t="shared" si="299"/>
        <v>0</v>
      </c>
      <c r="AA3090" s="5">
        <f t="shared" si="300"/>
        <v>0</v>
      </c>
      <c r="AB3090" s="5">
        <f t="shared" si="301"/>
        <v>0</v>
      </c>
      <c r="AC3090" s="5"/>
      <c r="AD3090" s="5">
        <v>0</v>
      </c>
      <c r="AE3090" s="5">
        <f t="shared" si="302"/>
        <v>0</v>
      </c>
      <c r="AF3090" s="70">
        <v>0</v>
      </c>
      <c r="AG3090" s="17"/>
      <c r="AH3090" s="18"/>
      <c r="AI3090" s="47" t="s">
        <v>4346</v>
      </c>
      <c r="AJ3090" s="73" t="s">
        <v>4347</v>
      </c>
      <c r="AK3090" s="45"/>
      <c r="AL3090" s="89" t="s">
        <v>2798</v>
      </c>
      <c r="AM3090" s="195" t="s">
        <v>5468</v>
      </c>
      <c r="AN3090" s="19"/>
      <c r="AO3090" s="19"/>
      <c r="AP3090" s="19"/>
      <c r="AQ3090" s="19"/>
      <c r="AR3090" s="19"/>
      <c r="AS3090" s="19"/>
      <c r="AT3090" s="19"/>
      <c r="AU3090" s="19"/>
      <c r="AV3090" s="19"/>
      <c r="AW3090" s="19"/>
      <c r="AX3090" s="19"/>
      <c r="AY3090" s="19"/>
      <c r="AZ3090" s="19"/>
      <c r="BA3090" s="19"/>
      <c r="BB3090" s="19"/>
      <c r="BC3090" s="19"/>
      <c r="BD3090" s="19"/>
      <c r="BE3090" s="19"/>
      <c r="BF3090" s="19"/>
      <c r="BG3090" s="19"/>
      <c r="BH3090" s="19"/>
      <c r="BI3090" s="19"/>
      <c r="BJ3090" s="19"/>
      <c r="BK3090" s="19"/>
      <c r="BL3090" s="19"/>
      <c r="BM3090" s="19"/>
      <c r="BN3090" s="19"/>
      <c r="BO3090" s="19"/>
      <c r="BP3090" s="19"/>
      <c r="BQ3090" s="19"/>
      <c r="BR3090" s="19"/>
      <c r="BS3090" s="19"/>
      <c r="BT3090" s="19"/>
      <c r="BU3090" s="19"/>
      <c r="BV3090" s="19"/>
      <c r="BW3090" s="19"/>
      <c r="BX3090" s="19"/>
      <c r="BY3090" s="19"/>
      <c r="BZ3090" s="19"/>
      <c r="CA3090" s="19"/>
      <c r="CB3090" s="19"/>
      <c r="CC3090" s="19"/>
      <c r="CD3090" s="139"/>
      <c r="CE3090" s="138"/>
      <c r="CF3090" s="139"/>
      <c r="CG3090" s="138"/>
      <c r="CH3090" s="139"/>
      <c r="CI3090" s="138"/>
      <c r="CJ3090" s="72"/>
      <c r="CK3090" s="139"/>
      <c r="CL3090" s="71"/>
      <c r="CM3090" s="139"/>
      <c r="CN3090" s="138"/>
      <c r="CO3090" s="138"/>
      <c r="CP3090" s="138"/>
      <c r="CQ3090" s="139"/>
      <c r="CR3090" s="138"/>
      <c r="CS3090" s="45"/>
      <c r="CT3090" s="138"/>
      <c r="CU3090" s="45"/>
      <c r="CV3090" s="99">
        <f t="shared" si="303"/>
        <v>0</v>
      </c>
      <c r="CW3090" s="139"/>
      <c r="CX3090" s="138"/>
      <c r="CY3090" s="138"/>
      <c r="CZ3090" s="138"/>
      <c r="DA3090" s="139"/>
      <c r="DB3090" s="138"/>
      <c r="DC3090" s="45"/>
      <c r="DD3090" s="138"/>
      <c r="DE3090" s="45"/>
      <c r="DF3090" s="46"/>
    </row>
    <row r="3091" spans="1:110" s="42" customFormat="1" ht="36" x14ac:dyDescent="0.2">
      <c r="A3091" s="89">
        <v>40892</v>
      </c>
      <c r="B3091" s="196" t="s">
        <v>4244</v>
      </c>
      <c r="C3091" s="197" t="s">
        <v>2242</v>
      </c>
      <c r="D3091" s="197" t="s">
        <v>4264</v>
      </c>
      <c r="E3091" s="90" t="str">
        <f>VLOOKUP(B3091&amp;C3091,Divipola!$C$2:$F$1138,4,FALSE)</f>
        <v>76377</v>
      </c>
      <c r="F3091" s="4"/>
      <c r="G3091" s="194"/>
      <c r="H3091" s="194"/>
      <c r="I3091" s="194"/>
      <c r="J3091" s="194">
        <v>18</v>
      </c>
      <c r="K3091" s="194">
        <v>5</v>
      </c>
      <c r="L3091" s="194"/>
      <c r="M3091" s="194">
        <v>5</v>
      </c>
      <c r="N3091" s="194"/>
      <c r="O3091" s="194"/>
      <c r="P3091" s="194"/>
      <c r="Q3091" s="194"/>
      <c r="R3091" s="194"/>
      <c r="S3091" s="194"/>
      <c r="T3091" s="194"/>
      <c r="U3091" s="194"/>
      <c r="V3091" s="194"/>
      <c r="W3091" s="19"/>
      <c r="X3091" s="17"/>
      <c r="Y3091" s="5">
        <f t="shared" si="298"/>
        <v>0</v>
      </c>
      <c r="Z3091" s="5">
        <f t="shared" si="299"/>
        <v>0</v>
      </c>
      <c r="AA3091" s="5">
        <f t="shared" si="300"/>
        <v>0</v>
      </c>
      <c r="AB3091" s="5">
        <f t="shared" si="301"/>
        <v>0</v>
      </c>
      <c r="AC3091" s="5"/>
      <c r="AD3091" s="5">
        <v>0</v>
      </c>
      <c r="AE3091" s="5">
        <f t="shared" si="302"/>
        <v>0</v>
      </c>
      <c r="AF3091" s="70">
        <v>0</v>
      </c>
      <c r="AG3091" s="17"/>
      <c r="AH3091" s="18"/>
      <c r="AI3091" s="47" t="s">
        <v>4346</v>
      </c>
      <c r="AJ3091" s="73" t="s">
        <v>4347</v>
      </c>
      <c r="AK3091" s="45"/>
      <c r="AL3091" s="89" t="s">
        <v>2798</v>
      </c>
      <c r="AM3091" s="195" t="s">
        <v>5424</v>
      </c>
      <c r="AN3091" s="19"/>
      <c r="AO3091" s="19"/>
      <c r="AP3091" s="19"/>
      <c r="AQ3091" s="19"/>
      <c r="AR3091" s="19"/>
      <c r="AS3091" s="19"/>
      <c r="AT3091" s="19"/>
      <c r="AU3091" s="19"/>
      <c r="AV3091" s="19"/>
      <c r="AW3091" s="19"/>
      <c r="AX3091" s="19"/>
      <c r="AY3091" s="19"/>
      <c r="AZ3091" s="19"/>
      <c r="BA3091" s="19"/>
      <c r="BB3091" s="19"/>
      <c r="BC3091" s="19"/>
      <c r="BD3091" s="19"/>
      <c r="BE3091" s="19"/>
      <c r="BF3091" s="19"/>
      <c r="BG3091" s="19"/>
      <c r="BH3091" s="19"/>
      <c r="BI3091" s="19"/>
      <c r="BJ3091" s="19"/>
      <c r="BK3091" s="19"/>
      <c r="BL3091" s="19"/>
      <c r="BM3091" s="19"/>
      <c r="BN3091" s="19"/>
      <c r="BO3091" s="19"/>
      <c r="BP3091" s="19"/>
      <c r="BQ3091" s="19"/>
      <c r="BR3091" s="19"/>
      <c r="BS3091" s="19"/>
      <c r="BT3091" s="19"/>
      <c r="BU3091" s="19"/>
      <c r="BV3091" s="19"/>
      <c r="BW3091" s="19"/>
      <c r="BX3091" s="19"/>
      <c r="BY3091" s="19"/>
      <c r="BZ3091" s="19"/>
      <c r="CA3091" s="19"/>
      <c r="CB3091" s="19"/>
      <c r="CC3091" s="19"/>
      <c r="CD3091" s="139"/>
      <c r="CE3091" s="138"/>
      <c r="CF3091" s="139"/>
      <c r="CG3091" s="138"/>
      <c r="CH3091" s="139"/>
      <c r="CI3091" s="138"/>
      <c r="CJ3091" s="72"/>
      <c r="CK3091" s="139"/>
      <c r="CL3091" s="71"/>
      <c r="CM3091" s="139"/>
      <c r="CN3091" s="138"/>
      <c r="CO3091" s="138"/>
      <c r="CP3091" s="138"/>
      <c r="CQ3091" s="139"/>
      <c r="CR3091" s="138"/>
      <c r="CS3091" s="45"/>
      <c r="CT3091" s="138"/>
      <c r="CU3091" s="45"/>
      <c r="CV3091" s="99">
        <f t="shared" si="303"/>
        <v>0</v>
      </c>
      <c r="CW3091" s="139"/>
      <c r="CX3091" s="138"/>
      <c r="CY3091" s="138"/>
      <c r="CZ3091" s="138"/>
      <c r="DA3091" s="139"/>
      <c r="DB3091" s="138"/>
      <c r="DC3091" s="45"/>
      <c r="DD3091" s="138"/>
      <c r="DE3091" s="45"/>
      <c r="DF3091" s="46"/>
    </row>
    <row r="3092" spans="1:110" s="42" customFormat="1" ht="48" x14ac:dyDescent="0.2">
      <c r="A3092" s="89">
        <v>40892</v>
      </c>
      <c r="B3092" s="196" t="s">
        <v>4244</v>
      </c>
      <c r="C3092" s="197" t="s">
        <v>4248</v>
      </c>
      <c r="D3092" s="197" t="s">
        <v>4264</v>
      </c>
      <c r="E3092" s="90" t="str">
        <f>VLOOKUP(B3092&amp;C3092,Divipola!$C$2:$F$1138,4,FALSE)</f>
        <v>76736</v>
      </c>
      <c r="F3092" s="4"/>
      <c r="G3092" s="194"/>
      <c r="H3092" s="194"/>
      <c r="I3092" s="194"/>
      <c r="J3092" s="194"/>
      <c r="K3092" s="194"/>
      <c r="L3092" s="194"/>
      <c r="M3092" s="194"/>
      <c r="N3092" s="194">
        <v>1</v>
      </c>
      <c r="O3092" s="194"/>
      <c r="P3092" s="194"/>
      <c r="Q3092" s="194"/>
      <c r="R3092" s="194"/>
      <c r="S3092" s="194"/>
      <c r="T3092" s="194"/>
      <c r="U3092" s="194"/>
      <c r="V3092" s="194"/>
      <c r="W3092" s="19"/>
      <c r="X3092" s="17"/>
      <c r="Y3092" s="5">
        <f t="shared" si="298"/>
        <v>0</v>
      </c>
      <c r="Z3092" s="5">
        <f t="shared" si="299"/>
        <v>0</v>
      </c>
      <c r="AA3092" s="5">
        <f t="shared" si="300"/>
        <v>0</v>
      </c>
      <c r="AB3092" s="5">
        <f t="shared" si="301"/>
        <v>0</v>
      </c>
      <c r="AC3092" s="5"/>
      <c r="AD3092" s="5">
        <v>0</v>
      </c>
      <c r="AE3092" s="5">
        <f t="shared" si="302"/>
        <v>0</v>
      </c>
      <c r="AF3092" s="70">
        <v>0</v>
      </c>
      <c r="AG3092" s="17"/>
      <c r="AH3092" s="18"/>
      <c r="AI3092" s="47" t="s">
        <v>4346</v>
      </c>
      <c r="AJ3092" s="73" t="s">
        <v>4347</v>
      </c>
      <c r="AK3092" s="45"/>
      <c r="AL3092" s="89" t="s">
        <v>2798</v>
      </c>
      <c r="AM3092" s="195" t="s">
        <v>5407</v>
      </c>
      <c r="AN3092" s="19"/>
      <c r="AO3092" s="19"/>
      <c r="AP3092" s="19"/>
      <c r="AQ3092" s="19"/>
      <c r="AR3092" s="19"/>
      <c r="AS3092" s="19"/>
      <c r="AT3092" s="19"/>
      <c r="AU3092" s="19"/>
      <c r="AV3092" s="19"/>
      <c r="AW3092" s="19"/>
      <c r="AX3092" s="19"/>
      <c r="AY3092" s="19"/>
      <c r="AZ3092" s="19"/>
      <c r="BA3092" s="19"/>
      <c r="BB3092" s="19"/>
      <c r="BC3092" s="19"/>
      <c r="BD3092" s="19"/>
      <c r="BE3092" s="19"/>
      <c r="BF3092" s="19"/>
      <c r="BG3092" s="19"/>
      <c r="BH3092" s="19"/>
      <c r="BI3092" s="19"/>
      <c r="BJ3092" s="19"/>
      <c r="BK3092" s="19"/>
      <c r="BL3092" s="19"/>
      <c r="BM3092" s="19"/>
      <c r="BN3092" s="19"/>
      <c r="BO3092" s="19"/>
      <c r="BP3092" s="19"/>
      <c r="BQ3092" s="19"/>
      <c r="BR3092" s="19"/>
      <c r="BS3092" s="19"/>
      <c r="BT3092" s="19"/>
      <c r="BU3092" s="19"/>
      <c r="BV3092" s="19"/>
      <c r="BW3092" s="19"/>
      <c r="BX3092" s="19"/>
      <c r="BY3092" s="19"/>
      <c r="BZ3092" s="19"/>
      <c r="CA3092" s="19"/>
      <c r="CB3092" s="19"/>
      <c r="CC3092" s="19"/>
      <c r="CD3092" s="139"/>
      <c r="CE3092" s="138"/>
      <c r="CF3092" s="139"/>
      <c r="CG3092" s="138"/>
      <c r="CH3092" s="139"/>
      <c r="CI3092" s="138"/>
      <c r="CJ3092" s="72"/>
      <c r="CK3092" s="139"/>
      <c r="CL3092" s="71"/>
      <c r="CM3092" s="139"/>
      <c r="CN3092" s="138"/>
      <c r="CO3092" s="138"/>
      <c r="CP3092" s="138"/>
      <c r="CQ3092" s="139"/>
      <c r="CR3092" s="138"/>
      <c r="CS3092" s="45"/>
      <c r="CT3092" s="138"/>
      <c r="CU3092" s="45"/>
      <c r="CV3092" s="99">
        <f t="shared" si="303"/>
        <v>0</v>
      </c>
      <c r="CW3092" s="139"/>
      <c r="CX3092" s="138"/>
      <c r="CY3092" s="138"/>
      <c r="CZ3092" s="138"/>
      <c r="DA3092" s="139"/>
      <c r="DB3092" s="138"/>
      <c r="DC3092" s="45"/>
      <c r="DD3092" s="138"/>
      <c r="DE3092" s="45"/>
      <c r="DF3092" s="46"/>
    </row>
    <row r="3093" spans="1:110" s="42" customFormat="1" ht="36" x14ac:dyDescent="0.2">
      <c r="A3093" s="89">
        <v>40892</v>
      </c>
      <c r="B3093" s="196" t="s">
        <v>4244</v>
      </c>
      <c r="C3093" s="197" t="s">
        <v>4352</v>
      </c>
      <c r="D3093" s="197" t="s">
        <v>4264</v>
      </c>
      <c r="E3093" s="90" t="str">
        <f>VLOOKUP(B3093&amp;C3093,Divipola!$C$2:$F$1138,4,FALSE)</f>
        <v>76100</v>
      </c>
      <c r="F3093" s="4"/>
      <c r="G3093" s="194"/>
      <c r="H3093" s="194"/>
      <c r="I3093" s="194"/>
      <c r="J3093" s="194">
        <v>45</v>
      </c>
      <c r="K3093" s="194">
        <v>10</v>
      </c>
      <c r="L3093" s="194"/>
      <c r="M3093" s="194">
        <v>10</v>
      </c>
      <c r="N3093" s="194"/>
      <c r="O3093" s="194"/>
      <c r="P3093" s="194"/>
      <c r="Q3093" s="194"/>
      <c r="R3093" s="194"/>
      <c r="S3093" s="194"/>
      <c r="T3093" s="194"/>
      <c r="U3093" s="194"/>
      <c r="V3093" s="194"/>
      <c r="W3093" s="19"/>
      <c r="X3093" s="17"/>
      <c r="Y3093" s="5">
        <f t="shared" si="298"/>
        <v>0</v>
      </c>
      <c r="Z3093" s="5">
        <f t="shared" si="299"/>
        <v>0</v>
      </c>
      <c r="AA3093" s="5">
        <f t="shared" si="300"/>
        <v>0</v>
      </c>
      <c r="AB3093" s="5">
        <f t="shared" si="301"/>
        <v>0</v>
      </c>
      <c r="AC3093" s="5"/>
      <c r="AD3093" s="5">
        <v>0</v>
      </c>
      <c r="AE3093" s="5">
        <f t="shared" si="302"/>
        <v>0</v>
      </c>
      <c r="AF3093" s="70">
        <v>0</v>
      </c>
      <c r="AG3093" s="17"/>
      <c r="AH3093" s="18"/>
      <c r="AI3093" s="47" t="s">
        <v>4346</v>
      </c>
      <c r="AJ3093" s="73" t="s">
        <v>4347</v>
      </c>
      <c r="AK3093" s="45"/>
      <c r="AL3093" s="89" t="s">
        <v>2798</v>
      </c>
      <c r="AM3093" s="195" t="s">
        <v>5408</v>
      </c>
      <c r="AN3093" s="19"/>
      <c r="AO3093" s="19"/>
      <c r="AP3093" s="19"/>
      <c r="AQ3093" s="19"/>
      <c r="AR3093" s="19"/>
      <c r="AS3093" s="19"/>
      <c r="AT3093" s="19"/>
      <c r="AU3093" s="19"/>
      <c r="AV3093" s="19"/>
      <c r="AW3093" s="19"/>
      <c r="AX3093" s="19"/>
      <c r="AY3093" s="19"/>
      <c r="AZ3093" s="19"/>
      <c r="BA3093" s="19"/>
      <c r="BB3093" s="19"/>
      <c r="BC3093" s="19"/>
      <c r="BD3093" s="19"/>
      <c r="BE3093" s="19"/>
      <c r="BF3093" s="19"/>
      <c r="BG3093" s="19"/>
      <c r="BH3093" s="19"/>
      <c r="BI3093" s="19"/>
      <c r="BJ3093" s="19"/>
      <c r="BK3093" s="19"/>
      <c r="BL3093" s="19"/>
      <c r="BM3093" s="19"/>
      <c r="BN3093" s="19"/>
      <c r="BO3093" s="19"/>
      <c r="BP3093" s="19"/>
      <c r="BQ3093" s="19"/>
      <c r="BR3093" s="19"/>
      <c r="BS3093" s="19"/>
      <c r="BT3093" s="19"/>
      <c r="BU3093" s="19"/>
      <c r="BV3093" s="19"/>
      <c r="BW3093" s="19"/>
      <c r="BX3093" s="19"/>
      <c r="BY3093" s="19"/>
      <c r="BZ3093" s="19"/>
      <c r="CA3093" s="19"/>
      <c r="CB3093" s="19"/>
      <c r="CC3093" s="19"/>
      <c r="CD3093" s="139"/>
      <c r="CE3093" s="138"/>
      <c r="CF3093" s="139"/>
      <c r="CG3093" s="138"/>
      <c r="CH3093" s="139"/>
      <c r="CI3093" s="138"/>
      <c r="CJ3093" s="72"/>
      <c r="CK3093" s="139"/>
      <c r="CL3093" s="71"/>
      <c r="CM3093" s="139"/>
      <c r="CN3093" s="138"/>
      <c r="CO3093" s="138"/>
      <c r="CP3093" s="138"/>
      <c r="CQ3093" s="139"/>
      <c r="CR3093" s="138"/>
      <c r="CS3093" s="45"/>
      <c r="CT3093" s="138"/>
      <c r="CU3093" s="45"/>
      <c r="CV3093" s="99">
        <f t="shared" si="303"/>
        <v>0</v>
      </c>
      <c r="CW3093" s="139"/>
      <c r="CX3093" s="138"/>
      <c r="CY3093" s="138"/>
      <c r="CZ3093" s="138"/>
      <c r="DA3093" s="139"/>
      <c r="DB3093" s="138"/>
      <c r="DC3093" s="45"/>
      <c r="DD3093" s="138"/>
      <c r="DE3093" s="45"/>
      <c r="DF3093" s="46"/>
    </row>
    <row r="3094" spans="1:110" s="42" customFormat="1" ht="36" x14ac:dyDescent="0.2">
      <c r="A3094" s="89">
        <v>40892</v>
      </c>
      <c r="B3094" s="196" t="s">
        <v>4244</v>
      </c>
      <c r="C3094" s="197" t="s">
        <v>3325</v>
      </c>
      <c r="D3094" s="197" t="s">
        <v>4264</v>
      </c>
      <c r="E3094" s="90" t="str">
        <f>VLOOKUP(B3094&amp;C3094,Divipola!$C$2:$F$1138,4,FALSE)</f>
        <v>76250</v>
      </c>
      <c r="F3094" s="4"/>
      <c r="G3094" s="194"/>
      <c r="H3094" s="194"/>
      <c r="I3094" s="194"/>
      <c r="J3094" s="194">
        <v>9</v>
      </c>
      <c r="K3094" s="194">
        <v>2</v>
      </c>
      <c r="L3094" s="194"/>
      <c r="M3094" s="194">
        <v>2</v>
      </c>
      <c r="N3094" s="194"/>
      <c r="O3094" s="194"/>
      <c r="P3094" s="194"/>
      <c r="Q3094" s="194"/>
      <c r="R3094" s="194"/>
      <c r="S3094" s="194"/>
      <c r="T3094" s="194"/>
      <c r="U3094" s="194"/>
      <c r="V3094" s="194"/>
      <c r="W3094" s="19"/>
      <c r="X3094" s="17"/>
      <c r="Y3094" s="5">
        <f t="shared" si="298"/>
        <v>0</v>
      </c>
      <c r="Z3094" s="5">
        <f t="shared" si="299"/>
        <v>0</v>
      </c>
      <c r="AA3094" s="5">
        <f t="shared" si="300"/>
        <v>0</v>
      </c>
      <c r="AB3094" s="5">
        <f t="shared" si="301"/>
        <v>0</v>
      </c>
      <c r="AC3094" s="5"/>
      <c r="AD3094" s="5">
        <v>0</v>
      </c>
      <c r="AE3094" s="5">
        <f t="shared" si="302"/>
        <v>0</v>
      </c>
      <c r="AF3094" s="70">
        <v>0</v>
      </c>
      <c r="AG3094" s="17"/>
      <c r="AH3094" s="18"/>
      <c r="AI3094" s="47" t="s">
        <v>4346</v>
      </c>
      <c r="AJ3094" s="73" t="s">
        <v>4347</v>
      </c>
      <c r="AK3094" s="45"/>
      <c r="AL3094" s="89" t="s">
        <v>2798</v>
      </c>
      <c r="AM3094" s="195" t="s">
        <v>5409</v>
      </c>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39"/>
      <c r="CE3094" s="138"/>
      <c r="CF3094" s="139"/>
      <c r="CG3094" s="138"/>
      <c r="CH3094" s="139"/>
      <c r="CI3094" s="138"/>
      <c r="CJ3094" s="72"/>
      <c r="CK3094" s="139"/>
      <c r="CL3094" s="71"/>
      <c r="CM3094" s="139"/>
      <c r="CN3094" s="138"/>
      <c r="CO3094" s="138"/>
      <c r="CP3094" s="138"/>
      <c r="CQ3094" s="139"/>
      <c r="CR3094" s="138"/>
      <c r="CS3094" s="45"/>
      <c r="CT3094" s="138"/>
      <c r="CU3094" s="45"/>
      <c r="CV3094" s="99">
        <f t="shared" si="303"/>
        <v>0</v>
      </c>
      <c r="CW3094" s="139"/>
      <c r="CX3094" s="138"/>
      <c r="CY3094" s="138"/>
      <c r="CZ3094" s="138"/>
      <c r="DA3094" s="139"/>
      <c r="DB3094" s="138"/>
      <c r="DC3094" s="45"/>
      <c r="DD3094" s="138"/>
      <c r="DE3094" s="45"/>
      <c r="DF3094" s="46"/>
    </row>
    <row r="3095" spans="1:110" s="42" customFormat="1" ht="72" x14ac:dyDescent="0.2">
      <c r="A3095" s="89">
        <v>40892</v>
      </c>
      <c r="B3095" s="196" t="s">
        <v>4244</v>
      </c>
      <c r="C3095" s="197" t="s">
        <v>2247</v>
      </c>
      <c r="D3095" s="197" t="s">
        <v>4264</v>
      </c>
      <c r="E3095" s="90" t="str">
        <f>VLOOKUP(B3095&amp;C3095,Divipola!$C$2:$F$1138,4,FALSE)</f>
        <v>76622</v>
      </c>
      <c r="F3095" s="4"/>
      <c r="G3095" s="194"/>
      <c r="H3095" s="194"/>
      <c r="I3095" s="194"/>
      <c r="J3095" s="194">
        <f>70*5</f>
        <v>350</v>
      </c>
      <c r="K3095" s="194">
        <v>70</v>
      </c>
      <c r="L3095" s="194"/>
      <c r="M3095" s="194">
        <v>70</v>
      </c>
      <c r="N3095" s="194"/>
      <c r="O3095" s="194"/>
      <c r="P3095" s="194"/>
      <c r="Q3095" s="194"/>
      <c r="R3095" s="194"/>
      <c r="S3095" s="194"/>
      <c r="T3095" s="194"/>
      <c r="U3095" s="194"/>
      <c r="V3095" s="194"/>
      <c r="W3095" s="19"/>
      <c r="X3095" s="17"/>
      <c r="Y3095" s="5">
        <f t="shared" si="298"/>
        <v>21199788.800000001</v>
      </c>
      <c r="Z3095" s="5">
        <f t="shared" si="299"/>
        <v>25500000</v>
      </c>
      <c r="AA3095" s="5">
        <f t="shared" si="300"/>
        <v>0</v>
      </c>
      <c r="AB3095" s="5">
        <f t="shared" si="301"/>
        <v>18212000</v>
      </c>
      <c r="AC3095" s="5"/>
      <c r="AD3095" s="5">
        <v>0</v>
      </c>
      <c r="AE3095" s="5">
        <f t="shared" si="302"/>
        <v>64911788.799999997</v>
      </c>
      <c r="AF3095" s="70">
        <v>0</v>
      </c>
      <c r="AG3095" s="17"/>
      <c r="AH3095" s="18"/>
      <c r="AI3095" s="47" t="s">
        <v>4346</v>
      </c>
      <c r="AJ3095" s="73" t="s">
        <v>4347</v>
      </c>
      <c r="AK3095" s="45"/>
      <c r="AL3095" s="89" t="s">
        <v>2798</v>
      </c>
      <c r="AM3095" s="195" t="s">
        <v>5410</v>
      </c>
      <c r="AN3095" s="19"/>
      <c r="AO3095" s="19"/>
      <c r="AP3095" s="19"/>
      <c r="AQ3095" s="19"/>
      <c r="AR3095" s="19"/>
      <c r="AS3095" s="19"/>
      <c r="AT3095" s="19"/>
      <c r="AU3095" s="19"/>
      <c r="AV3095" s="19"/>
      <c r="AW3095" s="19"/>
      <c r="AX3095" s="19"/>
      <c r="AY3095" s="19"/>
      <c r="AZ3095" s="19">
        <v>200</v>
      </c>
      <c r="BA3095" s="19">
        <f>200*55999</f>
        <v>11199800</v>
      </c>
      <c r="BB3095" s="19"/>
      <c r="BC3095" s="19"/>
      <c r="BD3095" s="19"/>
      <c r="BE3095" s="19"/>
      <c r="BF3095" s="19"/>
      <c r="BG3095" s="19"/>
      <c r="BH3095" s="19"/>
      <c r="BI3095" s="19"/>
      <c r="BJ3095" s="19"/>
      <c r="BK3095" s="19"/>
      <c r="BL3095" s="19"/>
      <c r="BM3095" s="19"/>
      <c r="BN3095" s="19"/>
      <c r="BO3095" s="19"/>
      <c r="BP3095" s="19"/>
      <c r="BQ3095" s="19"/>
      <c r="BR3095" s="19"/>
      <c r="BS3095" s="19"/>
      <c r="BT3095" s="19"/>
      <c r="BU3095" s="19"/>
      <c r="BV3095" s="19"/>
      <c r="BW3095" s="19"/>
      <c r="BX3095" s="19"/>
      <c r="BY3095" s="19"/>
      <c r="BZ3095" s="19">
        <v>20</v>
      </c>
      <c r="CA3095" s="19">
        <f>20*499999.44</f>
        <v>9999988.8000000007</v>
      </c>
      <c r="CB3095" s="19"/>
      <c r="CC3095" s="19"/>
      <c r="CD3095" s="139"/>
      <c r="CE3095" s="138"/>
      <c r="CF3095" s="139"/>
      <c r="CG3095" s="138"/>
      <c r="CH3095" s="139"/>
      <c r="CI3095" s="138"/>
      <c r="CJ3095" s="72"/>
      <c r="CK3095" s="139"/>
      <c r="CL3095" s="71"/>
      <c r="CM3095" s="139"/>
      <c r="CN3095" s="138"/>
      <c r="CO3095" s="138"/>
      <c r="CP3095" s="138"/>
      <c r="CQ3095" s="139"/>
      <c r="CR3095" s="138"/>
      <c r="CS3095" s="45"/>
      <c r="CT3095" s="138"/>
      <c r="CU3095" s="45"/>
      <c r="CV3095" s="99">
        <f t="shared" si="303"/>
        <v>21199788.800000001</v>
      </c>
      <c r="CW3095" s="139">
        <v>20000</v>
      </c>
      <c r="CX3095" s="138">
        <f>20000*910.6</f>
        <v>18212000</v>
      </c>
      <c r="CY3095" s="138">
        <v>300</v>
      </c>
      <c r="CZ3095" s="138">
        <f>300*85000</f>
        <v>25500000</v>
      </c>
      <c r="DA3095" s="139"/>
      <c r="DB3095" s="138"/>
      <c r="DC3095" s="45"/>
      <c r="DD3095" s="138"/>
      <c r="DE3095" s="45"/>
      <c r="DF3095" s="46"/>
    </row>
    <row r="3096" spans="1:110" s="42" customFormat="1" ht="48" x14ac:dyDescent="0.2">
      <c r="A3096" s="89">
        <v>40892</v>
      </c>
      <c r="B3096" s="196" t="s">
        <v>4244</v>
      </c>
      <c r="C3096" s="197" t="s">
        <v>4322</v>
      </c>
      <c r="D3096" s="197" t="s">
        <v>2362</v>
      </c>
      <c r="E3096" s="90" t="str">
        <f>VLOOKUP(B3096&amp;C3096,Divipola!$C$2:$F$1138,4,FALSE)</f>
        <v>76109</v>
      </c>
      <c r="F3096" s="4"/>
      <c r="G3096" s="194"/>
      <c r="H3096" s="194"/>
      <c r="I3096" s="194"/>
      <c r="J3096" s="194">
        <v>15</v>
      </c>
      <c r="K3096" s="194">
        <v>3</v>
      </c>
      <c r="L3096" s="194">
        <v>3</v>
      </c>
      <c r="M3096" s="194"/>
      <c r="N3096" s="194">
        <v>1</v>
      </c>
      <c r="O3096" s="194"/>
      <c r="P3096" s="194"/>
      <c r="Q3096" s="194"/>
      <c r="R3096" s="194"/>
      <c r="S3096" s="194"/>
      <c r="T3096" s="194"/>
      <c r="U3096" s="194"/>
      <c r="V3096" s="194"/>
      <c r="W3096" s="19"/>
      <c r="X3096" s="17"/>
      <c r="Y3096" s="5">
        <f t="shared" si="298"/>
        <v>0</v>
      </c>
      <c r="Z3096" s="5">
        <f t="shared" si="299"/>
        <v>0</v>
      </c>
      <c r="AA3096" s="5">
        <f t="shared" si="300"/>
        <v>0</v>
      </c>
      <c r="AB3096" s="5">
        <f t="shared" si="301"/>
        <v>0</v>
      </c>
      <c r="AC3096" s="5"/>
      <c r="AD3096" s="5">
        <v>0</v>
      </c>
      <c r="AE3096" s="5">
        <f t="shared" si="302"/>
        <v>0</v>
      </c>
      <c r="AF3096" s="70">
        <v>0</v>
      </c>
      <c r="AG3096" s="17"/>
      <c r="AH3096" s="18"/>
      <c r="AI3096" s="47" t="s">
        <v>4346</v>
      </c>
      <c r="AJ3096" s="73" t="s">
        <v>4347</v>
      </c>
      <c r="AK3096" s="45"/>
      <c r="AL3096" s="89" t="s">
        <v>2798</v>
      </c>
      <c r="AM3096" s="195" t="s">
        <v>5411</v>
      </c>
      <c r="AN3096" s="19"/>
      <c r="AO3096" s="19"/>
      <c r="AP3096" s="19"/>
      <c r="AQ3096" s="19"/>
      <c r="AR3096" s="19"/>
      <c r="AS3096" s="19"/>
      <c r="AT3096" s="19"/>
      <c r="AU3096" s="19"/>
      <c r="AV3096" s="19"/>
      <c r="AW3096" s="19"/>
      <c r="AX3096" s="19"/>
      <c r="AY3096" s="19"/>
      <c r="AZ3096" s="19"/>
      <c r="BA3096" s="19"/>
      <c r="BB3096" s="19"/>
      <c r="BC3096" s="19"/>
      <c r="BD3096" s="19"/>
      <c r="BE3096" s="19"/>
      <c r="BF3096" s="19"/>
      <c r="BG3096" s="19"/>
      <c r="BH3096" s="19"/>
      <c r="BI3096" s="19"/>
      <c r="BJ3096" s="19"/>
      <c r="BK3096" s="19"/>
      <c r="BL3096" s="19"/>
      <c r="BM3096" s="19"/>
      <c r="BN3096" s="19"/>
      <c r="BO3096" s="19"/>
      <c r="BP3096" s="19"/>
      <c r="BQ3096" s="19"/>
      <c r="BR3096" s="19"/>
      <c r="BS3096" s="19"/>
      <c r="BT3096" s="19"/>
      <c r="BU3096" s="19"/>
      <c r="BV3096" s="19"/>
      <c r="BW3096" s="19"/>
      <c r="BX3096" s="19"/>
      <c r="BY3096" s="19"/>
      <c r="BZ3096" s="19"/>
      <c r="CA3096" s="19"/>
      <c r="CB3096" s="19"/>
      <c r="CC3096" s="19"/>
      <c r="CD3096" s="139"/>
      <c r="CE3096" s="138"/>
      <c r="CF3096" s="139"/>
      <c r="CG3096" s="138"/>
      <c r="CH3096" s="139"/>
      <c r="CI3096" s="138"/>
      <c r="CJ3096" s="72"/>
      <c r="CK3096" s="139"/>
      <c r="CL3096" s="71"/>
      <c r="CM3096" s="139"/>
      <c r="CN3096" s="138"/>
      <c r="CO3096" s="138"/>
      <c r="CP3096" s="138"/>
      <c r="CQ3096" s="139"/>
      <c r="CR3096" s="138"/>
      <c r="CS3096" s="45"/>
      <c r="CT3096" s="138"/>
      <c r="CU3096" s="45"/>
      <c r="CV3096" s="99">
        <f t="shared" si="303"/>
        <v>0</v>
      </c>
      <c r="CW3096" s="139"/>
      <c r="CX3096" s="138"/>
      <c r="CY3096" s="138"/>
      <c r="CZ3096" s="138"/>
      <c r="DA3096" s="139"/>
      <c r="DB3096" s="138"/>
      <c r="DC3096" s="45"/>
      <c r="DD3096" s="138"/>
      <c r="DE3096" s="45"/>
      <c r="DF3096" s="46"/>
    </row>
    <row r="3097" spans="1:110" s="42" customFormat="1" ht="48" x14ac:dyDescent="0.2">
      <c r="A3097" s="89">
        <v>40892</v>
      </c>
      <c r="B3097" s="196" t="s">
        <v>4244</v>
      </c>
      <c r="C3097" s="197" t="s">
        <v>4322</v>
      </c>
      <c r="D3097" s="197" t="s">
        <v>4264</v>
      </c>
      <c r="E3097" s="90" t="str">
        <f>VLOOKUP(B3097&amp;C3097,Divipola!$C$2:$F$1138,4,FALSE)</f>
        <v>76109</v>
      </c>
      <c r="F3097" s="4"/>
      <c r="G3097" s="194"/>
      <c r="H3097" s="194"/>
      <c r="I3097" s="194"/>
      <c r="J3097" s="194"/>
      <c r="K3097" s="194"/>
      <c r="L3097" s="194"/>
      <c r="M3097" s="194"/>
      <c r="N3097" s="194"/>
      <c r="O3097" s="194"/>
      <c r="P3097" s="194"/>
      <c r="Q3097" s="194"/>
      <c r="R3097" s="194"/>
      <c r="S3097" s="194"/>
      <c r="T3097" s="194"/>
      <c r="U3097" s="194"/>
      <c r="V3097" s="194"/>
      <c r="W3097" s="19"/>
      <c r="X3097" s="17"/>
      <c r="Y3097" s="5">
        <f t="shared" si="298"/>
        <v>0</v>
      </c>
      <c r="Z3097" s="5">
        <f t="shared" si="299"/>
        <v>0</v>
      </c>
      <c r="AA3097" s="5">
        <f t="shared" si="300"/>
        <v>0</v>
      </c>
      <c r="AB3097" s="5">
        <f t="shared" si="301"/>
        <v>0</v>
      </c>
      <c r="AC3097" s="5"/>
      <c r="AD3097" s="5">
        <v>0</v>
      </c>
      <c r="AE3097" s="5">
        <f t="shared" si="302"/>
        <v>0</v>
      </c>
      <c r="AF3097" s="70">
        <v>0</v>
      </c>
      <c r="AG3097" s="17"/>
      <c r="AH3097" s="18"/>
      <c r="AI3097" s="47" t="s">
        <v>4346</v>
      </c>
      <c r="AJ3097" s="73" t="s">
        <v>4347</v>
      </c>
      <c r="AK3097" s="45"/>
      <c r="AL3097" s="89" t="s">
        <v>2798</v>
      </c>
      <c r="AM3097" s="195" t="s">
        <v>5412</v>
      </c>
      <c r="AN3097" s="19"/>
      <c r="AO3097" s="19"/>
      <c r="AP3097" s="19"/>
      <c r="AQ3097" s="19"/>
      <c r="AR3097" s="19"/>
      <c r="AS3097" s="19"/>
      <c r="AT3097" s="19"/>
      <c r="AU3097" s="19"/>
      <c r="AV3097" s="19"/>
      <c r="AW3097" s="19"/>
      <c r="AX3097" s="19"/>
      <c r="AY3097" s="19"/>
      <c r="AZ3097" s="19"/>
      <c r="BA3097" s="19"/>
      <c r="BB3097" s="19"/>
      <c r="BC3097" s="19"/>
      <c r="BD3097" s="19"/>
      <c r="BE3097" s="19"/>
      <c r="BF3097" s="19"/>
      <c r="BG3097" s="19"/>
      <c r="BH3097" s="19"/>
      <c r="BI3097" s="19"/>
      <c r="BJ3097" s="19"/>
      <c r="BK3097" s="19"/>
      <c r="BL3097" s="19"/>
      <c r="BM3097" s="19"/>
      <c r="BN3097" s="19"/>
      <c r="BO3097" s="19"/>
      <c r="BP3097" s="19"/>
      <c r="BQ3097" s="19"/>
      <c r="BR3097" s="19"/>
      <c r="BS3097" s="19"/>
      <c r="BT3097" s="19"/>
      <c r="BU3097" s="19"/>
      <c r="BV3097" s="19"/>
      <c r="BW3097" s="19"/>
      <c r="BX3097" s="19"/>
      <c r="BY3097" s="19"/>
      <c r="BZ3097" s="19"/>
      <c r="CA3097" s="19"/>
      <c r="CB3097" s="19"/>
      <c r="CC3097" s="19"/>
      <c r="CD3097" s="139"/>
      <c r="CE3097" s="138"/>
      <c r="CF3097" s="139"/>
      <c r="CG3097" s="138"/>
      <c r="CH3097" s="139"/>
      <c r="CI3097" s="138"/>
      <c r="CJ3097" s="72"/>
      <c r="CK3097" s="139"/>
      <c r="CL3097" s="71"/>
      <c r="CM3097" s="139"/>
      <c r="CN3097" s="138"/>
      <c r="CO3097" s="138"/>
      <c r="CP3097" s="138"/>
      <c r="CQ3097" s="139"/>
      <c r="CR3097" s="138"/>
      <c r="CS3097" s="45"/>
      <c r="CT3097" s="138"/>
      <c r="CU3097" s="45"/>
      <c r="CV3097" s="99">
        <f t="shared" si="303"/>
        <v>0</v>
      </c>
      <c r="CW3097" s="139"/>
      <c r="CX3097" s="138"/>
      <c r="CY3097" s="138"/>
      <c r="CZ3097" s="138"/>
      <c r="DA3097" s="139"/>
      <c r="DB3097" s="138"/>
      <c r="DC3097" s="45"/>
      <c r="DD3097" s="138"/>
      <c r="DE3097" s="45"/>
      <c r="DF3097" s="46"/>
    </row>
    <row r="3098" spans="1:110" s="42" customFormat="1" ht="36" x14ac:dyDescent="0.2">
      <c r="A3098" s="89">
        <v>40892</v>
      </c>
      <c r="B3098" s="196" t="s">
        <v>4244</v>
      </c>
      <c r="C3098" s="197" t="s">
        <v>3372</v>
      </c>
      <c r="D3098" s="197" t="s">
        <v>4264</v>
      </c>
      <c r="E3098" s="90" t="str">
        <f>VLOOKUP(B3098&amp;C3098,Divipola!$C$2:$F$1138,4,FALSE)</f>
        <v>76036</v>
      </c>
      <c r="F3098" s="4"/>
      <c r="G3098" s="194"/>
      <c r="H3098" s="194"/>
      <c r="I3098" s="194"/>
      <c r="J3098" s="194">
        <v>12</v>
      </c>
      <c r="K3098" s="194">
        <v>3</v>
      </c>
      <c r="L3098" s="194"/>
      <c r="M3098" s="194">
        <v>3</v>
      </c>
      <c r="N3098" s="194"/>
      <c r="O3098" s="194"/>
      <c r="P3098" s="194"/>
      <c r="Q3098" s="194"/>
      <c r="R3098" s="194"/>
      <c r="S3098" s="194"/>
      <c r="T3098" s="194"/>
      <c r="U3098" s="194"/>
      <c r="V3098" s="194"/>
      <c r="W3098" s="19"/>
      <c r="X3098" s="17"/>
      <c r="Y3098" s="5">
        <f t="shared" si="298"/>
        <v>0</v>
      </c>
      <c r="Z3098" s="5">
        <f t="shared" si="299"/>
        <v>0</v>
      </c>
      <c r="AA3098" s="5">
        <f t="shared" si="300"/>
        <v>0</v>
      </c>
      <c r="AB3098" s="5">
        <f t="shared" si="301"/>
        <v>0</v>
      </c>
      <c r="AC3098" s="5"/>
      <c r="AD3098" s="5">
        <v>0</v>
      </c>
      <c r="AE3098" s="5">
        <f t="shared" si="302"/>
        <v>0</v>
      </c>
      <c r="AF3098" s="70">
        <v>0</v>
      </c>
      <c r="AG3098" s="17"/>
      <c r="AH3098" s="18"/>
      <c r="AI3098" s="47" t="s">
        <v>4346</v>
      </c>
      <c r="AJ3098" s="73" t="s">
        <v>4347</v>
      </c>
      <c r="AK3098" s="45"/>
      <c r="AL3098" s="89" t="s">
        <v>2798</v>
      </c>
      <c r="AM3098" s="195" t="s">
        <v>5413</v>
      </c>
      <c r="AN3098" s="19"/>
      <c r="AO3098" s="19"/>
      <c r="AP3098" s="19"/>
      <c r="AQ3098" s="19"/>
      <c r="AR3098" s="19"/>
      <c r="AS3098" s="19"/>
      <c r="AT3098" s="19"/>
      <c r="AU3098" s="19"/>
      <c r="AV3098" s="19"/>
      <c r="AW3098" s="19"/>
      <c r="AX3098" s="19"/>
      <c r="AY3098" s="19"/>
      <c r="AZ3098" s="19"/>
      <c r="BA3098" s="19"/>
      <c r="BB3098" s="19"/>
      <c r="BC3098" s="19"/>
      <c r="BD3098" s="19"/>
      <c r="BE3098" s="19"/>
      <c r="BF3098" s="19"/>
      <c r="BG3098" s="19"/>
      <c r="BH3098" s="19"/>
      <c r="BI3098" s="19"/>
      <c r="BJ3098" s="19"/>
      <c r="BK3098" s="19"/>
      <c r="BL3098" s="19"/>
      <c r="BM3098" s="19"/>
      <c r="BN3098" s="19"/>
      <c r="BO3098" s="19"/>
      <c r="BP3098" s="19"/>
      <c r="BQ3098" s="19"/>
      <c r="BR3098" s="19"/>
      <c r="BS3098" s="19"/>
      <c r="BT3098" s="19"/>
      <c r="BU3098" s="19"/>
      <c r="BV3098" s="19"/>
      <c r="BW3098" s="19"/>
      <c r="BX3098" s="19"/>
      <c r="BY3098" s="19"/>
      <c r="BZ3098" s="19"/>
      <c r="CA3098" s="19"/>
      <c r="CB3098" s="19"/>
      <c r="CC3098" s="19"/>
      <c r="CD3098" s="139"/>
      <c r="CE3098" s="138"/>
      <c r="CF3098" s="139"/>
      <c r="CG3098" s="138"/>
      <c r="CH3098" s="139"/>
      <c r="CI3098" s="138"/>
      <c r="CJ3098" s="72"/>
      <c r="CK3098" s="139"/>
      <c r="CL3098" s="71"/>
      <c r="CM3098" s="139"/>
      <c r="CN3098" s="138"/>
      <c r="CO3098" s="138"/>
      <c r="CP3098" s="138"/>
      <c r="CQ3098" s="139"/>
      <c r="CR3098" s="138"/>
      <c r="CS3098" s="45"/>
      <c r="CT3098" s="138"/>
      <c r="CU3098" s="45"/>
      <c r="CV3098" s="99">
        <f t="shared" si="303"/>
        <v>0</v>
      </c>
      <c r="CW3098" s="139"/>
      <c r="CX3098" s="138"/>
      <c r="CY3098" s="138"/>
      <c r="CZ3098" s="138"/>
      <c r="DA3098" s="139"/>
      <c r="DB3098" s="138"/>
      <c r="DC3098" s="45"/>
      <c r="DD3098" s="138"/>
      <c r="DE3098" s="45"/>
      <c r="DF3098" s="46"/>
    </row>
    <row r="3099" spans="1:110" s="42" customFormat="1" ht="36" x14ac:dyDescent="0.2">
      <c r="A3099" s="89">
        <v>40892</v>
      </c>
      <c r="B3099" s="196" t="s">
        <v>4244</v>
      </c>
      <c r="C3099" s="197" t="s">
        <v>4268</v>
      </c>
      <c r="D3099" s="197" t="s">
        <v>4264</v>
      </c>
      <c r="E3099" s="90" t="str">
        <f>VLOOKUP(B3099&amp;C3099,Divipola!$C$2:$F$1138,4,FALSE)</f>
        <v>76243</v>
      </c>
      <c r="F3099" s="4"/>
      <c r="G3099" s="194"/>
      <c r="H3099" s="194"/>
      <c r="I3099" s="194"/>
      <c r="J3099" s="194"/>
      <c r="K3099" s="194"/>
      <c r="L3099" s="194"/>
      <c r="M3099" s="194"/>
      <c r="N3099" s="194">
        <v>1</v>
      </c>
      <c r="O3099" s="194"/>
      <c r="P3099" s="194"/>
      <c r="Q3099" s="194"/>
      <c r="R3099" s="194"/>
      <c r="S3099" s="194"/>
      <c r="T3099" s="194"/>
      <c r="U3099" s="194"/>
      <c r="V3099" s="194"/>
      <c r="W3099" s="19"/>
      <c r="X3099" s="17"/>
      <c r="Y3099" s="5">
        <f t="shared" si="298"/>
        <v>0</v>
      </c>
      <c r="Z3099" s="5">
        <f t="shared" si="299"/>
        <v>0</v>
      </c>
      <c r="AA3099" s="5">
        <f t="shared" si="300"/>
        <v>0</v>
      </c>
      <c r="AB3099" s="5">
        <f t="shared" si="301"/>
        <v>0</v>
      </c>
      <c r="AC3099" s="5"/>
      <c r="AD3099" s="5">
        <v>0</v>
      </c>
      <c r="AE3099" s="5">
        <f t="shared" si="302"/>
        <v>0</v>
      </c>
      <c r="AF3099" s="70">
        <v>0</v>
      </c>
      <c r="AG3099" s="17"/>
      <c r="AH3099" s="18"/>
      <c r="AI3099" s="47" t="s">
        <v>4346</v>
      </c>
      <c r="AJ3099" s="73" t="s">
        <v>4347</v>
      </c>
      <c r="AK3099" s="45"/>
      <c r="AL3099" s="89" t="s">
        <v>2798</v>
      </c>
      <c r="AM3099" s="195" t="s">
        <v>5414</v>
      </c>
      <c r="AN3099" s="19"/>
      <c r="AO3099" s="19"/>
      <c r="AP3099" s="19"/>
      <c r="AQ3099" s="19"/>
      <c r="AR3099" s="19"/>
      <c r="AS3099" s="19"/>
      <c r="AT3099" s="19"/>
      <c r="AU3099" s="19"/>
      <c r="AV3099" s="19"/>
      <c r="AW3099" s="19"/>
      <c r="AX3099" s="19"/>
      <c r="AY3099" s="19"/>
      <c r="AZ3099" s="19"/>
      <c r="BA3099" s="19"/>
      <c r="BB3099" s="19"/>
      <c r="BC3099" s="19"/>
      <c r="BD3099" s="19"/>
      <c r="BE3099" s="19"/>
      <c r="BF3099" s="19"/>
      <c r="BG3099" s="19"/>
      <c r="BH3099" s="19"/>
      <c r="BI3099" s="19"/>
      <c r="BJ3099" s="19"/>
      <c r="BK3099" s="19"/>
      <c r="BL3099" s="19"/>
      <c r="BM3099" s="19"/>
      <c r="BN3099" s="19"/>
      <c r="BO3099" s="19"/>
      <c r="BP3099" s="19"/>
      <c r="BQ3099" s="19"/>
      <c r="BR3099" s="19"/>
      <c r="BS3099" s="19"/>
      <c r="BT3099" s="19"/>
      <c r="BU3099" s="19"/>
      <c r="BV3099" s="19"/>
      <c r="BW3099" s="19"/>
      <c r="BX3099" s="19"/>
      <c r="BY3099" s="19"/>
      <c r="BZ3099" s="19"/>
      <c r="CA3099" s="19"/>
      <c r="CB3099" s="19"/>
      <c r="CC3099" s="19"/>
      <c r="CD3099" s="139"/>
      <c r="CE3099" s="138"/>
      <c r="CF3099" s="139"/>
      <c r="CG3099" s="138"/>
      <c r="CH3099" s="139"/>
      <c r="CI3099" s="138"/>
      <c r="CJ3099" s="72"/>
      <c r="CK3099" s="139"/>
      <c r="CL3099" s="71"/>
      <c r="CM3099" s="139"/>
      <c r="CN3099" s="138"/>
      <c r="CO3099" s="138"/>
      <c r="CP3099" s="138"/>
      <c r="CQ3099" s="139"/>
      <c r="CR3099" s="138"/>
      <c r="CS3099" s="45"/>
      <c r="CT3099" s="138"/>
      <c r="CU3099" s="45"/>
      <c r="CV3099" s="99">
        <f t="shared" si="303"/>
        <v>0</v>
      </c>
      <c r="CW3099" s="139"/>
      <c r="CX3099" s="138"/>
      <c r="CY3099" s="138"/>
      <c r="CZ3099" s="138"/>
      <c r="DA3099" s="139"/>
      <c r="DB3099" s="138"/>
      <c r="DC3099" s="45"/>
      <c r="DD3099" s="138"/>
      <c r="DE3099" s="45"/>
      <c r="DF3099" s="46"/>
    </row>
    <row r="3100" spans="1:110" s="42" customFormat="1" ht="96" x14ac:dyDescent="0.2">
      <c r="A3100" s="89">
        <v>40892</v>
      </c>
      <c r="B3100" s="196" t="s">
        <v>4344</v>
      </c>
      <c r="C3100" s="197" t="s">
        <v>3391</v>
      </c>
      <c r="D3100" s="197" t="s">
        <v>2362</v>
      </c>
      <c r="E3100" s="90" t="str">
        <f>VLOOKUP(B3100&amp;C3100,Divipola!$C$2:$F$1138,4,FALSE)</f>
        <v>25785</v>
      </c>
      <c r="F3100" s="4"/>
      <c r="G3100" s="194"/>
      <c r="H3100" s="194"/>
      <c r="I3100" s="194"/>
      <c r="J3100" s="194"/>
      <c r="K3100" s="194"/>
      <c r="L3100" s="194"/>
      <c r="M3100" s="194"/>
      <c r="N3100" s="194">
        <v>2</v>
      </c>
      <c r="O3100" s="194"/>
      <c r="P3100" s="194"/>
      <c r="Q3100" s="194"/>
      <c r="R3100" s="194"/>
      <c r="S3100" s="194"/>
      <c r="T3100" s="194"/>
      <c r="U3100" s="194"/>
      <c r="V3100" s="194"/>
      <c r="W3100" s="19"/>
      <c r="X3100" s="17"/>
      <c r="Y3100" s="5">
        <f t="shared" si="298"/>
        <v>0</v>
      </c>
      <c r="Z3100" s="5">
        <f t="shared" si="299"/>
        <v>0</v>
      </c>
      <c r="AA3100" s="5">
        <f t="shared" si="300"/>
        <v>0</v>
      </c>
      <c r="AB3100" s="5">
        <f t="shared" si="301"/>
        <v>0</v>
      </c>
      <c r="AC3100" s="5"/>
      <c r="AD3100" s="5">
        <v>0</v>
      </c>
      <c r="AE3100" s="5">
        <f t="shared" si="302"/>
        <v>0</v>
      </c>
      <c r="AF3100" s="70">
        <v>0</v>
      </c>
      <c r="AG3100" s="17"/>
      <c r="AH3100" s="18"/>
      <c r="AI3100" s="47" t="s">
        <v>4346</v>
      </c>
      <c r="AJ3100" s="73" t="s">
        <v>4347</v>
      </c>
      <c r="AK3100" s="45"/>
      <c r="AL3100" s="89" t="s">
        <v>2798</v>
      </c>
      <c r="AM3100" s="195" t="s">
        <v>5430</v>
      </c>
      <c r="AN3100" s="19"/>
      <c r="AO3100" s="19"/>
      <c r="AP3100" s="19"/>
      <c r="AQ3100" s="19"/>
      <c r="AR3100" s="19"/>
      <c r="AS3100" s="19"/>
      <c r="AT3100" s="19"/>
      <c r="AU3100" s="19"/>
      <c r="AV3100" s="19"/>
      <c r="AW3100" s="19"/>
      <c r="AX3100" s="19"/>
      <c r="AY3100" s="19"/>
      <c r="AZ3100" s="19"/>
      <c r="BA3100" s="19"/>
      <c r="BB3100" s="19"/>
      <c r="BC3100" s="19"/>
      <c r="BD3100" s="19"/>
      <c r="BE3100" s="19"/>
      <c r="BF3100" s="19"/>
      <c r="BG3100" s="19"/>
      <c r="BH3100" s="19"/>
      <c r="BI3100" s="19"/>
      <c r="BJ3100" s="19"/>
      <c r="BK3100" s="19"/>
      <c r="BL3100" s="19"/>
      <c r="BM3100" s="19"/>
      <c r="BN3100" s="19"/>
      <c r="BO3100" s="19"/>
      <c r="BP3100" s="19"/>
      <c r="BQ3100" s="19"/>
      <c r="BR3100" s="19"/>
      <c r="BS3100" s="19"/>
      <c r="BT3100" s="19"/>
      <c r="BU3100" s="19"/>
      <c r="BV3100" s="19"/>
      <c r="BW3100" s="19"/>
      <c r="BX3100" s="19"/>
      <c r="BY3100" s="19"/>
      <c r="BZ3100" s="19"/>
      <c r="CA3100" s="19"/>
      <c r="CB3100" s="19"/>
      <c r="CC3100" s="19"/>
      <c r="CD3100" s="139"/>
      <c r="CE3100" s="138"/>
      <c r="CF3100" s="139"/>
      <c r="CG3100" s="138"/>
      <c r="CH3100" s="139"/>
      <c r="CI3100" s="138"/>
      <c r="CJ3100" s="72"/>
      <c r="CK3100" s="139"/>
      <c r="CL3100" s="71"/>
      <c r="CM3100" s="139"/>
      <c r="CN3100" s="138"/>
      <c r="CO3100" s="138"/>
      <c r="CP3100" s="138"/>
      <c r="CQ3100" s="139"/>
      <c r="CR3100" s="138"/>
      <c r="CS3100" s="45"/>
      <c r="CT3100" s="138"/>
      <c r="CU3100" s="45"/>
      <c r="CV3100" s="99">
        <f t="shared" si="303"/>
        <v>0</v>
      </c>
      <c r="CW3100" s="139"/>
      <c r="CX3100" s="138"/>
      <c r="CY3100" s="138"/>
      <c r="CZ3100" s="138"/>
      <c r="DA3100" s="139"/>
      <c r="DB3100" s="138"/>
      <c r="DC3100" s="45"/>
      <c r="DD3100" s="138"/>
      <c r="DE3100" s="45"/>
      <c r="DF3100" s="46"/>
    </row>
    <row r="3101" spans="1:110" s="42" customFormat="1" ht="48" x14ac:dyDescent="0.2">
      <c r="A3101" s="89">
        <v>40892</v>
      </c>
      <c r="B3101" s="196" t="s">
        <v>4219</v>
      </c>
      <c r="C3101" s="197" t="s">
        <v>65</v>
      </c>
      <c r="D3101" s="197" t="s">
        <v>2362</v>
      </c>
      <c r="E3101" s="90" t="str">
        <f>VLOOKUP(B3101&amp;C3101,Divipola!$C$2:$F$1138,4,FALSE)</f>
        <v>41026</v>
      </c>
      <c r="F3101" s="4"/>
      <c r="G3101" s="194"/>
      <c r="H3101" s="194"/>
      <c r="I3101" s="194"/>
      <c r="J3101" s="194"/>
      <c r="K3101" s="194"/>
      <c r="L3101" s="194"/>
      <c r="M3101" s="194"/>
      <c r="N3101" s="194">
        <v>2</v>
      </c>
      <c r="O3101" s="194"/>
      <c r="P3101" s="194"/>
      <c r="Q3101" s="194"/>
      <c r="R3101" s="194"/>
      <c r="S3101" s="194"/>
      <c r="T3101" s="194"/>
      <c r="U3101" s="194"/>
      <c r="V3101" s="194"/>
      <c r="W3101" s="19"/>
      <c r="X3101" s="17"/>
      <c r="Y3101" s="5">
        <f t="shared" si="298"/>
        <v>0</v>
      </c>
      <c r="Z3101" s="5">
        <f t="shared" si="299"/>
        <v>0</v>
      </c>
      <c r="AA3101" s="5">
        <f t="shared" si="300"/>
        <v>0</v>
      </c>
      <c r="AB3101" s="5">
        <f t="shared" si="301"/>
        <v>0</v>
      </c>
      <c r="AC3101" s="5"/>
      <c r="AD3101" s="5">
        <v>0</v>
      </c>
      <c r="AE3101" s="5">
        <f t="shared" si="302"/>
        <v>0</v>
      </c>
      <c r="AF3101" s="70">
        <v>0</v>
      </c>
      <c r="AG3101" s="17"/>
      <c r="AH3101" s="18"/>
      <c r="AI3101" s="47" t="s">
        <v>4346</v>
      </c>
      <c r="AJ3101" s="73" t="s">
        <v>4347</v>
      </c>
      <c r="AK3101" s="45"/>
      <c r="AL3101" s="89" t="s">
        <v>2798</v>
      </c>
      <c r="AM3101" s="195" t="s">
        <v>5425</v>
      </c>
      <c r="AN3101" s="19"/>
      <c r="AO3101" s="19"/>
      <c r="AP3101" s="19"/>
      <c r="AQ3101" s="19"/>
      <c r="AR3101" s="19"/>
      <c r="AS3101" s="19"/>
      <c r="AT3101" s="19"/>
      <c r="AU3101" s="19"/>
      <c r="AV3101" s="19"/>
      <c r="AW3101" s="19"/>
      <c r="AX3101" s="19"/>
      <c r="AY3101" s="19"/>
      <c r="AZ3101" s="19"/>
      <c r="BA3101" s="19"/>
      <c r="BB3101" s="19"/>
      <c r="BC3101" s="19"/>
      <c r="BD3101" s="19"/>
      <c r="BE3101" s="19"/>
      <c r="BF3101" s="19"/>
      <c r="BG3101" s="19"/>
      <c r="BH3101" s="19"/>
      <c r="BI3101" s="19"/>
      <c r="BJ3101" s="19"/>
      <c r="BK3101" s="19"/>
      <c r="BL3101" s="19"/>
      <c r="BM3101" s="19"/>
      <c r="BN3101" s="19"/>
      <c r="BO3101" s="19"/>
      <c r="BP3101" s="19"/>
      <c r="BQ3101" s="19"/>
      <c r="BR3101" s="19"/>
      <c r="BS3101" s="19"/>
      <c r="BT3101" s="19"/>
      <c r="BU3101" s="19"/>
      <c r="BV3101" s="19"/>
      <c r="BW3101" s="19"/>
      <c r="BX3101" s="19"/>
      <c r="BY3101" s="19"/>
      <c r="BZ3101" s="19"/>
      <c r="CA3101" s="19"/>
      <c r="CB3101" s="19"/>
      <c r="CC3101" s="19"/>
      <c r="CD3101" s="139"/>
      <c r="CE3101" s="138"/>
      <c r="CF3101" s="139"/>
      <c r="CG3101" s="138"/>
      <c r="CH3101" s="139"/>
      <c r="CI3101" s="138"/>
      <c r="CJ3101" s="72"/>
      <c r="CK3101" s="139"/>
      <c r="CL3101" s="71"/>
      <c r="CM3101" s="139"/>
      <c r="CN3101" s="138"/>
      <c r="CO3101" s="138"/>
      <c r="CP3101" s="138"/>
      <c r="CQ3101" s="139"/>
      <c r="CR3101" s="138"/>
      <c r="CS3101" s="45"/>
      <c r="CT3101" s="138"/>
      <c r="CU3101" s="45"/>
      <c r="CV3101" s="99">
        <f t="shared" si="303"/>
        <v>0</v>
      </c>
      <c r="CW3101" s="139"/>
      <c r="CX3101" s="138"/>
      <c r="CY3101" s="138"/>
      <c r="CZ3101" s="138"/>
      <c r="DA3101" s="139"/>
      <c r="DB3101" s="138"/>
      <c r="DC3101" s="45"/>
      <c r="DD3101" s="138"/>
      <c r="DE3101" s="45"/>
      <c r="DF3101" s="46"/>
    </row>
    <row r="3102" spans="1:110" s="42" customFormat="1" ht="48" x14ac:dyDescent="0.2">
      <c r="A3102" s="89">
        <v>40892</v>
      </c>
      <c r="B3102" s="196" t="s">
        <v>4219</v>
      </c>
      <c r="C3102" s="196" t="s">
        <v>4228</v>
      </c>
      <c r="D3102" s="197" t="s">
        <v>2362</v>
      </c>
      <c r="E3102" s="90" t="str">
        <f>VLOOKUP(B3102&amp;C3102,Divipola!$C$2:$F$1138,4,FALSE)</f>
        <v>41885</v>
      </c>
      <c r="F3102" s="4"/>
      <c r="G3102" s="194"/>
      <c r="H3102" s="194"/>
      <c r="I3102" s="194"/>
      <c r="J3102" s="194"/>
      <c r="K3102" s="194"/>
      <c r="L3102" s="194"/>
      <c r="M3102" s="194"/>
      <c r="N3102" s="194"/>
      <c r="O3102" s="194"/>
      <c r="P3102" s="194"/>
      <c r="Q3102" s="194"/>
      <c r="R3102" s="194"/>
      <c r="S3102" s="194"/>
      <c r="T3102" s="194"/>
      <c r="U3102" s="194"/>
      <c r="V3102" s="194">
        <v>21</v>
      </c>
      <c r="W3102" s="19"/>
      <c r="X3102" s="17"/>
      <c r="Y3102" s="5">
        <f t="shared" si="298"/>
        <v>0</v>
      </c>
      <c r="Z3102" s="5">
        <f t="shared" si="299"/>
        <v>0</v>
      </c>
      <c r="AA3102" s="5">
        <f t="shared" si="300"/>
        <v>0</v>
      </c>
      <c r="AB3102" s="5">
        <f t="shared" si="301"/>
        <v>0</v>
      </c>
      <c r="AC3102" s="5"/>
      <c r="AD3102" s="5">
        <v>0</v>
      </c>
      <c r="AE3102" s="5">
        <f t="shared" si="302"/>
        <v>0</v>
      </c>
      <c r="AF3102" s="70">
        <v>0</v>
      </c>
      <c r="AG3102" s="17"/>
      <c r="AH3102" s="18"/>
      <c r="AI3102" s="47" t="s">
        <v>4346</v>
      </c>
      <c r="AJ3102" s="73" t="s">
        <v>4347</v>
      </c>
      <c r="AK3102" s="45"/>
      <c r="AL3102" s="89" t="s">
        <v>2798</v>
      </c>
      <c r="AM3102" s="195" t="s">
        <v>5426</v>
      </c>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39"/>
      <c r="CE3102" s="138"/>
      <c r="CF3102" s="139"/>
      <c r="CG3102" s="138"/>
      <c r="CH3102" s="139"/>
      <c r="CI3102" s="138"/>
      <c r="CJ3102" s="72"/>
      <c r="CK3102" s="139"/>
      <c r="CL3102" s="71"/>
      <c r="CM3102" s="139"/>
      <c r="CN3102" s="138"/>
      <c r="CO3102" s="138"/>
      <c r="CP3102" s="138"/>
      <c r="CQ3102" s="139"/>
      <c r="CR3102" s="138"/>
      <c r="CS3102" s="45"/>
      <c r="CT3102" s="138"/>
      <c r="CU3102" s="45"/>
      <c r="CV3102" s="99">
        <f t="shared" si="303"/>
        <v>0</v>
      </c>
      <c r="CW3102" s="139"/>
      <c r="CX3102" s="138"/>
      <c r="CY3102" s="138"/>
      <c r="CZ3102" s="138"/>
      <c r="DA3102" s="139"/>
      <c r="DB3102" s="138"/>
      <c r="DC3102" s="45"/>
      <c r="DD3102" s="138"/>
      <c r="DE3102" s="45"/>
      <c r="DF3102" s="46"/>
    </row>
    <row r="3103" spans="1:110" s="42" customFormat="1" ht="48" x14ac:dyDescent="0.2">
      <c r="A3103" s="89">
        <v>40892</v>
      </c>
      <c r="B3103" s="196" t="s">
        <v>4219</v>
      </c>
      <c r="C3103" s="197" t="s">
        <v>3496</v>
      </c>
      <c r="D3103" s="197" t="s">
        <v>2362</v>
      </c>
      <c r="E3103" s="90" t="str">
        <f>VLOOKUP(B3103&amp;C3103,Divipola!$C$2:$F$1138,4,FALSE)</f>
        <v>41518</v>
      </c>
      <c r="F3103" s="4"/>
      <c r="G3103" s="194"/>
      <c r="H3103" s="194"/>
      <c r="I3103" s="194"/>
      <c r="J3103" s="194"/>
      <c r="K3103" s="194"/>
      <c r="L3103" s="194"/>
      <c r="M3103" s="194"/>
      <c r="N3103" s="194"/>
      <c r="O3103" s="194"/>
      <c r="P3103" s="194"/>
      <c r="Q3103" s="194">
        <v>1</v>
      </c>
      <c r="R3103" s="194"/>
      <c r="S3103" s="194"/>
      <c r="T3103" s="194"/>
      <c r="U3103" s="194"/>
      <c r="V3103" s="194"/>
      <c r="W3103" s="19"/>
      <c r="X3103" s="17"/>
      <c r="Y3103" s="5">
        <f t="shared" si="298"/>
        <v>0</v>
      </c>
      <c r="Z3103" s="5">
        <f t="shared" si="299"/>
        <v>0</v>
      </c>
      <c r="AA3103" s="5">
        <f t="shared" si="300"/>
        <v>0</v>
      </c>
      <c r="AB3103" s="5">
        <f t="shared" si="301"/>
        <v>0</v>
      </c>
      <c r="AC3103" s="5"/>
      <c r="AD3103" s="5">
        <v>0</v>
      </c>
      <c r="AE3103" s="5">
        <f t="shared" si="302"/>
        <v>0</v>
      </c>
      <c r="AF3103" s="70">
        <v>0</v>
      </c>
      <c r="AG3103" s="17"/>
      <c r="AH3103" s="18"/>
      <c r="AI3103" s="47" t="s">
        <v>4346</v>
      </c>
      <c r="AJ3103" s="73" t="s">
        <v>4347</v>
      </c>
      <c r="AK3103" s="45"/>
      <c r="AL3103" s="89" t="s">
        <v>2798</v>
      </c>
      <c r="AM3103" s="195" t="s">
        <v>5427</v>
      </c>
      <c r="AN3103" s="19"/>
      <c r="AO3103" s="19"/>
      <c r="AP3103" s="19"/>
      <c r="AQ3103" s="19"/>
      <c r="AR3103" s="19"/>
      <c r="AS3103" s="19"/>
      <c r="AT3103" s="19"/>
      <c r="AU3103" s="19"/>
      <c r="AV3103" s="19"/>
      <c r="AW3103" s="19"/>
      <c r="AX3103" s="19"/>
      <c r="AY3103" s="19"/>
      <c r="AZ3103" s="19"/>
      <c r="BA3103" s="19"/>
      <c r="BB3103" s="19"/>
      <c r="BC3103" s="19"/>
      <c r="BD3103" s="19"/>
      <c r="BE3103" s="19"/>
      <c r="BF3103" s="19"/>
      <c r="BG3103" s="19"/>
      <c r="BH3103" s="19"/>
      <c r="BI3103" s="19"/>
      <c r="BJ3103" s="19"/>
      <c r="BK3103" s="19"/>
      <c r="BL3103" s="19"/>
      <c r="BM3103" s="19"/>
      <c r="BN3103" s="19"/>
      <c r="BO3103" s="19"/>
      <c r="BP3103" s="19"/>
      <c r="BQ3103" s="19"/>
      <c r="BR3103" s="19"/>
      <c r="BS3103" s="19"/>
      <c r="BT3103" s="19"/>
      <c r="BU3103" s="19"/>
      <c r="BV3103" s="19"/>
      <c r="BW3103" s="19"/>
      <c r="BX3103" s="19"/>
      <c r="BY3103" s="19"/>
      <c r="BZ3103" s="19"/>
      <c r="CA3103" s="19"/>
      <c r="CB3103" s="19"/>
      <c r="CC3103" s="19"/>
      <c r="CD3103" s="139"/>
      <c r="CE3103" s="138"/>
      <c r="CF3103" s="139"/>
      <c r="CG3103" s="138"/>
      <c r="CH3103" s="139"/>
      <c r="CI3103" s="138"/>
      <c r="CJ3103" s="72"/>
      <c r="CK3103" s="139"/>
      <c r="CL3103" s="71"/>
      <c r="CM3103" s="139"/>
      <c r="CN3103" s="138"/>
      <c r="CO3103" s="138"/>
      <c r="CP3103" s="138"/>
      <c r="CQ3103" s="139"/>
      <c r="CR3103" s="138"/>
      <c r="CS3103" s="45"/>
      <c r="CT3103" s="138"/>
      <c r="CU3103" s="45"/>
      <c r="CV3103" s="99">
        <f t="shared" si="303"/>
        <v>0</v>
      </c>
      <c r="CW3103" s="139"/>
      <c r="CX3103" s="138"/>
      <c r="CY3103" s="138"/>
      <c r="CZ3103" s="138"/>
      <c r="DA3103" s="139"/>
      <c r="DB3103" s="138"/>
      <c r="DC3103" s="45"/>
      <c r="DD3103" s="138"/>
      <c r="DE3103" s="45"/>
      <c r="DF3103" s="46"/>
    </row>
    <row r="3104" spans="1:110" s="42" customFormat="1" ht="48" x14ac:dyDescent="0.2">
      <c r="A3104" s="89">
        <v>40892</v>
      </c>
      <c r="B3104" s="221" t="s">
        <v>4219</v>
      </c>
      <c r="C3104" s="197" t="s">
        <v>3503</v>
      </c>
      <c r="D3104" s="197" t="s">
        <v>2362</v>
      </c>
      <c r="E3104" s="90" t="str">
        <f>VLOOKUP(B3104&amp;C3104,Divipola!$C$2:$F$1138,4,FALSE)</f>
        <v>41001</v>
      </c>
      <c r="F3104" s="4"/>
      <c r="G3104" s="194"/>
      <c r="H3104" s="194"/>
      <c r="I3104" s="194"/>
      <c r="J3104" s="194">
        <v>5</v>
      </c>
      <c r="K3104" s="194">
        <v>1</v>
      </c>
      <c r="L3104" s="194">
        <v>1</v>
      </c>
      <c r="M3104" s="194"/>
      <c r="N3104" s="194"/>
      <c r="O3104" s="194"/>
      <c r="P3104" s="194"/>
      <c r="Q3104" s="194"/>
      <c r="R3104" s="194"/>
      <c r="S3104" s="194"/>
      <c r="T3104" s="194"/>
      <c r="U3104" s="194"/>
      <c r="V3104" s="194"/>
      <c r="W3104" s="19"/>
      <c r="X3104" s="17"/>
      <c r="Y3104" s="5">
        <f t="shared" si="298"/>
        <v>0</v>
      </c>
      <c r="Z3104" s="5">
        <f t="shared" si="299"/>
        <v>0</v>
      </c>
      <c r="AA3104" s="5">
        <f t="shared" si="300"/>
        <v>0</v>
      </c>
      <c r="AB3104" s="5">
        <f t="shared" si="301"/>
        <v>0</v>
      </c>
      <c r="AC3104" s="5"/>
      <c r="AD3104" s="5">
        <v>0</v>
      </c>
      <c r="AE3104" s="5">
        <f t="shared" si="302"/>
        <v>0</v>
      </c>
      <c r="AF3104" s="70">
        <v>0</v>
      </c>
      <c r="AG3104" s="17"/>
      <c r="AH3104" s="18"/>
      <c r="AI3104" s="47" t="s">
        <v>4346</v>
      </c>
      <c r="AJ3104" s="73" t="s">
        <v>4347</v>
      </c>
      <c r="AK3104" s="45"/>
      <c r="AL3104" s="89" t="s">
        <v>2798</v>
      </c>
      <c r="AM3104" s="195" t="s">
        <v>5428</v>
      </c>
      <c r="AN3104" s="19"/>
      <c r="AO3104" s="19"/>
      <c r="AP3104" s="19"/>
      <c r="AQ3104" s="19"/>
      <c r="AR3104" s="19"/>
      <c r="AS3104" s="19"/>
      <c r="AT3104" s="19"/>
      <c r="AU3104" s="19"/>
      <c r="AV3104" s="19"/>
      <c r="AW3104" s="19"/>
      <c r="AX3104" s="19"/>
      <c r="AY3104" s="19"/>
      <c r="AZ3104" s="19"/>
      <c r="BA3104" s="19"/>
      <c r="BB3104" s="19"/>
      <c r="BC3104" s="19"/>
      <c r="BD3104" s="19"/>
      <c r="BE3104" s="19"/>
      <c r="BF3104" s="19"/>
      <c r="BG3104" s="19"/>
      <c r="BH3104" s="19"/>
      <c r="BI3104" s="19"/>
      <c r="BJ3104" s="19"/>
      <c r="BK3104" s="19"/>
      <c r="BL3104" s="19"/>
      <c r="BM3104" s="19"/>
      <c r="BN3104" s="19"/>
      <c r="BO3104" s="19"/>
      <c r="BP3104" s="19"/>
      <c r="BQ3104" s="19"/>
      <c r="BR3104" s="19"/>
      <c r="BS3104" s="19"/>
      <c r="BT3104" s="19"/>
      <c r="BU3104" s="19"/>
      <c r="BV3104" s="19"/>
      <c r="BW3104" s="19"/>
      <c r="BX3104" s="19"/>
      <c r="BY3104" s="19"/>
      <c r="BZ3104" s="19"/>
      <c r="CA3104" s="19"/>
      <c r="CB3104" s="19"/>
      <c r="CC3104" s="19"/>
      <c r="CD3104" s="139"/>
      <c r="CE3104" s="138"/>
      <c r="CF3104" s="139"/>
      <c r="CG3104" s="138"/>
      <c r="CH3104" s="139"/>
      <c r="CI3104" s="138"/>
      <c r="CJ3104" s="72"/>
      <c r="CK3104" s="139"/>
      <c r="CL3104" s="71"/>
      <c r="CM3104" s="139"/>
      <c r="CN3104" s="138"/>
      <c r="CO3104" s="138"/>
      <c r="CP3104" s="138"/>
      <c r="CQ3104" s="139"/>
      <c r="CR3104" s="138"/>
      <c r="CS3104" s="45"/>
      <c r="CT3104" s="138"/>
      <c r="CU3104" s="45"/>
      <c r="CV3104" s="99">
        <f t="shared" si="303"/>
        <v>0</v>
      </c>
      <c r="CW3104" s="139"/>
      <c r="CX3104" s="138"/>
      <c r="CY3104" s="138"/>
      <c r="CZ3104" s="138"/>
      <c r="DA3104" s="139"/>
      <c r="DB3104" s="138"/>
      <c r="DC3104" s="45"/>
      <c r="DD3104" s="138"/>
      <c r="DE3104" s="45"/>
      <c r="DF3104" s="46"/>
    </row>
    <row r="3105" spans="1:110" s="42" customFormat="1" ht="72" x14ac:dyDescent="0.2">
      <c r="A3105" s="89">
        <v>40892</v>
      </c>
      <c r="B3105" s="16" t="s">
        <v>3316</v>
      </c>
      <c r="C3105" s="16" t="s">
        <v>869</v>
      </c>
      <c r="D3105" s="16" t="s">
        <v>4264</v>
      </c>
      <c r="E3105" s="90" t="str">
        <f>VLOOKUP(B3105&amp;C3105,Divipola!$C$2:$F$1138,4,FALSE)</f>
        <v>73030</v>
      </c>
      <c r="F3105" s="4"/>
      <c r="G3105" s="208"/>
      <c r="H3105" s="208"/>
      <c r="I3105" s="208"/>
      <c r="J3105" s="208"/>
      <c r="K3105" s="208"/>
      <c r="L3105" s="208"/>
      <c r="M3105" s="208"/>
      <c r="N3105" s="208"/>
      <c r="O3105" s="208"/>
      <c r="P3105" s="208"/>
      <c r="Q3105" s="208"/>
      <c r="R3105" s="208"/>
      <c r="S3105" s="208"/>
      <c r="T3105" s="208"/>
      <c r="U3105" s="208"/>
      <c r="V3105" s="208"/>
      <c r="W3105" s="19"/>
      <c r="X3105" s="17"/>
      <c r="Y3105" s="5">
        <f t="shared" si="298"/>
        <v>0</v>
      </c>
      <c r="Z3105" s="5">
        <f t="shared" si="299"/>
        <v>0</v>
      </c>
      <c r="AA3105" s="5">
        <f t="shared" si="300"/>
        <v>0</v>
      </c>
      <c r="AB3105" s="5">
        <f t="shared" si="301"/>
        <v>0</v>
      </c>
      <c r="AC3105" s="5"/>
      <c r="AD3105" s="5">
        <v>300000000</v>
      </c>
      <c r="AE3105" s="5">
        <f t="shared" si="302"/>
        <v>300000000</v>
      </c>
      <c r="AF3105" s="70">
        <v>0</v>
      </c>
      <c r="AG3105" s="17"/>
      <c r="AH3105" s="18"/>
      <c r="AI3105" s="47" t="s">
        <v>4346</v>
      </c>
      <c r="AJ3105" s="73" t="s">
        <v>4347</v>
      </c>
      <c r="AK3105" s="45"/>
      <c r="AL3105" s="17"/>
      <c r="AM3105" s="20" t="s">
        <v>5502</v>
      </c>
      <c r="AN3105" s="19"/>
      <c r="AO3105" s="19"/>
      <c r="AP3105" s="19"/>
      <c r="AQ3105" s="19"/>
      <c r="AR3105" s="19"/>
      <c r="AS3105" s="19"/>
      <c r="AT3105" s="19"/>
      <c r="AU3105" s="19"/>
      <c r="AV3105" s="19"/>
      <c r="AW3105" s="19"/>
      <c r="AX3105" s="19"/>
      <c r="AY3105" s="19"/>
      <c r="AZ3105" s="19"/>
      <c r="BA3105" s="19"/>
      <c r="BB3105" s="19"/>
      <c r="BC3105" s="19"/>
      <c r="BD3105" s="19"/>
      <c r="BE3105" s="19"/>
      <c r="BF3105" s="19"/>
      <c r="BG3105" s="19"/>
      <c r="BH3105" s="19"/>
      <c r="BI3105" s="19"/>
      <c r="BJ3105" s="19"/>
      <c r="BK3105" s="19"/>
      <c r="BL3105" s="19"/>
      <c r="BM3105" s="19"/>
      <c r="BN3105" s="19"/>
      <c r="BO3105" s="19"/>
      <c r="BP3105" s="19"/>
      <c r="BQ3105" s="19"/>
      <c r="BR3105" s="19"/>
      <c r="BS3105" s="19"/>
      <c r="BT3105" s="19"/>
      <c r="BU3105" s="19"/>
      <c r="BV3105" s="19"/>
      <c r="BW3105" s="19"/>
      <c r="BX3105" s="19"/>
      <c r="BY3105" s="19"/>
      <c r="BZ3105" s="19"/>
      <c r="CA3105" s="19"/>
      <c r="CB3105" s="19"/>
      <c r="CC3105" s="19"/>
      <c r="CD3105" s="139"/>
      <c r="CE3105" s="138"/>
      <c r="CF3105" s="139"/>
      <c r="CG3105" s="138"/>
      <c r="CH3105" s="139"/>
      <c r="CI3105" s="138"/>
      <c r="CJ3105" s="72"/>
      <c r="CK3105" s="139"/>
      <c r="CL3105" s="71"/>
      <c r="CM3105" s="139"/>
      <c r="CN3105" s="138"/>
      <c r="CO3105" s="138"/>
      <c r="CP3105" s="138"/>
      <c r="CQ3105" s="139"/>
      <c r="CR3105" s="138"/>
      <c r="CS3105" s="45"/>
      <c r="CT3105" s="138"/>
      <c r="CU3105" s="45"/>
      <c r="CV3105" s="99">
        <f t="shared" si="303"/>
        <v>0</v>
      </c>
      <c r="CW3105" s="139"/>
      <c r="CX3105" s="138"/>
      <c r="CY3105" s="138"/>
      <c r="CZ3105" s="138"/>
      <c r="DA3105" s="139"/>
      <c r="DB3105" s="138"/>
      <c r="DC3105" s="45"/>
      <c r="DD3105" s="138"/>
      <c r="DE3105" s="45"/>
      <c r="DF3105" s="46"/>
    </row>
    <row r="3106" spans="1:110" s="42" customFormat="1" ht="48" x14ac:dyDescent="0.2">
      <c r="A3106" s="89">
        <v>40892</v>
      </c>
      <c r="B3106" s="16" t="s">
        <v>3316</v>
      </c>
      <c r="C3106" s="16" t="s">
        <v>3132</v>
      </c>
      <c r="D3106" s="16" t="s">
        <v>4264</v>
      </c>
      <c r="E3106" s="90" t="str">
        <f>VLOOKUP(B3106&amp;C3106,Divipola!$C$2:$F$1138,4,FALSE)</f>
        <v>73675</v>
      </c>
      <c r="F3106" s="4"/>
      <c r="G3106" s="208"/>
      <c r="H3106" s="208"/>
      <c r="I3106" s="208"/>
      <c r="J3106" s="208"/>
      <c r="K3106" s="208"/>
      <c r="L3106" s="208"/>
      <c r="M3106" s="208"/>
      <c r="N3106" s="208"/>
      <c r="O3106" s="208"/>
      <c r="P3106" s="208"/>
      <c r="Q3106" s="208"/>
      <c r="R3106" s="208"/>
      <c r="S3106" s="208"/>
      <c r="T3106" s="208"/>
      <c r="U3106" s="208"/>
      <c r="V3106" s="208"/>
      <c r="W3106" s="19"/>
      <c r="X3106" s="17"/>
      <c r="Y3106" s="5">
        <f t="shared" si="298"/>
        <v>0</v>
      </c>
      <c r="Z3106" s="5">
        <f t="shared" si="299"/>
        <v>0</v>
      </c>
      <c r="AA3106" s="5">
        <f t="shared" si="300"/>
        <v>0</v>
      </c>
      <c r="AB3106" s="5">
        <f t="shared" si="301"/>
        <v>0</v>
      </c>
      <c r="AC3106" s="5"/>
      <c r="AD3106" s="5">
        <v>20000000</v>
      </c>
      <c r="AE3106" s="5">
        <f t="shared" si="302"/>
        <v>20000000</v>
      </c>
      <c r="AF3106" s="70">
        <v>0</v>
      </c>
      <c r="AG3106" s="17"/>
      <c r="AH3106" s="18"/>
      <c r="AI3106" s="47" t="s">
        <v>4346</v>
      </c>
      <c r="AJ3106" s="73" t="s">
        <v>4347</v>
      </c>
      <c r="AK3106" s="45"/>
      <c r="AL3106" s="17"/>
      <c r="AM3106" s="20" t="s">
        <v>5470</v>
      </c>
      <c r="AN3106" s="19"/>
      <c r="AO3106" s="19"/>
      <c r="AP3106" s="19"/>
      <c r="AQ3106" s="19"/>
      <c r="AR3106" s="19"/>
      <c r="AS3106" s="19"/>
      <c r="AT3106" s="19"/>
      <c r="AU3106" s="19"/>
      <c r="AV3106" s="19"/>
      <c r="AW3106" s="19"/>
      <c r="AX3106" s="19"/>
      <c r="AY3106" s="19"/>
      <c r="AZ3106" s="19"/>
      <c r="BA3106" s="19"/>
      <c r="BB3106" s="19"/>
      <c r="BC3106" s="19"/>
      <c r="BD3106" s="19"/>
      <c r="BE3106" s="19"/>
      <c r="BF3106" s="19"/>
      <c r="BG3106" s="19"/>
      <c r="BH3106" s="19"/>
      <c r="BI3106" s="19"/>
      <c r="BJ3106" s="19"/>
      <c r="BK3106" s="19"/>
      <c r="BL3106" s="19"/>
      <c r="BM3106" s="19"/>
      <c r="BN3106" s="19"/>
      <c r="BO3106" s="19"/>
      <c r="BP3106" s="19"/>
      <c r="BQ3106" s="19"/>
      <c r="BR3106" s="19"/>
      <c r="BS3106" s="19"/>
      <c r="BT3106" s="19"/>
      <c r="BU3106" s="19"/>
      <c r="BV3106" s="19"/>
      <c r="BW3106" s="19"/>
      <c r="BX3106" s="19"/>
      <c r="BY3106" s="19"/>
      <c r="BZ3106" s="19"/>
      <c r="CA3106" s="19"/>
      <c r="CB3106" s="19"/>
      <c r="CC3106" s="19"/>
      <c r="CD3106" s="139"/>
      <c r="CE3106" s="138"/>
      <c r="CF3106" s="139"/>
      <c r="CG3106" s="138"/>
      <c r="CH3106" s="139"/>
      <c r="CI3106" s="138"/>
      <c r="CJ3106" s="72"/>
      <c r="CK3106" s="139"/>
      <c r="CL3106" s="71"/>
      <c r="CM3106" s="139"/>
      <c r="CN3106" s="138"/>
      <c r="CO3106" s="138"/>
      <c r="CP3106" s="138"/>
      <c r="CQ3106" s="139"/>
      <c r="CR3106" s="138"/>
      <c r="CS3106" s="45"/>
      <c r="CT3106" s="138"/>
      <c r="CU3106" s="45"/>
      <c r="CV3106" s="99">
        <f t="shared" si="303"/>
        <v>0</v>
      </c>
      <c r="CW3106" s="139"/>
      <c r="CX3106" s="138"/>
      <c r="CY3106" s="138"/>
      <c r="CZ3106" s="138"/>
      <c r="DA3106" s="139"/>
      <c r="DB3106" s="138"/>
      <c r="DC3106" s="45"/>
      <c r="DD3106" s="138"/>
      <c r="DE3106" s="45"/>
      <c r="DF3106" s="46"/>
    </row>
    <row r="3107" spans="1:110" s="42" customFormat="1" x14ac:dyDescent="0.2">
      <c r="A3107" s="89">
        <v>40892</v>
      </c>
      <c r="B3107" s="16" t="s">
        <v>2218</v>
      </c>
      <c r="C3107" s="16" t="s">
        <v>4345</v>
      </c>
      <c r="D3107" s="90" t="s">
        <v>4264</v>
      </c>
      <c r="E3107" s="90">
        <f>VLOOKUP(B3107&amp;C3107,Divipola!$C$2:$F$1138,4,FALSE)</f>
        <v>5</v>
      </c>
      <c r="F3107" s="4"/>
      <c r="G3107" s="208"/>
      <c r="H3107" s="208"/>
      <c r="I3107" s="208"/>
      <c r="J3107" s="208"/>
      <c r="K3107" s="208"/>
      <c r="L3107" s="208"/>
      <c r="M3107" s="208"/>
      <c r="N3107" s="208"/>
      <c r="O3107" s="208"/>
      <c r="P3107" s="208"/>
      <c r="Q3107" s="208"/>
      <c r="R3107" s="208"/>
      <c r="S3107" s="208"/>
      <c r="T3107" s="208"/>
      <c r="U3107" s="208"/>
      <c r="V3107" s="208"/>
      <c r="W3107" s="19"/>
      <c r="X3107" s="17"/>
      <c r="Y3107" s="5">
        <f t="shared" si="298"/>
        <v>133699303.2</v>
      </c>
      <c r="Z3107" s="5">
        <f t="shared" si="299"/>
        <v>170000000</v>
      </c>
      <c r="AA3107" s="5">
        <f t="shared" si="300"/>
        <v>0</v>
      </c>
      <c r="AB3107" s="5">
        <f t="shared" si="301"/>
        <v>0</v>
      </c>
      <c r="AC3107" s="5"/>
      <c r="AD3107" s="5">
        <v>0</v>
      </c>
      <c r="AE3107" s="5">
        <f t="shared" si="302"/>
        <v>303699303.19999999</v>
      </c>
      <c r="AF3107" s="70">
        <v>0</v>
      </c>
      <c r="AG3107" s="17"/>
      <c r="AH3107" s="18"/>
      <c r="AI3107" s="47" t="s">
        <v>4346</v>
      </c>
      <c r="AJ3107" s="73" t="s">
        <v>4347</v>
      </c>
      <c r="AK3107" s="45"/>
      <c r="AL3107" s="17"/>
      <c r="AM3107" s="20"/>
      <c r="AN3107" s="19"/>
      <c r="AO3107" s="19"/>
      <c r="AP3107" s="19"/>
      <c r="AQ3107" s="19"/>
      <c r="AR3107" s="19"/>
      <c r="AS3107" s="19"/>
      <c r="AT3107" s="19"/>
      <c r="AU3107" s="19"/>
      <c r="AV3107" s="19">
        <v>1000</v>
      </c>
      <c r="AW3107" s="19">
        <f>1000*20999.48</f>
        <v>20999480</v>
      </c>
      <c r="AX3107" s="19"/>
      <c r="AY3107" s="19"/>
      <c r="AZ3107" s="19"/>
      <c r="BA3107" s="19"/>
      <c r="BB3107" s="19"/>
      <c r="BC3107" s="19"/>
      <c r="BD3107" s="19"/>
      <c r="BE3107" s="19"/>
      <c r="BF3107" s="19"/>
      <c r="BG3107" s="19"/>
      <c r="BH3107" s="19"/>
      <c r="BI3107" s="19"/>
      <c r="BJ3107" s="19"/>
      <c r="BK3107" s="19"/>
      <c r="BL3107" s="19"/>
      <c r="BM3107" s="19"/>
      <c r="BN3107" s="19"/>
      <c r="BO3107" s="19"/>
      <c r="BP3107" s="19"/>
      <c r="BQ3107" s="19"/>
      <c r="BR3107" s="19"/>
      <c r="BS3107" s="19"/>
      <c r="BT3107" s="19"/>
      <c r="BU3107" s="19"/>
      <c r="BV3107" s="19"/>
      <c r="BW3107" s="19"/>
      <c r="BX3107" s="19"/>
      <c r="BY3107" s="19"/>
      <c r="BZ3107" s="19">
        <v>30</v>
      </c>
      <c r="CA3107" s="19">
        <f>30*499999.44</f>
        <v>14999983.199999999</v>
      </c>
      <c r="CB3107" s="19"/>
      <c r="CC3107" s="19"/>
      <c r="CD3107" s="139"/>
      <c r="CE3107" s="138"/>
      <c r="CF3107" s="139"/>
      <c r="CG3107" s="138"/>
      <c r="CH3107" s="139"/>
      <c r="CI3107" s="138"/>
      <c r="CJ3107" s="72">
        <v>1000</v>
      </c>
      <c r="CK3107" s="139">
        <f>1000*21000.64</f>
        <v>21000640</v>
      </c>
      <c r="CL3107" s="71"/>
      <c r="CM3107" s="139"/>
      <c r="CN3107" s="138"/>
      <c r="CO3107" s="138"/>
      <c r="CP3107" s="138">
        <v>1000</v>
      </c>
      <c r="CQ3107" s="139">
        <f>1000*36999.36</f>
        <v>36999360</v>
      </c>
      <c r="CR3107" s="138">
        <v>1000</v>
      </c>
      <c r="CS3107" s="45">
        <f>1000*39699.84</f>
        <v>39699840</v>
      </c>
      <c r="CT3107" s="138"/>
      <c r="CU3107" s="45"/>
      <c r="CV3107" s="99">
        <f t="shared" si="303"/>
        <v>133699303.2</v>
      </c>
      <c r="CW3107" s="139"/>
      <c r="CX3107" s="138"/>
      <c r="CY3107" s="138">
        <v>2000</v>
      </c>
      <c r="CZ3107" s="138">
        <f>2000*85000</f>
        <v>170000000</v>
      </c>
      <c r="DA3107" s="139"/>
      <c r="DB3107" s="138"/>
      <c r="DC3107" s="45"/>
      <c r="DD3107" s="138"/>
      <c r="DE3107" s="45"/>
      <c r="DF3107" s="46"/>
    </row>
    <row r="3108" spans="1:110" s="42" customFormat="1" ht="36" x14ac:dyDescent="0.2">
      <c r="A3108" s="89">
        <v>40892</v>
      </c>
      <c r="B3108" s="151" t="s">
        <v>4344</v>
      </c>
      <c r="C3108" s="90" t="s">
        <v>1736</v>
      </c>
      <c r="D3108" s="90" t="s">
        <v>2362</v>
      </c>
      <c r="E3108" s="90" t="str">
        <f>VLOOKUP(B3108&amp;C3108,Divipola!$C$2:$F$1138,4,FALSE)</f>
        <v>25386</v>
      </c>
      <c r="F3108" s="4"/>
      <c r="G3108" s="101"/>
      <c r="H3108" s="101"/>
      <c r="I3108" s="101"/>
      <c r="J3108" s="101">
        <v>25</v>
      </c>
      <c r="K3108" s="101">
        <v>5</v>
      </c>
      <c r="L3108" s="101"/>
      <c r="M3108" s="101">
        <v>5</v>
      </c>
      <c r="N3108" s="101"/>
      <c r="O3108" s="101"/>
      <c r="P3108" s="101"/>
      <c r="Q3108" s="101"/>
      <c r="R3108" s="101"/>
      <c r="S3108" s="101"/>
      <c r="T3108" s="101"/>
      <c r="U3108" s="101"/>
      <c r="V3108" s="101"/>
      <c r="W3108" s="19"/>
      <c r="X3108" s="17"/>
      <c r="Y3108" s="5">
        <f t="shared" si="298"/>
        <v>0</v>
      </c>
      <c r="Z3108" s="5">
        <f t="shared" si="299"/>
        <v>0</v>
      </c>
      <c r="AA3108" s="5">
        <f t="shared" si="300"/>
        <v>0</v>
      </c>
      <c r="AB3108" s="5">
        <f t="shared" si="301"/>
        <v>0</v>
      </c>
      <c r="AC3108" s="5"/>
      <c r="AD3108" s="5">
        <v>0</v>
      </c>
      <c r="AE3108" s="5">
        <f t="shared" si="302"/>
        <v>0</v>
      </c>
      <c r="AF3108" s="70">
        <v>0</v>
      </c>
      <c r="AG3108" s="17"/>
      <c r="AH3108" s="18"/>
      <c r="AI3108" s="47" t="s">
        <v>4346</v>
      </c>
      <c r="AJ3108" s="73" t="s">
        <v>4347</v>
      </c>
      <c r="AK3108" s="45"/>
      <c r="AL3108" s="89" t="s">
        <v>2798</v>
      </c>
      <c r="AM3108" s="121" t="s">
        <v>5490</v>
      </c>
      <c r="AN3108" s="19"/>
      <c r="AO3108" s="19"/>
      <c r="AP3108" s="19"/>
      <c r="AQ3108" s="19"/>
      <c r="AR3108" s="19"/>
      <c r="AS3108" s="19"/>
      <c r="AT3108" s="19"/>
      <c r="AU3108" s="19"/>
      <c r="AV3108" s="19"/>
      <c r="AW3108" s="19"/>
      <c r="AX3108" s="19"/>
      <c r="AY3108" s="19"/>
      <c r="AZ3108" s="19"/>
      <c r="BA3108" s="19"/>
      <c r="BB3108" s="19"/>
      <c r="BC3108" s="19"/>
      <c r="BD3108" s="19"/>
      <c r="BE3108" s="19"/>
      <c r="BF3108" s="19"/>
      <c r="BG3108" s="19"/>
      <c r="BH3108" s="19"/>
      <c r="BI3108" s="19"/>
      <c r="BJ3108" s="19"/>
      <c r="BK3108" s="19"/>
      <c r="BL3108" s="19"/>
      <c r="BM3108" s="19"/>
      <c r="BN3108" s="19"/>
      <c r="BO3108" s="19"/>
      <c r="BP3108" s="19"/>
      <c r="BQ3108" s="19"/>
      <c r="BR3108" s="19"/>
      <c r="BS3108" s="19"/>
      <c r="BT3108" s="19"/>
      <c r="BU3108" s="19"/>
      <c r="BV3108" s="19"/>
      <c r="BW3108" s="19"/>
      <c r="BX3108" s="19"/>
      <c r="BY3108" s="19"/>
      <c r="BZ3108" s="19"/>
      <c r="CA3108" s="19"/>
      <c r="CB3108" s="19"/>
      <c r="CC3108" s="19"/>
      <c r="CD3108" s="139"/>
      <c r="CE3108" s="138"/>
      <c r="CF3108" s="139"/>
      <c r="CG3108" s="138"/>
      <c r="CH3108" s="139"/>
      <c r="CI3108" s="138"/>
      <c r="CJ3108" s="72"/>
      <c r="CK3108" s="139"/>
      <c r="CL3108" s="71"/>
      <c r="CM3108" s="139"/>
      <c r="CN3108" s="138"/>
      <c r="CO3108" s="138"/>
      <c r="CP3108" s="138"/>
      <c r="CQ3108" s="139"/>
      <c r="CR3108" s="138"/>
      <c r="CS3108" s="45"/>
      <c r="CT3108" s="138"/>
      <c r="CU3108" s="45"/>
      <c r="CV3108" s="99">
        <f t="shared" si="303"/>
        <v>0</v>
      </c>
      <c r="CW3108" s="139"/>
      <c r="CX3108" s="138"/>
      <c r="CY3108" s="138"/>
      <c r="CZ3108" s="138"/>
      <c r="DA3108" s="139"/>
      <c r="DB3108" s="138"/>
      <c r="DC3108" s="45"/>
      <c r="DD3108" s="138"/>
      <c r="DE3108" s="45"/>
      <c r="DF3108" s="46"/>
    </row>
    <row r="3109" spans="1:110" s="42" customFormat="1" ht="51" x14ac:dyDescent="0.2">
      <c r="A3109" s="89">
        <v>40892</v>
      </c>
      <c r="B3109" s="151" t="s">
        <v>4348</v>
      </c>
      <c r="C3109" s="90" t="s">
        <v>3304</v>
      </c>
      <c r="D3109" s="90" t="s">
        <v>2362</v>
      </c>
      <c r="E3109" s="90" t="str">
        <f>VLOOKUP(B3109&amp;C3109,Divipola!$C$2:$F$1138,4,FALSE)</f>
        <v>66440</v>
      </c>
      <c r="F3109" s="4"/>
      <c r="G3109" s="101"/>
      <c r="H3109" s="101"/>
      <c r="I3109" s="101"/>
      <c r="J3109" s="101">
        <v>150</v>
      </c>
      <c r="K3109" s="101">
        <v>30</v>
      </c>
      <c r="L3109" s="101"/>
      <c r="M3109" s="101">
        <v>30</v>
      </c>
      <c r="N3109" s="101"/>
      <c r="O3109" s="101"/>
      <c r="P3109" s="101"/>
      <c r="Q3109" s="101"/>
      <c r="R3109" s="101"/>
      <c r="S3109" s="101"/>
      <c r="T3109" s="101"/>
      <c r="U3109" s="101"/>
      <c r="V3109" s="101"/>
      <c r="W3109" s="19"/>
      <c r="X3109" s="17"/>
      <c r="Y3109" s="5">
        <f t="shared" si="298"/>
        <v>0</v>
      </c>
      <c r="Z3109" s="5">
        <f t="shared" si="299"/>
        <v>0</v>
      </c>
      <c r="AA3109" s="5">
        <f t="shared" si="300"/>
        <v>0</v>
      </c>
      <c r="AB3109" s="5">
        <f t="shared" si="301"/>
        <v>0</v>
      </c>
      <c r="AC3109" s="5"/>
      <c r="AD3109" s="5">
        <v>0</v>
      </c>
      <c r="AE3109" s="5">
        <f t="shared" si="302"/>
        <v>0</v>
      </c>
      <c r="AF3109" s="70">
        <v>0</v>
      </c>
      <c r="AG3109" s="17"/>
      <c r="AH3109" s="18"/>
      <c r="AI3109" s="47" t="s">
        <v>4346</v>
      </c>
      <c r="AJ3109" s="73" t="s">
        <v>4347</v>
      </c>
      <c r="AK3109" s="45"/>
      <c r="AL3109" s="89" t="s">
        <v>2798</v>
      </c>
      <c r="AM3109" s="244" t="s">
        <v>5538</v>
      </c>
      <c r="AN3109" s="19"/>
      <c r="AO3109" s="19"/>
      <c r="AP3109" s="19"/>
      <c r="AQ3109" s="19"/>
      <c r="AR3109" s="19"/>
      <c r="AS3109" s="19"/>
      <c r="AT3109" s="19"/>
      <c r="AU3109" s="19"/>
      <c r="AV3109" s="19"/>
      <c r="AW3109" s="19"/>
      <c r="AX3109" s="19"/>
      <c r="AY3109" s="19"/>
      <c r="AZ3109" s="19"/>
      <c r="BA3109" s="19"/>
      <c r="BB3109" s="19"/>
      <c r="BC3109" s="19"/>
      <c r="BD3109" s="19"/>
      <c r="BE3109" s="19"/>
      <c r="BF3109" s="19"/>
      <c r="BG3109" s="19"/>
      <c r="BH3109" s="19"/>
      <c r="BI3109" s="19"/>
      <c r="BJ3109" s="19"/>
      <c r="BK3109" s="19"/>
      <c r="BL3109" s="19"/>
      <c r="BM3109" s="19"/>
      <c r="BN3109" s="19"/>
      <c r="BO3109" s="19"/>
      <c r="BP3109" s="19"/>
      <c r="BQ3109" s="19"/>
      <c r="BR3109" s="19"/>
      <c r="BS3109" s="19"/>
      <c r="BT3109" s="19"/>
      <c r="BU3109" s="19"/>
      <c r="BV3109" s="19"/>
      <c r="BW3109" s="19"/>
      <c r="BX3109" s="19"/>
      <c r="BY3109" s="19"/>
      <c r="BZ3109" s="19"/>
      <c r="CA3109" s="19"/>
      <c r="CB3109" s="19"/>
      <c r="CC3109" s="19"/>
      <c r="CD3109" s="139"/>
      <c r="CE3109" s="138"/>
      <c r="CF3109" s="139"/>
      <c r="CG3109" s="138"/>
      <c r="CH3109" s="139"/>
      <c r="CI3109" s="138"/>
      <c r="CJ3109" s="72"/>
      <c r="CK3109" s="139"/>
      <c r="CL3109" s="71"/>
      <c r="CM3109" s="139"/>
      <c r="CN3109" s="138"/>
      <c r="CO3109" s="138"/>
      <c r="CP3109" s="138"/>
      <c r="CQ3109" s="139"/>
      <c r="CR3109" s="138"/>
      <c r="CS3109" s="45"/>
      <c r="CT3109" s="138"/>
      <c r="CU3109" s="45"/>
      <c r="CV3109" s="99">
        <f t="shared" si="303"/>
        <v>0</v>
      </c>
      <c r="CW3109" s="139"/>
      <c r="CX3109" s="138"/>
      <c r="CY3109" s="138"/>
      <c r="CZ3109" s="138"/>
      <c r="DA3109" s="139"/>
      <c r="DB3109" s="138"/>
      <c r="DC3109" s="45"/>
      <c r="DD3109" s="138"/>
      <c r="DE3109" s="45"/>
      <c r="DF3109" s="46"/>
    </row>
    <row r="3110" spans="1:110" s="42" customFormat="1" ht="36" x14ac:dyDescent="0.2">
      <c r="A3110" s="254">
        <v>40892</v>
      </c>
      <c r="B3110" s="250" t="s">
        <v>4219</v>
      </c>
      <c r="C3110" s="251" t="s">
        <v>3322</v>
      </c>
      <c r="D3110" s="252" t="s">
        <v>4264</v>
      </c>
      <c r="E3110" s="90" t="str">
        <f>VLOOKUP(B3110&amp;C3110,Divipola!$C$2:$F$1138,4,FALSE)</f>
        <v>41319</v>
      </c>
      <c r="F3110" s="4"/>
      <c r="G3110" s="327"/>
      <c r="H3110" s="327"/>
      <c r="I3110" s="327"/>
      <c r="J3110" s="328">
        <v>210</v>
      </c>
      <c r="K3110" s="328">
        <v>42</v>
      </c>
      <c r="L3110" s="246">
        <v>2</v>
      </c>
      <c r="M3110" s="246">
        <v>27</v>
      </c>
      <c r="N3110" s="246"/>
      <c r="O3110" s="246"/>
      <c r="P3110" s="246"/>
      <c r="Q3110" s="246">
        <v>4</v>
      </c>
      <c r="R3110" s="245"/>
      <c r="S3110" s="245"/>
      <c r="T3110" s="245"/>
      <c r="U3110" s="245"/>
      <c r="V3110" s="246">
        <v>14</v>
      </c>
      <c r="W3110" s="19"/>
      <c r="X3110" s="17"/>
      <c r="Y3110" s="5">
        <f t="shared" si="298"/>
        <v>0</v>
      </c>
      <c r="Z3110" s="5">
        <f t="shared" si="299"/>
        <v>0</v>
      </c>
      <c r="AA3110" s="5">
        <f t="shared" si="300"/>
        <v>0</v>
      </c>
      <c r="AB3110" s="5">
        <f t="shared" si="301"/>
        <v>0</v>
      </c>
      <c r="AC3110" s="5"/>
      <c r="AD3110" s="5">
        <v>0</v>
      </c>
      <c r="AE3110" s="5">
        <f t="shared" si="302"/>
        <v>0</v>
      </c>
      <c r="AF3110" s="70">
        <v>0</v>
      </c>
      <c r="AG3110" s="17"/>
      <c r="AH3110" s="18"/>
      <c r="AI3110" s="47" t="s">
        <v>4346</v>
      </c>
      <c r="AJ3110" s="73" t="s">
        <v>4347</v>
      </c>
      <c r="AK3110" s="45"/>
      <c r="AL3110" s="89" t="s">
        <v>2798</v>
      </c>
      <c r="AM3110" s="121" t="s">
        <v>5555</v>
      </c>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39"/>
      <c r="CE3110" s="138"/>
      <c r="CF3110" s="139"/>
      <c r="CG3110" s="138"/>
      <c r="CH3110" s="139"/>
      <c r="CI3110" s="138"/>
      <c r="CJ3110" s="72"/>
      <c r="CK3110" s="139"/>
      <c r="CL3110" s="71"/>
      <c r="CM3110" s="139"/>
      <c r="CN3110" s="138"/>
      <c r="CO3110" s="138"/>
      <c r="CP3110" s="138"/>
      <c r="CQ3110" s="139"/>
      <c r="CR3110" s="138"/>
      <c r="CS3110" s="45"/>
      <c r="CT3110" s="138"/>
      <c r="CU3110" s="45"/>
      <c r="CV3110" s="99">
        <f t="shared" si="303"/>
        <v>0</v>
      </c>
      <c r="CW3110" s="139"/>
      <c r="CX3110" s="138"/>
      <c r="CY3110" s="138"/>
      <c r="CZ3110" s="138"/>
      <c r="DA3110" s="139"/>
      <c r="DB3110" s="138"/>
      <c r="DC3110" s="45"/>
      <c r="DD3110" s="138"/>
      <c r="DE3110" s="45"/>
      <c r="DF3110" s="46"/>
    </row>
    <row r="3111" spans="1:110" s="42" customFormat="1" ht="240" x14ac:dyDescent="0.2">
      <c r="A3111" s="89">
        <v>40893</v>
      </c>
      <c r="B3111" s="196" t="s">
        <v>3533</v>
      </c>
      <c r="C3111" s="197" t="s">
        <v>3381</v>
      </c>
      <c r="D3111" s="197" t="s">
        <v>2362</v>
      </c>
      <c r="E3111" s="90" t="str">
        <f>VLOOKUP(B3111&amp;C3111,Divipola!$C$2:$F$1138,4,FALSE)</f>
        <v>17614</v>
      </c>
      <c r="F3111" s="4"/>
      <c r="G3111" s="194">
        <v>9</v>
      </c>
      <c r="H3111" s="194"/>
      <c r="I3111" s="194"/>
      <c r="J3111" s="194">
        <f>92*5</f>
        <v>460</v>
      </c>
      <c r="K3111" s="194">
        <v>92</v>
      </c>
      <c r="L3111" s="194">
        <v>2</v>
      </c>
      <c r="M3111" s="194">
        <v>90</v>
      </c>
      <c r="N3111" s="194"/>
      <c r="O3111" s="194"/>
      <c r="P3111" s="194"/>
      <c r="Q3111" s="194"/>
      <c r="R3111" s="194"/>
      <c r="S3111" s="194"/>
      <c r="T3111" s="194"/>
      <c r="U3111" s="194"/>
      <c r="V3111" s="194"/>
      <c r="W3111" s="19"/>
      <c r="X3111" s="17"/>
      <c r="Y3111" s="5">
        <f t="shared" si="298"/>
        <v>42415000</v>
      </c>
      <c r="Z3111" s="5">
        <f t="shared" si="299"/>
        <v>15300000</v>
      </c>
      <c r="AA3111" s="5">
        <f t="shared" si="300"/>
        <v>0</v>
      </c>
      <c r="AB3111" s="5">
        <f t="shared" si="301"/>
        <v>0</v>
      </c>
      <c r="AC3111" s="143">
        <f>90*20800+90*2600</f>
        <v>2106000</v>
      </c>
      <c r="AD3111" s="5">
        <v>0</v>
      </c>
      <c r="AE3111" s="5">
        <f t="shared" si="302"/>
        <v>59821000</v>
      </c>
      <c r="AF3111" s="70">
        <v>0</v>
      </c>
      <c r="AG3111" s="17"/>
      <c r="AH3111" s="18"/>
      <c r="AI3111" s="47" t="s">
        <v>4346</v>
      </c>
      <c r="AJ3111" s="73" t="s">
        <v>4347</v>
      </c>
      <c r="AK3111" s="45"/>
      <c r="AL3111" s="17"/>
      <c r="AM3111" s="195" t="s">
        <v>5536</v>
      </c>
      <c r="AN3111" s="19"/>
      <c r="AO3111" s="19"/>
      <c r="AP3111" s="19"/>
      <c r="AQ3111" s="19"/>
      <c r="AR3111" s="19"/>
      <c r="AS3111" s="19"/>
      <c r="AT3111" s="19"/>
      <c r="AU3111" s="19"/>
      <c r="AV3111" s="19"/>
      <c r="AW3111" s="19"/>
      <c r="AX3111" s="19">
        <v>90</v>
      </c>
      <c r="AY3111" s="19">
        <f>74*400000+15*450000+1*800000</f>
        <v>37150000</v>
      </c>
      <c r="AZ3111" s="19"/>
      <c r="BA3111" s="19"/>
      <c r="BB3111" s="19"/>
      <c r="BC3111" s="19"/>
      <c r="BD3111" s="19"/>
      <c r="BE3111" s="19"/>
      <c r="BF3111" s="19"/>
      <c r="BG3111" s="19"/>
      <c r="BH3111" s="19"/>
      <c r="BI3111" s="19"/>
      <c r="BJ3111" s="19"/>
      <c r="BK3111" s="19"/>
      <c r="BL3111" s="19"/>
      <c r="BM3111" s="19"/>
      <c r="BN3111" s="19"/>
      <c r="BO3111" s="19"/>
      <c r="BP3111" s="19"/>
      <c r="BQ3111" s="19"/>
      <c r="BR3111" s="19"/>
      <c r="BS3111" s="19"/>
      <c r="BT3111" s="19"/>
      <c r="BU3111" s="19"/>
      <c r="BV3111" s="19"/>
      <c r="BW3111" s="19"/>
      <c r="BX3111" s="19"/>
      <c r="BY3111" s="19"/>
      <c r="BZ3111" s="19"/>
      <c r="CA3111" s="19"/>
      <c r="CB3111" s="19"/>
      <c r="CC3111" s="19"/>
      <c r="CD3111" s="139"/>
      <c r="CE3111" s="138"/>
      <c r="CF3111" s="139"/>
      <c r="CG3111" s="138"/>
      <c r="CH3111" s="139"/>
      <c r="CI3111" s="138"/>
      <c r="CJ3111" s="72">
        <v>90</v>
      </c>
      <c r="CK3111" s="139">
        <f>90*21500</f>
        <v>1935000</v>
      </c>
      <c r="CL3111" s="71"/>
      <c r="CM3111" s="139"/>
      <c r="CN3111" s="138"/>
      <c r="CO3111" s="138"/>
      <c r="CP3111" s="138">
        <v>90</v>
      </c>
      <c r="CQ3111" s="139">
        <f>90*37000</f>
        <v>3330000</v>
      </c>
      <c r="CR3111" s="138"/>
      <c r="CS3111" s="45"/>
      <c r="CT3111" s="138"/>
      <c r="CU3111" s="45"/>
      <c r="CV3111" s="99">
        <f t="shared" si="303"/>
        <v>42415000</v>
      </c>
      <c r="CW3111" s="139"/>
      <c r="CX3111" s="138"/>
      <c r="CY3111" s="138">
        <v>180</v>
      </c>
      <c r="CZ3111" s="138">
        <f>180*85000</f>
        <v>15300000</v>
      </c>
      <c r="DA3111" s="139"/>
      <c r="DB3111" s="138"/>
      <c r="DC3111" s="45"/>
      <c r="DD3111" s="138"/>
      <c r="DE3111" s="45"/>
      <c r="DF3111" s="46"/>
    </row>
    <row r="3112" spans="1:110" s="42" customFormat="1" ht="84" x14ac:dyDescent="0.2">
      <c r="A3112" s="89">
        <v>40893</v>
      </c>
      <c r="B3112" s="196" t="s">
        <v>4308</v>
      </c>
      <c r="C3112" s="197" t="s">
        <v>4306</v>
      </c>
      <c r="D3112" s="197" t="s">
        <v>4264</v>
      </c>
      <c r="E3112" s="90" t="str">
        <f>VLOOKUP(B3112&amp;C3112,Divipola!$C$2:$F$1138,4,FALSE)</f>
        <v>47001</v>
      </c>
      <c r="F3112" s="4"/>
      <c r="G3112" s="194">
        <v>4</v>
      </c>
      <c r="H3112" s="194"/>
      <c r="I3112" s="194">
        <v>2</v>
      </c>
      <c r="J3112" s="194"/>
      <c r="K3112" s="194"/>
      <c r="L3112" s="194"/>
      <c r="M3112" s="194"/>
      <c r="N3112" s="194"/>
      <c r="O3112" s="194"/>
      <c r="P3112" s="194"/>
      <c r="Q3112" s="194"/>
      <c r="R3112" s="194"/>
      <c r="S3112" s="194"/>
      <c r="T3112" s="194"/>
      <c r="U3112" s="194"/>
      <c r="V3112" s="194"/>
      <c r="W3112" s="19"/>
      <c r="X3112" s="17"/>
      <c r="Y3112" s="5">
        <f t="shared" si="298"/>
        <v>0</v>
      </c>
      <c r="Z3112" s="5">
        <f t="shared" si="299"/>
        <v>0</v>
      </c>
      <c r="AA3112" s="5">
        <f t="shared" si="300"/>
        <v>0</v>
      </c>
      <c r="AB3112" s="5">
        <f t="shared" si="301"/>
        <v>0</v>
      </c>
      <c r="AC3112" s="5"/>
      <c r="AD3112" s="5">
        <v>0</v>
      </c>
      <c r="AE3112" s="5">
        <f t="shared" si="302"/>
        <v>0</v>
      </c>
      <c r="AF3112" s="70">
        <v>0</v>
      </c>
      <c r="AG3112" s="17"/>
      <c r="AH3112" s="18"/>
      <c r="AI3112" s="47" t="s">
        <v>4346</v>
      </c>
      <c r="AJ3112" s="73" t="s">
        <v>4347</v>
      </c>
      <c r="AK3112" s="45"/>
      <c r="AL3112" s="89" t="s">
        <v>2798</v>
      </c>
      <c r="AM3112" s="121" t="s">
        <v>5526</v>
      </c>
      <c r="AN3112" s="19"/>
      <c r="AO3112" s="19"/>
      <c r="AP3112" s="19"/>
      <c r="AQ3112" s="19"/>
      <c r="AR3112" s="19"/>
      <c r="AS3112" s="19"/>
      <c r="AT3112" s="19"/>
      <c r="AU3112" s="19"/>
      <c r="AV3112" s="19"/>
      <c r="AW3112" s="19"/>
      <c r="AX3112" s="19"/>
      <c r="AY3112" s="19"/>
      <c r="AZ3112" s="19"/>
      <c r="BA3112" s="19"/>
      <c r="BB3112" s="19"/>
      <c r="BC3112" s="19"/>
      <c r="BD3112" s="19"/>
      <c r="BE3112" s="19"/>
      <c r="BF3112" s="19"/>
      <c r="BG3112" s="19"/>
      <c r="BH3112" s="19"/>
      <c r="BI3112" s="19"/>
      <c r="BJ3112" s="19"/>
      <c r="BK3112" s="19"/>
      <c r="BL3112" s="19"/>
      <c r="BM3112" s="19"/>
      <c r="BN3112" s="19"/>
      <c r="BO3112" s="19"/>
      <c r="BP3112" s="19"/>
      <c r="BQ3112" s="19"/>
      <c r="BR3112" s="19"/>
      <c r="BS3112" s="19"/>
      <c r="BT3112" s="19"/>
      <c r="BU3112" s="19"/>
      <c r="BV3112" s="19"/>
      <c r="BW3112" s="19"/>
      <c r="BX3112" s="19"/>
      <c r="BY3112" s="19"/>
      <c r="BZ3112" s="19"/>
      <c r="CA3112" s="19"/>
      <c r="CB3112" s="19"/>
      <c r="CC3112" s="19"/>
      <c r="CD3112" s="139"/>
      <c r="CE3112" s="138"/>
      <c r="CF3112" s="139"/>
      <c r="CG3112" s="138"/>
      <c r="CH3112" s="139"/>
      <c r="CI3112" s="138"/>
      <c r="CJ3112" s="72"/>
      <c r="CK3112" s="139"/>
      <c r="CL3112" s="71"/>
      <c r="CM3112" s="139"/>
      <c r="CN3112" s="138"/>
      <c r="CO3112" s="138"/>
      <c r="CP3112" s="138"/>
      <c r="CQ3112" s="139"/>
      <c r="CR3112" s="138"/>
      <c r="CS3112" s="45"/>
      <c r="CT3112" s="138"/>
      <c r="CU3112" s="45"/>
      <c r="CV3112" s="99">
        <f t="shared" si="303"/>
        <v>0</v>
      </c>
      <c r="CW3112" s="139"/>
      <c r="CX3112" s="138"/>
      <c r="CY3112" s="138"/>
      <c r="CZ3112" s="138"/>
      <c r="DA3112" s="139"/>
      <c r="DB3112" s="138"/>
      <c r="DC3112" s="45"/>
      <c r="DD3112" s="138"/>
      <c r="DE3112" s="45"/>
      <c r="DF3112" s="46"/>
    </row>
    <row r="3113" spans="1:110" s="42" customFormat="1" ht="48" x14ac:dyDescent="0.2">
      <c r="A3113" s="89">
        <v>40893</v>
      </c>
      <c r="B3113" s="16" t="s">
        <v>2225</v>
      </c>
      <c r="C3113" s="16" t="s">
        <v>194</v>
      </c>
      <c r="D3113" s="16" t="s">
        <v>4264</v>
      </c>
      <c r="E3113" s="90" t="str">
        <f>VLOOKUP(B3113&amp;C3113,Divipola!$C$2:$F$1138,4,FALSE)</f>
        <v>27745</v>
      </c>
      <c r="F3113" s="4"/>
      <c r="G3113" s="208"/>
      <c r="H3113" s="208"/>
      <c r="I3113" s="208"/>
      <c r="J3113" s="208"/>
      <c r="K3113" s="208"/>
      <c r="L3113" s="208"/>
      <c r="M3113" s="208"/>
      <c r="N3113" s="208"/>
      <c r="O3113" s="208"/>
      <c r="P3113" s="208"/>
      <c r="Q3113" s="208"/>
      <c r="R3113" s="208"/>
      <c r="S3113" s="208"/>
      <c r="T3113" s="208"/>
      <c r="U3113" s="208"/>
      <c r="V3113" s="208"/>
      <c r="W3113" s="19"/>
      <c r="X3113" s="17"/>
      <c r="Y3113" s="5">
        <f t="shared" si="298"/>
        <v>0</v>
      </c>
      <c r="Z3113" s="5">
        <f t="shared" si="299"/>
        <v>0</v>
      </c>
      <c r="AA3113" s="5">
        <f t="shared" si="300"/>
        <v>0</v>
      </c>
      <c r="AB3113" s="5">
        <f t="shared" si="301"/>
        <v>0</v>
      </c>
      <c r="AC3113" s="5"/>
      <c r="AD3113" s="5">
        <v>35000000</v>
      </c>
      <c r="AE3113" s="5">
        <f t="shared" si="302"/>
        <v>35000000</v>
      </c>
      <c r="AF3113" s="70">
        <v>0</v>
      </c>
      <c r="AG3113" s="17"/>
      <c r="AH3113" s="18"/>
      <c r="AI3113" s="47" t="s">
        <v>4346</v>
      </c>
      <c r="AJ3113" s="73" t="s">
        <v>4347</v>
      </c>
      <c r="AK3113" s="45"/>
      <c r="AL3113" s="17"/>
      <c r="AM3113" s="20" t="s">
        <v>5432</v>
      </c>
      <c r="AN3113" s="19"/>
      <c r="AO3113" s="19"/>
      <c r="AP3113" s="19"/>
      <c r="AQ3113" s="19"/>
      <c r="AR3113" s="19"/>
      <c r="AS3113" s="19"/>
      <c r="AT3113" s="19"/>
      <c r="AU3113" s="19"/>
      <c r="AV3113" s="19"/>
      <c r="AW3113" s="19"/>
      <c r="AX3113" s="19"/>
      <c r="AY3113" s="19"/>
      <c r="AZ3113" s="19"/>
      <c r="BA3113" s="19"/>
      <c r="BB3113" s="19"/>
      <c r="BC3113" s="19"/>
      <c r="BD3113" s="19"/>
      <c r="BE3113" s="19"/>
      <c r="BF3113" s="19"/>
      <c r="BG3113" s="19"/>
      <c r="BH3113" s="19"/>
      <c r="BI3113" s="19"/>
      <c r="BJ3113" s="19"/>
      <c r="BK3113" s="19"/>
      <c r="BL3113" s="19"/>
      <c r="BM3113" s="19"/>
      <c r="BN3113" s="19"/>
      <c r="BO3113" s="19"/>
      <c r="BP3113" s="19"/>
      <c r="BQ3113" s="19"/>
      <c r="BR3113" s="19"/>
      <c r="BS3113" s="19"/>
      <c r="BT3113" s="19"/>
      <c r="BU3113" s="19"/>
      <c r="BV3113" s="19"/>
      <c r="BW3113" s="19"/>
      <c r="BX3113" s="19"/>
      <c r="BY3113" s="19"/>
      <c r="BZ3113" s="19"/>
      <c r="CA3113" s="19"/>
      <c r="CB3113" s="19"/>
      <c r="CC3113" s="19"/>
      <c r="CD3113" s="139"/>
      <c r="CE3113" s="138"/>
      <c r="CF3113" s="139"/>
      <c r="CG3113" s="138"/>
      <c r="CH3113" s="139"/>
      <c r="CI3113" s="138"/>
      <c r="CJ3113" s="72"/>
      <c r="CK3113" s="139"/>
      <c r="CL3113" s="71"/>
      <c r="CM3113" s="139"/>
      <c r="CN3113" s="138"/>
      <c r="CO3113" s="138"/>
      <c r="CP3113" s="138"/>
      <c r="CQ3113" s="139"/>
      <c r="CR3113" s="138"/>
      <c r="CS3113" s="45"/>
      <c r="CT3113" s="138"/>
      <c r="CU3113" s="45"/>
      <c r="CV3113" s="99">
        <f t="shared" si="303"/>
        <v>0</v>
      </c>
      <c r="CW3113" s="139"/>
      <c r="CX3113" s="138"/>
      <c r="CY3113" s="138"/>
      <c r="CZ3113" s="138"/>
      <c r="DA3113" s="139"/>
      <c r="DB3113" s="138"/>
      <c r="DC3113" s="45"/>
      <c r="DD3113" s="138"/>
      <c r="DE3113" s="45"/>
      <c r="DF3113" s="46"/>
    </row>
    <row r="3114" spans="1:110" s="42" customFormat="1" ht="60" x14ac:dyDescent="0.2">
      <c r="A3114" s="89">
        <v>40893</v>
      </c>
      <c r="B3114" s="16" t="s">
        <v>2225</v>
      </c>
      <c r="C3114" s="16" t="s">
        <v>3465</v>
      </c>
      <c r="D3114" s="16" t="s">
        <v>4264</v>
      </c>
      <c r="E3114" s="90" t="str">
        <f>VLOOKUP(B3114&amp;C3114,Divipola!$C$2:$F$1138,4,FALSE)</f>
        <v>27491</v>
      </c>
      <c r="F3114" s="4"/>
      <c r="G3114" s="208"/>
      <c r="H3114" s="208"/>
      <c r="I3114" s="208"/>
      <c r="J3114" s="208"/>
      <c r="K3114" s="208"/>
      <c r="L3114" s="208"/>
      <c r="M3114" s="208"/>
      <c r="N3114" s="208">
        <v>1</v>
      </c>
      <c r="O3114" s="208"/>
      <c r="P3114" s="208"/>
      <c r="Q3114" s="208"/>
      <c r="R3114" s="208"/>
      <c r="S3114" s="208"/>
      <c r="T3114" s="208"/>
      <c r="U3114" s="208"/>
      <c r="V3114" s="208"/>
      <c r="W3114" s="19"/>
      <c r="X3114" s="17"/>
      <c r="Y3114" s="5">
        <f t="shared" si="298"/>
        <v>0</v>
      </c>
      <c r="Z3114" s="5">
        <f t="shared" si="299"/>
        <v>0</v>
      </c>
      <c r="AA3114" s="5">
        <f t="shared" si="300"/>
        <v>0</v>
      </c>
      <c r="AB3114" s="5">
        <f t="shared" si="301"/>
        <v>0</v>
      </c>
      <c r="AC3114" s="5"/>
      <c r="AD3114" s="5">
        <v>50000000</v>
      </c>
      <c r="AE3114" s="5">
        <f t="shared" si="302"/>
        <v>50000000</v>
      </c>
      <c r="AF3114" s="70">
        <v>0</v>
      </c>
      <c r="AG3114" s="17"/>
      <c r="AH3114" s="18"/>
      <c r="AI3114" s="47" t="s">
        <v>4346</v>
      </c>
      <c r="AJ3114" s="73" t="s">
        <v>4347</v>
      </c>
      <c r="AK3114" s="45"/>
      <c r="AL3114" s="17"/>
      <c r="AM3114" s="20" t="s">
        <v>5433</v>
      </c>
      <c r="AN3114" s="19"/>
      <c r="AO3114" s="19"/>
      <c r="AP3114" s="19"/>
      <c r="AQ3114" s="19"/>
      <c r="AR3114" s="19"/>
      <c r="AS3114" s="19"/>
      <c r="AT3114" s="19"/>
      <c r="AU3114" s="19"/>
      <c r="AV3114" s="19"/>
      <c r="AW3114" s="19"/>
      <c r="AX3114" s="19"/>
      <c r="AY3114" s="19"/>
      <c r="AZ3114" s="19"/>
      <c r="BA3114" s="19"/>
      <c r="BB3114" s="19"/>
      <c r="BC3114" s="19"/>
      <c r="BD3114" s="19"/>
      <c r="BE3114" s="19"/>
      <c r="BF3114" s="19"/>
      <c r="BG3114" s="19"/>
      <c r="BH3114" s="19"/>
      <c r="BI3114" s="19"/>
      <c r="BJ3114" s="19"/>
      <c r="BK3114" s="19"/>
      <c r="BL3114" s="19"/>
      <c r="BM3114" s="19"/>
      <c r="BN3114" s="19"/>
      <c r="BO3114" s="19"/>
      <c r="BP3114" s="19"/>
      <c r="BQ3114" s="19"/>
      <c r="BR3114" s="19"/>
      <c r="BS3114" s="19"/>
      <c r="BT3114" s="19"/>
      <c r="BU3114" s="19"/>
      <c r="BV3114" s="19"/>
      <c r="BW3114" s="19"/>
      <c r="BX3114" s="19"/>
      <c r="BY3114" s="19"/>
      <c r="BZ3114" s="19"/>
      <c r="CA3114" s="19"/>
      <c r="CB3114" s="19"/>
      <c r="CC3114" s="19"/>
      <c r="CD3114" s="139"/>
      <c r="CE3114" s="138"/>
      <c r="CF3114" s="139"/>
      <c r="CG3114" s="138"/>
      <c r="CH3114" s="139"/>
      <c r="CI3114" s="138"/>
      <c r="CJ3114" s="72"/>
      <c r="CK3114" s="139"/>
      <c r="CL3114" s="71"/>
      <c r="CM3114" s="139"/>
      <c r="CN3114" s="138"/>
      <c r="CO3114" s="138"/>
      <c r="CP3114" s="138"/>
      <c r="CQ3114" s="139"/>
      <c r="CR3114" s="138"/>
      <c r="CS3114" s="45"/>
      <c r="CT3114" s="138"/>
      <c r="CU3114" s="45"/>
      <c r="CV3114" s="99">
        <f t="shared" si="303"/>
        <v>0</v>
      </c>
      <c r="CW3114" s="139"/>
      <c r="CX3114" s="138"/>
      <c r="CY3114" s="138"/>
      <c r="CZ3114" s="138"/>
      <c r="DA3114" s="139"/>
      <c r="DB3114" s="138"/>
      <c r="DC3114" s="45"/>
      <c r="DD3114" s="138"/>
      <c r="DE3114" s="45"/>
      <c r="DF3114" s="46"/>
    </row>
    <row r="3115" spans="1:110" s="42" customFormat="1" ht="72" x14ac:dyDescent="0.2">
      <c r="A3115" s="89">
        <v>40893</v>
      </c>
      <c r="B3115" s="151" t="s">
        <v>4219</v>
      </c>
      <c r="C3115" s="90" t="s">
        <v>3242</v>
      </c>
      <c r="D3115" s="90" t="s">
        <v>2362</v>
      </c>
      <c r="E3115" s="90" t="str">
        <f>VLOOKUP(B3115&amp;C3115,Divipola!$C$2:$F$1138,4,FALSE)</f>
        <v>41801</v>
      </c>
      <c r="F3115" s="4"/>
      <c r="G3115" s="194"/>
      <c r="H3115" s="194"/>
      <c r="I3115" s="194"/>
      <c r="J3115" s="194"/>
      <c r="K3115" s="194"/>
      <c r="L3115" s="194"/>
      <c r="M3115" s="194"/>
      <c r="N3115" s="194">
        <v>2</v>
      </c>
      <c r="O3115" s="194"/>
      <c r="P3115" s="194"/>
      <c r="Q3115" s="194"/>
      <c r="R3115" s="194"/>
      <c r="S3115" s="194"/>
      <c r="T3115" s="194"/>
      <c r="U3115" s="194"/>
      <c r="V3115" s="194"/>
      <c r="W3115" s="19"/>
      <c r="X3115" s="17"/>
      <c r="Y3115" s="5">
        <f t="shared" si="298"/>
        <v>0</v>
      </c>
      <c r="Z3115" s="5">
        <f t="shared" si="299"/>
        <v>0</v>
      </c>
      <c r="AA3115" s="5">
        <f t="shared" si="300"/>
        <v>0</v>
      </c>
      <c r="AB3115" s="5">
        <f t="shared" si="301"/>
        <v>0</v>
      </c>
      <c r="AC3115" s="5"/>
      <c r="AD3115" s="5">
        <v>0</v>
      </c>
      <c r="AE3115" s="5">
        <f t="shared" si="302"/>
        <v>0</v>
      </c>
      <c r="AF3115" s="70">
        <v>0</v>
      </c>
      <c r="AG3115" s="17"/>
      <c r="AH3115" s="18"/>
      <c r="AI3115" s="47" t="s">
        <v>4346</v>
      </c>
      <c r="AJ3115" s="73" t="s">
        <v>4347</v>
      </c>
      <c r="AK3115" s="45"/>
      <c r="AL3115" s="89" t="s">
        <v>2798</v>
      </c>
      <c r="AM3115" s="195" t="s">
        <v>5440</v>
      </c>
      <c r="AN3115" s="19"/>
      <c r="AO3115" s="19"/>
      <c r="AP3115" s="19"/>
      <c r="AQ3115" s="19"/>
      <c r="AR3115" s="19"/>
      <c r="AS3115" s="19"/>
      <c r="AT3115" s="19"/>
      <c r="AU3115" s="19"/>
      <c r="AV3115" s="19"/>
      <c r="AW3115" s="19"/>
      <c r="AX3115" s="19"/>
      <c r="AY3115" s="19"/>
      <c r="AZ3115" s="19"/>
      <c r="BA3115" s="19"/>
      <c r="BB3115" s="19"/>
      <c r="BC3115" s="19"/>
      <c r="BD3115" s="19"/>
      <c r="BE3115" s="19"/>
      <c r="BF3115" s="19"/>
      <c r="BG3115" s="19"/>
      <c r="BH3115" s="19"/>
      <c r="BI3115" s="19"/>
      <c r="BJ3115" s="19"/>
      <c r="BK3115" s="19"/>
      <c r="BL3115" s="19"/>
      <c r="BM3115" s="19"/>
      <c r="BN3115" s="19"/>
      <c r="BO3115" s="19"/>
      <c r="BP3115" s="19"/>
      <c r="BQ3115" s="19"/>
      <c r="BR3115" s="19"/>
      <c r="BS3115" s="19"/>
      <c r="BT3115" s="19"/>
      <c r="BU3115" s="19"/>
      <c r="BV3115" s="19"/>
      <c r="BW3115" s="19"/>
      <c r="BX3115" s="19"/>
      <c r="BY3115" s="19"/>
      <c r="BZ3115" s="19"/>
      <c r="CA3115" s="19"/>
      <c r="CB3115" s="19"/>
      <c r="CC3115" s="19"/>
      <c r="CD3115" s="139"/>
      <c r="CE3115" s="138"/>
      <c r="CF3115" s="139"/>
      <c r="CG3115" s="138"/>
      <c r="CH3115" s="139"/>
      <c r="CI3115" s="138"/>
      <c r="CJ3115" s="72"/>
      <c r="CK3115" s="139"/>
      <c r="CL3115" s="71"/>
      <c r="CM3115" s="139"/>
      <c r="CN3115" s="138"/>
      <c r="CO3115" s="138"/>
      <c r="CP3115" s="138"/>
      <c r="CQ3115" s="139"/>
      <c r="CR3115" s="138"/>
      <c r="CS3115" s="45"/>
      <c r="CT3115" s="138"/>
      <c r="CU3115" s="45"/>
      <c r="CV3115" s="99">
        <f t="shared" si="303"/>
        <v>0</v>
      </c>
      <c r="CW3115" s="139"/>
      <c r="CX3115" s="138"/>
      <c r="CY3115" s="138"/>
      <c r="CZ3115" s="138"/>
      <c r="DA3115" s="139"/>
      <c r="DB3115" s="138"/>
      <c r="DC3115" s="45"/>
      <c r="DD3115" s="138"/>
      <c r="DE3115" s="45"/>
      <c r="DF3115" s="46"/>
    </row>
    <row r="3116" spans="1:110" s="42" customFormat="1" ht="60" x14ac:dyDescent="0.2">
      <c r="A3116" s="89">
        <v>40893</v>
      </c>
      <c r="B3116" s="151" t="s">
        <v>4219</v>
      </c>
      <c r="C3116" s="90" t="s">
        <v>63</v>
      </c>
      <c r="D3116" s="90" t="s">
        <v>4264</v>
      </c>
      <c r="E3116" s="90" t="str">
        <f>VLOOKUP(B3116&amp;C3116,Divipola!$C$2:$F$1138,4,FALSE)</f>
        <v>41524</v>
      </c>
      <c r="F3116" s="4"/>
      <c r="G3116" s="194"/>
      <c r="H3116" s="194"/>
      <c r="I3116" s="194"/>
      <c r="J3116" s="194">
        <v>35</v>
      </c>
      <c r="K3116" s="194">
        <v>7</v>
      </c>
      <c r="L3116" s="194"/>
      <c r="M3116" s="194">
        <v>7</v>
      </c>
      <c r="N3116" s="194"/>
      <c r="O3116" s="194"/>
      <c r="P3116" s="194"/>
      <c r="Q3116" s="194"/>
      <c r="R3116" s="194"/>
      <c r="S3116" s="194"/>
      <c r="T3116" s="194"/>
      <c r="U3116" s="194"/>
      <c r="V3116" s="194"/>
      <c r="W3116" s="19"/>
      <c r="X3116" s="17"/>
      <c r="Y3116" s="5">
        <f t="shared" si="298"/>
        <v>0</v>
      </c>
      <c r="Z3116" s="5">
        <f t="shared" si="299"/>
        <v>0</v>
      </c>
      <c r="AA3116" s="5">
        <f t="shared" si="300"/>
        <v>0</v>
      </c>
      <c r="AB3116" s="5">
        <f t="shared" si="301"/>
        <v>0</v>
      </c>
      <c r="AC3116" s="5"/>
      <c r="AD3116" s="5">
        <v>0</v>
      </c>
      <c r="AE3116" s="5">
        <f t="shared" si="302"/>
        <v>0</v>
      </c>
      <c r="AF3116" s="70">
        <v>0</v>
      </c>
      <c r="AG3116" s="17"/>
      <c r="AH3116" s="18"/>
      <c r="AI3116" s="47" t="s">
        <v>4346</v>
      </c>
      <c r="AJ3116" s="73" t="s">
        <v>4347</v>
      </c>
      <c r="AK3116" s="45"/>
      <c r="AL3116" s="89" t="s">
        <v>2798</v>
      </c>
      <c r="AM3116" s="195" t="s">
        <v>5438</v>
      </c>
      <c r="AN3116" s="19"/>
      <c r="AO3116" s="19"/>
      <c r="AP3116" s="19"/>
      <c r="AQ3116" s="19"/>
      <c r="AR3116" s="19"/>
      <c r="AS3116" s="19"/>
      <c r="AT3116" s="19"/>
      <c r="AU3116" s="19"/>
      <c r="AV3116" s="19"/>
      <c r="AW3116" s="19"/>
      <c r="AX3116" s="19"/>
      <c r="AY3116" s="19"/>
      <c r="AZ3116" s="19"/>
      <c r="BA3116" s="19"/>
      <c r="BB3116" s="19"/>
      <c r="BC3116" s="19"/>
      <c r="BD3116" s="19"/>
      <c r="BE3116" s="19"/>
      <c r="BF3116" s="19"/>
      <c r="BG3116" s="19"/>
      <c r="BH3116" s="19"/>
      <c r="BI3116" s="19"/>
      <c r="BJ3116" s="19"/>
      <c r="BK3116" s="19"/>
      <c r="BL3116" s="19"/>
      <c r="BM3116" s="19"/>
      <c r="BN3116" s="19"/>
      <c r="BO3116" s="19"/>
      <c r="BP3116" s="19"/>
      <c r="BQ3116" s="19"/>
      <c r="BR3116" s="19"/>
      <c r="BS3116" s="19"/>
      <c r="BT3116" s="19"/>
      <c r="BU3116" s="19"/>
      <c r="BV3116" s="19"/>
      <c r="BW3116" s="19"/>
      <c r="BX3116" s="19"/>
      <c r="BY3116" s="19"/>
      <c r="BZ3116" s="19"/>
      <c r="CA3116" s="19"/>
      <c r="CB3116" s="19"/>
      <c r="CC3116" s="19"/>
      <c r="CD3116" s="139"/>
      <c r="CE3116" s="138"/>
      <c r="CF3116" s="139"/>
      <c r="CG3116" s="138"/>
      <c r="CH3116" s="139"/>
      <c r="CI3116" s="138"/>
      <c r="CJ3116" s="72"/>
      <c r="CK3116" s="139"/>
      <c r="CL3116" s="71"/>
      <c r="CM3116" s="139"/>
      <c r="CN3116" s="138"/>
      <c r="CO3116" s="138"/>
      <c r="CP3116" s="138"/>
      <c r="CQ3116" s="139"/>
      <c r="CR3116" s="138"/>
      <c r="CS3116" s="45"/>
      <c r="CT3116" s="138"/>
      <c r="CU3116" s="45"/>
      <c r="CV3116" s="99">
        <f t="shared" si="303"/>
        <v>0</v>
      </c>
      <c r="CW3116" s="139"/>
      <c r="CX3116" s="138"/>
      <c r="CY3116" s="138"/>
      <c r="CZ3116" s="138"/>
      <c r="DA3116" s="139"/>
      <c r="DB3116" s="138"/>
      <c r="DC3116" s="45"/>
      <c r="DD3116" s="138"/>
      <c r="DE3116" s="45"/>
      <c r="DF3116" s="46"/>
    </row>
    <row r="3117" spans="1:110" s="42" customFormat="1" ht="60" x14ac:dyDescent="0.2">
      <c r="A3117" s="89">
        <v>40893</v>
      </c>
      <c r="B3117" s="151" t="s">
        <v>4219</v>
      </c>
      <c r="C3117" s="90" t="s">
        <v>3503</v>
      </c>
      <c r="D3117" s="90" t="s">
        <v>4298</v>
      </c>
      <c r="E3117" s="90" t="str">
        <f>VLOOKUP(B3117&amp;C3117,Divipola!$C$2:$F$1138,4,FALSE)</f>
        <v>41001</v>
      </c>
      <c r="F3117" s="4"/>
      <c r="G3117" s="194"/>
      <c r="H3117" s="194"/>
      <c r="I3117" s="194"/>
      <c r="J3117" s="194">
        <v>5</v>
      </c>
      <c r="K3117" s="194">
        <v>1</v>
      </c>
      <c r="L3117" s="194"/>
      <c r="M3117" s="194">
        <v>7</v>
      </c>
      <c r="N3117" s="194"/>
      <c r="O3117" s="194"/>
      <c r="P3117" s="194"/>
      <c r="Q3117" s="194"/>
      <c r="R3117" s="194"/>
      <c r="S3117" s="194"/>
      <c r="T3117" s="194"/>
      <c r="U3117" s="194"/>
      <c r="V3117" s="194"/>
      <c r="W3117" s="19"/>
      <c r="X3117" s="17"/>
      <c r="Y3117" s="5">
        <f t="shared" si="298"/>
        <v>0</v>
      </c>
      <c r="Z3117" s="5">
        <f t="shared" si="299"/>
        <v>0</v>
      </c>
      <c r="AA3117" s="5">
        <f t="shared" si="300"/>
        <v>0</v>
      </c>
      <c r="AB3117" s="5">
        <f t="shared" si="301"/>
        <v>0</v>
      </c>
      <c r="AC3117" s="5"/>
      <c r="AD3117" s="5">
        <v>0</v>
      </c>
      <c r="AE3117" s="5">
        <f t="shared" si="302"/>
        <v>0</v>
      </c>
      <c r="AF3117" s="70">
        <v>0</v>
      </c>
      <c r="AG3117" s="17"/>
      <c r="AH3117" s="18"/>
      <c r="AI3117" s="47" t="s">
        <v>4346</v>
      </c>
      <c r="AJ3117" s="73" t="s">
        <v>4347</v>
      </c>
      <c r="AK3117" s="45"/>
      <c r="AL3117" s="89" t="s">
        <v>2798</v>
      </c>
      <c r="AM3117" s="195" t="s">
        <v>5441</v>
      </c>
      <c r="AN3117" s="19"/>
      <c r="AO3117" s="19"/>
      <c r="AP3117" s="19"/>
      <c r="AQ3117" s="19"/>
      <c r="AR3117" s="19"/>
      <c r="AS3117" s="19"/>
      <c r="AT3117" s="19"/>
      <c r="AU3117" s="19"/>
      <c r="AV3117" s="19"/>
      <c r="AW3117" s="19"/>
      <c r="AX3117" s="19"/>
      <c r="AY3117" s="19"/>
      <c r="AZ3117" s="19"/>
      <c r="BA3117" s="19"/>
      <c r="BB3117" s="19"/>
      <c r="BC3117" s="19"/>
      <c r="BD3117" s="19"/>
      <c r="BE3117" s="19"/>
      <c r="BF3117" s="19"/>
      <c r="BG3117" s="19"/>
      <c r="BH3117" s="19"/>
      <c r="BI3117" s="19"/>
      <c r="BJ3117" s="19"/>
      <c r="BK3117" s="19"/>
      <c r="BL3117" s="19"/>
      <c r="BM3117" s="19"/>
      <c r="BN3117" s="19"/>
      <c r="BO3117" s="19"/>
      <c r="BP3117" s="19"/>
      <c r="BQ3117" s="19"/>
      <c r="BR3117" s="19"/>
      <c r="BS3117" s="19"/>
      <c r="BT3117" s="19"/>
      <c r="BU3117" s="19"/>
      <c r="BV3117" s="19"/>
      <c r="BW3117" s="19"/>
      <c r="BX3117" s="19"/>
      <c r="BY3117" s="19"/>
      <c r="BZ3117" s="19"/>
      <c r="CA3117" s="19"/>
      <c r="CB3117" s="19"/>
      <c r="CC3117" s="19"/>
      <c r="CD3117" s="139"/>
      <c r="CE3117" s="138"/>
      <c r="CF3117" s="139"/>
      <c r="CG3117" s="138"/>
      <c r="CH3117" s="139"/>
      <c r="CI3117" s="138"/>
      <c r="CJ3117" s="72"/>
      <c r="CK3117" s="139"/>
      <c r="CL3117" s="71"/>
      <c r="CM3117" s="139"/>
      <c r="CN3117" s="138"/>
      <c r="CO3117" s="138"/>
      <c r="CP3117" s="138"/>
      <c r="CQ3117" s="139"/>
      <c r="CR3117" s="138"/>
      <c r="CS3117" s="45"/>
      <c r="CT3117" s="138"/>
      <c r="CU3117" s="45"/>
      <c r="CV3117" s="99">
        <f t="shared" si="303"/>
        <v>0</v>
      </c>
      <c r="CW3117" s="139"/>
      <c r="CX3117" s="138"/>
      <c r="CY3117" s="138"/>
      <c r="CZ3117" s="138"/>
      <c r="DA3117" s="139"/>
      <c r="DB3117" s="138"/>
      <c r="DC3117" s="45"/>
      <c r="DD3117" s="138"/>
      <c r="DE3117" s="45"/>
      <c r="DF3117" s="46"/>
    </row>
    <row r="3118" spans="1:110" s="42" customFormat="1" ht="60" x14ac:dyDescent="0.2">
      <c r="A3118" s="89">
        <v>40893</v>
      </c>
      <c r="B3118" s="151" t="s">
        <v>4219</v>
      </c>
      <c r="C3118" s="90" t="s">
        <v>3503</v>
      </c>
      <c r="D3118" s="90" t="s">
        <v>2362</v>
      </c>
      <c r="E3118" s="90" t="str">
        <f>VLOOKUP(B3118&amp;C3118,Divipola!$C$2:$F$1138,4,FALSE)</f>
        <v>41001</v>
      </c>
      <c r="F3118" s="4"/>
      <c r="G3118" s="194">
        <v>1</v>
      </c>
      <c r="H3118" s="194"/>
      <c r="I3118" s="194"/>
      <c r="J3118" s="194">
        <v>5</v>
      </c>
      <c r="K3118" s="194">
        <v>1</v>
      </c>
      <c r="L3118" s="194">
        <v>1</v>
      </c>
      <c r="M3118" s="194"/>
      <c r="N3118" s="194"/>
      <c r="O3118" s="194"/>
      <c r="P3118" s="194"/>
      <c r="Q3118" s="194"/>
      <c r="R3118" s="194"/>
      <c r="S3118" s="194"/>
      <c r="T3118" s="194"/>
      <c r="U3118" s="194"/>
      <c r="V3118" s="194"/>
      <c r="W3118" s="19"/>
      <c r="X3118" s="17"/>
      <c r="Y3118" s="5">
        <f t="shared" si="298"/>
        <v>0</v>
      </c>
      <c r="Z3118" s="5">
        <f t="shared" si="299"/>
        <v>0</v>
      </c>
      <c r="AA3118" s="5">
        <f t="shared" si="300"/>
        <v>0</v>
      </c>
      <c r="AB3118" s="5">
        <f t="shared" si="301"/>
        <v>0</v>
      </c>
      <c r="AC3118" s="5"/>
      <c r="AD3118" s="5">
        <v>0</v>
      </c>
      <c r="AE3118" s="5">
        <f t="shared" si="302"/>
        <v>0</v>
      </c>
      <c r="AF3118" s="70">
        <v>0</v>
      </c>
      <c r="AG3118" s="17"/>
      <c r="AH3118" s="18"/>
      <c r="AI3118" s="47" t="s">
        <v>4346</v>
      </c>
      <c r="AJ3118" s="73" t="s">
        <v>4347</v>
      </c>
      <c r="AK3118" s="45"/>
      <c r="AL3118" s="89" t="s">
        <v>2798</v>
      </c>
      <c r="AM3118" s="195" t="s">
        <v>5442</v>
      </c>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39"/>
      <c r="CE3118" s="138"/>
      <c r="CF3118" s="139"/>
      <c r="CG3118" s="138"/>
      <c r="CH3118" s="139"/>
      <c r="CI3118" s="138"/>
      <c r="CJ3118" s="72"/>
      <c r="CK3118" s="139"/>
      <c r="CL3118" s="71"/>
      <c r="CM3118" s="139"/>
      <c r="CN3118" s="138"/>
      <c r="CO3118" s="138"/>
      <c r="CP3118" s="138"/>
      <c r="CQ3118" s="139"/>
      <c r="CR3118" s="138"/>
      <c r="CS3118" s="45"/>
      <c r="CT3118" s="138"/>
      <c r="CU3118" s="45"/>
      <c r="CV3118" s="99">
        <f t="shared" si="303"/>
        <v>0</v>
      </c>
      <c r="CW3118" s="139"/>
      <c r="CX3118" s="138"/>
      <c r="CY3118" s="138"/>
      <c r="CZ3118" s="138"/>
      <c r="DA3118" s="139"/>
      <c r="DB3118" s="138"/>
      <c r="DC3118" s="45"/>
      <c r="DD3118" s="138"/>
      <c r="DE3118" s="45"/>
      <c r="DF3118" s="46"/>
    </row>
    <row r="3119" spans="1:110" s="42" customFormat="1" ht="48" x14ac:dyDescent="0.2">
      <c r="A3119" s="89">
        <v>40893</v>
      </c>
      <c r="B3119" s="151" t="s">
        <v>4219</v>
      </c>
      <c r="C3119" s="90" t="s">
        <v>3242</v>
      </c>
      <c r="D3119" s="90" t="s">
        <v>2362</v>
      </c>
      <c r="E3119" s="90" t="str">
        <f>VLOOKUP(B3119&amp;C3119,Divipola!$C$2:$F$1138,4,FALSE)</f>
        <v>41801</v>
      </c>
      <c r="F3119" s="4"/>
      <c r="G3119" s="194"/>
      <c r="H3119" s="194"/>
      <c r="I3119" s="194"/>
      <c r="J3119" s="194"/>
      <c r="K3119" s="194"/>
      <c r="L3119" s="194"/>
      <c r="M3119" s="194"/>
      <c r="N3119" s="194">
        <v>1</v>
      </c>
      <c r="O3119" s="194"/>
      <c r="P3119" s="194"/>
      <c r="Q3119" s="194"/>
      <c r="R3119" s="194"/>
      <c r="S3119" s="194"/>
      <c r="T3119" s="194"/>
      <c r="U3119" s="194"/>
      <c r="V3119" s="194"/>
      <c r="W3119" s="19"/>
      <c r="X3119" s="17"/>
      <c r="Y3119" s="5">
        <f t="shared" si="298"/>
        <v>0</v>
      </c>
      <c r="Z3119" s="5">
        <f t="shared" si="299"/>
        <v>0</v>
      </c>
      <c r="AA3119" s="5">
        <f t="shared" si="300"/>
        <v>0</v>
      </c>
      <c r="AB3119" s="5">
        <f t="shared" si="301"/>
        <v>0</v>
      </c>
      <c r="AC3119" s="5"/>
      <c r="AD3119" s="5">
        <v>0</v>
      </c>
      <c r="AE3119" s="5">
        <f t="shared" si="302"/>
        <v>0</v>
      </c>
      <c r="AF3119" s="70">
        <v>0</v>
      </c>
      <c r="AG3119" s="17"/>
      <c r="AH3119" s="18"/>
      <c r="AI3119" s="47" t="s">
        <v>4346</v>
      </c>
      <c r="AJ3119" s="73" t="s">
        <v>4347</v>
      </c>
      <c r="AK3119" s="45"/>
      <c r="AL3119" s="89" t="s">
        <v>2798</v>
      </c>
      <c r="AM3119" s="195" t="s">
        <v>5443</v>
      </c>
      <c r="AN3119" s="19"/>
      <c r="AO3119" s="19"/>
      <c r="AP3119" s="19"/>
      <c r="AQ3119" s="19"/>
      <c r="AR3119" s="19"/>
      <c r="AS3119" s="19"/>
      <c r="AT3119" s="19"/>
      <c r="AU3119" s="19"/>
      <c r="AV3119" s="19"/>
      <c r="AW3119" s="19"/>
      <c r="AX3119" s="19"/>
      <c r="AY3119" s="19"/>
      <c r="AZ3119" s="19"/>
      <c r="BA3119" s="19"/>
      <c r="BB3119" s="19"/>
      <c r="BC3119" s="19"/>
      <c r="BD3119" s="19"/>
      <c r="BE3119" s="19"/>
      <c r="BF3119" s="19"/>
      <c r="BG3119" s="19"/>
      <c r="BH3119" s="19"/>
      <c r="BI3119" s="19"/>
      <c r="BJ3119" s="19"/>
      <c r="BK3119" s="19"/>
      <c r="BL3119" s="19"/>
      <c r="BM3119" s="19"/>
      <c r="BN3119" s="19"/>
      <c r="BO3119" s="19"/>
      <c r="BP3119" s="19"/>
      <c r="BQ3119" s="19"/>
      <c r="BR3119" s="19"/>
      <c r="BS3119" s="19"/>
      <c r="BT3119" s="19"/>
      <c r="BU3119" s="19"/>
      <c r="BV3119" s="19"/>
      <c r="BW3119" s="19"/>
      <c r="BX3119" s="19"/>
      <c r="BY3119" s="19"/>
      <c r="BZ3119" s="19"/>
      <c r="CA3119" s="19"/>
      <c r="CB3119" s="19"/>
      <c r="CC3119" s="19"/>
      <c r="CD3119" s="139"/>
      <c r="CE3119" s="138"/>
      <c r="CF3119" s="139"/>
      <c r="CG3119" s="138"/>
      <c r="CH3119" s="139"/>
      <c r="CI3119" s="138"/>
      <c r="CJ3119" s="72"/>
      <c r="CK3119" s="139"/>
      <c r="CL3119" s="71"/>
      <c r="CM3119" s="139"/>
      <c r="CN3119" s="138"/>
      <c r="CO3119" s="138"/>
      <c r="CP3119" s="138"/>
      <c r="CQ3119" s="139"/>
      <c r="CR3119" s="138"/>
      <c r="CS3119" s="45"/>
      <c r="CT3119" s="138"/>
      <c r="CU3119" s="45"/>
      <c r="CV3119" s="99">
        <f t="shared" si="303"/>
        <v>0</v>
      </c>
      <c r="CW3119" s="139"/>
      <c r="CX3119" s="138"/>
      <c r="CY3119" s="138"/>
      <c r="CZ3119" s="138"/>
      <c r="DA3119" s="139"/>
      <c r="DB3119" s="138"/>
      <c r="DC3119" s="45"/>
      <c r="DD3119" s="138"/>
      <c r="DE3119" s="45"/>
      <c r="DF3119" s="46"/>
    </row>
    <row r="3120" spans="1:110" s="42" customFormat="1" ht="60" x14ac:dyDescent="0.2">
      <c r="A3120" s="89">
        <v>40893</v>
      </c>
      <c r="B3120" s="151" t="s">
        <v>4296</v>
      </c>
      <c r="C3120" s="90" t="s">
        <v>3371</v>
      </c>
      <c r="D3120" s="90" t="s">
        <v>4264</v>
      </c>
      <c r="E3120" s="90" t="str">
        <f>VLOOKUP(B3120&amp;C3120,Divipola!$C$2:$F$1138,4,FALSE)</f>
        <v>19397</v>
      </c>
      <c r="F3120" s="4"/>
      <c r="G3120" s="194"/>
      <c r="H3120" s="194"/>
      <c r="I3120" s="194"/>
      <c r="J3120" s="194"/>
      <c r="K3120" s="194"/>
      <c r="L3120" s="194"/>
      <c r="M3120" s="194"/>
      <c r="N3120" s="194"/>
      <c r="O3120" s="194"/>
      <c r="P3120" s="194"/>
      <c r="Q3120" s="194"/>
      <c r="R3120" s="194"/>
      <c r="S3120" s="194"/>
      <c r="T3120" s="194"/>
      <c r="U3120" s="194"/>
      <c r="V3120" s="194"/>
      <c r="W3120" s="19"/>
      <c r="X3120" s="17"/>
      <c r="Y3120" s="5">
        <f t="shared" si="298"/>
        <v>0</v>
      </c>
      <c r="Z3120" s="5">
        <f t="shared" si="299"/>
        <v>0</v>
      </c>
      <c r="AA3120" s="5">
        <f t="shared" si="300"/>
        <v>0</v>
      </c>
      <c r="AB3120" s="5">
        <f t="shared" si="301"/>
        <v>0</v>
      </c>
      <c r="AC3120" s="5"/>
      <c r="AD3120" s="5">
        <v>0</v>
      </c>
      <c r="AE3120" s="5">
        <f t="shared" si="302"/>
        <v>0</v>
      </c>
      <c r="AF3120" s="70">
        <v>0</v>
      </c>
      <c r="AG3120" s="17"/>
      <c r="AH3120" s="18"/>
      <c r="AI3120" s="47" t="s">
        <v>4336</v>
      </c>
      <c r="AJ3120" s="73" t="s">
        <v>4337</v>
      </c>
      <c r="AK3120" s="45"/>
      <c r="AL3120" s="17"/>
      <c r="AM3120" s="195" t="s">
        <v>5444</v>
      </c>
      <c r="AN3120" s="19"/>
      <c r="AO3120" s="19"/>
      <c r="AP3120" s="19"/>
      <c r="AQ3120" s="19"/>
      <c r="AR3120" s="19"/>
      <c r="AS3120" s="19"/>
      <c r="AT3120" s="19"/>
      <c r="AU3120" s="19"/>
      <c r="AV3120" s="19"/>
      <c r="AW3120" s="19"/>
      <c r="AX3120" s="19"/>
      <c r="AY3120" s="19"/>
      <c r="AZ3120" s="19"/>
      <c r="BA3120" s="19"/>
      <c r="BB3120" s="19"/>
      <c r="BC3120" s="19"/>
      <c r="BD3120" s="19"/>
      <c r="BE3120" s="19"/>
      <c r="BF3120" s="19"/>
      <c r="BG3120" s="19"/>
      <c r="BH3120" s="19"/>
      <c r="BI3120" s="19"/>
      <c r="BJ3120" s="19"/>
      <c r="BK3120" s="19"/>
      <c r="BL3120" s="19"/>
      <c r="BM3120" s="19"/>
      <c r="BN3120" s="19"/>
      <c r="BO3120" s="19"/>
      <c r="BP3120" s="19"/>
      <c r="BQ3120" s="19"/>
      <c r="BR3120" s="19"/>
      <c r="BS3120" s="19"/>
      <c r="BT3120" s="19"/>
      <c r="BU3120" s="19"/>
      <c r="BV3120" s="19"/>
      <c r="BW3120" s="19"/>
      <c r="BX3120" s="19"/>
      <c r="BY3120" s="19"/>
      <c r="BZ3120" s="19"/>
      <c r="CA3120" s="19"/>
      <c r="CB3120" s="19"/>
      <c r="CC3120" s="19"/>
      <c r="CD3120" s="139"/>
      <c r="CE3120" s="138"/>
      <c r="CF3120" s="139"/>
      <c r="CG3120" s="138"/>
      <c r="CH3120" s="139"/>
      <c r="CI3120" s="138"/>
      <c r="CJ3120" s="72"/>
      <c r="CK3120" s="139"/>
      <c r="CL3120" s="71"/>
      <c r="CM3120" s="139"/>
      <c r="CN3120" s="138"/>
      <c r="CO3120" s="138"/>
      <c r="CP3120" s="138"/>
      <c r="CQ3120" s="139"/>
      <c r="CR3120" s="138"/>
      <c r="CS3120" s="45"/>
      <c r="CT3120" s="138"/>
      <c r="CU3120" s="45"/>
      <c r="CV3120" s="99">
        <f t="shared" si="303"/>
        <v>0</v>
      </c>
      <c r="CW3120" s="139"/>
      <c r="CX3120" s="138"/>
      <c r="CY3120" s="138"/>
      <c r="CZ3120" s="138"/>
      <c r="DA3120" s="139"/>
      <c r="DB3120" s="138"/>
      <c r="DC3120" s="45"/>
      <c r="DD3120" s="138"/>
      <c r="DE3120" s="45"/>
      <c r="DF3120" s="46"/>
    </row>
    <row r="3121" spans="1:110" s="42" customFormat="1" ht="168" x14ac:dyDescent="0.2">
      <c r="A3121" s="89">
        <v>40893</v>
      </c>
      <c r="B3121" s="151" t="s">
        <v>3533</v>
      </c>
      <c r="C3121" s="90" t="s">
        <v>3394</v>
      </c>
      <c r="D3121" s="90" t="s">
        <v>2362</v>
      </c>
      <c r="E3121" s="90" t="str">
        <f>VLOOKUP(B3121&amp;C3121,Divipola!$C$2:$F$1138,4,FALSE)</f>
        <v>17662</v>
      </c>
      <c r="F3121" s="4"/>
      <c r="G3121" s="194">
        <v>5</v>
      </c>
      <c r="H3121" s="194">
        <v>2</v>
      </c>
      <c r="I3121" s="194"/>
      <c r="J3121" s="194"/>
      <c r="K3121" s="194">
        <v>1</v>
      </c>
      <c r="L3121" s="194">
        <v>1</v>
      </c>
      <c r="M3121" s="194"/>
      <c r="N3121" s="194"/>
      <c r="O3121" s="194"/>
      <c r="P3121" s="194"/>
      <c r="Q3121" s="194"/>
      <c r="R3121" s="194"/>
      <c r="S3121" s="194"/>
      <c r="T3121" s="194"/>
      <c r="U3121" s="194"/>
      <c r="V3121" s="194"/>
      <c r="W3121" s="19"/>
      <c r="X3121" s="17"/>
      <c r="Y3121" s="5">
        <f t="shared" si="298"/>
        <v>0</v>
      </c>
      <c r="Z3121" s="5">
        <f t="shared" si="299"/>
        <v>0</v>
      </c>
      <c r="AA3121" s="5">
        <f t="shared" si="300"/>
        <v>0</v>
      </c>
      <c r="AB3121" s="5">
        <f t="shared" si="301"/>
        <v>0</v>
      </c>
      <c r="AC3121" s="5"/>
      <c r="AD3121" s="5">
        <v>0</v>
      </c>
      <c r="AE3121" s="5">
        <f t="shared" si="302"/>
        <v>0</v>
      </c>
      <c r="AF3121" s="70">
        <v>0</v>
      </c>
      <c r="AG3121" s="17"/>
      <c r="AH3121" s="18"/>
      <c r="AI3121" s="47" t="s">
        <v>4336</v>
      </c>
      <c r="AJ3121" s="73" t="s">
        <v>4337</v>
      </c>
      <c r="AK3121" s="45"/>
      <c r="AL3121" s="17"/>
      <c r="AM3121" s="195" t="s">
        <v>5445</v>
      </c>
      <c r="AN3121" s="19"/>
      <c r="AO3121" s="19"/>
      <c r="AP3121" s="19"/>
      <c r="AQ3121" s="19"/>
      <c r="AR3121" s="19"/>
      <c r="AS3121" s="19"/>
      <c r="AT3121" s="19"/>
      <c r="AU3121" s="19"/>
      <c r="AV3121" s="19"/>
      <c r="AW3121" s="19"/>
      <c r="AX3121" s="19"/>
      <c r="AY3121" s="19"/>
      <c r="AZ3121" s="19"/>
      <c r="BA3121" s="19"/>
      <c r="BB3121" s="19"/>
      <c r="BC3121" s="19"/>
      <c r="BD3121" s="19"/>
      <c r="BE3121" s="19"/>
      <c r="BF3121" s="19"/>
      <c r="BG3121" s="19"/>
      <c r="BH3121" s="19"/>
      <c r="BI3121" s="19"/>
      <c r="BJ3121" s="19"/>
      <c r="BK3121" s="19"/>
      <c r="BL3121" s="19"/>
      <c r="BM3121" s="19"/>
      <c r="BN3121" s="19"/>
      <c r="BO3121" s="19"/>
      <c r="BP3121" s="19"/>
      <c r="BQ3121" s="19"/>
      <c r="BR3121" s="19"/>
      <c r="BS3121" s="19"/>
      <c r="BT3121" s="19"/>
      <c r="BU3121" s="19"/>
      <c r="BV3121" s="19"/>
      <c r="BW3121" s="19"/>
      <c r="BX3121" s="19"/>
      <c r="BY3121" s="19"/>
      <c r="BZ3121" s="19"/>
      <c r="CA3121" s="19"/>
      <c r="CB3121" s="19"/>
      <c r="CC3121" s="19"/>
      <c r="CD3121" s="139"/>
      <c r="CE3121" s="138"/>
      <c r="CF3121" s="139"/>
      <c r="CG3121" s="138"/>
      <c r="CH3121" s="139"/>
      <c r="CI3121" s="138"/>
      <c r="CJ3121" s="72"/>
      <c r="CK3121" s="139"/>
      <c r="CL3121" s="71"/>
      <c r="CM3121" s="139"/>
      <c r="CN3121" s="138"/>
      <c r="CO3121" s="138"/>
      <c r="CP3121" s="138"/>
      <c r="CQ3121" s="139"/>
      <c r="CR3121" s="138"/>
      <c r="CS3121" s="45"/>
      <c r="CT3121" s="138"/>
      <c r="CU3121" s="45"/>
      <c r="CV3121" s="99">
        <f t="shared" si="303"/>
        <v>0</v>
      </c>
      <c r="CW3121" s="139"/>
      <c r="CX3121" s="138"/>
      <c r="CY3121" s="138"/>
      <c r="CZ3121" s="138"/>
      <c r="DA3121" s="139"/>
      <c r="DB3121" s="138"/>
      <c r="DC3121" s="45"/>
      <c r="DD3121" s="138"/>
      <c r="DE3121" s="45"/>
      <c r="DF3121" s="46"/>
    </row>
    <row r="3122" spans="1:110" s="42" customFormat="1" ht="36" x14ac:dyDescent="0.2">
      <c r="A3122" s="89">
        <v>40893</v>
      </c>
      <c r="B3122" s="196" t="s">
        <v>4244</v>
      </c>
      <c r="C3122" s="90" t="s">
        <v>3493</v>
      </c>
      <c r="D3122" s="90" t="s">
        <v>4264</v>
      </c>
      <c r="E3122" s="90" t="str">
        <f>VLOOKUP(B3122&amp;C3122,Divipola!$C$2:$F$1138,4,FALSE)</f>
        <v>76400</v>
      </c>
      <c r="F3122" s="4"/>
      <c r="G3122" s="101"/>
      <c r="H3122" s="101"/>
      <c r="I3122" s="101"/>
      <c r="J3122" s="101">
        <v>32</v>
      </c>
      <c r="K3122" s="101">
        <v>9</v>
      </c>
      <c r="L3122" s="101"/>
      <c r="M3122" s="101">
        <v>9</v>
      </c>
      <c r="N3122" s="101"/>
      <c r="O3122" s="101"/>
      <c r="P3122" s="101"/>
      <c r="Q3122" s="101"/>
      <c r="R3122" s="101"/>
      <c r="S3122" s="101"/>
      <c r="T3122" s="101"/>
      <c r="U3122" s="101"/>
      <c r="V3122" s="101"/>
      <c r="W3122" s="19"/>
      <c r="X3122" s="17"/>
      <c r="Y3122" s="5">
        <f t="shared" si="298"/>
        <v>0</v>
      </c>
      <c r="Z3122" s="5">
        <f t="shared" si="299"/>
        <v>0</v>
      </c>
      <c r="AA3122" s="5">
        <f t="shared" si="300"/>
        <v>0</v>
      </c>
      <c r="AB3122" s="5">
        <f t="shared" si="301"/>
        <v>0</v>
      </c>
      <c r="AC3122" s="5"/>
      <c r="AD3122" s="5">
        <v>0</v>
      </c>
      <c r="AE3122" s="5">
        <f t="shared" si="302"/>
        <v>0</v>
      </c>
      <c r="AF3122" s="70">
        <v>0</v>
      </c>
      <c r="AG3122" s="17"/>
      <c r="AH3122" s="18"/>
      <c r="AI3122" s="47" t="s">
        <v>4346</v>
      </c>
      <c r="AJ3122" s="73" t="s">
        <v>4347</v>
      </c>
      <c r="AK3122" s="45"/>
      <c r="AL3122" s="89" t="s">
        <v>2798</v>
      </c>
      <c r="AM3122" s="121" t="s">
        <v>5456</v>
      </c>
      <c r="AN3122" s="19"/>
      <c r="AO3122" s="19"/>
      <c r="AP3122" s="19"/>
      <c r="AQ3122" s="19"/>
      <c r="AR3122" s="19"/>
      <c r="AS3122" s="19"/>
      <c r="AT3122" s="19"/>
      <c r="AU3122" s="19"/>
      <c r="AV3122" s="19"/>
      <c r="AW3122" s="19"/>
      <c r="AX3122" s="19"/>
      <c r="AY3122" s="19"/>
      <c r="AZ3122" s="19"/>
      <c r="BA3122" s="19"/>
      <c r="BB3122" s="19"/>
      <c r="BC3122" s="19"/>
      <c r="BD3122" s="19"/>
      <c r="BE3122" s="19"/>
      <c r="BF3122" s="19"/>
      <c r="BG3122" s="19"/>
      <c r="BH3122" s="19"/>
      <c r="BI3122" s="19"/>
      <c r="BJ3122" s="19"/>
      <c r="BK3122" s="19"/>
      <c r="BL3122" s="19"/>
      <c r="BM3122" s="19"/>
      <c r="BN3122" s="19"/>
      <c r="BO3122" s="19"/>
      <c r="BP3122" s="19"/>
      <c r="BQ3122" s="19"/>
      <c r="BR3122" s="19"/>
      <c r="BS3122" s="19"/>
      <c r="BT3122" s="19"/>
      <c r="BU3122" s="19"/>
      <c r="BV3122" s="19"/>
      <c r="BW3122" s="19"/>
      <c r="BX3122" s="19"/>
      <c r="BY3122" s="19"/>
      <c r="BZ3122" s="19"/>
      <c r="CA3122" s="19"/>
      <c r="CB3122" s="19"/>
      <c r="CC3122" s="19"/>
      <c r="CD3122" s="139"/>
      <c r="CE3122" s="138"/>
      <c r="CF3122" s="139"/>
      <c r="CG3122" s="138"/>
      <c r="CH3122" s="139"/>
      <c r="CI3122" s="138"/>
      <c r="CJ3122" s="72"/>
      <c r="CK3122" s="139"/>
      <c r="CL3122" s="71"/>
      <c r="CM3122" s="139"/>
      <c r="CN3122" s="138"/>
      <c r="CO3122" s="138"/>
      <c r="CP3122" s="138"/>
      <c r="CQ3122" s="139"/>
      <c r="CR3122" s="138"/>
      <c r="CS3122" s="45"/>
      <c r="CT3122" s="138"/>
      <c r="CU3122" s="45"/>
      <c r="CV3122" s="99">
        <f t="shared" si="303"/>
        <v>0</v>
      </c>
      <c r="CW3122" s="139"/>
      <c r="CX3122" s="138"/>
      <c r="CY3122" s="138"/>
      <c r="CZ3122" s="138"/>
      <c r="DA3122" s="139"/>
      <c r="DB3122" s="138"/>
      <c r="DC3122" s="45"/>
      <c r="DD3122" s="138"/>
      <c r="DE3122" s="45"/>
      <c r="DF3122" s="46"/>
    </row>
    <row r="3123" spans="1:110" s="42" customFormat="1" ht="60" x14ac:dyDescent="0.2">
      <c r="A3123" s="89">
        <v>40893</v>
      </c>
      <c r="B3123" s="196" t="s">
        <v>4244</v>
      </c>
      <c r="C3123" s="90" t="s">
        <v>3393</v>
      </c>
      <c r="D3123" s="90" t="s">
        <v>4264</v>
      </c>
      <c r="E3123" s="90" t="str">
        <f>VLOOKUP(B3123&amp;C3123,Divipola!$C$2:$F$1138,4,FALSE)</f>
        <v>76147</v>
      </c>
      <c r="F3123" s="4"/>
      <c r="G3123" s="101"/>
      <c r="H3123" s="101"/>
      <c r="I3123" s="101"/>
      <c r="J3123" s="101">
        <v>238</v>
      </c>
      <c r="K3123" s="101">
        <v>58</v>
      </c>
      <c r="L3123" s="101"/>
      <c r="M3123" s="101">
        <v>58</v>
      </c>
      <c r="N3123" s="101"/>
      <c r="O3123" s="101"/>
      <c r="P3123" s="101"/>
      <c r="Q3123" s="101"/>
      <c r="R3123" s="101"/>
      <c r="S3123" s="101"/>
      <c r="T3123" s="101"/>
      <c r="U3123" s="101"/>
      <c r="V3123" s="101"/>
      <c r="W3123" s="19"/>
      <c r="X3123" s="17"/>
      <c r="Y3123" s="5">
        <f t="shared" si="298"/>
        <v>0</v>
      </c>
      <c r="Z3123" s="5">
        <f t="shared" si="299"/>
        <v>0</v>
      </c>
      <c r="AA3123" s="5">
        <f t="shared" si="300"/>
        <v>0</v>
      </c>
      <c r="AB3123" s="5">
        <f t="shared" si="301"/>
        <v>0</v>
      </c>
      <c r="AC3123" s="5"/>
      <c r="AD3123" s="5">
        <v>0</v>
      </c>
      <c r="AE3123" s="5">
        <f t="shared" si="302"/>
        <v>0</v>
      </c>
      <c r="AF3123" s="70">
        <v>0</v>
      </c>
      <c r="AG3123" s="17"/>
      <c r="AH3123" s="18"/>
      <c r="AI3123" s="47" t="s">
        <v>4346</v>
      </c>
      <c r="AJ3123" s="73" t="s">
        <v>4347</v>
      </c>
      <c r="AK3123" s="45"/>
      <c r="AL3123" s="89" t="s">
        <v>2798</v>
      </c>
      <c r="AM3123" s="121" t="s">
        <v>5457</v>
      </c>
      <c r="AN3123" s="19"/>
      <c r="AO3123" s="19"/>
      <c r="AP3123" s="19"/>
      <c r="AQ3123" s="19"/>
      <c r="AR3123" s="19"/>
      <c r="AS3123" s="19"/>
      <c r="AT3123" s="19"/>
      <c r="AU3123" s="19"/>
      <c r="AV3123" s="19"/>
      <c r="AW3123" s="19"/>
      <c r="AX3123" s="19"/>
      <c r="AY3123" s="19"/>
      <c r="AZ3123" s="19"/>
      <c r="BA3123" s="19"/>
      <c r="BB3123" s="19"/>
      <c r="BC3123" s="19"/>
      <c r="BD3123" s="19"/>
      <c r="BE3123" s="19"/>
      <c r="BF3123" s="19"/>
      <c r="BG3123" s="19"/>
      <c r="BH3123" s="19"/>
      <c r="BI3123" s="19"/>
      <c r="BJ3123" s="19"/>
      <c r="BK3123" s="19"/>
      <c r="BL3123" s="19"/>
      <c r="BM3123" s="19"/>
      <c r="BN3123" s="19"/>
      <c r="BO3123" s="19"/>
      <c r="BP3123" s="19"/>
      <c r="BQ3123" s="19"/>
      <c r="BR3123" s="19"/>
      <c r="BS3123" s="19"/>
      <c r="BT3123" s="19"/>
      <c r="BU3123" s="19"/>
      <c r="BV3123" s="19"/>
      <c r="BW3123" s="19"/>
      <c r="BX3123" s="19"/>
      <c r="BY3123" s="19"/>
      <c r="BZ3123" s="19"/>
      <c r="CA3123" s="19"/>
      <c r="CB3123" s="19"/>
      <c r="CC3123" s="19"/>
      <c r="CD3123" s="139"/>
      <c r="CE3123" s="138"/>
      <c r="CF3123" s="139"/>
      <c r="CG3123" s="138"/>
      <c r="CH3123" s="139"/>
      <c r="CI3123" s="138"/>
      <c r="CJ3123" s="72"/>
      <c r="CK3123" s="139"/>
      <c r="CL3123" s="71"/>
      <c r="CM3123" s="139"/>
      <c r="CN3123" s="138"/>
      <c r="CO3123" s="138"/>
      <c r="CP3123" s="138"/>
      <c r="CQ3123" s="139"/>
      <c r="CR3123" s="138"/>
      <c r="CS3123" s="45"/>
      <c r="CT3123" s="138"/>
      <c r="CU3123" s="45"/>
      <c r="CV3123" s="99">
        <f t="shared" si="303"/>
        <v>0</v>
      </c>
      <c r="CW3123" s="139"/>
      <c r="CX3123" s="138"/>
      <c r="CY3123" s="138"/>
      <c r="CZ3123" s="138"/>
      <c r="DA3123" s="139"/>
      <c r="DB3123" s="138"/>
      <c r="DC3123" s="45"/>
      <c r="DD3123" s="138"/>
      <c r="DE3123" s="45"/>
      <c r="DF3123" s="46"/>
    </row>
    <row r="3124" spans="1:110" s="42" customFormat="1" ht="120" x14ac:dyDescent="0.2">
      <c r="A3124" s="89">
        <v>40893</v>
      </c>
      <c r="B3124" s="196" t="s">
        <v>4244</v>
      </c>
      <c r="C3124" s="90" t="s">
        <v>3372</v>
      </c>
      <c r="D3124" s="90" t="s">
        <v>4264</v>
      </c>
      <c r="E3124" s="90" t="str">
        <f>VLOOKUP(B3124&amp;C3124,Divipola!$C$2:$F$1138,4,FALSE)</f>
        <v>76036</v>
      </c>
      <c r="F3124" s="4"/>
      <c r="G3124" s="101"/>
      <c r="H3124" s="101"/>
      <c r="I3124" s="101"/>
      <c r="J3124" s="101">
        <v>85</v>
      </c>
      <c r="K3124" s="101">
        <v>22</v>
      </c>
      <c r="L3124" s="101"/>
      <c r="M3124" s="101">
        <v>22</v>
      </c>
      <c r="N3124" s="101"/>
      <c r="O3124" s="101"/>
      <c r="P3124" s="101"/>
      <c r="Q3124" s="101"/>
      <c r="R3124" s="101"/>
      <c r="S3124" s="101"/>
      <c r="T3124" s="101"/>
      <c r="U3124" s="101"/>
      <c r="V3124" s="101"/>
      <c r="W3124" s="19"/>
      <c r="X3124" s="17"/>
      <c r="Y3124" s="5">
        <f t="shared" si="298"/>
        <v>0</v>
      </c>
      <c r="Z3124" s="5">
        <f t="shared" si="299"/>
        <v>0</v>
      </c>
      <c r="AA3124" s="5">
        <f t="shared" si="300"/>
        <v>0</v>
      </c>
      <c r="AB3124" s="5">
        <f t="shared" si="301"/>
        <v>0</v>
      </c>
      <c r="AC3124" s="5"/>
      <c r="AD3124" s="5">
        <v>100000000</v>
      </c>
      <c r="AE3124" s="5">
        <f t="shared" si="302"/>
        <v>100000000</v>
      </c>
      <c r="AF3124" s="70">
        <v>0</v>
      </c>
      <c r="AG3124" s="17"/>
      <c r="AH3124" s="18"/>
      <c r="AI3124" s="47" t="s">
        <v>4346</v>
      </c>
      <c r="AJ3124" s="73" t="s">
        <v>4347</v>
      </c>
      <c r="AK3124" s="45"/>
      <c r="AL3124" s="17"/>
      <c r="AM3124" s="121" t="s">
        <v>5516</v>
      </c>
      <c r="AN3124" s="19"/>
      <c r="AO3124" s="19"/>
      <c r="AP3124" s="19"/>
      <c r="AQ3124" s="19"/>
      <c r="AR3124" s="19"/>
      <c r="AS3124" s="19"/>
      <c r="AT3124" s="19"/>
      <c r="AU3124" s="19"/>
      <c r="AV3124" s="19"/>
      <c r="AW3124" s="19"/>
      <c r="AX3124" s="19"/>
      <c r="AY3124" s="19"/>
      <c r="AZ3124" s="19"/>
      <c r="BA3124" s="19"/>
      <c r="BB3124" s="19"/>
      <c r="BC3124" s="19"/>
      <c r="BD3124" s="19"/>
      <c r="BE3124" s="19"/>
      <c r="BF3124" s="19"/>
      <c r="BG3124" s="19"/>
      <c r="BH3124" s="19"/>
      <c r="BI3124" s="19"/>
      <c r="BJ3124" s="19"/>
      <c r="BK3124" s="19"/>
      <c r="BL3124" s="19"/>
      <c r="BM3124" s="19"/>
      <c r="BN3124" s="19"/>
      <c r="BO3124" s="19"/>
      <c r="BP3124" s="19"/>
      <c r="BQ3124" s="19"/>
      <c r="BR3124" s="19"/>
      <c r="BS3124" s="19"/>
      <c r="BT3124" s="19"/>
      <c r="BU3124" s="19"/>
      <c r="BV3124" s="19"/>
      <c r="BW3124" s="19"/>
      <c r="BX3124" s="19"/>
      <c r="BY3124" s="19"/>
      <c r="BZ3124" s="19"/>
      <c r="CA3124" s="19"/>
      <c r="CB3124" s="19"/>
      <c r="CC3124" s="19"/>
      <c r="CD3124" s="139"/>
      <c r="CE3124" s="138"/>
      <c r="CF3124" s="139"/>
      <c r="CG3124" s="138"/>
      <c r="CH3124" s="139"/>
      <c r="CI3124" s="138"/>
      <c r="CJ3124" s="72"/>
      <c r="CK3124" s="139"/>
      <c r="CL3124" s="71"/>
      <c r="CM3124" s="139"/>
      <c r="CN3124" s="138"/>
      <c r="CO3124" s="138"/>
      <c r="CP3124" s="138"/>
      <c r="CQ3124" s="139"/>
      <c r="CR3124" s="138"/>
      <c r="CS3124" s="45"/>
      <c r="CT3124" s="138"/>
      <c r="CU3124" s="45"/>
      <c r="CV3124" s="99">
        <f t="shared" si="303"/>
        <v>0</v>
      </c>
      <c r="CW3124" s="139"/>
      <c r="CX3124" s="138"/>
      <c r="CY3124" s="138"/>
      <c r="CZ3124" s="138"/>
      <c r="DA3124" s="139"/>
      <c r="DB3124" s="138"/>
      <c r="DC3124" s="45"/>
      <c r="DD3124" s="138"/>
      <c r="DE3124" s="45"/>
      <c r="DF3124" s="46"/>
    </row>
    <row r="3125" spans="1:110" s="42" customFormat="1" ht="24" x14ac:dyDescent="0.2">
      <c r="A3125" s="89">
        <v>40893</v>
      </c>
      <c r="B3125" s="196" t="s">
        <v>4244</v>
      </c>
      <c r="C3125" s="90" t="s">
        <v>2867</v>
      </c>
      <c r="D3125" s="90" t="s">
        <v>4264</v>
      </c>
      <c r="E3125" s="90" t="str">
        <f>VLOOKUP(B3125&amp;C3125,Divipola!$C$2:$F$1138,4,FALSE)</f>
        <v>76403</v>
      </c>
      <c r="F3125" s="4"/>
      <c r="G3125" s="101"/>
      <c r="H3125" s="101"/>
      <c r="I3125" s="101"/>
      <c r="J3125" s="101">
        <v>750</v>
      </c>
      <c r="K3125" s="101">
        <v>160</v>
      </c>
      <c r="L3125" s="101"/>
      <c r="M3125" s="101">
        <v>160</v>
      </c>
      <c r="N3125" s="101"/>
      <c r="O3125" s="101"/>
      <c r="P3125" s="101"/>
      <c r="Q3125" s="101"/>
      <c r="R3125" s="101"/>
      <c r="S3125" s="101"/>
      <c r="T3125" s="101"/>
      <c r="U3125" s="101"/>
      <c r="V3125" s="101"/>
      <c r="W3125" s="19"/>
      <c r="X3125" s="17"/>
      <c r="Y3125" s="5">
        <f t="shared" si="298"/>
        <v>0</v>
      </c>
      <c r="Z3125" s="5">
        <f t="shared" si="299"/>
        <v>0</v>
      </c>
      <c r="AA3125" s="5">
        <f t="shared" si="300"/>
        <v>0</v>
      </c>
      <c r="AB3125" s="5">
        <f t="shared" si="301"/>
        <v>0</v>
      </c>
      <c r="AC3125" s="5"/>
      <c r="AD3125" s="5">
        <v>0</v>
      </c>
      <c r="AE3125" s="5">
        <f t="shared" si="302"/>
        <v>0</v>
      </c>
      <c r="AF3125" s="70">
        <v>0</v>
      </c>
      <c r="AG3125" s="17"/>
      <c r="AH3125" s="18"/>
      <c r="AI3125" s="47" t="s">
        <v>4346</v>
      </c>
      <c r="AJ3125" s="73" t="s">
        <v>4347</v>
      </c>
      <c r="AK3125" s="45"/>
      <c r="AL3125" s="89" t="s">
        <v>2798</v>
      </c>
      <c r="AM3125" s="121" t="s">
        <v>5458</v>
      </c>
      <c r="AN3125" s="19"/>
      <c r="AO3125" s="19"/>
      <c r="AP3125" s="19"/>
      <c r="AQ3125" s="19"/>
      <c r="AR3125" s="19"/>
      <c r="AS3125" s="19"/>
      <c r="AT3125" s="19"/>
      <c r="AU3125" s="19"/>
      <c r="AV3125" s="19"/>
      <c r="AW3125" s="19"/>
      <c r="AX3125" s="19"/>
      <c r="AY3125" s="19"/>
      <c r="AZ3125" s="19"/>
      <c r="BA3125" s="19"/>
      <c r="BB3125" s="19"/>
      <c r="BC3125" s="19"/>
      <c r="BD3125" s="19"/>
      <c r="BE3125" s="19"/>
      <c r="BF3125" s="19"/>
      <c r="BG3125" s="19"/>
      <c r="BH3125" s="19"/>
      <c r="BI3125" s="19"/>
      <c r="BJ3125" s="19"/>
      <c r="BK3125" s="19"/>
      <c r="BL3125" s="19"/>
      <c r="BM3125" s="19"/>
      <c r="BN3125" s="19"/>
      <c r="BO3125" s="19"/>
      <c r="BP3125" s="19"/>
      <c r="BQ3125" s="19"/>
      <c r="BR3125" s="19"/>
      <c r="BS3125" s="19"/>
      <c r="BT3125" s="19"/>
      <c r="BU3125" s="19"/>
      <c r="BV3125" s="19"/>
      <c r="BW3125" s="19"/>
      <c r="BX3125" s="19"/>
      <c r="BY3125" s="19"/>
      <c r="BZ3125" s="19"/>
      <c r="CA3125" s="19"/>
      <c r="CB3125" s="19"/>
      <c r="CC3125" s="19"/>
      <c r="CD3125" s="139"/>
      <c r="CE3125" s="138"/>
      <c r="CF3125" s="139"/>
      <c r="CG3125" s="138"/>
      <c r="CH3125" s="139"/>
      <c r="CI3125" s="138"/>
      <c r="CJ3125" s="72"/>
      <c r="CK3125" s="139"/>
      <c r="CL3125" s="71"/>
      <c r="CM3125" s="139"/>
      <c r="CN3125" s="138"/>
      <c r="CO3125" s="138"/>
      <c r="CP3125" s="138"/>
      <c r="CQ3125" s="139"/>
      <c r="CR3125" s="138"/>
      <c r="CS3125" s="45"/>
      <c r="CT3125" s="138"/>
      <c r="CU3125" s="45"/>
      <c r="CV3125" s="99">
        <f t="shared" si="303"/>
        <v>0</v>
      </c>
      <c r="CW3125" s="139"/>
      <c r="CX3125" s="138"/>
      <c r="CY3125" s="138"/>
      <c r="CZ3125" s="138"/>
      <c r="DA3125" s="139"/>
      <c r="DB3125" s="138"/>
      <c r="DC3125" s="45"/>
      <c r="DD3125" s="138"/>
      <c r="DE3125" s="45"/>
      <c r="DF3125" s="46"/>
    </row>
    <row r="3126" spans="1:110" s="42" customFormat="1" ht="36" x14ac:dyDescent="0.2">
      <c r="A3126" s="89">
        <v>40893</v>
      </c>
      <c r="B3126" s="16" t="s">
        <v>2226</v>
      </c>
      <c r="C3126" s="16" t="s">
        <v>4345</v>
      </c>
      <c r="D3126" s="90" t="s">
        <v>4264</v>
      </c>
      <c r="E3126" s="90">
        <f>VLOOKUP(B3126&amp;C3126,Divipola!$C$2:$F$1138,4,FALSE)</f>
        <v>68</v>
      </c>
      <c r="F3126" s="4"/>
      <c r="G3126" s="208"/>
      <c r="H3126" s="208"/>
      <c r="I3126" s="208"/>
      <c r="J3126" s="208"/>
      <c r="K3126" s="208"/>
      <c r="L3126" s="208"/>
      <c r="M3126" s="208"/>
      <c r="N3126" s="208"/>
      <c r="O3126" s="208"/>
      <c r="P3126" s="208"/>
      <c r="Q3126" s="208"/>
      <c r="R3126" s="208"/>
      <c r="S3126" s="208"/>
      <c r="T3126" s="208"/>
      <c r="U3126" s="208"/>
      <c r="V3126" s="208"/>
      <c r="W3126" s="19"/>
      <c r="X3126" s="17"/>
      <c r="Y3126" s="5">
        <f t="shared" si="298"/>
        <v>0</v>
      </c>
      <c r="Z3126" s="5">
        <f t="shared" si="299"/>
        <v>170000000</v>
      </c>
      <c r="AA3126" s="5">
        <f t="shared" si="300"/>
        <v>26814560</v>
      </c>
      <c r="AB3126" s="5">
        <f t="shared" si="301"/>
        <v>0</v>
      </c>
      <c r="AC3126" s="5"/>
      <c r="AD3126" s="5">
        <v>0</v>
      </c>
      <c r="AE3126" s="5">
        <f t="shared" si="302"/>
        <v>196814560</v>
      </c>
      <c r="AF3126" s="70">
        <v>0</v>
      </c>
      <c r="AG3126" s="17"/>
      <c r="AH3126" s="18"/>
      <c r="AI3126" s="47" t="s">
        <v>4346</v>
      </c>
      <c r="AJ3126" s="73" t="s">
        <v>4347</v>
      </c>
      <c r="AK3126" s="45"/>
      <c r="AL3126" s="17"/>
      <c r="AM3126" s="243" t="s">
        <v>5481</v>
      </c>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39"/>
      <c r="CE3126" s="138"/>
      <c r="CF3126" s="139"/>
      <c r="CG3126" s="138"/>
      <c r="CH3126" s="139"/>
      <c r="CI3126" s="138"/>
      <c r="CJ3126" s="72"/>
      <c r="CK3126" s="139"/>
      <c r="CL3126" s="71"/>
      <c r="CM3126" s="139"/>
      <c r="CN3126" s="138"/>
      <c r="CO3126" s="138"/>
      <c r="CP3126" s="138"/>
      <c r="CQ3126" s="139"/>
      <c r="CR3126" s="138"/>
      <c r="CS3126" s="45"/>
      <c r="CT3126" s="138"/>
      <c r="CU3126" s="45"/>
      <c r="CV3126" s="99">
        <f t="shared" si="303"/>
        <v>0</v>
      </c>
      <c r="CW3126" s="139"/>
      <c r="CX3126" s="138"/>
      <c r="CY3126" s="138">
        <v>2000</v>
      </c>
      <c r="CZ3126" s="138">
        <f>2000*85000</f>
        <v>170000000</v>
      </c>
      <c r="DA3126" s="139"/>
      <c r="DB3126" s="138"/>
      <c r="DC3126" s="45">
        <v>1000</v>
      </c>
      <c r="DD3126" s="138">
        <f>1000*25499.12+6000*219.24</f>
        <v>26814560</v>
      </c>
      <c r="DE3126" s="45"/>
      <c r="DF3126" s="46"/>
    </row>
    <row r="3127" spans="1:110" s="42" customFormat="1" ht="48" x14ac:dyDescent="0.2">
      <c r="A3127" s="89">
        <v>40893</v>
      </c>
      <c r="B3127" s="151" t="s">
        <v>4344</v>
      </c>
      <c r="C3127" s="90" t="s">
        <v>3319</v>
      </c>
      <c r="D3127" s="90" t="s">
        <v>4264</v>
      </c>
      <c r="E3127" s="90" t="str">
        <f>VLOOKUP(B3127&amp;C3127,Divipola!$C$2:$F$1138,4,FALSE)</f>
        <v>25799</v>
      </c>
      <c r="F3127" s="4"/>
      <c r="G3127" s="101"/>
      <c r="H3127" s="101"/>
      <c r="I3127" s="101"/>
      <c r="J3127" s="101"/>
      <c r="K3127" s="101"/>
      <c r="L3127" s="101"/>
      <c r="M3127" s="101"/>
      <c r="N3127" s="101">
        <v>1</v>
      </c>
      <c r="O3127" s="101"/>
      <c r="P3127" s="101"/>
      <c r="Q3127" s="101"/>
      <c r="R3127" s="101"/>
      <c r="S3127" s="101"/>
      <c r="T3127" s="101"/>
      <c r="U3127" s="101"/>
      <c r="V3127" s="101"/>
      <c r="W3127" s="19"/>
      <c r="X3127" s="17"/>
      <c r="Y3127" s="5">
        <f t="shared" si="298"/>
        <v>0</v>
      </c>
      <c r="Z3127" s="5">
        <f t="shared" si="299"/>
        <v>0</v>
      </c>
      <c r="AA3127" s="5">
        <f t="shared" si="300"/>
        <v>0</v>
      </c>
      <c r="AB3127" s="5">
        <f t="shared" si="301"/>
        <v>0</v>
      </c>
      <c r="AC3127" s="5"/>
      <c r="AD3127" s="5">
        <v>0</v>
      </c>
      <c r="AE3127" s="5">
        <f t="shared" si="302"/>
        <v>0</v>
      </c>
      <c r="AF3127" s="70">
        <v>0</v>
      </c>
      <c r="AG3127" s="17"/>
      <c r="AH3127" s="18"/>
      <c r="AI3127" s="47" t="s">
        <v>4346</v>
      </c>
      <c r="AJ3127" s="73" t="s">
        <v>4347</v>
      </c>
      <c r="AK3127" s="45"/>
      <c r="AL3127" s="89" t="s">
        <v>2798</v>
      </c>
      <c r="AM3127" s="121" t="s">
        <v>5491</v>
      </c>
      <c r="AN3127" s="19"/>
      <c r="AO3127" s="19"/>
      <c r="AP3127" s="19"/>
      <c r="AQ3127" s="19"/>
      <c r="AR3127" s="19"/>
      <c r="AS3127" s="19"/>
      <c r="AT3127" s="19"/>
      <c r="AU3127" s="19"/>
      <c r="AV3127" s="19"/>
      <c r="AW3127" s="19"/>
      <c r="AX3127" s="19"/>
      <c r="AY3127" s="19"/>
      <c r="AZ3127" s="19"/>
      <c r="BA3127" s="19"/>
      <c r="BB3127" s="19"/>
      <c r="BC3127" s="19"/>
      <c r="BD3127" s="19"/>
      <c r="BE3127" s="19"/>
      <c r="BF3127" s="19"/>
      <c r="BG3127" s="19"/>
      <c r="BH3127" s="19"/>
      <c r="BI3127" s="19"/>
      <c r="BJ3127" s="19"/>
      <c r="BK3127" s="19"/>
      <c r="BL3127" s="19"/>
      <c r="BM3127" s="19"/>
      <c r="BN3127" s="19"/>
      <c r="BO3127" s="19"/>
      <c r="BP3127" s="19"/>
      <c r="BQ3127" s="19"/>
      <c r="BR3127" s="19"/>
      <c r="BS3127" s="19"/>
      <c r="BT3127" s="19"/>
      <c r="BU3127" s="19"/>
      <c r="BV3127" s="19"/>
      <c r="BW3127" s="19"/>
      <c r="BX3127" s="19"/>
      <c r="BY3127" s="19"/>
      <c r="BZ3127" s="19"/>
      <c r="CA3127" s="19"/>
      <c r="CB3127" s="19"/>
      <c r="CC3127" s="19"/>
      <c r="CD3127" s="139"/>
      <c r="CE3127" s="138"/>
      <c r="CF3127" s="139"/>
      <c r="CG3127" s="138"/>
      <c r="CH3127" s="139"/>
      <c r="CI3127" s="138"/>
      <c r="CJ3127" s="72"/>
      <c r="CK3127" s="139"/>
      <c r="CL3127" s="71"/>
      <c r="CM3127" s="139"/>
      <c r="CN3127" s="138"/>
      <c r="CO3127" s="138"/>
      <c r="CP3127" s="138"/>
      <c r="CQ3127" s="139"/>
      <c r="CR3127" s="138"/>
      <c r="CS3127" s="45"/>
      <c r="CT3127" s="138"/>
      <c r="CU3127" s="45"/>
      <c r="CV3127" s="99">
        <f t="shared" si="303"/>
        <v>0</v>
      </c>
      <c r="CW3127" s="139"/>
      <c r="CX3127" s="138"/>
      <c r="CY3127" s="138"/>
      <c r="CZ3127" s="138"/>
      <c r="DA3127" s="139"/>
      <c r="DB3127" s="138"/>
      <c r="DC3127" s="45"/>
      <c r="DD3127" s="138"/>
      <c r="DE3127" s="45"/>
      <c r="DF3127" s="46"/>
    </row>
    <row r="3128" spans="1:110" s="42" customFormat="1" ht="51" x14ac:dyDescent="0.2">
      <c r="A3128" s="89">
        <v>40893</v>
      </c>
      <c r="B3128" s="151" t="s">
        <v>4261</v>
      </c>
      <c r="C3128" s="90" t="s">
        <v>1201</v>
      </c>
      <c r="D3128" s="90" t="s">
        <v>4264</v>
      </c>
      <c r="E3128" s="90" t="str">
        <f>VLOOKUP(B3128&amp;C3128,Divipola!$C$2:$F$1138,4,FALSE)</f>
        <v>15407</v>
      </c>
      <c r="F3128" s="4"/>
      <c r="G3128" s="101"/>
      <c r="H3128" s="101"/>
      <c r="I3128" s="101"/>
      <c r="J3128" s="101">
        <v>10</v>
      </c>
      <c r="K3128" s="101">
        <v>2</v>
      </c>
      <c r="L3128" s="101"/>
      <c r="M3128" s="101">
        <v>2</v>
      </c>
      <c r="N3128" s="101"/>
      <c r="O3128" s="101"/>
      <c r="P3128" s="101"/>
      <c r="Q3128" s="101"/>
      <c r="R3128" s="101"/>
      <c r="S3128" s="101"/>
      <c r="T3128" s="101"/>
      <c r="U3128" s="101"/>
      <c r="V3128" s="101"/>
      <c r="W3128" s="19"/>
      <c r="X3128" s="17"/>
      <c r="Y3128" s="5">
        <f t="shared" si="298"/>
        <v>0</v>
      </c>
      <c r="Z3128" s="5">
        <f t="shared" si="299"/>
        <v>0</v>
      </c>
      <c r="AA3128" s="5">
        <f t="shared" si="300"/>
        <v>0</v>
      </c>
      <c r="AB3128" s="5">
        <f t="shared" si="301"/>
        <v>0</v>
      </c>
      <c r="AC3128" s="5"/>
      <c r="AD3128" s="5">
        <v>0</v>
      </c>
      <c r="AE3128" s="5">
        <f t="shared" si="302"/>
        <v>0</v>
      </c>
      <c r="AF3128" s="70">
        <v>0</v>
      </c>
      <c r="AG3128" s="17"/>
      <c r="AH3128" s="18"/>
      <c r="AI3128" s="47" t="s">
        <v>4336</v>
      </c>
      <c r="AJ3128" s="73" t="s">
        <v>4337</v>
      </c>
      <c r="AK3128" s="45"/>
      <c r="AL3128" s="17"/>
      <c r="AM3128" s="260" t="s">
        <v>5580</v>
      </c>
      <c r="AN3128" s="19"/>
      <c r="AO3128" s="19"/>
      <c r="AP3128" s="19"/>
      <c r="AQ3128" s="19"/>
      <c r="AR3128" s="19"/>
      <c r="AS3128" s="19"/>
      <c r="AT3128" s="19"/>
      <c r="AU3128" s="19"/>
      <c r="AV3128" s="19"/>
      <c r="AW3128" s="19"/>
      <c r="AX3128" s="19"/>
      <c r="AY3128" s="19"/>
      <c r="AZ3128" s="19"/>
      <c r="BA3128" s="19"/>
      <c r="BB3128" s="19"/>
      <c r="BC3128" s="19"/>
      <c r="BD3128" s="19"/>
      <c r="BE3128" s="19"/>
      <c r="BF3128" s="19"/>
      <c r="BG3128" s="19"/>
      <c r="BH3128" s="19"/>
      <c r="BI3128" s="19"/>
      <c r="BJ3128" s="19"/>
      <c r="BK3128" s="19"/>
      <c r="BL3128" s="19"/>
      <c r="BM3128" s="19"/>
      <c r="BN3128" s="19"/>
      <c r="BO3128" s="19"/>
      <c r="BP3128" s="19"/>
      <c r="BQ3128" s="19"/>
      <c r="BR3128" s="19"/>
      <c r="BS3128" s="19"/>
      <c r="BT3128" s="19"/>
      <c r="BU3128" s="19"/>
      <c r="BV3128" s="19"/>
      <c r="BW3128" s="19"/>
      <c r="BX3128" s="19"/>
      <c r="BY3128" s="19"/>
      <c r="BZ3128" s="19"/>
      <c r="CA3128" s="19"/>
      <c r="CB3128" s="19"/>
      <c r="CC3128" s="19"/>
      <c r="CD3128" s="139"/>
      <c r="CE3128" s="138"/>
      <c r="CF3128" s="139"/>
      <c r="CG3128" s="138"/>
      <c r="CH3128" s="139"/>
      <c r="CI3128" s="138"/>
      <c r="CJ3128" s="72"/>
      <c r="CK3128" s="139"/>
      <c r="CL3128" s="71"/>
      <c r="CM3128" s="139"/>
      <c r="CN3128" s="138"/>
      <c r="CO3128" s="138"/>
      <c r="CP3128" s="138"/>
      <c r="CQ3128" s="139"/>
      <c r="CR3128" s="138"/>
      <c r="CS3128" s="45"/>
      <c r="CT3128" s="138"/>
      <c r="CU3128" s="45"/>
      <c r="CV3128" s="99">
        <f t="shared" si="303"/>
        <v>0</v>
      </c>
      <c r="CW3128" s="139"/>
      <c r="CX3128" s="138"/>
      <c r="CY3128" s="138"/>
      <c r="CZ3128" s="138"/>
      <c r="DA3128" s="139"/>
      <c r="DB3128" s="138"/>
      <c r="DC3128" s="45"/>
      <c r="DD3128" s="138"/>
      <c r="DE3128" s="45"/>
      <c r="DF3128" s="46"/>
    </row>
    <row r="3129" spans="1:110" s="42" customFormat="1" ht="60" x14ac:dyDescent="0.2">
      <c r="A3129" s="89">
        <v>40894</v>
      </c>
      <c r="B3129" s="151" t="s">
        <v>4296</v>
      </c>
      <c r="C3129" s="90" t="s">
        <v>3352</v>
      </c>
      <c r="D3129" s="90" t="s">
        <v>2362</v>
      </c>
      <c r="E3129" s="90" t="str">
        <f>VLOOKUP(B3129&amp;C3129,Divipola!$C$2:$F$1138,4,FALSE)</f>
        <v>19532</v>
      </c>
      <c r="F3129" s="4"/>
      <c r="G3129" s="101"/>
      <c r="H3129" s="101"/>
      <c r="I3129" s="101"/>
      <c r="J3129" s="101">
        <v>550</v>
      </c>
      <c r="K3129" s="101">
        <v>120</v>
      </c>
      <c r="L3129" s="101"/>
      <c r="M3129" s="101">
        <v>120</v>
      </c>
      <c r="N3129" s="101"/>
      <c r="O3129" s="101"/>
      <c r="P3129" s="101"/>
      <c r="Q3129" s="101"/>
      <c r="R3129" s="101"/>
      <c r="S3129" s="101"/>
      <c r="T3129" s="101"/>
      <c r="U3129" s="101"/>
      <c r="V3129" s="101"/>
      <c r="W3129" s="19"/>
      <c r="X3129" s="17"/>
      <c r="Y3129" s="5">
        <f t="shared" si="298"/>
        <v>0</v>
      </c>
      <c r="Z3129" s="5">
        <f t="shared" si="299"/>
        <v>0</v>
      </c>
      <c r="AA3129" s="5">
        <f t="shared" si="300"/>
        <v>0</v>
      </c>
      <c r="AB3129" s="5">
        <f t="shared" si="301"/>
        <v>0</v>
      </c>
      <c r="AC3129" s="5"/>
      <c r="AD3129" s="5">
        <v>0</v>
      </c>
      <c r="AE3129" s="5">
        <f t="shared" si="302"/>
        <v>0</v>
      </c>
      <c r="AF3129" s="70">
        <v>0</v>
      </c>
      <c r="AG3129" s="17"/>
      <c r="AH3129" s="18"/>
      <c r="AI3129" s="47" t="s">
        <v>4336</v>
      </c>
      <c r="AJ3129" s="73" t="s">
        <v>4337</v>
      </c>
      <c r="AK3129" s="45"/>
      <c r="AL3129" s="17"/>
      <c r="AM3129" s="121" t="s">
        <v>5454</v>
      </c>
      <c r="AN3129" s="19"/>
      <c r="AO3129" s="19"/>
      <c r="AP3129" s="19"/>
      <c r="AQ3129" s="19"/>
      <c r="AR3129" s="19"/>
      <c r="AS3129" s="19"/>
      <c r="AT3129" s="19"/>
      <c r="AU3129" s="19"/>
      <c r="AV3129" s="19"/>
      <c r="AW3129" s="19"/>
      <c r="AX3129" s="19"/>
      <c r="AY3129" s="19"/>
      <c r="AZ3129" s="19"/>
      <c r="BA3129" s="19"/>
      <c r="BB3129" s="19"/>
      <c r="BC3129" s="19"/>
      <c r="BD3129" s="19"/>
      <c r="BE3129" s="19"/>
      <c r="BF3129" s="19"/>
      <c r="BG3129" s="19"/>
      <c r="BH3129" s="19"/>
      <c r="BI3129" s="19"/>
      <c r="BJ3129" s="19"/>
      <c r="BK3129" s="19"/>
      <c r="BL3129" s="19"/>
      <c r="BM3129" s="19"/>
      <c r="BN3129" s="19"/>
      <c r="BO3129" s="19"/>
      <c r="BP3129" s="19"/>
      <c r="BQ3129" s="19"/>
      <c r="BR3129" s="19"/>
      <c r="BS3129" s="19"/>
      <c r="BT3129" s="19"/>
      <c r="BU3129" s="19"/>
      <c r="BV3129" s="19"/>
      <c r="BW3129" s="19"/>
      <c r="BX3129" s="19"/>
      <c r="BY3129" s="19"/>
      <c r="BZ3129" s="19"/>
      <c r="CA3129" s="19"/>
      <c r="CB3129" s="19"/>
      <c r="CC3129" s="19"/>
      <c r="CD3129" s="139"/>
      <c r="CE3129" s="138"/>
      <c r="CF3129" s="139"/>
      <c r="CG3129" s="138"/>
      <c r="CH3129" s="139"/>
      <c r="CI3129" s="138"/>
      <c r="CJ3129" s="72"/>
      <c r="CK3129" s="139"/>
      <c r="CL3129" s="71"/>
      <c r="CM3129" s="139"/>
      <c r="CN3129" s="138"/>
      <c r="CO3129" s="138"/>
      <c r="CP3129" s="138"/>
      <c r="CQ3129" s="139"/>
      <c r="CR3129" s="138"/>
      <c r="CS3129" s="45"/>
      <c r="CT3129" s="138"/>
      <c r="CU3129" s="45"/>
      <c r="CV3129" s="99">
        <f t="shared" si="303"/>
        <v>0</v>
      </c>
      <c r="CW3129" s="139"/>
      <c r="CX3129" s="138"/>
      <c r="CY3129" s="138"/>
      <c r="CZ3129" s="138"/>
      <c r="DA3129" s="139"/>
      <c r="DB3129" s="138"/>
      <c r="DC3129" s="45"/>
      <c r="DD3129" s="138"/>
      <c r="DE3129" s="45"/>
      <c r="DF3129" s="46"/>
    </row>
    <row r="3130" spans="1:110" s="42" customFormat="1" ht="48" x14ac:dyDescent="0.2">
      <c r="A3130" s="253">
        <v>40895</v>
      </c>
      <c r="B3130" s="151" t="s">
        <v>4219</v>
      </c>
      <c r="C3130" s="90" t="s">
        <v>687</v>
      </c>
      <c r="D3130" s="90" t="s">
        <v>2362</v>
      </c>
      <c r="E3130" s="90" t="str">
        <f>VLOOKUP(B3130&amp;C3130,Divipola!$C$2:$F$1138,4,FALSE)</f>
        <v>41548</v>
      </c>
      <c r="F3130" s="4"/>
      <c r="G3130" s="194"/>
      <c r="H3130" s="194"/>
      <c r="I3130" s="194"/>
      <c r="J3130" s="194"/>
      <c r="K3130" s="194"/>
      <c r="L3130" s="194"/>
      <c r="M3130" s="194"/>
      <c r="N3130" s="194">
        <v>1</v>
      </c>
      <c r="O3130" s="194"/>
      <c r="P3130" s="194"/>
      <c r="Q3130" s="194"/>
      <c r="R3130" s="194"/>
      <c r="S3130" s="194"/>
      <c r="T3130" s="194"/>
      <c r="U3130" s="194"/>
      <c r="V3130" s="194"/>
      <c r="W3130" s="19"/>
      <c r="X3130" s="17"/>
      <c r="Y3130" s="5">
        <f t="shared" si="298"/>
        <v>0</v>
      </c>
      <c r="Z3130" s="5">
        <f t="shared" si="299"/>
        <v>0</v>
      </c>
      <c r="AA3130" s="5">
        <f t="shared" si="300"/>
        <v>0</v>
      </c>
      <c r="AB3130" s="5">
        <f t="shared" si="301"/>
        <v>0</v>
      </c>
      <c r="AC3130" s="5"/>
      <c r="AD3130" s="5">
        <v>0</v>
      </c>
      <c r="AE3130" s="5">
        <f t="shared" si="302"/>
        <v>0</v>
      </c>
      <c r="AF3130" s="70">
        <v>0</v>
      </c>
      <c r="AG3130" s="17"/>
      <c r="AH3130" s="18"/>
      <c r="AI3130" s="47" t="s">
        <v>4346</v>
      </c>
      <c r="AJ3130" s="73" t="s">
        <v>4347</v>
      </c>
      <c r="AK3130" s="45"/>
      <c r="AL3130" s="89" t="s">
        <v>2798</v>
      </c>
      <c r="AM3130" s="195" t="s">
        <v>5446</v>
      </c>
      <c r="AN3130" s="19"/>
      <c r="AO3130" s="19"/>
      <c r="AP3130" s="19"/>
      <c r="AQ3130" s="19"/>
      <c r="AR3130" s="19"/>
      <c r="AS3130" s="19"/>
      <c r="AT3130" s="19"/>
      <c r="AU3130" s="19"/>
      <c r="AV3130" s="19"/>
      <c r="AW3130" s="19"/>
      <c r="AX3130" s="19"/>
      <c r="AY3130" s="19"/>
      <c r="AZ3130" s="19"/>
      <c r="BA3130" s="19"/>
      <c r="BB3130" s="19"/>
      <c r="BC3130" s="19"/>
      <c r="BD3130" s="19"/>
      <c r="BE3130" s="19"/>
      <c r="BF3130" s="19"/>
      <c r="BG3130" s="19"/>
      <c r="BH3130" s="19"/>
      <c r="BI3130" s="19"/>
      <c r="BJ3130" s="19"/>
      <c r="BK3130" s="19"/>
      <c r="BL3130" s="19"/>
      <c r="BM3130" s="19"/>
      <c r="BN3130" s="19"/>
      <c r="BO3130" s="19"/>
      <c r="BP3130" s="19"/>
      <c r="BQ3130" s="19"/>
      <c r="BR3130" s="19"/>
      <c r="BS3130" s="19"/>
      <c r="BT3130" s="19"/>
      <c r="BU3130" s="19"/>
      <c r="BV3130" s="19"/>
      <c r="BW3130" s="19"/>
      <c r="BX3130" s="19"/>
      <c r="BY3130" s="19"/>
      <c r="BZ3130" s="19"/>
      <c r="CA3130" s="19"/>
      <c r="CB3130" s="19"/>
      <c r="CC3130" s="19"/>
      <c r="CD3130" s="139"/>
      <c r="CE3130" s="138"/>
      <c r="CF3130" s="139"/>
      <c r="CG3130" s="138"/>
      <c r="CH3130" s="139"/>
      <c r="CI3130" s="138"/>
      <c r="CJ3130" s="72"/>
      <c r="CK3130" s="139"/>
      <c r="CL3130" s="71"/>
      <c r="CM3130" s="139"/>
      <c r="CN3130" s="138"/>
      <c r="CO3130" s="138"/>
      <c r="CP3130" s="138"/>
      <c r="CQ3130" s="139"/>
      <c r="CR3130" s="138"/>
      <c r="CS3130" s="45"/>
      <c r="CT3130" s="138"/>
      <c r="CU3130" s="45"/>
      <c r="CV3130" s="99">
        <f t="shared" si="303"/>
        <v>0</v>
      </c>
      <c r="CW3130" s="139"/>
      <c r="CX3130" s="138"/>
      <c r="CY3130" s="138"/>
      <c r="CZ3130" s="138"/>
      <c r="DA3130" s="139"/>
      <c r="DB3130" s="138"/>
      <c r="DC3130" s="45"/>
      <c r="DD3130" s="138"/>
      <c r="DE3130" s="45"/>
      <c r="DF3130" s="46"/>
    </row>
    <row r="3131" spans="1:110" s="42" customFormat="1" ht="84" x14ac:dyDescent="0.2">
      <c r="A3131" s="253">
        <v>40895</v>
      </c>
      <c r="B3131" s="151" t="s">
        <v>4219</v>
      </c>
      <c r="C3131" s="90" t="s">
        <v>2278</v>
      </c>
      <c r="D3131" s="90" t="s">
        <v>4264</v>
      </c>
      <c r="E3131" s="90" t="str">
        <f>VLOOKUP(B3131&amp;C3131,Divipola!$C$2:$F$1138,4,FALSE)</f>
        <v>41306</v>
      </c>
      <c r="F3131" s="4"/>
      <c r="G3131" s="194"/>
      <c r="H3131" s="194"/>
      <c r="I3131" s="194"/>
      <c r="J3131" s="194"/>
      <c r="K3131" s="194">
        <v>2</v>
      </c>
      <c r="L3131" s="194">
        <v>2</v>
      </c>
      <c r="M3131" s="194"/>
      <c r="N3131" s="194">
        <v>1</v>
      </c>
      <c r="O3131" s="194"/>
      <c r="P3131" s="194"/>
      <c r="Q3131" s="194"/>
      <c r="R3131" s="194"/>
      <c r="S3131" s="194"/>
      <c r="T3131" s="194"/>
      <c r="U3131" s="194"/>
      <c r="V3131" s="194"/>
      <c r="W3131" s="19"/>
      <c r="X3131" s="17"/>
      <c r="Y3131" s="5">
        <f t="shared" si="298"/>
        <v>0</v>
      </c>
      <c r="Z3131" s="5">
        <f t="shared" si="299"/>
        <v>0</v>
      </c>
      <c r="AA3131" s="5">
        <f t="shared" si="300"/>
        <v>0</v>
      </c>
      <c r="AB3131" s="5">
        <f t="shared" si="301"/>
        <v>0</v>
      </c>
      <c r="AC3131" s="5"/>
      <c r="AD3131" s="5">
        <v>0</v>
      </c>
      <c r="AE3131" s="5">
        <f t="shared" si="302"/>
        <v>0</v>
      </c>
      <c r="AF3131" s="70">
        <v>0</v>
      </c>
      <c r="AG3131" s="17"/>
      <c r="AH3131" s="18"/>
      <c r="AI3131" s="47" t="s">
        <v>4346</v>
      </c>
      <c r="AJ3131" s="73" t="s">
        <v>4347</v>
      </c>
      <c r="AK3131" s="45"/>
      <c r="AL3131" s="89" t="s">
        <v>2798</v>
      </c>
      <c r="AM3131" s="195" t="s">
        <v>5447</v>
      </c>
      <c r="AN3131" s="19"/>
      <c r="AO3131" s="19"/>
      <c r="AP3131" s="19"/>
      <c r="AQ3131" s="19"/>
      <c r="AR3131" s="19"/>
      <c r="AS3131" s="19"/>
      <c r="AT3131" s="19"/>
      <c r="AU3131" s="19"/>
      <c r="AV3131" s="19"/>
      <c r="AW3131" s="19"/>
      <c r="AX3131" s="19"/>
      <c r="AY3131" s="19"/>
      <c r="AZ3131" s="19"/>
      <c r="BA3131" s="19"/>
      <c r="BB3131" s="19"/>
      <c r="BC3131" s="19"/>
      <c r="BD3131" s="19"/>
      <c r="BE3131" s="19"/>
      <c r="BF3131" s="19"/>
      <c r="BG3131" s="19"/>
      <c r="BH3131" s="19"/>
      <c r="BI3131" s="19"/>
      <c r="BJ3131" s="19"/>
      <c r="BK3131" s="19"/>
      <c r="BL3131" s="19"/>
      <c r="BM3131" s="19"/>
      <c r="BN3131" s="19"/>
      <c r="BO3131" s="19"/>
      <c r="BP3131" s="19"/>
      <c r="BQ3131" s="19"/>
      <c r="BR3131" s="19"/>
      <c r="BS3131" s="19"/>
      <c r="BT3131" s="19"/>
      <c r="BU3131" s="19"/>
      <c r="BV3131" s="19"/>
      <c r="BW3131" s="19"/>
      <c r="BX3131" s="19"/>
      <c r="BY3131" s="19"/>
      <c r="BZ3131" s="19"/>
      <c r="CA3131" s="19"/>
      <c r="CB3131" s="19"/>
      <c r="CC3131" s="19"/>
      <c r="CD3131" s="139"/>
      <c r="CE3131" s="138"/>
      <c r="CF3131" s="139"/>
      <c r="CG3131" s="138"/>
      <c r="CH3131" s="139"/>
      <c r="CI3131" s="138"/>
      <c r="CJ3131" s="72"/>
      <c r="CK3131" s="139"/>
      <c r="CL3131" s="71"/>
      <c r="CM3131" s="139"/>
      <c r="CN3131" s="138"/>
      <c r="CO3131" s="138"/>
      <c r="CP3131" s="138"/>
      <c r="CQ3131" s="139"/>
      <c r="CR3131" s="138"/>
      <c r="CS3131" s="45"/>
      <c r="CT3131" s="138"/>
      <c r="CU3131" s="45"/>
      <c r="CV3131" s="99">
        <f t="shared" si="303"/>
        <v>0</v>
      </c>
      <c r="CW3131" s="139"/>
      <c r="CX3131" s="138"/>
      <c r="CY3131" s="138"/>
      <c r="CZ3131" s="138"/>
      <c r="DA3131" s="139"/>
      <c r="DB3131" s="138"/>
      <c r="DC3131" s="45"/>
      <c r="DD3131" s="138"/>
      <c r="DE3131" s="45"/>
      <c r="DF3131" s="46"/>
    </row>
    <row r="3132" spans="1:110" s="42" customFormat="1" ht="48" x14ac:dyDescent="0.2">
      <c r="A3132" s="256">
        <v>40895</v>
      </c>
      <c r="B3132" s="261" t="s">
        <v>4219</v>
      </c>
      <c r="C3132" s="262" t="s">
        <v>63</v>
      </c>
      <c r="D3132" s="262" t="s">
        <v>2362</v>
      </c>
      <c r="E3132" s="90" t="str">
        <f>VLOOKUP(B3132&amp;C3132,Divipola!$C$2:$F$1138,4,FALSE)</f>
        <v>41524</v>
      </c>
      <c r="F3132" s="4"/>
      <c r="G3132" s="224"/>
      <c r="H3132" s="224"/>
      <c r="I3132" s="224"/>
      <c r="J3132" s="224">
        <v>5</v>
      </c>
      <c r="K3132" s="224">
        <v>1</v>
      </c>
      <c r="L3132" s="194"/>
      <c r="M3132" s="194">
        <v>1</v>
      </c>
      <c r="N3132" s="194"/>
      <c r="O3132" s="194"/>
      <c r="P3132" s="194"/>
      <c r="Q3132" s="194"/>
      <c r="R3132" s="194"/>
      <c r="S3132" s="194"/>
      <c r="T3132" s="194"/>
      <c r="U3132" s="194"/>
      <c r="V3132" s="194">
        <v>3</v>
      </c>
      <c r="W3132" s="19"/>
      <c r="X3132" s="17"/>
      <c r="Y3132" s="5">
        <f t="shared" si="298"/>
        <v>0</v>
      </c>
      <c r="Z3132" s="5">
        <f t="shared" si="299"/>
        <v>0</v>
      </c>
      <c r="AA3132" s="5">
        <f t="shared" si="300"/>
        <v>0</v>
      </c>
      <c r="AB3132" s="5">
        <f t="shared" si="301"/>
        <v>0</v>
      </c>
      <c r="AC3132" s="5"/>
      <c r="AD3132" s="5">
        <v>0</v>
      </c>
      <c r="AE3132" s="5">
        <f t="shared" si="302"/>
        <v>0</v>
      </c>
      <c r="AF3132" s="70">
        <v>0</v>
      </c>
      <c r="AG3132" s="17"/>
      <c r="AH3132" s="18"/>
      <c r="AI3132" s="47" t="s">
        <v>4346</v>
      </c>
      <c r="AJ3132" s="73" t="s">
        <v>4347</v>
      </c>
      <c r="AK3132" s="45"/>
      <c r="AL3132" s="89" t="s">
        <v>2798</v>
      </c>
      <c r="AM3132" s="195" t="s">
        <v>5448</v>
      </c>
      <c r="AN3132" s="19"/>
      <c r="AO3132" s="19"/>
      <c r="AP3132" s="19"/>
      <c r="AQ3132" s="19"/>
      <c r="AR3132" s="19"/>
      <c r="AS3132" s="19"/>
      <c r="AT3132" s="19"/>
      <c r="AU3132" s="19"/>
      <c r="AV3132" s="19"/>
      <c r="AW3132" s="19"/>
      <c r="AX3132" s="19"/>
      <c r="AY3132" s="19"/>
      <c r="AZ3132" s="19"/>
      <c r="BA3132" s="19"/>
      <c r="BB3132" s="19"/>
      <c r="BC3132" s="19"/>
      <c r="BD3132" s="19"/>
      <c r="BE3132" s="19"/>
      <c r="BF3132" s="19"/>
      <c r="BG3132" s="19"/>
      <c r="BH3132" s="19"/>
      <c r="BI3132" s="19"/>
      <c r="BJ3132" s="19"/>
      <c r="BK3132" s="19"/>
      <c r="BL3132" s="19"/>
      <c r="BM3132" s="19"/>
      <c r="BN3132" s="19"/>
      <c r="BO3132" s="19"/>
      <c r="BP3132" s="19"/>
      <c r="BQ3132" s="19"/>
      <c r="BR3132" s="19"/>
      <c r="BS3132" s="19"/>
      <c r="BT3132" s="19"/>
      <c r="BU3132" s="19"/>
      <c r="BV3132" s="19"/>
      <c r="BW3132" s="19"/>
      <c r="BX3132" s="19"/>
      <c r="BY3132" s="19"/>
      <c r="BZ3132" s="19"/>
      <c r="CA3132" s="19"/>
      <c r="CB3132" s="19"/>
      <c r="CC3132" s="19"/>
      <c r="CD3132" s="139"/>
      <c r="CE3132" s="138"/>
      <c r="CF3132" s="139"/>
      <c r="CG3132" s="138"/>
      <c r="CH3132" s="139"/>
      <c r="CI3132" s="138"/>
      <c r="CJ3132" s="72"/>
      <c r="CK3132" s="139"/>
      <c r="CL3132" s="71"/>
      <c r="CM3132" s="139"/>
      <c r="CN3132" s="138"/>
      <c r="CO3132" s="138"/>
      <c r="CP3132" s="138"/>
      <c r="CQ3132" s="139"/>
      <c r="CR3132" s="138"/>
      <c r="CS3132" s="45"/>
      <c r="CT3132" s="138"/>
      <c r="CU3132" s="45"/>
      <c r="CV3132" s="99">
        <f t="shared" si="303"/>
        <v>0</v>
      </c>
      <c r="CW3132" s="139"/>
      <c r="CX3132" s="138"/>
      <c r="CY3132" s="138"/>
      <c r="CZ3132" s="138"/>
      <c r="DA3132" s="139"/>
      <c r="DB3132" s="138"/>
      <c r="DC3132" s="45"/>
      <c r="DD3132" s="138"/>
      <c r="DE3132" s="45"/>
      <c r="DF3132" s="46"/>
    </row>
    <row r="3133" spans="1:110" s="42" customFormat="1" ht="48" x14ac:dyDescent="0.2">
      <c r="A3133" s="256">
        <v>40895</v>
      </c>
      <c r="B3133" s="261" t="s">
        <v>4219</v>
      </c>
      <c r="C3133" s="262" t="s">
        <v>4228</v>
      </c>
      <c r="D3133" s="262" t="s">
        <v>2362</v>
      </c>
      <c r="E3133" s="90" t="str">
        <f>VLOOKUP(B3133&amp;C3133,Divipola!$C$2:$F$1138,4,FALSE)</f>
        <v>41885</v>
      </c>
      <c r="F3133" s="4"/>
      <c r="G3133" s="224"/>
      <c r="H3133" s="224"/>
      <c r="I3133" s="224"/>
      <c r="J3133" s="224"/>
      <c r="K3133" s="224"/>
      <c r="L3133" s="194"/>
      <c r="M3133" s="194"/>
      <c r="N3133" s="194">
        <v>1</v>
      </c>
      <c r="O3133" s="194"/>
      <c r="P3133" s="194"/>
      <c r="Q3133" s="194"/>
      <c r="R3133" s="194"/>
      <c r="S3133" s="194"/>
      <c r="T3133" s="194"/>
      <c r="U3133" s="194"/>
      <c r="V3133" s="194"/>
      <c r="W3133" s="19"/>
      <c r="X3133" s="17"/>
      <c r="Y3133" s="5">
        <f t="shared" si="298"/>
        <v>0</v>
      </c>
      <c r="Z3133" s="5">
        <f t="shared" si="299"/>
        <v>0</v>
      </c>
      <c r="AA3133" s="5">
        <f t="shared" si="300"/>
        <v>0</v>
      </c>
      <c r="AB3133" s="5">
        <f t="shared" si="301"/>
        <v>0</v>
      </c>
      <c r="AC3133" s="5"/>
      <c r="AD3133" s="5">
        <v>0</v>
      </c>
      <c r="AE3133" s="5">
        <f t="shared" si="302"/>
        <v>0</v>
      </c>
      <c r="AF3133" s="70">
        <v>0</v>
      </c>
      <c r="AG3133" s="17"/>
      <c r="AH3133" s="18"/>
      <c r="AI3133" s="47" t="s">
        <v>4346</v>
      </c>
      <c r="AJ3133" s="73" t="s">
        <v>4347</v>
      </c>
      <c r="AK3133" s="45"/>
      <c r="AL3133" s="89" t="s">
        <v>2798</v>
      </c>
      <c r="AM3133" s="195" t="s">
        <v>5449</v>
      </c>
      <c r="AN3133" s="19"/>
      <c r="AO3133" s="19"/>
      <c r="AP3133" s="19"/>
      <c r="AQ3133" s="19"/>
      <c r="AR3133" s="19"/>
      <c r="AS3133" s="19"/>
      <c r="AT3133" s="19"/>
      <c r="AU3133" s="19"/>
      <c r="AV3133" s="19"/>
      <c r="AW3133" s="19"/>
      <c r="AX3133" s="19"/>
      <c r="AY3133" s="19"/>
      <c r="AZ3133" s="19"/>
      <c r="BA3133" s="19"/>
      <c r="BB3133" s="19"/>
      <c r="BC3133" s="19"/>
      <c r="BD3133" s="19"/>
      <c r="BE3133" s="19"/>
      <c r="BF3133" s="19"/>
      <c r="BG3133" s="19"/>
      <c r="BH3133" s="19"/>
      <c r="BI3133" s="19"/>
      <c r="BJ3133" s="19"/>
      <c r="BK3133" s="19"/>
      <c r="BL3133" s="19"/>
      <c r="BM3133" s="19"/>
      <c r="BN3133" s="19"/>
      <c r="BO3133" s="19"/>
      <c r="BP3133" s="19"/>
      <c r="BQ3133" s="19"/>
      <c r="BR3133" s="19"/>
      <c r="BS3133" s="19"/>
      <c r="BT3133" s="19"/>
      <c r="BU3133" s="19"/>
      <c r="BV3133" s="19"/>
      <c r="BW3133" s="19"/>
      <c r="BX3133" s="19"/>
      <c r="BY3133" s="19"/>
      <c r="BZ3133" s="19"/>
      <c r="CA3133" s="19"/>
      <c r="CB3133" s="19"/>
      <c r="CC3133" s="19"/>
      <c r="CD3133" s="139"/>
      <c r="CE3133" s="138"/>
      <c r="CF3133" s="139"/>
      <c r="CG3133" s="138"/>
      <c r="CH3133" s="139"/>
      <c r="CI3133" s="138"/>
      <c r="CJ3133" s="72"/>
      <c r="CK3133" s="139"/>
      <c r="CL3133" s="71"/>
      <c r="CM3133" s="139"/>
      <c r="CN3133" s="138"/>
      <c r="CO3133" s="138"/>
      <c r="CP3133" s="138"/>
      <c r="CQ3133" s="139"/>
      <c r="CR3133" s="138"/>
      <c r="CS3133" s="45"/>
      <c r="CT3133" s="138"/>
      <c r="CU3133" s="45"/>
      <c r="CV3133" s="99">
        <f t="shared" si="303"/>
        <v>0</v>
      </c>
      <c r="CW3133" s="139"/>
      <c r="CX3133" s="138"/>
      <c r="CY3133" s="138"/>
      <c r="CZ3133" s="138"/>
      <c r="DA3133" s="139"/>
      <c r="DB3133" s="138"/>
      <c r="DC3133" s="45"/>
      <c r="DD3133" s="138"/>
      <c r="DE3133" s="45"/>
      <c r="DF3133" s="46"/>
    </row>
    <row r="3134" spans="1:110" s="42" customFormat="1" ht="132" x14ac:dyDescent="0.2">
      <c r="A3134" s="256">
        <v>40895</v>
      </c>
      <c r="B3134" s="261" t="s">
        <v>2218</v>
      </c>
      <c r="C3134" s="262" t="s">
        <v>3297</v>
      </c>
      <c r="D3134" s="262" t="s">
        <v>4264</v>
      </c>
      <c r="E3134" s="90" t="str">
        <f>VLOOKUP(B3134&amp;C3134,Divipola!$C$2:$F$1138,4,FALSE)</f>
        <v>05001</v>
      </c>
      <c r="F3134" s="4"/>
      <c r="G3134" s="168"/>
      <c r="H3134" s="168"/>
      <c r="I3134" s="168">
        <v>1</v>
      </c>
      <c r="J3134" s="168">
        <v>225</v>
      </c>
      <c r="K3134" s="168">
        <v>45</v>
      </c>
      <c r="L3134" s="101"/>
      <c r="M3134" s="101">
        <v>45</v>
      </c>
      <c r="N3134" s="101"/>
      <c r="O3134" s="101"/>
      <c r="P3134" s="101"/>
      <c r="Q3134" s="101"/>
      <c r="R3134" s="101"/>
      <c r="S3134" s="101"/>
      <c r="T3134" s="101"/>
      <c r="U3134" s="101"/>
      <c r="V3134" s="101"/>
      <c r="W3134" s="19"/>
      <c r="X3134" s="17"/>
      <c r="Y3134" s="5">
        <f t="shared" si="298"/>
        <v>0</v>
      </c>
      <c r="Z3134" s="5">
        <f t="shared" si="299"/>
        <v>0</v>
      </c>
      <c r="AA3134" s="5">
        <f t="shared" si="300"/>
        <v>0</v>
      </c>
      <c r="AB3134" s="5">
        <f t="shared" si="301"/>
        <v>0</v>
      </c>
      <c r="AC3134" s="5"/>
      <c r="AD3134" s="5">
        <v>0</v>
      </c>
      <c r="AE3134" s="5">
        <f t="shared" si="302"/>
        <v>0</v>
      </c>
      <c r="AF3134" s="70">
        <v>0</v>
      </c>
      <c r="AG3134" s="17"/>
      <c r="AH3134" s="18"/>
      <c r="AI3134" s="47" t="s">
        <v>4336</v>
      </c>
      <c r="AJ3134" s="73" t="s">
        <v>4337</v>
      </c>
      <c r="AK3134" s="45"/>
      <c r="AL3134" s="17"/>
      <c r="AM3134" s="121" t="s">
        <v>5452</v>
      </c>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39"/>
      <c r="CE3134" s="138"/>
      <c r="CF3134" s="139"/>
      <c r="CG3134" s="138"/>
      <c r="CH3134" s="139"/>
      <c r="CI3134" s="138"/>
      <c r="CJ3134" s="72"/>
      <c r="CK3134" s="139"/>
      <c r="CL3134" s="71"/>
      <c r="CM3134" s="139"/>
      <c r="CN3134" s="138"/>
      <c r="CO3134" s="138"/>
      <c r="CP3134" s="138"/>
      <c r="CQ3134" s="139"/>
      <c r="CR3134" s="138"/>
      <c r="CS3134" s="45"/>
      <c r="CT3134" s="138"/>
      <c r="CU3134" s="45"/>
      <c r="CV3134" s="99">
        <f t="shared" si="303"/>
        <v>0</v>
      </c>
      <c r="CW3134" s="139"/>
      <c r="CX3134" s="138"/>
      <c r="CY3134" s="138"/>
      <c r="CZ3134" s="138"/>
      <c r="DA3134" s="139"/>
      <c r="DB3134" s="138"/>
      <c r="DC3134" s="45"/>
      <c r="DD3134" s="138"/>
      <c r="DE3134" s="45"/>
      <c r="DF3134" s="46"/>
    </row>
    <row r="3135" spans="1:110" s="42" customFormat="1" ht="60" x14ac:dyDescent="0.2">
      <c r="A3135" s="253">
        <v>40895</v>
      </c>
      <c r="B3135" s="151" t="s">
        <v>4263</v>
      </c>
      <c r="C3135" s="90" t="s">
        <v>4315</v>
      </c>
      <c r="D3135" s="90" t="s">
        <v>4264</v>
      </c>
      <c r="E3135" s="90" t="str">
        <f>VLOOKUP(B3135&amp;C3135,Divipola!$C$2:$F$1138,4,FALSE)</f>
        <v>86001</v>
      </c>
      <c r="F3135" s="4"/>
      <c r="G3135" s="101"/>
      <c r="H3135" s="101"/>
      <c r="I3135" s="101"/>
      <c r="J3135" s="101">
        <v>55</v>
      </c>
      <c r="K3135" s="101">
        <v>11</v>
      </c>
      <c r="L3135" s="101"/>
      <c r="M3135" s="101">
        <v>11</v>
      </c>
      <c r="N3135" s="101"/>
      <c r="O3135" s="101"/>
      <c r="P3135" s="101"/>
      <c r="Q3135" s="101"/>
      <c r="R3135" s="101"/>
      <c r="S3135" s="101"/>
      <c r="T3135" s="101"/>
      <c r="U3135" s="101"/>
      <c r="V3135" s="101"/>
      <c r="W3135" s="19"/>
      <c r="X3135" s="17"/>
      <c r="Y3135" s="5">
        <f t="shared" si="298"/>
        <v>0</v>
      </c>
      <c r="Z3135" s="5">
        <f t="shared" si="299"/>
        <v>0</v>
      </c>
      <c r="AA3135" s="5">
        <f t="shared" si="300"/>
        <v>0</v>
      </c>
      <c r="AB3135" s="5">
        <f t="shared" si="301"/>
        <v>0</v>
      </c>
      <c r="AC3135" s="5"/>
      <c r="AD3135" s="5">
        <v>0</v>
      </c>
      <c r="AE3135" s="5">
        <f t="shared" si="302"/>
        <v>0</v>
      </c>
      <c r="AF3135" s="70">
        <v>0</v>
      </c>
      <c r="AG3135" s="17"/>
      <c r="AH3135" s="18"/>
      <c r="AI3135" s="47" t="s">
        <v>4336</v>
      </c>
      <c r="AJ3135" s="73" t="s">
        <v>4337</v>
      </c>
      <c r="AK3135" s="45"/>
      <c r="AL3135" s="17"/>
      <c r="AM3135" s="121" t="s">
        <v>5453</v>
      </c>
      <c r="AN3135" s="19"/>
      <c r="AO3135" s="19"/>
      <c r="AP3135" s="19"/>
      <c r="AQ3135" s="19"/>
      <c r="AR3135" s="19"/>
      <c r="AS3135" s="19"/>
      <c r="AT3135" s="19"/>
      <c r="AU3135" s="19"/>
      <c r="AV3135" s="19"/>
      <c r="AW3135" s="19"/>
      <c r="AX3135" s="19"/>
      <c r="AY3135" s="19"/>
      <c r="AZ3135" s="19"/>
      <c r="BA3135" s="19"/>
      <c r="BB3135" s="19"/>
      <c r="BC3135" s="19"/>
      <c r="BD3135" s="19"/>
      <c r="BE3135" s="19"/>
      <c r="BF3135" s="19"/>
      <c r="BG3135" s="19"/>
      <c r="BH3135" s="19"/>
      <c r="BI3135" s="19"/>
      <c r="BJ3135" s="19"/>
      <c r="BK3135" s="19"/>
      <c r="BL3135" s="19"/>
      <c r="BM3135" s="19"/>
      <c r="BN3135" s="19"/>
      <c r="BO3135" s="19"/>
      <c r="BP3135" s="19"/>
      <c r="BQ3135" s="19"/>
      <c r="BR3135" s="19"/>
      <c r="BS3135" s="19"/>
      <c r="BT3135" s="19"/>
      <c r="BU3135" s="19"/>
      <c r="BV3135" s="19"/>
      <c r="BW3135" s="19"/>
      <c r="BX3135" s="19"/>
      <c r="BY3135" s="19"/>
      <c r="BZ3135" s="19"/>
      <c r="CA3135" s="19"/>
      <c r="CB3135" s="19"/>
      <c r="CC3135" s="19"/>
      <c r="CD3135" s="139"/>
      <c r="CE3135" s="138"/>
      <c r="CF3135" s="139"/>
      <c r="CG3135" s="138"/>
      <c r="CH3135" s="139"/>
      <c r="CI3135" s="138"/>
      <c r="CJ3135" s="72"/>
      <c r="CK3135" s="139"/>
      <c r="CL3135" s="71"/>
      <c r="CM3135" s="139"/>
      <c r="CN3135" s="138"/>
      <c r="CO3135" s="138"/>
      <c r="CP3135" s="138"/>
      <c r="CQ3135" s="139"/>
      <c r="CR3135" s="138"/>
      <c r="CS3135" s="45"/>
      <c r="CT3135" s="138"/>
      <c r="CU3135" s="45"/>
      <c r="CV3135" s="99">
        <f t="shared" si="303"/>
        <v>0</v>
      </c>
      <c r="CW3135" s="139"/>
      <c r="CX3135" s="138"/>
      <c r="CY3135" s="138"/>
      <c r="CZ3135" s="138"/>
      <c r="DA3135" s="139"/>
      <c r="DB3135" s="138"/>
      <c r="DC3135" s="45"/>
      <c r="DD3135" s="138"/>
      <c r="DE3135" s="45"/>
      <c r="DF3135" s="46"/>
    </row>
    <row r="3136" spans="1:110" s="42" customFormat="1" ht="156" x14ac:dyDescent="0.2">
      <c r="A3136" s="253">
        <v>40895</v>
      </c>
      <c r="B3136" s="151" t="s">
        <v>4261</v>
      </c>
      <c r="C3136" s="90" t="s">
        <v>2872</v>
      </c>
      <c r="D3136" s="90" t="s">
        <v>4264</v>
      </c>
      <c r="E3136" s="90" t="str">
        <f>VLOOKUP(B3136&amp;C3136,Divipola!$C$2:$F$1138,4,FALSE)</f>
        <v>15676</v>
      </c>
      <c r="F3136" s="4"/>
      <c r="G3136" s="101"/>
      <c r="H3136" s="101"/>
      <c r="I3136" s="101"/>
      <c r="J3136" s="101"/>
      <c r="K3136" s="101"/>
      <c r="L3136" s="101"/>
      <c r="M3136" s="101"/>
      <c r="N3136" s="101"/>
      <c r="O3136" s="101"/>
      <c r="P3136" s="101"/>
      <c r="Q3136" s="101"/>
      <c r="R3136" s="101"/>
      <c r="S3136" s="101"/>
      <c r="T3136" s="101"/>
      <c r="U3136" s="101"/>
      <c r="V3136" s="101"/>
      <c r="W3136" s="19"/>
      <c r="X3136" s="17"/>
      <c r="Y3136" s="5">
        <f t="shared" si="298"/>
        <v>0</v>
      </c>
      <c r="Z3136" s="5">
        <f t="shared" si="299"/>
        <v>0</v>
      </c>
      <c r="AA3136" s="5">
        <f t="shared" si="300"/>
        <v>0</v>
      </c>
      <c r="AB3136" s="5">
        <f t="shared" si="301"/>
        <v>0</v>
      </c>
      <c r="AC3136" s="5"/>
      <c r="AD3136" s="5">
        <v>100000000</v>
      </c>
      <c r="AE3136" s="5">
        <f t="shared" si="302"/>
        <v>100000000</v>
      </c>
      <c r="AF3136" s="70">
        <v>0</v>
      </c>
      <c r="AG3136" s="17"/>
      <c r="AH3136" s="18"/>
      <c r="AI3136" s="47" t="s">
        <v>4346</v>
      </c>
      <c r="AJ3136" s="73" t="s">
        <v>4347</v>
      </c>
      <c r="AK3136" s="45"/>
      <c r="AL3136" s="17"/>
      <c r="AM3136" s="121" t="s">
        <v>5473</v>
      </c>
      <c r="AN3136" s="19"/>
      <c r="AO3136" s="19"/>
      <c r="AP3136" s="19"/>
      <c r="AQ3136" s="19"/>
      <c r="AR3136" s="19"/>
      <c r="AS3136" s="19"/>
      <c r="AT3136" s="19"/>
      <c r="AU3136" s="19"/>
      <c r="AV3136" s="19"/>
      <c r="AW3136" s="19"/>
      <c r="AX3136" s="19"/>
      <c r="AY3136" s="19"/>
      <c r="AZ3136" s="19"/>
      <c r="BA3136" s="19"/>
      <c r="BB3136" s="19"/>
      <c r="BC3136" s="19"/>
      <c r="BD3136" s="19"/>
      <c r="BE3136" s="19"/>
      <c r="BF3136" s="19"/>
      <c r="BG3136" s="19"/>
      <c r="BH3136" s="19"/>
      <c r="BI3136" s="19"/>
      <c r="BJ3136" s="19"/>
      <c r="BK3136" s="19"/>
      <c r="BL3136" s="19"/>
      <c r="BM3136" s="19"/>
      <c r="BN3136" s="19"/>
      <c r="BO3136" s="19"/>
      <c r="BP3136" s="19"/>
      <c r="BQ3136" s="19"/>
      <c r="BR3136" s="19"/>
      <c r="BS3136" s="19"/>
      <c r="BT3136" s="19"/>
      <c r="BU3136" s="19"/>
      <c r="BV3136" s="19"/>
      <c r="BW3136" s="19"/>
      <c r="BX3136" s="19"/>
      <c r="BY3136" s="19"/>
      <c r="BZ3136" s="19"/>
      <c r="CA3136" s="19"/>
      <c r="CB3136" s="19"/>
      <c r="CC3136" s="19"/>
      <c r="CD3136" s="139"/>
      <c r="CE3136" s="138"/>
      <c r="CF3136" s="139"/>
      <c r="CG3136" s="138"/>
      <c r="CH3136" s="139"/>
      <c r="CI3136" s="138"/>
      <c r="CJ3136" s="72"/>
      <c r="CK3136" s="139"/>
      <c r="CL3136" s="71"/>
      <c r="CM3136" s="139"/>
      <c r="CN3136" s="138"/>
      <c r="CO3136" s="138"/>
      <c r="CP3136" s="138"/>
      <c r="CQ3136" s="139"/>
      <c r="CR3136" s="138"/>
      <c r="CS3136" s="45"/>
      <c r="CT3136" s="138"/>
      <c r="CU3136" s="45"/>
      <c r="CV3136" s="99">
        <f t="shared" si="303"/>
        <v>0</v>
      </c>
      <c r="CW3136" s="139"/>
      <c r="CX3136" s="138"/>
      <c r="CY3136" s="138"/>
      <c r="CZ3136" s="138"/>
      <c r="DA3136" s="139"/>
      <c r="DB3136" s="138"/>
      <c r="DC3136" s="45"/>
      <c r="DD3136" s="138"/>
      <c r="DE3136" s="45"/>
      <c r="DF3136" s="46"/>
    </row>
    <row r="3137" spans="1:110" s="42" customFormat="1" ht="60" x14ac:dyDescent="0.2">
      <c r="A3137" s="253">
        <v>40895</v>
      </c>
      <c r="B3137" s="151" t="s">
        <v>2218</v>
      </c>
      <c r="C3137" s="90" t="s">
        <v>4068</v>
      </c>
      <c r="D3137" s="90" t="s">
        <v>4264</v>
      </c>
      <c r="E3137" s="90" t="str">
        <f>VLOOKUP(B3137&amp;C3137,Divipola!$C$2:$F$1138,4,FALSE)</f>
        <v>05790</v>
      </c>
      <c r="F3137" s="4"/>
      <c r="G3137" s="101"/>
      <c r="H3137" s="101"/>
      <c r="I3137" s="101"/>
      <c r="J3137" s="101"/>
      <c r="K3137" s="101"/>
      <c r="L3137" s="101"/>
      <c r="M3137" s="101"/>
      <c r="N3137" s="101"/>
      <c r="O3137" s="101">
        <v>1</v>
      </c>
      <c r="P3137" s="101"/>
      <c r="Q3137" s="101"/>
      <c r="R3137" s="101"/>
      <c r="S3137" s="101"/>
      <c r="T3137" s="101"/>
      <c r="U3137" s="101"/>
      <c r="V3137" s="101"/>
      <c r="W3137" s="19"/>
      <c r="X3137" s="17"/>
      <c r="Y3137" s="5">
        <f t="shared" ref="Y3137:Y3202" si="304">CV3137</f>
        <v>0</v>
      </c>
      <c r="Z3137" s="5">
        <f t="shared" ref="Z3137:Z3202" si="305">CZ3137</f>
        <v>0</v>
      </c>
      <c r="AA3137" s="5">
        <f t="shared" ref="AA3137:AA3202" si="306">DB3137+DD3137</f>
        <v>0</v>
      </c>
      <c r="AB3137" s="5">
        <f t="shared" ref="AB3137:AB3202" si="307">CX3137</f>
        <v>0</v>
      </c>
      <c r="AC3137" s="5"/>
      <c r="AD3137" s="5">
        <v>0</v>
      </c>
      <c r="AE3137" s="5">
        <f t="shared" ref="AE3137:AE3200" si="308">Y3137+Z3137+AA3137+AB3137+AC3137+AD3137</f>
        <v>0</v>
      </c>
      <c r="AF3137" s="70">
        <v>0</v>
      </c>
      <c r="AG3137" s="17"/>
      <c r="AH3137" s="18"/>
      <c r="AI3137" s="47" t="s">
        <v>4336</v>
      </c>
      <c r="AJ3137" s="73" t="s">
        <v>4337</v>
      </c>
      <c r="AK3137" s="45"/>
      <c r="AL3137" s="17"/>
      <c r="AM3137" s="121" t="s">
        <v>5459</v>
      </c>
      <c r="AN3137" s="19"/>
      <c r="AO3137" s="19"/>
      <c r="AP3137" s="19"/>
      <c r="AQ3137" s="19"/>
      <c r="AR3137" s="19"/>
      <c r="AS3137" s="19"/>
      <c r="AT3137" s="19"/>
      <c r="AU3137" s="19"/>
      <c r="AV3137" s="19"/>
      <c r="AW3137" s="19"/>
      <c r="AX3137" s="19"/>
      <c r="AY3137" s="19"/>
      <c r="AZ3137" s="19"/>
      <c r="BA3137" s="19"/>
      <c r="BB3137" s="19"/>
      <c r="BC3137" s="19"/>
      <c r="BD3137" s="19"/>
      <c r="BE3137" s="19"/>
      <c r="BF3137" s="19"/>
      <c r="BG3137" s="19"/>
      <c r="BH3137" s="19"/>
      <c r="BI3137" s="19"/>
      <c r="BJ3137" s="19"/>
      <c r="BK3137" s="19"/>
      <c r="BL3137" s="19"/>
      <c r="BM3137" s="19"/>
      <c r="BN3137" s="19"/>
      <c r="BO3137" s="19"/>
      <c r="BP3137" s="19"/>
      <c r="BQ3137" s="19"/>
      <c r="BR3137" s="19"/>
      <c r="BS3137" s="19"/>
      <c r="BT3137" s="19"/>
      <c r="BU3137" s="19"/>
      <c r="BV3137" s="19"/>
      <c r="BW3137" s="19"/>
      <c r="BX3137" s="19"/>
      <c r="BY3137" s="19"/>
      <c r="BZ3137" s="19"/>
      <c r="CA3137" s="19"/>
      <c r="CB3137" s="19"/>
      <c r="CC3137" s="19"/>
      <c r="CD3137" s="139"/>
      <c r="CE3137" s="138"/>
      <c r="CF3137" s="139"/>
      <c r="CG3137" s="138"/>
      <c r="CH3137" s="139"/>
      <c r="CI3137" s="138"/>
      <c r="CJ3137" s="72"/>
      <c r="CK3137" s="139"/>
      <c r="CL3137" s="71"/>
      <c r="CM3137" s="139"/>
      <c r="CN3137" s="138"/>
      <c r="CO3137" s="138"/>
      <c r="CP3137" s="138"/>
      <c r="CQ3137" s="139"/>
      <c r="CR3137" s="138"/>
      <c r="CS3137" s="45"/>
      <c r="CT3137" s="138"/>
      <c r="CU3137" s="45"/>
      <c r="CV3137" s="99">
        <f t="shared" si="303"/>
        <v>0</v>
      </c>
      <c r="CW3137" s="139"/>
      <c r="CX3137" s="138"/>
      <c r="CY3137" s="138"/>
      <c r="CZ3137" s="138"/>
      <c r="DA3137" s="139"/>
      <c r="DB3137" s="138"/>
      <c r="DC3137" s="45"/>
      <c r="DD3137" s="138"/>
      <c r="DE3137" s="45"/>
      <c r="DF3137" s="46"/>
    </row>
    <row r="3138" spans="1:110" s="42" customFormat="1" ht="36" x14ac:dyDescent="0.2">
      <c r="A3138" s="253">
        <v>40895</v>
      </c>
      <c r="B3138" s="151" t="s">
        <v>2218</v>
      </c>
      <c r="C3138" s="90" t="s">
        <v>2259</v>
      </c>
      <c r="D3138" s="90" t="s">
        <v>4264</v>
      </c>
      <c r="E3138" s="90" t="str">
        <f>VLOOKUP(B3138&amp;C3138,Divipola!$C$2:$F$1138,4,FALSE)</f>
        <v>05079</v>
      </c>
      <c r="F3138" s="4"/>
      <c r="G3138" s="101"/>
      <c r="H3138" s="101"/>
      <c r="I3138" s="101">
        <v>1</v>
      </c>
      <c r="J3138" s="101"/>
      <c r="K3138" s="101"/>
      <c r="L3138" s="101"/>
      <c r="M3138" s="101"/>
      <c r="N3138" s="101"/>
      <c r="O3138" s="101"/>
      <c r="P3138" s="101"/>
      <c r="Q3138" s="101"/>
      <c r="R3138" s="101"/>
      <c r="S3138" s="101"/>
      <c r="T3138" s="101"/>
      <c r="U3138" s="101"/>
      <c r="V3138" s="101"/>
      <c r="W3138" s="19"/>
      <c r="X3138" s="17"/>
      <c r="Y3138" s="5">
        <f t="shared" si="304"/>
        <v>0</v>
      </c>
      <c r="Z3138" s="5">
        <f t="shared" si="305"/>
        <v>0</v>
      </c>
      <c r="AA3138" s="5">
        <f t="shared" si="306"/>
        <v>0</v>
      </c>
      <c r="AB3138" s="5">
        <f t="shared" si="307"/>
        <v>0</v>
      </c>
      <c r="AC3138" s="5"/>
      <c r="AD3138" s="5">
        <v>0</v>
      </c>
      <c r="AE3138" s="5">
        <f t="shared" si="308"/>
        <v>0</v>
      </c>
      <c r="AF3138" s="70">
        <v>0</v>
      </c>
      <c r="AG3138" s="17"/>
      <c r="AH3138" s="18"/>
      <c r="AI3138" s="47" t="s">
        <v>4336</v>
      </c>
      <c r="AJ3138" s="73" t="s">
        <v>4337</v>
      </c>
      <c r="AK3138" s="45"/>
      <c r="AL3138" s="17"/>
      <c r="AM3138" s="121" t="s">
        <v>5460</v>
      </c>
      <c r="AN3138" s="19"/>
      <c r="AO3138" s="19"/>
      <c r="AP3138" s="19"/>
      <c r="AQ3138" s="19"/>
      <c r="AR3138" s="19"/>
      <c r="AS3138" s="19"/>
      <c r="AT3138" s="19"/>
      <c r="AU3138" s="19"/>
      <c r="AV3138" s="19"/>
      <c r="AW3138" s="19"/>
      <c r="AX3138" s="19"/>
      <c r="AY3138" s="19"/>
      <c r="AZ3138" s="19"/>
      <c r="BA3138" s="19"/>
      <c r="BB3138" s="19"/>
      <c r="BC3138" s="19"/>
      <c r="BD3138" s="19"/>
      <c r="BE3138" s="19"/>
      <c r="BF3138" s="19"/>
      <c r="BG3138" s="19"/>
      <c r="BH3138" s="19"/>
      <c r="BI3138" s="19"/>
      <c r="BJ3138" s="19"/>
      <c r="BK3138" s="19"/>
      <c r="BL3138" s="19"/>
      <c r="BM3138" s="19"/>
      <c r="BN3138" s="19"/>
      <c r="BO3138" s="19"/>
      <c r="BP3138" s="19"/>
      <c r="BQ3138" s="19"/>
      <c r="BR3138" s="19"/>
      <c r="BS3138" s="19"/>
      <c r="BT3138" s="19"/>
      <c r="BU3138" s="19"/>
      <c r="BV3138" s="19"/>
      <c r="BW3138" s="19"/>
      <c r="BX3138" s="19"/>
      <c r="BY3138" s="19"/>
      <c r="BZ3138" s="19"/>
      <c r="CA3138" s="19"/>
      <c r="CB3138" s="19"/>
      <c r="CC3138" s="19"/>
      <c r="CD3138" s="139"/>
      <c r="CE3138" s="138"/>
      <c r="CF3138" s="139"/>
      <c r="CG3138" s="138"/>
      <c r="CH3138" s="139"/>
      <c r="CI3138" s="138"/>
      <c r="CJ3138" s="72"/>
      <c r="CK3138" s="139"/>
      <c r="CL3138" s="71"/>
      <c r="CM3138" s="139"/>
      <c r="CN3138" s="138"/>
      <c r="CO3138" s="138"/>
      <c r="CP3138" s="138"/>
      <c r="CQ3138" s="139"/>
      <c r="CR3138" s="138"/>
      <c r="CS3138" s="45"/>
      <c r="CT3138" s="138"/>
      <c r="CU3138" s="45"/>
      <c r="CV3138" s="99">
        <f t="shared" ref="CV3138:CV3201" si="309">AO3138+AQ3138+AS3138+AU3138+AW3138+AY3138+BA3138+BC3138+BE3138+BG3138+BI3138+BK3138+BM3138+BO3138+BQ3138+BS3138+BU3138+BW3138+BY3138+CA3138+CC3138+CE3138+CG3138+CI3138+CK3138+CM3138+CO3138+CQ3138+CS3138+CU3138</f>
        <v>0</v>
      </c>
      <c r="CW3138" s="139"/>
      <c r="CX3138" s="138"/>
      <c r="CY3138" s="138"/>
      <c r="CZ3138" s="138"/>
      <c r="DA3138" s="139"/>
      <c r="DB3138" s="138"/>
      <c r="DC3138" s="45"/>
      <c r="DD3138" s="138"/>
      <c r="DE3138" s="45"/>
      <c r="DF3138" s="46"/>
    </row>
    <row r="3139" spans="1:110" s="42" customFormat="1" ht="180" x14ac:dyDescent="0.2">
      <c r="A3139" s="253">
        <v>40896</v>
      </c>
      <c r="B3139" s="151" t="s">
        <v>4350</v>
      </c>
      <c r="C3139" s="90" t="s">
        <v>858</v>
      </c>
      <c r="D3139" s="90" t="s">
        <v>2362</v>
      </c>
      <c r="E3139" s="90" t="str">
        <f>VLOOKUP(B3139&amp;C3139,Divipola!$C$2:$F$1138,4,FALSE)</f>
        <v>63302</v>
      </c>
      <c r="F3139" s="4"/>
      <c r="G3139" s="101"/>
      <c r="H3139" s="101"/>
      <c r="I3139" s="101"/>
      <c r="J3139" s="101"/>
      <c r="K3139" s="101"/>
      <c r="L3139" s="101"/>
      <c r="M3139" s="101"/>
      <c r="N3139" s="101">
        <v>1</v>
      </c>
      <c r="O3139" s="101"/>
      <c r="P3139" s="101"/>
      <c r="Q3139" s="101"/>
      <c r="R3139" s="101"/>
      <c r="S3139" s="101"/>
      <c r="T3139" s="101"/>
      <c r="U3139" s="101"/>
      <c r="V3139" s="101"/>
      <c r="W3139" s="19"/>
      <c r="X3139" s="17"/>
      <c r="Y3139" s="5">
        <f t="shared" si="304"/>
        <v>0</v>
      </c>
      <c r="Z3139" s="5">
        <f t="shared" si="305"/>
        <v>0</v>
      </c>
      <c r="AA3139" s="5">
        <f t="shared" si="306"/>
        <v>0</v>
      </c>
      <c r="AB3139" s="5">
        <f t="shared" si="307"/>
        <v>0</v>
      </c>
      <c r="AC3139" s="5"/>
      <c r="AD3139" s="5">
        <v>0</v>
      </c>
      <c r="AE3139" s="5">
        <f t="shared" si="308"/>
        <v>0</v>
      </c>
      <c r="AF3139" s="70">
        <v>0</v>
      </c>
      <c r="AG3139" s="17"/>
      <c r="AH3139" s="18"/>
      <c r="AI3139" s="47" t="s">
        <v>4336</v>
      </c>
      <c r="AJ3139" s="73" t="s">
        <v>4337</v>
      </c>
      <c r="AK3139" s="45"/>
      <c r="AL3139" s="17"/>
      <c r="AM3139" s="121" t="s">
        <v>5461</v>
      </c>
      <c r="AN3139" s="19"/>
      <c r="AO3139" s="19"/>
      <c r="AP3139" s="19"/>
      <c r="AQ3139" s="19"/>
      <c r="AR3139" s="19"/>
      <c r="AS3139" s="19"/>
      <c r="AT3139" s="19"/>
      <c r="AU3139" s="19"/>
      <c r="AV3139" s="19"/>
      <c r="AW3139" s="19"/>
      <c r="AX3139" s="19"/>
      <c r="AY3139" s="19"/>
      <c r="AZ3139" s="19"/>
      <c r="BA3139" s="19"/>
      <c r="BB3139" s="19"/>
      <c r="BC3139" s="19"/>
      <c r="BD3139" s="19"/>
      <c r="BE3139" s="19"/>
      <c r="BF3139" s="19"/>
      <c r="BG3139" s="19"/>
      <c r="BH3139" s="19"/>
      <c r="BI3139" s="19"/>
      <c r="BJ3139" s="19"/>
      <c r="BK3139" s="19"/>
      <c r="BL3139" s="19"/>
      <c r="BM3139" s="19"/>
      <c r="BN3139" s="19"/>
      <c r="BO3139" s="19"/>
      <c r="BP3139" s="19"/>
      <c r="BQ3139" s="19"/>
      <c r="BR3139" s="19"/>
      <c r="BS3139" s="19"/>
      <c r="BT3139" s="19"/>
      <c r="BU3139" s="19"/>
      <c r="BV3139" s="19"/>
      <c r="BW3139" s="19"/>
      <c r="BX3139" s="19"/>
      <c r="BY3139" s="19"/>
      <c r="BZ3139" s="19"/>
      <c r="CA3139" s="19"/>
      <c r="CB3139" s="19"/>
      <c r="CC3139" s="19"/>
      <c r="CD3139" s="139"/>
      <c r="CE3139" s="138"/>
      <c r="CF3139" s="139"/>
      <c r="CG3139" s="138"/>
      <c r="CH3139" s="139"/>
      <c r="CI3139" s="138"/>
      <c r="CJ3139" s="72"/>
      <c r="CK3139" s="139"/>
      <c r="CL3139" s="71"/>
      <c r="CM3139" s="139"/>
      <c r="CN3139" s="138"/>
      <c r="CO3139" s="138"/>
      <c r="CP3139" s="138"/>
      <c r="CQ3139" s="139"/>
      <c r="CR3139" s="138"/>
      <c r="CS3139" s="45"/>
      <c r="CT3139" s="138"/>
      <c r="CU3139" s="45"/>
      <c r="CV3139" s="99">
        <f t="shared" si="309"/>
        <v>0</v>
      </c>
      <c r="CW3139" s="139"/>
      <c r="CX3139" s="138"/>
      <c r="CY3139" s="138"/>
      <c r="CZ3139" s="138"/>
      <c r="DA3139" s="139"/>
      <c r="DB3139" s="138"/>
      <c r="DC3139" s="45"/>
      <c r="DD3139" s="138"/>
      <c r="DE3139" s="45"/>
      <c r="DF3139" s="46"/>
    </row>
    <row r="3140" spans="1:110" s="42" customFormat="1" ht="264" x14ac:dyDescent="0.2">
      <c r="A3140" s="253">
        <v>40896</v>
      </c>
      <c r="B3140" s="151" t="s">
        <v>4350</v>
      </c>
      <c r="C3140" s="90" t="s">
        <v>3535</v>
      </c>
      <c r="D3140" s="90" t="s">
        <v>2362</v>
      </c>
      <c r="E3140" s="90" t="str">
        <f>VLOOKUP(B3140&amp;C3140,Divipola!$C$2:$F$1138,4,FALSE)</f>
        <v>63130</v>
      </c>
      <c r="F3140" s="4"/>
      <c r="G3140" s="101"/>
      <c r="H3140" s="101"/>
      <c r="I3140" s="101"/>
      <c r="J3140" s="101"/>
      <c r="K3140" s="101"/>
      <c r="L3140" s="101"/>
      <c r="M3140" s="101"/>
      <c r="N3140" s="101">
        <v>2</v>
      </c>
      <c r="O3140" s="101"/>
      <c r="P3140" s="101"/>
      <c r="Q3140" s="101"/>
      <c r="R3140" s="101"/>
      <c r="S3140" s="101"/>
      <c r="T3140" s="101"/>
      <c r="U3140" s="101"/>
      <c r="V3140" s="101"/>
      <c r="W3140" s="19"/>
      <c r="X3140" s="17"/>
      <c r="Y3140" s="5">
        <f t="shared" si="304"/>
        <v>0</v>
      </c>
      <c r="Z3140" s="5">
        <f t="shared" si="305"/>
        <v>0</v>
      </c>
      <c r="AA3140" s="5">
        <f t="shared" si="306"/>
        <v>0</v>
      </c>
      <c r="AB3140" s="5">
        <f t="shared" si="307"/>
        <v>0</v>
      </c>
      <c r="AC3140" s="5"/>
      <c r="AD3140" s="5">
        <v>0</v>
      </c>
      <c r="AE3140" s="5">
        <f t="shared" si="308"/>
        <v>0</v>
      </c>
      <c r="AF3140" s="70">
        <v>0</v>
      </c>
      <c r="AG3140" s="17"/>
      <c r="AH3140" s="18"/>
      <c r="AI3140" s="47" t="s">
        <v>4336</v>
      </c>
      <c r="AJ3140" s="73" t="s">
        <v>4337</v>
      </c>
      <c r="AK3140" s="45"/>
      <c r="AL3140" s="17"/>
      <c r="AM3140" s="121" t="s">
        <v>5462</v>
      </c>
      <c r="AN3140" s="19"/>
      <c r="AO3140" s="19"/>
      <c r="AP3140" s="19"/>
      <c r="AQ3140" s="19"/>
      <c r="AR3140" s="19"/>
      <c r="AS3140" s="19"/>
      <c r="AT3140" s="19"/>
      <c r="AU3140" s="19"/>
      <c r="AV3140" s="19"/>
      <c r="AW3140" s="19"/>
      <c r="AX3140" s="19"/>
      <c r="AY3140" s="19"/>
      <c r="AZ3140" s="19"/>
      <c r="BA3140" s="19"/>
      <c r="BB3140" s="19"/>
      <c r="BC3140" s="19"/>
      <c r="BD3140" s="19"/>
      <c r="BE3140" s="19"/>
      <c r="BF3140" s="19"/>
      <c r="BG3140" s="19"/>
      <c r="BH3140" s="19"/>
      <c r="BI3140" s="19"/>
      <c r="BJ3140" s="19"/>
      <c r="BK3140" s="19"/>
      <c r="BL3140" s="19"/>
      <c r="BM3140" s="19"/>
      <c r="BN3140" s="19"/>
      <c r="BO3140" s="19"/>
      <c r="BP3140" s="19"/>
      <c r="BQ3140" s="19"/>
      <c r="BR3140" s="19"/>
      <c r="BS3140" s="19"/>
      <c r="BT3140" s="19"/>
      <c r="BU3140" s="19"/>
      <c r="BV3140" s="19"/>
      <c r="BW3140" s="19"/>
      <c r="BX3140" s="19"/>
      <c r="BY3140" s="19"/>
      <c r="BZ3140" s="19"/>
      <c r="CA3140" s="19"/>
      <c r="CB3140" s="19"/>
      <c r="CC3140" s="19"/>
      <c r="CD3140" s="139"/>
      <c r="CE3140" s="138"/>
      <c r="CF3140" s="139"/>
      <c r="CG3140" s="138"/>
      <c r="CH3140" s="139"/>
      <c r="CI3140" s="138"/>
      <c r="CJ3140" s="72"/>
      <c r="CK3140" s="139"/>
      <c r="CL3140" s="71"/>
      <c r="CM3140" s="139"/>
      <c r="CN3140" s="138"/>
      <c r="CO3140" s="138"/>
      <c r="CP3140" s="138"/>
      <c r="CQ3140" s="139"/>
      <c r="CR3140" s="138"/>
      <c r="CS3140" s="45"/>
      <c r="CT3140" s="138"/>
      <c r="CU3140" s="45"/>
      <c r="CV3140" s="99">
        <f t="shared" si="309"/>
        <v>0</v>
      </c>
      <c r="CW3140" s="139"/>
      <c r="CX3140" s="138"/>
      <c r="CY3140" s="138"/>
      <c r="CZ3140" s="138"/>
      <c r="DA3140" s="139"/>
      <c r="DB3140" s="138"/>
      <c r="DC3140" s="45"/>
      <c r="DD3140" s="138"/>
      <c r="DE3140" s="45"/>
      <c r="DF3140" s="46"/>
    </row>
    <row r="3141" spans="1:110" s="42" customFormat="1" ht="216" x14ac:dyDescent="0.2">
      <c r="A3141" s="253">
        <v>40896</v>
      </c>
      <c r="B3141" s="151" t="s">
        <v>4350</v>
      </c>
      <c r="C3141" s="90" t="s">
        <v>3507</v>
      </c>
      <c r="D3141" s="90" t="s">
        <v>2362</v>
      </c>
      <c r="E3141" s="90" t="str">
        <f>VLOOKUP(B3141&amp;C3141,Divipola!$C$2:$F$1138,4,FALSE)</f>
        <v>63470</v>
      </c>
      <c r="F3141" s="4"/>
      <c r="G3141" s="101"/>
      <c r="H3141" s="101"/>
      <c r="I3141" s="101"/>
      <c r="J3141" s="101"/>
      <c r="K3141" s="101"/>
      <c r="L3141" s="101"/>
      <c r="M3141" s="101"/>
      <c r="N3141" s="101">
        <v>1</v>
      </c>
      <c r="O3141" s="101"/>
      <c r="P3141" s="101"/>
      <c r="Q3141" s="101"/>
      <c r="R3141" s="101"/>
      <c r="S3141" s="101"/>
      <c r="T3141" s="101"/>
      <c r="U3141" s="101"/>
      <c r="V3141" s="101"/>
      <c r="W3141" s="19"/>
      <c r="X3141" s="17"/>
      <c r="Y3141" s="5">
        <f t="shared" si="304"/>
        <v>0</v>
      </c>
      <c r="Z3141" s="5">
        <f t="shared" si="305"/>
        <v>0</v>
      </c>
      <c r="AA3141" s="5">
        <f t="shared" si="306"/>
        <v>0</v>
      </c>
      <c r="AB3141" s="5">
        <f t="shared" si="307"/>
        <v>0</v>
      </c>
      <c r="AC3141" s="5"/>
      <c r="AD3141" s="5">
        <v>0</v>
      </c>
      <c r="AE3141" s="5">
        <f t="shared" si="308"/>
        <v>0</v>
      </c>
      <c r="AF3141" s="70">
        <v>0</v>
      </c>
      <c r="AG3141" s="17"/>
      <c r="AH3141" s="18"/>
      <c r="AI3141" s="47" t="s">
        <v>4336</v>
      </c>
      <c r="AJ3141" s="73" t="s">
        <v>4337</v>
      </c>
      <c r="AK3141" s="45"/>
      <c r="AL3141" s="17"/>
      <c r="AM3141" s="121" t="s">
        <v>5463</v>
      </c>
      <c r="AN3141" s="19"/>
      <c r="AO3141" s="19"/>
      <c r="AP3141" s="19"/>
      <c r="AQ3141" s="19"/>
      <c r="AR3141" s="19"/>
      <c r="AS3141" s="19"/>
      <c r="AT3141" s="19"/>
      <c r="AU3141" s="19"/>
      <c r="AV3141" s="19"/>
      <c r="AW3141" s="19"/>
      <c r="AX3141" s="19"/>
      <c r="AY3141" s="19"/>
      <c r="AZ3141" s="19"/>
      <c r="BA3141" s="19"/>
      <c r="BB3141" s="19"/>
      <c r="BC3141" s="19"/>
      <c r="BD3141" s="19"/>
      <c r="BE3141" s="19"/>
      <c r="BF3141" s="19"/>
      <c r="BG3141" s="19"/>
      <c r="BH3141" s="19"/>
      <c r="BI3141" s="19"/>
      <c r="BJ3141" s="19"/>
      <c r="BK3141" s="19"/>
      <c r="BL3141" s="19"/>
      <c r="BM3141" s="19"/>
      <c r="BN3141" s="19"/>
      <c r="BO3141" s="19"/>
      <c r="BP3141" s="19"/>
      <c r="BQ3141" s="19"/>
      <c r="BR3141" s="19"/>
      <c r="BS3141" s="19"/>
      <c r="BT3141" s="19"/>
      <c r="BU3141" s="19"/>
      <c r="BV3141" s="19"/>
      <c r="BW3141" s="19"/>
      <c r="BX3141" s="19"/>
      <c r="BY3141" s="19"/>
      <c r="BZ3141" s="19"/>
      <c r="CA3141" s="19"/>
      <c r="CB3141" s="19"/>
      <c r="CC3141" s="19"/>
      <c r="CD3141" s="139"/>
      <c r="CE3141" s="138"/>
      <c r="CF3141" s="139"/>
      <c r="CG3141" s="138"/>
      <c r="CH3141" s="139"/>
      <c r="CI3141" s="138"/>
      <c r="CJ3141" s="72"/>
      <c r="CK3141" s="139"/>
      <c r="CL3141" s="71"/>
      <c r="CM3141" s="139"/>
      <c r="CN3141" s="138"/>
      <c r="CO3141" s="138"/>
      <c r="CP3141" s="138"/>
      <c r="CQ3141" s="139"/>
      <c r="CR3141" s="138"/>
      <c r="CS3141" s="45"/>
      <c r="CT3141" s="138"/>
      <c r="CU3141" s="45"/>
      <c r="CV3141" s="99">
        <f t="shared" si="309"/>
        <v>0</v>
      </c>
      <c r="CW3141" s="139"/>
      <c r="CX3141" s="138"/>
      <c r="CY3141" s="138"/>
      <c r="CZ3141" s="138"/>
      <c r="DA3141" s="139"/>
      <c r="DB3141" s="138"/>
      <c r="DC3141" s="45"/>
      <c r="DD3141" s="138"/>
      <c r="DE3141" s="45"/>
      <c r="DF3141" s="46"/>
    </row>
    <row r="3142" spans="1:110" s="42" customFormat="1" ht="264" x14ac:dyDescent="0.2">
      <c r="A3142" s="253">
        <v>40896</v>
      </c>
      <c r="B3142" s="151" t="s">
        <v>4350</v>
      </c>
      <c r="C3142" s="90" t="s">
        <v>4282</v>
      </c>
      <c r="D3142" s="90" t="s">
        <v>2362</v>
      </c>
      <c r="E3142" s="90" t="str">
        <f>VLOOKUP(B3142&amp;C3142,Divipola!$C$2:$F$1138,4,FALSE)</f>
        <v>63212</v>
      </c>
      <c r="F3142" s="4"/>
      <c r="G3142" s="101"/>
      <c r="H3142" s="101"/>
      <c r="I3142" s="101"/>
      <c r="J3142" s="101"/>
      <c r="K3142" s="101"/>
      <c r="L3142" s="101"/>
      <c r="M3142" s="101"/>
      <c r="N3142" s="101">
        <v>1</v>
      </c>
      <c r="O3142" s="101"/>
      <c r="P3142" s="101"/>
      <c r="Q3142" s="101"/>
      <c r="R3142" s="101"/>
      <c r="S3142" s="101"/>
      <c r="T3142" s="101"/>
      <c r="U3142" s="101"/>
      <c r="V3142" s="101"/>
      <c r="W3142" s="19"/>
      <c r="X3142" s="17"/>
      <c r="Y3142" s="5">
        <f t="shared" si="304"/>
        <v>0</v>
      </c>
      <c r="Z3142" s="5">
        <f t="shared" si="305"/>
        <v>0</v>
      </c>
      <c r="AA3142" s="5">
        <f t="shared" si="306"/>
        <v>0</v>
      </c>
      <c r="AB3142" s="5">
        <f t="shared" si="307"/>
        <v>0</v>
      </c>
      <c r="AC3142" s="5"/>
      <c r="AD3142" s="5">
        <v>0</v>
      </c>
      <c r="AE3142" s="5">
        <f t="shared" si="308"/>
        <v>0</v>
      </c>
      <c r="AF3142" s="70">
        <v>0</v>
      </c>
      <c r="AG3142" s="17"/>
      <c r="AH3142" s="18"/>
      <c r="AI3142" s="47" t="s">
        <v>4336</v>
      </c>
      <c r="AJ3142" s="73" t="s">
        <v>4337</v>
      </c>
      <c r="AK3142" s="45"/>
      <c r="AL3142" s="17"/>
      <c r="AM3142" s="121" t="s">
        <v>5464</v>
      </c>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39"/>
      <c r="CE3142" s="138"/>
      <c r="CF3142" s="139"/>
      <c r="CG3142" s="138"/>
      <c r="CH3142" s="139"/>
      <c r="CI3142" s="138"/>
      <c r="CJ3142" s="72"/>
      <c r="CK3142" s="139"/>
      <c r="CL3142" s="71"/>
      <c r="CM3142" s="139"/>
      <c r="CN3142" s="138"/>
      <c r="CO3142" s="138"/>
      <c r="CP3142" s="138"/>
      <c r="CQ3142" s="139"/>
      <c r="CR3142" s="138"/>
      <c r="CS3142" s="45"/>
      <c r="CT3142" s="138"/>
      <c r="CU3142" s="45"/>
      <c r="CV3142" s="99">
        <f t="shared" si="309"/>
        <v>0</v>
      </c>
      <c r="CW3142" s="139"/>
      <c r="CX3142" s="138"/>
      <c r="CY3142" s="138"/>
      <c r="CZ3142" s="138"/>
      <c r="DA3142" s="139"/>
      <c r="DB3142" s="138"/>
      <c r="DC3142" s="45"/>
      <c r="DD3142" s="138"/>
      <c r="DE3142" s="45"/>
      <c r="DF3142" s="46"/>
    </row>
    <row r="3143" spans="1:110" s="42" customFormat="1" ht="264" x14ac:dyDescent="0.2">
      <c r="A3143" s="89">
        <v>40896</v>
      </c>
      <c r="B3143" s="151" t="s">
        <v>4350</v>
      </c>
      <c r="C3143" s="90" t="s">
        <v>2203</v>
      </c>
      <c r="D3143" s="90" t="s">
        <v>2362</v>
      </c>
      <c r="E3143" s="90" t="str">
        <f>VLOOKUP(B3143&amp;C3143,Divipola!$C$2:$F$1138,4,FALSE)</f>
        <v>63111</v>
      </c>
      <c r="F3143" s="4"/>
      <c r="G3143" s="101"/>
      <c r="H3143" s="101"/>
      <c r="I3143" s="101"/>
      <c r="J3143" s="101"/>
      <c r="K3143" s="101"/>
      <c r="L3143" s="101"/>
      <c r="M3143" s="101"/>
      <c r="N3143" s="101">
        <v>3</v>
      </c>
      <c r="O3143" s="101"/>
      <c r="P3143" s="101"/>
      <c r="Q3143" s="101"/>
      <c r="R3143" s="101"/>
      <c r="S3143" s="101"/>
      <c r="T3143" s="101"/>
      <c r="U3143" s="101"/>
      <c r="V3143" s="101"/>
      <c r="W3143" s="19"/>
      <c r="X3143" s="17"/>
      <c r="Y3143" s="5">
        <f t="shared" si="304"/>
        <v>0</v>
      </c>
      <c r="Z3143" s="5">
        <f t="shared" si="305"/>
        <v>0</v>
      </c>
      <c r="AA3143" s="5">
        <f t="shared" si="306"/>
        <v>0</v>
      </c>
      <c r="AB3143" s="5">
        <f t="shared" si="307"/>
        <v>0</v>
      </c>
      <c r="AC3143" s="5"/>
      <c r="AD3143" s="5">
        <v>0</v>
      </c>
      <c r="AE3143" s="5">
        <f t="shared" si="308"/>
        <v>0</v>
      </c>
      <c r="AF3143" s="70">
        <v>0</v>
      </c>
      <c r="AG3143" s="17"/>
      <c r="AH3143" s="18"/>
      <c r="AI3143" s="47" t="s">
        <v>4336</v>
      </c>
      <c r="AJ3143" s="73" t="s">
        <v>4337</v>
      </c>
      <c r="AK3143" s="45"/>
      <c r="AL3143" s="17"/>
      <c r="AM3143" s="121" t="s">
        <v>5465</v>
      </c>
      <c r="AN3143" s="19"/>
      <c r="AO3143" s="19"/>
      <c r="AP3143" s="19"/>
      <c r="AQ3143" s="19"/>
      <c r="AR3143" s="19"/>
      <c r="AS3143" s="19"/>
      <c r="AT3143" s="19"/>
      <c r="AU3143" s="19"/>
      <c r="AV3143" s="19"/>
      <c r="AW3143" s="19"/>
      <c r="AX3143" s="19"/>
      <c r="AY3143" s="19"/>
      <c r="AZ3143" s="19"/>
      <c r="BA3143" s="19"/>
      <c r="BB3143" s="19"/>
      <c r="BC3143" s="19"/>
      <c r="BD3143" s="19"/>
      <c r="BE3143" s="19"/>
      <c r="BF3143" s="19"/>
      <c r="BG3143" s="19"/>
      <c r="BH3143" s="19"/>
      <c r="BI3143" s="19"/>
      <c r="BJ3143" s="19"/>
      <c r="BK3143" s="19"/>
      <c r="BL3143" s="19"/>
      <c r="BM3143" s="19"/>
      <c r="BN3143" s="19"/>
      <c r="BO3143" s="19"/>
      <c r="BP3143" s="19"/>
      <c r="BQ3143" s="19"/>
      <c r="BR3143" s="19"/>
      <c r="BS3143" s="19"/>
      <c r="BT3143" s="19"/>
      <c r="BU3143" s="19"/>
      <c r="BV3143" s="19"/>
      <c r="BW3143" s="19"/>
      <c r="BX3143" s="19"/>
      <c r="BY3143" s="19"/>
      <c r="BZ3143" s="19"/>
      <c r="CA3143" s="19"/>
      <c r="CB3143" s="19"/>
      <c r="CC3143" s="19"/>
      <c r="CD3143" s="139"/>
      <c r="CE3143" s="138"/>
      <c r="CF3143" s="139"/>
      <c r="CG3143" s="138"/>
      <c r="CH3143" s="139"/>
      <c r="CI3143" s="138"/>
      <c r="CJ3143" s="72"/>
      <c r="CK3143" s="139"/>
      <c r="CL3143" s="71"/>
      <c r="CM3143" s="139"/>
      <c r="CN3143" s="138"/>
      <c r="CO3143" s="138"/>
      <c r="CP3143" s="138"/>
      <c r="CQ3143" s="139"/>
      <c r="CR3143" s="138"/>
      <c r="CS3143" s="45"/>
      <c r="CT3143" s="138"/>
      <c r="CU3143" s="45"/>
      <c r="CV3143" s="99">
        <f t="shared" si="309"/>
        <v>0</v>
      </c>
      <c r="CW3143" s="139"/>
      <c r="CX3143" s="138"/>
      <c r="CY3143" s="138"/>
      <c r="CZ3143" s="138"/>
      <c r="DA3143" s="139"/>
      <c r="DB3143" s="138"/>
      <c r="DC3143" s="45"/>
      <c r="DD3143" s="138"/>
      <c r="DE3143" s="45"/>
      <c r="DF3143" s="46"/>
    </row>
    <row r="3144" spans="1:110" s="42" customFormat="1" ht="156" x14ac:dyDescent="0.2">
      <c r="A3144" s="89">
        <v>40896</v>
      </c>
      <c r="B3144" s="151" t="s">
        <v>4350</v>
      </c>
      <c r="C3144" s="90" t="s">
        <v>3361</v>
      </c>
      <c r="D3144" s="90" t="s">
        <v>2362</v>
      </c>
      <c r="E3144" s="90" t="str">
        <f>VLOOKUP(B3144&amp;C3144,Divipola!$C$2:$F$1138,4,FALSE)</f>
        <v>63548</v>
      </c>
      <c r="F3144" s="4"/>
      <c r="G3144" s="101"/>
      <c r="H3144" s="101"/>
      <c r="I3144" s="101"/>
      <c r="J3144" s="101">
        <v>5</v>
      </c>
      <c r="K3144" s="101">
        <v>1</v>
      </c>
      <c r="L3144" s="101">
        <v>1</v>
      </c>
      <c r="M3144" s="101"/>
      <c r="N3144" s="101">
        <v>3</v>
      </c>
      <c r="O3144" s="101"/>
      <c r="P3144" s="101"/>
      <c r="Q3144" s="101"/>
      <c r="R3144" s="101"/>
      <c r="S3144" s="101"/>
      <c r="T3144" s="101"/>
      <c r="U3144" s="101"/>
      <c r="V3144" s="101"/>
      <c r="W3144" s="19"/>
      <c r="X3144" s="17"/>
      <c r="Y3144" s="5">
        <f t="shared" si="304"/>
        <v>0</v>
      </c>
      <c r="Z3144" s="5">
        <f t="shared" si="305"/>
        <v>0</v>
      </c>
      <c r="AA3144" s="5">
        <f t="shared" si="306"/>
        <v>0</v>
      </c>
      <c r="AB3144" s="5">
        <f t="shared" si="307"/>
        <v>0</v>
      </c>
      <c r="AC3144" s="5"/>
      <c r="AD3144" s="5">
        <v>0</v>
      </c>
      <c r="AE3144" s="5">
        <f t="shared" si="308"/>
        <v>0</v>
      </c>
      <c r="AF3144" s="70">
        <v>0</v>
      </c>
      <c r="AG3144" s="17"/>
      <c r="AH3144" s="18"/>
      <c r="AI3144" s="47" t="s">
        <v>4336</v>
      </c>
      <c r="AJ3144" s="73" t="s">
        <v>4337</v>
      </c>
      <c r="AK3144" s="45"/>
      <c r="AL3144" s="17"/>
      <c r="AM3144" s="121" t="s">
        <v>5466</v>
      </c>
      <c r="AN3144" s="19"/>
      <c r="AO3144" s="19"/>
      <c r="AP3144" s="19"/>
      <c r="AQ3144" s="19"/>
      <c r="AR3144" s="19"/>
      <c r="AS3144" s="19"/>
      <c r="AT3144" s="19"/>
      <c r="AU3144" s="19"/>
      <c r="AV3144" s="19"/>
      <c r="AW3144" s="19"/>
      <c r="AX3144" s="19"/>
      <c r="AY3144" s="19"/>
      <c r="AZ3144" s="19"/>
      <c r="BA3144" s="19"/>
      <c r="BB3144" s="19"/>
      <c r="BC3144" s="19"/>
      <c r="BD3144" s="19"/>
      <c r="BE3144" s="19"/>
      <c r="BF3144" s="19"/>
      <c r="BG3144" s="19"/>
      <c r="BH3144" s="19"/>
      <c r="BI3144" s="19"/>
      <c r="BJ3144" s="19"/>
      <c r="BK3144" s="19"/>
      <c r="BL3144" s="19"/>
      <c r="BM3144" s="19"/>
      <c r="BN3144" s="19"/>
      <c r="BO3144" s="19"/>
      <c r="BP3144" s="19"/>
      <c r="BQ3144" s="19"/>
      <c r="BR3144" s="19"/>
      <c r="BS3144" s="19"/>
      <c r="BT3144" s="19"/>
      <c r="BU3144" s="19"/>
      <c r="BV3144" s="19"/>
      <c r="BW3144" s="19"/>
      <c r="BX3144" s="19"/>
      <c r="BY3144" s="19"/>
      <c r="BZ3144" s="19"/>
      <c r="CA3144" s="19"/>
      <c r="CB3144" s="19"/>
      <c r="CC3144" s="19"/>
      <c r="CD3144" s="139"/>
      <c r="CE3144" s="138"/>
      <c r="CF3144" s="139"/>
      <c r="CG3144" s="138"/>
      <c r="CH3144" s="139"/>
      <c r="CI3144" s="138"/>
      <c r="CJ3144" s="72"/>
      <c r="CK3144" s="139"/>
      <c r="CL3144" s="71"/>
      <c r="CM3144" s="139"/>
      <c r="CN3144" s="138"/>
      <c r="CO3144" s="138"/>
      <c r="CP3144" s="138"/>
      <c r="CQ3144" s="139"/>
      <c r="CR3144" s="138"/>
      <c r="CS3144" s="45"/>
      <c r="CT3144" s="138"/>
      <c r="CU3144" s="45"/>
      <c r="CV3144" s="99">
        <f t="shared" si="309"/>
        <v>0</v>
      </c>
      <c r="CW3144" s="139"/>
      <c r="CX3144" s="138"/>
      <c r="CY3144" s="138"/>
      <c r="CZ3144" s="138"/>
      <c r="DA3144" s="139"/>
      <c r="DB3144" s="138"/>
      <c r="DC3144" s="45"/>
      <c r="DD3144" s="138"/>
      <c r="DE3144" s="45"/>
      <c r="DF3144" s="46"/>
    </row>
    <row r="3145" spans="1:110" s="42" customFormat="1" ht="144" x14ac:dyDescent="0.2">
      <c r="A3145" s="89">
        <v>40896</v>
      </c>
      <c r="B3145" s="151" t="s">
        <v>4296</v>
      </c>
      <c r="C3145" s="90" t="s">
        <v>1503</v>
      </c>
      <c r="D3145" s="90" t="s">
        <v>2362</v>
      </c>
      <c r="E3145" s="90" t="str">
        <f>VLOOKUP(B3145&amp;C3145,Divipola!$C$2:$F$1138,4,FALSE)</f>
        <v>19585</v>
      </c>
      <c r="F3145" s="4"/>
      <c r="G3145" s="101">
        <v>2</v>
      </c>
      <c r="H3145" s="101">
        <v>1</v>
      </c>
      <c r="I3145" s="101"/>
      <c r="J3145" s="101"/>
      <c r="K3145" s="101"/>
      <c r="L3145" s="101"/>
      <c r="M3145" s="101"/>
      <c r="N3145" s="101"/>
      <c r="O3145" s="101"/>
      <c r="P3145" s="101"/>
      <c r="Q3145" s="101"/>
      <c r="R3145" s="101"/>
      <c r="S3145" s="101"/>
      <c r="T3145" s="101"/>
      <c r="U3145" s="101"/>
      <c r="V3145" s="101"/>
      <c r="W3145" s="19"/>
      <c r="X3145" s="17"/>
      <c r="Y3145" s="5">
        <f t="shared" si="304"/>
        <v>0</v>
      </c>
      <c r="Z3145" s="5">
        <f t="shared" si="305"/>
        <v>0</v>
      </c>
      <c r="AA3145" s="5">
        <f t="shared" si="306"/>
        <v>0</v>
      </c>
      <c r="AB3145" s="5">
        <f t="shared" si="307"/>
        <v>0</v>
      </c>
      <c r="AC3145" s="5"/>
      <c r="AD3145" s="5">
        <v>0</v>
      </c>
      <c r="AE3145" s="5">
        <f t="shared" si="308"/>
        <v>0</v>
      </c>
      <c r="AF3145" s="70">
        <v>0</v>
      </c>
      <c r="AG3145" s="17"/>
      <c r="AH3145" s="18"/>
      <c r="AI3145" s="47" t="s">
        <v>4336</v>
      </c>
      <c r="AJ3145" s="73" t="s">
        <v>4337</v>
      </c>
      <c r="AK3145" s="45"/>
      <c r="AL3145" s="17"/>
      <c r="AM3145" s="121" t="s">
        <v>5467</v>
      </c>
      <c r="AN3145" s="19"/>
      <c r="AO3145" s="19"/>
      <c r="AP3145" s="19"/>
      <c r="AQ3145" s="19"/>
      <c r="AR3145" s="19"/>
      <c r="AS3145" s="19"/>
      <c r="AT3145" s="19"/>
      <c r="AU3145" s="19"/>
      <c r="AV3145" s="19"/>
      <c r="AW3145" s="19"/>
      <c r="AX3145" s="19"/>
      <c r="AY3145" s="19"/>
      <c r="AZ3145" s="19"/>
      <c r="BA3145" s="19"/>
      <c r="BB3145" s="19"/>
      <c r="BC3145" s="19"/>
      <c r="BD3145" s="19"/>
      <c r="BE3145" s="19"/>
      <c r="BF3145" s="19"/>
      <c r="BG3145" s="19"/>
      <c r="BH3145" s="19"/>
      <c r="BI3145" s="19"/>
      <c r="BJ3145" s="19"/>
      <c r="BK3145" s="19"/>
      <c r="BL3145" s="19"/>
      <c r="BM3145" s="19"/>
      <c r="BN3145" s="19"/>
      <c r="BO3145" s="19"/>
      <c r="BP3145" s="19"/>
      <c r="BQ3145" s="19"/>
      <c r="BR3145" s="19"/>
      <c r="BS3145" s="19"/>
      <c r="BT3145" s="19"/>
      <c r="BU3145" s="19"/>
      <c r="BV3145" s="19"/>
      <c r="BW3145" s="19"/>
      <c r="BX3145" s="19"/>
      <c r="BY3145" s="19"/>
      <c r="BZ3145" s="19"/>
      <c r="CA3145" s="19"/>
      <c r="CB3145" s="19"/>
      <c r="CC3145" s="19"/>
      <c r="CD3145" s="139"/>
      <c r="CE3145" s="138"/>
      <c r="CF3145" s="139"/>
      <c r="CG3145" s="138"/>
      <c r="CH3145" s="139"/>
      <c r="CI3145" s="138"/>
      <c r="CJ3145" s="72"/>
      <c r="CK3145" s="139"/>
      <c r="CL3145" s="71"/>
      <c r="CM3145" s="139"/>
      <c r="CN3145" s="138"/>
      <c r="CO3145" s="138"/>
      <c r="CP3145" s="138"/>
      <c r="CQ3145" s="139"/>
      <c r="CR3145" s="138"/>
      <c r="CS3145" s="45"/>
      <c r="CT3145" s="138"/>
      <c r="CU3145" s="45"/>
      <c r="CV3145" s="99">
        <f t="shared" si="309"/>
        <v>0</v>
      </c>
      <c r="CW3145" s="139"/>
      <c r="CX3145" s="138"/>
      <c r="CY3145" s="138"/>
      <c r="CZ3145" s="138"/>
      <c r="DA3145" s="139"/>
      <c r="DB3145" s="138"/>
      <c r="DC3145" s="45"/>
      <c r="DD3145" s="138"/>
      <c r="DE3145" s="45"/>
      <c r="DF3145" s="46"/>
    </row>
    <row r="3146" spans="1:110" s="42" customFormat="1" ht="22.5" x14ac:dyDescent="0.2">
      <c r="A3146" s="89">
        <v>40896</v>
      </c>
      <c r="B3146" s="16" t="s">
        <v>4244</v>
      </c>
      <c r="C3146" s="16" t="s">
        <v>2282</v>
      </c>
      <c r="D3146" s="90" t="s">
        <v>4264</v>
      </c>
      <c r="E3146" s="90" t="str">
        <f>VLOOKUP(B3146&amp;C3146,Divipola!$C$2:$F$1138,4,FALSE)</f>
        <v>76111</v>
      </c>
      <c r="F3146" s="4"/>
      <c r="G3146" s="208"/>
      <c r="H3146" s="208"/>
      <c r="I3146" s="208"/>
      <c r="J3146" s="208"/>
      <c r="K3146" s="208"/>
      <c r="L3146" s="208"/>
      <c r="M3146" s="208"/>
      <c r="N3146" s="208"/>
      <c r="O3146" s="208"/>
      <c r="P3146" s="208"/>
      <c r="Q3146" s="208"/>
      <c r="R3146" s="208"/>
      <c r="S3146" s="208"/>
      <c r="T3146" s="208"/>
      <c r="U3146" s="208"/>
      <c r="V3146" s="208"/>
      <c r="W3146" s="19"/>
      <c r="X3146" s="17"/>
      <c r="Y3146" s="5">
        <f t="shared" si="304"/>
        <v>27299440</v>
      </c>
      <c r="Z3146" s="5">
        <f t="shared" si="305"/>
        <v>0</v>
      </c>
      <c r="AA3146" s="5">
        <f t="shared" si="306"/>
        <v>0</v>
      </c>
      <c r="AB3146" s="5">
        <f t="shared" si="307"/>
        <v>0</v>
      </c>
      <c r="AC3146" s="5"/>
      <c r="AD3146" s="5">
        <v>0</v>
      </c>
      <c r="AE3146" s="5">
        <f t="shared" si="308"/>
        <v>27299440</v>
      </c>
      <c r="AF3146" s="70">
        <v>0</v>
      </c>
      <c r="AG3146" s="17"/>
      <c r="AH3146" s="18"/>
      <c r="AI3146" s="47" t="s">
        <v>4346</v>
      </c>
      <c r="AJ3146" s="73" t="s">
        <v>4347</v>
      </c>
      <c r="AK3146" s="45"/>
      <c r="AL3146" s="17"/>
      <c r="AM3146" s="20"/>
      <c r="AN3146" s="19"/>
      <c r="AO3146" s="19"/>
      <c r="AP3146" s="19"/>
      <c r="AQ3146" s="19"/>
      <c r="AR3146" s="19"/>
      <c r="AS3146" s="19"/>
      <c r="AT3146" s="19"/>
      <c r="AU3146" s="19"/>
      <c r="AV3146" s="19"/>
      <c r="AW3146" s="19"/>
      <c r="AX3146" s="19"/>
      <c r="AY3146" s="19"/>
      <c r="AZ3146" s="19"/>
      <c r="BA3146" s="19"/>
      <c r="BB3146" s="19"/>
      <c r="BC3146" s="19"/>
      <c r="BD3146" s="19"/>
      <c r="BE3146" s="19"/>
      <c r="BF3146" s="19"/>
      <c r="BG3146" s="19"/>
      <c r="BH3146" s="19"/>
      <c r="BI3146" s="19"/>
      <c r="BJ3146" s="19"/>
      <c r="BK3146" s="19"/>
      <c r="BL3146" s="19"/>
      <c r="BM3146" s="19"/>
      <c r="BN3146" s="19"/>
      <c r="BO3146" s="19"/>
      <c r="BP3146" s="19"/>
      <c r="BQ3146" s="19"/>
      <c r="BR3146" s="19"/>
      <c r="BS3146" s="19"/>
      <c r="BT3146" s="19"/>
      <c r="BU3146" s="19"/>
      <c r="BV3146" s="19"/>
      <c r="BW3146" s="19"/>
      <c r="BX3146" s="19"/>
      <c r="BY3146" s="19"/>
      <c r="BZ3146" s="19"/>
      <c r="CA3146" s="19"/>
      <c r="CB3146" s="19"/>
      <c r="CC3146" s="19"/>
      <c r="CD3146" s="139"/>
      <c r="CE3146" s="138"/>
      <c r="CF3146" s="139"/>
      <c r="CG3146" s="138"/>
      <c r="CH3146" s="139"/>
      <c r="CI3146" s="138"/>
      <c r="CJ3146" s="72">
        <v>700</v>
      </c>
      <c r="CK3146" s="139">
        <f>700*20999.48</f>
        <v>14699636</v>
      </c>
      <c r="CL3146" s="71"/>
      <c r="CM3146" s="139"/>
      <c r="CN3146" s="138">
        <v>700</v>
      </c>
      <c r="CO3146" s="138">
        <f>700*17999.72</f>
        <v>12599804</v>
      </c>
      <c r="CP3146" s="138"/>
      <c r="CQ3146" s="139"/>
      <c r="CR3146" s="138"/>
      <c r="CS3146" s="45"/>
      <c r="CT3146" s="138"/>
      <c r="CU3146" s="45"/>
      <c r="CV3146" s="99">
        <f t="shared" si="309"/>
        <v>27299440</v>
      </c>
      <c r="CW3146" s="139"/>
      <c r="CX3146" s="138"/>
      <c r="CY3146" s="138"/>
      <c r="CZ3146" s="138"/>
      <c r="DA3146" s="139"/>
      <c r="DB3146" s="138"/>
      <c r="DC3146" s="45"/>
      <c r="DD3146" s="138"/>
      <c r="DE3146" s="45"/>
      <c r="DF3146" s="46"/>
    </row>
    <row r="3147" spans="1:110" s="42" customFormat="1" ht="72" x14ac:dyDescent="0.2">
      <c r="A3147" s="89">
        <v>40896</v>
      </c>
      <c r="B3147" s="16" t="s">
        <v>4244</v>
      </c>
      <c r="C3147" s="16" t="s">
        <v>4245</v>
      </c>
      <c r="D3147" s="90" t="s">
        <v>4264</v>
      </c>
      <c r="E3147" s="90" t="str">
        <f>VLOOKUP(B3147&amp;C3147,Divipola!$C$2:$F$1138,4,FALSE)</f>
        <v>76497</v>
      </c>
      <c r="F3147" s="4"/>
      <c r="G3147" s="208"/>
      <c r="H3147" s="208"/>
      <c r="I3147" s="208"/>
      <c r="J3147" s="208"/>
      <c r="K3147" s="208"/>
      <c r="L3147" s="208"/>
      <c r="M3147" s="208"/>
      <c r="N3147" s="208"/>
      <c r="O3147" s="208"/>
      <c r="P3147" s="208"/>
      <c r="Q3147" s="208"/>
      <c r="R3147" s="208"/>
      <c r="S3147" s="208"/>
      <c r="T3147" s="208"/>
      <c r="U3147" s="208"/>
      <c r="V3147" s="208"/>
      <c r="W3147" s="19"/>
      <c r="X3147" s="17"/>
      <c r="Y3147" s="5">
        <f t="shared" si="304"/>
        <v>27299440</v>
      </c>
      <c r="Z3147" s="5">
        <f t="shared" si="305"/>
        <v>0</v>
      </c>
      <c r="AA3147" s="5">
        <f t="shared" si="306"/>
        <v>0</v>
      </c>
      <c r="AB3147" s="5">
        <f t="shared" si="307"/>
        <v>0</v>
      </c>
      <c r="AC3147" s="5"/>
      <c r="AD3147" s="5">
        <v>50000000</v>
      </c>
      <c r="AE3147" s="5">
        <f t="shared" si="308"/>
        <v>77299440</v>
      </c>
      <c r="AF3147" s="70">
        <v>0</v>
      </c>
      <c r="AG3147" s="17"/>
      <c r="AH3147" s="18"/>
      <c r="AI3147" s="47" t="s">
        <v>4346</v>
      </c>
      <c r="AJ3147" s="73" t="s">
        <v>4347</v>
      </c>
      <c r="AK3147" s="45"/>
      <c r="AL3147" s="17"/>
      <c r="AM3147" s="20" t="s">
        <v>5515</v>
      </c>
      <c r="AN3147" s="19"/>
      <c r="AO3147" s="19"/>
      <c r="AP3147" s="19"/>
      <c r="AQ3147" s="19"/>
      <c r="AR3147" s="19"/>
      <c r="AS3147" s="19"/>
      <c r="AT3147" s="19"/>
      <c r="AU3147" s="19"/>
      <c r="AV3147" s="19"/>
      <c r="AW3147" s="19"/>
      <c r="AX3147" s="19"/>
      <c r="AY3147" s="19"/>
      <c r="AZ3147" s="19"/>
      <c r="BA3147" s="19"/>
      <c r="BB3147" s="19"/>
      <c r="BC3147" s="19"/>
      <c r="BD3147" s="19"/>
      <c r="BE3147" s="19"/>
      <c r="BF3147" s="19"/>
      <c r="BG3147" s="19"/>
      <c r="BH3147" s="19"/>
      <c r="BI3147" s="19"/>
      <c r="BJ3147" s="19"/>
      <c r="BK3147" s="19"/>
      <c r="BL3147" s="19"/>
      <c r="BM3147" s="19"/>
      <c r="BN3147" s="19"/>
      <c r="BO3147" s="19"/>
      <c r="BP3147" s="19"/>
      <c r="BQ3147" s="19"/>
      <c r="BR3147" s="19"/>
      <c r="BS3147" s="19"/>
      <c r="BT3147" s="19"/>
      <c r="BU3147" s="19"/>
      <c r="BV3147" s="19"/>
      <c r="BW3147" s="19"/>
      <c r="BX3147" s="19"/>
      <c r="BY3147" s="19"/>
      <c r="BZ3147" s="19"/>
      <c r="CA3147" s="19"/>
      <c r="CB3147" s="19"/>
      <c r="CC3147" s="19"/>
      <c r="CD3147" s="139"/>
      <c r="CE3147" s="138"/>
      <c r="CF3147" s="139"/>
      <c r="CG3147" s="138"/>
      <c r="CH3147" s="139"/>
      <c r="CI3147" s="138"/>
      <c r="CJ3147" s="72">
        <v>700</v>
      </c>
      <c r="CK3147" s="139">
        <f>700*20999.48</f>
        <v>14699636</v>
      </c>
      <c r="CL3147" s="71"/>
      <c r="CM3147" s="139"/>
      <c r="CN3147" s="138">
        <v>700</v>
      </c>
      <c r="CO3147" s="138">
        <f>700*17999.72</f>
        <v>12599804</v>
      </c>
      <c r="CP3147" s="138"/>
      <c r="CQ3147" s="139"/>
      <c r="CR3147" s="138"/>
      <c r="CS3147" s="45"/>
      <c r="CT3147" s="138"/>
      <c r="CU3147" s="45"/>
      <c r="CV3147" s="99">
        <f t="shared" si="309"/>
        <v>27299440</v>
      </c>
      <c r="CW3147" s="139"/>
      <c r="CX3147" s="138"/>
      <c r="CY3147" s="138"/>
      <c r="CZ3147" s="138"/>
      <c r="DA3147" s="139"/>
      <c r="DB3147" s="138"/>
      <c r="DC3147" s="45"/>
      <c r="DD3147" s="138"/>
      <c r="DE3147" s="45"/>
      <c r="DF3147" s="46"/>
    </row>
    <row r="3148" spans="1:110" s="42" customFormat="1" x14ac:dyDescent="0.2">
      <c r="A3148" s="89">
        <v>40896</v>
      </c>
      <c r="B3148" s="151" t="s">
        <v>4348</v>
      </c>
      <c r="C3148" s="90" t="s">
        <v>2251</v>
      </c>
      <c r="D3148" s="90" t="s">
        <v>2362</v>
      </c>
      <c r="E3148" s="90" t="str">
        <f>VLOOKUP(B3148&amp;C3148,Divipola!$C$2:$F$1138,4,FALSE)</f>
        <v>66594</v>
      </c>
      <c r="F3148" s="4"/>
      <c r="G3148" s="101"/>
      <c r="H3148" s="101"/>
      <c r="I3148" s="101"/>
      <c r="J3148" s="101">
        <v>15</v>
      </c>
      <c r="K3148" s="101">
        <v>5</v>
      </c>
      <c r="L3148" s="101"/>
      <c r="M3148" s="101">
        <v>5</v>
      </c>
      <c r="N3148" s="101"/>
      <c r="O3148" s="101"/>
      <c r="P3148" s="101"/>
      <c r="Q3148" s="101"/>
      <c r="R3148" s="101"/>
      <c r="S3148" s="101"/>
      <c r="T3148" s="101"/>
      <c r="U3148" s="101"/>
      <c r="V3148" s="101"/>
      <c r="W3148" s="19"/>
      <c r="X3148" s="17"/>
      <c r="Y3148" s="5">
        <f t="shared" si="304"/>
        <v>0</v>
      </c>
      <c r="Z3148" s="5">
        <f t="shared" si="305"/>
        <v>0</v>
      </c>
      <c r="AA3148" s="5">
        <f t="shared" si="306"/>
        <v>0</v>
      </c>
      <c r="AB3148" s="5">
        <f t="shared" si="307"/>
        <v>0</v>
      </c>
      <c r="AC3148" s="5"/>
      <c r="AD3148" s="5">
        <v>0</v>
      </c>
      <c r="AE3148" s="5">
        <f t="shared" si="308"/>
        <v>0</v>
      </c>
      <c r="AF3148" s="70">
        <v>0</v>
      </c>
      <c r="AG3148" s="17"/>
      <c r="AH3148" s="18"/>
      <c r="AI3148" s="47" t="s">
        <v>4346</v>
      </c>
      <c r="AJ3148" s="73" t="s">
        <v>4347</v>
      </c>
      <c r="AK3148" s="45"/>
      <c r="AL3148" s="89" t="s">
        <v>2798</v>
      </c>
      <c r="AM3148" s="121" t="s">
        <v>5527</v>
      </c>
      <c r="AN3148" s="19"/>
      <c r="AO3148" s="19"/>
      <c r="AP3148" s="19"/>
      <c r="AQ3148" s="19"/>
      <c r="AR3148" s="19"/>
      <c r="AS3148" s="19"/>
      <c r="AT3148" s="19"/>
      <c r="AU3148" s="19"/>
      <c r="AV3148" s="19"/>
      <c r="AW3148" s="19"/>
      <c r="AX3148" s="19"/>
      <c r="AY3148" s="19"/>
      <c r="AZ3148" s="19"/>
      <c r="BA3148" s="19"/>
      <c r="BB3148" s="19"/>
      <c r="BC3148" s="19"/>
      <c r="BD3148" s="19"/>
      <c r="BE3148" s="19"/>
      <c r="BF3148" s="19"/>
      <c r="BG3148" s="19"/>
      <c r="BH3148" s="19"/>
      <c r="BI3148" s="19"/>
      <c r="BJ3148" s="19"/>
      <c r="BK3148" s="19"/>
      <c r="BL3148" s="19"/>
      <c r="BM3148" s="19"/>
      <c r="BN3148" s="19"/>
      <c r="BO3148" s="19"/>
      <c r="BP3148" s="19"/>
      <c r="BQ3148" s="19"/>
      <c r="BR3148" s="19"/>
      <c r="BS3148" s="19"/>
      <c r="BT3148" s="19"/>
      <c r="BU3148" s="19"/>
      <c r="BV3148" s="19"/>
      <c r="BW3148" s="19"/>
      <c r="BX3148" s="19"/>
      <c r="BY3148" s="19"/>
      <c r="BZ3148" s="19"/>
      <c r="CA3148" s="19"/>
      <c r="CB3148" s="19"/>
      <c r="CC3148" s="19"/>
      <c r="CD3148" s="139"/>
      <c r="CE3148" s="138"/>
      <c r="CF3148" s="139"/>
      <c r="CG3148" s="138"/>
      <c r="CH3148" s="139"/>
      <c r="CI3148" s="138"/>
      <c r="CJ3148" s="72"/>
      <c r="CK3148" s="139"/>
      <c r="CL3148" s="71"/>
      <c r="CM3148" s="139"/>
      <c r="CN3148" s="138"/>
      <c r="CO3148" s="138"/>
      <c r="CP3148" s="138"/>
      <c r="CQ3148" s="139"/>
      <c r="CR3148" s="138"/>
      <c r="CS3148" s="45"/>
      <c r="CT3148" s="138"/>
      <c r="CU3148" s="45"/>
      <c r="CV3148" s="99">
        <f t="shared" si="309"/>
        <v>0</v>
      </c>
      <c r="CW3148" s="139"/>
      <c r="CX3148" s="138"/>
      <c r="CY3148" s="138"/>
      <c r="CZ3148" s="138"/>
      <c r="DA3148" s="139"/>
      <c r="DB3148" s="138"/>
      <c r="DC3148" s="45"/>
      <c r="DD3148" s="138"/>
      <c r="DE3148" s="45"/>
      <c r="DF3148" s="46"/>
    </row>
    <row r="3149" spans="1:110" s="42" customFormat="1" ht="72" x14ac:dyDescent="0.2">
      <c r="A3149" s="89">
        <v>40897</v>
      </c>
      <c r="B3149" s="16" t="s">
        <v>4296</v>
      </c>
      <c r="C3149" s="16" t="s">
        <v>4297</v>
      </c>
      <c r="D3149" s="16" t="s">
        <v>4264</v>
      </c>
      <c r="E3149" s="90" t="str">
        <f>VLOOKUP(B3149&amp;C3149,Divipola!$C$2:$F$1138,4,FALSE)</f>
        <v>19001</v>
      </c>
      <c r="F3149" s="4"/>
      <c r="G3149" s="208"/>
      <c r="H3149" s="208"/>
      <c r="I3149" s="208"/>
      <c r="J3149" s="208"/>
      <c r="K3149" s="208"/>
      <c r="L3149" s="208"/>
      <c r="M3149" s="208"/>
      <c r="N3149" s="208"/>
      <c r="O3149" s="208"/>
      <c r="P3149" s="208"/>
      <c r="Q3149" s="208"/>
      <c r="R3149" s="208"/>
      <c r="S3149" s="208"/>
      <c r="T3149" s="208"/>
      <c r="U3149" s="208"/>
      <c r="V3149" s="208"/>
      <c r="W3149" s="19"/>
      <c r="X3149" s="17"/>
      <c r="Y3149" s="5">
        <f t="shared" si="304"/>
        <v>0</v>
      </c>
      <c r="Z3149" s="5">
        <f t="shared" si="305"/>
        <v>0</v>
      </c>
      <c r="AA3149" s="5">
        <f t="shared" si="306"/>
        <v>0</v>
      </c>
      <c r="AB3149" s="5">
        <f t="shared" si="307"/>
        <v>0</v>
      </c>
      <c r="AC3149" s="5"/>
      <c r="AD3149" s="5">
        <v>70000000</v>
      </c>
      <c r="AE3149" s="5">
        <f t="shared" si="308"/>
        <v>70000000</v>
      </c>
      <c r="AF3149" s="70">
        <v>0</v>
      </c>
      <c r="AG3149" s="17"/>
      <c r="AH3149" s="18"/>
      <c r="AI3149" s="47" t="s">
        <v>4346</v>
      </c>
      <c r="AJ3149" s="73" t="s">
        <v>4347</v>
      </c>
      <c r="AK3149" s="45"/>
      <c r="AL3149" s="17"/>
      <c r="AM3149" s="20" t="s">
        <v>5471</v>
      </c>
      <c r="AN3149" s="19"/>
      <c r="AO3149" s="19"/>
      <c r="AP3149" s="19"/>
      <c r="AQ3149" s="19"/>
      <c r="AR3149" s="19"/>
      <c r="AS3149" s="19"/>
      <c r="AT3149" s="19"/>
      <c r="AU3149" s="19"/>
      <c r="AV3149" s="19"/>
      <c r="AW3149" s="19"/>
      <c r="AX3149" s="19"/>
      <c r="AY3149" s="19"/>
      <c r="AZ3149" s="19"/>
      <c r="BA3149" s="19"/>
      <c r="BB3149" s="19"/>
      <c r="BC3149" s="19"/>
      <c r="BD3149" s="19"/>
      <c r="BE3149" s="19"/>
      <c r="BF3149" s="19"/>
      <c r="BG3149" s="19"/>
      <c r="BH3149" s="19"/>
      <c r="BI3149" s="19"/>
      <c r="BJ3149" s="19"/>
      <c r="BK3149" s="19"/>
      <c r="BL3149" s="19"/>
      <c r="BM3149" s="19"/>
      <c r="BN3149" s="19"/>
      <c r="BO3149" s="19"/>
      <c r="BP3149" s="19"/>
      <c r="BQ3149" s="19"/>
      <c r="BR3149" s="19"/>
      <c r="BS3149" s="19"/>
      <c r="BT3149" s="19"/>
      <c r="BU3149" s="19"/>
      <c r="BV3149" s="19"/>
      <c r="BW3149" s="19"/>
      <c r="BX3149" s="19"/>
      <c r="BY3149" s="19"/>
      <c r="BZ3149" s="19"/>
      <c r="CA3149" s="19"/>
      <c r="CB3149" s="19"/>
      <c r="CC3149" s="19"/>
      <c r="CD3149" s="139"/>
      <c r="CE3149" s="138"/>
      <c r="CF3149" s="139"/>
      <c r="CG3149" s="138"/>
      <c r="CH3149" s="139"/>
      <c r="CI3149" s="138"/>
      <c r="CJ3149" s="72"/>
      <c r="CK3149" s="139"/>
      <c r="CL3149" s="71"/>
      <c r="CM3149" s="139"/>
      <c r="CN3149" s="138"/>
      <c r="CO3149" s="138"/>
      <c r="CP3149" s="138"/>
      <c r="CQ3149" s="139"/>
      <c r="CR3149" s="138"/>
      <c r="CS3149" s="45"/>
      <c r="CT3149" s="138"/>
      <c r="CU3149" s="45"/>
      <c r="CV3149" s="99">
        <f t="shared" si="309"/>
        <v>0</v>
      </c>
      <c r="CW3149" s="139"/>
      <c r="CX3149" s="138"/>
      <c r="CY3149" s="138"/>
      <c r="CZ3149" s="138"/>
      <c r="DA3149" s="139"/>
      <c r="DB3149" s="138"/>
      <c r="DC3149" s="45"/>
      <c r="DD3149" s="138"/>
      <c r="DE3149" s="45"/>
      <c r="DF3149" s="46"/>
    </row>
    <row r="3150" spans="1:110" s="42" customFormat="1" ht="96" x14ac:dyDescent="0.2">
      <c r="A3150" s="89">
        <v>40897</v>
      </c>
      <c r="B3150" s="16" t="s">
        <v>4261</v>
      </c>
      <c r="C3150" s="16" t="s">
        <v>1329</v>
      </c>
      <c r="D3150" s="16" t="s">
        <v>4264</v>
      </c>
      <c r="E3150" s="90" t="str">
        <f>VLOOKUP(B3150&amp;C3150,Divipola!$C$2:$F$1138,4,FALSE)</f>
        <v>15776</v>
      </c>
      <c r="F3150" s="4"/>
      <c r="G3150" s="208"/>
      <c r="H3150" s="208"/>
      <c r="I3150" s="208"/>
      <c r="J3150" s="208"/>
      <c r="K3150" s="208"/>
      <c r="L3150" s="208"/>
      <c r="M3150" s="208"/>
      <c r="N3150" s="208"/>
      <c r="O3150" s="208"/>
      <c r="P3150" s="208">
        <v>1</v>
      </c>
      <c r="Q3150" s="208">
        <v>1</v>
      </c>
      <c r="R3150" s="208"/>
      <c r="S3150" s="208"/>
      <c r="T3150" s="208"/>
      <c r="U3150" s="208"/>
      <c r="V3150" s="208"/>
      <c r="W3150" s="19"/>
      <c r="X3150" s="17"/>
      <c r="Y3150" s="5">
        <f t="shared" si="304"/>
        <v>0</v>
      </c>
      <c r="Z3150" s="5">
        <f t="shared" si="305"/>
        <v>0</v>
      </c>
      <c r="AA3150" s="5">
        <f t="shared" si="306"/>
        <v>0</v>
      </c>
      <c r="AB3150" s="5">
        <f t="shared" si="307"/>
        <v>0</v>
      </c>
      <c r="AC3150" s="5"/>
      <c r="AD3150" s="5">
        <v>37920000</v>
      </c>
      <c r="AE3150" s="5">
        <f t="shared" si="308"/>
        <v>37920000</v>
      </c>
      <c r="AF3150" s="70">
        <v>0</v>
      </c>
      <c r="AG3150" s="17"/>
      <c r="AH3150" s="18"/>
      <c r="AI3150" s="47" t="s">
        <v>4346</v>
      </c>
      <c r="AJ3150" s="73" t="s">
        <v>4347</v>
      </c>
      <c r="AK3150" s="45"/>
      <c r="AL3150" s="17"/>
      <c r="AM3150" s="20" t="s">
        <v>5498</v>
      </c>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39"/>
      <c r="CE3150" s="138"/>
      <c r="CF3150" s="139"/>
      <c r="CG3150" s="138"/>
      <c r="CH3150" s="139"/>
      <c r="CI3150" s="138"/>
      <c r="CJ3150" s="72"/>
      <c r="CK3150" s="139"/>
      <c r="CL3150" s="71"/>
      <c r="CM3150" s="139"/>
      <c r="CN3150" s="138"/>
      <c r="CO3150" s="138"/>
      <c r="CP3150" s="138"/>
      <c r="CQ3150" s="139"/>
      <c r="CR3150" s="138"/>
      <c r="CS3150" s="45"/>
      <c r="CT3150" s="138"/>
      <c r="CU3150" s="45"/>
      <c r="CV3150" s="99">
        <f t="shared" si="309"/>
        <v>0</v>
      </c>
      <c r="CW3150" s="139"/>
      <c r="CX3150" s="138"/>
      <c r="CY3150" s="138"/>
      <c r="CZ3150" s="138"/>
      <c r="DA3150" s="139"/>
      <c r="DB3150" s="138"/>
      <c r="DC3150" s="45"/>
      <c r="DD3150" s="138"/>
      <c r="DE3150" s="45"/>
      <c r="DF3150" s="46"/>
    </row>
    <row r="3151" spans="1:110" s="42" customFormat="1" ht="120" x14ac:dyDescent="0.2">
      <c r="A3151" s="89">
        <v>40897</v>
      </c>
      <c r="B3151" s="151" t="s">
        <v>4219</v>
      </c>
      <c r="C3151" s="90" t="s">
        <v>687</v>
      </c>
      <c r="D3151" s="90" t="s">
        <v>2362</v>
      </c>
      <c r="E3151" s="90" t="str">
        <f>VLOOKUP(B3151&amp;C3151,Divipola!$C$2:$F$1138,4,FALSE)</f>
        <v>41548</v>
      </c>
      <c r="F3151" s="4"/>
      <c r="G3151" s="101"/>
      <c r="H3151" s="101"/>
      <c r="I3151" s="101"/>
      <c r="J3151" s="101"/>
      <c r="K3151" s="101"/>
      <c r="L3151" s="101"/>
      <c r="M3151" s="101"/>
      <c r="N3151" s="101"/>
      <c r="O3151" s="101"/>
      <c r="P3151" s="101"/>
      <c r="Q3151" s="101"/>
      <c r="R3151" s="101"/>
      <c r="S3151" s="101"/>
      <c r="T3151" s="101"/>
      <c r="U3151" s="101"/>
      <c r="V3151" s="101"/>
      <c r="W3151" s="19"/>
      <c r="X3151" s="17"/>
      <c r="Y3151" s="5">
        <f t="shared" si="304"/>
        <v>0</v>
      </c>
      <c r="Z3151" s="5">
        <f t="shared" si="305"/>
        <v>0</v>
      </c>
      <c r="AA3151" s="5">
        <f t="shared" si="306"/>
        <v>0</v>
      </c>
      <c r="AB3151" s="5">
        <f t="shared" si="307"/>
        <v>0</v>
      </c>
      <c r="AC3151" s="5"/>
      <c r="AD3151" s="5">
        <v>0</v>
      </c>
      <c r="AE3151" s="5">
        <f t="shared" si="308"/>
        <v>0</v>
      </c>
      <c r="AF3151" s="70">
        <v>0</v>
      </c>
      <c r="AG3151" s="17"/>
      <c r="AH3151" s="18"/>
      <c r="AI3151" s="47" t="s">
        <v>4346</v>
      </c>
      <c r="AJ3151" s="73" t="s">
        <v>4347</v>
      </c>
      <c r="AK3151" s="45"/>
      <c r="AL3151" s="89" t="s">
        <v>2798</v>
      </c>
      <c r="AM3151" s="121" t="s">
        <v>5486</v>
      </c>
      <c r="AN3151" s="19"/>
      <c r="AO3151" s="19"/>
      <c r="AP3151" s="19"/>
      <c r="AQ3151" s="19"/>
      <c r="AR3151" s="19"/>
      <c r="AS3151" s="19"/>
      <c r="AT3151" s="19"/>
      <c r="AU3151" s="19"/>
      <c r="AV3151" s="19"/>
      <c r="AW3151" s="19"/>
      <c r="AX3151" s="19"/>
      <c r="AY3151" s="19"/>
      <c r="AZ3151" s="19"/>
      <c r="BA3151" s="19"/>
      <c r="BB3151" s="19"/>
      <c r="BC3151" s="19"/>
      <c r="BD3151" s="19"/>
      <c r="BE3151" s="19"/>
      <c r="BF3151" s="19"/>
      <c r="BG3151" s="19"/>
      <c r="BH3151" s="19"/>
      <c r="BI3151" s="19"/>
      <c r="BJ3151" s="19"/>
      <c r="BK3151" s="19"/>
      <c r="BL3151" s="19"/>
      <c r="BM3151" s="19"/>
      <c r="BN3151" s="19"/>
      <c r="BO3151" s="19"/>
      <c r="BP3151" s="19"/>
      <c r="BQ3151" s="19"/>
      <c r="BR3151" s="19"/>
      <c r="BS3151" s="19"/>
      <c r="BT3151" s="19"/>
      <c r="BU3151" s="19"/>
      <c r="BV3151" s="19"/>
      <c r="BW3151" s="19"/>
      <c r="BX3151" s="19"/>
      <c r="BY3151" s="19"/>
      <c r="BZ3151" s="19"/>
      <c r="CA3151" s="19"/>
      <c r="CB3151" s="19"/>
      <c r="CC3151" s="19"/>
      <c r="CD3151" s="139"/>
      <c r="CE3151" s="138"/>
      <c r="CF3151" s="139"/>
      <c r="CG3151" s="138"/>
      <c r="CH3151" s="139"/>
      <c r="CI3151" s="138"/>
      <c r="CJ3151" s="72"/>
      <c r="CK3151" s="139"/>
      <c r="CL3151" s="71"/>
      <c r="CM3151" s="139"/>
      <c r="CN3151" s="138"/>
      <c r="CO3151" s="138"/>
      <c r="CP3151" s="138"/>
      <c r="CQ3151" s="139"/>
      <c r="CR3151" s="138"/>
      <c r="CS3151" s="45"/>
      <c r="CT3151" s="138"/>
      <c r="CU3151" s="45"/>
      <c r="CV3151" s="99">
        <f t="shared" si="309"/>
        <v>0</v>
      </c>
      <c r="CW3151" s="139"/>
      <c r="CX3151" s="138"/>
      <c r="CY3151" s="138"/>
      <c r="CZ3151" s="138"/>
      <c r="DA3151" s="139"/>
      <c r="DB3151" s="138"/>
      <c r="DC3151" s="45"/>
      <c r="DD3151" s="138"/>
      <c r="DE3151" s="45"/>
      <c r="DF3151" s="46"/>
    </row>
    <row r="3152" spans="1:110" s="42" customFormat="1" ht="72" x14ac:dyDescent="0.2">
      <c r="A3152" s="89">
        <v>40897</v>
      </c>
      <c r="B3152" s="151" t="s">
        <v>3316</v>
      </c>
      <c r="C3152" s="90" t="s">
        <v>805</v>
      </c>
      <c r="D3152" s="90" t="s">
        <v>2362</v>
      </c>
      <c r="E3152" s="90" t="str">
        <f>VLOOKUP(B3152&amp;C3152,Divipola!$C$2:$F$1138,4,FALSE)</f>
        <v>73347</v>
      </c>
      <c r="F3152" s="4"/>
      <c r="G3152" s="101"/>
      <c r="H3152" s="101">
        <v>1</v>
      </c>
      <c r="I3152" s="101"/>
      <c r="J3152" s="101"/>
      <c r="K3152" s="101"/>
      <c r="L3152" s="101"/>
      <c r="M3152" s="101"/>
      <c r="N3152" s="101"/>
      <c r="O3152" s="101"/>
      <c r="P3152" s="101"/>
      <c r="Q3152" s="101"/>
      <c r="R3152" s="101"/>
      <c r="S3152" s="101"/>
      <c r="T3152" s="101"/>
      <c r="U3152" s="101">
        <v>0</v>
      </c>
      <c r="V3152" s="101"/>
      <c r="W3152" s="19"/>
      <c r="X3152" s="17"/>
      <c r="Y3152" s="5">
        <f t="shared" si="304"/>
        <v>0</v>
      </c>
      <c r="Z3152" s="5">
        <f t="shared" si="305"/>
        <v>0</v>
      </c>
      <c r="AA3152" s="5">
        <f t="shared" si="306"/>
        <v>0</v>
      </c>
      <c r="AB3152" s="5">
        <f t="shared" si="307"/>
        <v>0</v>
      </c>
      <c r="AC3152" s="5"/>
      <c r="AD3152" s="5">
        <v>0</v>
      </c>
      <c r="AE3152" s="5">
        <f t="shared" si="308"/>
        <v>0</v>
      </c>
      <c r="AF3152" s="70">
        <v>0</v>
      </c>
      <c r="AG3152" s="17"/>
      <c r="AH3152" s="18"/>
      <c r="AI3152" s="47" t="s">
        <v>4336</v>
      </c>
      <c r="AJ3152" s="73" t="s">
        <v>4337</v>
      </c>
      <c r="AK3152" s="45"/>
      <c r="AL3152" s="17"/>
      <c r="AM3152" s="121" t="s">
        <v>5487</v>
      </c>
      <c r="AN3152" s="19"/>
      <c r="AO3152" s="19"/>
      <c r="AP3152" s="19"/>
      <c r="AQ3152" s="19"/>
      <c r="AR3152" s="19"/>
      <c r="AS3152" s="19"/>
      <c r="AT3152" s="19"/>
      <c r="AU3152" s="19"/>
      <c r="AV3152" s="19"/>
      <c r="AW3152" s="19"/>
      <c r="AX3152" s="19"/>
      <c r="AY3152" s="19"/>
      <c r="AZ3152" s="19"/>
      <c r="BA3152" s="19"/>
      <c r="BB3152" s="19"/>
      <c r="BC3152" s="19"/>
      <c r="BD3152" s="19"/>
      <c r="BE3152" s="19"/>
      <c r="BF3152" s="19"/>
      <c r="BG3152" s="19"/>
      <c r="BH3152" s="19"/>
      <c r="BI3152" s="19"/>
      <c r="BJ3152" s="19"/>
      <c r="BK3152" s="19"/>
      <c r="BL3152" s="19"/>
      <c r="BM3152" s="19"/>
      <c r="BN3152" s="19"/>
      <c r="BO3152" s="19"/>
      <c r="BP3152" s="19"/>
      <c r="BQ3152" s="19"/>
      <c r="BR3152" s="19"/>
      <c r="BS3152" s="19"/>
      <c r="BT3152" s="19"/>
      <c r="BU3152" s="19"/>
      <c r="BV3152" s="19"/>
      <c r="BW3152" s="19"/>
      <c r="BX3152" s="19"/>
      <c r="BY3152" s="19"/>
      <c r="BZ3152" s="19"/>
      <c r="CA3152" s="19"/>
      <c r="CB3152" s="19"/>
      <c r="CC3152" s="19"/>
      <c r="CD3152" s="139"/>
      <c r="CE3152" s="138"/>
      <c r="CF3152" s="139"/>
      <c r="CG3152" s="138"/>
      <c r="CH3152" s="139"/>
      <c r="CI3152" s="138"/>
      <c r="CJ3152" s="72"/>
      <c r="CK3152" s="139"/>
      <c r="CL3152" s="71"/>
      <c r="CM3152" s="139"/>
      <c r="CN3152" s="138"/>
      <c r="CO3152" s="138"/>
      <c r="CP3152" s="138"/>
      <c r="CQ3152" s="139"/>
      <c r="CR3152" s="138"/>
      <c r="CS3152" s="45"/>
      <c r="CT3152" s="138"/>
      <c r="CU3152" s="45"/>
      <c r="CV3152" s="99">
        <f t="shared" si="309"/>
        <v>0</v>
      </c>
      <c r="CW3152" s="139"/>
      <c r="CX3152" s="138"/>
      <c r="CY3152" s="138"/>
      <c r="CZ3152" s="138"/>
      <c r="DA3152" s="139"/>
      <c r="DB3152" s="138"/>
      <c r="DC3152" s="45"/>
      <c r="DD3152" s="138"/>
      <c r="DE3152" s="45"/>
      <c r="DF3152" s="46"/>
    </row>
    <row r="3153" spans="1:110" s="42" customFormat="1" ht="108" x14ac:dyDescent="0.2">
      <c r="A3153" s="89">
        <v>40897</v>
      </c>
      <c r="B3153" s="16" t="s">
        <v>4244</v>
      </c>
      <c r="C3153" s="90" t="s">
        <v>3393</v>
      </c>
      <c r="D3153" s="90" t="s">
        <v>4264</v>
      </c>
      <c r="E3153" s="90" t="str">
        <f>VLOOKUP(B3153&amp;C3153,Divipola!$C$2:$F$1138,4,FALSE)</f>
        <v>76147</v>
      </c>
      <c r="F3153" s="4"/>
      <c r="G3153" s="101"/>
      <c r="H3153" s="101"/>
      <c r="I3153" s="101"/>
      <c r="J3153" s="101">
        <v>10000</v>
      </c>
      <c r="K3153" s="101">
        <v>2000</v>
      </c>
      <c r="L3153" s="101"/>
      <c r="M3153" s="101">
        <v>2000</v>
      </c>
      <c r="N3153" s="101"/>
      <c r="O3153" s="101"/>
      <c r="P3153" s="101"/>
      <c r="Q3153" s="101"/>
      <c r="R3153" s="101"/>
      <c r="S3153" s="101"/>
      <c r="T3153" s="101"/>
      <c r="U3153" s="101"/>
      <c r="V3153" s="101"/>
      <c r="W3153" s="19"/>
      <c r="X3153" s="17"/>
      <c r="Y3153" s="5">
        <f t="shared" si="304"/>
        <v>0</v>
      </c>
      <c r="Z3153" s="5">
        <f t="shared" si="305"/>
        <v>0</v>
      </c>
      <c r="AA3153" s="5">
        <f t="shared" si="306"/>
        <v>0</v>
      </c>
      <c r="AB3153" s="5">
        <f t="shared" si="307"/>
        <v>0</v>
      </c>
      <c r="AC3153" s="5"/>
      <c r="AD3153" s="5">
        <v>0</v>
      </c>
      <c r="AE3153" s="5">
        <f t="shared" si="308"/>
        <v>0</v>
      </c>
      <c r="AF3153" s="70">
        <v>0</v>
      </c>
      <c r="AG3153" s="17"/>
      <c r="AH3153" s="18"/>
      <c r="AI3153" s="47" t="s">
        <v>4346</v>
      </c>
      <c r="AJ3153" s="73" t="s">
        <v>4347</v>
      </c>
      <c r="AK3153" s="45"/>
      <c r="AL3153" s="89" t="s">
        <v>2798</v>
      </c>
      <c r="AM3153" s="121" t="s">
        <v>5488</v>
      </c>
      <c r="AN3153" s="19"/>
      <c r="AO3153" s="19"/>
      <c r="AP3153" s="19"/>
      <c r="AQ3153" s="19"/>
      <c r="AR3153" s="19"/>
      <c r="AS3153" s="19"/>
      <c r="AT3153" s="19"/>
      <c r="AU3153" s="19"/>
      <c r="AV3153" s="19"/>
      <c r="AW3153" s="19"/>
      <c r="AX3153" s="19"/>
      <c r="AY3153" s="19"/>
      <c r="AZ3153" s="19"/>
      <c r="BA3153" s="19"/>
      <c r="BB3153" s="19"/>
      <c r="BC3153" s="19"/>
      <c r="BD3153" s="19"/>
      <c r="BE3153" s="19"/>
      <c r="BF3153" s="19"/>
      <c r="BG3153" s="19"/>
      <c r="BH3153" s="19"/>
      <c r="BI3153" s="19"/>
      <c r="BJ3153" s="19"/>
      <c r="BK3153" s="19"/>
      <c r="BL3153" s="19"/>
      <c r="BM3153" s="19"/>
      <c r="BN3153" s="19"/>
      <c r="BO3153" s="19"/>
      <c r="BP3153" s="19"/>
      <c r="BQ3153" s="19"/>
      <c r="BR3153" s="19"/>
      <c r="BS3153" s="19"/>
      <c r="BT3153" s="19"/>
      <c r="BU3153" s="19"/>
      <c r="BV3153" s="19"/>
      <c r="BW3153" s="19"/>
      <c r="BX3153" s="19"/>
      <c r="BY3153" s="19"/>
      <c r="BZ3153" s="19"/>
      <c r="CA3153" s="19"/>
      <c r="CB3153" s="19"/>
      <c r="CC3153" s="19"/>
      <c r="CD3153" s="139"/>
      <c r="CE3153" s="138"/>
      <c r="CF3153" s="139"/>
      <c r="CG3153" s="138"/>
      <c r="CH3153" s="139"/>
      <c r="CI3153" s="138"/>
      <c r="CJ3153" s="72"/>
      <c r="CK3153" s="139"/>
      <c r="CL3153" s="71"/>
      <c r="CM3153" s="139"/>
      <c r="CN3153" s="138"/>
      <c r="CO3153" s="138"/>
      <c r="CP3153" s="138"/>
      <c r="CQ3153" s="139"/>
      <c r="CR3153" s="138"/>
      <c r="CS3153" s="45"/>
      <c r="CT3153" s="138"/>
      <c r="CU3153" s="45"/>
      <c r="CV3153" s="99">
        <f t="shared" si="309"/>
        <v>0</v>
      </c>
      <c r="CW3153" s="139"/>
      <c r="CX3153" s="138"/>
      <c r="CY3153" s="138"/>
      <c r="CZ3153" s="138"/>
      <c r="DA3153" s="139"/>
      <c r="DB3153" s="138"/>
      <c r="DC3153" s="45"/>
      <c r="DD3153" s="138"/>
      <c r="DE3153" s="45"/>
      <c r="DF3153" s="46"/>
    </row>
    <row r="3154" spans="1:110" s="42" customFormat="1" ht="36" x14ac:dyDescent="0.2">
      <c r="A3154" s="89">
        <v>40897</v>
      </c>
      <c r="B3154" s="151" t="s">
        <v>4344</v>
      </c>
      <c r="C3154" s="90" t="s">
        <v>3371</v>
      </c>
      <c r="D3154" s="90" t="s">
        <v>2362</v>
      </c>
      <c r="E3154" s="90" t="str">
        <f>VLOOKUP(B3154&amp;C3154,Divipola!$C$2:$F$1138,4,FALSE)</f>
        <v>25402</v>
      </c>
      <c r="F3154" s="101"/>
      <c r="G3154" s="101"/>
      <c r="H3154" s="101"/>
      <c r="I3154" s="101"/>
      <c r="J3154" s="101">
        <v>3</v>
      </c>
      <c r="K3154" s="101">
        <v>1</v>
      </c>
      <c r="L3154" s="101">
        <v>1</v>
      </c>
      <c r="M3154" s="101"/>
      <c r="N3154" s="101"/>
      <c r="O3154" s="101"/>
      <c r="P3154" s="101"/>
      <c r="Q3154" s="101"/>
      <c r="R3154" s="101"/>
      <c r="S3154" s="101"/>
      <c r="T3154" s="101"/>
      <c r="U3154" s="19"/>
      <c r="V3154" s="101"/>
      <c r="W3154" s="19"/>
      <c r="X3154" s="17"/>
      <c r="Y3154" s="5">
        <f t="shared" si="304"/>
        <v>0</v>
      </c>
      <c r="Z3154" s="5">
        <f t="shared" si="305"/>
        <v>0</v>
      </c>
      <c r="AA3154" s="5">
        <f t="shared" si="306"/>
        <v>0</v>
      </c>
      <c r="AB3154" s="5">
        <f t="shared" si="307"/>
        <v>0</v>
      </c>
      <c r="AC3154" s="5"/>
      <c r="AD3154" s="5">
        <v>0</v>
      </c>
      <c r="AE3154" s="5">
        <f t="shared" si="308"/>
        <v>0</v>
      </c>
      <c r="AF3154" s="70">
        <v>0</v>
      </c>
      <c r="AG3154" s="17"/>
      <c r="AH3154" s="18"/>
      <c r="AI3154" s="47" t="s">
        <v>4346</v>
      </c>
      <c r="AJ3154" s="73" t="s">
        <v>4347</v>
      </c>
      <c r="AK3154" s="45"/>
      <c r="AL3154" s="89" t="s">
        <v>2798</v>
      </c>
      <c r="AM3154" s="121" t="s">
        <v>5492</v>
      </c>
      <c r="AN3154" s="19"/>
      <c r="AO3154" s="19"/>
      <c r="AP3154" s="19"/>
      <c r="AQ3154" s="19"/>
      <c r="AR3154" s="19"/>
      <c r="AS3154" s="19"/>
      <c r="AT3154" s="19"/>
      <c r="AU3154" s="19"/>
      <c r="AV3154" s="19"/>
      <c r="AW3154" s="19"/>
      <c r="AX3154" s="19"/>
      <c r="AY3154" s="19"/>
      <c r="AZ3154" s="19"/>
      <c r="BA3154" s="19"/>
      <c r="BB3154" s="19"/>
      <c r="BC3154" s="19"/>
      <c r="BD3154" s="19"/>
      <c r="BE3154" s="19"/>
      <c r="BF3154" s="19"/>
      <c r="BG3154" s="19"/>
      <c r="BH3154" s="19"/>
      <c r="BI3154" s="19"/>
      <c r="BJ3154" s="19"/>
      <c r="BK3154" s="19"/>
      <c r="BL3154" s="19"/>
      <c r="BM3154" s="19"/>
      <c r="BN3154" s="19"/>
      <c r="BO3154" s="19"/>
      <c r="BP3154" s="19"/>
      <c r="BQ3154" s="19"/>
      <c r="BR3154" s="19"/>
      <c r="BS3154" s="19"/>
      <c r="BT3154" s="19"/>
      <c r="BU3154" s="19"/>
      <c r="BV3154" s="19"/>
      <c r="BW3154" s="19"/>
      <c r="BX3154" s="19"/>
      <c r="BY3154" s="19"/>
      <c r="BZ3154" s="19"/>
      <c r="CA3154" s="19"/>
      <c r="CB3154" s="19"/>
      <c r="CC3154" s="19"/>
      <c r="CD3154" s="139"/>
      <c r="CE3154" s="138"/>
      <c r="CF3154" s="139"/>
      <c r="CG3154" s="138"/>
      <c r="CH3154" s="139"/>
      <c r="CI3154" s="138"/>
      <c r="CJ3154" s="72"/>
      <c r="CK3154" s="139"/>
      <c r="CL3154" s="71"/>
      <c r="CM3154" s="139"/>
      <c r="CN3154" s="138"/>
      <c r="CO3154" s="138"/>
      <c r="CP3154" s="138"/>
      <c r="CQ3154" s="139"/>
      <c r="CR3154" s="138"/>
      <c r="CS3154" s="45"/>
      <c r="CT3154" s="138"/>
      <c r="CU3154" s="45"/>
      <c r="CV3154" s="99">
        <f t="shared" si="309"/>
        <v>0</v>
      </c>
      <c r="CW3154" s="139"/>
      <c r="CX3154" s="138"/>
      <c r="CY3154" s="138"/>
      <c r="CZ3154" s="138"/>
      <c r="DA3154" s="139"/>
      <c r="DB3154" s="138"/>
      <c r="DC3154" s="45"/>
      <c r="DD3154" s="138"/>
      <c r="DE3154" s="45"/>
      <c r="DF3154" s="46"/>
    </row>
    <row r="3155" spans="1:110" s="42" customFormat="1" ht="76.5" x14ac:dyDescent="0.2">
      <c r="A3155" s="89">
        <v>40897</v>
      </c>
      <c r="B3155" s="151" t="s">
        <v>4261</v>
      </c>
      <c r="C3155" s="90" t="s">
        <v>2203</v>
      </c>
      <c r="D3155" s="90" t="s">
        <v>4264</v>
      </c>
      <c r="E3155" s="90" t="str">
        <f>VLOOKUP(B3155&amp;C3155,Divipola!$C$2:$F$1138,4,FALSE)</f>
        <v>15109</v>
      </c>
      <c r="F3155" s="4"/>
      <c r="G3155" s="101"/>
      <c r="H3155" s="101"/>
      <c r="I3155" s="101"/>
      <c r="J3155" s="101">
        <v>565</v>
      </c>
      <c r="K3155" s="101">
        <v>113</v>
      </c>
      <c r="L3155" s="101"/>
      <c r="M3155" s="101">
        <v>113</v>
      </c>
      <c r="N3155" s="101"/>
      <c r="O3155" s="101"/>
      <c r="P3155" s="101"/>
      <c r="Q3155" s="101"/>
      <c r="R3155" s="101"/>
      <c r="S3155" s="101"/>
      <c r="T3155" s="101"/>
      <c r="U3155" s="101"/>
      <c r="V3155" s="101"/>
      <c r="W3155" s="19"/>
      <c r="X3155" s="17"/>
      <c r="Y3155" s="5">
        <f t="shared" si="304"/>
        <v>0</v>
      </c>
      <c r="Z3155" s="5">
        <f t="shared" si="305"/>
        <v>0</v>
      </c>
      <c r="AA3155" s="5">
        <f t="shared" si="306"/>
        <v>0</v>
      </c>
      <c r="AB3155" s="5">
        <f t="shared" si="307"/>
        <v>0</v>
      </c>
      <c r="AC3155" s="5"/>
      <c r="AD3155" s="5">
        <v>0</v>
      </c>
      <c r="AE3155" s="5">
        <f t="shared" si="308"/>
        <v>0</v>
      </c>
      <c r="AF3155" s="70">
        <v>0</v>
      </c>
      <c r="AG3155" s="17"/>
      <c r="AH3155" s="18"/>
      <c r="AI3155" s="47" t="s">
        <v>4336</v>
      </c>
      <c r="AJ3155" s="73" t="s">
        <v>4337</v>
      </c>
      <c r="AK3155" s="45"/>
      <c r="AL3155" s="17"/>
      <c r="AM3155" s="260" t="s">
        <v>5581</v>
      </c>
      <c r="AN3155" s="19"/>
      <c r="AO3155" s="19"/>
      <c r="AP3155" s="19"/>
      <c r="AQ3155" s="19"/>
      <c r="AR3155" s="19"/>
      <c r="AS3155" s="19"/>
      <c r="AT3155" s="19"/>
      <c r="AU3155" s="19"/>
      <c r="AV3155" s="19"/>
      <c r="AW3155" s="19"/>
      <c r="AX3155" s="19"/>
      <c r="AY3155" s="19"/>
      <c r="AZ3155" s="19"/>
      <c r="BA3155" s="19"/>
      <c r="BB3155" s="19"/>
      <c r="BC3155" s="19"/>
      <c r="BD3155" s="19"/>
      <c r="BE3155" s="19"/>
      <c r="BF3155" s="19"/>
      <c r="BG3155" s="19"/>
      <c r="BH3155" s="19"/>
      <c r="BI3155" s="19"/>
      <c r="BJ3155" s="19"/>
      <c r="BK3155" s="19"/>
      <c r="BL3155" s="19"/>
      <c r="BM3155" s="19"/>
      <c r="BN3155" s="19"/>
      <c r="BO3155" s="19"/>
      <c r="BP3155" s="19"/>
      <c r="BQ3155" s="19"/>
      <c r="BR3155" s="19"/>
      <c r="BS3155" s="19"/>
      <c r="BT3155" s="19"/>
      <c r="BU3155" s="19"/>
      <c r="BV3155" s="19"/>
      <c r="BW3155" s="19"/>
      <c r="BX3155" s="19"/>
      <c r="BY3155" s="19"/>
      <c r="BZ3155" s="19"/>
      <c r="CA3155" s="19"/>
      <c r="CB3155" s="19"/>
      <c r="CC3155" s="19"/>
      <c r="CD3155" s="139"/>
      <c r="CE3155" s="138"/>
      <c r="CF3155" s="139"/>
      <c r="CG3155" s="138"/>
      <c r="CH3155" s="139"/>
      <c r="CI3155" s="138"/>
      <c r="CJ3155" s="72"/>
      <c r="CK3155" s="139"/>
      <c r="CL3155" s="71"/>
      <c r="CM3155" s="139"/>
      <c r="CN3155" s="138"/>
      <c r="CO3155" s="138"/>
      <c r="CP3155" s="138"/>
      <c r="CQ3155" s="139"/>
      <c r="CR3155" s="138"/>
      <c r="CS3155" s="45"/>
      <c r="CT3155" s="138"/>
      <c r="CU3155" s="45"/>
      <c r="CV3155" s="99">
        <f t="shared" si="309"/>
        <v>0</v>
      </c>
      <c r="CW3155" s="139"/>
      <c r="CX3155" s="138"/>
      <c r="CY3155" s="138"/>
      <c r="CZ3155" s="138"/>
      <c r="DA3155" s="139"/>
      <c r="DB3155" s="138"/>
      <c r="DC3155" s="45"/>
      <c r="DD3155" s="138"/>
      <c r="DE3155" s="45"/>
      <c r="DF3155" s="46"/>
    </row>
    <row r="3156" spans="1:110" s="42" customFormat="1" ht="38.25" x14ac:dyDescent="0.2">
      <c r="A3156" s="89">
        <v>40897</v>
      </c>
      <c r="B3156" s="151" t="s">
        <v>4261</v>
      </c>
      <c r="C3156" s="90" t="s">
        <v>2871</v>
      </c>
      <c r="D3156" s="90" t="s">
        <v>2362</v>
      </c>
      <c r="E3156" s="90" t="str">
        <f>VLOOKUP(B3156&amp;C3156,Divipola!$C$2:$F$1138,4,FALSE)</f>
        <v>15632</v>
      </c>
      <c r="F3156" s="4"/>
      <c r="G3156" s="101"/>
      <c r="H3156" s="101"/>
      <c r="I3156" s="101"/>
      <c r="J3156" s="101">
        <v>20</v>
      </c>
      <c r="K3156" s="101">
        <v>4</v>
      </c>
      <c r="L3156" s="101">
        <v>3</v>
      </c>
      <c r="M3156" s="101">
        <v>1</v>
      </c>
      <c r="N3156" s="101">
        <v>3</v>
      </c>
      <c r="O3156" s="101"/>
      <c r="P3156" s="101"/>
      <c r="Q3156" s="101"/>
      <c r="R3156" s="101"/>
      <c r="S3156" s="101"/>
      <c r="T3156" s="101"/>
      <c r="U3156" s="101"/>
      <c r="V3156" s="101"/>
      <c r="W3156" s="19"/>
      <c r="X3156" s="17"/>
      <c r="Y3156" s="5">
        <f t="shared" si="304"/>
        <v>0</v>
      </c>
      <c r="Z3156" s="5">
        <f t="shared" si="305"/>
        <v>0</v>
      </c>
      <c r="AA3156" s="5">
        <f t="shared" si="306"/>
        <v>0</v>
      </c>
      <c r="AB3156" s="5">
        <f t="shared" si="307"/>
        <v>0</v>
      </c>
      <c r="AC3156" s="5"/>
      <c r="AD3156" s="5">
        <v>0</v>
      </c>
      <c r="AE3156" s="5">
        <f t="shared" si="308"/>
        <v>0</v>
      </c>
      <c r="AF3156" s="70">
        <v>0</v>
      </c>
      <c r="AG3156" s="17"/>
      <c r="AH3156" s="18"/>
      <c r="AI3156" s="47" t="s">
        <v>4336</v>
      </c>
      <c r="AJ3156" s="73" t="s">
        <v>4337</v>
      </c>
      <c r="AK3156" s="45"/>
      <c r="AL3156" s="17"/>
      <c r="AM3156" s="260" t="s">
        <v>5582</v>
      </c>
      <c r="AN3156" s="19"/>
      <c r="AO3156" s="19"/>
      <c r="AP3156" s="19"/>
      <c r="AQ3156" s="19"/>
      <c r="AR3156" s="19"/>
      <c r="AS3156" s="19"/>
      <c r="AT3156" s="19"/>
      <c r="AU3156" s="19"/>
      <c r="AV3156" s="19"/>
      <c r="AW3156" s="19"/>
      <c r="AX3156" s="19"/>
      <c r="AY3156" s="19"/>
      <c r="AZ3156" s="19"/>
      <c r="BA3156" s="19"/>
      <c r="BB3156" s="19"/>
      <c r="BC3156" s="19"/>
      <c r="BD3156" s="19"/>
      <c r="BE3156" s="19"/>
      <c r="BF3156" s="19"/>
      <c r="BG3156" s="19"/>
      <c r="BH3156" s="19"/>
      <c r="BI3156" s="19"/>
      <c r="BJ3156" s="19"/>
      <c r="BK3156" s="19"/>
      <c r="BL3156" s="19"/>
      <c r="BM3156" s="19"/>
      <c r="BN3156" s="19"/>
      <c r="BO3156" s="19"/>
      <c r="BP3156" s="19"/>
      <c r="BQ3156" s="19"/>
      <c r="BR3156" s="19"/>
      <c r="BS3156" s="19"/>
      <c r="BT3156" s="19"/>
      <c r="BU3156" s="19"/>
      <c r="BV3156" s="19"/>
      <c r="BW3156" s="19"/>
      <c r="BX3156" s="19"/>
      <c r="BY3156" s="19"/>
      <c r="BZ3156" s="19"/>
      <c r="CA3156" s="19"/>
      <c r="CB3156" s="19"/>
      <c r="CC3156" s="19"/>
      <c r="CD3156" s="139"/>
      <c r="CE3156" s="138"/>
      <c r="CF3156" s="139"/>
      <c r="CG3156" s="138"/>
      <c r="CH3156" s="139"/>
      <c r="CI3156" s="138"/>
      <c r="CJ3156" s="72"/>
      <c r="CK3156" s="139"/>
      <c r="CL3156" s="71"/>
      <c r="CM3156" s="139"/>
      <c r="CN3156" s="138"/>
      <c r="CO3156" s="138"/>
      <c r="CP3156" s="138"/>
      <c r="CQ3156" s="139"/>
      <c r="CR3156" s="138"/>
      <c r="CS3156" s="45"/>
      <c r="CT3156" s="138"/>
      <c r="CU3156" s="45"/>
      <c r="CV3156" s="99">
        <f t="shared" si="309"/>
        <v>0</v>
      </c>
      <c r="CW3156" s="139"/>
      <c r="CX3156" s="138"/>
      <c r="CY3156" s="138"/>
      <c r="CZ3156" s="138"/>
      <c r="DA3156" s="139"/>
      <c r="DB3156" s="138"/>
      <c r="DC3156" s="45"/>
      <c r="DD3156" s="138"/>
      <c r="DE3156" s="45"/>
      <c r="DF3156" s="46"/>
    </row>
    <row r="3157" spans="1:110" s="42" customFormat="1" ht="60" x14ac:dyDescent="0.2">
      <c r="A3157" s="89">
        <v>40898</v>
      </c>
      <c r="B3157" s="16" t="s">
        <v>4261</v>
      </c>
      <c r="C3157" s="16" t="s">
        <v>2662</v>
      </c>
      <c r="D3157" s="16" t="s">
        <v>4264</v>
      </c>
      <c r="E3157" s="90" t="str">
        <f>VLOOKUP(B3157&amp;C3157,Divipola!$C$2:$F$1138,4,FALSE)</f>
        <v>15272</v>
      </c>
      <c r="F3157" s="4"/>
      <c r="G3157" s="208"/>
      <c r="H3157" s="208"/>
      <c r="I3157" s="208"/>
      <c r="J3157" s="208"/>
      <c r="K3157" s="208"/>
      <c r="L3157" s="208"/>
      <c r="M3157" s="208"/>
      <c r="N3157" s="208"/>
      <c r="O3157" s="208"/>
      <c r="P3157" s="208"/>
      <c r="Q3157" s="208"/>
      <c r="R3157" s="208"/>
      <c r="S3157" s="208"/>
      <c r="T3157" s="208"/>
      <c r="U3157" s="208"/>
      <c r="V3157" s="208"/>
      <c r="W3157" s="19"/>
      <c r="X3157" s="17"/>
      <c r="Y3157" s="5">
        <f t="shared" si="304"/>
        <v>0</v>
      </c>
      <c r="Z3157" s="5">
        <f t="shared" si="305"/>
        <v>0</v>
      </c>
      <c r="AA3157" s="5">
        <f t="shared" si="306"/>
        <v>0</v>
      </c>
      <c r="AB3157" s="5">
        <f t="shared" si="307"/>
        <v>0</v>
      </c>
      <c r="AC3157" s="5"/>
      <c r="AD3157" s="5">
        <v>299996540</v>
      </c>
      <c r="AE3157" s="5">
        <f t="shared" si="308"/>
        <v>299996540</v>
      </c>
      <c r="AF3157" s="70">
        <v>0</v>
      </c>
      <c r="AG3157" s="17"/>
      <c r="AH3157" s="18"/>
      <c r="AI3157" s="47" t="s">
        <v>4346</v>
      </c>
      <c r="AJ3157" s="73" t="s">
        <v>4347</v>
      </c>
      <c r="AK3157" s="45"/>
      <c r="AL3157" s="17"/>
      <c r="AM3157" s="20" t="s">
        <v>5482</v>
      </c>
      <c r="AN3157" s="19"/>
      <c r="AO3157" s="19"/>
      <c r="AP3157" s="19"/>
      <c r="AQ3157" s="19"/>
      <c r="AR3157" s="19"/>
      <c r="AS3157" s="19"/>
      <c r="AT3157" s="19"/>
      <c r="AU3157" s="19"/>
      <c r="AV3157" s="19"/>
      <c r="AW3157" s="19"/>
      <c r="AX3157" s="19"/>
      <c r="AY3157" s="19"/>
      <c r="AZ3157" s="19"/>
      <c r="BA3157" s="19"/>
      <c r="BB3157" s="19"/>
      <c r="BC3157" s="19"/>
      <c r="BD3157" s="19"/>
      <c r="BE3157" s="19"/>
      <c r="BF3157" s="19"/>
      <c r="BG3157" s="19"/>
      <c r="BH3157" s="19"/>
      <c r="BI3157" s="19"/>
      <c r="BJ3157" s="19"/>
      <c r="BK3157" s="19"/>
      <c r="BL3157" s="19"/>
      <c r="BM3157" s="19"/>
      <c r="BN3157" s="19"/>
      <c r="BO3157" s="19"/>
      <c r="BP3157" s="19"/>
      <c r="BQ3157" s="19"/>
      <c r="BR3157" s="19"/>
      <c r="BS3157" s="19"/>
      <c r="BT3157" s="19"/>
      <c r="BU3157" s="19"/>
      <c r="BV3157" s="19"/>
      <c r="BW3157" s="19"/>
      <c r="BX3157" s="19"/>
      <c r="BY3157" s="19"/>
      <c r="BZ3157" s="19"/>
      <c r="CA3157" s="19"/>
      <c r="CB3157" s="19"/>
      <c r="CC3157" s="19"/>
      <c r="CD3157" s="139"/>
      <c r="CE3157" s="138"/>
      <c r="CF3157" s="139"/>
      <c r="CG3157" s="138"/>
      <c r="CH3157" s="139"/>
      <c r="CI3157" s="138"/>
      <c r="CJ3157" s="72"/>
      <c r="CK3157" s="139"/>
      <c r="CL3157" s="71"/>
      <c r="CM3157" s="139"/>
      <c r="CN3157" s="138"/>
      <c r="CO3157" s="138"/>
      <c r="CP3157" s="138"/>
      <c r="CQ3157" s="139"/>
      <c r="CR3157" s="138"/>
      <c r="CS3157" s="45"/>
      <c r="CT3157" s="138"/>
      <c r="CU3157" s="45"/>
      <c r="CV3157" s="99">
        <f t="shared" si="309"/>
        <v>0</v>
      </c>
      <c r="CW3157" s="139"/>
      <c r="CX3157" s="138"/>
      <c r="CY3157" s="138"/>
      <c r="CZ3157" s="138"/>
      <c r="DA3157" s="139"/>
      <c r="DB3157" s="138"/>
      <c r="DC3157" s="45"/>
      <c r="DD3157" s="138"/>
      <c r="DE3157" s="45"/>
      <c r="DF3157" s="46"/>
    </row>
    <row r="3158" spans="1:110" s="42" customFormat="1" ht="60" x14ac:dyDescent="0.2">
      <c r="A3158" s="89">
        <v>40898</v>
      </c>
      <c r="B3158" s="16" t="s">
        <v>4344</v>
      </c>
      <c r="C3158" s="16" t="s">
        <v>3546</v>
      </c>
      <c r="D3158" s="16" t="s">
        <v>4264</v>
      </c>
      <c r="E3158" s="90" t="str">
        <f>VLOOKUP(B3158&amp;C3158,Divipola!$C$2:$F$1138,4,FALSE)</f>
        <v>25181</v>
      </c>
      <c r="F3158" s="4"/>
      <c r="G3158" s="208"/>
      <c r="H3158" s="208"/>
      <c r="I3158" s="208"/>
      <c r="J3158" s="208"/>
      <c r="K3158" s="208"/>
      <c r="L3158" s="208"/>
      <c r="M3158" s="208"/>
      <c r="N3158" s="208"/>
      <c r="O3158" s="208">
        <v>1</v>
      </c>
      <c r="P3158" s="208"/>
      <c r="Q3158" s="208"/>
      <c r="R3158" s="208"/>
      <c r="S3158" s="208"/>
      <c r="T3158" s="208"/>
      <c r="U3158" s="208"/>
      <c r="V3158" s="208"/>
      <c r="W3158" s="19"/>
      <c r="X3158" s="17"/>
      <c r="Y3158" s="5">
        <f t="shared" si="304"/>
        <v>0</v>
      </c>
      <c r="Z3158" s="5">
        <f t="shared" si="305"/>
        <v>0</v>
      </c>
      <c r="AA3158" s="5">
        <f t="shared" si="306"/>
        <v>0</v>
      </c>
      <c r="AB3158" s="5">
        <f t="shared" si="307"/>
        <v>0</v>
      </c>
      <c r="AC3158" s="5"/>
      <c r="AD3158" s="5">
        <v>350002406</v>
      </c>
      <c r="AE3158" s="5">
        <f t="shared" si="308"/>
        <v>350002406</v>
      </c>
      <c r="AF3158" s="70">
        <v>0</v>
      </c>
      <c r="AG3158" s="17"/>
      <c r="AH3158" s="18"/>
      <c r="AI3158" s="47" t="s">
        <v>4346</v>
      </c>
      <c r="AJ3158" s="73" t="s">
        <v>4347</v>
      </c>
      <c r="AK3158" s="45"/>
      <c r="AL3158" s="17"/>
      <c r="AM3158" s="20" t="s">
        <v>5483</v>
      </c>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39"/>
      <c r="CE3158" s="138"/>
      <c r="CF3158" s="139"/>
      <c r="CG3158" s="138"/>
      <c r="CH3158" s="139"/>
      <c r="CI3158" s="138"/>
      <c r="CJ3158" s="72"/>
      <c r="CK3158" s="139"/>
      <c r="CL3158" s="71"/>
      <c r="CM3158" s="139"/>
      <c r="CN3158" s="138"/>
      <c r="CO3158" s="138"/>
      <c r="CP3158" s="138"/>
      <c r="CQ3158" s="139"/>
      <c r="CR3158" s="138"/>
      <c r="CS3158" s="45"/>
      <c r="CT3158" s="138"/>
      <c r="CU3158" s="45"/>
      <c r="CV3158" s="99">
        <f t="shared" si="309"/>
        <v>0</v>
      </c>
      <c r="CW3158" s="139"/>
      <c r="CX3158" s="138"/>
      <c r="CY3158" s="138"/>
      <c r="CZ3158" s="138"/>
      <c r="DA3158" s="139"/>
      <c r="DB3158" s="138"/>
      <c r="DC3158" s="45"/>
      <c r="DD3158" s="138"/>
      <c r="DE3158" s="45"/>
      <c r="DF3158" s="46"/>
    </row>
    <row r="3159" spans="1:110" s="42" customFormat="1" ht="60" x14ac:dyDescent="0.2">
      <c r="A3159" s="89">
        <v>40898</v>
      </c>
      <c r="B3159" s="16" t="s">
        <v>4344</v>
      </c>
      <c r="C3159" s="16" t="s">
        <v>1749</v>
      </c>
      <c r="D3159" s="16" t="s">
        <v>4264</v>
      </c>
      <c r="E3159" s="90" t="str">
        <f>VLOOKUP(B3159&amp;C3159,Divipola!$C$2:$F$1138,4,FALSE)</f>
        <v>25430</v>
      </c>
      <c r="F3159" s="4"/>
      <c r="G3159" s="208"/>
      <c r="H3159" s="208"/>
      <c r="I3159" s="208"/>
      <c r="J3159" s="208"/>
      <c r="K3159" s="208"/>
      <c r="L3159" s="208"/>
      <c r="M3159" s="208"/>
      <c r="N3159" s="208"/>
      <c r="O3159" s="208"/>
      <c r="P3159" s="208"/>
      <c r="Q3159" s="208"/>
      <c r="R3159" s="208"/>
      <c r="S3159" s="208"/>
      <c r="T3159" s="208"/>
      <c r="U3159" s="208"/>
      <c r="V3159" s="208"/>
      <c r="W3159" s="19"/>
      <c r="X3159" s="17"/>
      <c r="Y3159" s="5">
        <f t="shared" si="304"/>
        <v>0</v>
      </c>
      <c r="Z3159" s="5">
        <f t="shared" si="305"/>
        <v>0</v>
      </c>
      <c r="AA3159" s="5">
        <f t="shared" si="306"/>
        <v>0</v>
      </c>
      <c r="AB3159" s="5">
        <f t="shared" si="307"/>
        <v>0</v>
      </c>
      <c r="AC3159" s="5"/>
      <c r="AD3159" s="5">
        <v>300000000</v>
      </c>
      <c r="AE3159" s="5">
        <f t="shared" si="308"/>
        <v>300000000</v>
      </c>
      <c r="AF3159" s="70">
        <v>0</v>
      </c>
      <c r="AG3159" s="17"/>
      <c r="AH3159" s="18"/>
      <c r="AI3159" s="47" t="s">
        <v>4346</v>
      </c>
      <c r="AJ3159" s="73" t="s">
        <v>4347</v>
      </c>
      <c r="AK3159" s="45"/>
      <c r="AL3159" s="17"/>
      <c r="AM3159" s="20" t="s">
        <v>5484</v>
      </c>
      <c r="AN3159" s="19"/>
      <c r="AO3159" s="19"/>
      <c r="AP3159" s="19"/>
      <c r="AQ3159" s="19"/>
      <c r="AR3159" s="19"/>
      <c r="AS3159" s="19"/>
      <c r="AT3159" s="19"/>
      <c r="AU3159" s="19"/>
      <c r="AV3159" s="19"/>
      <c r="AW3159" s="19"/>
      <c r="AX3159" s="19"/>
      <c r="AY3159" s="19"/>
      <c r="AZ3159" s="19"/>
      <c r="BA3159" s="19"/>
      <c r="BB3159" s="19"/>
      <c r="BC3159" s="19"/>
      <c r="BD3159" s="19"/>
      <c r="BE3159" s="19"/>
      <c r="BF3159" s="19"/>
      <c r="BG3159" s="19"/>
      <c r="BH3159" s="19"/>
      <c r="BI3159" s="19"/>
      <c r="BJ3159" s="19"/>
      <c r="BK3159" s="19"/>
      <c r="BL3159" s="19"/>
      <c r="BM3159" s="19"/>
      <c r="BN3159" s="19"/>
      <c r="BO3159" s="19"/>
      <c r="BP3159" s="19"/>
      <c r="BQ3159" s="19"/>
      <c r="BR3159" s="19"/>
      <c r="BS3159" s="19"/>
      <c r="BT3159" s="19"/>
      <c r="BU3159" s="19"/>
      <c r="BV3159" s="19"/>
      <c r="BW3159" s="19"/>
      <c r="BX3159" s="19"/>
      <c r="BY3159" s="19"/>
      <c r="BZ3159" s="19"/>
      <c r="CA3159" s="19"/>
      <c r="CB3159" s="19"/>
      <c r="CC3159" s="19"/>
      <c r="CD3159" s="139"/>
      <c r="CE3159" s="138"/>
      <c r="CF3159" s="139"/>
      <c r="CG3159" s="138"/>
      <c r="CH3159" s="139"/>
      <c r="CI3159" s="138"/>
      <c r="CJ3159" s="72"/>
      <c r="CK3159" s="139"/>
      <c r="CL3159" s="71"/>
      <c r="CM3159" s="139"/>
      <c r="CN3159" s="138"/>
      <c r="CO3159" s="138"/>
      <c r="CP3159" s="138"/>
      <c r="CQ3159" s="139"/>
      <c r="CR3159" s="138"/>
      <c r="CS3159" s="45"/>
      <c r="CT3159" s="138"/>
      <c r="CU3159" s="45"/>
      <c r="CV3159" s="99">
        <f t="shared" si="309"/>
        <v>0</v>
      </c>
      <c r="CW3159" s="139"/>
      <c r="CX3159" s="138"/>
      <c r="CY3159" s="138"/>
      <c r="CZ3159" s="138"/>
      <c r="DA3159" s="139"/>
      <c r="DB3159" s="138"/>
      <c r="DC3159" s="45"/>
      <c r="DD3159" s="138"/>
      <c r="DE3159" s="45"/>
      <c r="DF3159" s="46"/>
    </row>
    <row r="3160" spans="1:110" s="42" customFormat="1" ht="84" x14ac:dyDescent="0.2">
      <c r="A3160" s="89">
        <v>40898</v>
      </c>
      <c r="B3160" s="16" t="s">
        <v>4261</v>
      </c>
      <c r="C3160" s="16" t="s">
        <v>2863</v>
      </c>
      <c r="D3160" s="16" t="s">
        <v>4264</v>
      </c>
      <c r="E3160" s="90" t="str">
        <f>VLOOKUP(B3160&amp;C3160,Divipola!$C$2:$F$1138,4,FALSE)</f>
        <v>15238</v>
      </c>
      <c r="F3160" s="4"/>
      <c r="G3160" s="208"/>
      <c r="H3160" s="208"/>
      <c r="I3160" s="208"/>
      <c r="J3160" s="208"/>
      <c r="K3160" s="208"/>
      <c r="L3160" s="208"/>
      <c r="M3160" s="208"/>
      <c r="N3160" s="208"/>
      <c r="O3160" s="208"/>
      <c r="P3160" s="208"/>
      <c r="Q3160" s="208"/>
      <c r="R3160" s="208"/>
      <c r="S3160" s="208"/>
      <c r="T3160" s="208"/>
      <c r="U3160" s="208"/>
      <c r="V3160" s="208"/>
      <c r="W3160" s="19"/>
      <c r="X3160" s="17"/>
      <c r="Y3160" s="5">
        <f t="shared" si="304"/>
        <v>0</v>
      </c>
      <c r="Z3160" s="5">
        <f t="shared" si="305"/>
        <v>0</v>
      </c>
      <c r="AA3160" s="5">
        <f t="shared" si="306"/>
        <v>0</v>
      </c>
      <c r="AB3160" s="5">
        <f t="shared" si="307"/>
        <v>0</v>
      </c>
      <c r="AC3160" s="5"/>
      <c r="AD3160" s="5">
        <v>300000000</v>
      </c>
      <c r="AE3160" s="5">
        <f t="shared" si="308"/>
        <v>300000000</v>
      </c>
      <c r="AF3160" s="70">
        <v>0</v>
      </c>
      <c r="AG3160" s="17"/>
      <c r="AH3160" s="18"/>
      <c r="AI3160" s="47" t="s">
        <v>4346</v>
      </c>
      <c r="AJ3160" s="73" t="s">
        <v>4347</v>
      </c>
      <c r="AK3160" s="45"/>
      <c r="AL3160" s="17"/>
      <c r="AM3160" s="20" t="s">
        <v>5485</v>
      </c>
      <c r="AN3160" s="19"/>
      <c r="AO3160" s="19"/>
      <c r="AP3160" s="19"/>
      <c r="AQ3160" s="19"/>
      <c r="AR3160" s="19"/>
      <c r="AS3160" s="19"/>
      <c r="AT3160" s="19"/>
      <c r="AU3160" s="19"/>
      <c r="AV3160" s="19"/>
      <c r="AW3160" s="19"/>
      <c r="AX3160" s="19"/>
      <c r="AY3160" s="19"/>
      <c r="AZ3160" s="19"/>
      <c r="BA3160" s="19"/>
      <c r="BB3160" s="19"/>
      <c r="BC3160" s="19"/>
      <c r="BD3160" s="19"/>
      <c r="BE3160" s="19"/>
      <c r="BF3160" s="19"/>
      <c r="BG3160" s="19"/>
      <c r="BH3160" s="19"/>
      <c r="BI3160" s="19"/>
      <c r="BJ3160" s="19"/>
      <c r="BK3160" s="19"/>
      <c r="BL3160" s="19"/>
      <c r="BM3160" s="19"/>
      <c r="BN3160" s="19"/>
      <c r="BO3160" s="19"/>
      <c r="BP3160" s="19"/>
      <c r="BQ3160" s="19"/>
      <c r="BR3160" s="19"/>
      <c r="BS3160" s="19"/>
      <c r="BT3160" s="19"/>
      <c r="BU3160" s="19"/>
      <c r="BV3160" s="19"/>
      <c r="BW3160" s="19"/>
      <c r="BX3160" s="19"/>
      <c r="BY3160" s="19"/>
      <c r="BZ3160" s="19"/>
      <c r="CA3160" s="19"/>
      <c r="CB3160" s="19"/>
      <c r="CC3160" s="19"/>
      <c r="CD3160" s="139"/>
      <c r="CE3160" s="138"/>
      <c r="CF3160" s="139"/>
      <c r="CG3160" s="138"/>
      <c r="CH3160" s="139"/>
      <c r="CI3160" s="138"/>
      <c r="CJ3160" s="72"/>
      <c r="CK3160" s="139"/>
      <c r="CL3160" s="71"/>
      <c r="CM3160" s="139"/>
      <c r="CN3160" s="138"/>
      <c r="CO3160" s="138"/>
      <c r="CP3160" s="138"/>
      <c r="CQ3160" s="139"/>
      <c r="CR3160" s="138"/>
      <c r="CS3160" s="45"/>
      <c r="CT3160" s="138"/>
      <c r="CU3160" s="45"/>
      <c r="CV3160" s="99">
        <f t="shared" si="309"/>
        <v>0</v>
      </c>
      <c r="CW3160" s="139"/>
      <c r="CX3160" s="138"/>
      <c r="CY3160" s="138"/>
      <c r="CZ3160" s="138"/>
      <c r="DA3160" s="139"/>
      <c r="DB3160" s="138"/>
      <c r="DC3160" s="45"/>
      <c r="DD3160" s="138"/>
      <c r="DE3160" s="45"/>
      <c r="DF3160" s="46"/>
    </row>
    <row r="3161" spans="1:110" s="42" customFormat="1" ht="132" x14ac:dyDescent="0.2">
      <c r="A3161" s="89">
        <v>40898</v>
      </c>
      <c r="B3161" s="151" t="s">
        <v>4296</v>
      </c>
      <c r="C3161" s="90" t="s">
        <v>3371</v>
      </c>
      <c r="D3161" s="90" t="s">
        <v>2362</v>
      </c>
      <c r="E3161" s="90" t="str">
        <f>VLOOKUP(B3161&amp;C3161,Divipola!$C$2:$F$1138,4,FALSE)</f>
        <v>19397</v>
      </c>
      <c r="F3161" s="4"/>
      <c r="G3161" s="101"/>
      <c r="H3161" s="101"/>
      <c r="I3161" s="101"/>
      <c r="J3161" s="101">
        <v>60</v>
      </c>
      <c r="K3161" s="101">
        <v>12</v>
      </c>
      <c r="L3161" s="101"/>
      <c r="M3161" s="101">
        <v>12</v>
      </c>
      <c r="N3161" s="101"/>
      <c r="O3161" s="101"/>
      <c r="P3161" s="101"/>
      <c r="Q3161" s="101"/>
      <c r="R3161" s="101"/>
      <c r="S3161" s="101"/>
      <c r="T3161" s="101"/>
      <c r="U3161" s="19"/>
      <c r="V3161" s="101"/>
      <c r="W3161" s="19"/>
      <c r="X3161" s="17"/>
      <c r="Y3161" s="5">
        <f t="shared" si="304"/>
        <v>0</v>
      </c>
      <c r="Z3161" s="5">
        <f t="shared" si="305"/>
        <v>0</v>
      </c>
      <c r="AA3161" s="5">
        <f t="shared" si="306"/>
        <v>0</v>
      </c>
      <c r="AB3161" s="5">
        <f t="shared" si="307"/>
        <v>0</v>
      </c>
      <c r="AC3161" s="5"/>
      <c r="AD3161" s="5">
        <v>0</v>
      </c>
      <c r="AE3161" s="5">
        <f t="shared" si="308"/>
        <v>0</v>
      </c>
      <c r="AF3161" s="70">
        <v>0</v>
      </c>
      <c r="AG3161" s="17"/>
      <c r="AH3161" s="18"/>
      <c r="AI3161" s="47" t="s">
        <v>4336</v>
      </c>
      <c r="AJ3161" s="73" t="s">
        <v>4337</v>
      </c>
      <c r="AK3161" s="45"/>
      <c r="AL3161" s="17"/>
      <c r="AM3161" s="121" t="s">
        <v>5497</v>
      </c>
      <c r="AN3161" s="19"/>
      <c r="AO3161" s="19"/>
      <c r="AP3161" s="19"/>
      <c r="AQ3161" s="19"/>
      <c r="AR3161" s="19"/>
      <c r="AS3161" s="19"/>
      <c r="AT3161" s="19"/>
      <c r="AU3161" s="19"/>
      <c r="AV3161" s="19"/>
      <c r="AW3161" s="19"/>
      <c r="AX3161" s="19"/>
      <c r="AY3161" s="19"/>
      <c r="AZ3161" s="19"/>
      <c r="BA3161" s="19"/>
      <c r="BB3161" s="19"/>
      <c r="BC3161" s="19"/>
      <c r="BD3161" s="19"/>
      <c r="BE3161" s="19"/>
      <c r="BF3161" s="19"/>
      <c r="BG3161" s="19"/>
      <c r="BH3161" s="19"/>
      <c r="BI3161" s="19"/>
      <c r="BJ3161" s="19"/>
      <c r="BK3161" s="19"/>
      <c r="BL3161" s="19"/>
      <c r="BM3161" s="19"/>
      <c r="BN3161" s="19"/>
      <c r="BO3161" s="19"/>
      <c r="BP3161" s="19"/>
      <c r="BQ3161" s="19"/>
      <c r="BR3161" s="19"/>
      <c r="BS3161" s="19"/>
      <c r="BT3161" s="19"/>
      <c r="BU3161" s="19"/>
      <c r="BV3161" s="19"/>
      <c r="BW3161" s="19"/>
      <c r="BX3161" s="19"/>
      <c r="BY3161" s="19"/>
      <c r="BZ3161" s="19"/>
      <c r="CA3161" s="19"/>
      <c r="CB3161" s="19"/>
      <c r="CC3161" s="19"/>
      <c r="CD3161" s="139"/>
      <c r="CE3161" s="138"/>
      <c r="CF3161" s="139"/>
      <c r="CG3161" s="138"/>
      <c r="CH3161" s="139"/>
      <c r="CI3161" s="138"/>
      <c r="CJ3161" s="72"/>
      <c r="CK3161" s="139"/>
      <c r="CL3161" s="71"/>
      <c r="CM3161" s="139"/>
      <c r="CN3161" s="138"/>
      <c r="CO3161" s="138"/>
      <c r="CP3161" s="138"/>
      <c r="CQ3161" s="139"/>
      <c r="CR3161" s="138"/>
      <c r="CS3161" s="45"/>
      <c r="CT3161" s="138"/>
      <c r="CU3161" s="45"/>
      <c r="CV3161" s="99">
        <f t="shared" si="309"/>
        <v>0</v>
      </c>
      <c r="CW3161" s="139"/>
      <c r="CX3161" s="138"/>
      <c r="CY3161" s="138"/>
      <c r="CZ3161" s="138"/>
      <c r="DA3161" s="139"/>
      <c r="DB3161" s="138"/>
      <c r="DC3161" s="45"/>
      <c r="DD3161" s="138"/>
      <c r="DE3161" s="45"/>
      <c r="DF3161" s="46"/>
    </row>
    <row r="3162" spans="1:110" s="42" customFormat="1" x14ac:dyDescent="0.2">
      <c r="A3162" s="17">
        <v>40898</v>
      </c>
      <c r="B3162" s="16" t="s">
        <v>4326</v>
      </c>
      <c r="C3162" s="16" t="s">
        <v>4345</v>
      </c>
      <c r="D3162" s="90" t="s">
        <v>4264</v>
      </c>
      <c r="E3162" s="90">
        <f>VLOOKUP(B3162&amp;C3162,Divipola!$C$2:$F$1138,4,FALSE)</f>
        <v>8</v>
      </c>
      <c r="F3162" s="4"/>
      <c r="G3162" s="208"/>
      <c r="H3162" s="208"/>
      <c r="I3162" s="208"/>
      <c r="J3162" s="208"/>
      <c r="K3162" s="208"/>
      <c r="L3162" s="208"/>
      <c r="M3162" s="208"/>
      <c r="N3162" s="208"/>
      <c r="O3162" s="208"/>
      <c r="P3162" s="208"/>
      <c r="Q3162" s="208"/>
      <c r="R3162" s="208"/>
      <c r="S3162" s="208"/>
      <c r="T3162" s="208"/>
      <c r="U3162" s="208"/>
      <c r="V3162" s="208"/>
      <c r="W3162" s="19"/>
      <c r="X3162" s="17"/>
      <c r="Y3162" s="5">
        <f t="shared" si="304"/>
        <v>0</v>
      </c>
      <c r="Z3162" s="5">
        <f t="shared" si="305"/>
        <v>0</v>
      </c>
      <c r="AA3162" s="5">
        <f t="shared" si="306"/>
        <v>25069920</v>
      </c>
      <c r="AB3162" s="5">
        <f t="shared" si="307"/>
        <v>0</v>
      </c>
      <c r="AC3162" s="5"/>
      <c r="AD3162" s="5">
        <v>0</v>
      </c>
      <c r="AE3162" s="5">
        <f t="shared" si="308"/>
        <v>25069920</v>
      </c>
      <c r="AF3162" s="70">
        <v>0</v>
      </c>
      <c r="AG3162" s="17"/>
      <c r="AH3162" s="18"/>
      <c r="AI3162" s="47" t="s">
        <v>4346</v>
      </c>
      <c r="AJ3162" s="73" t="s">
        <v>4347</v>
      </c>
      <c r="AK3162" s="45"/>
      <c r="AL3162" s="17"/>
      <c r="AM3162" s="20"/>
      <c r="AN3162" s="19"/>
      <c r="AO3162" s="19"/>
      <c r="AP3162" s="19"/>
      <c r="AQ3162" s="19"/>
      <c r="AR3162" s="19"/>
      <c r="AS3162" s="19"/>
      <c r="AT3162" s="19"/>
      <c r="AU3162" s="19"/>
      <c r="AV3162" s="19"/>
      <c r="AW3162" s="19"/>
      <c r="AX3162" s="19"/>
      <c r="AY3162" s="19"/>
      <c r="AZ3162" s="19"/>
      <c r="BA3162" s="19"/>
      <c r="BB3162" s="19"/>
      <c r="BC3162" s="19"/>
      <c r="BD3162" s="19"/>
      <c r="BE3162" s="19"/>
      <c r="BF3162" s="19"/>
      <c r="BG3162" s="19"/>
      <c r="BH3162" s="19"/>
      <c r="BI3162" s="19"/>
      <c r="BJ3162" s="19"/>
      <c r="BK3162" s="19"/>
      <c r="BL3162" s="19"/>
      <c r="BM3162" s="19"/>
      <c r="BN3162" s="19"/>
      <c r="BO3162" s="19"/>
      <c r="BP3162" s="19"/>
      <c r="BQ3162" s="19"/>
      <c r="BR3162" s="19"/>
      <c r="BS3162" s="19"/>
      <c r="BT3162" s="19"/>
      <c r="BU3162" s="19"/>
      <c r="BV3162" s="19"/>
      <c r="BW3162" s="19"/>
      <c r="BX3162" s="19"/>
      <c r="BY3162" s="19"/>
      <c r="BZ3162" s="19"/>
      <c r="CA3162" s="19"/>
      <c r="CB3162" s="19"/>
      <c r="CC3162" s="19"/>
      <c r="CD3162" s="139"/>
      <c r="CE3162" s="138"/>
      <c r="CF3162" s="139"/>
      <c r="CG3162" s="138"/>
      <c r="CH3162" s="139"/>
      <c r="CI3162" s="138"/>
      <c r="CJ3162" s="72"/>
      <c r="CK3162" s="139"/>
      <c r="CL3162" s="71"/>
      <c r="CM3162" s="139"/>
      <c r="CN3162" s="138"/>
      <c r="CO3162" s="138"/>
      <c r="CP3162" s="138"/>
      <c r="CQ3162" s="139"/>
      <c r="CR3162" s="138"/>
      <c r="CS3162" s="45"/>
      <c r="CT3162" s="138"/>
      <c r="CU3162" s="45"/>
      <c r="CV3162" s="99">
        <f t="shared" si="309"/>
        <v>0</v>
      </c>
      <c r="CW3162" s="139"/>
      <c r="CX3162" s="138"/>
      <c r="CY3162" s="138"/>
      <c r="CZ3162" s="138"/>
      <c r="DA3162" s="139"/>
      <c r="DB3162" s="138"/>
      <c r="DC3162" s="45">
        <f>400+400</f>
        <v>800</v>
      </c>
      <c r="DD3162" s="138">
        <f>400*22499.36+400*35999.44+4800*348</f>
        <v>25069920</v>
      </c>
      <c r="DE3162" s="45"/>
      <c r="DF3162" s="46"/>
    </row>
    <row r="3163" spans="1:110" s="42" customFormat="1" ht="84" x14ac:dyDescent="0.2">
      <c r="A3163" s="89">
        <v>40899</v>
      </c>
      <c r="B3163" s="16" t="s">
        <v>4282</v>
      </c>
      <c r="C3163" s="16" t="s">
        <v>4262</v>
      </c>
      <c r="D3163" s="16" t="s">
        <v>4264</v>
      </c>
      <c r="E3163" s="90" t="str">
        <f>VLOOKUP(B3163&amp;C3163,Divipola!$C$2:$F$1138,4,FALSE)</f>
        <v>23580</v>
      </c>
      <c r="F3163" s="4"/>
      <c r="G3163" s="208"/>
      <c r="H3163" s="208"/>
      <c r="I3163" s="208"/>
      <c r="J3163" s="208"/>
      <c r="K3163" s="208"/>
      <c r="L3163" s="208"/>
      <c r="M3163" s="208"/>
      <c r="N3163" s="208"/>
      <c r="O3163" s="208"/>
      <c r="P3163" s="208"/>
      <c r="Q3163" s="208"/>
      <c r="R3163" s="208"/>
      <c r="S3163" s="208"/>
      <c r="T3163" s="208"/>
      <c r="U3163" s="208"/>
      <c r="V3163" s="208"/>
      <c r="W3163" s="19"/>
      <c r="X3163" s="17"/>
      <c r="Y3163" s="5">
        <f t="shared" si="304"/>
        <v>0</v>
      </c>
      <c r="Z3163" s="5">
        <f t="shared" si="305"/>
        <v>0</v>
      </c>
      <c r="AA3163" s="5">
        <f t="shared" si="306"/>
        <v>0</v>
      </c>
      <c r="AB3163" s="5">
        <f t="shared" si="307"/>
        <v>0</v>
      </c>
      <c r="AC3163" s="5"/>
      <c r="AD3163" s="5">
        <v>20000000</v>
      </c>
      <c r="AE3163" s="5">
        <f t="shared" si="308"/>
        <v>20000000</v>
      </c>
      <c r="AF3163" s="70">
        <v>0</v>
      </c>
      <c r="AG3163" s="17"/>
      <c r="AH3163" s="18"/>
      <c r="AI3163" s="47" t="s">
        <v>4346</v>
      </c>
      <c r="AJ3163" s="73" t="s">
        <v>4347</v>
      </c>
      <c r="AK3163" s="45"/>
      <c r="AL3163" s="17"/>
      <c r="AM3163" s="20" t="s">
        <v>5503</v>
      </c>
      <c r="AN3163" s="19"/>
      <c r="AO3163" s="19"/>
      <c r="AP3163" s="19"/>
      <c r="AQ3163" s="19"/>
      <c r="AR3163" s="19"/>
      <c r="AS3163" s="19"/>
      <c r="AT3163" s="19"/>
      <c r="AU3163" s="19"/>
      <c r="AV3163" s="19"/>
      <c r="AW3163" s="19"/>
      <c r="AX3163" s="19"/>
      <c r="AY3163" s="19"/>
      <c r="AZ3163" s="19"/>
      <c r="BA3163" s="19"/>
      <c r="BB3163" s="19"/>
      <c r="BC3163" s="19"/>
      <c r="BD3163" s="19"/>
      <c r="BE3163" s="19"/>
      <c r="BF3163" s="19"/>
      <c r="BG3163" s="19"/>
      <c r="BH3163" s="19"/>
      <c r="BI3163" s="19"/>
      <c r="BJ3163" s="19"/>
      <c r="BK3163" s="19"/>
      <c r="BL3163" s="19"/>
      <c r="BM3163" s="19"/>
      <c r="BN3163" s="19"/>
      <c r="BO3163" s="19"/>
      <c r="BP3163" s="19"/>
      <c r="BQ3163" s="19"/>
      <c r="BR3163" s="19"/>
      <c r="BS3163" s="19"/>
      <c r="BT3163" s="19"/>
      <c r="BU3163" s="19"/>
      <c r="BV3163" s="19"/>
      <c r="BW3163" s="19"/>
      <c r="BX3163" s="19"/>
      <c r="BY3163" s="19"/>
      <c r="BZ3163" s="19"/>
      <c r="CA3163" s="19"/>
      <c r="CB3163" s="19"/>
      <c r="CC3163" s="19"/>
      <c r="CD3163" s="139"/>
      <c r="CE3163" s="138"/>
      <c r="CF3163" s="139"/>
      <c r="CG3163" s="138"/>
      <c r="CH3163" s="139"/>
      <c r="CI3163" s="138"/>
      <c r="CJ3163" s="72"/>
      <c r="CK3163" s="139"/>
      <c r="CL3163" s="71"/>
      <c r="CM3163" s="139"/>
      <c r="CN3163" s="138"/>
      <c r="CO3163" s="138"/>
      <c r="CP3163" s="138"/>
      <c r="CQ3163" s="139"/>
      <c r="CR3163" s="138"/>
      <c r="CS3163" s="45"/>
      <c r="CT3163" s="138"/>
      <c r="CU3163" s="45"/>
      <c r="CV3163" s="99">
        <f t="shared" si="309"/>
        <v>0</v>
      </c>
      <c r="CW3163" s="139"/>
      <c r="CX3163" s="138"/>
      <c r="CY3163" s="138"/>
      <c r="CZ3163" s="138"/>
      <c r="DA3163" s="139"/>
      <c r="DB3163" s="138"/>
      <c r="DC3163" s="45"/>
      <c r="DD3163" s="138"/>
      <c r="DE3163" s="45"/>
      <c r="DF3163" s="46"/>
    </row>
    <row r="3164" spans="1:110" s="42" customFormat="1" ht="409.5" x14ac:dyDescent="0.2">
      <c r="A3164" s="89">
        <v>40900</v>
      </c>
      <c r="B3164" s="16" t="s">
        <v>4348</v>
      </c>
      <c r="C3164" s="16" t="s">
        <v>601</v>
      </c>
      <c r="D3164" s="16" t="s">
        <v>3311</v>
      </c>
      <c r="E3164" s="90" t="str">
        <f>VLOOKUP(B3164&amp;C3164,Divipola!$C$2:$F$1138,4,FALSE)</f>
        <v>66170</v>
      </c>
      <c r="F3164" s="4"/>
      <c r="G3164" s="194">
        <v>30</v>
      </c>
      <c r="H3164" s="194">
        <v>73</v>
      </c>
      <c r="I3164" s="194"/>
      <c r="J3164" s="194">
        <v>655</v>
      </c>
      <c r="K3164" s="194">
        <v>131</v>
      </c>
      <c r="L3164" s="194">
        <v>33</v>
      </c>
      <c r="M3164" s="194">
        <v>74</v>
      </c>
      <c r="N3164" s="194"/>
      <c r="O3164" s="194"/>
      <c r="P3164" s="194"/>
      <c r="Q3164" s="194">
        <v>4</v>
      </c>
      <c r="R3164" s="194"/>
      <c r="S3164" s="194"/>
      <c r="T3164" s="194"/>
      <c r="U3164" s="194"/>
      <c r="V3164" s="194"/>
      <c r="W3164" s="19"/>
      <c r="X3164" s="17"/>
      <c r="Y3164" s="5">
        <f t="shared" si="304"/>
        <v>56969920</v>
      </c>
      <c r="Z3164" s="5">
        <f t="shared" si="305"/>
        <v>8500000</v>
      </c>
      <c r="AA3164" s="5">
        <f t="shared" si="306"/>
        <v>0</v>
      </c>
      <c r="AB3164" s="5">
        <f t="shared" si="307"/>
        <v>0</v>
      </c>
      <c r="AC3164" s="5">
        <f>20*250000*3+17*250000*3+9*250000*3+14*250000*3</f>
        <v>45000000</v>
      </c>
      <c r="AD3164" s="5">
        <v>0</v>
      </c>
      <c r="AE3164" s="5">
        <f t="shared" si="308"/>
        <v>110469920</v>
      </c>
      <c r="AF3164" s="70">
        <v>0</v>
      </c>
      <c r="AG3164" s="17"/>
      <c r="AH3164" s="18"/>
      <c r="AI3164" s="47" t="s">
        <v>4346</v>
      </c>
      <c r="AJ3164" s="73" t="s">
        <v>4347</v>
      </c>
      <c r="AK3164" s="45"/>
      <c r="AL3164" s="17"/>
      <c r="AM3164" s="121" t="s">
        <v>5605</v>
      </c>
      <c r="AN3164" s="19"/>
      <c r="AO3164" s="19"/>
      <c r="AP3164" s="19"/>
      <c r="AQ3164" s="19"/>
      <c r="AR3164" s="19"/>
      <c r="AS3164" s="19"/>
      <c r="AT3164" s="19"/>
      <c r="AU3164" s="19"/>
      <c r="AV3164" s="19"/>
      <c r="AW3164" s="19"/>
      <c r="AX3164" s="19">
        <v>50</v>
      </c>
      <c r="AY3164" s="19">
        <f>17*800000+27*600000+6*450000</f>
        <v>32500000</v>
      </c>
      <c r="AZ3164" s="19">
        <v>300</v>
      </c>
      <c r="BA3164" s="19">
        <f>300*56000</f>
        <v>16800000</v>
      </c>
      <c r="BB3164" s="19"/>
      <c r="BC3164" s="19"/>
      <c r="BD3164" s="19"/>
      <c r="BE3164" s="19"/>
      <c r="BF3164" s="19"/>
      <c r="BG3164" s="19"/>
      <c r="BH3164" s="19"/>
      <c r="BI3164" s="19"/>
      <c r="BJ3164" s="19"/>
      <c r="BK3164" s="19"/>
      <c r="BL3164" s="19"/>
      <c r="BM3164" s="19"/>
      <c r="BN3164" s="19"/>
      <c r="BO3164" s="19"/>
      <c r="BP3164" s="19"/>
      <c r="BQ3164" s="19"/>
      <c r="BR3164" s="19"/>
      <c r="BS3164" s="19"/>
      <c r="BT3164" s="19"/>
      <c r="BU3164" s="19"/>
      <c r="BV3164" s="19"/>
      <c r="BW3164" s="19"/>
      <c r="BX3164" s="19"/>
      <c r="BY3164" s="19"/>
      <c r="BZ3164" s="19"/>
      <c r="CA3164" s="19"/>
      <c r="CB3164" s="19"/>
      <c r="CC3164" s="19"/>
      <c r="CD3164" s="139"/>
      <c r="CE3164" s="138"/>
      <c r="CF3164" s="139"/>
      <c r="CG3164" s="138"/>
      <c r="CH3164" s="139"/>
      <c r="CI3164" s="138"/>
      <c r="CJ3164" s="72"/>
      <c r="CK3164" s="139"/>
      <c r="CL3164" s="71"/>
      <c r="CM3164" s="139"/>
      <c r="CN3164" s="138"/>
      <c r="CO3164" s="138"/>
      <c r="CP3164" s="138">
        <v>100</v>
      </c>
      <c r="CQ3164" s="139">
        <f>100*36999.36</f>
        <v>3699936</v>
      </c>
      <c r="CR3164" s="138">
        <v>100</v>
      </c>
      <c r="CS3164" s="45">
        <f>100*39699.84</f>
        <v>3969983.9999999995</v>
      </c>
      <c r="CT3164" s="138"/>
      <c r="CU3164" s="45"/>
      <c r="CV3164" s="99">
        <f t="shared" si="309"/>
        <v>56969920</v>
      </c>
      <c r="CW3164" s="139"/>
      <c r="CX3164" s="138"/>
      <c r="CY3164" s="138">
        <v>100</v>
      </c>
      <c r="CZ3164" s="138">
        <f>100*85000</f>
        <v>8500000</v>
      </c>
      <c r="DA3164" s="139"/>
      <c r="DB3164" s="138"/>
      <c r="DC3164" s="45"/>
      <c r="DD3164" s="138"/>
      <c r="DE3164" s="45"/>
      <c r="DF3164" s="46"/>
    </row>
    <row r="3165" spans="1:110" s="42" customFormat="1" ht="36" x14ac:dyDescent="0.2">
      <c r="A3165" s="89">
        <v>40901</v>
      </c>
      <c r="B3165" s="151" t="s">
        <v>2225</v>
      </c>
      <c r="C3165" s="90" t="s">
        <v>4258</v>
      </c>
      <c r="D3165" s="90" t="s">
        <v>4264</v>
      </c>
      <c r="E3165" s="90" t="str">
        <f>VLOOKUP(B3165&amp;C3165,Divipola!$C$2:$F$1138,4,FALSE)</f>
        <v>27787</v>
      </c>
      <c r="F3165" s="4"/>
      <c r="G3165" s="194"/>
      <c r="H3165" s="194"/>
      <c r="I3165" s="194"/>
      <c r="J3165" s="194">
        <v>1357</v>
      </c>
      <c r="K3165" s="194">
        <v>295</v>
      </c>
      <c r="L3165" s="194"/>
      <c r="M3165" s="194">
        <v>250</v>
      </c>
      <c r="N3165" s="194"/>
      <c r="O3165" s="194"/>
      <c r="P3165" s="194"/>
      <c r="Q3165" s="194"/>
      <c r="R3165" s="194"/>
      <c r="S3165" s="194"/>
      <c r="T3165" s="194"/>
      <c r="U3165" s="194"/>
      <c r="V3165" s="194"/>
      <c r="W3165" s="19"/>
      <c r="X3165" s="17"/>
      <c r="Y3165" s="5">
        <f t="shared" si="304"/>
        <v>0</v>
      </c>
      <c r="Z3165" s="5">
        <f t="shared" si="305"/>
        <v>25500003</v>
      </c>
      <c r="AA3165" s="5">
        <f t="shared" si="306"/>
        <v>0</v>
      </c>
      <c r="AB3165" s="5">
        <f t="shared" si="307"/>
        <v>0</v>
      </c>
      <c r="AC3165" s="5"/>
      <c r="AD3165" s="5">
        <v>0</v>
      </c>
      <c r="AE3165" s="5">
        <f t="shared" si="308"/>
        <v>25500003</v>
      </c>
      <c r="AF3165" s="70">
        <v>0</v>
      </c>
      <c r="AG3165" s="17"/>
      <c r="AH3165" s="18"/>
      <c r="AI3165" s="47" t="s">
        <v>4346</v>
      </c>
      <c r="AJ3165" s="73" t="s">
        <v>4347</v>
      </c>
      <c r="AK3165" s="45"/>
      <c r="AL3165" s="17"/>
      <c r="AM3165" s="195" t="s">
        <v>5505</v>
      </c>
      <c r="AN3165" s="19"/>
      <c r="AO3165" s="19"/>
      <c r="AP3165" s="19"/>
      <c r="AQ3165" s="19"/>
      <c r="AR3165" s="19"/>
      <c r="AS3165" s="19"/>
      <c r="AT3165" s="19"/>
      <c r="AU3165" s="19"/>
      <c r="AV3165" s="19"/>
      <c r="AW3165" s="19"/>
      <c r="AX3165" s="19"/>
      <c r="AY3165" s="19"/>
      <c r="AZ3165" s="19"/>
      <c r="BA3165" s="19"/>
      <c r="BB3165" s="19"/>
      <c r="BC3165" s="19"/>
      <c r="BD3165" s="19"/>
      <c r="BE3165" s="19"/>
      <c r="BF3165" s="19"/>
      <c r="BG3165" s="19"/>
      <c r="BH3165" s="19"/>
      <c r="BI3165" s="19"/>
      <c r="BJ3165" s="19"/>
      <c r="BK3165" s="19"/>
      <c r="BL3165" s="19"/>
      <c r="BM3165" s="19"/>
      <c r="BN3165" s="19"/>
      <c r="BO3165" s="19"/>
      <c r="BP3165" s="19"/>
      <c r="BQ3165" s="19"/>
      <c r="BR3165" s="19"/>
      <c r="BS3165" s="19"/>
      <c r="BT3165" s="19"/>
      <c r="BU3165" s="19"/>
      <c r="BV3165" s="19"/>
      <c r="BW3165" s="19"/>
      <c r="BX3165" s="19"/>
      <c r="BY3165" s="19"/>
      <c r="BZ3165" s="19"/>
      <c r="CA3165" s="19"/>
      <c r="CB3165" s="19"/>
      <c r="CC3165" s="19"/>
      <c r="CD3165" s="139"/>
      <c r="CE3165" s="138"/>
      <c r="CF3165" s="139"/>
      <c r="CG3165" s="138"/>
      <c r="CH3165" s="139"/>
      <c r="CI3165" s="138"/>
      <c r="CJ3165" s="72"/>
      <c r="CK3165" s="139"/>
      <c r="CL3165" s="71"/>
      <c r="CM3165" s="139"/>
      <c r="CN3165" s="138"/>
      <c r="CO3165" s="138"/>
      <c r="CP3165" s="138"/>
      <c r="CQ3165" s="139"/>
      <c r="CR3165" s="138"/>
      <c r="CS3165" s="45"/>
      <c r="CT3165" s="138"/>
      <c r="CU3165" s="45"/>
      <c r="CV3165" s="99">
        <f t="shared" si="309"/>
        <v>0</v>
      </c>
      <c r="CW3165" s="139"/>
      <c r="CX3165" s="138"/>
      <c r="CY3165" s="138">
        <v>300</v>
      </c>
      <c r="CZ3165" s="138">
        <f>300*85000.01</f>
        <v>25500003</v>
      </c>
      <c r="DA3165" s="139"/>
      <c r="DB3165" s="138"/>
      <c r="DC3165" s="45"/>
      <c r="DD3165" s="138"/>
      <c r="DE3165" s="45"/>
      <c r="DF3165" s="46"/>
    </row>
    <row r="3166" spans="1:110" s="42" customFormat="1" ht="72" x14ac:dyDescent="0.2">
      <c r="A3166" s="89">
        <v>40901</v>
      </c>
      <c r="B3166" s="151" t="s">
        <v>4263</v>
      </c>
      <c r="C3166" s="90" t="s">
        <v>4315</v>
      </c>
      <c r="D3166" s="90" t="s">
        <v>4264</v>
      </c>
      <c r="E3166" s="90" t="str">
        <f>VLOOKUP(B3166&amp;C3166,Divipola!$C$2:$F$1138,4,FALSE)</f>
        <v>86001</v>
      </c>
      <c r="F3166" s="4"/>
      <c r="G3166" s="194"/>
      <c r="H3166" s="194"/>
      <c r="I3166" s="194"/>
      <c r="J3166" s="194"/>
      <c r="K3166" s="194"/>
      <c r="L3166" s="194"/>
      <c r="M3166" s="194"/>
      <c r="N3166" s="194"/>
      <c r="O3166" s="194"/>
      <c r="P3166" s="194"/>
      <c r="Q3166" s="194"/>
      <c r="R3166" s="194"/>
      <c r="S3166" s="194"/>
      <c r="T3166" s="194"/>
      <c r="U3166" s="194">
        <v>1</v>
      </c>
      <c r="V3166" s="194"/>
      <c r="W3166" s="19"/>
      <c r="X3166" s="17"/>
      <c r="Y3166" s="5">
        <f t="shared" si="304"/>
        <v>0</v>
      </c>
      <c r="Z3166" s="5">
        <f t="shared" si="305"/>
        <v>0</v>
      </c>
      <c r="AA3166" s="5">
        <f t="shared" si="306"/>
        <v>0</v>
      </c>
      <c r="AB3166" s="5">
        <f t="shared" si="307"/>
        <v>0</v>
      </c>
      <c r="AC3166" s="5"/>
      <c r="AD3166" s="5">
        <v>0</v>
      </c>
      <c r="AE3166" s="5">
        <f t="shared" si="308"/>
        <v>0</v>
      </c>
      <c r="AF3166" s="70">
        <v>0</v>
      </c>
      <c r="AG3166" s="17"/>
      <c r="AH3166" s="18"/>
      <c r="AI3166" s="47" t="s">
        <v>4336</v>
      </c>
      <c r="AJ3166" s="73" t="s">
        <v>4337</v>
      </c>
      <c r="AK3166" s="45"/>
      <c r="AL3166" s="17"/>
      <c r="AM3166" s="195" t="s">
        <v>5507</v>
      </c>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39"/>
      <c r="CE3166" s="138"/>
      <c r="CF3166" s="139"/>
      <c r="CG3166" s="138"/>
      <c r="CH3166" s="139"/>
      <c r="CI3166" s="138"/>
      <c r="CJ3166" s="72"/>
      <c r="CK3166" s="139"/>
      <c r="CL3166" s="71"/>
      <c r="CM3166" s="139"/>
      <c r="CN3166" s="138"/>
      <c r="CO3166" s="138"/>
      <c r="CP3166" s="138"/>
      <c r="CQ3166" s="139"/>
      <c r="CR3166" s="138"/>
      <c r="CS3166" s="45"/>
      <c r="CT3166" s="138"/>
      <c r="CU3166" s="45"/>
      <c r="CV3166" s="99">
        <f t="shared" si="309"/>
        <v>0</v>
      </c>
      <c r="CW3166" s="139"/>
      <c r="CX3166" s="138"/>
      <c r="CY3166" s="138"/>
      <c r="CZ3166" s="138"/>
      <c r="DA3166" s="139"/>
      <c r="DB3166" s="138"/>
      <c r="DC3166" s="45"/>
      <c r="DD3166" s="138"/>
      <c r="DE3166" s="45"/>
      <c r="DF3166" s="46"/>
    </row>
    <row r="3167" spans="1:110" s="42" customFormat="1" ht="48" x14ac:dyDescent="0.2">
      <c r="A3167" s="89">
        <v>40901</v>
      </c>
      <c r="B3167" s="151" t="s">
        <v>4352</v>
      </c>
      <c r="C3167" s="90" t="s">
        <v>2532</v>
      </c>
      <c r="D3167" s="90" t="s">
        <v>4264</v>
      </c>
      <c r="E3167" s="90" t="str">
        <f>VLOOKUP(B3167&amp;C3167,Divipola!$C$2:$F$1138,4,FALSE)</f>
        <v>13647</v>
      </c>
      <c r="F3167" s="4"/>
      <c r="G3167" s="101"/>
      <c r="H3167" s="101"/>
      <c r="I3167" s="101"/>
      <c r="J3167" s="101">
        <f>600*5</f>
        <v>3000</v>
      </c>
      <c r="K3167" s="101">
        <v>600</v>
      </c>
      <c r="L3167" s="101"/>
      <c r="M3167" s="101"/>
      <c r="N3167" s="101"/>
      <c r="O3167" s="101"/>
      <c r="P3167" s="101"/>
      <c r="Q3167" s="101"/>
      <c r="R3167" s="101"/>
      <c r="S3167" s="101"/>
      <c r="T3167" s="101"/>
      <c r="U3167" s="101"/>
      <c r="V3167" s="101"/>
      <c r="W3167" s="19"/>
      <c r="X3167" s="17"/>
      <c r="Y3167" s="5">
        <f t="shared" si="304"/>
        <v>0</v>
      </c>
      <c r="Z3167" s="5">
        <f t="shared" si="305"/>
        <v>0</v>
      </c>
      <c r="AA3167" s="5">
        <f t="shared" si="306"/>
        <v>0</v>
      </c>
      <c r="AB3167" s="5">
        <f t="shared" si="307"/>
        <v>0</v>
      </c>
      <c r="AC3167" s="5"/>
      <c r="AD3167" s="5">
        <v>0</v>
      </c>
      <c r="AE3167" s="5">
        <f t="shared" si="308"/>
        <v>0</v>
      </c>
      <c r="AF3167" s="70">
        <v>0</v>
      </c>
      <c r="AG3167" s="17"/>
      <c r="AH3167" s="18"/>
      <c r="AI3167" s="47" t="s">
        <v>4346</v>
      </c>
      <c r="AJ3167" s="73" t="s">
        <v>4347</v>
      </c>
      <c r="AK3167" s="45"/>
      <c r="AL3167" s="89" t="s">
        <v>2798</v>
      </c>
      <c r="AM3167" s="121" t="s">
        <v>5602</v>
      </c>
      <c r="AN3167" s="19"/>
      <c r="AO3167" s="19"/>
      <c r="AP3167" s="19"/>
      <c r="AQ3167" s="19"/>
      <c r="AR3167" s="19"/>
      <c r="AS3167" s="19"/>
      <c r="AT3167" s="19"/>
      <c r="AU3167" s="19"/>
      <c r="AV3167" s="19"/>
      <c r="AW3167" s="19"/>
      <c r="AX3167" s="19"/>
      <c r="AY3167" s="19"/>
      <c r="AZ3167" s="19"/>
      <c r="BA3167" s="19"/>
      <c r="BB3167" s="19"/>
      <c r="BC3167" s="19"/>
      <c r="BD3167" s="19"/>
      <c r="BE3167" s="19"/>
      <c r="BF3167" s="19"/>
      <c r="BG3167" s="19"/>
      <c r="BH3167" s="19"/>
      <c r="BI3167" s="19"/>
      <c r="BJ3167" s="19"/>
      <c r="BK3167" s="19"/>
      <c r="BL3167" s="19"/>
      <c r="BM3167" s="19"/>
      <c r="BN3167" s="19"/>
      <c r="BO3167" s="19"/>
      <c r="BP3167" s="19"/>
      <c r="BQ3167" s="19"/>
      <c r="BR3167" s="19"/>
      <c r="BS3167" s="19"/>
      <c r="BT3167" s="19"/>
      <c r="BU3167" s="19"/>
      <c r="BV3167" s="19"/>
      <c r="BW3167" s="19"/>
      <c r="BX3167" s="19"/>
      <c r="BY3167" s="19"/>
      <c r="BZ3167" s="19"/>
      <c r="CA3167" s="19"/>
      <c r="CB3167" s="19"/>
      <c r="CC3167" s="19"/>
      <c r="CD3167" s="139"/>
      <c r="CE3167" s="138"/>
      <c r="CF3167" s="139"/>
      <c r="CG3167" s="138"/>
      <c r="CH3167" s="139"/>
      <c r="CI3167" s="138"/>
      <c r="CJ3167" s="72"/>
      <c r="CK3167" s="139"/>
      <c r="CL3167" s="71"/>
      <c r="CM3167" s="139"/>
      <c r="CN3167" s="138"/>
      <c r="CO3167" s="138"/>
      <c r="CP3167" s="138"/>
      <c r="CQ3167" s="139"/>
      <c r="CR3167" s="138"/>
      <c r="CS3167" s="45"/>
      <c r="CT3167" s="138"/>
      <c r="CU3167" s="45"/>
      <c r="CV3167" s="99">
        <f t="shared" si="309"/>
        <v>0</v>
      </c>
      <c r="CW3167" s="139"/>
      <c r="CX3167" s="138"/>
      <c r="CY3167" s="138"/>
      <c r="CZ3167" s="138"/>
      <c r="DA3167" s="139"/>
      <c r="DB3167" s="138"/>
      <c r="DC3167" s="45"/>
      <c r="DD3167" s="138"/>
      <c r="DE3167" s="45"/>
      <c r="DF3167" s="46"/>
    </row>
    <row r="3168" spans="1:110" s="42" customFormat="1" ht="24" x14ac:dyDescent="0.2">
      <c r="A3168" s="254">
        <v>40902</v>
      </c>
      <c r="B3168" s="250" t="s">
        <v>4219</v>
      </c>
      <c r="C3168" s="251" t="s">
        <v>209</v>
      </c>
      <c r="D3168" s="252" t="s">
        <v>4264</v>
      </c>
      <c r="E3168" s="90" t="str">
        <f>VLOOKUP(B3168&amp;C3168,Divipola!$C$2:$F$1138,4,FALSE)</f>
        <v>41206</v>
      </c>
      <c r="F3168" s="4"/>
      <c r="G3168" s="327"/>
      <c r="H3168" s="327"/>
      <c r="I3168" s="327"/>
      <c r="J3168" s="328">
        <v>25</v>
      </c>
      <c r="K3168" s="328">
        <v>5</v>
      </c>
      <c r="L3168" s="246">
        <v>2</v>
      </c>
      <c r="M3168" s="246">
        <v>3</v>
      </c>
      <c r="N3168" s="246">
        <v>5</v>
      </c>
      <c r="O3168" s="246"/>
      <c r="P3168" s="246">
        <v>1</v>
      </c>
      <c r="Q3168" s="246">
        <v>4</v>
      </c>
      <c r="R3168" s="246"/>
      <c r="S3168" s="245"/>
      <c r="T3168" s="245"/>
      <c r="U3168" s="245"/>
      <c r="V3168" s="245"/>
      <c r="W3168" s="19"/>
      <c r="X3168" s="17"/>
      <c r="Y3168" s="5">
        <f t="shared" si="304"/>
        <v>0</v>
      </c>
      <c r="Z3168" s="5">
        <f t="shared" si="305"/>
        <v>0</v>
      </c>
      <c r="AA3168" s="5">
        <f t="shared" si="306"/>
        <v>0</v>
      </c>
      <c r="AB3168" s="5">
        <f t="shared" si="307"/>
        <v>0</v>
      </c>
      <c r="AC3168" s="5"/>
      <c r="AD3168" s="5">
        <v>0</v>
      </c>
      <c r="AE3168" s="5">
        <f t="shared" si="308"/>
        <v>0</v>
      </c>
      <c r="AF3168" s="70">
        <v>0</v>
      </c>
      <c r="AG3168" s="17"/>
      <c r="AH3168" s="18"/>
      <c r="AI3168" s="47" t="s">
        <v>4346</v>
      </c>
      <c r="AJ3168" s="73" t="s">
        <v>4347</v>
      </c>
      <c r="AK3168" s="45"/>
      <c r="AL3168" s="89" t="s">
        <v>2798</v>
      </c>
      <c r="AM3168" s="121" t="s">
        <v>5554</v>
      </c>
      <c r="AN3168" s="19"/>
      <c r="AO3168" s="19"/>
      <c r="AP3168" s="19"/>
      <c r="AQ3168" s="19"/>
      <c r="AR3168" s="19"/>
      <c r="AS3168" s="19"/>
      <c r="AT3168" s="19"/>
      <c r="AU3168" s="19"/>
      <c r="AV3168" s="19"/>
      <c r="AW3168" s="19"/>
      <c r="AX3168" s="19"/>
      <c r="AY3168" s="19"/>
      <c r="AZ3168" s="19"/>
      <c r="BA3168" s="19"/>
      <c r="BB3168" s="19"/>
      <c r="BC3168" s="19"/>
      <c r="BD3168" s="19"/>
      <c r="BE3168" s="19"/>
      <c r="BF3168" s="19"/>
      <c r="BG3168" s="19"/>
      <c r="BH3168" s="19"/>
      <c r="BI3168" s="19"/>
      <c r="BJ3168" s="19"/>
      <c r="BK3168" s="19"/>
      <c r="BL3168" s="19"/>
      <c r="BM3168" s="19"/>
      <c r="BN3168" s="19"/>
      <c r="BO3168" s="19"/>
      <c r="BP3168" s="19"/>
      <c r="BQ3168" s="19"/>
      <c r="BR3168" s="19"/>
      <c r="BS3168" s="19"/>
      <c r="BT3168" s="19"/>
      <c r="BU3168" s="19"/>
      <c r="BV3168" s="19"/>
      <c r="BW3168" s="19"/>
      <c r="BX3168" s="19"/>
      <c r="BY3168" s="19"/>
      <c r="BZ3168" s="19"/>
      <c r="CA3168" s="19"/>
      <c r="CB3168" s="19"/>
      <c r="CC3168" s="19"/>
      <c r="CD3168" s="139"/>
      <c r="CE3168" s="138"/>
      <c r="CF3168" s="139"/>
      <c r="CG3168" s="138"/>
      <c r="CH3168" s="139"/>
      <c r="CI3168" s="138"/>
      <c r="CJ3168" s="72"/>
      <c r="CK3168" s="139"/>
      <c r="CL3168" s="71"/>
      <c r="CM3168" s="139"/>
      <c r="CN3168" s="138"/>
      <c r="CO3168" s="138"/>
      <c r="CP3168" s="138"/>
      <c r="CQ3168" s="139"/>
      <c r="CR3168" s="138"/>
      <c r="CS3168" s="45"/>
      <c r="CT3168" s="138"/>
      <c r="CU3168" s="45"/>
      <c r="CV3168" s="99">
        <f t="shared" si="309"/>
        <v>0</v>
      </c>
      <c r="CW3168" s="139"/>
      <c r="CX3168" s="138"/>
      <c r="CY3168" s="138"/>
      <c r="CZ3168" s="138"/>
      <c r="DA3168" s="139"/>
      <c r="DB3168" s="138"/>
      <c r="DC3168" s="45"/>
      <c r="DD3168" s="138"/>
      <c r="DE3168" s="45"/>
      <c r="DF3168" s="46"/>
    </row>
    <row r="3169" spans="1:110" s="42" customFormat="1" ht="60" x14ac:dyDescent="0.2">
      <c r="A3169" s="89">
        <v>40903</v>
      </c>
      <c r="B3169" s="16" t="s">
        <v>4352</v>
      </c>
      <c r="C3169" s="16" t="s">
        <v>2566</v>
      </c>
      <c r="D3169" s="16" t="s">
        <v>4264</v>
      </c>
      <c r="E3169" s="90" t="str">
        <f>VLOOKUP(B3169&amp;C3169,Divipola!$C$2:$F$1138,4,FALSE)</f>
        <v>13836</v>
      </c>
      <c r="F3169" s="4"/>
      <c r="G3169" s="208"/>
      <c r="H3169" s="208"/>
      <c r="I3169" s="208"/>
      <c r="J3169" s="208"/>
      <c r="K3169" s="208"/>
      <c r="L3169" s="208"/>
      <c r="M3169" s="208"/>
      <c r="N3169" s="208">
        <v>1</v>
      </c>
      <c r="O3169" s="208"/>
      <c r="P3169" s="208"/>
      <c r="Q3169" s="208"/>
      <c r="R3169" s="208"/>
      <c r="S3169" s="208"/>
      <c r="T3169" s="208"/>
      <c r="U3169" s="208"/>
      <c r="V3169" s="208"/>
      <c r="W3169" s="19"/>
      <c r="X3169" s="17"/>
      <c r="Y3169" s="5">
        <f t="shared" si="304"/>
        <v>0</v>
      </c>
      <c r="Z3169" s="5">
        <f t="shared" si="305"/>
        <v>0</v>
      </c>
      <c r="AA3169" s="5">
        <f t="shared" si="306"/>
        <v>0</v>
      </c>
      <c r="AB3169" s="5">
        <f t="shared" si="307"/>
        <v>0</v>
      </c>
      <c r="AC3169" s="5"/>
      <c r="AD3169" s="5">
        <v>20000000</v>
      </c>
      <c r="AE3169" s="5">
        <f t="shared" si="308"/>
        <v>20000000</v>
      </c>
      <c r="AF3169" s="70">
        <v>0</v>
      </c>
      <c r="AG3169" s="17"/>
      <c r="AH3169" s="18"/>
      <c r="AI3169" s="47" t="s">
        <v>4346</v>
      </c>
      <c r="AJ3169" s="73" t="s">
        <v>4347</v>
      </c>
      <c r="AK3169" s="45"/>
      <c r="AL3169" s="17"/>
      <c r="AM3169" s="20" t="s">
        <v>5508</v>
      </c>
      <c r="AN3169" s="19"/>
      <c r="AO3169" s="19"/>
      <c r="AP3169" s="19"/>
      <c r="AQ3169" s="19"/>
      <c r="AR3169" s="19"/>
      <c r="AS3169" s="19"/>
      <c r="AT3169" s="19"/>
      <c r="AU3169" s="19"/>
      <c r="AV3169" s="19"/>
      <c r="AW3169" s="19"/>
      <c r="AX3169" s="19"/>
      <c r="AY3169" s="19"/>
      <c r="AZ3169" s="19"/>
      <c r="BA3169" s="19"/>
      <c r="BB3169" s="19"/>
      <c r="BC3169" s="19"/>
      <c r="BD3169" s="19"/>
      <c r="BE3169" s="19"/>
      <c r="BF3169" s="19"/>
      <c r="BG3169" s="19"/>
      <c r="BH3169" s="19"/>
      <c r="BI3169" s="19"/>
      <c r="BJ3169" s="19"/>
      <c r="BK3169" s="19"/>
      <c r="BL3169" s="19"/>
      <c r="BM3169" s="19"/>
      <c r="BN3169" s="19"/>
      <c r="BO3169" s="19"/>
      <c r="BP3169" s="19"/>
      <c r="BQ3169" s="19"/>
      <c r="BR3169" s="19"/>
      <c r="BS3169" s="19"/>
      <c r="BT3169" s="19"/>
      <c r="BU3169" s="19"/>
      <c r="BV3169" s="19"/>
      <c r="BW3169" s="19"/>
      <c r="BX3169" s="19"/>
      <c r="BY3169" s="19"/>
      <c r="BZ3169" s="19"/>
      <c r="CA3169" s="19"/>
      <c r="CB3169" s="19"/>
      <c r="CC3169" s="19"/>
      <c r="CD3169" s="139"/>
      <c r="CE3169" s="138"/>
      <c r="CF3169" s="139"/>
      <c r="CG3169" s="138"/>
      <c r="CH3169" s="139"/>
      <c r="CI3169" s="138"/>
      <c r="CJ3169" s="72"/>
      <c r="CK3169" s="139"/>
      <c r="CL3169" s="71"/>
      <c r="CM3169" s="139"/>
      <c r="CN3169" s="138"/>
      <c r="CO3169" s="138"/>
      <c r="CP3169" s="138"/>
      <c r="CQ3169" s="139"/>
      <c r="CR3169" s="138"/>
      <c r="CS3169" s="45"/>
      <c r="CT3169" s="138"/>
      <c r="CU3169" s="45"/>
      <c r="CV3169" s="99">
        <f t="shared" si="309"/>
        <v>0</v>
      </c>
      <c r="CW3169" s="139"/>
      <c r="CX3169" s="138"/>
      <c r="CY3169" s="138"/>
      <c r="CZ3169" s="138"/>
      <c r="DA3169" s="139"/>
      <c r="DB3169" s="138"/>
      <c r="DC3169" s="45"/>
      <c r="DD3169" s="138"/>
      <c r="DE3169" s="45"/>
      <c r="DF3169" s="46"/>
    </row>
    <row r="3170" spans="1:110" s="42" customFormat="1" ht="192" x14ac:dyDescent="0.2">
      <c r="A3170" s="89">
        <v>40903</v>
      </c>
      <c r="B3170" s="16" t="s">
        <v>4348</v>
      </c>
      <c r="C3170" s="16" t="s">
        <v>4345</v>
      </c>
      <c r="D3170" s="16" t="s">
        <v>4264</v>
      </c>
      <c r="E3170" s="90">
        <f>VLOOKUP(B3170&amp;C3170,Divipola!$C$2:$F$1138,4,FALSE)</f>
        <v>66</v>
      </c>
      <c r="F3170" s="4"/>
      <c r="G3170" s="208"/>
      <c r="H3170" s="208"/>
      <c r="I3170" s="208"/>
      <c r="J3170" s="208"/>
      <c r="K3170" s="208"/>
      <c r="L3170" s="208"/>
      <c r="M3170" s="208"/>
      <c r="N3170" s="208"/>
      <c r="O3170" s="208"/>
      <c r="P3170" s="208"/>
      <c r="Q3170" s="208"/>
      <c r="R3170" s="208"/>
      <c r="S3170" s="208"/>
      <c r="T3170" s="208"/>
      <c r="U3170" s="208"/>
      <c r="V3170" s="208"/>
      <c r="W3170" s="19"/>
      <c r="X3170" s="17"/>
      <c r="Y3170" s="5">
        <f t="shared" si="304"/>
        <v>0</v>
      </c>
      <c r="Z3170" s="5">
        <f t="shared" si="305"/>
        <v>0</v>
      </c>
      <c r="AA3170" s="5">
        <f t="shared" si="306"/>
        <v>0</v>
      </c>
      <c r="AB3170" s="5">
        <f t="shared" si="307"/>
        <v>0</v>
      </c>
      <c r="AC3170" s="5"/>
      <c r="AD3170" s="5">
        <v>250000000</v>
      </c>
      <c r="AE3170" s="5">
        <f t="shared" si="308"/>
        <v>250000000</v>
      </c>
      <c r="AF3170" s="70">
        <v>0</v>
      </c>
      <c r="AG3170" s="17"/>
      <c r="AH3170" s="18"/>
      <c r="AI3170" s="47" t="s">
        <v>4346</v>
      </c>
      <c r="AJ3170" s="73" t="s">
        <v>4347</v>
      </c>
      <c r="AK3170" s="45"/>
      <c r="AL3170" s="17"/>
      <c r="AM3170" s="20" t="s">
        <v>5509</v>
      </c>
      <c r="AN3170" s="19"/>
      <c r="AO3170" s="19"/>
      <c r="AP3170" s="19"/>
      <c r="AQ3170" s="19"/>
      <c r="AR3170" s="19"/>
      <c r="AS3170" s="19"/>
      <c r="AT3170" s="19"/>
      <c r="AU3170" s="19"/>
      <c r="AV3170" s="19"/>
      <c r="AW3170" s="19"/>
      <c r="AX3170" s="19"/>
      <c r="AY3170" s="19"/>
      <c r="AZ3170" s="19"/>
      <c r="BA3170" s="19"/>
      <c r="BB3170" s="19"/>
      <c r="BC3170" s="19"/>
      <c r="BD3170" s="19"/>
      <c r="BE3170" s="19"/>
      <c r="BF3170" s="19"/>
      <c r="BG3170" s="19"/>
      <c r="BH3170" s="19"/>
      <c r="BI3170" s="19"/>
      <c r="BJ3170" s="19"/>
      <c r="BK3170" s="19"/>
      <c r="BL3170" s="19"/>
      <c r="BM3170" s="19"/>
      <c r="BN3170" s="19"/>
      <c r="BO3170" s="19"/>
      <c r="BP3170" s="19"/>
      <c r="BQ3170" s="19"/>
      <c r="BR3170" s="19"/>
      <c r="BS3170" s="19"/>
      <c r="BT3170" s="19"/>
      <c r="BU3170" s="19"/>
      <c r="BV3170" s="19"/>
      <c r="BW3170" s="19"/>
      <c r="BX3170" s="19"/>
      <c r="BY3170" s="19"/>
      <c r="BZ3170" s="19"/>
      <c r="CA3170" s="19"/>
      <c r="CB3170" s="19"/>
      <c r="CC3170" s="19"/>
      <c r="CD3170" s="139"/>
      <c r="CE3170" s="138"/>
      <c r="CF3170" s="139"/>
      <c r="CG3170" s="138"/>
      <c r="CH3170" s="139"/>
      <c r="CI3170" s="138"/>
      <c r="CJ3170" s="72"/>
      <c r="CK3170" s="139"/>
      <c r="CL3170" s="71"/>
      <c r="CM3170" s="139"/>
      <c r="CN3170" s="138"/>
      <c r="CO3170" s="138"/>
      <c r="CP3170" s="138"/>
      <c r="CQ3170" s="139"/>
      <c r="CR3170" s="138"/>
      <c r="CS3170" s="45"/>
      <c r="CT3170" s="138"/>
      <c r="CU3170" s="45"/>
      <c r="CV3170" s="99">
        <f t="shared" si="309"/>
        <v>0</v>
      </c>
      <c r="CW3170" s="139"/>
      <c r="CX3170" s="138"/>
      <c r="CY3170" s="138"/>
      <c r="CZ3170" s="138"/>
      <c r="DA3170" s="139"/>
      <c r="DB3170" s="138"/>
      <c r="DC3170" s="45"/>
      <c r="DD3170" s="138"/>
      <c r="DE3170" s="45"/>
      <c r="DF3170" s="46"/>
    </row>
    <row r="3171" spans="1:110" s="42" customFormat="1" ht="132" x14ac:dyDescent="0.2">
      <c r="A3171" s="89">
        <v>40903</v>
      </c>
      <c r="B3171" s="16" t="s">
        <v>4344</v>
      </c>
      <c r="C3171" s="16" t="s">
        <v>2208</v>
      </c>
      <c r="D3171" s="16" t="s">
        <v>4264</v>
      </c>
      <c r="E3171" s="90" t="str">
        <f>VLOOKUP(B3171&amp;C3171,Divipola!$C$2:$F$1138,4,FALSE)</f>
        <v>25200</v>
      </c>
      <c r="F3171" s="4"/>
      <c r="G3171" s="208"/>
      <c r="H3171" s="208"/>
      <c r="I3171" s="208"/>
      <c r="J3171" s="208"/>
      <c r="K3171" s="208"/>
      <c r="L3171" s="208"/>
      <c r="M3171" s="208"/>
      <c r="N3171" s="208"/>
      <c r="O3171" s="208"/>
      <c r="P3171" s="208"/>
      <c r="Q3171" s="208"/>
      <c r="R3171" s="208"/>
      <c r="S3171" s="208"/>
      <c r="T3171" s="208"/>
      <c r="U3171" s="208"/>
      <c r="V3171" s="208"/>
      <c r="W3171" s="19"/>
      <c r="X3171" s="17"/>
      <c r="Y3171" s="5">
        <f t="shared" si="304"/>
        <v>0</v>
      </c>
      <c r="Z3171" s="5">
        <f t="shared" si="305"/>
        <v>0</v>
      </c>
      <c r="AA3171" s="5">
        <f t="shared" si="306"/>
        <v>0</v>
      </c>
      <c r="AB3171" s="5">
        <f t="shared" si="307"/>
        <v>0</v>
      </c>
      <c r="AC3171" s="5"/>
      <c r="AD3171" s="5">
        <v>300000000</v>
      </c>
      <c r="AE3171" s="5">
        <f t="shared" si="308"/>
        <v>300000000</v>
      </c>
      <c r="AF3171" s="70">
        <v>0</v>
      </c>
      <c r="AG3171" s="17"/>
      <c r="AH3171" s="18"/>
      <c r="AI3171" s="47" t="s">
        <v>4346</v>
      </c>
      <c r="AJ3171" s="73" t="s">
        <v>4347</v>
      </c>
      <c r="AK3171" s="45"/>
      <c r="AL3171" s="17"/>
      <c r="AM3171" s="20" t="s">
        <v>5511</v>
      </c>
      <c r="AN3171" s="19"/>
      <c r="AO3171" s="19"/>
      <c r="AP3171" s="19"/>
      <c r="AQ3171" s="19"/>
      <c r="AR3171" s="19"/>
      <c r="AS3171" s="19"/>
      <c r="AT3171" s="19"/>
      <c r="AU3171" s="19"/>
      <c r="AV3171" s="19"/>
      <c r="AW3171" s="19"/>
      <c r="AX3171" s="19"/>
      <c r="AY3171" s="19"/>
      <c r="AZ3171" s="19"/>
      <c r="BA3171" s="19"/>
      <c r="BB3171" s="19"/>
      <c r="BC3171" s="19"/>
      <c r="BD3171" s="19"/>
      <c r="BE3171" s="19"/>
      <c r="BF3171" s="19"/>
      <c r="BG3171" s="19"/>
      <c r="BH3171" s="19"/>
      <c r="BI3171" s="19"/>
      <c r="BJ3171" s="19"/>
      <c r="BK3171" s="19"/>
      <c r="BL3171" s="19"/>
      <c r="BM3171" s="19"/>
      <c r="BN3171" s="19"/>
      <c r="BO3171" s="19"/>
      <c r="BP3171" s="19"/>
      <c r="BQ3171" s="19"/>
      <c r="BR3171" s="19"/>
      <c r="BS3171" s="19"/>
      <c r="BT3171" s="19"/>
      <c r="BU3171" s="19"/>
      <c r="BV3171" s="19"/>
      <c r="BW3171" s="19"/>
      <c r="BX3171" s="19"/>
      <c r="BY3171" s="19"/>
      <c r="BZ3171" s="19"/>
      <c r="CA3171" s="19"/>
      <c r="CB3171" s="19"/>
      <c r="CC3171" s="19"/>
      <c r="CD3171" s="139"/>
      <c r="CE3171" s="138"/>
      <c r="CF3171" s="139"/>
      <c r="CG3171" s="138"/>
      <c r="CH3171" s="139"/>
      <c r="CI3171" s="138"/>
      <c r="CJ3171" s="72"/>
      <c r="CK3171" s="139"/>
      <c r="CL3171" s="71"/>
      <c r="CM3171" s="139"/>
      <c r="CN3171" s="138"/>
      <c r="CO3171" s="138"/>
      <c r="CP3171" s="138"/>
      <c r="CQ3171" s="139"/>
      <c r="CR3171" s="138"/>
      <c r="CS3171" s="45"/>
      <c r="CT3171" s="138"/>
      <c r="CU3171" s="45"/>
      <c r="CV3171" s="99">
        <f t="shared" si="309"/>
        <v>0</v>
      </c>
      <c r="CW3171" s="139"/>
      <c r="CX3171" s="138"/>
      <c r="CY3171" s="138"/>
      <c r="CZ3171" s="138"/>
      <c r="DA3171" s="139"/>
      <c r="DB3171" s="138"/>
      <c r="DC3171" s="45"/>
      <c r="DD3171" s="138"/>
      <c r="DE3171" s="45"/>
      <c r="DF3171" s="46"/>
    </row>
    <row r="3172" spans="1:110" s="42" customFormat="1" ht="60" x14ac:dyDescent="0.2">
      <c r="A3172" s="89">
        <v>40903</v>
      </c>
      <c r="B3172" s="16" t="s">
        <v>4348</v>
      </c>
      <c r="C3172" s="16" t="s">
        <v>3303</v>
      </c>
      <c r="D3172" s="16" t="s">
        <v>4264</v>
      </c>
      <c r="E3172" s="90" t="str">
        <f>VLOOKUP(B3172&amp;C3172,Divipola!$C$2:$F$1138,4,FALSE)</f>
        <v>66456</v>
      </c>
      <c r="F3172" s="4"/>
      <c r="G3172" s="208"/>
      <c r="H3172" s="208"/>
      <c r="I3172" s="208"/>
      <c r="J3172" s="208"/>
      <c r="K3172" s="208"/>
      <c r="L3172" s="208"/>
      <c r="M3172" s="208"/>
      <c r="N3172" s="208">
        <v>1</v>
      </c>
      <c r="O3172" s="208"/>
      <c r="P3172" s="208"/>
      <c r="Q3172" s="208"/>
      <c r="R3172" s="208"/>
      <c r="S3172" s="208"/>
      <c r="T3172" s="208"/>
      <c r="U3172" s="208"/>
      <c r="V3172" s="208"/>
      <c r="W3172" s="19"/>
      <c r="X3172" s="17"/>
      <c r="Y3172" s="5">
        <f t="shared" si="304"/>
        <v>0</v>
      </c>
      <c r="Z3172" s="5">
        <f t="shared" si="305"/>
        <v>0</v>
      </c>
      <c r="AA3172" s="5">
        <f t="shared" si="306"/>
        <v>0</v>
      </c>
      <c r="AB3172" s="5">
        <f t="shared" si="307"/>
        <v>0</v>
      </c>
      <c r="AC3172" s="5"/>
      <c r="AD3172" s="5">
        <v>299989604</v>
      </c>
      <c r="AE3172" s="5">
        <f t="shared" si="308"/>
        <v>299989604</v>
      </c>
      <c r="AF3172" s="70">
        <v>0</v>
      </c>
      <c r="AG3172" s="17"/>
      <c r="AH3172" s="18"/>
      <c r="AI3172" s="47" t="s">
        <v>4346</v>
      </c>
      <c r="AJ3172" s="73" t="s">
        <v>4347</v>
      </c>
      <c r="AK3172" s="45"/>
      <c r="AL3172" s="17"/>
      <c r="AM3172" s="20" t="s">
        <v>5512</v>
      </c>
      <c r="AN3172" s="19"/>
      <c r="AO3172" s="19"/>
      <c r="AP3172" s="19"/>
      <c r="AQ3172" s="19"/>
      <c r="AR3172" s="19"/>
      <c r="AS3172" s="19"/>
      <c r="AT3172" s="19"/>
      <c r="AU3172" s="19"/>
      <c r="AV3172" s="19"/>
      <c r="AW3172" s="19"/>
      <c r="AX3172" s="19"/>
      <c r="AY3172" s="19"/>
      <c r="AZ3172" s="19"/>
      <c r="BA3172" s="19"/>
      <c r="BB3172" s="19"/>
      <c r="BC3172" s="19"/>
      <c r="BD3172" s="19"/>
      <c r="BE3172" s="19"/>
      <c r="BF3172" s="19"/>
      <c r="BG3172" s="19"/>
      <c r="BH3172" s="19"/>
      <c r="BI3172" s="19"/>
      <c r="BJ3172" s="19"/>
      <c r="BK3172" s="19"/>
      <c r="BL3172" s="19"/>
      <c r="BM3172" s="19"/>
      <c r="BN3172" s="19"/>
      <c r="BO3172" s="19"/>
      <c r="BP3172" s="19"/>
      <c r="BQ3172" s="19"/>
      <c r="BR3172" s="19"/>
      <c r="BS3172" s="19"/>
      <c r="BT3172" s="19"/>
      <c r="BU3172" s="19"/>
      <c r="BV3172" s="19"/>
      <c r="BW3172" s="19"/>
      <c r="BX3172" s="19"/>
      <c r="BY3172" s="19"/>
      <c r="BZ3172" s="19"/>
      <c r="CA3172" s="19"/>
      <c r="CB3172" s="19"/>
      <c r="CC3172" s="19"/>
      <c r="CD3172" s="139"/>
      <c r="CE3172" s="138"/>
      <c r="CF3172" s="139"/>
      <c r="CG3172" s="138"/>
      <c r="CH3172" s="139"/>
      <c r="CI3172" s="138"/>
      <c r="CJ3172" s="72"/>
      <c r="CK3172" s="139"/>
      <c r="CL3172" s="71"/>
      <c r="CM3172" s="139"/>
      <c r="CN3172" s="138"/>
      <c r="CO3172" s="138"/>
      <c r="CP3172" s="138"/>
      <c r="CQ3172" s="139"/>
      <c r="CR3172" s="138"/>
      <c r="CS3172" s="45"/>
      <c r="CT3172" s="138"/>
      <c r="CU3172" s="45"/>
      <c r="CV3172" s="99">
        <f t="shared" si="309"/>
        <v>0</v>
      </c>
      <c r="CW3172" s="139"/>
      <c r="CX3172" s="138"/>
      <c r="CY3172" s="138"/>
      <c r="CZ3172" s="138"/>
      <c r="DA3172" s="139"/>
      <c r="DB3172" s="138"/>
      <c r="DC3172" s="45"/>
      <c r="DD3172" s="138"/>
      <c r="DE3172" s="45"/>
      <c r="DF3172" s="46"/>
    </row>
    <row r="3173" spans="1:110" s="42" customFormat="1" ht="48" x14ac:dyDescent="0.2">
      <c r="A3173" s="89">
        <v>40903</v>
      </c>
      <c r="B3173" s="16" t="s">
        <v>4244</v>
      </c>
      <c r="C3173" s="16" t="s">
        <v>3493</v>
      </c>
      <c r="D3173" s="16" t="s">
        <v>4264</v>
      </c>
      <c r="E3173" s="90" t="str">
        <f>VLOOKUP(B3173&amp;C3173,Divipola!$C$2:$F$1138,4,FALSE)</f>
        <v>76400</v>
      </c>
      <c r="F3173" s="4"/>
      <c r="G3173" s="208"/>
      <c r="H3173" s="208"/>
      <c r="I3173" s="208"/>
      <c r="J3173" s="208"/>
      <c r="K3173" s="208"/>
      <c r="L3173" s="208"/>
      <c r="M3173" s="208"/>
      <c r="N3173" s="208"/>
      <c r="O3173" s="208"/>
      <c r="P3173" s="208"/>
      <c r="Q3173" s="208"/>
      <c r="R3173" s="208"/>
      <c r="S3173" s="208"/>
      <c r="T3173" s="208"/>
      <c r="U3173" s="208"/>
      <c r="V3173" s="208"/>
      <c r="W3173" s="19"/>
      <c r="X3173" s="17"/>
      <c r="Y3173" s="5">
        <f t="shared" si="304"/>
        <v>0</v>
      </c>
      <c r="Z3173" s="5">
        <f t="shared" si="305"/>
        <v>0</v>
      </c>
      <c r="AA3173" s="5">
        <f t="shared" si="306"/>
        <v>0</v>
      </c>
      <c r="AB3173" s="5">
        <f t="shared" si="307"/>
        <v>0</v>
      </c>
      <c r="AC3173" s="5"/>
      <c r="AD3173" s="5">
        <v>35000000</v>
      </c>
      <c r="AE3173" s="5">
        <f t="shared" si="308"/>
        <v>35000000</v>
      </c>
      <c r="AF3173" s="70">
        <v>0</v>
      </c>
      <c r="AG3173" s="17"/>
      <c r="AH3173" s="18"/>
      <c r="AI3173" s="47" t="s">
        <v>4346</v>
      </c>
      <c r="AJ3173" s="73" t="s">
        <v>4347</v>
      </c>
      <c r="AK3173" s="45"/>
      <c r="AL3173" s="17"/>
      <c r="AM3173" s="20" t="s">
        <v>5513</v>
      </c>
      <c r="AN3173" s="19"/>
      <c r="AO3173" s="19"/>
      <c r="AP3173" s="19"/>
      <c r="AQ3173" s="19"/>
      <c r="AR3173" s="19"/>
      <c r="AS3173" s="19"/>
      <c r="AT3173" s="19"/>
      <c r="AU3173" s="19"/>
      <c r="AV3173" s="19"/>
      <c r="AW3173" s="19"/>
      <c r="AX3173" s="19"/>
      <c r="AY3173" s="19"/>
      <c r="AZ3173" s="19"/>
      <c r="BA3173" s="19"/>
      <c r="BB3173" s="19"/>
      <c r="BC3173" s="19"/>
      <c r="BD3173" s="19"/>
      <c r="BE3173" s="19"/>
      <c r="BF3173" s="19"/>
      <c r="BG3173" s="19"/>
      <c r="BH3173" s="19"/>
      <c r="BI3173" s="19"/>
      <c r="BJ3173" s="19"/>
      <c r="BK3173" s="19"/>
      <c r="BL3173" s="19"/>
      <c r="BM3173" s="19"/>
      <c r="BN3173" s="19"/>
      <c r="BO3173" s="19"/>
      <c r="BP3173" s="19"/>
      <c r="BQ3173" s="19"/>
      <c r="BR3173" s="19"/>
      <c r="BS3173" s="19"/>
      <c r="BT3173" s="19"/>
      <c r="BU3173" s="19"/>
      <c r="BV3173" s="19"/>
      <c r="BW3173" s="19"/>
      <c r="BX3173" s="19"/>
      <c r="BY3173" s="19"/>
      <c r="BZ3173" s="19"/>
      <c r="CA3173" s="19"/>
      <c r="CB3173" s="19"/>
      <c r="CC3173" s="19"/>
      <c r="CD3173" s="139"/>
      <c r="CE3173" s="138"/>
      <c r="CF3173" s="139"/>
      <c r="CG3173" s="138"/>
      <c r="CH3173" s="139"/>
      <c r="CI3173" s="138"/>
      <c r="CJ3173" s="72"/>
      <c r="CK3173" s="139"/>
      <c r="CL3173" s="71"/>
      <c r="CM3173" s="139"/>
      <c r="CN3173" s="138"/>
      <c r="CO3173" s="138"/>
      <c r="CP3173" s="138"/>
      <c r="CQ3173" s="139"/>
      <c r="CR3173" s="138"/>
      <c r="CS3173" s="45"/>
      <c r="CT3173" s="138"/>
      <c r="CU3173" s="45"/>
      <c r="CV3173" s="99">
        <f t="shared" si="309"/>
        <v>0</v>
      </c>
      <c r="CW3173" s="139"/>
      <c r="CX3173" s="138"/>
      <c r="CY3173" s="138"/>
      <c r="CZ3173" s="138"/>
      <c r="DA3173" s="139"/>
      <c r="DB3173" s="138"/>
      <c r="DC3173" s="45"/>
      <c r="DD3173" s="138"/>
      <c r="DE3173" s="45"/>
      <c r="DF3173" s="46"/>
    </row>
    <row r="3174" spans="1:110" s="42" customFormat="1" ht="132" x14ac:dyDescent="0.2">
      <c r="A3174" s="89">
        <v>40903</v>
      </c>
      <c r="B3174" s="16" t="s">
        <v>4348</v>
      </c>
      <c r="C3174" s="16" t="s">
        <v>4313</v>
      </c>
      <c r="D3174" s="16" t="s">
        <v>2362</v>
      </c>
      <c r="E3174" s="90" t="str">
        <f>VLOOKUP(B3174&amp;C3174,Divipola!$C$2:$F$1138,4,FALSE)</f>
        <v>66318</v>
      </c>
      <c r="F3174" s="4"/>
      <c r="G3174" s="208"/>
      <c r="H3174" s="208"/>
      <c r="I3174" s="208"/>
      <c r="J3174" s="208"/>
      <c r="K3174" s="208"/>
      <c r="L3174" s="208"/>
      <c r="M3174" s="208"/>
      <c r="N3174" s="208">
        <v>4</v>
      </c>
      <c r="O3174" s="208"/>
      <c r="P3174" s="208"/>
      <c r="Q3174" s="208"/>
      <c r="R3174" s="208"/>
      <c r="S3174" s="208"/>
      <c r="T3174" s="208"/>
      <c r="U3174" s="208"/>
      <c r="V3174" s="208"/>
      <c r="W3174" s="19"/>
      <c r="X3174" s="17"/>
      <c r="Y3174" s="5">
        <f t="shared" si="304"/>
        <v>0</v>
      </c>
      <c r="Z3174" s="5">
        <f t="shared" si="305"/>
        <v>0</v>
      </c>
      <c r="AA3174" s="5">
        <f t="shared" si="306"/>
        <v>0</v>
      </c>
      <c r="AB3174" s="5">
        <f t="shared" si="307"/>
        <v>0</v>
      </c>
      <c r="AC3174" s="5"/>
      <c r="AD3174" s="5">
        <v>340303660</v>
      </c>
      <c r="AE3174" s="5">
        <f t="shared" si="308"/>
        <v>340303660</v>
      </c>
      <c r="AF3174" s="70">
        <v>0</v>
      </c>
      <c r="AG3174" s="17"/>
      <c r="AH3174" s="18"/>
      <c r="AI3174" s="47" t="s">
        <v>4346</v>
      </c>
      <c r="AJ3174" s="73" t="s">
        <v>4347</v>
      </c>
      <c r="AK3174" s="45"/>
      <c r="AL3174" s="17"/>
      <c r="AM3174" s="20" t="s">
        <v>5514</v>
      </c>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39"/>
      <c r="CE3174" s="138"/>
      <c r="CF3174" s="139"/>
      <c r="CG3174" s="138"/>
      <c r="CH3174" s="139"/>
      <c r="CI3174" s="138"/>
      <c r="CJ3174" s="72"/>
      <c r="CK3174" s="139"/>
      <c r="CL3174" s="71"/>
      <c r="CM3174" s="139"/>
      <c r="CN3174" s="138"/>
      <c r="CO3174" s="138"/>
      <c r="CP3174" s="138"/>
      <c r="CQ3174" s="139"/>
      <c r="CR3174" s="138"/>
      <c r="CS3174" s="45"/>
      <c r="CT3174" s="138"/>
      <c r="CU3174" s="45"/>
      <c r="CV3174" s="99">
        <f t="shared" si="309"/>
        <v>0</v>
      </c>
      <c r="CW3174" s="139"/>
      <c r="CX3174" s="138"/>
      <c r="CY3174" s="138"/>
      <c r="CZ3174" s="138"/>
      <c r="DA3174" s="139"/>
      <c r="DB3174" s="138"/>
      <c r="DC3174" s="45"/>
      <c r="DD3174" s="138"/>
      <c r="DE3174" s="45"/>
      <c r="DF3174" s="46"/>
    </row>
    <row r="3175" spans="1:110" s="42" customFormat="1" ht="84" x14ac:dyDescent="0.2">
      <c r="A3175" s="89">
        <v>40903</v>
      </c>
      <c r="B3175" s="151" t="s">
        <v>4326</v>
      </c>
      <c r="C3175" s="90" t="s">
        <v>2447</v>
      </c>
      <c r="D3175" s="90" t="s">
        <v>4264</v>
      </c>
      <c r="E3175" s="90" t="str">
        <f>VLOOKUP(B3175&amp;C3175,Divipola!$C$2:$F$1138,4,FALSE)</f>
        <v>08573</v>
      </c>
      <c r="F3175" s="4"/>
      <c r="G3175" s="101"/>
      <c r="H3175" s="101"/>
      <c r="I3175" s="101"/>
      <c r="J3175" s="101"/>
      <c r="K3175" s="101"/>
      <c r="L3175" s="101"/>
      <c r="M3175" s="101"/>
      <c r="N3175" s="101">
        <v>1</v>
      </c>
      <c r="O3175" s="101"/>
      <c r="P3175" s="101"/>
      <c r="Q3175" s="101"/>
      <c r="R3175" s="101"/>
      <c r="S3175" s="101"/>
      <c r="T3175" s="101"/>
      <c r="U3175" s="101"/>
      <c r="V3175" s="101"/>
      <c r="W3175" s="19"/>
      <c r="X3175" s="17"/>
      <c r="Y3175" s="5">
        <f t="shared" si="304"/>
        <v>0</v>
      </c>
      <c r="Z3175" s="5">
        <f t="shared" si="305"/>
        <v>0</v>
      </c>
      <c r="AA3175" s="5">
        <f t="shared" si="306"/>
        <v>0</v>
      </c>
      <c r="AB3175" s="5">
        <f t="shared" si="307"/>
        <v>0</v>
      </c>
      <c r="AC3175" s="5"/>
      <c r="AD3175" s="5">
        <v>0</v>
      </c>
      <c r="AE3175" s="5">
        <f t="shared" si="308"/>
        <v>0</v>
      </c>
      <c r="AF3175" s="70">
        <v>0</v>
      </c>
      <c r="AG3175" s="17"/>
      <c r="AH3175" s="18"/>
      <c r="AI3175" s="47" t="s">
        <v>4336</v>
      </c>
      <c r="AJ3175" s="73" t="s">
        <v>4337</v>
      </c>
      <c r="AK3175" s="45"/>
      <c r="AL3175" s="17"/>
      <c r="AM3175" s="121" t="s">
        <v>5520</v>
      </c>
      <c r="AN3175" s="19"/>
      <c r="AO3175" s="19"/>
      <c r="AP3175" s="19"/>
      <c r="AQ3175" s="19"/>
      <c r="AR3175" s="19"/>
      <c r="AS3175" s="19"/>
      <c r="AT3175" s="19"/>
      <c r="AU3175" s="19"/>
      <c r="AV3175" s="19"/>
      <c r="AW3175" s="19"/>
      <c r="AX3175" s="19"/>
      <c r="AY3175" s="19"/>
      <c r="AZ3175" s="19"/>
      <c r="BA3175" s="19"/>
      <c r="BB3175" s="19"/>
      <c r="BC3175" s="19"/>
      <c r="BD3175" s="19"/>
      <c r="BE3175" s="19"/>
      <c r="BF3175" s="19"/>
      <c r="BG3175" s="19"/>
      <c r="BH3175" s="19"/>
      <c r="BI3175" s="19"/>
      <c r="BJ3175" s="19"/>
      <c r="BK3175" s="19"/>
      <c r="BL3175" s="19"/>
      <c r="BM3175" s="19"/>
      <c r="BN3175" s="19"/>
      <c r="BO3175" s="19"/>
      <c r="BP3175" s="19"/>
      <c r="BQ3175" s="19"/>
      <c r="BR3175" s="19"/>
      <c r="BS3175" s="19"/>
      <c r="BT3175" s="19"/>
      <c r="BU3175" s="19"/>
      <c r="BV3175" s="19"/>
      <c r="BW3175" s="19"/>
      <c r="BX3175" s="19"/>
      <c r="BY3175" s="19"/>
      <c r="BZ3175" s="19"/>
      <c r="CA3175" s="19"/>
      <c r="CB3175" s="19"/>
      <c r="CC3175" s="19"/>
      <c r="CD3175" s="139"/>
      <c r="CE3175" s="138"/>
      <c r="CF3175" s="139"/>
      <c r="CG3175" s="138"/>
      <c r="CH3175" s="139"/>
      <c r="CI3175" s="138"/>
      <c r="CJ3175" s="72"/>
      <c r="CK3175" s="139"/>
      <c r="CL3175" s="71"/>
      <c r="CM3175" s="139"/>
      <c r="CN3175" s="138"/>
      <c r="CO3175" s="138"/>
      <c r="CP3175" s="138"/>
      <c r="CQ3175" s="139"/>
      <c r="CR3175" s="138"/>
      <c r="CS3175" s="45"/>
      <c r="CT3175" s="138"/>
      <c r="CU3175" s="45"/>
      <c r="CV3175" s="99">
        <f t="shared" si="309"/>
        <v>0</v>
      </c>
      <c r="CW3175" s="139"/>
      <c r="CX3175" s="138"/>
      <c r="CY3175" s="138"/>
      <c r="CZ3175" s="138"/>
      <c r="DA3175" s="139"/>
      <c r="DB3175" s="138"/>
      <c r="DC3175" s="45"/>
      <c r="DD3175" s="138"/>
      <c r="DE3175" s="45"/>
      <c r="DF3175" s="46"/>
    </row>
    <row r="3176" spans="1:110" s="42" customFormat="1" ht="48" x14ac:dyDescent="0.2">
      <c r="A3176" s="89">
        <v>40903</v>
      </c>
      <c r="B3176" s="16" t="s">
        <v>4219</v>
      </c>
      <c r="C3176" s="16" t="s">
        <v>4345</v>
      </c>
      <c r="D3176" s="16" t="s">
        <v>4264</v>
      </c>
      <c r="E3176" s="90">
        <f>VLOOKUP(B3176&amp;C3176,Divipola!$C$2:$F$1138,4,FALSE)</f>
        <v>41</v>
      </c>
      <c r="F3176" s="4"/>
      <c r="G3176" s="208"/>
      <c r="H3176" s="208"/>
      <c r="I3176" s="208"/>
      <c r="J3176" s="208"/>
      <c r="K3176" s="208"/>
      <c r="L3176" s="208"/>
      <c r="M3176" s="208"/>
      <c r="N3176" s="208"/>
      <c r="O3176" s="208"/>
      <c r="P3176" s="208"/>
      <c r="Q3176" s="208"/>
      <c r="R3176" s="208"/>
      <c r="S3176" s="208"/>
      <c r="T3176" s="208"/>
      <c r="U3176" s="208"/>
      <c r="V3176" s="208"/>
      <c r="W3176" s="19"/>
      <c r="X3176" s="17"/>
      <c r="Y3176" s="5">
        <f t="shared" si="304"/>
        <v>0</v>
      </c>
      <c r="Z3176" s="5">
        <f t="shared" si="305"/>
        <v>0</v>
      </c>
      <c r="AA3176" s="5">
        <f t="shared" si="306"/>
        <v>0</v>
      </c>
      <c r="AB3176" s="5">
        <f t="shared" si="307"/>
        <v>0</v>
      </c>
      <c r="AC3176" s="5"/>
      <c r="AD3176" s="5">
        <v>550000000</v>
      </c>
      <c r="AE3176" s="5">
        <f t="shared" si="308"/>
        <v>550000000</v>
      </c>
      <c r="AF3176" s="70">
        <v>0</v>
      </c>
      <c r="AG3176" s="17"/>
      <c r="AH3176" s="18"/>
      <c r="AI3176" s="47" t="s">
        <v>4346</v>
      </c>
      <c r="AJ3176" s="73" t="s">
        <v>4347</v>
      </c>
      <c r="AK3176" s="45"/>
      <c r="AL3176" s="17"/>
      <c r="AM3176" s="20" t="s">
        <v>5521</v>
      </c>
      <c r="AN3176" s="19"/>
      <c r="AO3176" s="19"/>
      <c r="AP3176" s="19"/>
      <c r="AQ3176" s="19"/>
      <c r="AR3176" s="19"/>
      <c r="AS3176" s="19"/>
      <c r="AT3176" s="19"/>
      <c r="AU3176" s="19"/>
      <c r="AV3176" s="19"/>
      <c r="AW3176" s="19"/>
      <c r="AX3176" s="19"/>
      <c r="AY3176" s="19"/>
      <c r="AZ3176" s="19"/>
      <c r="BA3176" s="19"/>
      <c r="BB3176" s="19"/>
      <c r="BC3176" s="19"/>
      <c r="BD3176" s="19"/>
      <c r="BE3176" s="19"/>
      <c r="BF3176" s="19"/>
      <c r="BG3176" s="19"/>
      <c r="BH3176" s="19"/>
      <c r="BI3176" s="19"/>
      <c r="BJ3176" s="19"/>
      <c r="BK3176" s="19"/>
      <c r="BL3176" s="19"/>
      <c r="BM3176" s="19"/>
      <c r="BN3176" s="19"/>
      <c r="BO3176" s="19"/>
      <c r="BP3176" s="19"/>
      <c r="BQ3176" s="19"/>
      <c r="BR3176" s="19"/>
      <c r="BS3176" s="19"/>
      <c r="BT3176" s="19"/>
      <c r="BU3176" s="19"/>
      <c r="BV3176" s="19"/>
      <c r="BW3176" s="19"/>
      <c r="BX3176" s="19"/>
      <c r="BY3176" s="19"/>
      <c r="BZ3176" s="19"/>
      <c r="CA3176" s="19"/>
      <c r="CB3176" s="19"/>
      <c r="CC3176" s="19"/>
      <c r="CD3176" s="139"/>
      <c r="CE3176" s="138"/>
      <c r="CF3176" s="139"/>
      <c r="CG3176" s="138"/>
      <c r="CH3176" s="139"/>
      <c r="CI3176" s="138"/>
      <c r="CJ3176" s="72"/>
      <c r="CK3176" s="139"/>
      <c r="CL3176" s="71"/>
      <c r="CM3176" s="139"/>
      <c r="CN3176" s="138"/>
      <c r="CO3176" s="138"/>
      <c r="CP3176" s="138"/>
      <c r="CQ3176" s="139"/>
      <c r="CR3176" s="138"/>
      <c r="CS3176" s="45"/>
      <c r="CT3176" s="138"/>
      <c r="CU3176" s="45"/>
      <c r="CV3176" s="99">
        <f t="shared" si="309"/>
        <v>0</v>
      </c>
      <c r="CW3176" s="139"/>
      <c r="CX3176" s="138"/>
      <c r="CY3176" s="138"/>
      <c r="CZ3176" s="138"/>
      <c r="DA3176" s="139"/>
      <c r="DB3176" s="138"/>
      <c r="DC3176" s="45"/>
      <c r="DD3176" s="138"/>
      <c r="DE3176" s="45"/>
      <c r="DF3176" s="46"/>
    </row>
    <row r="3177" spans="1:110" s="42" customFormat="1" ht="48" x14ac:dyDescent="0.2">
      <c r="A3177" s="89">
        <v>40903</v>
      </c>
      <c r="B3177" s="16" t="s">
        <v>2218</v>
      </c>
      <c r="C3177" s="16" t="s">
        <v>4345</v>
      </c>
      <c r="D3177" s="16" t="s">
        <v>4264</v>
      </c>
      <c r="E3177" s="90">
        <f>VLOOKUP(B3177&amp;C3177,Divipola!$C$2:$F$1138,4,FALSE)</f>
        <v>5</v>
      </c>
      <c r="F3177" s="4"/>
      <c r="G3177" s="208"/>
      <c r="H3177" s="208"/>
      <c r="I3177" s="208"/>
      <c r="J3177" s="208"/>
      <c r="K3177" s="208"/>
      <c r="L3177" s="208"/>
      <c r="M3177" s="208"/>
      <c r="N3177" s="208"/>
      <c r="O3177" s="208"/>
      <c r="P3177" s="208"/>
      <c r="Q3177" s="208"/>
      <c r="R3177" s="208"/>
      <c r="S3177" s="208"/>
      <c r="T3177" s="208"/>
      <c r="U3177" s="208"/>
      <c r="V3177" s="208"/>
      <c r="W3177" s="19"/>
      <c r="X3177" s="17"/>
      <c r="Y3177" s="5">
        <f t="shared" si="304"/>
        <v>0</v>
      </c>
      <c r="Z3177" s="5">
        <f t="shared" si="305"/>
        <v>0</v>
      </c>
      <c r="AA3177" s="5">
        <f t="shared" si="306"/>
        <v>0</v>
      </c>
      <c r="AB3177" s="5">
        <f t="shared" si="307"/>
        <v>0</v>
      </c>
      <c r="AC3177" s="5"/>
      <c r="AD3177" s="5">
        <v>170000000</v>
      </c>
      <c r="AE3177" s="5">
        <f t="shared" si="308"/>
        <v>170000000</v>
      </c>
      <c r="AF3177" s="70">
        <v>0</v>
      </c>
      <c r="AG3177" s="17"/>
      <c r="AH3177" s="18"/>
      <c r="AI3177" s="47" t="s">
        <v>4346</v>
      </c>
      <c r="AJ3177" s="73" t="s">
        <v>4347</v>
      </c>
      <c r="AK3177" s="45"/>
      <c r="AL3177" s="17"/>
      <c r="AM3177" s="20" t="s">
        <v>5523</v>
      </c>
      <c r="AN3177" s="19"/>
      <c r="AO3177" s="19"/>
      <c r="AP3177" s="19"/>
      <c r="AQ3177" s="19"/>
      <c r="AR3177" s="19"/>
      <c r="AS3177" s="19"/>
      <c r="AT3177" s="19"/>
      <c r="AU3177" s="19"/>
      <c r="AV3177" s="19"/>
      <c r="AW3177" s="19"/>
      <c r="AX3177" s="19"/>
      <c r="AY3177" s="19"/>
      <c r="AZ3177" s="19"/>
      <c r="BA3177" s="19"/>
      <c r="BB3177" s="19"/>
      <c r="BC3177" s="19"/>
      <c r="BD3177" s="19"/>
      <c r="BE3177" s="19"/>
      <c r="BF3177" s="19"/>
      <c r="BG3177" s="19"/>
      <c r="BH3177" s="19"/>
      <c r="BI3177" s="19"/>
      <c r="BJ3177" s="19"/>
      <c r="BK3177" s="19"/>
      <c r="BL3177" s="19"/>
      <c r="BM3177" s="19"/>
      <c r="BN3177" s="19"/>
      <c r="BO3177" s="19"/>
      <c r="BP3177" s="19"/>
      <c r="BQ3177" s="19"/>
      <c r="BR3177" s="19"/>
      <c r="BS3177" s="19"/>
      <c r="BT3177" s="19"/>
      <c r="BU3177" s="19"/>
      <c r="BV3177" s="19"/>
      <c r="BW3177" s="19"/>
      <c r="BX3177" s="19"/>
      <c r="BY3177" s="19"/>
      <c r="BZ3177" s="19"/>
      <c r="CA3177" s="19"/>
      <c r="CB3177" s="19"/>
      <c r="CC3177" s="19"/>
      <c r="CD3177" s="139"/>
      <c r="CE3177" s="138"/>
      <c r="CF3177" s="139"/>
      <c r="CG3177" s="138"/>
      <c r="CH3177" s="139"/>
      <c r="CI3177" s="138"/>
      <c r="CJ3177" s="72"/>
      <c r="CK3177" s="139"/>
      <c r="CL3177" s="71"/>
      <c r="CM3177" s="139"/>
      <c r="CN3177" s="138"/>
      <c r="CO3177" s="138"/>
      <c r="CP3177" s="138"/>
      <c r="CQ3177" s="139"/>
      <c r="CR3177" s="138"/>
      <c r="CS3177" s="45"/>
      <c r="CT3177" s="138"/>
      <c r="CU3177" s="45"/>
      <c r="CV3177" s="99">
        <f t="shared" si="309"/>
        <v>0</v>
      </c>
      <c r="CW3177" s="139"/>
      <c r="CX3177" s="138"/>
      <c r="CY3177" s="138"/>
      <c r="CZ3177" s="138"/>
      <c r="DA3177" s="139"/>
      <c r="DB3177" s="138"/>
      <c r="DC3177" s="45"/>
      <c r="DD3177" s="138"/>
      <c r="DE3177" s="45"/>
      <c r="DF3177" s="46"/>
    </row>
    <row r="3178" spans="1:110" s="42" customFormat="1" ht="60" x14ac:dyDescent="0.2">
      <c r="A3178" s="89">
        <v>40903</v>
      </c>
      <c r="B3178" s="16" t="s">
        <v>2226</v>
      </c>
      <c r="C3178" s="16" t="s">
        <v>654</v>
      </c>
      <c r="D3178" s="16" t="s">
        <v>4264</v>
      </c>
      <c r="E3178" s="90" t="str">
        <f>VLOOKUP(B3178&amp;C3178,Divipola!$C$2:$F$1138,4,FALSE)</f>
        <v>68229</v>
      </c>
      <c r="F3178" s="4"/>
      <c r="G3178" s="208"/>
      <c r="H3178" s="208"/>
      <c r="I3178" s="208"/>
      <c r="J3178" s="208"/>
      <c r="K3178" s="208"/>
      <c r="L3178" s="208"/>
      <c r="M3178" s="208"/>
      <c r="N3178" s="208"/>
      <c r="O3178" s="208"/>
      <c r="P3178" s="208"/>
      <c r="Q3178" s="208"/>
      <c r="R3178" s="208"/>
      <c r="S3178" s="208"/>
      <c r="T3178" s="208"/>
      <c r="U3178" s="208"/>
      <c r="V3178" s="208"/>
      <c r="W3178" s="19"/>
      <c r="X3178" s="17"/>
      <c r="Y3178" s="5">
        <f t="shared" si="304"/>
        <v>0</v>
      </c>
      <c r="Z3178" s="5">
        <f t="shared" si="305"/>
        <v>0</v>
      </c>
      <c r="AA3178" s="5">
        <f t="shared" si="306"/>
        <v>0</v>
      </c>
      <c r="AB3178" s="5">
        <f t="shared" si="307"/>
        <v>0</v>
      </c>
      <c r="AC3178" s="5"/>
      <c r="AD3178" s="5">
        <v>20000000</v>
      </c>
      <c r="AE3178" s="5">
        <f t="shared" si="308"/>
        <v>20000000</v>
      </c>
      <c r="AF3178" s="70">
        <v>0</v>
      </c>
      <c r="AG3178" s="17"/>
      <c r="AH3178" s="18"/>
      <c r="AI3178" s="47" t="s">
        <v>4346</v>
      </c>
      <c r="AJ3178" s="73" t="s">
        <v>4347</v>
      </c>
      <c r="AK3178" s="45"/>
      <c r="AL3178" s="17"/>
      <c r="AM3178" s="20" t="s">
        <v>5524</v>
      </c>
      <c r="AN3178" s="19"/>
      <c r="AO3178" s="19"/>
      <c r="AP3178" s="19"/>
      <c r="AQ3178" s="19"/>
      <c r="AR3178" s="19"/>
      <c r="AS3178" s="19"/>
      <c r="AT3178" s="19"/>
      <c r="AU3178" s="19"/>
      <c r="AV3178" s="19"/>
      <c r="AW3178" s="19"/>
      <c r="AX3178" s="19"/>
      <c r="AY3178" s="19"/>
      <c r="AZ3178" s="19"/>
      <c r="BA3178" s="19"/>
      <c r="BB3178" s="19"/>
      <c r="BC3178" s="19"/>
      <c r="BD3178" s="19"/>
      <c r="BE3178" s="19"/>
      <c r="BF3178" s="19"/>
      <c r="BG3178" s="19"/>
      <c r="BH3178" s="19"/>
      <c r="BI3178" s="19"/>
      <c r="BJ3178" s="19"/>
      <c r="BK3178" s="19"/>
      <c r="BL3178" s="19"/>
      <c r="BM3178" s="19"/>
      <c r="BN3178" s="19"/>
      <c r="BO3178" s="19"/>
      <c r="BP3178" s="19"/>
      <c r="BQ3178" s="19"/>
      <c r="BR3178" s="19"/>
      <c r="BS3178" s="19"/>
      <c r="BT3178" s="19"/>
      <c r="BU3178" s="19"/>
      <c r="BV3178" s="19"/>
      <c r="BW3178" s="19"/>
      <c r="BX3178" s="19"/>
      <c r="BY3178" s="19"/>
      <c r="BZ3178" s="19"/>
      <c r="CA3178" s="19"/>
      <c r="CB3178" s="19"/>
      <c r="CC3178" s="19"/>
      <c r="CD3178" s="139"/>
      <c r="CE3178" s="138"/>
      <c r="CF3178" s="139"/>
      <c r="CG3178" s="138"/>
      <c r="CH3178" s="139"/>
      <c r="CI3178" s="138"/>
      <c r="CJ3178" s="72"/>
      <c r="CK3178" s="139"/>
      <c r="CL3178" s="71"/>
      <c r="CM3178" s="139"/>
      <c r="CN3178" s="138"/>
      <c r="CO3178" s="138"/>
      <c r="CP3178" s="138"/>
      <c r="CQ3178" s="139"/>
      <c r="CR3178" s="138"/>
      <c r="CS3178" s="45"/>
      <c r="CT3178" s="138"/>
      <c r="CU3178" s="45"/>
      <c r="CV3178" s="99">
        <f t="shared" si="309"/>
        <v>0</v>
      </c>
      <c r="CW3178" s="139"/>
      <c r="CX3178" s="138"/>
      <c r="CY3178" s="138"/>
      <c r="CZ3178" s="138"/>
      <c r="DA3178" s="139"/>
      <c r="DB3178" s="138"/>
      <c r="DC3178" s="45"/>
      <c r="DD3178" s="138"/>
      <c r="DE3178" s="45"/>
      <c r="DF3178" s="46"/>
    </row>
    <row r="3179" spans="1:110" s="42" customFormat="1" ht="48" x14ac:dyDescent="0.2">
      <c r="A3179" s="89">
        <v>40903</v>
      </c>
      <c r="B3179" s="16" t="s">
        <v>3533</v>
      </c>
      <c r="C3179" s="16" t="s">
        <v>1424</v>
      </c>
      <c r="D3179" s="16" t="s">
        <v>4264</v>
      </c>
      <c r="E3179" s="90" t="str">
        <f>VLOOKUP(B3179&amp;C3179,Divipola!$C$2:$F$1138,4,FALSE)</f>
        <v>17877</v>
      </c>
      <c r="F3179" s="4"/>
      <c r="G3179" s="208"/>
      <c r="H3179" s="208"/>
      <c r="I3179" s="208"/>
      <c r="J3179" s="208"/>
      <c r="K3179" s="208"/>
      <c r="L3179" s="208"/>
      <c r="M3179" s="208"/>
      <c r="N3179" s="208"/>
      <c r="O3179" s="208"/>
      <c r="P3179" s="208"/>
      <c r="Q3179" s="208"/>
      <c r="R3179" s="208"/>
      <c r="S3179" s="208"/>
      <c r="T3179" s="208"/>
      <c r="U3179" s="208"/>
      <c r="V3179" s="208"/>
      <c r="W3179" s="19"/>
      <c r="X3179" s="17"/>
      <c r="Y3179" s="5">
        <f t="shared" si="304"/>
        <v>0</v>
      </c>
      <c r="Z3179" s="5">
        <f t="shared" si="305"/>
        <v>0</v>
      </c>
      <c r="AA3179" s="5">
        <f t="shared" si="306"/>
        <v>0</v>
      </c>
      <c r="AB3179" s="5">
        <f t="shared" si="307"/>
        <v>0</v>
      </c>
      <c r="AC3179" s="5"/>
      <c r="AD3179" s="5">
        <v>246602400</v>
      </c>
      <c r="AE3179" s="5">
        <f t="shared" si="308"/>
        <v>246602400</v>
      </c>
      <c r="AF3179" s="70">
        <v>0</v>
      </c>
      <c r="AG3179" s="17"/>
      <c r="AH3179" s="18"/>
      <c r="AI3179" s="47" t="s">
        <v>4346</v>
      </c>
      <c r="AJ3179" s="73" t="s">
        <v>4347</v>
      </c>
      <c r="AK3179" s="45"/>
      <c r="AL3179" s="17"/>
      <c r="AM3179" s="20" t="s">
        <v>5525</v>
      </c>
      <c r="AN3179" s="19"/>
      <c r="AO3179" s="19"/>
      <c r="AP3179" s="19"/>
      <c r="AQ3179" s="19"/>
      <c r="AR3179" s="19"/>
      <c r="AS3179" s="19"/>
      <c r="AT3179" s="19"/>
      <c r="AU3179" s="19"/>
      <c r="AV3179" s="19"/>
      <c r="AW3179" s="19"/>
      <c r="AX3179" s="19"/>
      <c r="AY3179" s="19"/>
      <c r="AZ3179" s="19"/>
      <c r="BA3179" s="19"/>
      <c r="BB3179" s="19"/>
      <c r="BC3179" s="19"/>
      <c r="BD3179" s="19"/>
      <c r="BE3179" s="19"/>
      <c r="BF3179" s="19"/>
      <c r="BG3179" s="19"/>
      <c r="BH3179" s="19"/>
      <c r="BI3179" s="19"/>
      <c r="BJ3179" s="19"/>
      <c r="BK3179" s="19"/>
      <c r="BL3179" s="19"/>
      <c r="BM3179" s="19"/>
      <c r="BN3179" s="19"/>
      <c r="BO3179" s="19"/>
      <c r="BP3179" s="19"/>
      <c r="BQ3179" s="19"/>
      <c r="BR3179" s="19"/>
      <c r="BS3179" s="19"/>
      <c r="BT3179" s="19"/>
      <c r="BU3179" s="19"/>
      <c r="BV3179" s="19"/>
      <c r="BW3179" s="19"/>
      <c r="BX3179" s="19"/>
      <c r="BY3179" s="19"/>
      <c r="BZ3179" s="19"/>
      <c r="CA3179" s="19"/>
      <c r="CB3179" s="19"/>
      <c r="CC3179" s="19"/>
      <c r="CD3179" s="139"/>
      <c r="CE3179" s="138"/>
      <c r="CF3179" s="139"/>
      <c r="CG3179" s="138"/>
      <c r="CH3179" s="139"/>
      <c r="CI3179" s="138"/>
      <c r="CJ3179" s="72"/>
      <c r="CK3179" s="139"/>
      <c r="CL3179" s="71"/>
      <c r="CM3179" s="139"/>
      <c r="CN3179" s="138"/>
      <c r="CO3179" s="138"/>
      <c r="CP3179" s="138"/>
      <c r="CQ3179" s="139"/>
      <c r="CR3179" s="138"/>
      <c r="CS3179" s="45"/>
      <c r="CT3179" s="138"/>
      <c r="CU3179" s="45"/>
      <c r="CV3179" s="99">
        <f t="shared" si="309"/>
        <v>0</v>
      </c>
      <c r="CW3179" s="139"/>
      <c r="CX3179" s="138"/>
      <c r="CY3179" s="138"/>
      <c r="CZ3179" s="138"/>
      <c r="DA3179" s="139"/>
      <c r="DB3179" s="138"/>
      <c r="DC3179" s="45"/>
      <c r="DD3179" s="138"/>
      <c r="DE3179" s="45"/>
      <c r="DF3179" s="46"/>
    </row>
    <row r="3180" spans="1:110" s="42" customFormat="1" ht="72" x14ac:dyDescent="0.2">
      <c r="A3180" s="221">
        <v>40903</v>
      </c>
      <c r="B3180" s="196" t="s">
        <v>4296</v>
      </c>
      <c r="C3180" s="197" t="s">
        <v>845</v>
      </c>
      <c r="D3180" s="197" t="s">
        <v>4264</v>
      </c>
      <c r="E3180" s="90" t="str">
        <f>VLOOKUP(B3180&amp;C3180,Divipola!$C$2:$F$1138,4,FALSE)</f>
        <v>19807</v>
      </c>
      <c r="F3180" s="4"/>
      <c r="G3180" s="194"/>
      <c r="H3180" s="194"/>
      <c r="I3180" s="194"/>
      <c r="J3180" s="194"/>
      <c r="K3180" s="194"/>
      <c r="L3180" s="194"/>
      <c r="M3180" s="194"/>
      <c r="N3180" s="194"/>
      <c r="O3180" s="194"/>
      <c r="P3180" s="194"/>
      <c r="Q3180" s="194">
        <v>1</v>
      </c>
      <c r="R3180" s="194"/>
      <c r="S3180" s="194"/>
      <c r="T3180" s="194"/>
      <c r="U3180" s="194"/>
      <c r="V3180" s="194"/>
      <c r="W3180" s="19"/>
      <c r="X3180" s="17"/>
      <c r="Y3180" s="5">
        <f t="shared" si="304"/>
        <v>0</v>
      </c>
      <c r="Z3180" s="5">
        <f t="shared" si="305"/>
        <v>0</v>
      </c>
      <c r="AA3180" s="5">
        <f t="shared" si="306"/>
        <v>0</v>
      </c>
      <c r="AB3180" s="5">
        <f t="shared" si="307"/>
        <v>0</v>
      </c>
      <c r="AC3180" s="5"/>
      <c r="AD3180" s="5">
        <v>0</v>
      </c>
      <c r="AE3180" s="5">
        <f t="shared" si="308"/>
        <v>0</v>
      </c>
      <c r="AF3180" s="70">
        <v>0</v>
      </c>
      <c r="AG3180" s="17"/>
      <c r="AH3180" s="18"/>
      <c r="AI3180" s="47" t="s">
        <v>4336</v>
      </c>
      <c r="AJ3180" s="73" t="s">
        <v>4337</v>
      </c>
      <c r="AK3180" s="45"/>
      <c r="AL3180" s="17"/>
      <c r="AM3180" s="195" t="s">
        <v>5571</v>
      </c>
      <c r="AN3180" s="19"/>
      <c r="AO3180" s="19"/>
      <c r="AP3180" s="19"/>
      <c r="AQ3180" s="19"/>
      <c r="AR3180" s="19"/>
      <c r="AS3180" s="19"/>
      <c r="AT3180" s="19"/>
      <c r="AU3180" s="19"/>
      <c r="AV3180" s="19"/>
      <c r="AW3180" s="19"/>
      <c r="AX3180" s="19"/>
      <c r="AY3180" s="19"/>
      <c r="AZ3180" s="19"/>
      <c r="BA3180" s="19"/>
      <c r="BB3180" s="19"/>
      <c r="BC3180" s="19"/>
      <c r="BD3180" s="19"/>
      <c r="BE3180" s="19"/>
      <c r="BF3180" s="19"/>
      <c r="BG3180" s="19"/>
      <c r="BH3180" s="19"/>
      <c r="BI3180" s="19"/>
      <c r="BJ3180" s="19"/>
      <c r="BK3180" s="19"/>
      <c r="BL3180" s="19"/>
      <c r="BM3180" s="19"/>
      <c r="BN3180" s="19"/>
      <c r="BO3180" s="19"/>
      <c r="BP3180" s="19"/>
      <c r="BQ3180" s="19"/>
      <c r="BR3180" s="19"/>
      <c r="BS3180" s="19"/>
      <c r="BT3180" s="19"/>
      <c r="BU3180" s="19"/>
      <c r="BV3180" s="19"/>
      <c r="BW3180" s="19"/>
      <c r="BX3180" s="19"/>
      <c r="BY3180" s="19"/>
      <c r="BZ3180" s="19"/>
      <c r="CA3180" s="19"/>
      <c r="CB3180" s="19"/>
      <c r="CC3180" s="19"/>
      <c r="CD3180" s="139"/>
      <c r="CE3180" s="138"/>
      <c r="CF3180" s="139"/>
      <c r="CG3180" s="138"/>
      <c r="CH3180" s="139"/>
      <c r="CI3180" s="138"/>
      <c r="CJ3180" s="72"/>
      <c r="CK3180" s="139"/>
      <c r="CL3180" s="71"/>
      <c r="CM3180" s="139"/>
      <c r="CN3180" s="138"/>
      <c r="CO3180" s="138"/>
      <c r="CP3180" s="138"/>
      <c r="CQ3180" s="139"/>
      <c r="CR3180" s="138"/>
      <c r="CS3180" s="45"/>
      <c r="CT3180" s="138"/>
      <c r="CU3180" s="45"/>
      <c r="CV3180" s="99">
        <f t="shared" si="309"/>
        <v>0</v>
      </c>
      <c r="CW3180" s="139"/>
      <c r="CX3180" s="138"/>
      <c r="CY3180" s="138"/>
      <c r="CZ3180" s="138"/>
      <c r="DA3180" s="139"/>
      <c r="DB3180" s="138"/>
      <c r="DC3180" s="45"/>
      <c r="DD3180" s="138"/>
      <c r="DE3180" s="45"/>
      <c r="DF3180" s="46"/>
    </row>
    <row r="3181" spans="1:110" s="42" customFormat="1" ht="76.5" x14ac:dyDescent="0.2">
      <c r="A3181" s="89">
        <v>40903</v>
      </c>
      <c r="B3181" s="151" t="s">
        <v>4261</v>
      </c>
      <c r="C3181" s="106" t="s">
        <v>1292</v>
      </c>
      <c r="D3181" s="90" t="s">
        <v>4264</v>
      </c>
      <c r="E3181" s="90" t="str">
        <f>VLOOKUP(B3181&amp;C3181,Divipola!$C$2:$F$1138,4,FALSE)</f>
        <v>15696</v>
      </c>
      <c r="F3181" s="4"/>
      <c r="G3181" s="101"/>
      <c r="H3181" s="101"/>
      <c r="I3181" s="101"/>
      <c r="J3181" s="101">
        <v>215</v>
      </c>
      <c r="K3181" s="101">
        <v>43</v>
      </c>
      <c r="L3181" s="101"/>
      <c r="M3181" s="101">
        <v>42</v>
      </c>
      <c r="N3181" s="101"/>
      <c r="O3181" s="101"/>
      <c r="P3181" s="101"/>
      <c r="Q3181" s="101"/>
      <c r="R3181" s="101"/>
      <c r="S3181" s="101"/>
      <c r="T3181" s="101"/>
      <c r="U3181" s="101"/>
      <c r="V3181" s="101"/>
      <c r="W3181" s="19"/>
      <c r="X3181" s="17"/>
      <c r="Y3181" s="5">
        <f t="shared" si="304"/>
        <v>0</v>
      </c>
      <c r="Z3181" s="5">
        <f t="shared" si="305"/>
        <v>0</v>
      </c>
      <c r="AA3181" s="5">
        <f t="shared" si="306"/>
        <v>0</v>
      </c>
      <c r="AB3181" s="5">
        <f t="shared" si="307"/>
        <v>0</v>
      </c>
      <c r="AC3181" s="5"/>
      <c r="AD3181" s="5">
        <v>0</v>
      </c>
      <c r="AE3181" s="5">
        <f t="shared" si="308"/>
        <v>0</v>
      </c>
      <c r="AF3181" s="70">
        <v>0</v>
      </c>
      <c r="AG3181" s="17"/>
      <c r="AH3181" s="18"/>
      <c r="AI3181" s="47" t="s">
        <v>4336</v>
      </c>
      <c r="AJ3181" s="73" t="s">
        <v>4337</v>
      </c>
      <c r="AK3181" s="45"/>
      <c r="AL3181" s="17"/>
      <c r="AM3181" s="260" t="s">
        <v>5583</v>
      </c>
      <c r="AN3181" s="19"/>
      <c r="AO3181" s="19"/>
      <c r="AP3181" s="19"/>
      <c r="AQ3181" s="19"/>
      <c r="AR3181" s="19"/>
      <c r="AS3181" s="19"/>
      <c r="AT3181" s="19"/>
      <c r="AU3181" s="19"/>
      <c r="AV3181" s="19"/>
      <c r="AW3181" s="19"/>
      <c r="AX3181" s="19"/>
      <c r="AY3181" s="19"/>
      <c r="AZ3181" s="19"/>
      <c r="BA3181" s="19"/>
      <c r="BB3181" s="19"/>
      <c r="BC3181" s="19"/>
      <c r="BD3181" s="19"/>
      <c r="BE3181" s="19"/>
      <c r="BF3181" s="19"/>
      <c r="BG3181" s="19"/>
      <c r="BH3181" s="19"/>
      <c r="BI3181" s="19"/>
      <c r="BJ3181" s="19"/>
      <c r="BK3181" s="19"/>
      <c r="BL3181" s="19"/>
      <c r="BM3181" s="19"/>
      <c r="BN3181" s="19"/>
      <c r="BO3181" s="19"/>
      <c r="BP3181" s="19"/>
      <c r="BQ3181" s="19"/>
      <c r="BR3181" s="19"/>
      <c r="BS3181" s="19"/>
      <c r="BT3181" s="19"/>
      <c r="BU3181" s="19"/>
      <c r="BV3181" s="19"/>
      <c r="BW3181" s="19"/>
      <c r="BX3181" s="19"/>
      <c r="BY3181" s="19"/>
      <c r="BZ3181" s="19"/>
      <c r="CA3181" s="19"/>
      <c r="CB3181" s="19"/>
      <c r="CC3181" s="19"/>
      <c r="CD3181" s="139"/>
      <c r="CE3181" s="138"/>
      <c r="CF3181" s="139"/>
      <c r="CG3181" s="138"/>
      <c r="CH3181" s="139"/>
      <c r="CI3181" s="138"/>
      <c r="CJ3181" s="72"/>
      <c r="CK3181" s="139"/>
      <c r="CL3181" s="71"/>
      <c r="CM3181" s="139"/>
      <c r="CN3181" s="138"/>
      <c r="CO3181" s="138"/>
      <c r="CP3181" s="138"/>
      <c r="CQ3181" s="139"/>
      <c r="CR3181" s="138"/>
      <c r="CS3181" s="45"/>
      <c r="CT3181" s="138"/>
      <c r="CU3181" s="45"/>
      <c r="CV3181" s="99">
        <f t="shared" si="309"/>
        <v>0</v>
      </c>
      <c r="CW3181" s="139"/>
      <c r="CX3181" s="138"/>
      <c r="CY3181" s="138"/>
      <c r="CZ3181" s="138"/>
      <c r="DA3181" s="139"/>
      <c r="DB3181" s="138"/>
      <c r="DC3181" s="45"/>
      <c r="DD3181" s="138"/>
      <c r="DE3181" s="45"/>
      <c r="DF3181" s="46"/>
    </row>
    <row r="3182" spans="1:110" s="42" customFormat="1" ht="63.75" x14ac:dyDescent="0.2">
      <c r="A3182" s="89">
        <v>40903</v>
      </c>
      <c r="B3182" s="151" t="s">
        <v>4261</v>
      </c>
      <c r="C3182" s="90" t="s">
        <v>1225</v>
      </c>
      <c r="D3182" s="90" t="s">
        <v>4264</v>
      </c>
      <c r="E3182" s="90" t="str">
        <f>VLOOKUP(B3182&amp;C3182,Divipola!$C$2:$F$1138,4,FALSE)</f>
        <v>15494</v>
      </c>
      <c r="F3182" s="4"/>
      <c r="G3182" s="101"/>
      <c r="H3182" s="101"/>
      <c r="I3182" s="101"/>
      <c r="J3182" s="101">
        <v>100</v>
      </c>
      <c r="K3182" s="101">
        <v>20</v>
      </c>
      <c r="L3182" s="101"/>
      <c r="M3182" s="101">
        <v>12</v>
      </c>
      <c r="N3182" s="101"/>
      <c r="O3182" s="101"/>
      <c r="P3182" s="101"/>
      <c r="Q3182" s="101"/>
      <c r="R3182" s="101"/>
      <c r="S3182" s="101"/>
      <c r="T3182" s="101"/>
      <c r="U3182" s="101"/>
      <c r="V3182" s="101"/>
      <c r="W3182" s="19"/>
      <c r="X3182" s="17"/>
      <c r="Y3182" s="5">
        <f t="shared" si="304"/>
        <v>0</v>
      </c>
      <c r="Z3182" s="5">
        <f t="shared" si="305"/>
        <v>0</v>
      </c>
      <c r="AA3182" s="5">
        <f t="shared" si="306"/>
        <v>0</v>
      </c>
      <c r="AB3182" s="5">
        <f t="shared" si="307"/>
        <v>0</v>
      </c>
      <c r="AC3182" s="5"/>
      <c r="AD3182" s="5">
        <v>0</v>
      </c>
      <c r="AE3182" s="5">
        <f t="shared" si="308"/>
        <v>0</v>
      </c>
      <c r="AF3182" s="70">
        <v>0</v>
      </c>
      <c r="AG3182" s="17"/>
      <c r="AH3182" s="18"/>
      <c r="AI3182" s="47" t="s">
        <v>4336</v>
      </c>
      <c r="AJ3182" s="73" t="s">
        <v>4337</v>
      </c>
      <c r="AK3182" s="45"/>
      <c r="AL3182" s="17"/>
      <c r="AM3182" s="260" t="s">
        <v>5584</v>
      </c>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39"/>
      <c r="CE3182" s="138"/>
      <c r="CF3182" s="139"/>
      <c r="CG3182" s="138"/>
      <c r="CH3182" s="139"/>
      <c r="CI3182" s="138"/>
      <c r="CJ3182" s="72"/>
      <c r="CK3182" s="139"/>
      <c r="CL3182" s="71"/>
      <c r="CM3182" s="139"/>
      <c r="CN3182" s="138"/>
      <c r="CO3182" s="138"/>
      <c r="CP3182" s="138"/>
      <c r="CQ3182" s="139"/>
      <c r="CR3182" s="138"/>
      <c r="CS3182" s="45"/>
      <c r="CT3182" s="138"/>
      <c r="CU3182" s="45"/>
      <c r="CV3182" s="99">
        <f t="shared" si="309"/>
        <v>0</v>
      </c>
      <c r="CW3182" s="139"/>
      <c r="CX3182" s="138"/>
      <c r="CY3182" s="138"/>
      <c r="CZ3182" s="138"/>
      <c r="DA3182" s="139"/>
      <c r="DB3182" s="138"/>
      <c r="DC3182" s="45"/>
      <c r="DD3182" s="138"/>
      <c r="DE3182" s="45"/>
      <c r="DF3182" s="46"/>
    </row>
    <row r="3183" spans="1:110" s="42" customFormat="1" ht="48" x14ac:dyDescent="0.2">
      <c r="A3183" s="17">
        <v>40904</v>
      </c>
      <c r="B3183" s="16" t="s">
        <v>4344</v>
      </c>
      <c r="C3183" s="16" t="s">
        <v>3371</v>
      </c>
      <c r="D3183" s="16" t="s">
        <v>4264</v>
      </c>
      <c r="E3183" s="90" t="str">
        <f>VLOOKUP(B3183&amp;C3183,Divipola!$C$2:$F$1138,4,FALSE)</f>
        <v>25402</v>
      </c>
      <c r="F3183" s="4"/>
      <c r="G3183" s="208"/>
      <c r="H3183" s="208"/>
      <c r="I3183" s="208"/>
      <c r="J3183" s="208"/>
      <c r="K3183" s="208"/>
      <c r="L3183" s="208"/>
      <c r="M3183" s="208"/>
      <c r="N3183" s="208"/>
      <c r="O3183" s="208"/>
      <c r="P3183" s="208"/>
      <c r="Q3183" s="208"/>
      <c r="R3183" s="208"/>
      <c r="S3183" s="208"/>
      <c r="T3183" s="208"/>
      <c r="U3183" s="208"/>
      <c r="V3183" s="208"/>
      <c r="W3183" s="19"/>
      <c r="X3183" s="17"/>
      <c r="Y3183" s="5">
        <f t="shared" si="304"/>
        <v>0</v>
      </c>
      <c r="Z3183" s="5">
        <f t="shared" si="305"/>
        <v>0</v>
      </c>
      <c r="AA3183" s="5">
        <f t="shared" si="306"/>
        <v>0</v>
      </c>
      <c r="AB3183" s="5">
        <f t="shared" si="307"/>
        <v>0</v>
      </c>
      <c r="AC3183" s="5"/>
      <c r="AD3183" s="5">
        <v>200000000</v>
      </c>
      <c r="AE3183" s="5">
        <f t="shared" si="308"/>
        <v>200000000</v>
      </c>
      <c r="AF3183" s="70">
        <v>0</v>
      </c>
      <c r="AG3183" s="17"/>
      <c r="AH3183" s="18"/>
      <c r="AI3183" s="47" t="s">
        <v>4346</v>
      </c>
      <c r="AJ3183" s="73" t="s">
        <v>4347</v>
      </c>
      <c r="AK3183" s="45"/>
      <c r="AL3183" s="17"/>
      <c r="AM3183" s="20" t="s">
        <v>5529</v>
      </c>
      <c r="AN3183" s="19"/>
      <c r="AO3183" s="19"/>
      <c r="AP3183" s="19"/>
      <c r="AQ3183" s="19"/>
      <c r="AR3183" s="19"/>
      <c r="AS3183" s="19"/>
      <c r="AT3183" s="19"/>
      <c r="AU3183" s="19"/>
      <c r="AV3183" s="19"/>
      <c r="AW3183" s="19"/>
      <c r="AX3183" s="19"/>
      <c r="AY3183" s="19"/>
      <c r="AZ3183" s="19"/>
      <c r="BA3183" s="19"/>
      <c r="BB3183" s="19"/>
      <c r="BC3183" s="19"/>
      <c r="BD3183" s="19"/>
      <c r="BE3183" s="19"/>
      <c r="BF3183" s="19"/>
      <c r="BG3183" s="19"/>
      <c r="BH3183" s="19"/>
      <c r="BI3183" s="19"/>
      <c r="BJ3183" s="19"/>
      <c r="BK3183" s="19"/>
      <c r="BL3183" s="19"/>
      <c r="BM3183" s="19"/>
      <c r="BN3183" s="19"/>
      <c r="BO3183" s="19"/>
      <c r="BP3183" s="19"/>
      <c r="BQ3183" s="19"/>
      <c r="BR3183" s="19"/>
      <c r="BS3183" s="19"/>
      <c r="BT3183" s="19"/>
      <c r="BU3183" s="19"/>
      <c r="BV3183" s="19"/>
      <c r="BW3183" s="19"/>
      <c r="BX3183" s="19"/>
      <c r="BY3183" s="19"/>
      <c r="BZ3183" s="19"/>
      <c r="CA3183" s="19"/>
      <c r="CB3183" s="19"/>
      <c r="CC3183" s="19"/>
      <c r="CD3183" s="139"/>
      <c r="CE3183" s="138"/>
      <c r="CF3183" s="139"/>
      <c r="CG3183" s="138"/>
      <c r="CH3183" s="139"/>
      <c r="CI3183" s="138"/>
      <c r="CJ3183" s="72"/>
      <c r="CK3183" s="139"/>
      <c r="CL3183" s="71"/>
      <c r="CM3183" s="139"/>
      <c r="CN3183" s="138"/>
      <c r="CO3183" s="138"/>
      <c r="CP3183" s="138"/>
      <c r="CQ3183" s="139"/>
      <c r="CR3183" s="138"/>
      <c r="CS3183" s="45"/>
      <c r="CT3183" s="138"/>
      <c r="CU3183" s="45"/>
      <c r="CV3183" s="99">
        <f t="shared" si="309"/>
        <v>0</v>
      </c>
      <c r="CW3183" s="139"/>
      <c r="CX3183" s="138"/>
      <c r="CY3183" s="138"/>
      <c r="CZ3183" s="138"/>
      <c r="DA3183" s="139"/>
      <c r="DB3183" s="138"/>
      <c r="DC3183" s="45"/>
      <c r="DD3183" s="138"/>
      <c r="DE3183" s="45"/>
      <c r="DF3183" s="46"/>
    </row>
    <row r="3184" spans="1:110" s="42" customFormat="1" ht="36" x14ac:dyDescent="0.2">
      <c r="A3184" s="89">
        <v>40904</v>
      </c>
      <c r="B3184" s="151" t="s">
        <v>1116</v>
      </c>
      <c r="C3184" s="90" t="s">
        <v>1116</v>
      </c>
      <c r="D3184" s="90" t="s">
        <v>4298</v>
      </c>
      <c r="E3184" s="90" t="str">
        <f>VLOOKUP(B3184&amp;C3184,Divipola!$C$2:$F$1138,4,FALSE)</f>
        <v>11001</v>
      </c>
      <c r="F3184" s="4"/>
      <c r="G3184" s="101"/>
      <c r="H3184" s="101"/>
      <c r="I3184" s="101"/>
      <c r="J3184" s="101">
        <v>5</v>
      </c>
      <c r="K3184" s="101">
        <v>1</v>
      </c>
      <c r="L3184" s="101"/>
      <c r="M3184" s="101">
        <v>1</v>
      </c>
      <c r="N3184" s="101"/>
      <c r="O3184" s="101"/>
      <c r="P3184" s="101"/>
      <c r="Q3184" s="101"/>
      <c r="R3184" s="101"/>
      <c r="S3184" s="101"/>
      <c r="T3184" s="101"/>
      <c r="U3184" s="101"/>
      <c r="V3184" s="101"/>
      <c r="W3184" s="19"/>
      <c r="X3184" s="17"/>
      <c r="Y3184" s="5">
        <f t="shared" si="304"/>
        <v>0</v>
      </c>
      <c r="Z3184" s="5">
        <f t="shared" si="305"/>
        <v>0</v>
      </c>
      <c r="AA3184" s="5">
        <f t="shared" si="306"/>
        <v>0</v>
      </c>
      <c r="AB3184" s="5">
        <f t="shared" si="307"/>
        <v>0</v>
      </c>
      <c r="AC3184" s="5"/>
      <c r="AD3184" s="5">
        <v>0</v>
      </c>
      <c r="AE3184" s="5">
        <f t="shared" si="308"/>
        <v>0</v>
      </c>
      <c r="AF3184" s="70">
        <v>0</v>
      </c>
      <c r="AG3184" s="17"/>
      <c r="AH3184" s="18"/>
      <c r="AI3184" s="47" t="s">
        <v>4336</v>
      </c>
      <c r="AJ3184" s="73" t="s">
        <v>4337</v>
      </c>
      <c r="AK3184" s="45"/>
      <c r="AL3184" s="17"/>
      <c r="AM3184" s="121" t="s">
        <v>5539</v>
      </c>
      <c r="AN3184" s="19"/>
      <c r="AO3184" s="19"/>
      <c r="AP3184" s="19"/>
      <c r="AQ3184" s="19"/>
      <c r="AR3184" s="19"/>
      <c r="AS3184" s="19"/>
      <c r="AT3184" s="19"/>
      <c r="AU3184" s="19"/>
      <c r="AV3184" s="19"/>
      <c r="AW3184" s="19"/>
      <c r="AX3184" s="19"/>
      <c r="AY3184" s="19"/>
      <c r="AZ3184" s="19"/>
      <c r="BA3184" s="19"/>
      <c r="BB3184" s="19"/>
      <c r="BC3184" s="19"/>
      <c r="BD3184" s="19"/>
      <c r="BE3184" s="19"/>
      <c r="BF3184" s="19"/>
      <c r="BG3184" s="19"/>
      <c r="BH3184" s="19"/>
      <c r="BI3184" s="19"/>
      <c r="BJ3184" s="19"/>
      <c r="BK3184" s="19"/>
      <c r="BL3184" s="19"/>
      <c r="BM3184" s="19"/>
      <c r="BN3184" s="19"/>
      <c r="BO3184" s="19"/>
      <c r="BP3184" s="19"/>
      <c r="BQ3184" s="19"/>
      <c r="BR3184" s="19"/>
      <c r="BS3184" s="19"/>
      <c r="BT3184" s="19"/>
      <c r="BU3184" s="19"/>
      <c r="BV3184" s="19"/>
      <c r="BW3184" s="19"/>
      <c r="BX3184" s="19"/>
      <c r="BY3184" s="19"/>
      <c r="BZ3184" s="19"/>
      <c r="CA3184" s="19"/>
      <c r="CB3184" s="19"/>
      <c r="CC3184" s="19"/>
      <c r="CD3184" s="139"/>
      <c r="CE3184" s="138"/>
      <c r="CF3184" s="139"/>
      <c r="CG3184" s="138"/>
      <c r="CH3184" s="139"/>
      <c r="CI3184" s="138"/>
      <c r="CJ3184" s="72"/>
      <c r="CK3184" s="139"/>
      <c r="CL3184" s="71"/>
      <c r="CM3184" s="139"/>
      <c r="CN3184" s="138"/>
      <c r="CO3184" s="138"/>
      <c r="CP3184" s="138"/>
      <c r="CQ3184" s="139"/>
      <c r="CR3184" s="138"/>
      <c r="CS3184" s="45"/>
      <c r="CT3184" s="138"/>
      <c r="CU3184" s="45"/>
      <c r="CV3184" s="99">
        <f t="shared" si="309"/>
        <v>0</v>
      </c>
      <c r="CW3184" s="139"/>
      <c r="CX3184" s="138"/>
      <c r="CY3184" s="138"/>
      <c r="CZ3184" s="138"/>
      <c r="DA3184" s="139"/>
      <c r="DB3184" s="138"/>
      <c r="DC3184" s="45"/>
      <c r="DD3184" s="138"/>
      <c r="DE3184" s="45"/>
      <c r="DF3184" s="46"/>
    </row>
    <row r="3185" spans="1:110" s="42" customFormat="1" ht="48" x14ac:dyDescent="0.2">
      <c r="A3185" s="89">
        <v>40904</v>
      </c>
      <c r="B3185" s="151" t="s">
        <v>2218</v>
      </c>
      <c r="C3185" s="90" t="s">
        <v>3244</v>
      </c>
      <c r="D3185" s="90" t="s">
        <v>4298</v>
      </c>
      <c r="E3185" s="90" t="str">
        <f>VLOOKUP(B3185&amp;C3185,Divipola!$C$2:$F$1138,4,FALSE)</f>
        <v>05360</v>
      </c>
      <c r="F3185" s="4"/>
      <c r="G3185" s="101"/>
      <c r="H3185" s="101">
        <v>4</v>
      </c>
      <c r="I3185" s="101"/>
      <c r="J3185" s="101"/>
      <c r="K3185" s="101"/>
      <c r="L3185" s="101"/>
      <c r="M3185" s="101">
        <v>1</v>
      </c>
      <c r="N3185" s="101"/>
      <c r="O3185" s="101"/>
      <c r="P3185" s="101"/>
      <c r="Q3185" s="101"/>
      <c r="R3185" s="101"/>
      <c r="S3185" s="101"/>
      <c r="T3185" s="101"/>
      <c r="U3185" s="101"/>
      <c r="V3185" s="101"/>
      <c r="W3185" s="19"/>
      <c r="X3185" s="17"/>
      <c r="Y3185" s="5">
        <f t="shared" si="304"/>
        <v>0</v>
      </c>
      <c r="Z3185" s="5">
        <f t="shared" si="305"/>
        <v>0</v>
      </c>
      <c r="AA3185" s="5">
        <f t="shared" si="306"/>
        <v>0</v>
      </c>
      <c r="AB3185" s="5">
        <f t="shared" si="307"/>
        <v>0</v>
      </c>
      <c r="AC3185" s="5"/>
      <c r="AD3185" s="5">
        <v>0</v>
      </c>
      <c r="AE3185" s="5">
        <f t="shared" si="308"/>
        <v>0</v>
      </c>
      <c r="AF3185" s="70">
        <v>0</v>
      </c>
      <c r="AG3185" s="17"/>
      <c r="AH3185" s="18"/>
      <c r="AI3185" s="47" t="s">
        <v>4336</v>
      </c>
      <c r="AJ3185" s="73" t="s">
        <v>4337</v>
      </c>
      <c r="AK3185" s="45"/>
      <c r="AL3185" s="17"/>
      <c r="AM3185" s="121" t="s">
        <v>5540</v>
      </c>
      <c r="AN3185" s="19"/>
      <c r="AO3185" s="19"/>
      <c r="AP3185" s="19"/>
      <c r="AQ3185" s="19"/>
      <c r="AR3185" s="19"/>
      <c r="AS3185" s="19"/>
      <c r="AT3185" s="19"/>
      <c r="AU3185" s="19"/>
      <c r="AV3185" s="19"/>
      <c r="AW3185" s="19"/>
      <c r="AX3185" s="19"/>
      <c r="AY3185" s="19"/>
      <c r="AZ3185" s="19"/>
      <c r="BA3185" s="19"/>
      <c r="BB3185" s="19"/>
      <c r="BC3185" s="19"/>
      <c r="BD3185" s="19"/>
      <c r="BE3185" s="19"/>
      <c r="BF3185" s="19"/>
      <c r="BG3185" s="19"/>
      <c r="BH3185" s="19"/>
      <c r="BI3185" s="19"/>
      <c r="BJ3185" s="19"/>
      <c r="BK3185" s="19"/>
      <c r="BL3185" s="19"/>
      <c r="BM3185" s="19"/>
      <c r="BN3185" s="19"/>
      <c r="BO3185" s="19"/>
      <c r="BP3185" s="19"/>
      <c r="BQ3185" s="19"/>
      <c r="BR3185" s="19"/>
      <c r="BS3185" s="19"/>
      <c r="BT3185" s="19"/>
      <c r="BU3185" s="19"/>
      <c r="BV3185" s="19"/>
      <c r="BW3185" s="19"/>
      <c r="BX3185" s="19"/>
      <c r="BY3185" s="19"/>
      <c r="BZ3185" s="19"/>
      <c r="CA3185" s="19"/>
      <c r="CB3185" s="19"/>
      <c r="CC3185" s="19"/>
      <c r="CD3185" s="139"/>
      <c r="CE3185" s="138"/>
      <c r="CF3185" s="139"/>
      <c r="CG3185" s="138"/>
      <c r="CH3185" s="139"/>
      <c r="CI3185" s="138"/>
      <c r="CJ3185" s="72"/>
      <c r="CK3185" s="139"/>
      <c r="CL3185" s="71"/>
      <c r="CM3185" s="139"/>
      <c r="CN3185" s="138"/>
      <c r="CO3185" s="138"/>
      <c r="CP3185" s="138"/>
      <c r="CQ3185" s="139"/>
      <c r="CR3185" s="138"/>
      <c r="CS3185" s="45"/>
      <c r="CT3185" s="138"/>
      <c r="CU3185" s="45"/>
      <c r="CV3185" s="99">
        <f t="shared" si="309"/>
        <v>0</v>
      </c>
      <c r="CW3185" s="139"/>
      <c r="CX3185" s="138"/>
      <c r="CY3185" s="138"/>
      <c r="CZ3185" s="138"/>
      <c r="DA3185" s="139"/>
      <c r="DB3185" s="138"/>
      <c r="DC3185" s="45"/>
      <c r="DD3185" s="138"/>
      <c r="DE3185" s="45"/>
      <c r="DF3185" s="46"/>
    </row>
    <row r="3186" spans="1:110" s="42" customFormat="1" ht="60" x14ac:dyDescent="0.2">
      <c r="A3186" s="17">
        <v>40905</v>
      </c>
      <c r="B3186" s="16" t="s">
        <v>2226</v>
      </c>
      <c r="C3186" s="16" t="s">
        <v>3499</v>
      </c>
      <c r="D3186" s="16" t="s">
        <v>4264</v>
      </c>
      <c r="E3186" s="90" t="str">
        <f>VLOOKUP(B3186&amp;C3186,Divipola!$C$2:$F$1138,4,FALSE)</f>
        <v>68655</v>
      </c>
      <c r="F3186" s="4"/>
      <c r="G3186" s="208"/>
      <c r="H3186" s="208"/>
      <c r="I3186" s="208"/>
      <c r="J3186" s="208"/>
      <c r="K3186" s="208"/>
      <c r="L3186" s="208"/>
      <c r="M3186" s="208">
        <v>2</v>
      </c>
      <c r="N3186" s="208"/>
      <c r="O3186" s="208"/>
      <c r="P3186" s="208"/>
      <c r="Q3186" s="208"/>
      <c r="R3186" s="208"/>
      <c r="S3186" s="208"/>
      <c r="T3186" s="208"/>
      <c r="U3186" s="208"/>
      <c r="V3186" s="208"/>
      <c r="W3186" s="19"/>
      <c r="X3186" s="17"/>
      <c r="Y3186" s="5">
        <f t="shared" si="304"/>
        <v>0</v>
      </c>
      <c r="Z3186" s="5">
        <f t="shared" si="305"/>
        <v>0</v>
      </c>
      <c r="AA3186" s="5">
        <f t="shared" si="306"/>
        <v>0</v>
      </c>
      <c r="AB3186" s="5">
        <f t="shared" si="307"/>
        <v>0</v>
      </c>
      <c r="AC3186" s="5"/>
      <c r="AD3186" s="5">
        <v>20000000</v>
      </c>
      <c r="AE3186" s="5">
        <f t="shared" si="308"/>
        <v>20000000</v>
      </c>
      <c r="AF3186" s="70">
        <v>0</v>
      </c>
      <c r="AG3186" s="17"/>
      <c r="AH3186" s="18"/>
      <c r="AI3186" s="47" t="s">
        <v>4346</v>
      </c>
      <c r="AJ3186" s="73" t="s">
        <v>4347</v>
      </c>
      <c r="AK3186" s="45"/>
      <c r="AL3186" s="17"/>
      <c r="AM3186" s="20" t="s">
        <v>5542</v>
      </c>
      <c r="AN3186" s="19"/>
      <c r="AO3186" s="19"/>
      <c r="AP3186" s="19"/>
      <c r="AQ3186" s="19"/>
      <c r="AR3186" s="19"/>
      <c r="AS3186" s="19"/>
      <c r="AT3186" s="19"/>
      <c r="AU3186" s="19"/>
      <c r="AV3186" s="19"/>
      <c r="AW3186" s="19"/>
      <c r="AX3186" s="19"/>
      <c r="AY3186" s="19"/>
      <c r="AZ3186" s="19"/>
      <c r="BA3186" s="19"/>
      <c r="BB3186" s="19"/>
      <c r="BC3186" s="19"/>
      <c r="BD3186" s="19"/>
      <c r="BE3186" s="19"/>
      <c r="BF3186" s="19"/>
      <c r="BG3186" s="19"/>
      <c r="BH3186" s="19"/>
      <c r="BI3186" s="19"/>
      <c r="BJ3186" s="19"/>
      <c r="BK3186" s="19"/>
      <c r="BL3186" s="19"/>
      <c r="BM3186" s="19"/>
      <c r="BN3186" s="19"/>
      <c r="BO3186" s="19"/>
      <c r="BP3186" s="19"/>
      <c r="BQ3186" s="19"/>
      <c r="BR3186" s="19"/>
      <c r="BS3186" s="19"/>
      <c r="BT3186" s="19"/>
      <c r="BU3186" s="19"/>
      <c r="BV3186" s="19"/>
      <c r="BW3186" s="19"/>
      <c r="BX3186" s="19"/>
      <c r="BY3186" s="19"/>
      <c r="BZ3186" s="19"/>
      <c r="CA3186" s="19"/>
      <c r="CB3186" s="19"/>
      <c r="CC3186" s="19"/>
      <c r="CD3186" s="139"/>
      <c r="CE3186" s="138"/>
      <c r="CF3186" s="139"/>
      <c r="CG3186" s="138"/>
      <c r="CH3186" s="139"/>
      <c r="CI3186" s="138"/>
      <c r="CJ3186" s="72"/>
      <c r="CK3186" s="139"/>
      <c r="CL3186" s="71"/>
      <c r="CM3186" s="139"/>
      <c r="CN3186" s="138"/>
      <c r="CO3186" s="138"/>
      <c r="CP3186" s="138"/>
      <c r="CQ3186" s="139"/>
      <c r="CR3186" s="138"/>
      <c r="CS3186" s="45"/>
      <c r="CT3186" s="138"/>
      <c r="CU3186" s="45"/>
      <c r="CV3186" s="99">
        <f t="shared" si="309"/>
        <v>0</v>
      </c>
      <c r="CW3186" s="139"/>
      <c r="CX3186" s="138"/>
      <c r="CY3186" s="138"/>
      <c r="CZ3186" s="138"/>
      <c r="DA3186" s="139"/>
      <c r="DB3186" s="138"/>
      <c r="DC3186" s="45"/>
      <c r="DD3186" s="138"/>
      <c r="DE3186" s="45"/>
      <c r="DF3186" s="46"/>
    </row>
    <row r="3187" spans="1:110" s="42" customFormat="1" x14ac:dyDescent="0.2">
      <c r="A3187" s="17">
        <v>40905</v>
      </c>
      <c r="B3187" s="16" t="s">
        <v>4386</v>
      </c>
      <c r="C3187" s="16" t="s">
        <v>4345</v>
      </c>
      <c r="D3187" s="90" t="s">
        <v>4264</v>
      </c>
      <c r="E3187" s="90">
        <f>VLOOKUP(B3187&amp;C3187,Divipola!$C$2:$F$1138,4,FALSE)</f>
        <v>20</v>
      </c>
      <c r="F3187" s="4"/>
      <c r="G3187" s="208"/>
      <c r="H3187" s="208"/>
      <c r="I3187" s="208"/>
      <c r="J3187" s="208"/>
      <c r="K3187" s="208"/>
      <c r="L3187" s="208"/>
      <c r="M3187" s="208"/>
      <c r="N3187" s="208"/>
      <c r="O3187" s="208"/>
      <c r="P3187" s="208"/>
      <c r="Q3187" s="208"/>
      <c r="R3187" s="208"/>
      <c r="S3187" s="208"/>
      <c r="T3187" s="208"/>
      <c r="U3187" s="208"/>
      <c r="V3187" s="208"/>
      <c r="W3187" s="19"/>
      <c r="X3187" s="17"/>
      <c r="Y3187" s="5">
        <f t="shared" si="304"/>
        <v>87000000</v>
      </c>
      <c r="Z3187" s="5">
        <f t="shared" si="305"/>
        <v>340000000</v>
      </c>
      <c r="AA3187" s="5">
        <f t="shared" si="306"/>
        <v>24587360</v>
      </c>
      <c r="AB3187" s="5">
        <f t="shared" si="307"/>
        <v>0</v>
      </c>
      <c r="AC3187" s="5"/>
      <c r="AD3187" s="5">
        <v>0</v>
      </c>
      <c r="AE3187" s="5">
        <f t="shared" si="308"/>
        <v>451587360</v>
      </c>
      <c r="AF3187" s="70">
        <v>0</v>
      </c>
      <c r="AG3187" s="17"/>
      <c r="AH3187" s="18"/>
      <c r="AI3187" s="47" t="s">
        <v>4346</v>
      </c>
      <c r="AJ3187" s="73" t="s">
        <v>4347</v>
      </c>
      <c r="AK3187" s="45"/>
      <c r="AL3187" s="17"/>
      <c r="AM3187" s="20"/>
      <c r="AN3187" s="19"/>
      <c r="AO3187" s="19"/>
      <c r="AP3187" s="19"/>
      <c r="AQ3187" s="19"/>
      <c r="AR3187" s="19"/>
      <c r="AS3187" s="19"/>
      <c r="AT3187" s="19"/>
      <c r="AU3187" s="19"/>
      <c r="AV3187" s="19"/>
      <c r="AW3187" s="19"/>
      <c r="AX3187" s="19"/>
      <c r="AY3187" s="19"/>
      <c r="AZ3187" s="19"/>
      <c r="BA3187" s="19"/>
      <c r="BB3187" s="19"/>
      <c r="BC3187" s="19"/>
      <c r="BD3187" s="19"/>
      <c r="BE3187" s="19"/>
      <c r="BF3187" s="19"/>
      <c r="BG3187" s="19"/>
      <c r="BH3187" s="19"/>
      <c r="BI3187" s="19"/>
      <c r="BJ3187" s="19"/>
      <c r="BK3187" s="19"/>
      <c r="BL3187" s="19">
        <v>2000</v>
      </c>
      <c r="BM3187" s="19">
        <f>2000*25500</f>
        <v>51000000</v>
      </c>
      <c r="BN3187" s="19"/>
      <c r="BO3187" s="19"/>
      <c r="BP3187" s="19"/>
      <c r="BQ3187" s="19"/>
      <c r="BR3187" s="19"/>
      <c r="BS3187" s="19"/>
      <c r="BT3187" s="19"/>
      <c r="BU3187" s="19"/>
      <c r="BV3187" s="19"/>
      <c r="BW3187" s="19"/>
      <c r="BX3187" s="19"/>
      <c r="BY3187" s="19"/>
      <c r="BZ3187" s="19"/>
      <c r="CA3187" s="19"/>
      <c r="CB3187" s="19"/>
      <c r="CC3187" s="19"/>
      <c r="CD3187" s="139"/>
      <c r="CE3187" s="138"/>
      <c r="CF3187" s="139"/>
      <c r="CG3187" s="138"/>
      <c r="CH3187" s="139"/>
      <c r="CI3187" s="138"/>
      <c r="CJ3187" s="72"/>
      <c r="CK3187" s="139"/>
      <c r="CL3187" s="71"/>
      <c r="CM3187" s="139"/>
      <c r="CN3187" s="138">
        <v>2000</v>
      </c>
      <c r="CO3187" s="138">
        <f>2000*18000</f>
        <v>36000000</v>
      </c>
      <c r="CP3187" s="138"/>
      <c r="CQ3187" s="139"/>
      <c r="CR3187" s="138"/>
      <c r="CS3187" s="45"/>
      <c r="CT3187" s="138"/>
      <c r="CU3187" s="45"/>
      <c r="CV3187" s="99">
        <f t="shared" si="309"/>
        <v>87000000</v>
      </c>
      <c r="CW3187" s="139"/>
      <c r="CX3187" s="138"/>
      <c r="CY3187" s="138">
        <v>4000</v>
      </c>
      <c r="CZ3187" s="138">
        <f>4000*85000</f>
        <v>340000000</v>
      </c>
      <c r="DA3187" s="139"/>
      <c r="DB3187" s="138"/>
      <c r="DC3187" s="45">
        <v>1000</v>
      </c>
      <c r="DD3187" s="138">
        <f>1000*22499.36+6000*348</f>
        <v>24587360</v>
      </c>
      <c r="DE3187" s="45"/>
      <c r="DF3187" s="46"/>
    </row>
    <row r="3188" spans="1:110" s="42" customFormat="1" ht="60" x14ac:dyDescent="0.2">
      <c r="A3188" s="17">
        <v>40906</v>
      </c>
      <c r="B3188" s="16" t="s">
        <v>4244</v>
      </c>
      <c r="C3188" s="16" t="s">
        <v>2247</v>
      </c>
      <c r="D3188" s="16" t="s">
        <v>4264</v>
      </c>
      <c r="E3188" s="90" t="str">
        <f>VLOOKUP(B3188&amp;C3188,Divipola!$C$2:$F$1138,4,FALSE)</f>
        <v>76622</v>
      </c>
      <c r="F3188" s="4"/>
      <c r="G3188" s="208"/>
      <c r="H3188" s="208"/>
      <c r="I3188" s="208"/>
      <c r="J3188" s="208"/>
      <c r="K3188" s="208"/>
      <c r="L3188" s="208"/>
      <c r="M3188" s="208"/>
      <c r="N3188" s="208"/>
      <c r="O3188" s="208"/>
      <c r="P3188" s="208"/>
      <c r="Q3188" s="208"/>
      <c r="R3188" s="208"/>
      <c r="S3188" s="208"/>
      <c r="T3188" s="208"/>
      <c r="U3188" s="208"/>
      <c r="V3188" s="208"/>
      <c r="W3188" s="19"/>
      <c r="X3188" s="17"/>
      <c r="Y3188" s="5">
        <f t="shared" si="304"/>
        <v>0</v>
      </c>
      <c r="Z3188" s="5">
        <f t="shared" si="305"/>
        <v>0</v>
      </c>
      <c r="AA3188" s="5">
        <f t="shared" si="306"/>
        <v>0</v>
      </c>
      <c r="AB3188" s="5">
        <f t="shared" si="307"/>
        <v>0</v>
      </c>
      <c r="AC3188" s="5"/>
      <c r="AD3188" s="5">
        <v>15000000</v>
      </c>
      <c r="AE3188" s="5">
        <f t="shared" si="308"/>
        <v>15000000</v>
      </c>
      <c r="AF3188" s="70">
        <v>0</v>
      </c>
      <c r="AG3188" s="17"/>
      <c r="AH3188" s="18"/>
      <c r="AI3188" s="47" t="s">
        <v>4346</v>
      </c>
      <c r="AJ3188" s="73" t="s">
        <v>4347</v>
      </c>
      <c r="AK3188" s="45"/>
      <c r="AL3188" s="17"/>
      <c r="AM3188" s="20" t="s">
        <v>5562</v>
      </c>
      <c r="AN3188" s="19"/>
      <c r="AO3188" s="19"/>
      <c r="AP3188" s="19"/>
      <c r="AQ3188" s="19"/>
      <c r="AR3188" s="19"/>
      <c r="AS3188" s="19"/>
      <c r="AT3188" s="19"/>
      <c r="AU3188" s="19"/>
      <c r="AV3188" s="19"/>
      <c r="AW3188" s="19"/>
      <c r="AX3188" s="19"/>
      <c r="AY3188" s="19"/>
      <c r="AZ3188" s="19"/>
      <c r="BA3188" s="19"/>
      <c r="BB3188" s="19"/>
      <c r="BC3188" s="19"/>
      <c r="BD3188" s="19"/>
      <c r="BE3188" s="19"/>
      <c r="BF3188" s="19"/>
      <c r="BG3188" s="19"/>
      <c r="BH3188" s="19"/>
      <c r="BI3188" s="19"/>
      <c r="BJ3188" s="19"/>
      <c r="BK3188" s="19"/>
      <c r="BL3188" s="19"/>
      <c r="BM3188" s="19"/>
      <c r="BN3188" s="19"/>
      <c r="BO3188" s="19"/>
      <c r="BP3188" s="19"/>
      <c r="BQ3188" s="19"/>
      <c r="BR3188" s="19"/>
      <c r="BS3188" s="19"/>
      <c r="BT3188" s="19"/>
      <c r="BU3188" s="19"/>
      <c r="BV3188" s="19"/>
      <c r="BW3188" s="19"/>
      <c r="BX3188" s="19"/>
      <c r="BY3188" s="19"/>
      <c r="BZ3188" s="19"/>
      <c r="CA3188" s="19"/>
      <c r="CB3188" s="19"/>
      <c r="CC3188" s="19"/>
      <c r="CD3188" s="139"/>
      <c r="CE3188" s="138"/>
      <c r="CF3188" s="139"/>
      <c r="CG3188" s="138"/>
      <c r="CH3188" s="139"/>
      <c r="CI3188" s="138"/>
      <c r="CJ3188" s="72"/>
      <c r="CK3188" s="139"/>
      <c r="CL3188" s="71"/>
      <c r="CM3188" s="139"/>
      <c r="CN3188" s="138"/>
      <c r="CO3188" s="138"/>
      <c r="CP3188" s="138"/>
      <c r="CQ3188" s="139"/>
      <c r="CR3188" s="138"/>
      <c r="CS3188" s="45"/>
      <c r="CT3188" s="138"/>
      <c r="CU3188" s="45"/>
      <c r="CV3188" s="99">
        <f t="shared" si="309"/>
        <v>0</v>
      </c>
      <c r="CW3188" s="139"/>
      <c r="CX3188" s="138"/>
      <c r="CY3188" s="138"/>
      <c r="CZ3188" s="138"/>
      <c r="DA3188" s="139"/>
      <c r="DB3188" s="138"/>
      <c r="DC3188" s="45"/>
      <c r="DD3188" s="138"/>
      <c r="DE3188" s="45"/>
      <c r="DF3188" s="46"/>
    </row>
    <row r="3189" spans="1:110" s="42" customFormat="1" ht="48" x14ac:dyDescent="0.2">
      <c r="A3189" s="17">
        <v>40906</v>
      </c>
      <c r="B3189" s="16" t="s">
        <v>3358</v>
      </c>
      <c r="C3189" s="16" t="s">
        <v>4253</v>
      </c>
      <c r="D3189" s="16" t="s">
        <v>4264</v>
      </c>
      <c r="E3189" s="90" t="str">
        <f>VLOOKUP(B3189&amp;C3189,Divipola!$C$2:$F$1138,4,FALSE)</f>
        <v>18001</v>
      </c>
      <c r="F3189" s="4"/>
      <c r="G3189" s="208"/>
      <c r="H3189" s="208"/>
      <c r="I3189" s="208"/>
      <c r="J3189" s="208"/>
      <c r="K3189" s="208"/>
      <c r="L3189" s="208"/>
      <c r="M3189" s="208"/>
      <c r="N3189" s="208"/>
      <c r="O3189" s="208"/>
      <c r="P3189" s="208"/>
      <c r="Q3189" s="208"/>
      <c r="R3189" s="208"/>
      <c r="S3189" s="208"/>
      <c r="T3189" s="208"/>
      <c r="U3189" s="208"/>
      <c r="V3189" s="208"/>
      <c r="W3189" s="19"/>
      <c r="X3189" s="17"/>
      <c r="Y3189" s="5">
        <f t="shared" si="304"/>
        <v>0</v>
      </c>
      <c r="Z3189" s="5">
        <f t="shared" si="305"/>
        <v>0</v>
      </c>
      <c r="AA3189" s="5">
        <f t="shared" si="306"/>
        <v>0</v>
      </c>
      <c r="AB3189" s="5">
        <f t="shared" si="307"/>
        <v>0</v>
      </c>
      <c r="AC3189" s="5"/>
      <c r="AD3189" s="5">
        <v>20000000</v>
      </c>
      <c r="AE3189" s="5">
        <f t="shared" si="308"/>
        <v>20000000</v>
      </c>
      <c r="AF3189" s="70">
        <v>0</v>
      </c>
      <c r="AG3189" s="17"/>
      <c r="AH3189" s="18"/>
      <c r="AI3189" s="47" t="s">
        <v>4346</v>
      </c>
      <c r="AJ3189" s="73" t="s">
        <v>4347</v>
      </c>
      <c r="AK3189" s="45"/>
      <c r="AL3189" s="17"/>
      <c r="AM3189" s="20" t="s">
        <v>5563</v>
      </c>
      <c r="AN3189" s="19"/>
      <c r="AO3189" s="19"/>
      <c r="AP3189" s="19"/>
      <c r="AQ3189" s="19"/>
      <c r="AR3189" s="19"/>
      <c r="AS3189" s="19"/>
      <c r="AT3189" s="19"/>
      <c r="AU3189" s="19"/>
      <c r="AV3189" s="19"/>
      <c r="AW3189" s="19"/>
      <c r="AX3189" s="19"/>
      <c r="AY3189" s="19"/>
      <c r="AZ3189" s="19"/>
      <c r="BA3189" s="19"/>
      <c r="BB3189" s="19"/>
      <c r="BC3189" s="19"/>
      <c r="BD3189" s="19"/>
      <c r="BE3189" s="19"/>
      <c r="BF3189" s="19"/>
      <c r="BG3189" s="19"/>
      <c r="BH3189" s="19"/>
      <c r="BI3189" s="19"/>
      <c r="BJ3189" s="19"/>
      <c r="BK3189" s="19"/>
      <c r="BL3189" s="19"/>
      <c r="BM3189" s="19"/>
      <c r="BN3189" s="19"/>
      <c r="BO3189" s="19"/>
      <c r="BP3189" s="19"/>
      <c r="BQ3189" s="19"/>
      <c r="BR3189" s="19"/>
      <c r="BS3189" s="19"/>
      <c r="BT3189" s="19"/>
      <c r="BU3189" s="19"/>
      <c r="BV3189" s="19"/>
      <c r="BW3189" s="19"/>
      <c r="BX3189" s="19"/>
      <c r="BY3189" s="19"/>
      <c r="BZ3189" s="19"/>
      <c r="CA3189" s="19"/>
      <c r="CB3189" s="19"/>
      <c r="CC3189" s="19"/>
      <c r="CD3189" s="139"/>
      <c r="CE3189" s="138"/>
      <c r="CF3189" s="139"/>
      <c r="CG3189" s="138"/>
      <c r="CH3189" s="139"/>
      <c r="CI3189" s="138"/>
      <c r="CJ3189" s="72"/>
      <c r="CK3189" s="139"/>
      <c r="CL3189" s="71"/>
      <c r="CM3189" s="139"/>
      <c r="CN3189" s="138"/>
      <c r="CO3189" s="138"/>
      <c r="CP3189" s="138"/>
      <c r="CQ3189" s="139"/>
      <c r="CR3189" s="138"/>
      <c r="CS3189" s="45"/>
      <c r="CT3189" s="138"/>
      <c r="CU3189" s="45"/>
      <c r="CV3189" s="99">
        <f t="shared" si="309"/>
        <v>0</v>
      </c>
      <c r="CW3189" s="139"/>
      <c r="CX3189" s="138"/>
      <c r="CY3189" s="138"/>
      <c r="CZ3189" s="138"/>
      <c r="DA3189" s="139"/>
      <c r="DB3189" s="138"/>
      <c r="DC3189" s="45"/>
      <c r="DD3189" s="138"/>
      <c r="DE3189" s="45"/>
      <c r="DF3189" s="46"/>
    </row>
    <row r="3190" spans="1:110" s="42" customFormat="1" ht="48" x14ac:dyDescent="0.2">
      <c r="A3190" s="221">
        <v>40906</v>
      </c>
      <c r="B3190" s="196" t="s">
        <v>2218</v>
      </c>
      <c r="C3190" s="197" t="s">
        <v>3297</v>
      </c>
      <c r="D3190" s="197" t="s">
        <v>2865</v>
      </c>
      <c r="E3190" s="90" t="str">
        <f>VLOOKUP(B3190&amp;C3190,Divipola!$C$2:$F$1138,4,FALSE)</f>
        <v>05001</v>
      </c>
      <c r="F3190" s="4"/>
      <c r="G3190" s="194">
        <v>1</v>
      </c>
      <c r="H3190" s="194">
        <v>1</v>
      </c>
      <c r="I3190" s="194"/>
      <c r="J3190" s="194"/>
      <c r="K3190" s="194"/>
      <c r="L3190" s="194"/>
      <c r="M3190" s="194"/>
      <c r="N3190" s="194"/>
      <c r="O3190" s="194"/>
      <c r="P3190" s="194"/>
      <c r="Q3190" s="194"/>
      <c r="R3190" s="194"/>
      <c r="S3190" s="194"/>
      <c r="T3190" s="194"/>
      <c r="U3190" s="194"/>
      <c r="V3190" s="194"/>
      <c r="W3190" s="19"/>
      <c r="X3190" s="17"/>
      <c r="Y3190" s="5">
        <f t="shared" si="304"/>
        <v>0</v>
      </c>
      <c r="Z3190" s="5">
        <f t="shared" si="305"/>
        <v>0</v>
      </c>
      <c r="AA3190" s="5">
        <f t="shared" si="306"/>
        <v>0</v>
      </c>
      <c r="AB3190" s="5">
        <f t="shared" si="307"/>
        <v>0</v>
      </c>
      <c r="AC3190" s="5"/>
      <c r="AD3190" s="5">
        <v>0</v>
      </c>
      <c r="AE3190" s="5">
        <f t="shared" si="308"/>
        <v>0</v>
      </c>
      <c r="AF3190" s="70">
        <v>0</v>
      </c>
      <c r="AG3190" s="17"/>
      <c r="AH3190" s="18"/>
      <c r="AI3190" s="47" t="s">
        <v>4336</v>
      </c>
      <c r="AJ3190" s="73" t="s">
        <v>4337</v>
      </c>
      <c r="AK3190" s="45"/>
      <c r="AL3190" s="17"/>
      <c r="AM3190" s="195" t="s">
        <v>5573</v>
      </c>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c r="BV3190" s="19"/>
      <c r="BW3190" s="19"/>
      <c r="BX3190" s="19"/>
      <c r="BY3190" s="19"/>
      <c r="BZ3190" s="19"/>
      <c r="CA3190" s="19"/>
      <c r="CB3190" s="19"/>
      <c r="CC3190" s="19"/>
      <c r="CD3190" s="139"/>
      <c r="CE3190" s="138"/>
      <c r="CF3190" s="139"/>
      <c r="CG3190" s="138"/>
      <c r="CH3190" s="139"/>
      <c r="CI3190" s="138"/>
      <c r="CJ3190" s="72"/>
      <c r="CK3190" s="139"/>
      <c r="CL3190" s="71"/>
      <c r="CM3190" s="139"/>
      <c r="CN3190" s="138"/>
      <c r="CO3190" s="138"/>
      <c r="CP3190" s="138"/>
      <c r="CQ3190" s="139"/>
      <c r="CR3190" s="138"/>
      <c r="CS3190" s="45"/>
      <c r="CT3190" s="138"/>
      <c r="CU3190" s="45"/>
      <c r="CV3190" s="99">
        <f t="shared" si="309"/>
        <v>0</v>
      </c>
      <c r="CW3190" s="139"/>
      <c r="CX3190" s="138"/>
      <c r="CY3190" s="138"/>
      <c r="CZ3190" s="138"/>
      <c r="DA3190" s="139"/>
      <c r="DB3190" s="138"/>
      <c r="DC3190" s="45"/>
      <c r="DD3190" s="138"/>
      <c r="DE3190" s="45"/>
      <c r="DF3190" s="46"/>
    </row>
    <row r="3191" spans="1:110" s="42" customFormat="1" ht="36" x14ac:dyDescent="0.2">
      <c r="A3191" s="221">
        <v>40907</v>
      </c>
      <c r="B3191" s="196" t="s">
        <v>3533</v>
      </c>
      <c r="C3191" s="197" t="s">
        <v>3394</v>
      </c>
      <c r="D3191" s="197" t="s">
        <v>2362</v>
      </c>
      <c r="E3191" s="90" t="str">
        <f>VLOOKUP(B3191&amp;C3191,Divipola!$C$2:$F$1138,4,FALSE)</f>
        <v>17662</v>
      </c>
      <c r="F3191" s="4"/>
      <c r="G3191" s="194">
        <v>3</v>
      </c>
      <c r="H3191" s="194">
        <v>2</v>
      </c>
      <c r="I3191" s="194"/>
      <c r="J3191" s="194">
        <v>5</v>
      </c>
      <c r="K3191" s="194">
        <v>1</v>
      </c>
      <c r="L3191" s="194">
        <v>1</v>
      </c>
      <c r="M3191" s="194"/>
      <c r="N3191" s="194"/>
      <c r="O3191" s="194"/>
      <c r="P3191" s="194"/>
      <c r="Q3191" s="194"/>
      <c r="R3191" s="194"/>
      <c r="S3191" s="194"/>
      <c r="T3191" s="194"/>
      <c r="U3191" s="194"/>
      <c r="V3191" s="194"/>
      <c r="W3191" s="19"/>
      <c r="X3191" s="17"/>
      <c r="Y3191" s="5">
        <f t="shared" si="304"/>
        <v>0</v>
      </c>
      <c r="Z3191" s="5">
        <f t="shared" si="305"/>
        <v>0</v>
      </c>
      <c r="AA3191" s="5">
        <f t="shared" si="306"/>
        <v>0</v>
      </c>
      <c r="AB3191" s="5">
        <f t="shared" si="307"/>
        <v>0</v>
      </c>
      <c r="AC3191" s="5"/>
      <c r="AD3191" s="5">
        <v>0</v>
      </c>
      <c r="AE3191" s="5">
        <f t="shared" si="308"/>
        <v>0</v>
      </c>
      <c r="AF3191" s="70">
        <v>0</v>
      </c>
      <c r="AG3191" s="17"/>
      <c r="AH3191" s="18"/>
      <c r="AI3191" s="47" t="s">
        <v>4336</v>
      </c>
      <c r="AJ3191" s="73" t="s">
        <v>4337</v>
      </c>
      <c r="AK3191" s="45"/>
      <c r="AL3191" s="17"/>
      <c r="AM3191" s="195" t="s">
        <v>5572</v>
      </c>
      <c r="AN3191" s="19"/>
      <c r="AO3191" s="19"/>
      <c r="AP3191" s="19"/>
      <c r="AQ3191" s="19"/>
      <c r="AR3191" s="19"/>
      <c r="AS3191" s="19"/>
      <c r="AT3191" s="19"/>
      <c r="AU3191" s="19"/>
      <c r="AV3191" s="19"/>
      <c r="AW3191" s="19"/>
      <c r="AX3191" s="19"/>
      <c r="AY3191" s="19"/>
      <c r="AZ3191" s="19"/>
      <c r="BA3191" s="19"/>
      <c r="BB3191" s="19"/>
      <c r="BC3191" s="19"/>
      <c r="BD3191" s="19"/>
      <c r="BE3191" s="19"/>
      <c r="BF3191" s="19"/>
      <c r="BG3191" s="19"/>
      <c r="BH3191" s="19"/>
      <c r="BI3191" s="19"/>
      <c r="BJ3191" s="19"/>
      <c r="BK3191" s="19"/>
      <c r="BL3191" s="19"/>
      <c r="BM3191" s="19"/>
      <c r="BN3191" s="19"/>
      <c r="BO3191" s="19"/>
      <c r="BP3191" s="19"/>
      <c r="BQ3191" s="19"/>
      <c r="BR3191" s="19"/>
      <c r="BS3191" s="19"/>
      <c r="BT3191" s="19"/>
      <c r="BU3191" s="19"/>
      <c r="BV3191" s="19"/>
      <c r="BW3191" s="19"/>
      <c r="BX3191" s="19"/>
      <c r="BY3191" s="19"/>
      <c r="BZ3191" s="19"/>
      <c r="CA3191" s="19"/>
      <c r="CB3191" s="19"/>
      <c r="CC3191" s="19"/>
      <c r="CD3191" s="139"/>
      <c r="CE3191" s="138"/>
      <c r="CF3191" s="139"/>
      <c r="CG3191" s="138"/>
      <c r="CH3191" s="139"/>
      <c r="CI3191" s="138"/>
      <c r="CJ3191" s="72"/>
      <c r="CK3191" s="139"/>
      <c r="CL3191" s="71"/>
      <c r="CM3191" s="139"/>
      <c r="CN3191" s="138"/>
      <c r="CO3191" s="138"/>
      <c r="CP3191" s="138"/>
      <c r="CQ3191" s="139"/>
      <c r="CR3191" s="138"/>
      <c r="CS3191" s="45"/>
      <c r="CT3191" s="138"/>
      <c r="CU3191" s="45"/>
      <c r="CV3191" s="99">
        <f t="shared" si="309"/>
        <v>0</v>
      </c>
      <c r="CW3191" s="139"/>
      <c r="CX3191" s="138"/>
      <c r="CY3191" s="138"/>
      <c r="CZ3191" s="138"/>
      <c r="DA3191" s="139"/>
      <c r="DB3191" s="138"/>
      <c r="DC3191" s="45"/>
      <c r="DD3191" s="138"/>
      <c r="DE3191" s="45"/>
      <c r="DF3191" s="46"/>
    </row>
    <row r="3192" spans="1:110" s="42" customFormat="1" ht="36" x14ac:dyDescent="0.2">
      <c r="A3192" s="221">
        <v>40907</v>
      </c>
      <c r="B3192" s="196" t="s">
        <v>3316</v>
      </c>
      <c r="C3192" s="197" t="s">
        <v>2284</v>
      </c>
      <c r="D3192" s="197" t="s">
        <v>2362</v>
      </c>
      <c r="E3192" s="90" t="str">
        <f>VLOOKUP(B3192&amp;C3192,Divipola!$C$2:$F$1138,4,FALSE)</f>
        <v>73520</v>
      </c>
      <c r="F3192" s="4"/>
      <c r="G3192" s="194"/>
      <c r="H3192" s="194">
        <v>9</v>
      </c>
      <c r="I3192" s="194"/>
      <c r="J3192" s="194">
        <v>10</v>
      </c>
      <c r="K3192" s="194">
        <v>3</v>
      </c>
      <c r="L3192" s="194"/>
      <c r="M3192" s="194">
        <v>3</v>
      </c>
      <c r="N3192" s="194"/>
      <c r="O3192" s="194"/>
      <c r="P3192" s="194"/>
      <c r="Q3192" s="194"/>
      <c r="R3192" s="194"/>
      <c r="S3192" s="194"/>
      <c r="T3192" s="194"/>
      <c r="U3192" s="194"/>
      <c r="V3192" s="194"/>
      <c r="W3192" s="19"/>
      <c r="X3192" s="17"/>
      <c r="Y3192" s="5">
        <f t="shared" si="304"/>
        <v>0</v>
      </c>
      <c r="Z3192" s="5">
        <f t="shared" si="305"/>
        <v>0</v>
      </c>
      <c r="AA3192" s="5">
        <f t="shared" si="306"/>
        <v>0</v>
      </c>
      <c r="AB3192" s="5">
        <f t="shared" si="307"/>
        <v>0</v>
      </c>
      <c r="AC3192" s="5"/>
      <c r="AD3192" s="5">
        <v>0</v>
      </c>
      <c r="AE3192" s="5">
        <f t="shared" si="308"/>
        <v>0</v>
      </c>
      <c r="AF3192" s="70">
        <v>0</v>
      </c>
      <c r="AG3192" s="17"/>
      <c r="AH3192" s="18"/>
      <c r="AI3192" s="47" t="s">
        <v>4336</v>
      </c>
      <c r="AJ3192" s="73" t="s">
        <v>4337</v>
      </c>
      <c r="AK3192" s="45"/>
      <c r="AL3192" s="17"/>
      <c r="AM3192" s="195" t="s">
        <v>5574</v>
      </c>
      <c r="AN3192" s="19"/>
      <c r="AO3192" s="19"/>
      <c r="AP3192" s="19"/>
      <c r="AQ3192" s="19"/>
      <c r="AR3192" s="19"/>
      <c r="AS3192" s="19"/>
      <c r="AT3192" s="19"/>
      <c r="AU3192" s="19"/>
      <c r="AV3192" s="19"/>
      <c r="AW3192" s="19"/>
      <c r="AX3192" s="19"/>
      <c r="AY3192" s="19"/>
      <c r="AZ3192" s="19"/>
      <c r="BA3192" s="19"/>
      <c r="BB3192" s="19"/>
      <c r="BC3192" s="19"/>
      <c r="BD3192" s="19"/>
      <c r="BE3192" s="19"/>
      <c r="BF3192" s="19"/>
      <c r="BG3192" s="19"/>
      <c r="BH3192" s="19"/>
      <c r="BI3192" s="19"/>
      <c r="BJ3192" s="19"/>
      <c r="BK3192" s="19"/>
      <c r="BL3192" s="19"/>
      <c r="BM3192" s="19"/>
      <c r="BN3192" s="19"/>
      <c r="BO3192" s="19"/>
      <c r="BP3192" s="19"/>
      <c r="BQ3192" s="19"/>
      <c r="BR3192" s="19"/>
      <c r="BS3192" s="19"/>
      <c r="BT3192" s="19"/>
      <c r="BU3192" s="19"/>
      <c r="BV3192" s="19"/>
      <c r="BW3192" s="19"/>
      <c r="BX3192" s="19"/>
      <c r="BY3192" s="19"/>
      <c r="BZ3192" s="19"/>
      <c r="CA3192" s="19"/>
      <c r="CB3192" s="19"/>
      <c r="CC3192" s="19"/>
      <c r="CD3192" s="139"/>
      <c r="CE3192" s="138"/>
      <c r="CF3192" s="139"/>
      <c r="CG3192" s="138"/>
      <c r="CH3192" s="139"/>
      <c r="CI3192" s="138"/>
      <c r="CJ3192" s="72"/>
      <c r="CK3192" s="139"/>
      <c r="CL3192" s="71"/>
      <c r="CM3192" s="139"/>
      <c r="CN3192" s="138"/>
      <c r="CO3192" s="138"/>
      <c r="CP3192" s="138"/>
      <c r="CQ3192" s="139"/>
      <c r="CR3192" s="138"/>
      <c r="CS3192" s="45"/>
      <c r="CT3192" s="138"/>
      <c r="CU3192" s="45"/>
      <c r="CV3192" s="99">
        <f t="shared" si="309"/>
        <v>0</v>
      </c>
      <c r="CW3192" s="139"/>
      <c r="CX3192" s="138"/>
      <c r="CY3192" s="138"/>
      <c r="CZ3192" s="138"/>
      <c r="DA3192" s="139"/>
      <c r="DB3192" s="138"/>
      <c r="DC3192" s="45"/>
      <c r="DD3192" s="138"/>
      <c r="DE3192" s="45"/>
      <c r="DF3192" s="46"/>
    </row>
    <row r="3193" spans="1:110" s="42" customFormat="1" ht="24" x14ac:dyDescent="0.2">
      <c r="A3193" s="221">
        <v>40907</v>
      </c>
      <c r="B3193" s="196" t="s">
        <v>2226</v>
      </c>
      <c r="C3193" s="197" t="s">
        <v>4243</v>
      </c>
      <c r="D3193" s="197" t="s">
        <v>4298</v>
      </c>
      <c r="E3193" s="90" t="str">
        <f>VLOOKUP(B3193&amp;C3193,Divipola!$C$2:$F$1138,4,FALSE)</f>
        <v>68081</v>
      </c>
      <c r="F3193" s="4"/>
      <c r="G3193" s="194"/>
      <c r="H3193" s="194"/>
      <c r="I3193" s="194"/>
      <c r="J3193" s="194">
        <v>15</v>
      </c>
      <c r="K3193" s="194">
        <v>3</v>
      </c>
      <c r="L3193" s="194">
        <v>3</v>
      </c>
      <c r="M3193" s="194"/>
      <c r="N3193" s="194"/>
      <c r="O3193" s="194"/>
      <c r="P3193" s="194"/>
      <c r="Q3193" s="194"/>
      <c r="R3193" s="194"/>
      <c r="S3193" s="194"/>
      <c r="T3193" s="194"/>
      <c r="U3193" s="194"/>
      <c r="V3193" s="194"/>
      <c r="W3193" s="19"/>
      <c r="X3193" s="17"/>
      <c r="Y3193" s="5">
        <f t="shared" si="304"/>
        <v>0</v>
      </c>
      <c r="Z3193" s="5">
        <f t="shared" si="305"/>
        <v>0</v>
      </c>
      <c r="AA3193" s="5">
        <f t="shared" si="306"/>
        <v>0</v>
      </c>
      <c r="AB3193" s="5">
        <f t="shared" si="307"/>
        <v>0</v>
      </c>
      <c r="AC3193" s="5"/>
      <c r="AD3193" s="5">
        <v>0</v>
      </c>
      <c r="AE3193" s="5">
        <f t="shared" si="308"/>
        <v>0</v>
      </c>
      <c r="AF3193" s="70">
        <v>0</v>
      </c>
      <c r="AG3193" s="17"/>
      <c r="AH3193" s="18"/>
      <c r="AI3193" s="47" t="s">
        <v>4336</v>
      </c>
      <c r="AJ3193" s="73" t="s">
        <v>4337</v>
      </c>
      <c r="AK3193" s="45"/>
      <c r="AL3193" s="17"/>
      <c r="AM3193" s="195" t="s">
        <v>5576</v>
      </c>
      <c r="AN3193" s="19"/>
      <c r="AO3193" s="19"/>
      <c r="AP3193" s="19"/>
      <c r="AQ3193" s="19"/>
      <c r="AR3193" s="19"/>
      <c r="AS3193" s="19"/>
      <c r="AT3193" s="19"/>
      <c r="AU3193" s="19"/>
      <c r="AV3193" s="19"/>
      <c r="AW3193" s="19"/>
      <c r="AX3193" s="19"/>
      <c r="AY3193" s="19"/>
      <c r="AZ3193" s="19"/>
      <c r="BA3193" s="19"/>
      <c r="BB3193" s="19"/>
      <c r="BC3193" s="19"/>
      <c r="BD3193" s="19"/>
      <c r="BE3193" s="19"/>
      <c r="BF3193" s="19"/>
      <c r="BG3193" s="19"/>
      <c r="BH3193" s="19"/>
      <c r="BI3193" s="19"/>
      <c r="BJ3193" s="19"/>
      <c r="BK3193" s="19"/>
      <c r="BL3193" s="19"/>
      <c r="BM3193" s="19"/>
      <c r="BN3193" s="19"/>
      <c r="BO3193" s="19"/>
      <c r="BP3193" s="19"/>
      <c r="BQ3193" s="19"/>
      <c r="BR3193" s="19"/>
      <c r="BS3193" s="19"/>
      <c r="BT3193" s="19"/>
      <c r="BU3193" s="19"/>
      <c r="BV3193" s="19"/>
      <c r="BW3193" s="19"/>
      <c r="BX3193" s="19"/>
      <c r="BY3193" s="19"/>
      <c r="BZ3193" s="19"/>
      <c r="CA3193" s="19"/>
      <c r="CB3193" s="19"/>
      <c r="CC3193" s="19"/>
      <c r="CD3193" s="139"/>
      <c r="CE3193" s="138"/>
      <c r="CF3193" s="139"/>
      <c r="CG3193" s="138"/>
      <c r="CH3193" s="139"/>
      <c r="CI3193" s="138"/>
      <c r="CJ3193" s="72"/>
      <c r="CK3193" s="139"/>
      <c r="CL3193" s="71"/>
      <c r="CM3193" s="139"/>
      <c r="CN3193" s="138"/>
      <c r="CO3193" s="138"/>
      <c r="CP3193" s="138"/>
      <c r="CQ3193" s="139"/>
      <c r="CR3193" s="138"/>
      <c r="CS3193" s="45"/>
      <c r="CT3193" s="138"/>
      <c r="CU3193" s="45"/>
      <c r="CV3193" s="99">
        <f t="shared" si="309"/>
        <v>0</v>
      </c>
      <c r="CW3193" s="139"/>
      <c r="CX3193" s="138"/>
      <c r="CY3193" s="138"/>
      <c r="CZ3193" s="138"/>
      <c r="DA3193" s="139"/>
      <c r="DB3193" s="138"/>
      <c r="DC3193" s="45"/>
      <c r="DD3193" s="138"/>
      <c r="DE3193" s="45"/>
      <c r="DF3193" s="46"/>
    </row>
    <row r="3194" spans="1:110" s="42" customFormat="1" ht="36" x14ac:dyDescent="0.2">
      <c r="A3194" s="17">
        <v>40907</v>
      </c>
      <c r="B3194" s="151" t="s">
        <v>4308</v>
      </c>
      <c r="C3194" s="16" t="s">
        <v>4345</v>
      </c>
      <c r="D3194" s="16" t="s">
        <v>4264</v>
      </c>
      <c r="E3194" s="90">
        <f>VLOOKUP(B3194&amp;C3194,Divipola!$C$2:$F$1138,4,FALSE)</f>
        <v>47</v>
      </c>
      <c r="F3194" s="4"/>
      <c r="G3194" s="208"/>
      <c r="H3194" s="208"/>
      <c r="I3194" s="208"/>
      <c r="J3194" s="208"/>
      <c r="K3194" s="208"/>
      <c r="L3194" s="208"/>
      <c r="M3194" s="208"/>
      <c r="N3194" s="208"/>
      <c r="O3194" s="208"/>
      <c r="P3194" s="208"/>
      <c r="Q3194" s="208"/>
      <c r="R3194" s="208"/>
      <c r="S3194" s="208"/>
      <c r="T3194" s="208"/>
      <c r="U3194" s="208"/>
      <c r="V3194" s="208"/>
      <c r="W3194" s="19"/>
      <c r="X3194" s="17"/>
      <c r="Y3194" s="5">
        <f t="shared" si="304"/>
        <v>147997440</v>
      </c>
      <c r="Z3194" s="5">
        <f t="shared" si="305"/>
        <v>340000000</v>
      </c>
      <c r="AA3194" s="5">
        <f t="shared" si="306"/>
        <v>0</v>
      </c>
      <c r="AB3194" s="5">
        <f t="shared" si="307"/>
        <v>0</v>
      </c>
      <c r="AC3194" s="5"/>
      <c r="AD3194" s="5">
        <v>0</v>
      </c>
      <c r="AE3194" s="5">
        <f t="shared" si="308"/>
        <v>487997440</v>
      </c>
      <c r="AF3194" s="70">
        <v>0</v>
      </c>
      <c r="AG3194" s="17"/>
      <c r="AH3194" s="18"/>
      <c r="AI3194" s="47" t="s">
        <v>4346</v>
      </c>
      <c r="AJ3194" s="73" t="s">
        <v>4347</v>
      </c>
      <c r="AK3194" s="45"/>
      <c r="AL3194" s="17"/>
      <c r="AM3194" s="20" t="s">
        <v>5594</v>
      </c>
      <c r="AN3194" s="19"/>
      <c r="AO3194" s="19"/>
      <c r="AP3194" s="19"/>
      <c r="AQ3194" s="19"/>
      <c r="AR3194" s="19"/>
      <c r="AS3194" s="19"/>
      <c r="AT3194" s="19"/>
      <c r="AU3194" s="19"/>
      <c r="AV3194" s="19"/>
      <c r="AW3194" s="19"/>
      <c r="AX3194" s="19"/>
      <c r="AY3194" s="19"/>
      <c r="AZ3194" s="19"/>
      <c r="BA3194" s="19"/>
      <c r="BB3194" s="19"/>
      <c r="BC3194" s="19"/>
      <c r="BD3194" s="19"/>
      <c r="BE3194" s="19"/>
      <c r="BF3194" s="19"/>
      <c r="BG3194" s="19"/>
      <c r="BH3194" s="19"/>
      <c r="BI3194" s="19"/>
      <c r="BJ3194" s="19"/>
      <c r="BK3194" s="19"/>
      <c r="BL3194" s="19"/>
      <c r="BM3194" s="19"/>
      <c r="BN3194" s="19"/>
      <c r="BO3194" s="19"/>
      <c r="BP3194" s="19"/>
      <c r="BQ3194" s="19"/>
      <c r="BR3194" s="19"/>
      <c r="BS3194" s="19"/>
      <c r="BT3194" s="19"/>
      <c r="BU3194" s="19"/>
      <c r="BV3194" s="19"/>
      <c r="BW3194" s="19"/>
      <c r="BX3194" s="19"/>
      <c r="BY3194" s="19"/>
      <c r="BZ3194" s="19"/>
      <c r="CA3194" s="19"/>
      <c r="CB3194" s="19"/>
      <c r="CC3194" s="19"/>
      <c r="CD3194" s="139"/>
      <c r="CE3194" s="138"/>
      <c r="CF3194" s="139"/>
      <c r="CG3194" s="138"/>
      <c r="CH3194" s="139"/>
      <c r="CI3194" s="138"/>
      <c r="CJ3194" s="72"/>
      <c r="CK3194" s="139"/>
      <c r="CL3194" s="71"/>
      <c r="CM3194" s="139"/>
      <c r="CN3194" s="138"/>
      <c r="CO3194" s="138"/>
      <c r="CP3194" s="138">
        <v>4000</v>
      </c>
      <c r="CQ3194" s="139">
        <f>4000*36999.36</f>
        <v>147997440</v>
      </c>
      <c r="CR3194" s="138"/>
      <c r="CS3194" s="45"/>
      <c r="CT3194" s="138"/>
      <c r="CU3194" s="45"/>
      <c r="CV3194" s="99">
        <f t="shared" si="309"/>
        <v>147997440</v>
      </c>
      <c r="CW3194" s="139"/>
      <c r="CX3194" s="138"/>
      <c r="CY3194" s="138">
        <v>4000</v>
      </c>
      <c r="CZ3194" s="138">
        <f>2000*85000+2000*85000</f>
        <v>340000000</v>
      </c>
      <c r="DA3194" s="139"/>
      <c r="DB3194" s="138"/>
      <c r="DC3194" s="45"/>
      <c r="DD3194" s="138"/>
      <c r="DE3194" s="45"/>
      <c r="DF3194" s="46"/>
    </row>
    <row r="3195" spans="1:110" s="42" customFormat="1" x14ac:dyDescent="0.2">
      <c r="A3195" s="17">
        <v>40907</v>
      </c>
      <c r="B3195" s="151" t="s">
        <v>4352</v>
      </c>
      <c r="C3195" s="16" t="s">
        <v>4345</v>
      </c>
      <c r="D3195" s="16" t="s">
        <v>4264</v>
      </c>
      <c r="E3195" s="90">
        <f>VLOOKUP(B3195&amp;C3195,Divipola!$C$2:$F$1138,4,FALSE)</f>
        <v>13</v>
      </c>
      <c r="F3195" s="4"/>
      <c r="G3195" s="208"/>
      <c r="H3195" s="208"/>
      <c r="I3195" s="208"/>
      <c r="J3195" s="208"/>
      <c r="K3195" s="208"/>
      <c r="L3195" s="208"/>
      <c r="M3195" s="208"/>
      <c r="N3195" s="208"/>
      <c r="O3195" s="208"/>
      <c r="P3195" s="208"/>
      <c r="Q3195" s="208"/>
      <c r="R3195" s="208"/>
      <c r="S3195" s="208"/>
      <c r="T3195" s="208"/>
      <c r="U3195" s="208"/>
      <c r="V3195" s="208"/>
      <c r="W3195" s="19"/>
      <c r="X3195" s="17"/>
      <c r="Y3195" s="5">
        <f t="shared" si="304"/>
        <v>369998720</v>
      </c>
      <c r="Z3195" s="5">
        <f t="shared" si="305"/>
        <v>850000000</v>
      </c>
      <c r="AA3195" s="5">
        <f t="shared" si="306"/>
        <v>0</v>
      </c>
      <c r="AB3195" s="5">
        <f t="shared" si="307"/>
        <v>47502000</v>
      </c>
      <c r="AC3195" s="5"/>
      <c r="AD3195" s="5">
        <v>0</v>
      </c>
      <c r="AE3195" s="5">
        <f t="shared" si="308"/>
        <v>1267500720</v>
      </c>
      <c r="AF3195" s="70">
        <v>0</v>
      </c>
      <c r="AG3195" s="17"/>
      <c r="AH3195" s="18"/>
      <c r="AI3195" s="47" t="s">
        <v>4346</v>
      </c>
      <c r="AJ3195" s="73" t="s">
        <v>4347</v>
      </c>
      <c r="AK3195" s="45"/>
      <c r="AL3195" s="17"/>
      <c r="AM3195" s="20" t="s">
        <v>2823</v>
      </c>
      <c r="AN3195" s="19"/>
      <c r="AO3195" s="19"/>
      <c r="AP3195" s="19"/>
      <c r="AQ3195" s="19"/>
      <c r="AR3195" s="19"/>
      <c r="AS3195" s="19"/>
      <c r="AT3195" s="19"/>
      <c r="AU3195" s="19"/>
      <c r="AV3195" s="19"/>
      <c r="AW3195" s="19"/>
      <c r="AX3195" s="19"/>
      <c r="AY3195" s="19"/>
      <c r="AZ3195" s="19"/>
      <c r="BA3195" s="19"/>
      <c r="BB3195" s="19"/>
      <c r="BC3195" s="19"/>
      <c r="BD3195" s="19"/>
      <c r="BE3195" s="19"/>
      <c r="BF3195" s="19"/>
      <c r="BG3195" s="19"/>
      <c r="BH3195" s="19"/>
      <c r="BI3195" s="19"/>
      <c r="BJ3195" s="19"/>
      <c r="BK3195" s="19"/>
      <c r="BL3195" s="19"/>
      <c r="BM3195" s="19"/>
      <c r="BN3195" s="19"/>
      <c r="BO3195" s="19"/>
      <c r="BP3195" s="19"/>
      <c r="BQ3195" s="19"/>
      <c r="BR3195" s="19"/>
      <c r="BS3195" s="19"/>
      <c r="BT3195" s="19"/>
      <c r="BU3195" s="19"/>
      <c r="BV3195" s="19"/>
      <c r="BW3195" s="19"/>
      <c r="BX3195" s="19"/>
      <c r="BY3195" s="19"/>
      <c r="BZ3195" s="19"/>
      <c r="CA3195" s="19"/>
      <c r="CB3195" s="19"/>
      <c r="CC3195" s="19"/>
      <c r="CD3195" s="139"/>
      <c r="CE3195" s="138"/>
      <c r="CF3195" s="139"/>
      <c r="CG3195" s="138"/>
      <c r="CH3195" s="139"/>
      <c r="CI3195" s="138"/>
      <c r="CJ3195" s="72"/>
      <c r="CK3195" s="139"/>
      <c r="CL3195" s="71"/>
      <c r="CM3195" s="139"/>
      <c r="CN3195" s="138"/>
      <c r="CO3195" s="138"/>
      <c r="CP3195" s="138">
        <v>10000</v>
      </c>
      <c r="CQ3195" s="139">
        <f>2000*37000+2000*37000+2000*37000+2000*36999.36+2000*37000</f>
        <v>369998720</v>
      </c>
      <c r="CR3195" s="138"/>
      <c r="CS3195" s="45"/>
      <c r="CT3195" s="138"/>
      <c r="CU3195" s="45"/>
      <c r="CV3195" s="99">
        <f t="shared" si="309"/>
        <v>369998720</v>
      </c>
      <c r="CW3195" s="139">
        <v>50000</v>
      </c>
      <c r="CX3195" s="138">
        <f>50000*950.04</f>
        <v>47502000</v>
      </c>
      <c r="CY3195" s="138">
        <v>10000</v>
      </c>
      <c r="CZ3195" s="138">
        <f>2000*85000+2000*85000+2000*85000+2000*85000+2000*85000</f>
        <v>850000000</v>
      </c>
      <c r="DA3195" s="139"/>
      <c r="DB3195" s="138"/>
      <c r="DC3195" s="45"/>
      <c r="DD3195" s="138"/>
      <c r="DE3195" s="45"/>
      <c r="DF3195" s="46"/>
    </row>
    <row r="3196" spans="1:110" s="42" customFormat="1" ht="72" x14ac:dyDescent="0.2">
      <c r="A3196" s="221">
        <v>40908</v>
      </c>
      <c r="B3196" s="196" t="s">
        <v>2218</v>
      </c>
      <c r="C3196" s="197" t="s">
        <v>3528</v>
      </c>
      <c r="D3196" s="197" t="s">
        <v>4298</v>
      </c>
      <c r="E3196" s="90" t="str">
        <f>VLOOKUP(B3196&amp;C3196,Divipola!$C$2:$F$1138,4,FALSE)</f>
        <v>05030</v>
      </c>
      <c r="F3196" s="4"/>
      <c r="G3196" s="194"/>
      <c r="H3196" s="194"/>
      <c r="I3196" s="194"/>
      <c r="J3196" s="194"/>
      <c r="K3196" s="194"/>
      <c r="L3196" s="194"/>
      <c r="M3196" s="194"/>
      <c r="N3196" s="194"/>
      <c r="O3196" s="194"/>
      <c r="P3196" s="194"/>
      <c r="Q3196" s="194"/>
      <c r="R3196" s="194"/>
      <c r="S3196" s="194"/>
      <c r="T3196" s="194"/>
      <c r="U3196" s="194"/>
      <c r="V3196" s="194"/>
      <c r="W3196" s="19"/>
      <c r="X3196" s="17"/>
      <c r="Y3196" s="5">
        <f t="shared" si="304"/>
        <v>0</v>
      </c>
      <c r="Z3196" s="5">
        <f t="shared" si="305"/>
        <v>0</v>
      </c>
      <c r="AA3196" s="5">
        <f t="shared" si="306"/>
        <v>0</v>
      </c>
      <c r="AB3196" s="5">
        <f t="shared" si="307"/>
        <v>0</v>
      </c>
      <c r="AC3196" s="5"/>
      <c r="AD3196" s="5">
        <v>0</v>
      </c>
      <c r="AE3196" s="5">
        <f t="shared" si="308"/>
        <v>0</v>
      </c>
      <c r="AF3196" s="70">
        <v>0</v>
      </c>
      <c r="AG3196" s="17"/>
      <c r="AH3196" s="18"/>
      <c r="AI3196" s="47" t="s">
        <v>4336</v>
      </c>
      <c r="AJ3196" s="73" t="s">
        <v>4337</v>
      </c>
      <c r="AK3196" s="45"/>
      <c r="AL3196" s="17"/>
      <c r="AM3196" s="195" t="s">
        <v>5575</v>
      </c>
      <c r="AN3196" s="19"/>
      <c r="AO3196" s="19"/>
      <c r="AP3196" s="19"/>
      <c r="AQ3196" s="19"/>
      <c r="AR3196" s="19"/>
      <c r="AS3196" s="19"/>
      <c r="AT3196" s="19"/>
      <c r="AU3196" s="19"/>
      <c r="AV3196" s="19"/>
      <c r="AW3196" s="19"/>
      <c r="AX3196" s="19"/>
      <c r="AY3196" s="19"/>
      <c r="AZ3196" s="19"/>
      <c r="BA3196" s="19"/>
      <c r="BB3196" s="19"/>
      <c r="BC3196" s="19"/>
      <c r="BD3196" s="19"/>
      <c r="BE3196" s="19"/>
      <c r="BF3196" s="19"/>
      <c r="BG3196" s="19"/>
      <c r="BH3196" s="19"/>
      <c r="BI3196" s="19"/>
      <c r="BJ3196" s="19"/>
      <c r="BK3196" s="19"/>
      <c r="BL3196" s="19"/>
      <c r="BM3196" s="19"/>
      <c r="BN3196" s="19"/>
      <c r="BO3196" s="19"/>
      <c r="BP3196" s="19"/>
      <c r="BQ3196" s="19"/>
      <c r="BR3196" s="19"/>
      <c r="BS3196" s="19"/>
      <c r="BT3196" s="19"/>
      <c r="BU3196" s="19"/>
      <c r="BV3196" s="19"/>
      <c r="BW3196" s="19"/>
      <c r="BX3196" s="19"/>
      <c r="BY3196" s="19"/>
      <c r="BZ3196" s="19"/>
      <c r="CA3196" s="19"/>
      <c r="CB3196" s="19"/>
      <c r="CC3196" s="19"/>
      <c r="CD3196" s="139"/>
      <c r="CE3196" s="138"/>
      <c r="CF3196" s="139"/>
      <c r="CG3196" s="138"/>
      <c r="CH3196" s="139"/>
      <c r="CI3196" s="138"/>
      <c r="CJ3196" s="72"/>
      <c r="CK3196" s="139"/>
      <c r="CL3196" s="71"/>
      <c r="CM3196" s="139"/>
      <c r="CN3196" s="138"/>
      <c r="CO3196" s="138"/>
      <c r="CP3196" s="138"/>
      <c r="CQ3196" s="139"/>
      <c r="CR3196" s="138"/>
      <c r="CS3196" s="45"/>
      <c r="CT3196" s="138"/>
      <c r="CU3196" s="45"/>
      <c r="CV3196" s="99">
        <f t="shared" si="309"/>
        <v>0</v>
      </c>
      <c r="CW3196" s="139"/>
      <c r="CX3196" s="138"/>
      <c r="CY3196" s="138"/>
      <c r="CZ3196" s="138"/>
      <c r="DA3196" s="139"/>
      <c r="DB3196" s="138"/>
      <c r="DC3196" s="45"/>
      <c r="DD3196" s="138"/>
      <c r="DE3196" s="45"/>
      <c r="DF3196" s="46"/>
    </row>
    <row r="3197" spans="1:110" s="42" customFormat="1" ht="48" x14ac:dyDescent="0.2">
      <c r="A3197" s="89">
        <v>40908</v>
      </c>
      <c r="B3197" s="151" t="s">
        <v>2218</v>
      </c>
      <c r="C3197" s="90" t="s">
        <v>3244</v>
      </c>
      <c r="D3197" s="90" t="s">
        <v>4298</v>
      </c>
      <c r="E3197" s="90" t="str">
        <f>VLOOKUP(B3197&amp;C3197,Divipola!$C$2:$F$1138,4,FALSE)</f>
        <v>05360</v>
      </c>
      <c r="F3197" s="4"/>
      <c r="G3197" s="101"/>
      <c r="H3197" s="101"/>
      <c r="I3197" s="101"/>
      <c r="J3197" s="101">
        <v>5</v>
      </c>
      <c r="K3197" s="101">
        <v>1</v>
      </c>
      <c r="L3197" s="101"/>
      <c r="M3197" s="101">
        <v>1</v>
      </c>
      <c r="N3197" s="101"/>
      <c r="O3197" s="101"/>
      <c r="P3197" s="101"/>
      <c r="Q3197" s="101"/>
      <c r="R3197" s="101"/>
      <c r="S3197" s="101"/>
      <c r="T3197" s="101"/>
      <c r="U3197" s="101"/>
      <c r="V3197" s="101"/>
      <c r="W3197" s="19"/>
      <c r="X3197" s="17"/>
      <c r="Y3197" s="5">
        <f t="shared" si="304"/>
        <v>0</v>
      </c>
      <c r="Z3197" s="5">
        <f t="shared" si="305"/>
        <v>0</v>
      </c>
      <c r="AA3197" s="5">
        <f t="shared" si="306"/>
        <v>0</v>
      </c>
      <c r="AB3197" s="5">
        <f t="shared" si="307"/>
        <v>0</v>
      </c>
      <c r="AC3197" s="5"/>
      <c r="AD3197" s="5">
        <v>0</v>
      </c>
      <c r="AE3197" s="5">
        <f t="shared" si="308"/>
        <v>0</v>
      </c>
      <c r="AF3197" s="70">
        <v>0</v>
      </c>
      <c r="AG3197" s="17"/>
      <c r="AH3197" s="18"/>
      <c r="AI3197" s="47" t="s">
        <v>4336</v>
      </c>
      <c r="AJ3197" s="73" t="s">
        <v>4337</v>
      </c>
      <c r="AK3197" s="45"/>
      <c r="AL3197" s="17"/>
      <c r="AM3197" s="121" t="s">
        <v>5578</v>
      </c>
      <c r="AN3197" s="19"/>
      <c r="AO3197" s="19"/>
      <c r="AP3197" s="19"/>
      <c r="AQ3197" s="19"/>
      <c r="AR3197" s="19"/>
      <c r="AS3197" s="19"/>
      <c r="AT3197" s="19"/>
      <c r="AU3197" s="19"/>
      <c r="AV3197" s="19"/>
      <c r="AW3197" s="19"/>
      <c r="AX3197" s="19"/>
      <c r="AY3197" s="19"/>
      <c r="AZ3197" s="19"/>
      <c r="BA3197" s="19"/>
      <c r="BB3197" s="19"/>
      <c r="BC3197" s="19"/>
      <c r="BD3197" s="19"/>
      <c r="BE3197" s="19"/>
      <c r="BF3197" s="19"/>
      <c r="BG3197" s="19"/>
      <c r="BH3197" s="19"/>
      <c r="BI3197" s="19"/>
      <c r="BJ3197" s="19"/>
      <c r="BK3197" s="19"/>
      <c r="BL3197" s="19"/>
      <c r="BM3197" s="19"/>
      <c r="BN3197" s="19"/>
      <c r="BO3197" s="19"/>
      <c r="BP3197" s="19"/>
      <c r="BQ3197" s="19"/>
      <c r="BR3197" s="19"/>
      <c r="BS3197" s="19"/>
      <c r="BT3197" s="19"/>
      <c r="BU3197" s="19"/>
      <c r="BV3197" s="19"/>
      <c r="BW3197" s="19"/>
      <c r="BX3197" s="19"/>
      <c r="BY3197" s="19"/>
      <c r="BZ3197" s="19"/>
      <c r="CA3197" s="19"/>
      <c r="CB3197" s="19"/>
      <c r="CC3197" s="19"/>
      <c r="CD3197" s="139"/>
      <c r="CE3197" s="138"/>
      <c r="CF3197" s="139"/>
      <c r="CG3197" s="138"/>
      <c r="CH3197" s="139"/>
      <c r="CI3197" s="138"/>
      <c r="CJ3197" s="72"/>
      <c r="CK3197" s="139"/>
      <c r="CL3197" s="71"/>
      <c r="CM3197" s="139"/>
      <c r="CN3197" s="138"/>
      <c r="CO3197" s="138"/>
      <c r="CP3197" s="138"/>
      <c r="CQ3197" s="139"/>
      <c r="CR3197" s="138"/>
      <c r="CS3197" s="45"/>
      <c r="CT3197" s="138"/>
      <c r="CU3197" s="45"/>
      <c r="CV3197" s="99">
        <f t="shared" si="309"/>
        <v>0</v>
      </c>
      <c r="CW3197" s="139"/>
      <c r="CX3197" s="138"/>
      <c r="CY3197" s="138"/>
      <c r="CZ3197" s="138"/>
      <c r="DA3197" s="139"/>
      <c r="DB3197" s="138"/>
      <c r="DC3197" s="45"/>
      <c r="DD3197" s="138"/>
      <c r="DE3197" s="45"/>
      <c r="DF3197" s="46"/>
    </row>
    <row r="3198" spans="1:110" s="42" customFormat="1" ht="36" x14ac:dyDescent="0.2">
      <c r="A3198" s="89">
        <v>40908</v>
      </c>
      <c r="B3198" s="151" t="s">
        <v>4219</v>
      </c>
      <c r="C3198" s="90" t="s">
        <v>687</v>
      </c>
      <c r="D3198" s="90" t="s">
        <v>4298</v>
      </c>
      <c r="E3198" s="90" t="str">
        <f>VLOOKUP(B3198&amp;C3198,Divipola!$C$2:$F$1138,4,FALSE)</f>
        <v>41548</v>
      </c>
      <c r="F3198" s="4"/>
      <c r="G3198" s="101"/>
      <c r="H3198" s="101"/>
      <c r="I3198" s="101"/>
      <c r="J3198" s="101">
        <v>5</v>
      </c>
      <c r="K3198" s="101">
        <v>1</v>
      </c>
      <c r="L3198" s="101"/>
      <c r="M3198" s="101">
        <v>1</v>
      </c>
      <c r="N3198" s="101"/>
      <c r="O3198" s="101"/>
      <c r="P3198" s="101"/>
      <c r="Q3198" s="101"/>
      <c r="R3198" s="101"/>
      <c r="S3198" s="101"/>
      <c r="T3198" s="101"/>
      <c r="U3198" s="101"/>
      <c r="V3198" s="101"/>
      <c r="W3198" s="19"/>
      <c r="X3198" s="17"/>
      <c r="Y3198" s="5">
        <f t="shared" si="304"/>
        <v>0</v>
      </c>
      <c r="Z3198" s="5">
        <f t="shared" si="305"/>
        <v>0</v>
      </c>
      <c r="AA3198" s="5">
        <f t="shared" si="306"/>
        <v>0</v>
      </c>
      <c r="AB3198" s="5">
        <f t="shared" si="307"/>
        <v>0</v>
      </c>
      <c r="AC3198" s="5"/>
      <c r="AD3198" s="5">
        <v>0</v>
      </c>
      <c r="AE3198" s="5">
        <f t="shared" si="308"/>
        <v>0</v>
      </c>
      <c r="AF3198" s="70">
        <v>0</v>
      </c>
      <c r="AG3198" s="17"/>
      <c r="AH3198" s="18"/>
      <c r="AI3198" s="47" t="s">
        <v>4346</v>
      </c>
      <c r="AJ3198" s="73" t="s">
        <v>4347</v>
      </c>
      <c r="AK3198" s="45"/>
      <c r="AL3198" s="89" t="s">
        <v>2798</v>
      </c>
      <c r="AM3198" s="121" t="s">
        <v>5579</v>
      </c>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c r="BW3198" s="19"/>
      <c r="BX3198" s="19"/>
      <c r="BY3198" s="19"/>
      <c r="BZ3198" s="19"/>
      <c r="CA3198" s="19"/>
      <c r="CB3198" s="19"/>
      <c r="CC3198" s="19"/>
      <c r="CD3198" s="139"/>
      <c r="CE3198" s="138"/>
      <c r="CF3198" s="139"/>
      <c r="CG3198" s="138"/>
      <c r="CH3198" s="139"/>
      <c r="CI3198" s="138"/>
      <c r="CJ3198" s="72"/>
      <c r="CK3198" s="139"/>
      <c r="CL3198" s="71"/>
      <c r="CM3198" s="139"/>
      <c r="CN3198" s="138"/>
      <c r="CO3198" s="138"/>
      <c r="CP3198" s="138"/>
      <c r="CQ3198" s="139"/>
      <c r="CR3198" s="138"/>
      <c r="CS3198" s="45"/>
      <c r="CT3198" s="138"/>
      <c r="CU3198" s="45"/>
      <c r="CV3198" s="99">
        <f t="shared" si="309"/>
        <v>0</v>
      </c>
      <c r="CW3198" s="139"/>
      <c r="CX3198" s="138"/>
      <c r="CY3198" s="138"/>
      <c r="CZ3198" s="138"/>
      <c r="DA3198" s="139"/>
      <c r="DB3198" s="138"/>
      <c r="DC3198" s="45"/>
      <c r="DD3198" s="138"/>
      <c r="DE3198" s="45"/>
      <c r="DF3198" s="46"/>
    </row>
    <row r="3199" spans="1:110" s="42" customFormat="1" ht="60" x14ac:dyDescent="0.2">
      <c r="A3199" s="89">
        <v>40908</v>
      </c>
      <c r="B3199" s="151" t="s">
        <v>4296</v>
      </c>
      <c r="C3199" s="90" t="s">
        <v>867</v>
      </c>
      <c r="D3199" s="90" t="s">
        <v>4298</v>
      </c>
      <c r="E3199" s="90" t="str">
        <f>VLOOKUP(B3199&amp;C3199,Divipola!$C$2:$F$1138,4,FALSE)</f>
        <v>19698</v>
      </c>
      <c r="F3199" s="4"/>
      <c r="G3199" s="101"/>
      <c r="H3199" s="101"/>
      <c r="I3199" s="101"/>
      <c r="J3199" s="101">
        <v>5</v>
      </c>
      <c r="K3199" s="101">
        <v>1</v>
      </c>
      <c r="L3199" s="101">
        <v>1</v>
      </c>
      <c r="M3199" s="101"/>
      <c r="N3199" s="101"/>
      <c r="O3199" s="101"/>
      <c r="P3199" s="101"/>
      <c r="Q3199" s="101"/>
      <c r="R3199" s="101"/>
      <c r="S3199" s="101"/>
      <c r="T3199" s="101"/>
      <c r="U3199" s="101"/>
      <c r="V3199" s="101"/>
      <c r="W3199" s="19"/>
      <c r="X3199" s="17"/>
      <c r="Y3199" s="5">
        <f t="shared" si="304"/>
        <v>0</v>
      </c>
      <c r="Z3199" s="5">
        <f t="shared" si="305"/>
        <v>0</v>
      </c>
      <c r="AA3199" s="5">
        <f t="shared" si="306"/>
        <v>0</v>
      </c>
      <c r="AB3199" s="5">
        <f t="shared" si="307"/>
        <v>0</v>
      </c>
      <c r="AC3199" s="5"/>
      <c r="AD3199" s="5">
        <v>0</v>
      </c>
      <c r="AE3199" s="5">
        <f t="shared" si="308"/>
        <v>0</v>
      </c>
      <c r="AF3199" s="70">
        <v>0</v>
      </c>
      <c r="AG3199" s="17"/>
      <c r="AH3199" s="18"/>
      <c r="AI3199" s="47" t="s">
        <v>4336</v>
      </c>
      <c r="AJ3199" s="73" t="s">
        <v>4337</v>
      </c>
      <c r="AK3199" s="45"/>
      <c r="AL3199" s="17"/>
      <c r="AM3199" s="121" t="s">
        <v>5588</v>
      </c>
      <c r="AN3199" s="19"/>
      <c r="AO3199" s="19"/>
      <c r="AP3199" s="19"/>
      <c r="AQ3199" s="19"/>
      <c r="AR3199" s="19"/>
      <c r="AS3199" s="19"/>
      <c r="AT3199" s="19"/>
      <c r="AU3199" s="19"/>
      <c r="AV3199" s="19"/>
      <c r="AW3199" s="19"/>
      <c r="AX3199" s="19"/>
      <c r="AY3199" s="19"/>
      <c r="AZ3199" s="19"/>
      <c r="BA3199" s="19"/>
      <c r="BB3199" s="19"/>
      <c r="BC3199" s="19"/>
      <c r="BD3199" s="19"/>
      <c r="BE3199" s="19"/>
      <c r="BF3199" s="19"/>
      <c r="BG3199" s="19"/>
      <c r="BH3199" s="19"/>
      <c r="BI3199" s="19"/>
      <c r="BJ3199" s="19"/>
      <c r="BK3199" s="19"/>
      <c r="BL3199" s="19"/>
      <c r="BM3199" s="19"/>
      <c r="BN3199" s="19"/>
      <c r="BO3199" s="19"/>
      <c r="BP3199" s="19"/>
      <c r="BQ3199" s="19"/>
      <c r="BR3199" s="19"/>
      <c r="BS3199" s="19"/>
      <c r="BT3199" s="19"/>
      <c r="BU3199" s="19"/>
      <c r="BV3199" s="19"/>
      <c r="BW3199" s="19"/>
      <c r="BX3199" s="19"/>
      <c r="BY3199" s="19"/>
      <c r="BZ3199" s="19"/>
      <c r="CA3199" s="19"/>
      <c r="CB3199" s="19"/>
      <c r="CC3199" s="19"/>
      <c r="CD3199" s="139"/>
      <c r="CE3199" s="138"/>
      <c r="CF3199" s="139"/>
      <c r="CG3199" s="138"/>
      <c r="CH3199" s="139"/>
      <c r="CI3199" s="138"/>
      <c r="CJ3199" s="72"/>
      <c r="CK3199" s="139"/>
      <c r="CL3199" s="71"/>
      <c r="CM3199" s="139"/>
      <c r="CN3199" s="138"/>
      <c r="CO3199" s="138"/>
      <c r="CP3199" s="138"/>
      <c r="CQ3199" s="139"/>
      <c r="CR3199" s="138"/>
      <c r="CS3199" s="45"/>
      <c r="CT3199" s="138"/>
      <c r="CU3199" s="45"/>
      <c r="CV3199" s="99">
        <f t="shared" si="309"/>
        <v>0</v>
      </c>
      <c r="CW3199" s="139"/>
      <c r="CX3199" s="138"/>
      <c r="CY3199" s="138"/>
      <c r="CZ3199" s="138"/>
      <c r="DA3199" s="139"/>
      <c r="DB3199" s="138"/>
      <c r="DC3199" s="45"/>
      <c r="DD3199" s="138"/>
      <c r="DE3199" s="45"/>
      <c r="DF3199" s="46"/>
    </row>
    <row r="3200" spans="1:110" s="42" customFormat="1" ht="36" x14ac:dyDescent="0.2">
      <c r="A3200" s="89">
        <v>40908</v>
      </c>
      <c r="B3200" s="151" t="s">
        <v>3358</v>
      </c>
      <c r="C3200" s="90" t="s">
        <v>3359</v>
      </c>
      <c r="D3200" s="90" t="s">
        <v>4298</v>
      </c>
      <c r="E3200" s="90" t="str">
        <f>VLOOKUP(B3200&amp;C3200,Divipola!$C$2:$F$1138,4,FALSE)</f>
        <v>18205</v>
      </c>
      <c r="F3200" s="4"/>
      <c r="G3200" s="101"/>
      <c r="H3200" s="101"/>
      <c r="I3200" s="101"/>
      <c r="J3200" s="101">
        <v>2</v>
      </c>
      <c r="K3200" s="101">
        <v>1</v>
      </c>
      <c r="L3200" s="101">
        <v>1</v>
      </c>
      <c r="M3200" s="101"/>
      <c r="N3200" s="101"/>
      <c r="O3200" s="101"/>
      <c r="P3200" s="101"/>
      <c r="Q3200" s="101"/>
      <c r="R3200" s="101"/>
      <c r="S3200" s="101"/>
      <c r="T3200" s="101"/>
      <c r="U3200" s="101"/>
      <c r="V3200" s="101"/>
      <c r="W3200" s="19"/>
      <c r="X3200" s="17"/>
      <c r="Y3200" s="5">
        <f t="shared" si="304"/>
        <v>0</v>
      </c>
      <c r="Z3200" s="5">
        <f t="shared" si="305"/>
        <v>0</v>
      </c>
      <c r="AA3200" s="5">
        <f t="shared" si="306"/>
        <v>0</v>
      </c>
      <c r="AB3200" s="5">
        <f t="shared" si="307"/>
        <v>0</v>
      </c>
      <c r="AC3200" s="5"/>
      <c r="AD3200" s="5">
        <v>0</v>
      </c>
      <c r="AE3200" s="5">
        <f t="shared" si="308"/>
        <v>0</v>
      </c>
      <c r="AF3200" s="70">
        <v>0</v>
      </c>
      <c r="AG3200" s="17"/>
      <c r="AH3200" s="18"/>
      <c r="AI3200" s="47" t="s">
        <v>4336</v>
      </c>
      <c r="AJ3200" s="73" t="s">
        <v>4337</v>
      </c>
      <c r="AK3200" s="45"/>
      <c r="AL3200" s="17"/>
      <c r="AM3200" s="350" t="s">
        <v>5589</v>
      </c>
      <c r="AN3200" s="19"/>
      <c r="AO3200" s="19"/>
      <c r="AP3200" s="19"/>
      <c r="AQ3200" s="19"/>
      <c r="AR3200" s="19"/>
      <c r="AS3200" s="19"/>
      <c r="AT3200" s="19"/>
      <c r="AU3200" s="19"/>
      <c r="AV3200" s="19"/>
      <c r="AW3200" s="19"/>
      <c r="AX3200" s="19"/>
      <c r="AY3200" s="19"/>
      <c r="AZ3200" s="19"/>
      <c r="BA3200" s="19"/>
      <c r="BB3200" s="19"/>
      <c r="BC3200" s="19"/>
      <c r="BD3200" s="19"/>
      <c r="BE3200" s="19"/>
      <c r="BF3200" s="19"/>
      <c r="BG3200" s="19"/>
      <c r="BH3200" s="19"/>
      <c r="BI3200" s="19"/>
      <c r="BJ3200" s="19"/>
      <c r="BK3200" s="19"/>
      <c r="BL3200" s="19"/>
      <c r="BM3200" s="19"/>
      <c r="BN3200" s="19"/>
      <c r="BO3200" s="19"/>
      <c r="BP3200" s="19"/>
      <c r="BQ3200" s="19"/>
      <c r="BR3200" s="19"/>
      <c r="BS3200" s="19"/>
      <c r="BT3200" s="19"/>
      <c r="BU3200" s="19"/>
      <c r="BV3200" s="19"/>
      <c r="BW3200" s="19"/>
      <c r="BX3200" s="19"/>
      <c r="BY3200" s="19"/>
      <c r="BZ3200" s="19"/>
      <c r="CA3200" s="19"/>
      <c r="CB3200" s="19"/>
      <c r="CC3200" s="19"/>
      <c r="CD3200" s="139"/>
      <c r="CE3200" s="138"/>
      <c r="CF3200" s="139"/>
      <c r="CG3200" s="138"/>
      <c r="CH3200" s="139"/>
      <c r="CI3200" s="138"/>
      <c r="CJ3200" s="72"/>
      <c r="CK3200" s="139"/>
      <c r="CL3200" s="71"/>
      <c r="CM3200" s="139"/>
      <c r="CN3200" s="138"/>
      <c r="CO3200" s="138"/>
      <c r="CP3200" s="138"/>
      <c r="CQ3200" s="139"/>
      <c r="CR3200" s="138"/>
      <c r="CS3200" s="45"/>
      <c r="CT3200" s="138"/>
      <c r="CU3200" s="45"/>
      <c r="CV3200" s="99">
        <f t="shared" si="309"/>
        <v>0</v>
      </c>
      <c r="CW3200" s="139"/>
      <c r="CX3200" s="138"/>
      <c r="CY3200" s="138"/>
      <c r="CZ3200" s="138"/>
      <c r="DA3200" s="139"/>
      <c r="DB3200" s="138"/>
      <c r="DC3200" s="45"/>
      <c r="DD3200" s="138"/>
      <c r="DE3200" s="45"/>
      <c r="DF3200" s="46"/>
    </row>
    <row r="3201" spans="1:110" s="42" customFormat="1" ht="48" x14ac:dyDescent="0.2">
      <c r="A3201" s="17">
        <v>40908</v>
      </c>
      <c r="B3201" s="151" t="s">
        <v>4386</v>
      </c>
      <c r="C3201" s="16" t="s">
        <v>1541</v>
      </c>
      <c r="D3201" s="16" t="s">
        <v>4264</v>
      </c>
      <c r="E3201" s="90" t="str">
        <f>VLOOKUP(B3201&amp;C3201,Divipola!$C$2:$F$1138,4,FALSE)</f>
        <v>20060</v>
      </c>
      <c r="F3201" s="4"/>
      <c r="G3201" s="208"/>
      <c r="H3201" s="208"/>
      <c r="I3201" s="208"/>
      <c r="J3201" s="208"/>
      <c r="K3201" s="208"/>
      <c r="L3201" s="208"/>
      <c r="M3201" s="208"/>
      <c r="N3201" s="208"/>
      <c r="O3201" s="208">
        <v>1</v>
      </c>
      <c r="P3201" s="208"/>
      <c r="Q3201" s="208"/>
      <c r="R3201" s="208"/>
      <c r="S3201" s="208"/>
      <c r="T3201" s="208"/>
      <c r="U3201" s="208"/>
      <c r="V3201" s="208"/>
      <c r="W3201" s="19"/>
      <c r="X3201" s="17"/>
      <c r="Y3201" s="5">
        <f t="shared" si="304"/>
        <v>0</v>
      </c>
      <c r="Z3201" s="5">
        <f t="shared" si="305"/>
        <v>0</v>
      </c>
      <c r="AA3201" s="5">
        <f t="shared" si="306"/>
        <v>0</v>
      </c>
      <c r="AB3201" s="5">
        <f t="shared" si="307"/>
        <v>0</v>
      </c>
      <c r="AC3201" s="143">
        <f>200*492331.84+2000*55144.32</f>
        <v>208755008</v>
      </c>
      <c r="AD3201" s="5">
        <v>0</v>
      </c>
      <c r="AE3201" s="5">
        <f t="shared" ref="AE3201:AE3207" si="310">Y3201+Z3201+AA3201+AB3201+AC3201+AD3201</f>
        <v>208755008</v>
      </c>
      <c r="AF3201" s="70">
        <v>0</v>
      </c>
      <c r="AG3201" s="17"/>
      <c r="AH3201" s="18"/>
      <c r="AI3201" s="47" t="s">
        <v>4346</v>
      </c>
      <c r="AJ3201" s="73" t="s">
        <v>4347</v>
      </c>
      <c r="AK3201" s="45"/>
      <c r="AL3201" s="17"/>
      <c r="AM3201" s="349" t="s">
        <v>5593</v>
      </c>
      <c r="AN3201" s="19"/>
      <c r="AO3201" s="19"/>
      <c r="AP3201" s="19"/>
      <c r="AQ3201" s="19"/>
      <c r="AR3201" s="19"/>
      <c r="AS3201" s="19"/>
      <c r="AT3201" s="19"/>
      <c r="AU3201" s="19"/>
      <c r="AV3201" s="19"/>
      <c r="AW3201" s="19"/>
      <c r="AX3201" s="19"/>
      <c r="AY3201" s="19"/>
      <c r="AZ3201" s="19"/>
      <c r="BA3201" s="19"/>
      <c r="BB3201" s="19"/>
      <c r="BC3201" s="19"/>
      <c r="BD3201" s="19"/>
      <c r="BE3201" s="19"/>
      <c r="BF3201" s="19"/>
      <c r="BG3201" s="19"/>
      <c r="BH3201" s="19"/>
      <c r="BI3201" s="19"/>
      <c r="BJ3201" s="19"/>
      <c r="BK3201" s="19"/>
      <c r="BL3201" s="19"/>
      <c r="BM3201" s="19"/>
      <c r="BN3201" s="19"/>
      <c r="BO3201" s="19"/>
      <c r="BP3201" s="19"/>
      <c r="BQ3201" s="19"/>
      <c r="BR3201" s="19"/>
      <c r="BS3201" s="19"/>
      <c r="BT3201" s="19"/>
      <c r="BU3201" s="19"/>
      <c r="BV3201" s="19"/>
      <c r="BW3201" s="19"/>
      <c r="BX3201" s="19"/>
      <c r="BY3201" s="19"/>
      <c r="BZ3201" s="19"/>
      <c r="CA3201" s="19"/>
      <c r="CB3201" s="19"/>
      <c r="CC3201" s="19"/>
      <c r="CD3201" s="139"/>
      <c r="CE3201" s="138"/>
      <c r="CF3201" s="139"/>
      <c r="CG3201" s="138"/>
      <c r="CH3201" s="139"/>
      <c r="CI3201" s="138"/>
      <c r="CJ3201" s="72"/>
      <c r="CK3201" s="139"/>
      <c r="CL3201" s="71"/>
      <c r="CM3201" s="139"/>
      <c r="CN3201" s="138"/>
      <c r="CO3201" s="138"/>
      <c r="CP3201" s="138"/>
      <c r="CQ3201" s="139"/>
      <c r="CR3201" s="138"/>
      <c r="CS3201" s="45"/>
      <c r="CT3201" s="138"/>
      <c r="CU3201" s="45"/>
      <c r="CV3201" s="99">
        <f t="shared" si="309"/>
        <v>0</v>
      </c>
      <c r="CW3201" s="139"/>
      <c r="CX3201" s="138"/>
      <c r="CY3201" s="138"/>
      <c r="CZ3201" s="138"/>
      <c r="DA3201" s="139"/>
      <c r="DB3201" s="138"/>
      <c r="DC3201" s="45"/>
      <c r="DD3201" s="138"/>
      <c r="DE3201" s="45"/>
      <c r="DF3201" s="46"/>
    </row>
    <row r="3202" spans="1:110" s="42" customFormat="1" ht="51" x14ac:dyDescent="0.2">
      <c r="A3202" s="89">
        <v>40908</v>
      </c>
      <c r="B3202" s="151" t="s">
        <v>4261</v>
      </c>
      <c r="C3202" s="90" t="s">
        <v>1361</v>
      </c>
      <c r="D3202" s="90" t="s">
        <v>4264</v>
      </c>
      <c r="E3202" s="90" t="str">
        <f>VLOOKUP(B3202&amp;C3202,Divipola!$C$2:$F$1138,4,FALSE)</f>
        <v>15835</v>
      </c>
      <c r="F3202" s="4"/>
      <c r="G3202" s="101"/>
      <c r="H3202" s="101"/>
      <c r="I3202" s="101"/>
      <c r="J3202" s="101">
        <v>75</v>
      </c>
      <c r="K3202" s="101">
        <v>15</v>
      </c>
      <c r="L3202" s="101">
        <v>15</v>
      </c>
      <c r="M3202" s="101"/>
      <c r="N3202" s="101"/>
      <c r="O3202" s="101"/>
      <c r="P3202" s="101"/>
      <c r="Q3202" s="101"/>
      <c r="R3202" s="101"/>
      <c r="S3202" s="101"/>
      <c r="T3202" s="101"/>
      <c r="U3202" s="101"/>
      <c r="V3202" s="101"/>
      <c r="W3202" s="19"/>
      <c r="X3202" s="17"/>
      <c r="Y3202" s="5">
        <f t="shared" si="304"/>
        <v>0</v>
      </c>
      <c r="Z3202" s="5">
        <f t="shared" si="305"/>
        <v>0</v>
      </c>
      <c r="AA3202" s="5">
        <f t="shared" si="306"/>
        <v>0</v>
      </c>
      <c r="AB3202" s="5">
        <f t="shared" si="307"/>
        <v>0</v>
      </c>
      <c r="AC3202" s="5"/>
      <c r="AD3202" s="5">
        <v>0</v>
      </c>
      <c r="AE3202" s="5">
        <f t="shared" si="310"/>
        <v>0</v>
      </c>
      <c r="AF3202" s="70">
        <v>0</v>
      </c>
      <c r="AG3202" s="17"/>
      <c r="AH3202" s="18"/>
      <c r="AI3202" s="47" t="s">
        <v>4336</v>
      </c>
      <c r="AJ3202" s="73" t="s">
        <v>4337</v>
      </c>
      <c r="AK3202" s="45"/>
      <c r="AL3202" s="17"/>
      <c r="AM3202" s="348" t="s">
        <v>5620</v>
      </c>
      <c r="AN3202" s="19"/>
      <c r="AO3202" s="19"/>
      <c r="AP3202" s="19"/>
      <c r="AQ3202" s="19"/>
      <c r="AR3202" s="19"/>
      <c r="AS3202" s="19"/>
      <c r="AT3202" s="19"/>
      <c r="AU3202" s="19"/>
      <c r="AV3202" s="19"/>
      <c r="AW3202" s="19"/>
      <c r="AX3202" s="19"/>
      <c r="AY3202" s="19"/>
      <c r="AZ3202" s="19"/>
      <c r="BA3202" s="19"/>
      <c r="BB3202" s="19"/>
      <c r="BC3202" s="19"/>
      <c r="BD3202" s="19"/>
      <c r="BE3202" s="19"/>
      <c r="BF3202" s="19"/>
      <c r="BG3202" s="19"/>
      <c r="BH3202" s="19"/>
      <c r="BI3202" s="19"/>
      <c r="BJ3202" s="19"/>
      <c r="BK3202" s="19"/>
      <c r="BL3202" s="19"/>
      <c r="BM3202" s="19"/>
      <c r="BN3202" s="19"/>
      <c r="BO3202" s="19"/>
      <c r="BP3202" s="19"/>
      <c r="BQ3202" s="19"/>
      <c r="BR3202" s="19"/>
      <c r="BS3202" s="19"/>
      <c r="BT3202" s="19"/>
      <c r="BU3202" s="19"/>
      <c r="BV3202" s="19"/>
      <c r="BW3202" s="19"/>
      <c r="BX3202" s="19"/>
      <c r="BY3202" s="19"/>
      <c r="BZ3202" s="19"/>
      <c r="CA3202" s="19"/>
      <c r="CB3202" s="19"/>
      <c r="CC3202" s="19"/>
      <c r="CD3202" s="139"/>
      <c r="CE3202" s="138"/>
      <c r="CF3202" s="139"/>
      <c r="CG3202" s="138"/>
      <c r="CH3202" s="139"/>
      <c r="CI3202" s="138"/>
      <c r="CJ3202" s="72"/>
      <c r="CK3202" s="139"/>
      <c r="CL3202" s="71"/>
      <c r="CM3202" s="139"/>
      <c r="CN3202" s="138"/>
      <c r="CO3202" s="138"/>
      <c r="CP3202" s="138"/>
      <c r="CQ3202" s="139"/>
      <c r="CR3202" s="138"/>
      <c r="CS3202" s="45"/>
      <c r="CT3202" s="138"/>
      <c r="CU3202" s="45"/>
      <c r="CV3202" s="99">
        <f t="shared" ref="CV3202:CV3207" si="311">AO3202+AQ3202+AS3202+AU3202+AW3202+AY3202+BA3202+BC3202+BE3202+BG3202+BI3202+BK3202+BM3202+BO3202+BQ3202+BS3202+BU3202+BW3202+BY3202+CA3202+CC3202+CE3202+CG3202+CI3202+CK3202+CM3202+CO3202+CQ3202+CS3202+CU3202</f>
        <v>0</v>
      </c>
      <c r="CW3202" s="139"/>
      <c r="CX3202" s="138"/>
      <c r="CY3202" s="138"/>
      <c r="CZ3202" s="138"/>
      <c r="DA3202" s="139"/>
      <c r="DB3202" s="138"/>
      <c r="DC3202" s="45"/>
      <c r="DD3202" s="138"/>
      <c r="DE3202" s="45"/>
      <c r="DF3202" s="46"/>
    </row>
    <row r="3203" spans="1:110" s="42" customFormat="1" x14ac:dyDescent="0.2">
      <c r="A3203" s="89"/>
      <c r="B3203" s="151"/>
      <c r="C3203" s="90"/>
      <c r="D3203" s="90"/>
      <c r="E3203" s="90"/>
      <c r="F3203" s="4"/>
      <c r="G3203" s="101"/>
      <c r="H3203" s="101"/>
      <c r="I3203" s="101"/>
      <c r="J3203" s="101"/>
      <c r="K3203" s="101"/>
      <c r="L3203" s="101"/>
      <c r="M3203" s="101"/>
      <c r="N3203" s="101"/>
      <c r="O3203" s="101"/>
      <c r="P3203" s="101"/>
      <c r="Q3203" s="101"/>
      <c r="R3203" s="101"/>
      <c r="S3203" s="101"/>
      <c r="T3203" s="101"/>
      <c r="U3203" s="101"/>
      <c r="V3203" s="101"/>
      <c r="W3203" s="19"/>
      <c r="X3203" s="17"/>
      <c r="Y3203" s="5">
        <f>CV3203</f>
        <v>0</v>
      </c>
      <c r="Z3203" s="5">
        <f>CZ3203</f>
        <v>0</v>
      </c>
      <c r="AA3203" s="5">
        <f>DB3203+DD3203</f>
        <v>0</v>
      </c>
      <c r="AB3203" s="5">
        <f>CX3203</f>
        <v>0</v>
      </c>
      <c r="AC3203" s="5"/>
      <c r="AD3203" s="5">
        <v>0</v>
      </c>
      <c r="AE3203" s="5">
        <f t="shared" si="310"/>
        <v>0</v>
      </c>
      <c r="AF3203" s="70">
        <v>0</v>
      </c>
      <c r="AG3203" s="17"/>
      <c r="AH3203" s="18"/>
      <c r="AI3203" s="47"/>
      <c r="AJ3203" s="73"/>
      <c r="AK3203" s="45"/>
      <c r="AL3203" s="17"/>
      <c r="AM3203" s="20"/>
      <c r="AN3203" s="19"/>
      <c r="AO3203" s="19"/>
      <c r="AP3203" s="19"/>
      <c r="AQ3203" s="19"/>
      <c r="AR3203" s="19"/>
      <c r="AS3203" s="19"/>
      <c r="AT3203" s="19"/>
      <c r="AU3203" s="19"/>
      <c r="AV3203" s="19"/>
      <c r="AW3203" s="19"/>
      <c r="AX3203" s="19"/>
      <c r="AY3203" s="19"/>
      <c r="AZ3203" s="19"/>
      <c r="BA3203" s="19"/>
      <c r="BB3203" s="19"/>
      <c r="BC3203" s="19"/>
      <c r="BD3203" s="19"/>
      <c r="BE3203" s="19"/>
      <c r="BF3203" s="19"/>
      <c r="BG3203" s="19"/>
      <c r="BH3203" s="19"/>
      <c r="BI3203" s="19"/>
      <c r="BJ3203" s="19"/>
      <c r="BK3203" s="19"/>
      <c r="BL3203" s="19"/>
      <c r="BM3203" s="19"/>
      <c r="BN3203" s="19"/>
      <c r="BO3203" s="19"/>
      <c r="BP3203" s="19"/>
      <c r="BQ3203" s="19"/>
      <c r="BR3203" s="19"/>
      <c r="BS3203" s="19"/>
      <c r="BT3203" s="19"/>
      <c r="BU3203" s="19"/>
      <c r="BV3203" s="19"/>
      <c r="BW3203" s="19"/>
      <c r="BX3203" s="19"/>
      <c r="BY3203" s="19"/>
      <c r="BZ3203" s="19"/>
      <c r="CA3203" s="19"/>
      <c r="CB3203" s="19"/>
      <c r="CC3203" s="19"/>
      <c r="CD3203" s="139"/>
      <c r="CE3203" s="138"/>
      <c r="CF3203" s="139"/>
      <c r="CG3203" s="138"/>
      <c r="CH3203" s="139"/>
      <c r="CI3203" s="138"/>
      <c r="CJ3203" s="72"/>
      <c r="CK3203" s="139"/>
      <c r="CL3203" s="71"/>
      <c r="CM3203" s="139"/>
      <c r="CN3203" s="138"/>
      <c r="CO3203" s="138"/>
      <c r="CP3203" s="138"/>
      <c r="CQ3203" s="139"/>
      <c r="CR3203" s="138"/>
      <c r="CS3203" s="45"/>
      <c r="CT3203" s="138"/>
      <c r="CU3203" s="45"/>
      <c r="CV3203" s="99">
        <f t="shared" si="311"/>
        <v>0</v>
      </c>
      <c r="CW3203" s="139"/>
      <c r="CX3203" s="138"/>
      <c r="CY3203" s="138"/>
      <c r="CZ3203" s="138"/>
      <c r="DA3203" s="139"/>
      <c r="DB3203" s="138"/>
      <c r="DC3203" s="45"/>
      <c r="DD3203" s="138"/>
      <c r="DE3203" s="45"/>
      <c r="DF3203" s="46"/>
    </row>
    <row r="3204" spans="1:110" s="42" customFormat="1" x14ac:dyDescent="0.2">
      <c r="A3204" s="89"/>
      <c r="B3204" s="151"/>
      <c r="C3204" s="90"/>
      <c r="D3204" s="90"/>
      <c r="E3204" s="90"/>
      <c r="F3204" s="4"/>
      <c r="G3204" s="101"/>
      <c r="H3204" s="101"/>
      <c r="I3204" s="101"/>
      <c r="J3204" s="101"/>
      <c r="K3204" s="101"/>
      <c r="L3204" s="101"/>
      <c r="M3204" s="101"/>
      <c r="N3204" s="101"/>
      <c r="O3204" s="101"/>
      <c r="P3204" s="101"/>
      <c r="Q3204" s="101"/>
      <c r="R3204" s="101"/>
      <c r="S3204" s="101"/>
      <c r="T3204" s="101"/>
      <c r="U3204" s="101"/>
      <c r="V3204" s="101"/>
      <c r="W3204" s="19"/>
      <c r="X3204" s="17"/>
      <c r="Y3204" s="5">
        <f>CV3204</f>
        <v>0</v>
      </c>
      <c r="Z3204" s="5">
        <f>CZ3204</f>
        <v>0</v>
      </c>
      <c r="AA3204" s="5">
        <f>DB3204+DD3204</f>
        <v>0</v>
      </c>
      <c r="AB3204" s="5">
        <f>CX3204</f>
        <v>0</v>
      </c>
      <c r="AC3204" s="5"/>
      <c r="AD3204" s="5">
        <v>0</v>
      </c>
      <c r="AE3204" s="5">
        <f t="shared" si="310"/>
        <v>0</v>
      </c>
      <c r="AF3204" s="70">
        <v>0</v>
      </c>
      <c r="AG3204" s="17"/>
      <c r="AH3204" s="18"/>
      <c r="AI3204" s="47"/>
      <c r="AJ3204" s="73"/>
      <c r="AK3204" s="45"/>
      <c r="AL3204" s="17"/>
      <c r="AM3204" s="20"/>
      <c r="AN3204" s="19"/>
      <c r="AO3204" s="19"/>
      <c r="AP3204" s="19"/>
      <c r="AQ3204" s="19"/>
      <c r="AR3204" s="19"/>
      <c r="AS3204" s="19"/>
      <c r="AT3204" s="19"/>
      <c r="AU3204" s="19"/>
      <c r="AV3204" s="19"/>
      <c r="AW3204" s="19"/>
      <c r="AX3204" s="19"/>
      <c r="AY3204" s="19"/>
      <c r="AZ3204" s="19"/>
      <c r="BA3204" s="19"/>
      <c r="BB3204" s="19"/>
      <c r="BC3204" s="19"/>
      <c r="BD3204" s="19"/>
      <c r="BE3204" s="19"/>
      <c r="BF3204" s="19"/>
      <c r="BG3204" s="19"/>
      <c r="BH3204" s="19"/>
      <c r="BI3204" s="19"/>
      <c r="BJ3204" s="19"/>
      <c r="BK3204" s="19"/>
      <c r="BL3204" s="19"/>
      <c r="BM3204" s="19"/>
      <c r="BN3204" s="19"/>
      <c r="BO3204" s="19"/>
      <c r="BP3204" s="19"/>
      <c r="BQ3204" s="19"/>
      <c r="BR3204" s="19"/>
      <c r="BS3204" s="19"/>
      <c r="BT3204" s="19"/>
      <c r="BU3204" s="19"/>
      <c r="BV3204" s="19"/>
      <c r="BW3204" s="19"/>
      <c r="BX3204" s="19"/>
      <c r="BY3204" s="19"/>
      <c r="BZ3204" s="19"/>
      <c r="CA3204" s="19"/>
      <c r="CB3204" s="19"/>
      <c r="CC3204" s="19"/>
      <c r="CD3204" s="139"/>
      <c r="CE3204" s="138"/>
      <c r="CF3204" s="139"/>
      <c r="CG3204" s="138"/>
      <c r="CH3204" s="139"/>
      <c r="CI3204" s="138"/>
      <c r="CJ3204" s="72"/>
      <c r="CK3204" s="139"/>
      <c r="CL3204" s="71"/>
      <c r="CM3204" s="139"/>
      <c r="CN3204" s="138"/>
      <c r="CO3204" s="138"/>
      <c r="CP3204" s="138"/>
      <c r="CQ3204" s="139"/>
      <c r="CR3204" s="138"/>
      <c r="CS3204" s="45"/>
      <c r="CT3204" s="138"/>
      <c r="CU3204" s="45"/>
      <c r="CV3204" s="99">
        <f t="shared" si="311"/>
        <v>0</v>
      </c>
      <c r="CW3204" s="139"/>
      <c r="CX3204" s="138"/>
      <c r="CY3204" s="138"/>
      <c r="CZ3204" s="138"/>
      <c r="DA3204" s="139"/>
      <c r="DB3204" s="138"/>
      <c r="DC3204" s="45"/>
      <c r="DD3204" s="138"/>
      <c r="DE3204" s="45"/>
      <c r="DF3204" s="46"/>
    </row>
    <row r="3205" spans="1:110" s="42" customFormat="1" x14ac:dyDescent="0.2">
      <c r="A3205" s="89"/>
      <c r="B3205" s="151"/>
      <c r="C3205" s="90"/>
      <c r="D3205" s="90"/>
      <c r="E3205" s="90"/>
      <c r="F3205" s="4"/>
      <c r="G3205" s="101"/>
      <c r="H3205" s="101"/>
      <c r="I3205" s="101"/>
      <c r="J3205" s="101"/>
      <c r="K3205" s="101"/>
      <c r="L3205" s="101"/>
      <c r="M3205" s="101"/>
      <c r="N3205" s="101"/>
      <c r="O3205" s="101"/>
      <c r="P3205" s="101"/>
      <c r="Q3205" s="101"/>
      <c r="R3205" s="101"/>
      <c r="S3205" s="101"/>
      <c r="T3205" s="101"/>
      <c r="U3205" s="101"/>
      <c r="V3205" s="101"/>
      <c r="W3205" s="19"/>
      <c r="X3205" s="17"/>
      <c r="Y3205" s="5">
        <f>CV3205</f>
        <v>0</v>
      </c>
      <c r="Z3205" s="5">
        <f>CZ3205</f>
        <v>0</v>
      </c>
      <c r="AA3205" s="5">
        <f>DB3205+DD3205</f>
        <v>0</v>
      </c>
      <c r="AB3205" s="5">
        <f>CX3205</f>
        <v>0</v>
      </c>
      <c r="AC3205" s="5"/>
      <c r="AD3205" s="5">
        <v>0</v>
      </c>
      <c r="AE3205" s="5">
        <f t="shared" si="310"/>
        <v>0</v>
      </c>
      <c r="AF3205" s="70">
        <v>0</v>
      </c>
      <c r="AG3205" s="17"/>
      <c r="AH3205" s="18"/>
      <c r="AI3205" s="47"/>
      <c r="AJ3205" s="73"/>
      <c r="AK3205" s="45"/>
      <c r="AL3205" s="17"/>
      <c r="AM3205" s="20"/>
      <c r="AN3205" s="19"/>
      <c r="AO3205" s="19"/>
      <c r="AP3205" s="19"/>
      <c r="AQ3205" s="19"/>
      <c r="AR3205" s="19"/>
      <c r="AS3205" s="19"/>
      <c r="AT3205" s="19"/>
      <c r="AU3205" s="19"/>
      <c r="AV3205" s="19"/>
      <c r="AW3205" s="19"/>
      <c r="AX3205" s="19"/>
      <c r="AY3205" s="19"/>
      <c r="AZ3205" s="19"/>
      <c r="BA3205" s="19"/>
      <c r="BB3205" s="19"/>
      <c r="BC3205" s="19"/>
      <c r="BD3205" s="19"/>
      <c r="BE3205" s="19"/>
      <c r="BF3205" s="19"/>
      <c r="BG3205" s="19"/>
      <c r="BH3205" s="19"/>
      <c r="BI3205" s="19"/>
      <c r="BJ3205" s="19"/>
      <c r="BK3205" s="19"/>
      <c r="BL3205" s="19"/>
      <c r="BM3205" s="19"/>
      <c r="BN3205" s="19"/>
      <c r="BO3205" s="19"/>
      <c r="BP3205" s="19"/>
      <c r="BQ3205" s="19"/>
      <c r="BR3205" s="19"/>
      <c r="BS3205" s="19"/>
      <c r="BT3205" s="19"/>
      <c r="BU3205" s="19"/>
      <c r="BV3205" s="19"/>
      <c r="BW3205" s="19"/>
      <c r="BX3205" s="19"/>
      <c r="BY3205" s="19"/>
      <c r="BZ3205" s="19"/>
      <c r="CA3205" s="19"/>
      <c r="CB3205" s="19"/>
      <c r="CC3205" s="19"/>
      <c r="CD3205" s="139"/>
      <c r="CE3205" s="138"/>
      <c r="CF3205" s="139"/>
      <c r="CG3205" s="138"/>
      <c r="CH3205" s="139"/>
      <c r="CI3205" s="138"/>
      <c r="CJ3205" s="72"/>
      <c r="CK3205" s="139"/>
      <c r="CL3205" s="71"/>
      <c r="CM3205" s="139"/>
      <c r="CN3205" s="138"/>
      <c r="CO3205" s="138"/>
      <c r="CP3205" s="138"/>
      <c r="CQ3205" s="139"/>
      <c r="CR3205" s="138"/>
      <c r="CS3205" s="45"/>
      <c r="CT3205" s="138"/>
      <c r="CU3205" s="45"/>
      <c r="CV3205" s="99">
        <f t="shared" si="311"/>
        <v>0</v>
      </c>
      <c r="CW3205" s="139"/>
      <c r="CX3205" s="138"/>
      <c r="CY3205" s="138"/>
      <c r="CZ3205" s="138"/>
      <c r="DA3205" s="139"/>
      <c r="DB3205" s="138"/>
      <c r="DC3205" s="45"/>
      <c r="DD3205" s="138"/>
      <c r="DE3205" s="45"/>
      <c r="DF3205" s="46"/>
    </row>
    <row r="3206" spans="1:110" s="42" customFormat="1" x14ac:dyDescent="0.2">
      <c r="A3206" s="17"/>
      <c r="B3206" s="151"/>
      <c r="C3206" s="16"/>
      <c r="D3206" s="16"/>
      <c r="E3206" s="90"/>
      <c r="F3206" s="4"/>
      <c r="G3206" s="208"/>
      <c r="H3206" s="208"/>
      <c r="I3206" s="208"/>
      <c r="J3206" s="208"/>
      <c r="K3206" s="208"/>
      <c r="L3206" s="208"/>
      <c r="M3206" s="208"/>
      <c r="N3206" s="208"/>
      <c r="O3206" s="208"/>
      <c r="P3206" s="208"/>
      <c r="Q3206" s="208"/>
      <c r="R3206" s="208"/>
      <c r="S3206" s="208"/>
      <c r="T3206" s="208"/>
      <c r="U3206" s="208"/>
      <c r="V3206" s="208"/>
      <c r="W3206" s="19"/>
      <c r="X3206" s="17"/>
      <c r="Y3206" s="5">
        <f>CV3206</f>
        <v>0</v>
      </c>
      <c r="Z3206" s="5">
        <f>CZ3206</f>
        <v>0</v>
      </c>
      <c r="AA3206" s="5">
        <f>DB3206+DD3206</f>
        <v>0</v>
      </c>
      <c r="AB3206" s="5">
        <f>CX3206</f>
        <v>0</v>
      </c>
      <c r="AC3206" s="5"/>
      <c r="AD3206" s="5">
        <v>0</v>
      </c>
      <c r="AE3206" s="5">
        <f t="shared" si="310"/>
        <v>0</v>
      </c>
      <c r="AF3206" s="70">
        <v>0</v>
      </c>
      <c r="AG3206" s="17"/>
      <c r="AH3206" s="18"/>
      <c r="AI3206" s="47"/>
      <c r="AJ3206" s="73"/>
      <c r="AK3206" s="45"/>
      <c r="AL3206" s="17"/>
      <c r="AM3206" s="20"/>
      <c r="AN3206" s="19"/>
      <c r="AO3206" s="19"/>
      <c r="AP3206" s="19"/>
      <c r="AQ3206" s="19"/>
      <c r="AR3206" s="19"/>
      <c r="AS3206" s="19"/>
      <c r="AT3206" s="19"/>
      <c r="AU3206" s="19"/>
      <c r="AV3206" s="19"/>
      <c r="AW3206" s="19"/>
      <c r="AX3206" s="19"/>
      <c r="AY3206" s="19"/>
      <c r="AZ3206" s="19"/>
      <c r="BA3206" s="19"/>
      <c r="BB3206" s="19"/>
      <c r="BC3206" s="19"/>
      <c r="BD3206" s="19"/>
      <c r="BE3206" s="19"/>
      <c r="BF3206" s="19"/>
      <c r="BG3206" s="19"/>
      <c r="BH3206" s="19"/>
      <c r="BI3206" s="19"/>
      <c r="BJ3206" s="19"/>
      <c r="BK3206" s="19"/>
      <c r="BL3206" s="19"/>
      <c r="BM3206" s="19"/>
      <c r="BN3206" s="19"/>
      <c r="BO3206" s="19"/>
      <c r="BP3206" s="19"/>
      <c r="BQ3206" s="19"/>
      <c r="BR3206" s="19"/>
      <c r="BS3206" s="19"/>
      <c r="BT3206" s="19"/>
      <c r="BU3206" s="19"/>
      <c r="BV3206" s="19"/>
      <c r="BW3206" s="19"/>
      <c r="BX3206" s="19"/>
      <c r="BY3206" s="19"/>
      <c r="BZ3206" s="19"/>
      <c r="CA3206" s="19"/>
      <c r="CB3206" s="19"/>
      <c r="CC3206" s="19"/>
      <c r="CD3206" s="139"/>
      <c r="CE3206" s="138"/>
      <c r="CF3206" s="139"/>
      <c r="CG3206" s="138"/>
      <c r="CH3206" s="139"/>
      <c r="CI3206" s="138"/>
      <c r="CJ3206" s="72"/>
      <c r="CK3206" s="139"/>
      <c r="CL3206" s="71"/>
      <c r="CM3206" s="139"/>
      <c r="CN3206" s="138"/>
      <c r="CO3206" s="138"/>
      <c r="CP3206" s="138"/>
      <c r="CQ3206" s="139"/>
      <c r="CR3206" s="138"/>
      <c r="CS3206" s="45"/>
      <c r="CT3206" s="138"/>
      <c r="CU3206" s="45"/>
      <c r="CV3206" s="99">
        <f t="shared" si="311"/>
        <v>0</v>
      </c>
      <c r="CW3206" s="139"/>
      <c r="CX3206" s="138"/>
      <c r="CY3206" s="138"/>
      <c r="CZ3206" s="138"/>
      <c r="DA3206" s="139"/>
      <c r="DB3206" s="138"/>
      <c r="DC3206" s="45"/>
      <c r="DD3206" s="138"/>
      <c r="DE3206" s="45"/>
      <c r="DF3206" s="46"/>
    </row>
    <row r="3207" spans="1:110" s="42" customFormat="1" x14ac:dyDescent="0.2">
      <c r="A3207" s="17"/>
      <c r="B3207" s="16"/>
      <c r="C3207" s="16"/>
      <c r="D3207" s="16"/>
      <c r="E3207" s="4"/>
      <c r="F3207" s="4"/>
      <c r="G3207" s="208"/>
      <c r="H3207" s="208"/>
      <c r="I3207" s="208"/>
      <c r="J3207" s="208"/>
      <c r="K3207" s="208"/>
      <c r="L3207" s="208"/>
      <c r="M3207" s="208"/>
      <c r="N3207" s="208"/>
      <c r="O3207" s="208"/>
      <c r="P3207" s="208"/>
      <c r="Q3207" s="208"/>
      <c r="R3207" s="208"/>
      <c r="S3207" s="208"/>
      <c r="T3207" s="208"/>
      <c r="U3207" s="208"/>
      <c r="V3207" s="208"/>
      <c r="W3207" s="19"/>
      <c r="X3207" s="17"/>
      <c r="Y3207" s="5">
        <f>CV3207</f>
        <v>0</v>
      </c>
      <c r="Z3207" s="5">
        <f>CZ3207</f>
        <v>0</v>
      </c>
      <c r="AA3207" s="5">
        <f>DB3207+DD3207</f>
        <v>0</v>
      </c>
      <c r="AB3207" s="5">
        <f>CX3207</f>
        <v>0</v>
      </c>
      <c r="AC3207" s="5"/>
      <c r="AD3207" s="5">
        <v>0</v>
      </c>
      <c r="AE3207" s="5">
        <f t="shared" si="310"/>
        <v>0</v>
      </c>
      <c r="AF3207" s="70">
        <v>0</v>
      </c>
      <c r="AG3207" s="17"/>
      <c r="AH3207" s="18"/>
      <c r="AI3207" s="47"/>
      <c r="AJ3207" s="73"/>
      <c r="AK3207" s="45"/>
      <c r="AL3207" s="17"/>
      <c r="AM3207" s="20"/>
      <c r="AN3207" s="19"/>
      <c r="AO3207" s="19"/>
      <c r="AP3207" s="19"/>
      <c r="AQ3207" s="19"/>
      <c r="AR3207" s="19"/>
      <c r="AS3207" s="19"/>
      <c r="AT3207" s="19"/>
      <c r="AU3207" s="19"/>
      <c r="AV3207" s="19"/>
      <c r="AW3207" s="19"/>
      <c r="AX3207" s="19"/>
      <c r="AY3207" s="19"/>
      <c r="AZ3207" s="19"/>
      <c r="BA3207" s="19"/>
      <c r="BB3207" s="19"/>
      <c r="BC3207" s="19"/>
      <c r="BD3207" s="19"/>
      <c r="BE3207" s="19"/>
      <c r="BF3207" s="19"/>
      <c r="BG3207" s="19"/>
      <c r="BH3207" s="19"/>
      <c r="BI3207" s="19"/>
      <c r="BJ3207" s="19"/>
      <c r="BK3207" s="19"/>
      <c r="BL3207" s="19"/>
      <c r="BM3207" s="19"/>
      <c r="BN3207" s="19"/>
      <c r="BO3207" s="19"/>
      <c r="BP3207" s="19"/>
      <c r="BQ3207" s="19"/>
      <c r="BR3207" s="19"/>
      <c r="BS3207" s="19"/>
      <c r="BT3207" s="19"/>
      <c r="BU3207" s="19"/>
      <c r="BV3207" s="19"/>
      <c r="BW3207" s="19"/>
      <c r="BX3207" s="19"/>
      <c r="BY3207" s="19"/>
      <c r="BZ3207" s="19"/>
      <c r="CA3207" s="19"/>
      <c r="CB3207" s="19"/>
      <c r="CC3207" s="19"/>
      <c r="CD3207" s="139"/>
      <c r="CE3207" s="138"/>
      <c r="CF3207" s="139"/>
      <c r="CG3207" s="138"/>
      <c r="CH3207" s="139"/>
      <c r="CI3207" s="138"/>
      <c r="CJ3207" s="72"/>
      <c r="CK3207" s="139"/>
      <c r="CL3207" s="71"/>
      <c r="CM3207" s="139"/>
      <c r="CN3207" s="138"/>
      <c r="CO3207" s="138"/>
      <c r="CP3207" s="138"/>
      <c r="CQ3207" s="139"/>
      <c r="CR3207" s="138"/>
      <c r="CS3207" s="45"/>
      <c r="CT3207" s="138"/>
      <c r="CU3207" s="45"/>
      <c r="CV3207" s="99">
        <f t="shared" si="311"/>
        <v>0</v>
      </c>
      <c r="CW3207" s="139"/>
      <c r="CX3207" s="138"/>
      <c r="CY3207" s="138"/>
      <c r="CZ3207" s="138"/>
      <c r="DA3207" s="139"/>
      <c r="DB3207" s="138"/>
      <c r="DC3207" s="45"/>
      <c r="DD3207" s="138"/>
      <c r="DE3207" s="45"/>
      <c r="DF3207" s="46"/>
    </row>
    <row r="3208" spans="1:110" s="44" customFormat="1" ht="11.25" x14ac:dyDescent="0.2">
      <c r="A3208" s="364" t="s">
        <v>3509</v>
      </c>
      <c r="B3208" s="365"/>
      <c r="C3208" s="365"/>
      <c r="D3208" s="366"/>
      <c r="E3208" s="74"/>
      <c r="F3208" s="74"/>
      <c r="G3208" s="75">
        <f t="shared" ref="G3208:W3208" si="312">SUM(G3:G3207)</f>
        <v>499</v>
      </c>
      <c r="H3208" s="75">
        <f t="shared" si="312"/>
        <v>564</v>
      </c>
      <c r="I3208" s="75">
        <f t="shared" si="312"/>
        <v>44</v>
      </c>
      <c r="J3208" s="75">
        <f t="shared" si="312"/>
        <v>2301959.2000000002</v>
      </c>
      <c r="K3208" s="75">
        <f t="shared" si="312"/>
        <v>520702</v>
      </c>
      <c r="L3208" s="75">
        <f t="shared" si="312"/>
        <v>8016</v>
      </c>
      <c r="M3208" s="75">
        <f t="shared" si="312"/>
        <v>321496</v>
      </c>
      <c r="N3208" s="75">
        <f t="shared" si="312"/>
        <v>1410</v>
      </c>
      <c r="O3208" s="75">
        <f t="shared" si="312"/>
        <v>114</v>
      </c>
      <c r="P3208" s="75">
        <f t="shared" si="312"/>
        <v>62</v>
      </c>
      <c r="Q3208" s="75">
        <f t="shared" si="312"/>
        <v>231</v>
      </c>
      <c r="R3208" s="75">
        <f t="shared" si="312"/>
        <v>57</v>
      </c>
      <c r="S3208" s="75">
        <f t="shared" si="312"/>
        <v>32</v>
      </c>
      <c r="T3208" s="75">
        <f t="shared" si="312"/>
        <v>315</v>
      </c>
      <c r="U3208" s="75">
        <f t="shared" si="312"/>
        <v>47</v>
      </c>
      <c r="V3208" s="75">
        <f t="shared" si="312"/>
        <v>137247.90816666672</v>
      </c>
      <c r="W3208" s="75">
        <f t="shared" si="312"/>
        <v>0</v>
      </c>
      <c r="X3208" s="75"/>
      <c r="Y3208" s="75">
        <f t="shared" ref="Y3208:AF3208" si="313">SUM(Y3:Y3207)</f>
        <v>33794755913.000011</v>
      </c>
      <c r="Z3208" s="75">
        <f t="shared" si="313"/>
        <v>33183348177.25</v>
      </c>
      <c r="AA3208" s="75">
        <f t="shared" si="313"/>
        <v>6460082246.5200014</v>
      </c>
      <c r="AB3208" s="76">
        <f t="shared" si="313"/>
        <v>5331421480</v>
      </c>
      <c r="AC3208" s="75">
        <f t="shared" si="313"/>
        <v>7685639897.5999994</v>
      </c>
      <c r="AD3208" s="75">
        <f t="shared" si="313"/>
        <v>28225690136.880001</v>
      </c>
      <c r="AE3208" s="75">
        <f t="shared" si="313"/>
        <v>114680937851.25</v>
      </c>
      <c r="AF3208" s="77">
        <f t="shared" si="313"/>
        <v>0</v>
      </c>
      <c r="AG3208" s="75"/>
      <c r="AH3208" s="78"/>
      <c r="AI3208" s="79"/>
      <c r="AJ3208" s="80"/>
      <c r="AK3208" s="81"/>
      <c r="AL3208" s="82"/>
      <c r="AM3208" s="83"/>
      <c r="AN3208" s="84">
        <f t="shared" ref="AN3208:BS3208" si="314">SUM(AN3:AN3207)</f>
        <v>0</v>
      </c>
      <c r="AO3208" s="84">
        <f t="shared" si="314"/>
        <v>0</v>
      </c>
      <c r="AP3208" s="84">
        <f t="shared" si="314"/>
        <v>0</v>
      </c>
      <c r="AQ3208" s="84">
        <f t="shared" si="314"/>
        <v>0</v>
      </c>
      <c r="AR3208" s="84">
        <f t="shared" si="314"/>
        <v>0</v>
      </c>
      <c r="AS3208" s="84">
        <f t="shared" si="314"/>
        <v>0</v>
      </c>
      <c r="AT3208" s="84">
        <f t="shared" si="314"/>
        <v>0</v>
      </c>
      <c r="AU3208" s="84">
        <f t="shared" si="314"/>
        <v>0</v>
      </c>
      <c r="AV3208" s="85">
        <f t="shared" si="314"/>
        <v>10278</v>
      </c>
      <c r="AW3208" s="85">
        <f t="shared" si="314"/>
        <v>211336087.44</v>
      </c>
      <c r="AX3208" s="84">
        <f t="shared" si="314"/>
        <v>9990</v>
      </c>
      <c r="AY3208" s="84">
        <f t="shared" si="314"/>
        <v>5284117000</v>
      </c>
      <c r="AZ3208" s="84">
        <f t="shared" si="314"/>
        <v>130087</v>
      </c>
      <c r="BA3208" s="84">
        <f t="shared" si="314"/>
        <v>7303541506.8000002</v>
      </c>
      <c r="BB3208" s="84">
        <f t="shared" si="314"/>
        <v>956</v>
      </c>
      <c r="BC3208" s="84">
        <f t="shared" si="314"/>
        <v>66836000</v>
      </c>
      <c r="BD3208" s="84">
        <f t="shared" si="314"/>
        <v>15587</v>
      </c>
      <c r="BE3208" s="84">
        <f t="shared" si="314"/>
        <v>382015824</v>
      </c>
      <c r="BF3208" s="84">
        <f t="shared" si="314"/>
        <v>0</v>
      </c>
      <c r="BG3208" s="84">
        <f t="shared" si="314"/>
        <v>0</v>
      </c>
      <c r="BH3208" s="84">
        <f t="shared" si="314"/>
        <v>0</v>
      </c>
      <c r="BI3208" s="84">
        <f t="shared" si="314"/>
        <v>0</v>
      </c>
      <c r="BJ3208" s="84">
        <f t="shared" si="314"/>
        <v>712</v>
      </c>
      <c r="BK3208" s="84">
        <f t="shared" si="314"/>
        <v>44754993</v>
      </c>
      <c r="BL3208" s="84">
        <f t="shared" si="314"/>
        <v>34620</v>
      </c>
      <c r="BM3208" s="84">
        <f t="shared" si="314"/>
        <v>885991873.60000002</v>
      </c>
      <c r="BN3208" s="84">
        <f t="shared" si="314"/>
        <v>0</v>
      </c>
      <c r="BO3208" s="84">
        <f t="shared" si="314"/>
        <v>0</v>
      </c>
      <c r="BP3208" s="84">
        <f t="shared" si="314"/>
        <v>0</v>
      </c>
      <c r="BQ3208" s="84">
        <f t="shared" si="314"/>
        <v>0</v>
      </c>
      <c r="BR3208" s="84">
        <f t="shared" si="314"/>
        <v>0</v>
      </c>
      <c r="BS3208" s="84">
        <f t="shared" si="314"/>
        <v>0</v>
      </c>
      <c r="BT3208" s="84">
        <f t="shared" ref="BT3208:CY3208" si="315">SUM(BT3:BT3207)</f>
        <v>0</v>
      </c>
      <c r="BU3208" s="84">
        <f t="shared" si="315"/>
        <v>0</v>
      </c>
      <c r="BV3208" s="84">
        <f t="shared" si="315"/>
        <v>0</v>
      </c>
      <c r="BW3208" s="84">
        <f t="shared" si="315"/>
        <v>0</v>
      </c>
      <c r="BX3208" s="84">
        <f t="shared" si="315"/>
        <v>0</v>
      </c>
      <c r="BY3208" s="84">
        <f t="shared" si="315"/>
        <v>0</v>
      </c>
      <c r="BZ3208" s="84">
        <f t="shared" si="315"/>
        <v>3415</v>
      </c>
      <c r="CA3208" s="84">
        <f t="shared" si="315"/>
        <v>1815281040.4200001</v>
      </c>
      <c r="CB3208" s="84">
        <f t="shared" si="315"/>
        <v>0</v>
      </c>
      <c r="CC3208" s="84">
        <f t="shared" si="315"/>
        <v>0</v>
      </c>
      <c r="CD3208" s="84">
        <f t="shared" si="315"/>
        <v>0</v>
      </c>
      <c r="CE3208" s="84">
        <f t="shared" si="315"/>
        <v>0</v>
      </c>
      <c r="CF3208" s="84">
        <f t="shared" si="315"/>
        <v>0</v>
      </c>
      <c r="CG3208" s="84">
        <f t="shared" si="315"/>
        <v>0</v>
      </c>
      <c r="CH3208" s="84">
        <f t="shared" si="315"/>
        <v>23557</v>
      </c>
      <c r="CI3208" s="84">
        <f t="shared" si="315"/>
        <v>445177366.12</v>
      </c>
      <c r="CJ3208" s="84">
        <f t="shared" si="315"/>
        <v>112180</v>
      </c>
      <c r="CK3208" s="84">
        <f t="shared" si="315"/>
        <v>2341936965.6400003</v>
      </c>
      <c r="CL3208" s="84">
        <f t="shared" si="315"/>
        <v>300</v>
      </c>
      <c r="CM3208" s="84">
        <f t="shared" si="315"/>
        <v>3150000</v>
      </c>
      <c r="CN3208" s="84">
        <f t="shared" si="315"/>
        <v>70937</v>
      </c>
      <c r="CO3208" s="84">
        <f t="shared" si="315"/>
        <v>1279323518.4000001</v>
      </c>
      <c r="CP3208" s="84">
        <f t="shared" si="315"/>
        <v>247326</v>
      </c>
      <c r="CQ3208" s="84">
        <f t="shared" si="315"/>
        <v>9157237152.8000011</v>
      </c>
      <c r="CR3208" s="84">
        <f t="shared" si="315"/>
        <v>115483</v>
      </c>
      <c r="CS3208" s="84">
        <f t="shared" si="315"/>
        <v>4572071592.7800007</v>
      </c>
      <c r="CT3208" s="84">
        <f t="shared" si="315"/>
        <v>50</v>
      </c>
      <c r="CU3208" s="84">
        <f t="shared" si="315"/>
        <v>1984991.9999999998</v>
      </c>
      <c r="CV3208" s="84">
        <f t="shared" si="315"/>
        <v>33794755913.000011</v>
      </c>
      <c r="CW3208" s="84">
        <f t="shared" si="315"/>
        <v>5759000</v>
      </c>
      <c r="CX3208" s="84">
        <f t="shared" si="315"/>
        <v>5331421480</v>
      </c>
      <c r="CY3208" s="84">
        <f t="shared" si="315"/>
        <v>387023</v>
      </c>
      <c r="CZ3208" s="84">
        <f t="shared" ref="CZ3208:EE3208" si="316">SUM(CZ3:CZ3207)</f>
        <v>33183348177.25</v>
      </c>
      <c r="DA3208" s="84">
        <f t="shared" si="316"/>
        <v>50166</v>
      </c>
      <c r="DB3208" s="84">
        <f t="shared" si="316"/>
        <v>1301692040.3599999</v>
      </c>
      <c r="DC3208" s="84">
        <f t="shared" si="316"/>
        <v>211930</v>
      </c>
      <c r="DD3208" s="84">
        <f t="shared" si="316"/>
        <v>5158390206.1600008</v>
      </c>
      <c r="DE3208" s="84"/>
      <c r="DF3208" s="43"/>
    </row>
    <row r="3209" spans="1:110" ht="18" x14ac:dyDescent="0.2">
      <c r="A3209" s="21"/>
      <c r="B3209" s="334"/>
      <c r="C3209" s="334"/>
      <c r="D3209" s="334"/>
      <c r="E3209" s="335"/>
      <c r="F3209" s="335"/>
      <c r="G3209" s="27"/>
      <c r="H3209" s="27"/>
      <c r="I3209" s="27"/>
      <c r="J3209" s="27"/>
      <c r="K3209" s="27"/>
      <c r="L3209" s="27"/>
      <c r="M3209" s="27"/>
      <c r="N3209" s="27"/>
      <c r="O3209" s="27"/>
      <c r="P3209" s="27"/>
      <c r="Q3209" s="27"/>
      <c r="R3209" s="27"/>
      <c r="S3209" s="27"/>
      <c r="T3209" s="27"/>
      <c r="U3209" s="27"/>
      <c r="V3209" s="27"/>
      <c r="W3209" s="28"/>
      <c r="X3209" s="27"/>
      <c r="Y3209" s="27"/>
      <c r="Z3209" s="27"/>
      <c r="AA3209" s="27"/>
      <c r="AB3209" s="27"/>
      <c r="AC3209" s="27"/>
      <c r="AD3209" s="87"/>
      <c r="AE3209" s="27"/>
      <c r="AF3209" s="27"/>
      <c r="AG3209" s="29"/>
      <c r="AH3209" s="30"/>
      <c r="AI3209" s="48"/>
      <c r="AJ3209" s="31"/>
      <c r="AK3209" s="32"/>
      <c r="AL3209" s="28"/>
      <c r="AM3209" s="33"/>
      <c r="AN3209" s="34"/>
      <c r="AO3209" s="34"/>
      <c r="AP3209" s="34"/>
      <c r="AQ3209" s="34"/>
      <c r="AR3209" s="34"/>
      <c r="AS3209" s="34"/>
      <c r="AT3209" s="34"/>
      <c r="AU3209" s="34"/>
      <c r="AV3209" s="1"/>
      <c r="AW3209" s="1"/>
      <c r="AX3209" s="34"/>
      <c r="AY3209" s="34"/>
      <c r="AZ3209" s="34"/>
      <c r="BA3209" s="34"/>
      <c r="BB3209" s="34"/>
      <c r="BC3209" s="34"/>
      <c r="BD3209" s="34"/>
      <c r="BE3209" s="34"/>
      <c r="BF3209" s="34"/>
      <c r="BG3209" s="34"/>
      <c r="BH3209" s="34"/>
      <c r="BI3209" s="34"/>
      <c r="BJ3209" s="34"/>
      <c r="BK3209" s="34"/>
      <c r="BL3209" s="34"/>
      <c r="BM3209" s="34"/>
      <c r="BN3209" s="34"/>
      <c r="BO3209" s="34"/>
      <c r="BP3209" s="34"/>
      <c r="BQ3209" s="34"/>
      <c r="BR3209" s="34"/>
      <c r="BS3209" s="34"/>
      <c r="BT3209" s="34"/>
      <c r="BU3209" s="34"/>
      <c r="BV3209" s="34"/>
      <c r="BW3209" s="34"/>
      <c r="BX3209" s="34"/>
      <c r="BY3209" s="34"/>
      <c r="BZ3209" s="34"/>
      <c r="CA3209" s="34"/>
      <c r="CB3209" s="34"/>
      <c r="CC3209" s="34"/>
      <c r="CD3209" s="34"/>
      <c r="CE3209" s="34"/>
      <c r="CF3209" s="34"/>
      <c r="CG3209" s="34"/>
      <c r="CH3209" s="34"/>
      <c r="CI3209" s="34"/>
      <c r="CJ3209" s="34"/>
      <c r="CK3209" s="34" t="s">
        <v>4265</v>
      </c>
      <c r="CL3209" s="34"/>
      <c r="CM3209" s="34"/>
      <c r="CN3209" s="34"/>
      <c r="CO3209" s="34"/>
      <c r="CP3209" s="34"/>
      <c r="CQ3209" s="34"/>
      <c r="CR3209" s="34"/>
      <c r="CS3209" s="34"/>
      <c r="CT3209" s="34"/>
      <c r="CU3209" s="34"/>
      <c r="CV3209" s="34"/>
      <c r="CW3209" s="34"/>
      <c r="CX3209" s="34"/>
      <c r="CY3209" s="34"/>
      <c r="CZ3209" s="34"/>
      <c r="DA3209" s="34"/>
      <c r="DB3209" s="34"/>
      <c r="DC3209" s="34"/>
      <c r="DD3209" s="34"/>
      <c r="DE3209" s="34"/>
    </row>
    <row r="3210" spans="1:110" x14ac:dyDescent="0.2">
      <c r="Z3210" s="36"/>
      <c r="AA3210" s="36"/>
      <c r="AE3210" s="37"/>
      <c r="AF3210" s="24" t="s">
        <v>4265</v>
      </c>
      <c r="AH3210" s="337"/>
    </row>
    <row r="3211" spans="1:110" x14ac:dyDescent="0.2">
      <c r="D3211" s="23"/>
      <c r="E3211" s="2"/>
      <c r="F3211" s="2"/>
      <c r="O3211" s="26"/>
      <c r="P3211" s="26"/>
      <c r="Z3211" s="36"/>
      <c r="AA3211" s="36"/>
      <c r="AE3211" s="41"/>
      <c r="DE3211" s="26" t="s">
        <v>4265</v>
      </c>
    </row>
    <row r="3212" spans="1:110" x14ac:dyDescent="0.2">
      <c r="B3212" s="24"/>
      <c r="J3212" s="263"/>
      <c r="Z3212" s="36"/>
      <c r="AA3212" s="36"/>
      <c r="AE3212" s="88"/>
      <c r="AM3212" s="39" t="s">
        <v>4265</v>
      </c>
    </row>
    <row r="3213" spans="1:110" x14ac:dyDescent="0.2">
      <c r="A3213" s="25"/>
      <c r="B3213" s="25"/>
      <c r="C3213" s="25"/>
      <c r="D3213" s="25"/>
      <c r="E3213" s="339"/>
      <c r="F3213" s="339"/>
      <c r="G3213" s="25"/>
      <c r="Z3213" s="36"/>
      <c r="AA3213" s="36"/>
      <c r="AE3213" s="88"/>
    </row>
    <row r="3214" spans="1:110" x14ac:dyDescent="0.2">
      <c r="B3214" s="24"/>
      <c r="D3214" s="26" t="s">
        <v>4265</v>
      </c>
      <c r="Y3214" s="263"/>
      <c r="Z3214" s="263"/>
      <c r="AA3214" s="263"/>
      <c r="AB3214" s="263"/>
      <c r="AC3214" s="263"/>
      <c r="AE3214" s="88"/>
    </row>
    <row r="3215" spans="1:110" x14ac:dyDescent="0.2">
      <c r="B3215" s="24"/>
      <c r="K3215" s="263"/>
      <c r="Z3215" s="227"/>
      <c r="AA3215" s="36"/>
      <c r="AE3215" s="88"/>
      <c r="AN3215" s="26" t="s">
        <v>4265</v>
      </c>
    </row>
    <row r="3216" spans="1:110" x14ac:dyDescent="0.2">
      <c r="B3216" s="24"/>
      <c r="Z3216" s="36"/>
      <c r="AA3216" s="36"/>
      <c r="AE3216" s="88"/>
    </row>
    <row r="3217" spans="2:31" x14ac:dyDescent="0.2">
      <c r="B3217" s="24"/>
      <c r="C3217" s="263"/>
      <c r="Z3217" s="36"/>
      <c r="AA3217" s="36"/>
      <c r="AE3217" s="88"/>
    </row>
    <row r="3218" spans="2:31" x14ac:dyDescent="0.2">
      <c r="B3218" s="24"/>
      <c r="O3218" s="229"/>
      <c r="Z3218" s="36"/>
      <c r="AA3218" s="36"/>
      <c r="AE3218" s="88"/>
    </row>
    <row r="3219" spans="2:31" x14ac:dyDescent="0.2">
      <c r="B3219" s="24"/>
      <c r="O3219" s="229"/>
      <c r="Z3219" s="36"/>
      <c r="AA3219" s="36"/>
      <c r="AE3219" s="88"/>
    </row>
    <row r="3220" spans="2:31" x14ac:dyDescent="0.2">
      <c r="B3220" s="24"/>
      <c r="Z3220" s="36"/>
      <c r="AA3220" s="36"/>
      <c r="AE3220" s="88"/>
    </row>
    <row r="3221" spans="2:31" x14ac:dyDescent="0.2">
      <c r="B3221" s="24"/>
      <c r="Z3221" s="36"/>
      <c r="AA3221" s="36"/>
      <c r="AE3221" s="88"/>
    </row>
    <row r="3222" spans="2:31" x14ac:dyDescent="0.2">
      <c r="B3222" s="24"/>
      <c r="Z3222" s="36"/>
      <c r="AA3222" s="36"/>
      <c r="AE3222" s="88"/>
    </row>
    <row r="3223" spans="2:31" x14ac:dyDescent="0.2">
      <c r="B3223" s="24"/>
      <c r="Z3223" s="36"/>
      <c r="AA3223" s="36"/>
      <c r="AE3223" s="88"/>
    </row>
    <row r="3224" spans="2:31" x14ac:dyDescent="0.2">
      <c r="B3224" s="24"/>
      <c r="Z3224" s="340"/>
      <c r="AA3224" s="340"/>
      <c r="AE3224" s="88"/>
    </row>
    <row r="3225" spans="2:31" x14ac:dyDescent="0.2">
      <c r="B3225" s="24"/>
      <c r="Z3225" s="340"/>
      <c r="AA3225" s="340"/>
      <c r="AE3225" s="88"/>
    </row>
    <row r="3226" spans="2:31" x14ac:dyDescent="0.2">
      <c r="B3226" s="24"/>
      <c r="Z3226" s="340"/>
      <c r="AA3226" s="340"/>
      <c r="AE3226" s="88"/>
    </row>
    <row r="3227" spans="2:31" x14ac:dyDescent="0.2">
      <c r="B3227" s="24"/>
      <c r="Z3227" s="340"/>
      <c r="AA3227" s="340"/>
      <c r="AE3227" s="88"/>
    </row>
    <row r="3228" spans="2:31" x14ac:dyDescent="0.2">
      <c r="B3228" s="24"/>
      <c r="Z3228" s="340"/>
      <c r="AA3228" s="340"/>
      <c r="AE3228" s="24"/>
    </row>
    <row r="3229" spans="2:31" x14ac:dyDescent="0.2">
      <c r="B3229" s="24"/>
      <c r="Z3229" s="340"/>
      <c r="AA3229" s="340"/>
      <c r="AE3229" s="24"/>
    </row>
    <row r="3230" spans="2:31" x14ac:dyDescent="0.2">
      <c r="B3230" s="24"/>
      <c r="Z3230" s="340"/>
      <c r="AA3230" s="340"/>
    </row>
    <row r="3231" spans="2:31" x14ac:dyDescent="0.2">
      <c r="B3231" s="24"/>
      <c r="Z3231" s="340"/>
      <c r="AA3231" s="340"/>
      <c r="AE3231" s="24"/>
    </row>
    <row r="3232" spans="2:31" x14ac:dyDescent="0.2">
      <c r="B3232" s="24"/>
      <c r="Z3232" s="340"/>
      <c r="AA3232" s="340"/>
    </row>
    <row r="3233" spans="2:27" x14ac:dyDescent="0.2">
      <c r="B3233" s="24"/>
      <c r="Z3233" s="340"/>
      <c r="AA3233" s="340"/>
    </row>
    <row r="3234" spans="2:27" x14ac:dyDescent="0.2">
      <c r="B3234" s="24"/>
      <c r="Z3234" s="340"/>
      <c r="AA3234" s="340"/>
    </row>
    <row r="3235" spans="2:27" x14ac:dyDescent="0.2">
      <c r="B3235" s="24"/>
      <c r="Z3235" s="340"/>
      <c r="AA3235" s="340"/>
    </row>
    <row r="3236" spans="2:27" x14ac:dyDescent="0.2">
      <c r="B3236" s="24"/>
      <c r="Z3236" s="340"/>
      <c r="AA3236" s="340"/>
    </row>
    <row r="3237" spans="2:27" x14ac:dyDescent="0.2">
      <c r="B3237" s="24"/>
      <c r="Z3237" s="340"/>
      <c r="AA3237" s="340"/>
    </row>
    <row r="3238" spans="2:27" x14ac:dyDescent="0.2">
      <c r="B3238" s="24"/>
      <c r="Z3238" s="340"/>
      <c r="AA3238" s="340"/>
    </row>
    <row r="3239" spans="2:27" x14ac:dyDescent="0.2">
      <c r="B3239" s="24"/>
      <c r="Z3239" s="340"/>
      <c r="AA3239" s="340"/>
    </row>
    <row r="3240" spans="2:27" x14ac:dyDescent="0.2">
      <c r="B3240" s="24"/>
      <c r="Z3240" s="340"/>
      <c r="AA3240" s="340"/>
    </row>
    <row r="3241" spans="2:27" x14ac:dyDescent="0.2">
      <c r="B3241" s="24"/>
      <c r="Z3241" s="340"/>
      <c r="AA3241" s="340"/>
    </row>
    <row r="3242" spans="2:27" x14ac:dyDescent="0.2">
      <c r="B3242" s="24"/>
      <c r="Z3242" s="340"/>
      <c r="AA3242" s="340"/>
    </row>
    <row r="3243" spans="2:27" x14ac:dyDescent="0.2">
      <c r="B3243" s="24"/>
      <c r="Z3243" s="340"/>
      <c r="AA3243" s="340"/>
    </row>
    <row r="3244" spans="2:27" x14ac:dyDescent="0.2">
      <c r="B3244" s="24"/>
      <c r="Z3244" s="340"/>
      <c r="AA3244" s="340"/>
    </row>
    <row r="3245" spans="2:27" x14ac:dyDescent="0.2">
      <c r="B3245" s="24"/>
      <c r="Z3245" s="340"/>
      <c r="AA3245" s="340"/>
    </row>
    <row r="3246" spans="2:27" x14ac:dyDescent="0.2">
      <c r="B3246" s="24"/>
      <c r="Z3246" s="340"/>
      <c r="AA3246" s="340"/>
    </row>
    <row r="3247" spans="2:27" x14ac:dyDescent="0.2">
      <c r="B3247" s="24"/>
      <c r="Z3247" s="340"/>
      <c r="AA3247" s="340"/>
    </row>
    <row r="3248" spans="2:27" x14ac:dyDescent="0.2">
      <c r="B3248" s="24"/>
      <c r="Z3248" s="340"/>
      <c r="AA3248" s="340"/>
    </row>
    <row r="3249" spans="2:53" x14ac:dyDescent="0.2">
      <c r="B3249" s="24"/>
      <c r="Z3249" s="340"/>
      <c r="AA3249" s="340"/>
    </row>
    <row r="3250" spans="2:53" x14ac:dyDescent="0.2">
      <c r="B3250" s="24"/>
      <c r="Z3250" s="340"/>
      <c r="AA3250" s="340"/>
    </row>
    <row r="3251" spans="2:53" x14ac:dyDescent="0.2">
      <c r="B3251" s="24"/>
      <c r="Z3251" s="340"/>
      <c r="AA3251" s="340"/>
    </row>
    <row r="3252" spans="2:53" x14ac:dyDescent="0.2">
      <c r="B3252" s="24"/>
      <c r="Z3252" s="340"/>
      <c r="AA3252" s="340"/>
    </row>
    <row r="3253" spans="2:53" x14ac:dyDescent="0.2">
      <c r="B3253" s="24"/>
      <c r="Z3253" s="340"/>
      <c r="AA3253" s="340"/>
    </row>
    <row r="3254" spans="2:53" x14ac:dyDescent="0.2">
      <c r="B3254" s="24"/>
      <c r="Z3254" s="340"/>
      <c r="AA3254" s="340"/>
    </row>
    <row r="3255" spans="2:53" x14ac:dyDescent="0.2">
      <c r="B3255" s="24"/>
      <c r="Z3255" s="340"/>
      <c r="AA3255" s="340"/>
    </row>
    <row r="3256" spans="2:53" x14ac:dyDescent="0.2">
      <c r="B3256" s="24"/>
      <c r="Z3256" s="340"/>
      <c r="AA3256" s="340"/>
    </row>
    <row r="3257" spans="2:53" x14ac:dyDescent="0.2">
      <c r="B3257" s="24"/>
      <c r="Z3257" s="340"/>
      <c r="AA3257" s="340"/>
    </row>
    <row r="3258" spans="2:53" x14ac:dyDescent="0.2">
      <c r="B3258" s="24"/>
      <c r="Z3258" s="340"/>
      <c r="AA3258" s="340"/>
    </row>
    <row r="3259" spans="2:53" x14ac:dyDescent="0.2">
      <c r="B3259" s="24"/>
      <c r="Z3259" s="340"/>
      <c r="AA3259" s="340"/>
    </row>
    <row r="3260" spans="2:53" x14ac:dyDescent="0.2">
      <c r="B3260" s="24"/>
      <c r="Z3260" s="340"/>
      <c r="AA3260" s="340"/>
    </row>
    <row r="3261" spans="2:53" x14ac:dyDescent="0.2">
      <c r="B3261" s="24"/>
      <c r="Z3261" s="340"/>
      <c r="AA3261" s="340"/>
      <c r="BA3261" s="26" t="s">
        <v>2359</v>
      </c>
    </row>
    <row r="3262" spans="2:53" x14ac:dyDescent="0.2">
      <c r="B3262" s="24"/>
      <c r="Z3262" s="340"/>
      <c r="AA3262" s="340"/>
    </row>
    <row r="3263" spans="2:53" x14ac:dyDescent="0.2">
      <c r="B3263" s="24"/>
      <c r="Z3263" s="340"/>
      <c r="AA3263" s="340"/>
    </row>
    <row r="3264" spans="2:53" x14ac:dyDescent="0.2">
      <c r="B3264" s="24"/>
      <c r="Z3264" s="340"/>
      <c r="AA3264" s="340"/>
    </row>
    <row r="3265" spans="2:27" x14ac:dyDescent="0.2">
      <c r="B3265" s="24"/>
      <c r="Z3265" s="340"/>
      <c r="AA3265" s="340"/>
    </row>
    <row r="3266" spans="2:27" x14ac:dyDescent="0.2">
      <c r="B3266" s="24"/>
      <c r="Z3266" s="340"/>
      <c r="AA3266" s="340"/>
    </row>
    <row r="3267" spans="2:27" x14ac:dyDescent="0.2">
      <c r="B3267" s="24"/>
      <c r="Z3267" s="340"/>
      <c r="AA3267" s="340"/>
    </row>
    <row r="3268" spans="2:27" x14ac:dyDescent="0.2">
      <c r="B3268" s="24"/>
      <c r="Z3268" s="340"/>
      <c r="AA3268" s="340"/>
    </row>
    <row r="3269" spans="2:27" x14ac:dyDescent="0.2">
      <c r="B3269" s="24"/>
      <c r="Z3269" s="340"/>
      <c r="AA3269" s="340"/>
    </row>
    <row r="3270" spans="2:27" x14ac:dyDescent="0.2">
      <c r="B3270" s="24"/>
      <c r="Z3270" s="340"/>
      <c r="AA3270" s="340"/>
    </row>
    <row r="3271" spans="2:27" x14ac:dyDescent="0.2">
      <c r="B3271" s="24"/>
      <c r="Z3271" s="340"/>
      <c r="AA3271" s="340"/>
    </row>
    <row r="3272" spans="2:27" x14ac:dyDescent="0.2">
      <c r="B3272" s="24"/>
      <c r="Z3272" s="340"/>
      <c r="AA3272" s="340"/>
    </row>
    <row r="3273" spans="2:27" x14ac:dyDescent="0.2">
      <c r="B3273" s="24"/>
      <c r="Z3273" s="340"/>
      <c r="AA3273" s="340"/>
    </row>
    <row r="3274" spans="2:27" x14ac:dyDescent="0.2">
      <c r="B3274" s="24"/>
      <c r="Z3274" s="340"/>
      <c r="AA3274" s="340"/>
    </row>
    <row r="3275" spans="2:27" x14ac:dyDescent="0.2">
      <c r="B3275" s="24"/>
      <c r="Z3275" s="340"/>
      <c r="AA3275" s="340"/>
    </row>
    <row r="3276" spans="2:27" x14ac:dyDescent="0.2">
      <c r="B3276" s="24"/>
      <c r="Z3276" s="340"/>
      <c r="AA3276" s="340"/>
    </row>
    <row r="3277" spans="2:27" x14ac:dyDescent="0.2">
      <c r="B3277" s="24"/>
      <c r="Z3277" s="340"/>
      <c r="AA3277" s="340"/>
    </row>
    <row r="3278" spans="2:27" x14ac:dyDescent="0.2">
      <c r="B3278" s="24"/>
      <c r="Z3278" s="340"/>
      <c r="AA3278" s="340"/>
    </row>
    <row r="3279" spans="2:27" x14ac:dyDescent="0.2">
      <c r="B3279" s="24"/>
      <c r="Z3279" s="340"/>
      <c r="AA3279" s="340"/>
    </row>
    <row r="3280" spans="2:27" x14ac:dyDescent="0.2">
      <c r="B3280" s="24"/>
      <c r="Z3280" s="340"/>
      <c r="AA3280" s="340"/>
    </row>
    <row r="3281" spans="2:27" x14ac:dyDescent="0.2">
      <c r="B3281" s="24"/>
      <c r="Z3281" s="340"/>
      <c r="AA3281" s="340"/>
    </row>
    <row r="3282" spans="2:27" x14ac:dyDescent="0.2">
      <c r="B3282" s="24"/>
      <c r="Z3282" s="340"/>
      <c r="AA3282" s="340"/>
    </row>
    <row r="3283" spans="2:27" x14ac:dyDescent="0.2">
      <c r="B3283" s="24"/>
      <c r="Z3283" s="340"/>
      <c r="AA3283" s="340"/>
    </row>
    <row r="3284" spans="2:27" x14ac:dyDescent="0.2">
      <c r="B3284" s="24"/>
      <c r="Z3284" s="340"/>
      <c r="AA3284" s="340"/>
    </row>
    <row r="3285" spans="2:27" x14ac:dyDescent="0.2">
      <c r="B3285" s="24"/>
      <c r="Z3285" s="340"/>
      <c r="AA3285" s="340"/>
    </row>
    <row r="3286" spans="2:27" x14ac:dyDescent="0.2">
      <c r="B3286" s="24"/>
      <c r="Z3286" s="340"/>
      <c r="AA3286" s="340"/>
    </row>
    <row r="3287" spans="2:27" x14ac:dyDescent="0.2">
      <c r="B3287" s="24"/>
      <c r="Z3287" s="340"/>
      <c r="AA3287" s="340"/>
    </row>
    <row r="3288" spans="2:27" x14ac:dyDescent="0.2">
      <c r="B3288" s="24"/>
      <c r="Z3288" s="340"/>
      <c r="AA3288" s="340"/>
    </row>
    <row r="3289" spans="2:27" x14ac:dyDescent="0.2">
      <c r="B3289" s="24"/>
      <c r="Z3289" s="340"/>
      <c r="AA3289" s="340"/>
    </row>
    <row r="3290" spans="2:27" x14ac:dyDescent="0.2">
      <c r="B3290" s="24"/>
      <c r="Z3290" s="340"/>
      <c r="AA3290" s="340"/>
    </row>
    <row r="3291" spans="2:27" x14ac:dyDescent="0.2">
      <c r="B3291" s="24"/>
      <c r="Z3291" s="340"/>
      <c r="AA3291" s="340"/>
    </row>
    <row r="3292" spans="2:27" x14ac:dyDescent="0.2">
      <c r="B3292" s="24"/>
      <c r="Z3292" s="340"/>
      <c r="AA3292" s="340"/>
    </row>
    <row r="3293" spans="2:27" x14ac:dyDescent="0.2">
      <c r="B3293" s="24"/>
      <c r="Z3293" s="340"/>
      <c r="AA3293" s="340"/>
    </row>
    <row r="3294" spans="2:27" x14ac:dyDescent="0.2">
      <c r="B3294" s="24"/>
      <c r="Z3294" s="340"/>
      <c r="AA3294" s="340"/>
    </row>
    <row r="3295" spans="2:27" x14ac:dyDescent="0.2">
      <c r="B3295" s="24"/>
      <c r="Z3295" s="340"/>
      <c r="AA3295" s="340"/>
    </row>
    <row r="3296" spans="2:27" x14ac:dyDescent="0.2">
      <c r="B3296" s="24"/>
      <c r="Z3296" s="340"/>
      <c r="AA3296" s="340"/>
    </row>
    <row r="3297" spans="2:27" x14ac:dyDescent="0.2">
      <c r="B3297" s="24"/>
      <c r="Z3297" s="340"/>
      <c r="AA3297" s="340"/>
    </row>
    <row r="3298" spans="2:27" x14ac:dyDescent="0.2">
      <c r="B3298" s="24"/>
      <c r="Z3298" s="340"/>
      <c r="AA3298" s="340"/>
    </row>
    <row r="3299" spans="2:27" x14ac:dyDescent="0.2">
      <c r="B3299" s="24"/>
      <c r="Z3299" s="340"/>
      <c r="AA3299" s="340"/>
    </row>
    <row r="3300" spans="2:27" x14ac:dyDescent="0.2">
      <c r="B3300" s="24"/>
      <c r="Z3300" s="340"/>
      <c r="AA3300" s="340"/>
    </row>
    <row r="3301" spans="2:27" x14ac:dyDescent="0.2">
      <c r="B3301" s="24"/>
      <c r="Z3301" s="340"/>
      <c r="AA3301" s="340"/>
    </row>
    <row r="3302" spans="2:27" x14ac:dyDescent="0.2">
      <c r="B3302" s="24"/>
      <c r="Z3302" s="340"/>
      <c r="AA3302" s="340"/>
    </row>
    <row r="3303" spans="2:27" x14ac:dyDescent="0.2">
      <c r="B3303" s="24"/>
      <c r="Z3303" s="340"/>
      <c r="AA3303" s="340"/>
    </row>
    <row r="3304" spans="2:27" x14ac:dyDescent="0.2">
      <c r="B3304" s="24"/>
      <c r="Z3304" s="340"/>
      <c r="AA3304" s="340"/>
    </row>
    <row r="3305" spans="2:27" x14ac:dyDescent="0.2">
      <c r="B3305" s="24"/>
      <c r="Z3305" s="340"/>
      <c r="AA3305" s="340"/>
    </row>
    <row r="3306" spans="2:27" x14ac:dyDescent="0.2">
      <c r="B3306" s="24"/>
      <c r="Z3306" s="340"/>
      <c r="AA3306" s="340"/>
    </row>
    <row r="3307" spans="2:27" x14ac:dyDescent="0.2">
      <c r="B3307" s="24"/>
      <c r="Z3307" s="340"/>
      <c r="AA3307" s="340"/>
    </row>
    <row r="3308" spans="2:27" x14ac:dyDescent="0.2">
      <c r="B3308" s="24"/>
      <c r="Z3308" s="340"/>
      <c r="AA3308" s="340"/>
    </row>
    <row r="3309" spans="2:27" x14ac:dyDescent="0.2">
      <c r="B3309" s="24"/>
      <c r="Z3309" s="340"/>
      <c r="AA3309" s="340"/>
    </row>
    <row r="3310" spans="2:27" x14ac:dyDescent="0.2">
      <c r="B3310" s="24"/>
      <c r="Z3310" s="340"/>
      <c r="AA3310" s="340"/>
    </row>
    <row r="3311" spans="2:27" x14ac:dyDescent="0.2">
      <c r="B3311" s="24"/>
      <c r="Z3311" s="340"/>
      <c r="AA3311" s="340"/>
    </row>
    <row r="3312" spans="2:27" x14ac:dyDescent="0.2">
      <c r="B3312" s="24"/>
      <c r="Z3312" s="340"/>
      <c r="AA3312" s="340"/>
    </row>
    <row r="3313" spans="2:27" x14ac:dyDescent="0.2">
      <c r="B3313" s="24"/>
      <c r="Z3313" s="340"/>
      <c r="AA3313" s="340"/>
    </row>
    <row r="3314" spans="2:27" x14ac:dyDescent="0.2">
      <c r="B3314" s="24"/>
      <c r="Z3314" s="340"/>
      <c r="AA3314" s="340"/>
    </row>
    <row r="3315" spans="2:27" x14ac:dyDescent="0.2">
      <c r="B3315" s="24"/>
      <c r="Z3315" s="340"/>
      <c r="AA3315" s="340"/>
    </row>
    <row r="3316" spans="2:27" x14ac:dyDescent="0.2">
      <c r="B3316" s="24"/>
      <c r="Z3316" s="340"/>
      <c r="AA3316" s="340"/>
    </row>
    <row r="3317" spans="2:27" x14ac:dyDescent="0.2">
      <c r="B3317" s="24"/>
      <c r="Z3317" s="340"/>
      <c r="AA3317" s="340"/>
    </row>
    <row r="3318" spans="2:27" x14ac:dyDescent="0.2">
      <c r="B3318" s="24"/>
      <c r="Z3318" s="340"/>
      <c r="AA3318" s="340"/>
    </row>
    <row r="3319" spans="2:27" x14ac:dyDescent="0.2">
      <c r="B3319" s="24"/>
      <c r="Z3319" s="340"/>
      <c r="AA3319" s="340"/>
    </row>
    <row r="3320" spans="2:27" x14ac:dyDescent="0.2">
      <c r="B3320" s="24"/>
      <c r="Z3320" s="340"/>
      <c r="AA3320" s="340"/>
    </row>
    <row r="3321" spans="2:27" x14ac:dyDescent="0.2">
      <c r="B3321" s="24"/>
      <c r="Z3321" s="340"/>
      <c r="AA3321" s="340"/>
    </row>
    <row r="3322" spans="2:27" x14ac:dyDescent="0.2">
      <c r="B3322" s="24"/>
      <c r="Z3322" s="340"/>
      <c r="AA3322" s="340"/>
    </row>
    <row r="3323" spans="2:27" x14ac:dyDescent="0.2">
      <c r="B3323" s="24"/>
      <c r="Z3323" s="340"/>
      <c r="AA3323" s="340"/>
    </row>
    <row r="3324" spans="2:27" x14ac:dyDescent="0.2">
      <c r="B3324" s="24"/>
      <c r="V3324" s="40">
        <v>0</v>
      </c>
      <c r="Z3324" s="340"/>
      <c r="AA3324" s="340"/>
    </row>
    <row r="3325" spans="2:27" x14ac:dyDescent="0.2">
      <c r="B3325" s="24"/>
      <c r="Z3325" s="340"/>
      <c r="AA3325" s="340"/>
    </row>
    <row r="3326" spans="2:27" x14ac:dyDescent="0.2">
      <c r="B3326" s="24"/>
      <c r="Z3326" s="340"/>
      <c r="AA3326" s="340"/>
    </row>
    <row r="3327" spans="2:27" x14ac:dyDescent="0.2">
      <c r="B3327" s="24"/>
      <c r="Z3327" s="340"/>
      <c r="AA3327" s="340"/>
    </row>
    <row r="3328" spans="2:27" x14ac:dyDescent="0.2">
      <c r="B3328" s="24"/>
      <c r="Z3328" s="340"/>
      <c r="AA3328" s="340"/>
    </row>
    <row r="3329" spans="2:27" x14ac:dyDescent="0.2">
      <c r="B3329" s="24"/>
      <c r="Z3329" s="340"/>
      <c r="AA3329" s="340"/>
    </row>
    <row r="3330" spans="2:27" x14ac:dyDescent="0.2">
      <c r="B3330" s="24"/>
      <c r="Z3330" s="340"/>
      <c r="AA3330" s="340"/>
    </row>
    <row r="3331" spans="2:27" x14ac:dyDescent="0.2">
      <c r="B3331" s="24"/>
      <c r="Z3331" s="340"/>
      <c r="AA3331" s="340"/>
    </row>
    <row r="3332" spans="2:27" x14ac:dyDescent="0.2">
      <c r="B3332" s="24"/>
      <c r="Z3332" s="340"/>
      <c r="AA3332" s="340"/>
    </row>
    <row r="3333" spans="2:27" x14ac:dyDescent="0.2">
      <c r="B3333" s="24"/>
      <c r="Z3333" s="340"/>
      <c r="AA3333" s="340"/>
    </row>
    <row r="3334" spans="2:27" x14ac:dyDescent="0.2">
      <c r="B3334" s="24"/>
      <c r="Z3334" s="340"/>
      <c r="AA3334" s="340"/>
    </row>
    <row r="3335" spans="2:27" x14ac:dyDescent="0.2">
      <c r="B3335" s="24"/>
      <c r="Z3335" s="340"/>
      <c r="AA3335" s="340"/>
    </row>
    <row r="3336" spans="2:27" x14ac:dyDescent="0.2">
      <c r="B3336" s="24"/>
      <c r="Z3336" s="340"/>
      <c r="AA3336" s="340"/>
    </row>
    <row r="3337" spans="2:27" x14ac:dyDescent="0.2">
      <c r="B3337" s="24"/>
      <c r="Z3337" s="340"/>
      <c r="AA3337" s="340"/>
    </row>
    <row r="3338" spans="2:27" x14ac:dyDescent="0.2">
      <c r="B3338" s="24"/>
      <c r="Z3338" s="340"/>
      <c r="AA3338" s="340"/>
    </row>
    <row r="3339" spans="2:27" x14ac:dyDescent="0.2">
      <c r="B3339" s="24"/>
      <c r="Z3339" s="340"/>
      <c r="AA3339" s="340"/>
    </row>
    <row r="3340" spans="2:27" x14ac:dyDescent="0.2">
      <c r="B3340" s="24"/>
      <c r="Z3340" s="340"/>
      <c r="AA3340" s="340"/>
    </row>
    <row r="3341" spans="2:27" x14ac:dyDescent="0.2">
      <c r="B3341" s="24"/>
      <c r="Z3341" s="340"/>
      <c r="AA3341" s="340"/>
    </row>
    <row r="3342" spans="2:27" x14ac:dyDescent="0.2">
      <c r="B3342" s="24"/>
      <c r="Z3342" s="340"/>
      <c r="AA3342" s="340"/>
    </row>
    <row r="3343" spans="2:27" x14ac:dyDescent="0.2">
      <c r="B3343" s="24"/>
      <c r="Z3343" s="340"/>
      <c r="AA3343" s="340"/>
    </row>
    <row r="3344" spans="2:27" x14ac:dyDescent="0.2">
      <c r="B3344" s="24"/>
      <c r="Z3344" s="340"/>
      <c r="AA3344" s="340"/>
    </row>
    <row r="3345" spans="2:27" x14ac:dyDescent="0.2">
      <c r="B3345" s="24"/>
      <c r="Z3345" s="340"/>
      <c r="AA3345" s="340"/>
    </row>
    <row r="3346" spans="2:27" x14ac:dyDescent="0.2">
      <c r="B3346" s="24"/>
      <c r="Z3346" s="340"/>
      <c r="AA3346" s="340"/>
    </row>
    <row r="3347" spans="2:27" x14ac:dyDescent="0.2">
      <c r="B3347" s="24"/>
      <c r="Z3347" s="340"/>
      <c r="AA3347" s="340"/>
    </row>
    <row r="3348" spans="2:27" x14ac:dyDescent="0.2">
      <c r="B3348" s="24"/>
      <c r="Z3348" s="340"/>
      <c r="AA3348" s="340"/>
    </row>
    <row r="3349" spans="2:27" x14ac:dyDescent="0.2">
      <c r="B3349" s="24"/>
      <c r="Z3349" s="340"/>
      <c r="AA3349" s="340"/>
    </row>
    <row r="3350" spans="2:27" x14ac:dyDescent="0.2">
      <c r="B3350" s="24"/>
      <c r="Z3350" s="340"/>
      <c r="AA3350" s="340"/>
    </row>
    <row r="3351" spans="2:27" x14ac:dyDescent="0.2">
      <c r="B3351" s="24"/>
      <c r="Z3351" s="340"/>
      <c r="AA3351" s="340"/>
    </row>
    <row r="3352" spans="2:27" x14ac:dyDescent="0.2">
      <c r="B3352" s="24"/>
      <c r="Z3352" s="340"/>
      <c r="AA3352" s="340"/>
    </row>
    <row r="3353" spans="2:27" x14ac:dyDescent="0.2">
      <c r="B3353" s="24"/>
      <c r="Z3353" s="340"/>
      <c r="AA3353" s="340"/>
    </row>
    <row r="3354" spans="2:27" x14ac:dyDescent="0.2">
      <c r="B3354" s="24"/>
      <c r="Z3354" s="340"/>
      <c r="AA3354" s="340"/>
    </row>
    <row r="3355" spans="2:27" x14ac:dyDescent="0.2">
      <c r="B3355" s="24"/>
      <c r="Z3355" s="340"/>
      <c r="AA3355" s="340"/>
    </row>
    <row r="3356" spans="2:27" x14ac:dyDescent="0.2">
      <c r="B3356" s="24"/>
      <c r="Z3356" s="340"/>
      <c r="AA3356" s="340"/>
    </row>
    <row r="3357" spans="2:27" x14ac:dyDescent="0.2">
      <c r="B3357" s="24"/>
      <c r="Z3357" s="340"/>
      <c r="AA3357" s="340"/>
    </row>
    <row r="3358" spans="2:27" x14ac:dyDescent="0.2">
      <c r="B3358" s="24"/>
      <c r="Z3358" s="340"/>
      <c r="AA3358" s="340"/>
    </row>
    <row r="3359" spans="2:27" x14ac:dyDescent="0.2">
      <c r="B3359" s="24"/>
      <c r="Z3359" s="340"/>
      <c r="AA3359" s="340"/>
    </row>
    <row r="3360" spans="2:27" x14ac:dyDescent="0.2">
      <c r="B3360" s="24"/>
      <c r="Z3360" s="340"/>
      <c r="AA3360" s="340"/>
    </row>
    <row r="3361" spans="2:27" x14ac:dyDescent="0.2">
      <c r="B3361" s="24"/>
      <c r="Z3361" s="340"/>
      <c r="AA3361" s="340"/>
    </row>
    <row r="3362" spans="2:27" x14ac:dyDescent="0.2">
      <c r="B3362" s="24"/>
      <c r="Z3362" s="340"/>
      <c r="AA3362" s="340"/>
    </row>
    <row r="3363" spans="2:27" x14ac:dyDescent="0.2">
      <c r="B3363" s="24"/>
      <c r="Z3363" s="340"/>
      <c r="AA3363" s="340"/>
    </row>
    <row r="3364" spans="2:27" x14ac:dyDescent="0.2">
      <c r="B3364" s="24"/>
      <c r="Z3364" s="340"/>
      <c r="AA3364" s="340"/>
    </row>
    <row r="3365" spans="2:27" x14ac:dyDescent="0.2">
      <c r="B3365" s="24"/>
      <c r="Z3365" s="340"/>
      <c r="AA3365" s="340"/>
    </row>
    <row r="3366" spans="2:27" x14ac:dyDescent="0.2">
      <c r="B3366" s="24"/>
      <c r="Z3366" s="340"/>
      <c r="AA3366" s="340"/>
    </row>
    <row r="3367" spans="2:27" x14ac:dyDescent="0.2">
      <c r="B3367" s="24"/>
      <c r="Z3367" s="340"/>
      <c r="AA3367" s="340"/>
    </row>
    <row r="3368" spans="2:27" x14ac:dyDescent="0.2">
      <c r="B3368" s="24"/>
      <c r="Z3368" s="340"/>
      <c r="AA3368" s="340"/>
    </row>
    <row r="3369" spans="2:27" x14ac:dyDescent="0.2">
      <c r="B3369" s="24"/>
      <c r="Z3369" s="340"/>
      <c r="AA3369" s="340"/>
    </row>
    <row r="3370" spans="2:27" x14ac:dyDescent="0.2">
      <c r="B3370" s="24"/>
      <c r="Z3370" s="340"/>
      <c r="AA3370" s="340"/>
    </row>
    <row r="3371" spans="2:27" x14ac:dyDescent="0.2">
      <c r="B3371" s="24"/>
      <c r="Z3371" s="340"/>
      <c r="AA3371" s="340"/>
    </row>
    <row r="3372" spans="2:27" x14ac:dyDescent="0.2">
      <c r="B3372" s="24"/>
      <c r="Z3372" s="340"/>
      <c r="AA3372" s="340"/>
    </row>
    <row r="3373" spans="2:27" x14ac:dyDescent="0.2">
      <c r="B3373" s="24"/>
      <c r="Z3373" s="340"/>
      <c r="AA3373" s="340"/>
    </row>
    <row r="3374" spans="2:27" x14ac:dyDescent="0.2">
      <c r="B3374" s="24"/>
      <c r="Z3374" s="340"/>
      <c r="AA3374" s="340"/>
    </row>
    <row r="3375" spans="2:27" x14ac:dyDescent="0.2">
      <c r="B3375" s="24"/>
      <c r="Z3375" s="340"/>
      <c r="AA3375" s="340"/>
    </row>
    <row r="3376" spans="2:27" x14ac:dyDescent="0.2">
      <c r="B3376" s="24"/>
      <c r="Z3376" s="340"/>
      <c r="AA3376" s="340"/>
    </row>
    <row r="3377" spans="2:27" x14ac:dyDescent="0.2">
      <c r="B3377" s="24"/>
      <c r="Z3377" s="340"/>
      <c r="AA3377" s="340"/>
    </row>
    <row r="3378" spans="2:27" x14ac:dyDescent="0.2">
      <c r="B3378" s="24"/>
      <c r="Z3378" s="340"/>
      <c r="AA3378" s="340"/>
    </row>
    <row r="3379" spans="2:27" x14ac:dyDescent="0.2">
      <c r="B3379" s="24"/>
      <c r="Z3379" s="340"/>
      <c r="AA3379" s="340"/>
    </row>
    <row r="3380" spans="2:27" x14ac:dyDescent="0.2">
      <c r="B3380" s="24"/>
      <c r="Z3380" s="340"/>
      <c r="AA3380" s="340"/>
    </row>
    <row r="3381" spans="2:27" x14ac:dyDescent="0.2">
      <c r="B3381" s="24"/>
      <c r="Z3381" s="340"/>
      <c r="AA3381" s="340"/>
    </row>
    <row r="3382" spans="2:27" x14ac:dyDescent="0.2">
      <c r="B3382" s="24"/>
      <c r="Z3382" s="340"/>
      <c r="AA3382" s="340"/>
    </row>
    <row r="3383" spans="2:27" x14ac:dyDescent="0.2">
      <c r="B3383" s="24"/>
      <c r="Z3383" s="340"/>
      <c r="AA3383" s="340"/>
    </row>
    <row r="3384" spans="2:27" x14ac:dyDescent="0.2">
      <c r="B3384" s="24"/>
      <c r="Z3384" s="340"/>
      <c r="AA3384" s="340"/>
    </row>
    <row r="3385" spans="2:27" x14ac:dyDescent="0.2">
      <c r="B3385" s="24"/>
      <c r="Z3385" s="340"/>
      <c r="AA3385" s="340"/>
    </row>
    <row r="3386" spans="2:27" x14ac:dyDescent="0.2">
      <c r="B3386" s="24"/>
      <c r="Z3386" s="340"/>
      <c r="AA3386" s="340"/>
    </row>
    <row r="3387" spans="2:27" x14ac:dyDescent="0.2">
      <c r="B3387" s="24"/>
      <c r="Z3387" s="340"/>
      <c r="AA3387" s="340"/>
    </row>
    <row r="3388" spans="2:27" x14ac:dyDescent="0.2">
      <c r="B3388" s="24"/>
      <c r="Z3388" s="340"/>
      <c r="AA3388" s="340"/>
    </row>
    <row r="3389" spans="2:27" x14ac:dyDescent="0.2">
      <c r="B3389" s="24"/>
      <c r="Z3389" s="340"/>
      <c r="AA3389" s="340"/>
    </row>
    <row r="3390" spans="2:27" x14ac:dyDescent="0.2">
      <c r="B3390" s="24"/>
      <c r="Z3390" s="340"/>
      <c r="AA3390" s="340"/>
    </row>
    <row r="3391" spans="2:27" x14ac:dyDescent="0.2">
      <c r="B3391" s="24"/>
      <c r="Z3391" s="340"/>
      <c r="AA3391" s="340"/>
    </row>
    <row r="3392" spans="2:27" x14ac:dyDescent="0.2">
      <c r="B3392" s="24"/>
      <c r="Z3392" s="340"/>
      <c r="AA3392" s="340"/>
    </row>
    <row r="3393" spans="2:27" x14ac:dyDescent="0.2">
      <c r="B3393" s="24"/>
      <c r="Z3393" s="340"/>
      <c r="AA3393" s="340"/>
    </row>
    <row r="3394" spans="2:27" x14ac:dyDescent="0.2">
      <c r="B3394" s="24"/>
      <c r="Z3394" s="340"/>
      <c r="AA3394" s="340"/>
    </row>
    <row r="3395" spans="2:27" x14ac:dyDescent="0.2">
      <c r="B3395" s="24"/>
      <c r="Z3395" s="340"/>
      <c r="AA3395" s="340"/>
    </row>
    <row r="3396" spans="2:27" x14ac:dyDescent="0.2">
      <c r="B3396" s="24"/>
      <c r="Z3396" s="340"/>
      <c r="AA3396" s="340"/>
    </row>
    <row r="3397" spans="2:27" x14ac:dyDescent="0.2">
      <c r="B3397" s="24"/>
      <c r="Z3397" s="340"/>
      <c r="AA3397" s="340"/>
    </row>
    <row r="3398" spans="2:27" x14ac:dyDescent="0.2">
      <c r="B3398" s="24"/>
      <c r="Z3398" s="340"/>
      <c r="AA3398" s="340"/>
    </row>
    <row r="3399" spans="2:27" x14ac:dyDescent="0.2">
      <c r="B3399" s="24"/>
      <c r="Z3399" s="340"/>
      <c r="AA3399" s="340"/>
    </row>
    <row r="3400" spans="2:27" x14ac:dyDescent="0.2">
      <c r="B3400" s="24"/>
      <c r="Z3400" s="340"/>
      <c r="AA3400" s="340"/>
    </row>
    <row r="3401" spans="2:27" x14ac:dyDescent="0.2">
      <c r="B3401" s="24"/>
      <c r="Z3401" s="340"/>
      <c r="AA3401" s="340"/>
    </row>
    <row r="3402" spans="2:27" x14ac:dyDescent="0.2">
      <c r="B3402" s="24"/>
      <c r="Z3402" s="340"/>
      <c r="AA3402" s="340"/>
    </row>
    <row r="3403" spans="2:27" x14ac:dyDescent="0.2">
      <c r="B3403" s="24"/>
      <c r="Z3403" s="340"/>
      <c r="AA3403" s="340"/>
    </row>
    <row r="3404" spans="2:27" x14ac:dyDescent="0.2">
      <c r="B3404" s="24"/>
      <c r="Z3404" s="340"/>
      <c r="AA3404" s="340"/>
    </row>
    <row r="3405" spans="2:27" x14ac:dyDescent="0.2">
      <c r="B3405" s="24"/>
      <c r="Z3405" s="340"/>
      <c r="AA3405" s="340"/>
    </row>
    <row r="3406" spans="2:27" x14ac:dyDescent="0.2">
      <c r="B3406" s="24"/>
      <c r="Z3406" s="340"/>
      <c r="AA3406" s="340"/>
    </row>
    <row r="3407" spans="2:27" x14ac:dyDescent="0.2">
      <c r="B3407" s="24"/>
      <c r="Z3407" s="340"/>
      <c r="AA3407" s="340"/>
    </row>
    <row r="3408" spans="2:27" x14ac:dyDescent="0.2">
      <c r="B3408" s="24"/>
      <c r="Z3408" s="340"/>
      <c r="AA3408" s="340"/>
    </row>
    <row r="3409" spans="2:27" x14ac:dyDescent="0.2">
      <c r="B3409" s="24"/>
      <c r="Z3409" s="340"/>
      <c r="AA3409" s="340"/>
    </row>
    <row r="3410" spans="2:27" x14ac:dyDescent="0.2">
      <c r="B3410" s="24"/>
      <c r="Z3410" s="340"/>
      <c r="AA3410" s="340"/>
    </row>
    <row r="3411" spans="2:27" x14ac:dyDescent="0.2">
      <c r="B3411" s="24"/>
      <c r="Z3411" s="340"/>
      <c r="AA3411" s="340"/>
    </row>
    <row r="3412" spans="2:27" x14ac:dyDescent="0.2">
      <c r="B3412" s="24"/>
      <c r="Z3412" s="340"/>
      <c r="AA3412" s="340"/>
    </row>
    <row r="3413" spans="2:27" x14ac:dyDescent="0.2">
      <c r="B3413" s="24"/>
      <c r="Z3413" s="340"/>
      <c r="AA3413" s="340"/>
    </row>
    <row r="3414" spans="2:27" x14ac:dyDescent="0.2">
      <c r="B3414" s="24"/>
      <c r="Z3414" s="340"/>
      <c r="AA3414" s="340"/>
    </row>
    <row r="3415" spans="2:27" x14ac:dyDescent="0.2">
      <c r="B3415" s="24"/>
      <c r="Z3415" s="340"/>
      <c r="AA3415" s="340"/>
    </row>
    <row r="3416" spans="2:27" x14ac:dyDescent="0.2">
      <c r="B3416" s="24"/>
      <c r="Z3416" s="340"/>
      <c r="AA3416" s="340"/>
    </row>
    <row r="3417" spans="2:27" x14ac:dyDescent="0.2">
      <c r="B3417" s="24"/>
      <c r="Z3417" s="340"/>
      <c r="AA3417" s="340"/>
    </row>
    <row r="3418" spans="2:27" x14ac:dyDescent="0.2">
      <c r="B3418" s="24"/>
      <c r="Z3418" s="340"/>
      <c r="AA3418" s="340"/>
    </row>
    <row r="3419" spans="2:27" x14ac:dyDescent="0.2">
      <c r="B3419" s="24"/>
      <c r="Z3419" s="340"/>
      <c r="AA3419" s="340"/>
    </row>
    <row r="3420" spans="2:27" x14ac:dyDescent="0.2">
      <c r="B3420" s="24"/>
      <c r="Z3420" s="340"/>
      <c r="AA3420" s="340"/>
    </row>
    <row r="3421" spans="2:27" x14ac:dyDescent="0.2">
      <c r="B3421" s="24"/>
      <c r="Z3421" s="340"/>
      <c r="AA3421" s="340"/>
    </row>
    <row r="3422" spans="2:27" x14ac:dyDescent="0.2">
      <c r="B3422" s="24"/>
      <c r="Z3422" s="340"/>
      <c r="AA3422" s="340"/>
    </row>
    <row r="3423" spans="2:27" x14ac:dyDescent="0.2">
      <c r="B3423" s="24"/>
      <c r="Z3423" s="340"/>
      <c r="AA3423" s="340"/>
    </row>
    <row r="3424" spans="2:27" x14ac:dyDescent="0.2">
      <c r="B3424" s="24"/>
      <c r="Z3424" s="340"/>
      <c r="AA3424" s="340"/>
    </row>
    <row r="3425" spans="2:27" x14ac:dyDescent="0.2">
      <c r="B3425" s="24"/>
      <c r="Z3425" s="340"/>
      <c r="AA3425" s="340"/>
    </row>
    <row r="3426" spans="2:27" x14ac:dyDescent="0.2">
      <c r="B3426" s="24"/>
      <c r="Z3426" s="340"/>
      <c r="AA3426" s="340"/>
    </row>
    <row r="3427" spans="2:27" x14ac:dyDescent="0.2">
      <c r="B3427" s="24"/>
      <c r="Z3427" s="340"/>
      <c r="AA3427" s="340"/>
    </row>
    <row r="3428" spans="2:27" x14ac:dyDescent="0.2">
      <c r="B3428" s="24"/>
      <c r="Z3428" s="340"/>
      <c r="AA3428" s="340"/>
    </row>
    <row r="3429" spans="2:27" x14ac:dyDescent="0.2">
      <c r="B3429" s="24"/>
      <c r="Z3429" s="340"/>
      <c r="AA3429" s="340"/>
    </row>
    <row r="3430" spans="2:27" x14ac:dyDescent="0.2">
      <c r="B3430" s="24"/>
      <c r="Z3430" s="340"/>
      <c r="AA3430" s="340"/>
    </row>
    <row r="3431" spans="2:27" x14ac:dyDescent="0.2">
      <c r="B3431" s="24"/>
      <c r="Z3431" s="340"/>
      <c r="AA3431" s="340"/>
    </row>
    <row r="3432" spans="2:27" x14ac:dyDescent="0.2">
      <c r="B3432" s="24"/>
      <c r="Z3432" s="340"/>
      <c r="AA3432" s="340"/>
    </row>
    <row r="3433" spans="2:27" x14ac:dyDescent="0.2">
      <c r="B3433" s="24"/>
      <c r="Z3433" s="340"/>
      <c r="AA3433" s="340"/>
    </row>
    <row r="3434" spans="2:27" x14ac:dyDescent="0.2">
      <c r="B3434" s="24"/>
      <c r="Z3434" s="340"/>
      <c r="AA3434" s="340"/>
    </row>
    <row r="3435" spans="2:27" x14ac:dyDescent="0.2">
      <c r="B3435" s="24"/>
      <c r="Z3435" s="340"/>
      <c r="AA3435" s="340"/>
    </row>
    <row r="3436" spans="2:27" x14ac:dyDescent="0.2">
      <c r="B3436" s="24"/>
      <c r="Z3436" s="340"/>
      <c r="AA3436" s="340"/>
    </row>
    <row r="3437" spans="2:27" x14ac:dyDescent="0.2">
      <c r="B3437" s="24"/>
      <c r="Z3437" s="340"/>
      <c r="AA3437" s="340"/>
    </row>
    <row r="3438" spans="2:27" x14ac:dyDescent="0.2">
      <c r="B3438" s="24"/>
      <c r="Z3438" s="340"/>
      <c r="AA3438" s="340"/>
    </row>
    <row r="3439" spans="2:27" x14ac:dyDescent="0.2">
      <c r="B3439" s="24"/>
      <c r="Z3439" s="340"/>
      <c r="AA3439" s="340"/>
    </row>
    <row r="3440" spans="2:27" x14ac:dyDescent="0.2">
      <c r="B3440" s="24"/>
      <c r="Z3440" s="340"/>
      <c r="AA3440" s="340"/>
    </row>
    <row r="3441" spans="2:27" x14ac:dyDescent="0.2">
      <c r="B3441" s="24"/>
      <c r="Z3441" s="340"/>
      <c r="AA3441" s="340"/>
    </row>
    <row r="3442" spans="2:27" x14ac:dyDescent="0.2">
      <c r="B3442" s="24"/>
      <c r="Z3442" s="340"/>
      <c r="AA3442" s="340"/>
    </row>
    <row r="3443" spans="2:27" x14ac:dyDescent="0.2">
      <c r="B3443" s="24"/>
      <c r="Z3443" s="340"/>
      <c r="AA3443" s="340"/>
    </row>
    <row r="3444" spans="2:27" x14ac:dyDescent="0.2">
      <c r="B3444" s="24"/>
      <c r="Z3444" s="340"/>
      <c r="AA3444" s="340"/>
    </row>
    <row r="3445" spans="2:27" x14ac:dyDescent="0.2">
      <c r="B3445" s="24"/>
      <c r="Z3445" s="340"/>
      <c r="AA3445" s="340"/>
    </row>
    <row r="3446" spans="2:27" x14ac:dyDescent="0.2">
      <c r="B3446" s="24"/>
      <c r="Z3446" s="340"/>
      <c r="AA3446" s="340"/>
    </row>
    <row r="3447" spans="2:27" x14ac:dyDescent="0.2">
      <c r="B3447" s="24"/>
      <c r="Z3447" s="340"/>
      <c r="AA3447" s="340"/>
    </row>
    <row r="3448" spans="2:27" x14ac:dyDescent="0.2">
      <c r="B3448" s="24"/>
      <c r="Z3448" s="340"/>
      <c r="AA3448" s="340"/>
    </row>
    <row r="3449" spans="2:27" x14ac:dyDescent="0.2">
      <c r="B3449" s="24"/>
      <c r="Z3449" s="340"/>
      <c r="AA3449" s="340"/>
    </row>
    <row r="3450" spans="2:27" x14ac:dyDescent="0.2">
      <c r="B3450" s="24"/>
      <c r="Z3450" s="340"/>
      <c r="AA3450" s="340"/>
    </row>
    <row r="3451" spans="2:27" x14ac:dyDescent="0.2">
      <c r="B3451" s="24"/>
      <c r="Z3451" s="340"/>
      <c r="AA3451" s="340"/>
    </row>
    <row r="3452" spans="2:27" x14ac:dyDescent="0.2">
      <c r="B3452" s="24"/>
      <c r="Z3452" s="340"/>
      <c r="AA3452" s="340"/>
    </row>
    <row r="3453" spans="2:27" x14ac:dyDescent="0.2">
      <c r="B3453" s="24"/>
      <c r="Z3453" s="340"/>
      <c r="AA3453" s="340"/>
    </row>
    <row r="3454" spans="2:27" x14ac:dyDescent="0.2">
      <c r="B3454" s="24"/>
      <c r="Z3454" s="340"/>
      <c r="AA3454" s="340"/>
    </row>
    <row r="3455" spans="2:27" x14ac:dyDescent="0.2">
      <c r="B3455" s="24"/>
      <c r="Z3455" s="340"/>
      <c r="AA3455" s="340"/>
    </row>
    <row r="3456" spans="2:27" x14ac:dyDescent="0.2">
      <c r="B3456" s="24"/>
      <c r="Z3456" s="340"/>
      <c r="AA3456" s="340"/>
    </row>
    <row r="3457" spans="2:27" x14ac:dyDescent="0.2">
      <c r="B3457" s="24"/>
      <c r="Z3457" s="340"/>
      <c r="AA3457" s="340"/>
    </row>
    <row r="3458" spans="2:27" x14ac:dyDescent="0.2">
      <c r="B3458" s="24"/>
      <c r="Z3458" s="340"/>
      <c r="AA3458" s="340"/>
    </row>
    <row r="3459" spans="2:27" x14ac:dyDescent="0.2">
      <c r="B3459" s="24"/>
      <c r="Z3459" s="340"/>
      <c r="AA3459" s="340"/>
    </row>
    <row r="3460" spans="2:27" x14ac:dyDescent="0.2">
      <c r="B3460" s="24"/>
      <c r="Z3460" s="340"/>
      <c r="AA3460" s="340"/>
    </row>
    <row r="3461" spans="2:27" x14ac:dyDescent="0.2">
      <c r="B3461" s="24"/>
      <c r="Z3461" s="340"/>
      <c r="AA3461" s="340"/>
    </row>
    <row r="3462" spans="2:27" x14ac:dyDescent="0.2">
      <c r="B3462" s="24"/>
      <c r="Z3462" s="340"/>
      <c r="AA3462" s="340"/>
    </row>
    <row r="3463" spans="2:27" x14ac:dyDescent="0.2">
      <c r="B3463" s="24"/>
      <c r="Z3463" s="340"/>
      <c r="AA3463" s="340"/>
    </row>
    <row r="3464" spans="2:27" x14ac:dyDescent="0.2">
      <c r="B3464" s="24"/>
      <c r="Z3464" s="340"/>
      <c r="AA3464" s="340"/>
    </row>
    <row r="3465" spans="2:27" x14ac:dyDescent="0.2">
      <c r="B3465" s="24"/>
      <c r="Z3465" s="340"/>
      <c r="AA3465" s="340"/>
    </row>
    <row r="3466" spans="2:27" x14ac:dyDescent="0.2">
      <c r="B3466" s="24"/>
      <c r="Z3466" s="340"/>
      <c r="AA3466" s="340"/>
    </row>
    <row r="3467" spans="2:27" x14ac:dyDescent="0.2">
      <c r="B3467" s="24"/>
      <c r="Z3467" s="340"/>
      <c r="AA3467" s="340"/>
    </row>
    <row r="3468" spans="2:27" x14ac:dyDescent="0.2">
      <c r="B3468" s="24"/>
      <c r="Z3468" s="340"/>
      <c r="AA3468" s="340"/>
    </row>
    <row r="3469" spans="2:27" x14ac:dyDescent="0.2">
      <c r="B3469" s="24"/>
      <c r="Z3469" s="340"/>
      <c r="AA3469" s="340"/>
    </row>
    <row r="3470" spans="2:27" x14ac:dyDescent="0.2">
      <c r="B3470" s="24"/>
      <c r="Z3470" s="340"/>
      <c r="AA3470" s="340"/>
    </row>
    <row r="3471" spans="2:27" x14ac:dyDescent="0.2">
      <c r="B3471" s="24"/>
      <c r="Z3471" s="340"/>
      <c r="AA3471" s="340"/>
    </row>
    <row r="3472" spans="2:27" x14ac:dyDescent="0.2">
      <c r="B3472" s="24"/>
      <c r="Z3472" s="340"/>
      <c r="AA3472" s="340"/>
    </row>
    <row r="3473" spans="2:27" x14ac:dyDescent="0.2">
      <c r="B3473" s="24"/>
      <c r="Z3473" s="340"/>
      <c r="AA3473" s="340"/>
    </row>
    <row r="3474" spans="2:27" x14ac:dyDescent="0.2">
      <c r="B3474" s="24"/>
      <c r="Z3474" s="340"/>
      <c r="AA3474" s="340"/>
    </row>
    <row r="3475" spans="2:27" x14ac:dyDescent="0.2">
      <c r="B3475" s="24"/>
      <c r="Z3475" s="340"/>
      <c r="AA3475" s="340"/>
    </row>
    <row r="3476" spans="2:27" x14ac:dyDescent="0.2">
      <c r="B3476" s="24"/>
      <c r="Z3476" s="340"/>
      <c r="AA3476" s="340"/>
    </row>
    <row r="3477" spans="2:27" x14ac:dyDescent="0.2">
      <c r="B3477" s="24"/>
      <c r="Z3477" s="340"/>
      <c r="AA3477" s="340"/>
    </row>
    <row r="3478" spans="2:27" x14ac:dyDescent="0.2">
      <c r="B3478" s="24"/>
      <c r="Z3478" s="340"/>
      <c r="AA3478" s="340"/>
    </row>
    <row r="3479" spans="2:27" x14ac:dyDescent="0.2">
      <c r="B3479" s="24"/>
      <c r="Z3479" s="340"/>
      <c r="AA3479" s="340"/>
    </row>
    <row r="3480" spans="2:27" x14ac:dyDescent="0.2">
      <c r="B3480" s="24"/>
      <c r="Z3480" s="340"/>
      <c r="AA3480" s="340"/>
    </row>
    <row r="3481" spans="2:27" x14ac:dyDescent="0.2">
      <c r="B3481" s="24"/>
      <c r="Z3481" s="340"/>
      <c r="AA3481" s="340"/>
    </row>
    <row r="3482" spans="2:27" x14ac:dyDescent="0.2">
      <c r="B3482" s="24"/>
      <c r="Z3482" s="340"/>
      <c r="AA3482" s="340"/>
    </row>
    <row r="3483" spans="2:27" x14ac:dyDescent="0.2">
      <c r="B3483" s="24"/>
      <c r="Z3483" s="340"/>
      <c r="AA3483" s="340"/>
    </row>
    <row r="3484" spans="2:27" x14ac:dyDescent="0.2">
      <c r="B3484" s="24"/>
      <c r="Z3484" s="340"/>
      <c r="AA3484" s="340"/>
    </row>
    <row r="3485" spans="2:27" x14ac:dyDescent="0.2">
      <c r="B3485" s="24"/>
      <c r="Z3485" s="340"/>
      <c r="AA3485" s="340"/>
    </row>
    <row r="3486" spans="2:27" x14ac:dyDescent="0.2">
      <c r="B3486" s="24"/>
      <c r="Z3486" s="340"/>
      <c r="AA3486" s="340"/>
    </row>
    <row r="3487" spans="2:27" x14ac:dyDescent="0.2">
      <c r="B3487" s="24"/>
      <c r="Z3487" s="340"/>
      <c r="AA3487" s="340"/>
    </row>
    <row r="3488" spans="2:27" x14ac:dyDescent="0.2">
      <c r="B3488" s="24"/>
      <c r="Z3488" s="340"/>
      <c r="AA3488" s="340"/>
    </row>
    <row r="3489" spans="2:27" x14ac:dyDescent="0.2">
      <c r="B3489" s="24"/>
      <c r="Z3489" s="340"/>
      <c r="AA3489" s="340"/>
    </row>
    <row r="3490" spans="2:27" x14ac:dyDescent="0.2">
      <c r="B3490" s="24"/>
      <c r="Z3490" s="340"/>
      <c r="AA3490" s="340"/>
    </row>
    <row r="3491" spans="2:27" x14ac:dyDescent="0.2">
      <c r="B3491" s="24"/>
      <c r="Z3491" s="340"/>
      <c r="AA3491" s="340"/>
    </row>
    <row r="3492" spans="2:27" x14ac:dyDescent="0.2">
      <c r="B3492" s="24"/>
    </row>
    <row r="3493" spans="2:27" x14ac:dyDescent="0.2">
      <c r="B3493" s="24"/>
    </row>
    <row r="3494" spans="2:27" x14ac:dyDescent="0.2">
      <c r="B3494" s="24"/>
    </row>
    <row r="3495" spans="2:27" x14ac:dyDescent="0.2">
      <c r="B3495" s="24"/>
    </row>
    <row r="3496" spans="2:27" x14ac:dyDescent="0.2">
      <c r="B3496" s="24"/>
    </row>
    <row r="3497" spans="2:27" x14ac:dyDescent="0.2">
      <c r="B3497" s="24"/>
    </row>
    <row r="3498" spans="2:27" x14ac:dyDescent="0.2">
      <c r="B3498" s="24"/>
    </row>
    <row r="3499" spans="2:27" x14ac:dyDescent="0.2">
      <c r="B3499" s="24"/>
    </row>
    <row r="3500" spans="2:27" x14ac:dyDescent="0.2">
      <c r="B3500" s="24"/>
    </row>
    <row r="3501" spans="2:27" x14ac:dyDescent="0.2">
      <c r="B3501" s="24"/>
    </row>
    <row r="3502" spans="2:27" x14ac:dyDescent="0.2">
      <c r="B3502" s="24"/>
    </row>
    <row r="3503" spans="2:27" x14ac:dyDescent="0.2">
      <c r="B3503" s="24"/>
    </row>
    <row r="3504" spans="2:27" x14ac:dyDescent="0.2">
      <c r="B3504" s="24"/>
    </row>
    <row r="3505" spans="2:2" x14ac:dyDescent="0.2">
      <c r="B3505" s="24"/>
    </row>
    <row r="3506" spans="2:2" x14ac:dyDescent="0.2">
      <c r="B3506" s="24"/>
    </row>
    <row r="3507" spans="2:2" x14ac:dyDescent="0.2">
      <c r="B3507" s="24"/>
    </row>
    <row r="3508" spans="2:2" x14ac:dyDescent="0.2">
      <c r="B3508" s="24"/>
    </row>
    <row r="3509" spans="2:2" x14ac:dyDescent="0.2">
      <c r="B3509" s="24"/>
    </row>
    <row r="3510" spans="2:2" x14ac:dyDescent="0.2">
      <c r="B3510" s="24"/>
    </row>
    <row r="3511" spans="2:2" x14ac:dyDescent="0.2">
      <c r="B3511" s="24"/>
    </row>
    <row r="3512" spans="2:2" x14ac:dyDescent="0.2">
      <c r="B3512" s="24"/>
    </row>
    <row r="3513" spans="2:2" x14ac:dyDescent="0.2">
      <c r="B3513" s="24"/>
    </row>
    <row r="3514" spans="2:2" x14ac:dyDescent="0.2">
      <c r="B3514" s="24"/>
    </row>
    <row r="3515" spans="2:2" x14ac:dyDescent="0.2">
      <c r="B3515" s="24"/>
    </row>
    <row r="3516" spans="2:2" x14ac:dyDescent="0.2">
      <c r="B3516" s="24"/>
    </row>
    <row r="3517" spans="2:2" x14ac:dyDescent="0.2">
      <c r="B3517" s="24"/>
    </row>
    <row r="3518" spans="2:2" x14ac:dyDescent="0.2">
      <c r="B3518" s="24"/>
    </row>
    <row r="3519" spans="2:2" x14ac:dyDescent="0.2">
      <c r="B3519" s="24"/>
    </row>
    <row r="3520" spans="2:2" x14ac:dyDescent="0.2">
      <c r="B3520" s="24"/>
    </row>
    <row r="3521" spans="2:2" x14ac:dyDescent="0.2">
      <c r="B3521" s="24"/>
    </row>
    <row r="3522" spans="2:2" x14ac:dyDescent="0.2">
      <c r="B3522" s="24"/>
    </row>
    <row r="3523" spans="2:2" x14ac:dyDescent="0.2">
      <c r="B3523" s="24"/>
    </row>
    <row r="3524" spans="2:2" x14ac:dyDescent="0.2">
      <c r="B3524" s="24"/>
    </row>
    <row r="3525" spans="2:2" x14ac:dyDescent="0.2">
      <c r="B3525" s="24"/>
    </row>
    <row r="3526" spans="2:2" x14ac:dyDescent="0.2">
      <c r="B3526" s="24"/>
    </row>
    <row r="3527" spans="2:2" x14ac:dyDescent="0.2">
      <c r="B3527" s="24"/>
    </row>
    <row r="3528" spans="2:2" x14ac:dyDescent="0.2">
      <c r="B3528" s="24"/>
    </row>
    <row r="3529" spans="2:2" x14ac:dyDescent="0.2">
      <c r="B3529" s="24"/>
    </row>
    <row r="3530" spans="2:2" x14ac:dyDescent="0.2">
      <c r="B3530" s="24"/>
    </row>
    <row r="3531" spans="2:2" x14ac:dyDescent="0.2">
      <c r="B3531" s="24"/>
    </row>
    <row r="3532" spans="2:2" x14ac:dyDescent="0.2">
      <c r="B3532" s="24"/>
    </row>
    <row r="3533" spans="2:2" x14ac:dyDescent="0.2">
      <c r="B3533" s="24"/>
    </row>
    <row r="3534" spans="2:2" x14ac:dyDescent="0.2">
      <c r="B3534" s="24"/>
    </row>
    <row r="3535" spans="2:2" x14ac:dyDescent="0.2">
      <c r="B3535" s="24"/>
    </row>
    <row r="3536" spans="2:2" x14ac:dyDescent="0.2">
      <c r="B3536" s="24"/>
    </row>
    <row r="3537" spans="2:2" x14ac:dyDescent="0.2">
      <c r="B3537" s="24"/>
    </row>
    <row r="3538" spans="2:2" x14ac:dyDescent="0.2">
      <c r="B3538" s="24"/>
    </row>
    <row r="3539" spans="2:2" x14ac:dyDescent="0.2">
      <c r="B3539" s="24"/>
    </row>
    <row r="3540" spans="2:2" x14ac:dyDescent="0.2">
      <c r="B3540" s="24"/>
    </row>
    <row r="3541" spans="2:2" x14ac:dyDescent="0.2">
      <c r="B3541" s="24"/>
    </row>
    <row r="3542" spans="2:2" x14ac:dyDescent="0.2">
      <c r="B3542" s="24"/>
    </row>
    <row r="3543" spans="2:2" x14ac:dyDescent="0.2">
      <c r="B3543" s="24"/>
    </row>
    <row r="3544" spans="2:2" x14ac:dyDescent="0.2">
      <c r="B3544" s="24"/>
    </row>
    <row r="3545" spans="2:2" x14ac:dyDescent="0.2">
      <c r="B3545" s="24"/>
    </row>
    <row r="3546" spans="2:2" x14ac:dyDescent="0.2">
      <c r="B3546" s="24"/>
    </row>
    <row r="3547" spans="2:2" x14ac:dyDescent="0.2">
      <c r="B3547" s="24"/>
    </row>
    <row r="3548" spans="2:2" x14ac:dyDescent="0.2">
      <c r="B3548" s="24"/>
    </row>
    <row r="3549" spans="2:2" x14ac:dyDescent="0.2">
      <c r="B3549" s="24"/>
    </row>
    <row r="3550" spans="2:2" x14ac:dyDescent="0.2">
      <c r="B3550" s="24"/>
    </row>
    <row r="3551" spans="2:2" x14ac:dyDescent="0.2">
      <c r="B3551" s="24"/>
    </row>
    <row r="3552" spans="2:2" x14ac:dyDescent="0.2">
      <c r="B3552" s="24"/>
    </row>
    <row r="3553" spans="2:2" x14ac:dyDescent="0.2">
      <c r="B3553" s="24"/>
    </row>
    <row r="3554" spans="2:2" x14ac:dyDescent="0.2">
      <c r="B3554" s="24"/>
    </row>
    <row r="3555" spans="2:2" x14ac:dyDescent="0.2">
      <c r="B3555" s="24"/>
    </row>
    <row r="3556" spans="2:2" x14ac:dyDescent="0.2">
      <c r="B3556" s="24"/>
    </row>
    <row r="3557" spans="2:2" x14ac:dyDescent="0.2">
      <c r="B3557" s="24"/>
    </row>
    <row r="3558" spans="2:2" x14ac:dyDescent="0.2">
      <c r="B3558" s="24"/>
    </row>
    <row r="3559" spans="2:2" x14ac:dyDescent="0.2">
      <c r="B3559" s="24"/>
    </row>
    <row r="3560" spans="2:2" x14ac:dyDescent="0.2">
      <c r="B3560" s="24"/>
    </row>
    <row r="3561" spans="2:2" x14ac:dyDescent="0.2">
      <c r="B3561" s="24"/>
    </row>
    <row r="3562" spans="2:2" x14ac:dyDescent="0.2">
      <c r="B3562" s="24"/>
    </row>
    <row r="3563" spans="2:2" x14ac:dyDescent="0.2">
      <c r="B3563" s="24"/>
    </row>
    <row r="3564" spans="2:2" x14ac:dyDescent="0.2">
      <c r="B3564" s="24"/>
    </row>
    <row r="3565" spans="2:2" x14ac:dyDescent="0.2">
      <c r="B3565" s="24"/>
    </row>
    <row r="3566" spans="2:2" x14ac:dyDescent="0.2">
      <c r="B3566" s="24"/>
    </row>
    <row r="3567" spans="2:2" x14ac:dyDescent="0.2">
      <c r="B3567" s="24"/>
    </row>
    <row r="3568" spans="2:2" x14ac:dyDescent="0.2">
      <c r="B3568" s="24"/>
    </row>
    <row r="3569" spans="2:2" x14ac:dyDescent="0.2">
      <c r="B3569" s="24"/>
    </row>
    <row r="3570" spans="2:2" x14ac:dyDescent="0.2">
      <c r="B3570" s="24"/>
    </row>
    <row r="3571" spans="2:2" x14ac:dyDescent="0.2">
      <c r="B3571" s="24"/>
    </row>
    <row r="3572" spans="2:2" x14ac:dyDescent="0.2">
      <c r="B3572" s="24"/>
    </row>
    <row r="3573" spans="2:2" x14ac:dyDescent="0.2">
      <c r="B3573" s="24"/>
    </row>
    <row r="3574" spans="2:2" x14ac:dyDescent="0.2">
      <c r="B3574" s="24"/>
    </row>
    <row r="3575" spans="2:2" x14ac:dyDescent="0.2">
      <c r="B3575" s="24"/>
    </row>
    <row r="3576" spans="2:2" x14ac:dyDescent="0.2">
      <c r="B3576" s="24"/>
    </row>
    <row r="3577" spans="2:2" x14ac:dyDescent="0.2">
      <c r="B3577" s="24"/>
    </row>
    <row r="3578" spans="2:2" x14ac:dyDescent="0.2">
      <c r="B3578" s="24"/>
    </row>
    <row r="3579" spans="2:2" x14ac:dyDescent="0.2">
      <c r="B3579" s="24"/>
    </row>
    <row r="3580" spans="2:2" x14ac:dyDescent="0.2">
      <c r="B3580" s="24"/>
    </row>
    <row r="3581" spans="2:2" x14ac:dyDescent="0.2">
      <c r="B3581" s="24"/>
    </row>
    <row r="3582" spans="2:2" x14ac:dyDescent="0.2">
      <c r="B3582" s="24"/>
    </row>
    <row r="3583" spans="2:2" x14ac:dyDescent="0.2">
      <c r="B3583" s="24"/>
    </row>
    <row r="3584" spans="2:2" x14ac:dyDescent="0.2">
      <c r="B3584" s="24"/>
    </row>
    <row r="3585" spans="2:2" x14ac:dyDescent="0.2">
      <c r="B3585" s="24"/>
    </row>
    <row r="3586" spans="2:2" x14ac:dyDescent="0.2">
      <c r="B3586" s="24"/>
    </row>
    <row r="3587" spans="2:2" x14ac:dyDescent="0.2">
      <c r="B3587" s="24"/>
    </row>
    <row r="3588" spans="2:2" x14ac:dyDescent="0.2">
      <c r="B3588" s="24"/>
    </row>
    <row r="3589" spans="2:2" x14ac:dyDescent="0.2">
      <c r="B3589" s="24"/>
    </row>
    <row r="3590" spans="2:2" x14ac:dyDescent="0.2">
      <c r="B3590" s="24"/>
    </row>
    <row r="3591" spans="2:2" x14ac:dyDescent="0.2">
      <c r="B3591" s="24"/>
    </row>
    <row r="3592" spans="2:2" x14ac:dyDescent="0.2">
      <c r="B3592" s="24"/>
    </row>
    <row r="3593" spans="2:2" x14ac:dyDescent="0.2">
      <c r="B3593" s="24"/>
    </row>
    <row r="3594" spans="2:2" x14ac:dyDescent="0.2">
      <c r="B3594" s="24"/>
    </row>
    <row r="3595" spans="2:2" x14ac:dyDescent="0.2">
      <c r="B3595" s="24"/>
    </row>
    <row r="3596" spans="2:2" x14ac:dyDescent="0.2">
      <c r="B3596" s="24"/>
    </row>
    <row r="3597" spans="2:2" x14ac:dyDescent="0.2">
      <c r="B3597" s="24"/>
    </row>
    <row r="3598" spans="2:2" x14ac:dyDescent="0.2">
      <c r="B3598" s="24"/>
    </row>
    <row r="3599" spans="2:2" x14ac:dyDescent="0.2">
      <c r="B3599" s="24"/>
    </row>
    <row r="3600" spans="2:2" x14ac:dyDescent="0.2">
      <c r="B3600" s="24"/>
    </row>
    <row r="3601" spans="2:2" x14ac:dyDescent="0.2">
      <c r="B3601" s="24"/>
    </row>
    <row r="3602" spans="2:2" x14ac:dyDescent="0.2">
      <c r="B3602" s="24"/>
    </row>
    <row r="3603" spans="2:2" x14ac:dyDescent="0.2">
      <c r="B3603" s="24"/>
    </row>
    <row r="3604" spans="2:2" x14ac:dyDescent="0.2">
      <c r="B3604" s="24"/>
    </row>
    <row r="3605" spans="2:2" x14ac:dyDescent="0.2">
      <c r="B3605" s="24"/>
    </row>
    <row r="3606" spans="2:2" x14ac:dyDescent="0.2">
      <c r="B3606" s="24"/>
    </row>
    <row r="3607" spans="2:2" x14ac:dyDescent="0.2">
      <c r="B3607" s="24"/>
    </row>
    <row r="3608" spans="2:2" x14ac:dyDescent="0.2">
      <c r="B3608" s="24"/>
    </row>
    <row r="3609" spans="2:2" x14ac:dyDescent="0.2">
      <c r="B3609" s="24"/>
    </row>
    <row r="3610" spans="2:2" x14ac:dyDescent="0.2">
      <c r="B3610" s="24"/>
    </row>
    <row r="3611" spans="2:2" x14ac:dyDescent="0.2">
      <c r="B3611" s="24"/>
    </row>
    <row r="3612" spans="2:2" x14ac:dyDescent="0.2">
      <c r="B3612" s="24"/>
    </row>
    <row r="3613" spans="2:2" x14ac:dyDescent="0.2">
      <c r="B3613" s="24"/>
    </row>
    <row r="3614" spans="2:2" x14ac:dyDescent="0.2">
      <c r="B3614" s="24"/>
    </row>
    <row r="3615" spans="2:2" x14ac:dyDescent="0.2">
      <c r="B3615" s="24"/>
    </row>
    <row r="3616" spans="2:2" x14ac:dyDescent="0.2">
      <c r="B3616" s="24"/>
    </row>
    <row r="3617" spans="2:2" x14ac:dyDescent="0.2">
      <c r="B3617" s="24"/>
    </row>
    <row r="3618" spans="2:2" x14ac:dyDescent="0.2">
      <c r="B3618" s="24"/>
    </row>
    <row r="3619" spans="2:2" x14ac:dyDescent="0.2">
      <c r="B3619" s="24"/>
    </row>
    <row r="3620" spans="2:2" x14ac:dyDescent="0.2">
      <c r="B3620" s="24"/>
    </row>
    <row r="3621" spans="2:2" x14ac:dyDescent="0.2">
      <c r="B3621" s="24"/>
    </row>
    <row r="3622" spans="2:2" x14ac:dyDescent="0.2">
      <c r="B3622" s="24"/>
    </row>
    <row r="3623" spans="2:2" x14ac:dyDescent="0.2">
      <c r="B3623" s="24"/>
    </row>
    <row r="3624" spans="2:2" x14ac:dyDescent="0.2">
      <c r="B3624" s="24"/>
    </row>
    <row r="3625" spans="2:2" x14ac:dyDescent="0.2">
      <c r="B3625" s="24"/>
    </row>
    <row r="3626" spans="2:2" x14ac:dyDescent="0.2">
      <c r="B3626" s="24"/>
    </row>
    <row r="3627" spans="2:2" x14ac:dyDescent="0.2">
      <c r="B3627" s="24"/>
    </row>
    <row r="3628" spans="2:2" x14ac:dyDescent="0.2">
      <c r="B3628" s="24"/>
    </row>
    <row r="3629" spans="2:2" x14ac:dyDescent="0.2">
      <c r="B3629" s="24"/>
    </row>
    <row r="3630" spans="2:2" x14ac:dyDescent="0.2">
      <c r="B3630" s="24"/>
    </row>
    <row r="3631" spans="2:2" x14ac:dyDescent="0.2">
      <c r="B3631" s="24"/>
    </row>
    <row r="3632" spans="2:2" x14ac:dyDescent="0.2">
      <c r="B3632" s="24"/>
    </row>
    <row r="3633" spans="2:2" x14ac:dyDescent="0.2">
      <c r="B3633" s="24"/>
    </row>
    <row r="3634" spans="2:2" x14ac:dyDescent="0.2">
      <c r="B3634" s="24"/>
    </row>
    <row r="3635" spans="2:2" x14ac:dyDescent="0.2">
      <c r="B3635" s="24"/>
    </row>
    <row r="3636" spans="2:2" x14ac:dyDescent="0.2">
      <c r="B3636" s="24"/>
    </row>
    <row r="3637" spans="2:2" x14ac:dyDescent="0.2">
      <c r="B3637" s="24"/>
    </row>
    <row r="3638" spans="2:2" x14ac:dyDescent="0.2">
      <c r="B3638" s="24"/>
    </row>
    <row r="3639" spans="2:2" x14ac:dyDescent="0.2">
      <c r="B3639" s="24"/>
    </row>
    <row r="3640" spans="2:2" x14ac:dyDescent="0.2">
      <c r="B3640" s="24"/>
    </row>
    <row r="3641" spans="2:2" x14ac:dyDescent="0.2">
      <c r="B3641" s="24"/>
    </row>
    <row r="3642" spans="2:2" x14ac:dyDescent="0.2">
      <c r="B3642" s="24"/>
    </row>
    <row r="3643" spans="2:2" x14ac:dyDescent="0.2">
      <c r="B3643" s="24"/>
    </row>
    <row r="3644" spans="2:2" x14ac:dyDescent="0.2">
      <c r="B3644" s="24"/>
    </row>
    <row r="3645" spans="2:2" x14ac:dyDescent="0.2">
      <c r="B3645" s="24"/>
    </row>
    <row r="3646" spans="2:2" x14ac:dyDescent="0.2">
      <c r="B3646" s="24"/>
    </row>
    <row r="3647" spans="2:2" x14ac:dyDescent="0.2">
      <c r="B3647" s="24"/>
    </row>
    <row r="3648" spans="2:2" x14ac:dyDescent="0.2">
      <c r="B3648" s="24"/>
    </row>
    <row r="3649" spans="2:2" x14ac:dyDescent="0.2">
      <c r="B3649" s="24"/>
    </row>
    <row r="3650" spans="2:2" x14ac:dyDescent="0.2">
      <c r="B3650" s="24"/>
    </row>
    <row r="3651" spans="2:2" x14ac:dyDescent="0.2">
      <c r="B3651" s="24"/>
    </row>
    <row r="3652" spans="2:2" x14ac:dyDescent="0.2">
      <c r="B3652" s="24"/>
    </row>
    <row r="3653" spans="2:2" x14ac:dyDescent="0.2">
      <c r="B3653" s="24"/>
    </row>
    <row r="3654" spans="2:2" x14ac:dyDescent="0.2">
      <c r="B3654" s="24"/>
    </row>
    <row r="3655" spans="2:2" x14ac:dyDescent="0.2">
      <c r="B3655" s="24"/>
    </row>
    <row r="3656" spans="2:2" x14ac:dyDescent="0.2">
      <c r="B3656" s="24"/>
    </row>
    <row r="3657" spans="2:2" x14ac:dyDescent="0.2">
      <c r="B3657" s="24"/>
    </row>
    <row r="3658" spans="2:2" x14ac:dyDescent="0.2">
      <c r="B3658" s="24"/>
    </row>
    <row r="3659" spans="2:2" x14ac:dyDescent="0.2">
      <c r="B3659" s="24"/>
    </row>
    <row r="3660" spans="2:2" x14ac:dyDescent="0.2">
      <c r="B3660" s="24"/>
    </row>
    <row r="3661" spans="2:2" x14ac:dyDescent="0.2">
      <c r="B3661" s="24"/>
    </row>
    <row r="3662" spans="2:2" x14ac:dyDescent="0.2">
      <c r="B3662" s="24"/>
    </row>
    <row r="3663" spans="2:2" x14ac:dyDescent="0.2">
      <c r="B3663" s="24"/>
    </row>
    <row r="3664" spans="2:2" x14ac:dyDescent="0.2">
      <c r="B3664" s="24"/>
    </row>
    <row r="3665" spans="2:2" x14ac:dyDescent="0.2">
      <c r="B3665" s="24"/>
    </row>
    <row r="3666" spans="2:2" x14ac:dyDescent="0.2">
      <c r="B3666" s="24"/>
    </row>
    <row r="3667" spans="2:2" x14ac:dyDescent="0.2">
      <c r="B3667" s="24"/>
    </row>
    <row r="3668" spans="2:2" x14ac:dyDescent="0.2">
      <c r="B3668" s="24"/>
    </row>
    <row r="3669" spans="2:2" x14ac:dyDescent="0.2">
      <c r="B3669" s="24"/>
    </row>
    <row r="3670" spans="2:2" x14ac:dyDescent="0.2">
      <c r="B3670" s="24"/>
    </row>
    <row r="3671" spans="2:2" x14ac:dyDescent="0.2">
      <c r="B3671" s="24"/>
    </row>
    <row r="3672" spans="2:2" x14ac:dyDescent="0.2">
      <c r="B3672" s="24"/>
    </row>
    <row r="3673" spans="2:2" x14ac:dyDescent="0.2">
      <c r="B3673" s="24"/>
    </row>
    <row r="3674" spans="2:2" x14ac:dyDescent="0.2">
      <c r="B3674" s="24"/>
    </row>
    <row r="3675" spans="2:2" x14ac:dyDescent="0.2">
      <c r="B3675" s="24"/>
    </row>
    <row r="3676" spans="2:2" x14ac:dyDescent="0.2">
      <c r="B3676" s="24"/>
    </row>
    <row r="3677" spans="2:2" x14ac:dyDescent="0.2">
      <c r="B3677" s="24"/>
    </row>
    <row r="3678" spans="2:2" x14ac:dyDescent="0.2">
      <c r="B3678" s="24"/>
    </row>
    <row r="3679" spans="2:2" x14ac:dyDescent="0.2">
      <c r="B3679" s="24"/>
    </row>
    <row r="3680" spans="2:2" x14ac:dyDescent="0.2">
      <c r="B3680" s="24"/>
    </row>
    <row r="3681" spans="2:39" x14ac:dyDescent="0.2">
      <c r="B3681" s="24"/>
    </row>
    <row r="3682" spans="2:39" x14ac:dyDescent="0.2">
      <c r="B3682" s="24"/>
    </row>
    <row r="3683" spans="2:39" x14ac:dyDescent="0.2">
      <c r="B3683" s="24"/>
    </row>
    <row r="3684" spans="2:39" x14ac:dyDescent="0.2">
      <c r="B3684" s="24"/>
    </row>
    <row r="3685" spans="2:39" x14ac:dyDescent="0.2">
      <c r="B3685" s="24"/>
    </row>
    <row r="3686" spans="2:39" x14ac:dyDescent="0.2">
      <c r="B3686" s="24"/>
    </row>
    <row r="3687" spans="2:39" x14ac:dyDescent="0.2">
      <c r="B3687" s="24"/>
    </row>
    <row r="3688" spans="2:39" x14ac:dyDescent="0.2">
      <c r="B3688" s="24"/>
    </row>
    <row r="3689" spans="2:39" x14ac:dyDescent="0.2">
      <c r="B3689" s="24"/>
    </row>
    <row r="3690" spans="2:39" x14ac:dyDescent="0.2">
      <c r="B3690" s="24"/>
      <c r="AM3690" s="39">
        <v>0</v>
      </c>
    </row>
    <row r="3691" spans="2:39" x14ac:dyDescent="0.2">
      <c r="B3691" s="24"/>
    </row>
    <row r="3692" spans="2:39" x14ac:dyDescent="0.2">
      <c r="B3692" s="24"/>
    </row>
    <row r="3693" spans="2:39" x14ac:dyDescent="0.2">
      <c r="B3693" s="24"/>
    </row>
    <row r="3694" spans="2:39" x14ac:dyDescent="0.2">
      <c r="B3694" s="24"/>
    </row>
    <row r="3695" spans="2:39" x14ac:dyDescent="0.2">
      <c r="B3695" s="24"/>
    </row>
    <row r="3696" spans="2:39" x14ac:dyDescent="0.2">
      <c r="B3696" s="24"/>
    </row>
    <row r="3697" spans="2:2" x14ac:dyDescent="0.2">
      <c r="B3697" s="24"/>
    </row>
    <row r="3698" spans="2:2" x14ac:dyDescent="0.2">
      <c r="B3698" s="24"/>
    </row>
    <row r="3699" spans="2:2" x14ac:dyDescent="0.2">
      <c r="B3699" s="24"/>
    </row>
    <row r="3700" spans="2:2" x14ac:dyDescent="0.2">
      <c r="B3700" s="24"/>
    </row>
    <row r="3701" spans="2:2" x14ac:dyDescent="0.2">
      <c r="B3701" s="24"/>
    </row>
    <row r="3702" spans="2:2" x14ac:dyDescent="0.2">
      <c r="B3702" s="24"/>
    </row>
    <row r="3703" spans="2:2" x14ac:dyDescent="0.2">
      <c r="B3703" s="24"/>
    </row>
    <row r="3704" spans="2:2" x14ac:dyDescent="0.2">
      <c r="B3704" s="24"/>
    </row>
    <row r="3705" spans="2:2" x14ac:dyDescent="0.2">
      <c r="B3705" s="24"/>
    </row>
    <row r="3706" spans="2:2" x14ac:dyDescent="0.2">
      <c r="B3706" s="24"/>
    </row>
    <row r="3707" spans="2:2" x14ac:dyDescent="0.2">
      <c r="B3707" s="24"/>
    </row>
    <row r="3708" spans="2:2" x14ac:dyDescent="0.2">
      <c r="B3708" s="24"/>
    </row>
    <row r="3709" spans="2:2" x14ac:dyDescent="0.2">
      <c r="B3709" s="24"/>
    </row>
    <row r="3710" spans="2:2" x14ac:dyDescent="0.2">
      <c r="B3710" s="24"/>
    </row>
    <row r="3711" spans="2:2" x14ac:dyDescent="0.2">
      <c r="B3711" s="24"/>
    </row>
    <row r="3712" spans="2:2" x14ac:dyDescent="0.2">
      <c r="B3712" s="24"/>
    </row>
    <row r="3713" spans="2:2" x14ac:dyDescent="0.2">
      <c r="B3713" s="24"/>
    </row>
    <row r="3714" spans="2:2" x14ac:dyDescent="0.2">
      <c r="B3714" s="24"/>
    </row>
    <row r="3715" spans="2:2" x14ac:dyDescent="0.2">
      <c r="B3715" s="24"/>
    </row>
    <row r="3716" spans="2:2" x14ac:dyDescent="0.2">
      <c r="B3716" s="24"/>
    </row>
    <row r="3717" spans="2:2" x14ac:dyDescent="0.2">
      <c r="B3717" s="24"/>
    </row>
    <row r="3718" spans="2:2" x14ac:dyDescent="0.2">
      <c r="B3718" s="24"/>
    </row>
    <row r="3719" spans="2:2" x14ac:dyDescent="0.2">
      <c r="B3719" s="24"/>
    </row>
    <row r="3720" spans="2:2" x14ac:dyDescent="0.2">
      <c r="B3720" s="24"/>
    </row>
    <row r="3721" spans="2:2" x14ac:dyDescent="0.2">
      <c r="B3721" s="24"/>
    </row>
    <row r="3722" spans="2:2" x14ac:dyDescent="0.2">
      <c r="B3722" s="24"/>
    </row>
    <row r="3723" spans="2:2" x14ac:dyDescent="0.2">
      <c r="B3723" s="24"/>
    </row>
    <row r="3724" spans="2:2" x14ac:dyDescent="0.2">
      <c r="B3724" s="24"/>
    </row>
    <row r="3725" spans="2:2" x14ac:dyDescent="0.2">
      <c r="B3725" s="24"/>
    </row>
    <row r="3726" spans="2:2" x14ac:dyDescent="0.2">
      <c r="B3726" s="24"/>
    </row>
    <row r="3727" spans="2:2" x14ac:dyDescent="0.2">
      <c r="B3727" s="24"/>
    </row>
    <row r="3728" spans="2:2" x14ac:dyDescent="0.2">
      <c r="B3728" s="24"/>
    </row>
    <row r="3729" spans="2:2" x14ac:dyDescent="0.2">
      <c r="B3729" s="24"/>
    </row>
    <row r="3730" spans="2:2" x14ac:dyDescent="0.2">
      <c r="B3730" s="24"/>
    </row>
    <row r="3731" spans="2:2" x14ac:dyDescent="0.2">
      <c r="B3731" s="24"/>
    </row>
    <row r="3732" spans="2:2" x14ac:dyDescent="0.2">
      <c r="B3732" s="24"/>
    </row>
    <row r="3733" spans="2:2" x14ac:dyDescent="0.2">
      <c r="B3733" s="24"/>
    </row>
    <row r="3734" spans="2:2" x14ac:dyDescent="0.2">
      <c r="B3734" s="24"/>
    </row>
    <row r="3735" spans="2:2" x14ac:dyDescent="0.2">
      <c r="B3735" s="24"/>
    </row>
    <row r="3736" spans="2:2" x14ac:dyDescent="0.2">
      <c r="B3736" s="24"/>
    </row>
    <row r="3737" spans="2:2" x14ac:dyDescent="0.2">
      <c r="B3737" s="24"/>
    </row>
    <row r="3738" spans="2:2" x14ac:dyDescent="0.2">
      <c r="B3738" s="24"/>
    </row>
    <row r="3739" spans="2:2" x14ac:dyDescent="0.2">
      <c r="B3739" s="24"/>
    </row>
    <row r="3740" spans="2:2" x14ac:dyDescent="0.2">
      <c r="B3740" s="24"/>
    </row>
    <row r="3741" spans="2:2" x14ac:dyDescent="0.2">
      <c r="B3741" s="24"/>
    </row>
    <row r="3742" spans="2:2" x14ac:dyDescent="0.2">
      <c r="B3742" s="24"/>
    </row>
    <row r="3743" spans="2:2" x14ac:dyDescent="0.2">
      <c r="B3743" s="24"/>
    </row>
    <row r="3744" spans="2:2" x14ac:dyDescent="0.2">
      <c r="B3744" s="24"/>
    </row>
    <row r="3745" spans="2:2" x14ac:dyDescent="0.2">
      <c r="B3745" s="24"/>
    </row>
    <row r="3746" spans="2:2" x14ac:dyDescent="0.2">
      <c r="B3746" s="24"/>
    </row>
    <row r="3747" spans="2:2" x14ac:dyDescent="0.2">
      <c r="B3747" s="24"/>
    </row>
    <row r="3748" spans="2:2" x14ac:dyDescent="0.2">
      <c r="B3748" s="24"/>
    </row>
    <row r="3749" spans="2:2" x14ac:dyDescent="0.2">
      <c r="B3749" s="24"/>
    </row>
    <row r="3750" spans="2:2" x14ac:dyDescent="0.2">
      <c r="B3750" s="24"/>
    </row>
    <row r="3751" spans="2:2" x14ac:dyDescent="0.2">
      <c r="B3751" s="24"/>
    </row>
    <row r="3752" spans="2:2" x14ac:dyDescent="0.2">
      <c r="B3752" s="24"/>
    </row>
    <row r="3753" spans="2:2" x14ac:dyDescent="0.2">
      <c r="B3753" s="24"/>
    </row>
    <row r="3754" spans="2:2" x14ac:dyDescent="0.2">
      <c r="B3754" s="24"/>
    </row>
    <row r="3755" spans="2:2" x14ac:dyDescent="0.2">
      <c r="B3755" s="24"/>
    </row>
    <row r="3756" spans="2:2" x14ac:dyDescent="0.2">
      <c r="B3756" s="24"/>
    </row>
    <row r="3757" spans="2:2" x14ac:dyDescent="0.2">
      <c r="B3757" s="24"/>
    </row>
    <row r="3758" spans="2:2" x14ac:dyDescent="0.2">
      <c r="B3758" s="24"/>
    </row>
    <row r="3759" spans="2:2" x14ac:dyDescent="0.2">
      <c r="B3759" s="24"/>
    </row>
    <row r="3760" spans="2:2" x14ac:dyDescent="0.2">
      <c r="B3760" s="24"/>
    </row>
    <row r="3761" spans="2:2" x14ac:dyDescent="0.2">
      <c r="B3761" s="24"/>
    </row>
    <row r="3762" spans="2:2" x14ac:dyDescent="0.2">
      <c r="B3762" s="24"/>
    </row>
    <row r="3763" spans="2:2" x14ac:dyDescent="0.2">
      <c r="B3763" s="24"/>
    </row>
    <row r="3764" spans="2:2" x14ac:dyDescent="0.2">
      <c r="B3764" s="24"/>
    </row>
    <row r="3765" spans="2:2" x14ac:dyDescent="0.2">
      <c r="B3765" s="24"/>
    </row>
    <row r="3766" spans="2:2" x14ac:dyDescent="0.2">
      <c r="B3766" s="24"/>
    </row>
    <row r="3767" spans="2:2" x14ac:dyDescent="0.2">
      <c r="B3767" s="24"/>
    </row>
    <row r="3768" spans="2:2" x14ac:dyDescent="0.2">
      <c r="B3768" s="24"/>
    </row>
    <row r="3769" spans="2:2" x14ac:dyDescent="0.2">
      <c r="B3769" s="24"/>
    </row>
    <row r="3770" spans="2:2" x14ac:dyDescent="0.2">
      <c r="B3770" s="24"/>
    </row>
    <row r="3771" spans="2:2" x14ac:dyDescent="0.2">
      <c r="B3771" s="24"/>
    </row>
    <row r="3772" spans="2:2" x14ac:dyDescent="0.2">
      <c r="B3772" s="24"/>
    </row>
    <row r="3773" spans="2:2" x14ac:dyDescent="0.2">
      <c r="B3773" s="24"/>
    </row>
    <row r="3774" spans="2:2" x14ac:dyDescent="0.2">
      <c r="B3774" s="24"/>
    </row>
    <row r="3775" spans="2:2" x14ac:dyDescent="0.2">
      <c r="B3775" s="24"/>
    </row>
    <row r="3776" spans="2:2" x14ac:dyDescent="0.2">
      <c r="B3776" s="24"/>
    </row>
    <row r="3777" spans="2:25" x14ac:dyDescent="0.2">
      <c r="B3777" s="24"/>
    </row>
    <row r="3778" spans="2:25" x14ac:dyDescent="0.2">
      <c r="B3778" s="24"/>
    </row>
    <row r="3779" spans="2:25" x14ac:dyDescent="0.2">
      <c r="B3779" s="24"/>
    </row>
    <row r="3780" spans="2:25" x14ac:dyDescent="0.2">
      <c r="B3780" s="24"/>
    </row>
    <row r="3781" spans="2:25" x14ac:dyDescent="0.2">
      <c r="B3781" s="24"/>
    </row>
    <row r="3782" spans="2:25" x14ac:dyDescent="0.2">
      <c r="B3782" s="24"/>
    </row>
    <row r="3783" spans="2:25" x14ac:dyDescent="0.2">
      <c r="B3783" s="24"/>
    </row>
    <row r="3784" spans="2:25" x14ac:dyDescent="0.2">
      <c r="B3784" s="24"/>
    </row>
    <row r="3785" spans="2:25" x14ac:dyDescent="0.2">
      <c r="B3785" s="24"/>
      <c r="Y3785" s="26" t="s">
        <v>3519</v>
      </c>
    </row>
    <row r="3786" spans="2:25" x14ac:dyDescent="0.2">
      <c r="B3786" s="24"/>
      <c r="Y3786" s="26" t="s">
        <v>3519</v>
      </c>
    </row>
    <row r="3787" spans="2:25" x14ac:dyDescent="0.2">
      <c r="B3787" s="24"/>
    </row>
    <row r="3788" spans="2:25" x14ac:dyDescent="0.2">
      <c r="B3788" s="24"/>
    </row>
    <row r="3789" spans="2:25" x14ac:dyDescent="0.2">
      <c r="B3789" s="24"/>
    </row>
    <row r="3790" spans="2:25" x14ac:dyDescent="0.2">
      <c r="B3790" s="24"/>
    </row>
    <row r="3791" spans="2:25" x14ac:dyDescent="0.2">
      <c r="B3791" s="24"/>
    </row>
    <row r="3792" spans="2:25" x14ac:dyDescent="0.2">
      <c r="B3792" s="24"/>
    </row>
    <row r="3793" spans="2:23" x14ac:dyDescent="0.2">
      <c r="B3793" s="24"/>
    </row>
    <row r="3794" spans="2:23" x14ac:dyDescent="0.2">
      <c r="B3794" s="24"/>
    </row>
    <row r="3795" spans="2:23" x14ac:dyDescent="0.2">
      <c r="B3795" s="24"/>
    </row>
    <row r="3796" spans="2:23" x14ac:dyDescent="0.2">
      <c r="B3796" s="24"/>
    </row>
    <row r="3797" spans="2:23" x14ac:dyDescent="0.2">
      <c r="B3797" s="24"/>
    </row>
    <row r="3798" spans="2:23" x14ac:dyDescent="0.2">
      <c r="B3798" s="24"/>
    </row>
    <row r="3799" spans="2:23" x14ac:dyDescent="0.2">
      <c r="B3799" s="24"/>
    </row>
    <row r="3800" spans="2:23" x14ac:dyDescent="0.2">
      <c r="B3800" s="24"/>
    </row>
    <row r="3801" spans="2:23" x14ac:dyDescent="0.2">
      <c r="B3801" s="24"/>
    </row>
    <row r="3802" spans="2:23" x14ac:dyDescent="0.2">
      <c r="B3802" s="24"/>
    </row>
    <row r="3803" spans="2:23" x14ac:dyDescent="0.2">
      <c r="B3803" s="24"/>
    </row>
    <row r="3804" spans="2:23" x14ac:dyDescent="0.2">
      <c r="B3804" s="24"/>
    </row>
    <row r="3805" spans="2:23" x14ac:dyDescent="0.2">
      <c r="B3805" s="24"/>
    </row>
    <row r="3806" spans="2:23" x14ac:dyDescent="0.2">
      <c r="B3806" s="24"/>
    </row>
    <row r="3807" spans="2:23" x14ac:dyDescent="0.2">
      <c r="B3807" s="24"/>
      <c r="W3807" s="35" t="s">
        <v>3519</v>
      </c>
    </row>
    <row r="3808" spans="2:23" x14ac:dyDescent="0.2">
      <c r="B3808" s="24"/>
    </row>
    <row r="3809" spans="2:2" x14ac:dyDescent="0.2">
      <c r="B3809" s="24"/>
    </row>
    <row r="3810" spans="2:2" x14ac:dyDescent="0.2">
      <c r="B3810" s="24"/>
    </row>
    <row r="3811" spans="2:2" x14ac:dyDescent="0.2">
      <c r="B3811" s="24"/>
    </row>
    <row r="3812" spans="2:2" x14ac:dyDescent="0.2">
      <c r="B3812" s="24"/>
    </row>
    <row r="3813" spans="2:2" x14ac:dyDescent="0.2">
      <c r="B3813" s="24"/>
    </row>
    <row r="3814" spans="2:2" x14ac:dyDescent="0.2">
      <c r="B3814" s="24"/>
    </row>
    <row r="3815" spans="2:2" x14ac:dyDescent="0.2">
      <c r="B3815" s="24"/>
    </row>
    <row r="3816" spans="2:2" x14ac:dyDescent="0.2">
      <c r="B3816" s="24"/>
    </row>
    <row r="3817" spans="2:2" x14ac:dyDescent="0.2">
      <c r="B3817" s="24"/>
    </row>
    <row r="3818" spans="2:2" x14ac:dyDescent="0.2">
      <c r="B3818" s="24"/>
    </row>
    <row r="3819" spans="2:2" x14ac:dyDescent="0.2">
      <c r="B3819" s="24"/>
    </row>
    <row r="3820" spans="2:2" x14ac:dyDescent="0.2">
      <c r="B3820" s="24"/>
    </row>
    <row r="3821" spans="2:2" x14ac:dyDescent="0.2">
      <c r="B3821" s="24"/>
    </row>
    <row r="3822" spans="2:2" x14ac:dyDescent="0.2">
      <c r="B3822" s="24"/>
    </row>
    <row r="3823" spans="2:2" x14ac:dyDescent="0.2">
      <c r="B3823" s="24"/>
    </row>
    <row r="3824" spans="2:2" x14ac:dyDescent="0.2">
      <c r="B3824" s="24"/>
    </row>
    <row r="3825" spans="2:2" x14ac:dyDescent="0.2">
      <c r="B3825" s="24"/>
    </row>
    <row r="3826" spans="2:2" x14ac:dyDescent="0.2">
      <c r="B3826" s="24"/>
    </row>
    <row r="3827" spans="2:2" x14ac:dyDescent="0.2">
      <c r="B3827" s="24"/>
    </row>
    <row r="3828" spans="2:2" x14ac:dyDescent="0.2">
      <c r="B3828" s="24"/>
    </row>
    <row r="3829" spans="2:2" x14ac:dyDescent="0.2">
      <c r="B3829" s="24"/>
    </row>
    <row r="3830" spans="2:2" x14ac:dyDescent="0.2">
      <c r="B3830" s="24"/>
    </row>
    <row r="3831" spans="2:2" x14ac:dyDescent="0.2">
      <c r="B3831" s="24"/>
    </row>
    <row r="3832" spans="2:2" x14ac:dyDescent="0.2">
      <c r="B3832" s="24"/>
    </row>
    <row r="3833" spans="2:2" x14ac:dyDescent="0.2">
      <c r="B3833" s="24"/>
    </row>
    <row r="3834" spans="2:2" x14ac:dyDescent="0.2">
      <c r="B3834" s="24"/>
    </row>
    <row r="3835" spans="2:2" x14ac:dyDescent="0.2">
      <c r="B3835" s="24"/>
    </row>
    <row r="3836" spans="2:2" x14ac:dyDescent="0.2">
      <c r="B3836" s="24"/>
    </row>
    <row r="3837" spans="2:2" x14ac:dyDescent="0.2">
      <c r="B3837" s="24"/>
    </row>
    <row r="3838" spans="2:2" x14ac:dyDescent="0.2">
      <c r="B3838" s="24"/>
    </row>
    <row r="3839" spans="2:2" x14ac:dyDescent="0.2">
      <c r="B3839" s="24"/>
    </row>
    <row r="3840" spans="2:2" x14ac:dyDescent="0.2">
      <c r="B3840" s="24"/>
    </row>
    <row r="3841" spans="2:2" x14ac:dyDescent="0.2">
      <c r="B3841" s="24"/>
    </row>
    <row r="3842" spans="2:2" x14ac:dyDescent="0.2">
      <c r="B3842" s="24"/>
    </row>
    <row r="3843" spans="2:2" x14ac:dyDescent="0.2">
      <c r="B3843" s="24"/>
    </row>
    <row r="3844" spans="2:2" x14ac:dyDescent="0.2">
      <c r="B3844" s="24"/>
    </row>
    <row r="3845" spans="2:2" x14ac:dyDescent="0.2">
      <c r="B3845" s="24"/>
    </row>
    <row r="3846" spans="2:2" x14ac:dyDescent="0.2">
      <c r="B3846" s="24"/>
    </row>
    <row r="3847" spans="2:2" x14ac:dyDescent="0.2">
      <c r="B3847" s="24"/>
    </row>
    <row r="3848" spans="2:2" x14ac:dyDescent="0.2">
      <c r="B3848" s="24"/>
    </row>
    <row r="3849" spans="2:2" x14ac:dyDescent="0.2">
      <c r="B3849" s="24"/>
    </row>
    <row r="3850" spans="2:2" x14ac:dyDescent="0.2">
      <c r="B3850" s="24"/>
    </row>
    <row r="3851" spans="2:2" x14ac:dyDescent="0.2">
      <c r="B3851" s="24"/>
    </row>
    <row r="3852" spans="2:2" x14ac:dyDescent="0.2">
      <c r="B3852" s="24"/>
    </row>
    <row r="3853" spans="2:2" x14ac:dyDescent="0.2">
      <c r="B3853" s="24"/>
    </row>
    <row r="3854" spans="2:2" x14ac:dyDescent="0.2">
      <c r="B3854" s="24"/>
    </row>
    <row r="3855" spans="2:2" x14ac:dyDescent="0.2">
      <c r="B3855" s="24"/>
    </row>
    <row r="3856" spans="2:2" x14ac:dyDescent="0.2">
      <c r="B3856" s="24"/>
    </row>
    <row r="3857" spans="2:2" x14ac:dyDescent="0.2">
      <c r="B3857" s="24"/>
    </row>
    <row r="3858" spans="2:2" x14ac:dyDescent="0.2">
      <c r="B3858" s="24"/>
    </row>
    <row r="3859" spans="2:2" x14ac:dyDescent="0.2">
      <c r="B3859" s="24"/>
    </row>
    <row r="3860" spans="2:2" x14ac:dyDescent="0.2">
      <c r="B3860" s="24"/>
    </row>
    <row r="3861" spans="2:2" x14ac:dyDescent="0.2">
      <c r="B3861" s="24"/>
    </row>
    <row r="3862" spans="2:2" x14ac:dyDescent="0.2">
      <c r="B3862" s="24"/>
    </row>
    <row r="3863" spans="2:2" x14ac:dyDescent="0.2">
      <c r="B3863" s="24"/>
    </row>
    <row r="3864" spans="2:2" x14ac:dyDescent="0.2">
      <c r="B3864" s="24"/>
    </row>
    <row r="3865" spans="2:2" x14ac:dyDescent="0.2">
      <c r="B3865" s="24"/>
    </row>
    <row r="3866" spans="2:2" x14ac:dyDescent="0.2">
      <c r="B3866" s="24"/>
    </row>
    <row r="3867" spans="2:2" x14ac:dyDescent="0.2">
      <c r="B3867" s="24"/>
    </row>
    <row r="3868" spans="2:2" x14ac:dyDescent="0.2">
      <c r="B3868" s="24"/>
    </row>
    <row r="3869" spans="2:2" x14ac:dyDescent="0.2">
      <c r="B3869" s="24"/>
    </row>
    <row r="3870" spans="2:2" x14ac:dyDescent="0.2">
      <c r="B3870" s="24"/>
    </row>
    <row r="3871" spans="2:2" x14ac:dyDescent="0.2">
      <c r="B3871" s="24"/>
    </row>
    <row r="3872" spans="2:2" x14ac:dyDescent="0.2">
      <c r="B3872" s="24"/>
    </row>
    <row r="3873" spans="2:2" x14ac:dyDescent="0.2">
      <c r="B3873" s="24"/>
    </row>
    <row r="3874" spans="2:2" x14ac:dyDescent="0.2">
      <c r="B3874" s="24"/>
    </row>
    <row r="3875" spans="2:2" x14ac:dyDescent="0.2">
      <c r="B3875" s="24"/>
    </row>
    <row r="3876" spans="2:2" x14ac:dyDescent="0.2">
      <c r="B3876" s="24"/>
    </row>
    <row r="3877" spans="2:2" x14ac:dyDescent="0.2">
      <c r="B3877" s="24"/>
    </row>
    <row r="3878" spans="2:2" x14ac:dyDescent="0.2">
      <c r="B3878" s="24"/>
    </row>
    <row r="3879" spans="2:2" x14ac:dyDescent="0.2">
      <c r="B3879" s="24"/>
    </row>
    <row r="3880" spans="2:2" x14ac:dyDescent="0.2">
      <c r="B3880" s="24"/>
    </row>
    <row r="3881" spans="2:2" x14ac:dyDescent="0.2">
      <c r="B3881" s="24"/>
    </row>
    <row r="3882" spans="2:2" x14ac:dyDescent="0.2">
      <c r="B3882" s="24"/>
    </row>
    <row r="3883" spans="2:2" x14ac:dyDescent="0.2">
      <c r="B3883" s="24"/>
    </row>
    <row r="3884" spans="2:2" x14ac:dyDescent="0.2">
      <c r="B3884" s="24"/>
    </row>
    <row r="3885" spans="2:2" x14ac:dyDescent="0.2">
      <c r="B3885" s="24"/>
    </row>
    <row r="3886" spans="2:2" x14ac:dyDescent="0.2">
      <c r="B3886" s="24"/>
    </row>
    <row r="3887" spans="2:2" x14ac:dyDescent="0.2">
      <c r="B3887" s="24"/>
    </row>
    <row r="3888" spans="2:2" x14ac:dyDescent="0.2">
      <c r="B3888" s="24"/>
    </row>
    <row r="3889" spans="2:2" x14ac:dyDescent="0.2">
      <c r="B3889" s="24"/>
    </row>
    <row r="3890" spans="2:2" x14ac:dyDescent="0.2">
      <c r="B3890" s="24"/>
    </row>
    <row r="3891" spans="2:2" x14ac:dyDescent="0.2">
      <c r="B3891" s="24"/>
    </row>
    <row r="3892" spans="2:2" x14ac:dyDescent="0.2">
      <c r="B3892" s="24"/>
    </row>
    <row r="3893" spans="2:2" x14ac:dyDescent="0.2">
      <c r="B3893" s="24"/>
    </row>
    <row r="3894" spans="2:2" x14ac:dyDescent="0.2">
      <c r="B3894" s="24"/>
    </row>
    <row r="3895" spans="2:2" x14ac:dyDescent="0.2">
      <c r="B3895" s="24"/>
    </row>
    <row r="3896" spans="2:2" x14ac:dyDescent="0.2">
      <c r="B3896" s="24"/>
    </row>
    <row r="3897" spans="2:2" x14ac:dyDescent="0.2">
      <c r="B3897" s="24"/>
    </row>
    <row r="3898" spans="2:2" x14ac:dyDescent="0.2">
      <c r="B3898" s="24"/>
    </row>
    <row r="3899" spans="2:2" x14ac:dyDescent="0.2">
      <c r="B3899" s="24"/>
    </row>
    <row r="3900" spans="2:2" x14ac:dyDescent="0.2">
      <c r="B3900" s="24"/>
    </row>
    <row r="3901" spans="2:2" x14ac:dyDescent="0.2">
      <c r="B3901" s="24"/>
    </row>
    <row r="3902" spans="2:2" x14ac:dyDescent="0.2">
      <c r="B3902" s="24"/>
    </row>
    <row r="3903" spans="2:2" x14ac:dyDescent="0.2">
      <c r="B3903" s="24"/>
    </row>
    <row r="3904" spans="2:2" x14ac:dyDescent="0.2">
      <c r="B3904" s="24"/>
    </row>
    <row r="3905" spans="2:2" x14ac:dyDescent="0.2">
      <c r="B3905" s="24"/>
    </row>
    <row r="3906" spans="2:2" x14ac:dyDescent="0.2">
      <c r="B3906" s="24"/>
    </row>
    <row r="3907" spans="2:2" x14ac:dyDescent="0.2">
      <c r="B3907" s="24"/>
    </row>
    <row r="3908" spans="2:2" x14ac:dyDescent="0.2">
      <c r="B3908" s="24"/>
    </row>
    <row r="3909" spans="2:2" x14ac:dyDescent="0.2">
      <c r="B3909" s="24"/>
    </row>
    <row r="3910" spans="2:2" x14ac:dyDescent="0.2">
      <c r="B3910" s="24"/>
    </row>
    <row r="3911" spans="2:2" x14ac:dyDescent="0.2">
      <c r="B3911" s="24"/>
    </row>
    <row r="3912" spans="2:2" x14ac:dyDescent="0.2">
      <c r="B3912" s="24"/>
    </row>
    <row r="3913" spans="2:2" x14ac:dyDescent="0.2">
      <c r="B3913" s="24"/>
    </row>
    <row r="3914" spans="2:2" x14ac:dyDescent="0.2">
      <c r="B3914" s="24"/>
    </row>
    <row r="3915" spans="2:2" x14ac:dyDescent="0.2">
      <c r="B3915" s="24"/>
    </row>
    <row r="3916" spans="2:2" x14ac:dyDescent="0.2">
      <c r="B3916" s="24"/>
    </row>
    <row r="3917" spans="2:2" x14ac:dyDescent="0.2">
      <c r="B3917" s="24"/>
    </row>
    <row r="3918" spans="2:2" x14ac:dyDescent="0.2">
      <c r="B3918" s="24"/>
    </row>
    <row r="3919" spans="2:2" x14ac:dyDescent="0.2">
      <c r="B3919" s="24"/>
    </row>
    <row r="3920" spans="2:2" x14ac:dyDescent="0.2">
      <c r="B3920" s="24"/>
    </row>
    <row r="3921" spans="2:2" x14ac:dyDescent="0.2">
      <c r="B3921" s="24"/>
    </row>
    <row r="3922" spans="2:2" x14ac:dyDescent="0.2">
      <c r="B3922" s="24"/>
    </row>
    <row r="3923" spans="2:2" x14ac:dyDescent="0.2">
      <c r="B3923" s="24"/>
    </row>
    <row r="3924" spans="2:2" x14ac:dyDescent="0.2">
      <c r="B3924" s="24"/>
    </row>
    <row r="3925" spans="2:2" x14ac:dyDescent="0.2">
      <c r="B3925" s="24"/>
    </row>
    <row r="3926" spans="2:2" x14ac:dyDescent="0.2">
      <c r="B3926" s="24"/>
    </row>
    <row r="3927" spans="2:2" x14ac:dyDescent="0.2">
      <c r="B3927" s="24"/>
    </row>
    <row r="3928" spans="2:2" x14ac:dyDescent="0.2">
      <c r="B3928" s="24"/>
    </row>
    <row r="3929" spans="2:2" x14ac:dyDescent="0.2">
      <c r="B3929" s="24"/>
    </row>
    <row r="3930" spans="2:2" x14ac:dyDescent="0.2">
      <c r="B3930" s="24"/>
    </row>
    <row r="3931" spans="2:2" x14ac:dyDescent="0.2">
      <c r="B3931" s="24"/>
    </row>
    <row r="3932" spans="2:2" x14ac:dyDescent="0.2">
      <c r="B3932" s="24"/>
    </row>
    <row r="3933" spans="2:2" x14ac:dyDescent="0.2">
      <c r="B3933" s="24"/>
    </row>
    <row r="3934" spans="2:2" x14ac:dyDescent="0.2">
      <c r="B3934" s="24"/>
    </row>
    <row r="3935" spans="2:2" x14ac:dyDescent="0.2">
      <c r="B3935" s="24"/>
    </row>
    <row r="3936" spans="2:2" x14ac:dyDescent="0.2">
      <c r="B3936" s="24"/>
    </row>
    <row r="3937" spans="2:2" x14ac:dyDescent="0.2">
      <c r="B3937" s="24"/>
    </row>
    <row r="3938" spans="2:2" x14ac:dyDescent="0.2">
      <c r="B3938" s="24"/>
    </row>
    <row r="3939" spans="2:2" x14ac:dyDescent="0.2">
      <c r="B3939" s="24"/>
    </row>
    <row r="3940" spans="2:2" x14ac:dyDescent="0.2">
      <c r="B3940" s="24"/>
    </row>
    <row r="3941" spans="2:2" x14ac:dyDescent="0.2">
      <c r="B3941" s="24"/>
    </row>
    <row r="3942" spans="2:2" x14ac:dyDescent="0.2">
      <c r="B3942" s="24"/>
    </row>
    <row r="3943" spans="2:2" x14ac:dyDescent="0.2">
      <c r="B3943" s="24"/>
    </row>
    <row r="3944" spans="2:2" x14ac:dyDescent="0.2">
      <c r="B3944" s="24"/>
    </row>
    <row r="3945" spans="2:2" x14ac:dyDescent="0.2">
      <c r="B3945" s="24"/>
    </row>
    <row r="3946" spans="2:2" x14ac:dyDescent="0.2">
      <c r="B3946" s="24"/>
    </row>
    <row r="3947" spans="2:2" x14ac:dyDescent="0.2">
      <c r="B3947" s="24"/>
    </row>
    <row r="3948" spans="2:2" x14ac:dyDescent="0.2">
      <c r="B3948" s="24"/>
    </row>
    <row r="3949" spans="2:2" x14ac:dyDescent="0.2">
      <c r="B3949" s="24"/>
    </row>
    <row r="3950" spans="2:2" x14ac:dyDescent="0.2">
      <c r="B3950" s="24"/>
    </row>
    <row r="3951" spans="2:2" x14ac:dyDescent="0.2">
      <c r="B3951" s="24"/>
    </row>
    <row r="3952" spans="2:2" x14ac:dyDescent="0.2">
      <c r="B3952" s="24"/>
    </row>
    <row r="3953" spans="2:2" x14ac:dyDescent="0.2">
      <c r="B3953" s="24"/>
    </row>
    <row r="3954" spans="2:2" x14ac:dyDescent="0.2">
      <c r="B3954" s="24"/>
    </row>
    <row r="3955" spans="2:2" x14ac:dyDescent="0.2">
      <c r="B3955" s="24"/>
    </row>
    <row r="3956" spans="2:2" x14ac:dyDescent="0.2">
      <c r="B3956" s="24"/>
    </row>
    <row r="3957" spans="2:2" x14ac:dyDescent="0.2">
      <c r="B3957" s="24"/>
    </row>
    <row r="3958" spans="2:2" x14ac:dyDescent="0.2">
      <c r="B3958" s="24"/>
    </row>
    <row r="3959" spans="2:2" x14ac:dyDescent="0.2">
      <c r="B3959" s="24"/>
    </row>
    <row r="3960" spans="2:2" x14ac:dyDescent="0.2">
      <c r="B3960" s="24"/>
    </row>
    <row r="3961" spans="2:2" x14ac:dyDescent="0.2">
      <c r="B3961" s="24"/>
    </row>
    <row r="3962" spans="2:2" x14ac:dyDescent="0.2">
      <c r="B3962" s="24"/>
    </row>
    <row r="3963" spans="2:2" x14ac:dyDescent="0.2">
      <c r="B3963" s="24"/>
    </row>
    <row r="3964" spans="2:2" x14ac:dyDescent="0.2">
      <c r="B3964" s="24"/>
    </row>
    <row r="3965" spans="2:2" x14ac:dyDescent="0.2">
      <c r="B3965" s="24"/>
    </row>
    <row r="3966" spans="2:2" x14ac:dyDescent="0.2">
      <c r="B3966" s="24"/>
    </row>
    <row r="3967" spans="2:2" x14ac:dyDescent="0.2">
      <c r="B3967" s="24"/>
    </row>
    <row r="3968" spans="2:2" x14ac:dyDescent="0.2">
      <c r="B3968" s="24"/>
    </row>
    <row r="3969" spans="2:2" x14ac:dyDescent="0.2">
      <c r="B3969" s="24"/>
    </row>
    <row r="3970" spans="2:2" x14ac:dyDescent="0.2">
      <c r="B3970" s="24"/>
    </row>
    <row r="3971" spans="2:2" x14ac:dyDescent="0.2">
      <c r="B3971" s="24"/>
    </row>
    <row r="3972" spans="2:2" x14ac:dyDescent="0.2">
      <c r="B3972" s="24"/>
    </row>
    <row r="3973" spans="2:2" x14ac:dyDescent="0.2">
      <c r="B3973" s="24"/>
    </row>
    <row r="3974" spans="2:2" x14ac:dyDescent="0.2">
      <c r="B3974" s="24"/>
    </row>
    <row r="3975" spans="2:2" x14ac:dyDescent="0.2">
      <c r="B3975" s="24"/>
    </row>
    <row r="3976" spans="2:2" x14ac:dyDescent="0.2">
      <c r="B3976" s="24"/>
    </row>
    <row r="3977" spans="2:2" x14ac:dyDescent="0.2">
      <c r="B3977" s="24"/>
    </row>
    <row r="3978" spans="2:2" x14ac:dyDescent="0.2">
      <c r="B3978" s="24"/>
    </row>
    <row r="3979" spans="2:2" x14ac:dyDescent="0.2">
      <c r="B3979" s="24"/>
    </row>
    <row r="3980" spans="2:2" x14ac:dyDescent="0.2">
      <c r="B3980" s="24"/>
    </row>
    <row r="3981" spans="2:2" x14ac:dyDescent="0.2">
      <c r="B3981" s="24"/>
    </row>
    <row r="3982" spans="2:2" x14ac:dyDescent="0.2">
      <c r="B3982" s="24"/>
    </row>
    <row r="3983" spans="2:2" x14ac:dyDescent="0.2">
      <c r="B3983" s="24"/>
    </row>
    <row r="3984" spans="2:2" x14ac:dyDescent="0.2">
      <c r="B3984" s="24"/>
    </row>
    <row r="3985" spans="2:2" x14ac:dyDescent="0.2">
      <c r="B3985" s="24"/>
    </row>
    <row r="3986" spans="2:2" x14ac:dyDescent="0.2">
      <c r="B3986" s="24"/>
    </row>
    <row r="3987" spans="2:2" x14ac:dyDescent="0.2">
      <c r="B3987" s="24"/>
    </row>
    <row r="3988" spans="2:2" x14ac:dyDescent="0.2">
      <c r="B3988" s="24"/>
    </row>
    <row r="3989" spans="2:2" x14ac:dyDescent="0.2">
      <c r="B3989" s="24"/>
    </row>
    <row r="3990" spans="2:2" x14ac:dyDescent="0.2">
      <c r="B3990" s="24"/>
    </row>
    <row r="3991" spans="2:2" x14ac:dyDescent="0.2">
      <c r="B3991" s="24"/>
    </row>
    <row r="3992" spans="2:2" x14ac:dyDescent="0.2">
      <c r="B3992" s="24"/>
    </row>
    <row r="3993" spans="2:2" x14ac:dyDescent="0.2">
      <c r="B3993" s="24"/>
    </row>
    <row r="3994" spans="2:2" x14ac:dyDescent="0.2">
      <c r="B3994" s="24"/>
    </row>
    <row r="3995" spans="2:2" x14ac:dyDescent="0.2">
      <c r="B3995" s="24"/>
    </row>
    <row r="3996" spans="2:2" x14ac:dyDescent="0.2">
      <c r="B3996" s="24"/>
    </row>
    <row r="3997" spans="2:2" x14ac:dyDescent="0.2">
      <c r="B3997" s="24"/>
    </row>
    <row r="3998" spans="2:2" x14ac:dyDescent="0.2">
      <c r="B3998" s="24"/>
    </row>
    <row r="3999" spans="2:2" x14ac:dyDescent="0.2">
      <c r="B3999" s="24"/>
    </row>
    <row r="4000" spans="2:2" x14ac:dyDescent="0.2">
      <c r="B4000" s="24"/>
    </row>
    <row r="4001" spans="2:2" x14ac:dyDescent="0.2">
      <c r="B4001" s="24"/>
    </row>
    <row r="4002" spans="2:2" x14ac:dyDescent="0.2">
      <c r="B4002" s="24"/>
    </row>
    <row r="4003" spans="2:2" x14ac:dyDescent="0.2">
      <c r="B4003" s="24"/>
    </row>
    <row r="4004" spans="2:2" x14ac:dyDescent="0.2">
      <c r="B4004" s="24"/>
    </row>
    <row r="4005" spans="2:2" x14ac:dyDescent="0.2">
      <c r="B4005" s="24"/>
    </row>
    <row r="4006" spans="2:2" x14ac:dyDescent="0.2">
      <c r="B4006" s="24"/>
    </row>
    <row r="4007" spans="2:2" x14ac:dyDescent="0.2">
      <c r="B4007" s="24"/>
    </row>
    <row r="4008" spans="2:2" x14ac:dyDescent="0.2">
      <c r="B4008" s="24"/>
    </row>
    <row r="4009" spans="2:2" x14ac:dyDescent="0.2">
      <c r="B4009" s="24"/>
    </row>
    <row r="4010" spans="2:2" x14ac:dyDescent="0.2">
      <c r="B4010" s="24"/>
    </row>
    <row r="4011" spans="2:2" x14ac:dyDescent="0.2">
      <c r="B4011" s="24"/>
    </row>
    <row r="4012" spans="2:2" x14ac:dyDescent="0.2">
      <c r="B4012" s="24"/>
    </row>
    <row r="4013" spans="2:2" x14ac:dyDescent="0.2">
      <c r="B4013" s="24"/>
    </row>
    <row r="4014" spans="2:2" x14ac:dyDescent="0.2">
      <c r="B4014" s="24"/>
    </row>
    <row r="4015" spans="2:2" x14ac:dyDescent="0.2">
      <c r="B4015" s="24"/>
    </row>
    <row r="4016" spans="2:2" x14ac:dyDescent="0.2">
      <c r="B4016" s="24"/>
    </row>
    <row r="4017" spans="2:2" x14ac:dyDescent="0.2">
      <c r="B4017" s="24"/>
    </row>
    <row r="4018" spans="2:2" x14ac:dyDescent="0.2">
      <c r="B4018" s="24"/>
    </row>
    <row r="4019" spans="2:2" x14ac:dyDescent="0.2">
      <c r="B4019" s="24"/>
    </row>
    <row r="4020" spans="2:2" x14ac:dyDescent="0.2">
      <c r="B4020" s="24"/>
    </row>
    <row r="4021" spans="2:2" x14ac:dyDescent="0.2">
      <c r="B4021" s="24"/>
    </row>
    <row r="4022" spans="2:2" x14ac:dyDescent="0.2">
      <c r="B4022" s="24"/>
    </row>
    <row r="4023" spans="2:2" x14ac:dyDescent="0.2">
      <c r="B4023" s="24"/>
    </row>
    <row r="4024" spans="2:2" x14ac:dyDescent="0.2">
      <c r="B4024" s="24"/>
    </row>
    <row r="4025" spans="2:2" x14ac:dyDescent="0.2">
      <c r="B4025" s="24"/>
    </row>
    <row r="4026" spans="2:2" x14ac:dyDescent="0.2">
      <c r="B4026" s="24"/>
    </row>
    <row r="4027" spans="2:2" x14ac:dyDescent="0.2">
      <c r="B4027" s="24"/>
    </row>
    <row r="4028" spans="2:2" x14ac:dyDescent="0.2">
      <c r="B4028" s="24"/>
    </row>
    <row r="4029" spans="2:2" x14ac:dyDescent="0.2">
      <c r="B4029" s="24"/>
    </row>
    <row r="4030" spans="2:2" x14ac:dyDescent="0.2">
      <c r="B4030" s="24"/>
    </row>
    <row r="4031" spans="2:2" x14ac:dyDescent="0.2">
      <c r="B4031" s="24"/>
    </row>
    <row r="4032" spans="2:2" x14ac:dyDescent="0.2">
      <c r="B4032" s="24"/>
    </row>
    <row r="4033" spans="2:2" x14ac:dyDescent="0.2">
      <c r="B4033" s="24"/>
    </row>
    <row r="4034" spans="2:2" x14ac:dyDescent="0.2">
      <c r="B4034" s="24"/>
    </row>
    <row r="4035" spans="2:2" x14ac:dyDescent="0.2">
      <c r="B4035" s="24"/>
    </row>
    <row r="4036" spans="2:2" x14ac:dyDescent="0.2">
      <c r="B4036" s="24"/>
    </row>
    <row r="4037" spans="2:2" x14ac:dyDescent="0.2">
      <c r="B4037" s="24"/>
    </row>
    <row r="4038" spans="2:2" x14ac:dyDescent="0.2">
      <c r="B4038" s="24"/>
    </row>
    <row r="4039" spans="2:2" x14ac:dyDescent="0.2">
      <c r="B4039" s="24"/>
    </row>
    <row r="4040" spans="2:2" x14ac:dyDescent="0.2">
      <c r="B4040" s="24"/>
    </row>
    <row r="4041" spans="2:2" x14ac:dyDescent="0.2">
      <c r="B4041" s="24"/>
    </row>
    <row r="4042" spans="2:2" x14ac:dyDescent="0.2">
      <c r="B4042" s="24"/>
    </row>
    <row r="4043" spans="2:2" x14ac:dyDescent="0.2">
      <c r="B4043" s="24"/>
    </row>
    <row r="4044" spans="2:2" x14ac:dyDescent="0.2">
      <c r="B4044" s="24"/>
    </row>
    <row r="4045" spans="2:2" x14ac:dyDescent="0.2">
      <c r="B4045" s="24"/>
    </row>
    <row r="4046" spans="2:2" x14ac:dyDescent="0.2">
      <c r="B4046" s="24"/>
    </row>
    <row r="4047" spans="2:2" x14ac:dyDescent="0.2">
      <c r="B4047" s="24"/>
    </row>
    <row r="4048" spans="2:2" x14ac:dyDescent="0.2">
      <c r="B4048" s="24"/>
    </row>
    <row r="4049" spans="2:2" x14ac:dyDescent="0.2">
      <c r="B4049" s="24"/>
    </row>
    <row r="4050" spans="2:2" x14ac:dyDescent="0.2">
      <c r="B4050" s="24"/>
    </row>
    <row r="4051" spans="2:2" x14ac:dyDescent="0.2">
      <c r="B4051" s="24"/>
    </row>
    <row r="4052" spans="2:2" x14ac:dyDescent="0.2">
      <c r="B4052" s="24"/>
    </row>
    <row r="4053" spans="2:2" x14ac:dyDescent="0.2">
      <c r="B4053" s="24"/>
    </row>
    <row r="4054" spans="2:2" x14ac:dyDescent="0.2">
      <c r="B4054" s="24"/>
    </row>
    <row r="4055" spans="2:2" x14ac:dyDescent="0.2">
      <c r="B4055" s="24"/>
    </row>
    <row r="4056" spans="2:2" x14ac:dyDescent="0.2">
      <c r="B4056" s="24"/>
    </row>
    <row r="4057" spans="2:2" x14ac:dyDescent="0.2">
      <c r="B4057" s="24"/>
    </row>
    <row r="4058" spans="2:2" x14ac:dyDescent="0.2">
      <c r="B4058" s="24"/>
    </row>
    <row r="4059" spans="2:2" x14ac:dyDescent="0.2">
      <c r="B4059" s="24"/>
    </row>
    <row r="4060" spans="2:2" x14ac:dyDescent="0.2">
      <c r="B4060" s="24"/>
    </row>
    <row r="4061" spans="2:2" x14ac:dyDescent="0.2">
      <c r="B4061" s="24"/>
    </row>
    <row r="4062" spans="2:2" x14ac:dyDescent="0.2">
      <c r="B4062" s="24"/>
    </row>
    <row r="4063" spans="2:2" x14ac:dyDescent="0.2">
      <c r="B4063" s="24"/>
    </row>
    <row r="4064" spans="2:2" x14ac:dyDescent="0.2">
      <c r="B4064" s="24"/>
    </row>
    <row r="4065" spans="2:2" x14ac:dyDescent="0.2">
      <c r="B4065" s="24"/>
    </row>
    <row r="4066" spans="2:2" x14ac:dyDescent="0.2">
      <c r="B4066" s="24"/>
    </row>
    <row r="4067" spans="2:2" x14ac:dyDescent="0.2">
      <c r="B4067" s="24"/>
    </row>
    <row r="4068" spans="2:2" x14ac:dyDescent="0.2">
      <c r="B4068" s="24"/>
    </row>
    <row r="4069" spans="2:2" x14ac:dyDescent="0.2">
      <c r="B4069" s="24"/>
    </row>
    <row r="4070" spans="2:2" x14ac:dyDescent="0.2">
      <c r="B4070" s="24"/>
    </row>
    <row r="4071" spans="2:2" x14ac:dyDescent="0.2">
      <c r="B4071" s="24"/>
    </row>
    <row r="4072" spans="2:2" x14ac:dyDescent="0.2">
      <c r="B4072" s="24"/>
    </row>
    <row r="4073" spans="2:2" x14ac:dyDescent="0.2">
      <c r="B4073" s="24"/>
    </row>
    <row r="4074" spans="2:2" x14ac:dyDescent="0.2">
      <c r="B4074" s="24"/>
    </row>
    <row r="4075" spans="2:2" x14ac:dyDescent="0.2">
      <c r="B4075" s="24"/>
    </row>
    <row r="4076" spans="2:2" x14ac:dyDescent="0.2">
      <c r="B4076" s="24"/>
    </row>
    <row r="4077" spans="2:2" x14ac:dyDescent="0.2">
      <c r="B4077" s="24"/>
    </row>
    <row r="4078" spans="2:2" x14ac:dyDescent="0.2">
      <c r="B4078" s="24"/>
    </row>
    <row r="4079" spans="2:2" x14ac:dyDescent="0.2">
      <c r="B4079" s="24"/>
    </row>
    <row r="4080" spans="2:2" x14ac:dyDescent="0.2">
      <c r="B4080" s="24"/>
    </row>
    <row r="4081" spans="2:2" x14ac:dyDescent="0.2">
      <c r="B4081" s="24"/>
    </row>
    <row r="4082" spans="2:2" x14ac:dyDescent="0.2">
      <c r="B4082" s="24"/>
    </row>
    <row r="4083" spans="2:2" x14ac:dyDescent="0.2">
      <c r="B4083" s="24"/>
    </row>
    <row r="4084" spans="2:2" x14ac:dyDescent="0.2">
      <c r="B4084" s="24"/>
    </row>
    <row r="4085" spans="2:2" x14ac:dyDescent="0.2">
      <c r="B4085" s="24"/>
    </row>
    <row r="4086" spans="2:2" x14ac:dyDescent="0.2">
      <c r="B4086" s="24"/>
    </row>
    <row r="4087" spans="2:2" x14ac:dyDescent="0.2">
      <c r="B4087" s="24"/>
    </row>
    <row r="4088" spans="2:2" x14ac:dyDescent="0.2">
      <c r="B4088" s="24"/>
    </row>
    <row r="4089" spans="2:2" x14ac:dyDescent="0.2">
      <c r="B4089" s="24"/>
    </row>
    <row r="4090" spans="2:2" x14ac:dyDescent="0.2">
      <c r="B4090" s="24"/>
    </row>
    <row r="4091" spans="2:2" x14ac:dyDescent="0.2">
      <c r="B4091" s="24"/>
    </row>
    <row r="4092" spans="2:2" x14ac:dyDescent="0.2">
      <c r="B4092" s="24"/>
    </row>
    <row r="4093" spans="2:2" x14ac:dyDescent="0.2">
      <c r="B4093" s="24"/>
    </row>
    <row r="4094" spans="2:2" x14ac:dyDescent="0.2">
      <c r="B4094" s="24"/>
    </row>
    <row r="4095" spans="2:2" x14ac:dyDescent="0.2">
      <c r="B4095" s="24"/>
    </row>
    <row r="4096" spans="2:2" x14ac:dyDescent="0.2">
      <c r="B4096" s="24"/>
    </row>
    <row r="4097" spans="2:2" x14ac:dyDescent="0.2">
      <c r="B4097" s="24"/>
    </row>
    <row r="4098" spans="2:2" x14ac:dyDescent="0.2">
      <c r="B4098" s="24"/>
    </row>
    <row r="4099" spans="2:2" x14ac:dyDescent="0.2">
      <c r="B4099" s="24"/>
    </row>
    <row r="4100" spans="2:2" x14ac:dyDescent="0.2">
      <c r="B4100" s="24"/>
    </row>
    <row r="4101" spans="2:2" x14ac:dyDescent="0.2">
      <c r="B4101" s="24"/>
    </row>
    <row r="4102" spans="2:2" x14ac:dyDescent="0.2">
      <c r="B4102" s="24"/>
    </row>
    <row r="4103" spans="2:2" x14ac:dyDescent="0.2">
      <c r="B4103" s="24"/>
    </row>
    <row r="4104" spans="2:2" x14ac:dyDescent="0.2">
      <c r="B4104" s="24"/>
    </row>
    <row r="4105" spans="2:2" x14ac:dyDescent="0.2">
      <c r="B4105" s="24"/>
    </row>
    <row r="4106" spans="2:2" x14ac:dyDescent="0.2">
      <c r="B4106" s="24"/>
    </row>
    <row r="4107" spans="2:2" x14ac:dyDescent="0.2">
      <c r="B4107" s="24"/>
    </row>
    <row r="4108" spans="2:2" x14ac:dyDescent="0.2">
      <c r="B4108" s="24"/>
    </row>
    <row r="4109" spans="2:2" x14ac:dyDescent="0.2">
      <c r="B4109" s="24"/>
    </row>
    <row r="4110" spans="2:2" x14ac:dyDescent="0.2">
      <c r="B4110" s="24"/>
    </row>
    <row r="4111" spans="2:2" x14ac:dyDescent="0.2">
      <c r="B4111" s="24"/>
    </row>
    <row r="4112" spans="2:2" x14ac:dyDescent="0.2">
      <c r="B4112" s="24"/>
    </row>
    <row r="4113" spans="2:2" x14ac:dyDescent="0.2">
      <c r="B4113" s="24"/>
    </row>
    <row r="4114" spans="2:2" x14ac:dyDescent="0.2">
      <c r="B4114" s="24"/>
    </row>
    <row r="4115" spans="2:2" x14ac:dyDescent="0.2">
      <c r="B4115" s="24"/>
    </row>
    <row r="4116" spans="2:2" x14ac:dyDescent="0.2">
      <c r="B4116" s="24"/>
    </row>
    <row r="4117" spans="2:2" x14ac:dyDescent="0.2">
      <c r="B4117" s="24"/>
    </row>
    <row r="4118" spans="2:2" x14ac:dyDescent="0.2">
      <c r="B4118" s="24"/>
    </row>
    <row r="4119" spans="2:2" x14ac:dyDescent="0.2">
      <c r="B4119" s="24"/>
    </row>
    <row r="4120" spans="2:2" x14ac:dyDescent="0.2">
      <c r="B4120" s="24"/>
    </row>
    <row r="4121" spans="2:2" x14ac:dyDescent="0.2">
      <c r="B4121" s="24"/>
    </row>
    <row r="4122" spans="2:2" x14ac:dyDescent="0.2">
      <c r="B4122" s="24"/>
    </row>
    <row r="4123" spans="2:2" x14ac:dyDescent="0.2">
      <c r="B4123" s="24"/>
    </row>
    <row r="4124" spans="2:2" x14ac:dyDescent="0.2">
      <c r="B4124" s="24"/>
    </row>
    <row r="4125" spans="2:2" x14ac:dyDescent="0.2">
      <c r="B4125" s="24"/>
    </row>
    <row r="4126" spans="2:2" x14ac:dyDescent="0.2">
      <c r="B4126" s="24"/>
    </row>
    <row r="4127" spans="2:2" x14ac:dyDescent="0.2">
      <c r="B4127" s="24"/>
    </row>
    <row r="4128" spans="2:2" x14ac:dyDescent="0.2">
      <c r="B4128" s="24"/>
    </row>
    <row r="4129" spans="2:2" x14ac:dyDescent="0.2">
      <c r="B4129" s="24"/>
    </row>
    <row r="4130" spans="2:2" x14ac:dyDescent="0.2">
      <c r="B4130" s="24"/>
    </row>
    <row r="4131" spans="2:2" x14ac:dyDescent="0.2">
      <c r="B4131" s="24"/>
    </row>
    <row r="4132" spans="2:2" x14ac:dyDescent="0.2">
      <c r="B4132" s="24"/>
    </row>
    <row r="4630" spans="51:51" x14ac:dyDescent="0.2">
      <c r="AY4630" s="26">
        <v>0</v>
      </c>
    </row>
    <row r="4631" spans="51:51" x14ac:dyDescent="0.2">
      <c r="AY4631" s="26">
        <v>0</v>
      </c>
    </row>
    <row r="5432" spans="30:30" x14ac:dyDescent="0.2">
      <c r="AD5432" s="26" t="s">
        <v>3511</v>
      </c>
    </row>
    <row r="10452" spans="39:39" x14ac:dyDescent="0.2">
      <c r="AM10452" s="39" t="s">
        <v>3511</v>
      </c>
    </row>
    <row r="10472" spans="39:39" x14ac:dyDescent="0.2">
      <c r="AM10472" s="39" t="s">
        <v>3511</v>
      </c>
    </row>
  </sheetData>
  <autoFilter ref="A2:IV3212"/>
  <dataConsolidate/>
  <mergeCells count="39">
    <mergeCell ref="AV1:AW1"/>
    <mergeCell ref="A3208:D3208"/>
    <mergeCell ref="G1:W1"/>
    <mergeCell ref="AX1:AY1"/>
    <mergeCell ref="AR1:AS1"/>
    <mergeCell ref="AT1:AU1"/>
    <mergeCell ref="A1:E1"/>
    <mergeCell ref="X1:AF1"/>
    <mergeCell ref="AN1:AO1"/>
    <mergeCell ref="CN1:CO1"/>
    <mergeCell ref="CB1:CC1"/>
    <mergeCell ref="BZ1:CA1"/>
    <mergeCell ref="AG1:AM1"/>
    <mergeCell ref="AP1:AQ1"/>
    <mergeCell ref="AZ1:BA1"/>
    <mergeCell ref="BN1:BO1"/>
    <mergeCell ref="BL1:BM1"/>
    <mergeCell ref="BF1:BG1"/>
    <mergeCell ref="BB1:BC1"/>
    <mergeCell ref="CF1:CG1"/>
    <mergeCell ref="CP1:CQ1"/>
    <mergeCell ref="BP1:BQ1"/>
    <mergeCell ref="BX1:BY1"/>
    <mergeCell ref="BR1:BS1"/>
    <mergeCell ref="BT1:BU1"/>
    <mergeCell ref="CH1:CI1"/>
    <mergeCell ref="CJ1:CK1"/>
    <mergeCell ref="CL1:CM1"/>
    <mergeCell ref="CD1:CE1"/>
    <mergeCell ref="BV1:BW1"/>
    <mergeCell ref="BD1:BE1"/>
    <mergeCell ref="BJ1:BK1"/>
    <mergeCell ref="BH1:BI1"/>
    <mergeCell ref="DC1:DD1"/>
    <mergeCell ref="CR1:CS1"/>
    <mergeCell ref="CT1:CU1"/>
    <mergeCell ref="CW1:CX1"/>
    <mergeCell ref="CY1:CZ1"/>
    <mergeCell ref="DA1:DB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F.N.C.  AÑO 2011
</oddHeader>
    <oddFooter>&amp;R&amp;P,/ &amp;N, &amp;D,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138"/>
  <sheetViews>
    <sheetView topLeftCell="A151" workbookViewId="0">
      <selection activeCell="D2" sqref="D2"/>
    </sheetView>
  </sheetViews>
  <sheetFormatPr baseColWidth="10" defaultRowHeight="12.75" x14ac:dyDescent="0.2"/>
  <cols>
    <col min="3" max="3" width="22.28515625" customWidth="1"/>
    <col min="5" max="5" width="28.7109375" customWidth="1"/>
  </cols>
  <sheetData>
    <row r="1" spans="1:6" x14ac:dyDescent="0.2">
      <c r="A1" t="s">
        <v>374</v>
      </c>
      <c r="D1" s="140" t="s">
        <v>2413</v>
      </c>
      <c r="E1" t="s">
        <v>2853</v>
      </c>
      <c r="F1" t="s">
        <v>375</v>
      </c>
    </row>
    <row r="2" spans="1:6" hidden="1" x14ac:dyDescent="0.2">
      <c r="A2" t="s">
        <v>3784</v>
      </c>
      <c r="B2" t="s">
        <v>3785</v>
      </c>
      <c r="C2" t="str">
        <f>D2&amp;E2</f>
        <v>AntioquiaMEDELLIN</v>
      </c>
      <c r="D2" t="s">
        <v>3786</v>
      </c>
      <c r="E2" t="s">
        <v>3297</v>
      </c>
      <c r="F2" t="s">
        <v>3278</v>
      </c>
    </row>
    <row r="3" spans="1:6" hidden="1" x14ac:dyDescent="0.2">
      <c r="A3" t="s">
        <v>3784</v>
      </c>
      <c r="B3" t="s">
        <v>3787</v>
      </c>
      <c r="C3" t="str">
        <f t="shared" ref="C3:C66" si="0">D3&amp;E3</f>
        <v>AntioquiaABEJORRAL</v>
      </c>
      <c r="D3" t="s">
        <v>3786</v>
      </c>
      <c r="E3" t="s">
        <v>3789</v>
      </c>
      <c r="F3" t="s">
        <v>3788</v>
      </c>
    </row>
    <row r="4" spans="1:6" hidden="1" x14ac:dyDescent="0.2">
      <c r="A4" t="s">
        <v>3784</v>
      </c>
      <c r="B4" t="s">
        <v>3790</v>
      </c>
      <c r="C4" t="str">
        <f t="shared" si="0"/>
        <v>AntioquiaABRIAQUI</v>
      </c>
      <c r="D4" t="s">
        <v>3786</v>
      </c>
      <c r="E4" t="s">
        <v>3792</v>
      </c>
      <c r="F4" t="s">
        <v>3791</v>
      </c>
    </row>
    <row r="5" spans="1:6" hidden="1" x14ac:dyDescent="0.2">
      <c r="A5" t="s">
        <v>3784</v>
      </c>
      <c r="B5" t="s">
        <v>3793</v>
      </c>
      <c r="C5" t="str">
        <f t="shared" si="0"/>
        <v>AntioquiaALEJANDRIA</v>
      </c>
      <c r="D5" t="s">
        <v>3786</v>
      </c>
      <c r="E5" t="s">
        <v>3795</v>
      </c>
      <c r="F5" t="s">
        <v>3794</v>
      </c>
    </row>
    <row r="6" spans="1:6" hidden="1" x14ac:dyDescent="0.2">
      <c r="A6" t="s">
        <v>3784</v>
      </c>
      <c r="B6" t="s">
        <v>3796</v>
      </c>
      <c r="C6" t="str">
        <f t="shared" si="0"/>
        <v>AntioquiaAMAGA</v>
      </c>
      <c r="D6" t="s">
        <v>3786</v>
      </c>
      <c r="E6" t="s">
        <v>3528</v>
      </c>
      <c r="F6" t="s">
        <v>3797</v>
      </c>
    </row>
    <row r="7" spans="1:6" hidden="1" x14ac:dyDescent="0.2">
      <c r="A7" t="s">
        <v>3784</v>
      </c>
      <c r="B7" t="s">
        <v>3798</v>
      </c>
      <c r="C7" t="str">
        <f t="shared" si="0"/>
        <v>AntioquiaAMALFI</v>
      </c>
      <c r="D7" t="s">
        <v>3786</v>
      </c>
      <c r="E7" t="s">
        <v>4355</v>
      </c>
      <c r="F7" t="s">
        <v>3799</v>
      </c>
    </row>
    <row r="8" spans="1:6" hidden="1" x14ac:dyDescent="0.2">
      <c r="A8" t="s">
        <v>3784</v>
      </c>
      <c r="B8" t="s">
        <v>3800</v>
      </c>
      <c r="C8" t="str">
        <f t="shared" si="0"/>
        <v>AntioquiaANDES</v>
      </c>
      <c r="D8" t="s">
        <v>3786</v>
      </c>
      <c r="E8" t="s">
        <v>3386</v>
      </c>
      <c r="F8" t="s">
        <v>3801</v>
      </c>
    </row>
    <row r="9" spans="1:6" hidden="1" x14ac:dyDescent="0.2">
      <c r="A9" t="s">
        <v>3784</v>
      </c>
      <c r="B9" t="s">
        <v>3802</v>
      </c>
      <c r="C9" t="str">
        <f t="shared" si="0"/>
        <v>AntioquiaANGELOPOLIS</v>
      </c>
      <c r="D9" t="s">
        <v>3786</v>
      </c>
      <c r="E9" t="s">
        <v>3804</v>
      </c>
      <c r="F9" t="s">
        <v>3803</v>
      </c>
    </row>
    <row r="10" spans="1:6" hidden="1" x14ac:dyDescent="0.2">
      <c r="A10" t="s">
        <v>3784</v>
      </c>
      <c r="B10" t="s">
        <v>3805</v>
      </c>
      <c r="C10" t="str">
        <f t="shared" si="0"/>
        <v>AntioquiaANGOSTURA</v>
      </c>
      <c r="D10" t="s">
        <v>3786</v>
      </c>
      <c r="E10" t="s">
        <v>3807</v>
      </c>
      <c r="F10" t="s">
        <v>3806</v>
      </c>
    </row>
    <row r="11" spans="1:6" hidden="1" x14ac:dyDescent="0.2">
      <c r="A11" t="s">
        <v>3784</v>
      </c>
      <c r="B11" t="s">
        <v>3808</v>
      </c>
      <c r="C11" t="str">
        <f t="shared" si="0"/>
        <v>AntioquiaANORI</v>
      </c>
      <c r="D11" t="s">
        <v>3786</v>
      </c>
      <c r="E11" t="s">
        <v>3810</v>
      </c>
      <c r="F11" t="s">
        <v>3809</v>
      </c>
    </row>
    <row r="12" spans="1:6" hidden="1" x14ac:dyDescent="0.2">
      <c r="A12" t="s">
        <v>3784</v>
      </c>
      <c r="B12" t="s">
        <v>3811</v>
      </c>
      <c r="C12" t="str">
        <f t="shared" si="0"/>
        <v>AntioquiaSANTAFE DE ANTIOQUIA</v>
      </c>
      <c r="D12" t="s">
        <v>3786</v>
      </c>
      <c r="E12" t="s">
        <v>3813</v>
      </c>
      <c r="F12" t="s">
        <v>3812</v>
      </c>
    </row>
    <row r="13" spans="1:6" hidden="1" x14ac:dyDescent="0.2">
      <c r="A13" t="s">
        <v>3784</v>
      </c>
      <c r="B13" t="s">
        <v>3814</v>
      </c>
      <c r="C13" t="str">
        <f t="shared" si="0"/>
        <v>AntioquiaANZA</v>
      </c>
      <c r="D13" t="s">
        <v>3786</v>
      </c>
      <c r="E13" t="s">
        <v>3816</v>
      </c>
      <c r="F13" t="s">
        <v>3815</v>
      </c>
    </row>
    <row r="14" spans="1:6" hidden="1" x14ac:dyDescent="0.2">
      <c r="A14" t="s">
        <v>3784</v>
      </c>
      <c r="B14" t="s">
        <v>3817</v>
      </c>
      <c r="C14" t="str">
        <f t="shared" si="0"/>
        <v>AntioquiaAPARTADO</v>
      </c>
      <c r="D14" t="s">
        <v>3786</v>
      </c>
      <c r="E14" t="s">
        <v>3819</v>
      </c>
      <c r="F14" t="s">
        <v>3818</v>
      </c>
    </row>
    <row r="15" spans="1:6" hidden="1" x14ac:dyDescent="0.2">
      <c r="A15" t="s">
        <v>3784</v>
      </c>
      <c r="B15" t="s">
        <v>3820</v>
      </c>
      <c r="C15" t="str">
        <f t="shared" si="0"/>
        <v>AntioquiaARBOLETES</v>
      </c>
      <c r="D15" t="s">
        <v>3786</v>
      </c>
      <c r="E15" t="s">
        <v>3822</v>
      </c>
      <c r="F15" t="s">
        <v>3821</v>
      </c>
    </row>
    <row r="16" spans="1:6" hidden="1" x14ac:dyDescent="0.2">
      <c r="A16" t="s">
        <v>3784</v>
      </c>
      <c r="B16" t="s">
        <v>3823</v>
      </c>
      <c r="C16" t="str">
        <f t="shared" si="0"/>
        <v>AntioquiaARGELIA</v>
      </c>
      <c r="D16" t="s">
        <v>3786</v>
      </c>
      <c r="E16" t="s">
        <v>2227</v>
      </c>
      <c r="F16" t="s">
        <v>3824</v>
      </c>
    </row>
    <row r="17" spans="1:6" hidden="1" x14ac:dyDescent="0.2">
      <c r="A17" t="s">
        <v>3784</v>
      </c>
      <c r="B17" t="s">
        <v>3825</v>
      </c>
      <c r="C17" t="str">
        <f t="shared" si="0"/>
        <v>AntioquiaARMENIA</v>
      </c>
      <c r="D17" t="s">
        <v>3786</v>
      </c>
      <c r="E17" t="s">
        <v>4351</v>
      </c>
      <c r="F17" t="s">
        <v>3826</v>
      </c>
    </row>
    <row r="18" spans="1:6" hidden="1" x14ac:dyDescent="0.2">
      <c r="A18" t="s">
        <v>3784</v>
      </c>
      <c r="B18" t="s">
        <v>3827</v>
      </c>
      <c r="C18" t="str">
        <f t="shared" si="0"/>
        <v>AntioquiaBARBOSA</v>
      </c>
      <c r="D18" t="s">
        <v>3786</v>
      </c>
      <c r="E18" t="s">
        <v>2259</v>
      </c>
      <c r="F18" t="s">
        <v>3828</v>
      </c>
    </row>
    <row r="19" spans="1:6" hidden="1" x14ac:dyDescent="0.2">
      <c r="A19" t="s">
        <v>3784</v>
      </c>
      <c r="B19" t="s">
        <v>3829</v>
      </c>
      <c r="C19" t="str">
        <f t="shared" si="0"/>
        <v>AntioquiaBELMIRA</v>
      </c>
      <c r="D19" t="s">
        <v>3786</v>
      </c>
      <c r="E19" t="s">
        <v>3831</v>
      </c>
      <c r="F19" t="s">
        <v>3830</v>
      </c>
    </row>
    <row r="20" spans="1:6" hidden="1" x14ac:dyDescent="0.2">
      <c r="A20" t="s">
        <v>3784</v>
      </c>
      <c r="B20" t="s">
        <v>3832</v>
      </c>
      <c r="C20" t="str">
        <f t="shared" si="0"/>
        <v>AntioquiaBELLO</v>
      </c>
      <c r="D20" t="s">
        <v>3786</v>
      </c>
      <c r="E20" t="s">
        <v>4266</v>
      </c>
      <c r="F20" t="s">
        <v>3279</v>
      </c>
    </row>
    <row r="21" spans="1:6" hidden="1" x14ac:dyDescent="0.2">
      <c r="A21" t="s">
        <v>3784</v>
      </c>
      <c r="B21" t="s">
        <v>3833</v>
      </c>
      <c r="C21" t="str">
        <f t="shared" si="0"/>
        <v>AntioquiaBETANIA</v>
      </c>
      <c r="D21" t="s">
        <v>3786</v>
      </c>
      <c r="E21" t="s">
        <v>3835</v>
      </c>
      <c r="F21" t="s">
        <v>3834</v>
      </c>
    </row>
    <row r="22" spans="1:6" hidden="1" x14ac:dyDescent="0.2">
      <c r="A22" t="s">
        <v>3784</v>
      </c>
      <c r="B22" t="s">
        <v>3836</v>
      </c>
      <c r="C22" t="str">
        <f t="shared" si="0"/>
        <v>AntioquiaBETULIA</v>
      </c>
      <c r="D22" t="s">
        <v>3786</v>
      </c>
      <c r="E22" t="s">
        <v>4256</v>
      </c>
      <c r="F22" t="s">
        <v>3837</v>
      </c>
    </row>
    <row r="23" spans="1:6" hidden="1" x14ac:dyDescent="0.2">
      <c r="A23" t="s">
        <v>3784</v>
      </c>
      <c r="B23" t="s">
        <v>3838</v>
      </c>
      <c r="C23" t="str">
        <f t="shared" si="0"/>
        <v>AntioquiaCIUDAD BOLIVAR</v>
      </c>
      <c r="D23" t="s">
        <v>3786</v>
      </c>
      <c r="E23" t="s">
        <v>3840</v>
      </c>
      <c r="F23" t="s">
        <v>3839</v>
      </c>
    </row>
    <row r="24" spans="1:6" hidden="1" x14ac:dyDescent="0.2">
      <c r="A24" t="s">
        <v>3784</v>
      </c>
      <c r="B24" t="s">
        <v>3841</v>
      </c>
      <c r="C24" t="str">
        <f t="shared" si="0"/>
        <v>AntioquiaBRICEÑO</v>
      </c>
      <c r="D24" t="s">
        <v>3786</v>
      </c>
      <c r="E24" t="s">
        <v>3497</v>
      </c>
      <c r="F24" t="s">
        <v>3842</v>
      </c>
    </row>
    <row r="25" spans="1:6" hidden="1" x14ac:dyDescent="0.2">
      <c r="A25" t="s">
        <v>3784</v>
      </c>
      <c r="B25" t="s">
        <v>3843</v>
      </c>
      <c r="C25" t="str">
        <f t="shared" si="0"/>
        <v>AntioquiaBURITICA</v>
      </c>
      <c r="D25" t="s">
        <v>3786</v>
      </c>
      <c r="E25" t="s">
        <v>3845</v>
      </c>
      <c r="F25" t="s">
        <v>3844</v>
      </c>
    </row>
    <row r="26" spans="1:6" hidden="1" x14ac:dyDescent="0.2">
      <c r="A26" t="s">
        <v>3784</v>
      </c>
      <c r="B26" t="s">
        <v>3846</v>
      </c>
      <c r="C26" t="str">
        <f t="shared" si="0"/>
        <v>AntioquiaCACERES</v>
      </c>
      <c r="D26" t="s">
        <v>3786</v>
      </c>
      <c r="E26" t="s">
        <v>4413</v>
      </c>
      <c r="F26" t="s">
        <v>3847</v>
      </c>
    </row>
    <row r="27" spans="1:6" hidden="1" x14ac:dyDescent="0.2">
      <c r="A27" t="s">
        <v>3784</v>
      </c>
      <c r="B27" t="s">
        <v>3848</v>
      </c>
      <c r="C27" t="str">
        <f t="shared" si="0"/>
        <v>AntioquiaCAICEDO</v>
      </c>
      <c r="D27" t="s">
        <v>3786</v>
      </c>
      <c r="E27" t="s">
        <v>3850</v>
      </c>
      <c r="F27" t="s">
        <v>3849</v>
      </c>
    </row>
    <row r="28" spans="1:6" hidden="1" x14ac:dyDescent="0.2">
      <c r="A28" t="s">
        <v>3784</v>
      </c>
      <c r="B28" t="s">
        <v>3851</v>
      </c>
      <c r="C28" t="str">
        <f t="shared" si="0"/>
        <v>AntioquiaCALDAS</v>
      </c>
      <c r="D28" t="s">
        <v>3786</v>
      </c>
      <c r="E28" t="s">
        <v>3533</v>
      </c>
      <c r="F28" t="s">
        <v>3852</v>
      </c>
    </row>
    <row r="29" spans="1:6" hidden="1" x14ac:dyDescent="0.2">
      <c r="A29" t="s">
        <v>3784</v>
      </c>
      <c r="B29" t="s">
        <v>3853</v>
      </c>
      <c r="C29" t="str">
        <f t="shared" si="0"/>
        <v>AntioquiaCAMPAMENTO</v>
      </c>
      <c r="D29" t="s">
        <v>3786</v>
      </c>
      <c r="E29" t="s">
        <v>3855</v>
      </c>
      <c r="F29" t="s">
        <v>3854</v>
      </c>
    </row>
    <row r="30" spans="1:6" hidden="1" x14ac:dyDescent="0.2">
      <c r="A30" t="s">
        <v>3784</v>
      </c>
      <c r="B30" t="s">
        <v>3856</v>
      </c>
      <c r="C30" t="str">
        <f t="shared" si="0"/>
        <v>AntioquiaCAÑASGORDAS</v>
      </c>
      <c r="D30" t="s">
        <v>3786</v>
      </c>
      <c r="E30" t="s">
        <v>3858</v>
      </c>
      <c r="F30" t="s">
        <v>3857</v>
      </c>
    </row>
    <row r="31" spans="1:6" hidden="1" x14ac:dyDescent="0.2">
      <c r="A31" t="s">
        <v>3784</v>
      </c>
      <c r="B31" t="s">
        <v>3859</v>
      </c>
      <c r="C31" t="str">
        <f t="shared" si="0"/>
        <v>AntioquiaCARACOLI</v>
      </c>
      <c r="D31" t="s">
        <v>3786</v>
      </c>
      <c r="E31" t="s">
        <v>3861</v>
      </c>
      <c r="F31" t="s">
        <v>3860</v>
      </c>
    </row>
    <row r="32" spans="1:6" hidden="1" x14ac:dyDescent="0.2">
      <c r="A32" t="s">
        <v>3784</v>
      </c>
      <c r="B32" t="s">
        <v>3862</v>
      </c>
      <c r="C32" t="str">
        <f t="shared" si="0"/>
        <v>AntioquiaCARAMANTA</v>
      </c>
      <c r="D32" t="s">
        <v>3786</v>
      </c>
      <c r="E32" t="s">
        <v>3864</v>
      </c>
      <c r="F32" t="s">
        <v>3863</v>
      </c>
    </row>
    <row r="33" spans="1:6" hidden="1" x14ac:dyDescent="0.2">
      <c r="A33" t="s">
        <v>3784</v>
      </c>
      <c r="B33" t="s">
        <v>3865</v>
      </c>
      <c r="C33" t="str">
        <f t="shared" si="0"/>
        <v>AntioquiaCAREPA</v>
      </c>
      <c r="D33" t="s">
        <v>3786</v>
      </c>
      <c r="E33" t="s">
        <v>3867</v>
      </c>
      <c r="F33" t="s">
        <v>3866</v>
      </c>
    </row>
    <row r="34" spans="1:6" hidden="1" x14ac:dyDescent="0.2">
      <c r="A34" t="s">
        <v>3784</v>
      </c>
      <c r="B34" t="s">
        <v>3868</v>
      </c>
      <c r="C34" t="str">
        <f t="shared" si="0"/>
        <v>AntioquiaEL CARMEN DE VIBORAL</v>
      </c>
      <c r="D34" t="s">
        <v>3786</v>
      </c>
      <c r="E34" t="s">
        <v>3870</v>
      </c>
      <c r="F34" t="s">
        <v>3869</v>
      </c>
    </row>
    <row r="35" spans="1:6" hidden="1" x14ac:dyDescent="0.2">
      <c r="A35" t="s">
        <v>3784</v>
      </c>
      <c r="B35" t="s">
        <v>3871</v>
      </c>
      <c r="C35" t="str">
        <f t="shared" si="0"/>
        <v>AntioquiaCAROLINA</v>
      </c>
      <c r="D35" t="s">
        <v>3786</v>
      </c>
      <c r="E35" t="s">
        <v>3873</v>
      </c>
      <c r="F35" t="s">
        <v>3872</v>
      </c>
    </row>
    <row r="36" spans="1:6" hidden="1" x14ac:dyDescent="0.2">
      <c r="A36" t="s">
        <v>3784</v>
      </c>
      <c r="B36" t="s">
        <v>3874</v>
      </c>
      <c r="C36" t="str">
        <f t="shared" si="0"/>
        <v>AntioquiaCAUCASIA</v>
      </c>
      <c r="D36" t="s">
        <v>3786</v>
      </c>
      <c r="E36" t="s">
        <v>3876</v>
      </c>
      <c r="F36" t="s">
        <v>3875</v>
      </c>
    </row>
    <row r="37" spans="1:6" hidden="1" x14ac:dyDescent="0.2">
      <c r="A37" t="s">
        <v>3784</v>
      </c>
      <c r="B37" t="s">
        <v>3877</v>
      </c>
      <c r="C37" t="str">
        <f t="shared" si="0"/>
        <v>AntioquiaCHIGORODO</v>
      </c>
      <c r="D37" t="s">
        <v>3786</v>
      </c>
      <c r="E37" t="s">
        <v>3879</v>
      </c>
      <c r="F37" t="s">
        <v>3878</v>
      </c>
    </row>
    <row r="38" spans="1:6" hidden="1" x14ac:dyDescent="0.2">
      <c r="A38" t="s">
        <v>3784</v>
      </c>
      <c r="B38" t="s">
        <v>3880</v>
      </c>
      <c r="C38" t="str">
        <f t="shared" si="0"/>
        <v>AntioquiaCISNEROS</v>
      </c>
      <c r="D38" t="s">
        <v>3786</v>
      </c>
      <c r="E38" t="s">
        <v>3882</v>
      </c>
      <c r="F38" t="s">
        <v>3881</v>
      </c>
    </row>
    <row r="39" spans="1:6" hidden="1" x14ac:dyDescent="0.2">
      <c r="A39" t="s">
        <v>3784</v>
      </c>
      <c r="B39" t="s">
        <v>3883</v>
      </c>
      <c r="C39" t="str">
        <f t="shared" si="0"/>
        <v>AntioquiaCOCORNA</v>
      </c>
      <c r="D39" t="s">
        <v>3786</v>
      </c>
      <c r="E39" t="s">
        <v>3885</v>
      </c>
      <c r="F39" t="s">
        <v>3884</v>
      </c>
    </row>
    <row r="40" spans="1:6" hidden="1" x14ac:dyDescent="0.2">
      <c r="A40" t="s">
        <v>3784</v>
      </c>
      <c r="B40" t="s">
        <v>3886</v>
      </c>
      <c r="C40" t="str">
        <f t="shared" si="0"/>
        <v>AntioquiaCONCEPCION</v>
      </c>
      <c r="D40" t="s">
        <v>3786</v>
      </c>
      <c r="E40" t="s">
        <v>3888</v>
      </c>
      <c r="F40" t="s">
        <v>3887</v>
      </c>
    </row>
    <row r="41" spans="1:6" hidden="1" x14ac:dyDescent="0.2">
      <c r="A41" t="s">
        <v>3784</v>
      </c>
      <c r="B41" t="s">
        <v>3889</v>
      </c>
      <c r="C41" t="str">
        <f t="shared" si="0"/>
        <v>AntioquiaCONCORDIA</v>
      </c>
      <c r="D41" t="s">
        <v>3786</v>
      </c>
      <c r="E41" t="s">
        <v>3891</v>
      </c>
      <c r="F41" t="s">
        <v>3890</v>
      </c>
    </row>
    <row r="42" spans="1:6" hidden="1" x14ac:dyDescent="0.2">
      <c r="A42" t="s">
        <v>3784</v>
      </c>
      <c r="B42" t="s">
        <v>3892</v>
      </c>
      <c r="C42" t="str">
        <f t="shared" si="0"/>
        <v>AntioquiaCOPACABANA</v>
      </c>
      <c r="D42" t="s">
        <v>3786</v>
      </c>
      <c r="E42" t="s">
        <v>4240</v>
      </c>
      <c r="F42" t="s">
        <v>3893</v>
      </c>
    </row>
    <row r="43" spans="1:6" hidden="1" x14ac:dyDescent="0.2">
      <c r="A43" t="s">
        <v>3784</v>
      </c>
      <c r="B43" t="s">
        <v>3894</v>
      </c>
      <c r="C43" t="str">
        <f t="shared" si="0"/>
        <v>AntioquiaDABEIBA</v>
      </c>
      <c r="D43" t="s">
        <v>3786</v>
      </c>
      <c r="E43" t="s">
        <v>3896</v>
      </c>
      <c r="F43" t="s">
        <v>3895</v>
      </c>
    </row>
    <row r="44" spans="1:6" hidden="1" x14ac:dyDescent="0.2">
      <c r="A44" t="s">
        <v>3784</v>
      </c>
      <c r="B44" t="s">
        <v>3897</v>
      </c>
      <c r="C44" t="str">
        <f t="shared" si="0"/>
        <v>AntioquiaDON MATIAS</v>
      </c>
      <c r="D44" t="s">
        <v>3786</v>
      </c>
      <c r="E44" t="s">
        <v>3899</v>
      </c>
      <c r="F44" t="s">
        <v>3898</v>
      </c>
    </row>
    <row r="45" spans="1:6" hidden="1" x14ac:dyDescent="0.2">
      <c r="A45" t="s">
        <v>3784</v>
      </c>
      <c r="B45" t="s">
        <v>3900</v>
      </c>
      <c r="C45" t="str">
        <f t="shared" si="0"/>
        <v>AntioquiaEBEJICO</v>
      </c>
      <c r="D45" t="s">
        <v>3786</v>
      </c>
      <c r="E45" t="s">
        <v>3902</v>
      </c>
      <c r="F45" t="s">
        <v>3901</v>
      </c>
    </row>
    <row r="46" spans="1:6" hidden="1" x14ac:dyDescent="0.2">
      <c r="A46" t="s">
        <v>3784</v>
      </c>
      <c r="B46" t="s">
        <v>3903</v>
      </c>
      <c r="C46" t="str">
        <f t="shared" si="0"/>
        <v>AntioquiaEL BAGRE</v>
      </c>
      <c r="D46" t="s">
        <v>3786</v>
      </c>
      <c r="E46" t="s">
        <v>3905</v>
      </c>
      <c r="F46" t="s">
        <v>3904</v>
      </c>
    </row>
    <row r="47" spans="1:6" hidden="1" x14ac:dyDescent="0.2">
      <c r="A47" t="s">
        <v>3784</v>
      </c>
      <c r="B47" t="s">
        <v>3906</v>
      </c>
      <c r="C47" t="str">
        <f t="shared" si="0"/>
        <v>AntioquiaENTRERRIOS</v>
      </c>
      <c r="D47" t="s">
        <v>3786</v>
      </c>
      <c r="E47" t="s">
        <v>3908</v>
      </c>
      <c r="F47" t="s">
        <v>3907</v>
      </c>
    </row>
    <row r="48" spans="1:6" hidden="1" x14ac:dyDescent="0.2">
      <c r="A48" t="s">
        <v>3784</v>
      </c>
      <c r="B48" t="s">
        <v>3909</v>
      </c>
      <c r="C48" t="str">
        <f t="shared" si="0"/>
        <v>AntioquiaENVIGADO</v>
      </c>
      <c r="D48" t="s">
        <v>3786</v>
      </c>
      <c r="E48" t="s">
        <v>3911</v>
      </c>
      <c r="F48" t="s">
        <v>3910</v>
      </c>
    </row>
    <row r="49" spans="1:6" hidden="1" x14ac:dyDescent="0.2">
      <c r="A49" t="s">
        <v>3784</v>
      </c>
      <c r="B49" t="s">
        <v>3912</v>
      </c>
      <c r="C49" t="str">
        <f t="shared" si="0"/>
        <v>AntioquiaFREDONIA</v>
      </c>
      <c r="D49" t="s">
        <v>3786</v>
      </c>
      <c r="E49" t="s">
        <v>4385</v>
      </c>
      <c r="F49" t="s">
        <v>3913</v>
      </c>
    </row>
    <row r="50" spans="1:6" hidden="1" x14ac:dyDescent="0.2">
      <c r="A50" t="s">
        <v>3784</v>
      </c>
      <c r="B50" t="s">
        <v>3914</v>
      </c>
      <c r="C50" t="str">
        <f t="shared" si="0"/>
        <v>AntioquiaFRONTINO</v>
      </c>
      <c r="D50" t="s">
        <v>3786</v>
      </c>
      <c r="E50" t="s">
        <v>3363</v>
      </c>
      <c r="F50" t="s">
        <v>3915</v>
      </c>
    </row>
    <row r="51" spans="1:6" hidden="1" x14ac:dyDescent="0.2">
      <c r="A51" t="s">
        <v>3784</v>
      </c>
      <c r="B51" t="s">
        <v>3916</v>
      </c>
      <c r="C51" t="str">
        <f t="shared" si="0"/>
        <v>AntioquiaGIRALDO</v>
      </c>
      <c r="D51" t="s">
        <v>3786</v>
      </c>
      <c r="E51" t="s">
        <v>3918</v>
      </c>
      <c r="F51" t="s">
        <v>3917</v>
      </c>
    </row>
    <row r="52" spans="1:6" hidden="1" x14ac:dyDescent="0.2">
      <c r="A52" t="s">
        <v>3784</v>
      </c>
      <c r="B52" t="s">
        <v>3919</v>
      </c>
      <c r="C52" t="str">
        <f t="shared" si="0"/>
        <v>AntioquiaGIRARDOTA</v>
      </c>
      <c r="D52" t="s">
        <v>3786</v>
      </c>
      <c r="E52" t="s">
        <v>4414</v>
      </c>
      <c r="F52" t="s">
        <v>3920</v>
      </c>
    </row>
    <row r="53" spans="1:6" hidden="1" x14ac:dyDescent="0.2">
      <c r="A53" t="s">
        <v>3784</v>
      </c>
      <c r="B53" t="s">
        <v>3921</v>
      </c>
      <c r="C53" t="str">
        <f t="shared" si="0"/>
        <v>AntioquiaGOMEZ PLATA</v>
      </c>
      <c r="D53" t="s">
        <v>3786</v>
      </c>
      <c r="E53" t="s">
        <v>3923</v>
      </c>
      <c r="F53" t="s">
        <v>3922</v>
      </c>
    </row>
    <row r="54" spans="1:6" hidden="1" x14ac:dyDescent="0.2">
      <c r="A54" t="s">
        <v>3784</v>
      </c>
      <c r="B54" t="s">
        <v>3924</v>
      </c>
      <c r="C54" t="str">
        <f t="shared" si="0"/>
        <v>AntioquiaGRANADA</v>
      </c>
      <c r="D54" t="s">
        <v>3786</v>
      </c>
      <c r="E54" t="s">
        <v>2211</v>
      </c>
      <c r="F54" t="s">
        <v>3925</v>
      </c>
    </row>
    <row r="55" spans="1:6" hidden="1" x14ac:dyDescent="0.2">
      <c r="A55" t="s">
        <v>3784</v>
      </c>
      <c r="B55" t="s">
        <v>3926</v>
      </c>
      <c r="C55" t="str">
        <f t="shared" si="0"/>
        <v>AntioquiaGUADALUPE</v>
      </c>
      <c r="D55" t="s">
        <v>3786</v>
      </c>
      <c r="E55" t="s">
        <v>3322</v>
      </c>
      <c r="F55" t="s">
        <v>3927</v>
      </c>
    </row>
    <row r="56" spans="1:6" hidden="1" x14ac:dyDescent="0.2">
      <c r="A56" t="s">
        <v>3784</v>
      </c>
      <c r="B56" t="s">
        <v>3928</v>
      </c>
      <c r="C56" t="str">
        <f t="shared" si="0"/>
        <v>AntioquiaGUARNE</v>
      </c>
      <c r="D56" t="s">
        <v>3786</v>
      </c>
      <c r="E56" t="s">
        <v>3343</v>
      </c>
      <c r="F56" t="s">
        <v>3929</v>
      </c>
    </row>
    <row r="57" spans="1:6" hidden="1" x14ac:dyDescent="0.2">
      <c r="A57" t="s">
        <v>3784</v>
      </c>
      <c r="B57" t="s">
        <v>3930</v>
      </c>
      <c r="C57" t="str">
        <f t="shared" si="0"/>
        <v>AntioquiaGUATAPE</v>
      </c>
      <c r="D57" t="s">
        <v>3786</v>
      </c>
      <c r="E57" t="s">
        <v>3932</v>
      </c>
      <c r="F57" t="s">
        <v>3931</v>
      </c>
    </row>
    <row r="58" spans="1:6" hidden="1" x14ac:dyDescent="0.2">
      <c r="A58" t="s">
        <v>3784</v>
      </c>
      <c r="B58" t="s">
        <v>3933</v>
      </c>
      <c r="C58" t="str">
        <f t="shared" si="0"/>
        <v>AntioquiaHELICONIA</v>
      </c>
      <c r="D58" t="s">
        <v>3786</v>
      </c>
      <c r="E58" t="s">
        <v>3935</v>
      </c>
      <c r="F58" t="s">
        <v>3934</v>
      </c>
    </row>
    <row r="59" spans="1:6" hidden="1" x14ac:dyDescent="0.2">
      <c r="A59" t="s">
        <v>3784</v>
      </c>
      <c r="B59" t="s">
        <v>3936</v>
      </c>
      <c r="C59" t="str">
        <f t="shared" si="0"/>
        <v>AntioquiaHISPANIA</v>
      </c>
      <c r="D59" t="s">
        <v>3786</v>
      </c>
      <c r="E59" t="s">
        <v>3938</v>
      </c>
      <c r="F59" t="s">
        <v>3937</v>
      </c>
    </row>
    <row r="60" spans="1:6" hidden="1" x14ac:dyDescent="0.2">
      <c r="A60" t="s">
        <v>3784</v>
      </c>
      <c r="B60" t="s">
        <v>3939</v>
      </c>
      <c r="C60" t="str">
        <f t="shared" si="0"/>
        <v>AntioquiaITAGUI</v>
      </c>
      <c r="D60" t="s">
        <v>3786</v>
      </c>
      <c r="E60" t="s">
        <v>3244</v>
      </c>
      <c r="F60" t="s">
        <v>3940</v>
      </c>
    </row>
    <row r="61" spans="1:6" hidden="1" x14ac:dyDescent="0.2">
      <c r="A61" t="s">
        <v>3784</v>
      </c>
      <c r="B61" t="s">
        <v>3941</v>
      </c>
      <c r="C61" t="str">
        <f t="shared" si="0"/>
        <v>AntioquiaITUANGO</v>
      </c>
      <c r="D61" t="s">
        <v>3786</v>
      </c>
      <c r="E61" t="s">
        <v>3943</v>
      </c>
      <c r="F61" t="s">
        <v>3942</v>
      </c>
    </row>
    <row r="62" spans="1:6" hidden="1" x14ac:dyDescent="0.2">
      <c r="A62" t="s">
        <v>3784</v>
      </c>
      <c r="B62" t="s">
        <v>3944</v>
      </c>
      <c r="C62" t="str">
        <f t="shared" si="0"/>
        <v>AntioquiaJARDIN</v>
      </c>
      <c r="D62" t="s">
        <v>3786</v>
      </c>
      <c r="E62" t="s">
        <v>3946</v>
      </c>
      <c r="F62" t="s">
        <v>3945</v>
      </c>
    </row>
    <row r="63" spans="1:6" hidden="1" x14ac:dyDescent="0.2">
      <c r="A63" t="s">
        <v>3784</v>
      </c>
      <c r="B63" t="s">
        <v>3947</v>
      </c>
      <c r="C63" t="str">
        <f t="shared" si="0"/>
        <v>AntioquiaJERICO</v>
      </c>
      <c r="D63" t="s">
        <v>3786</v>
      </c>
      <c r="E63" t="s">
        <v>2866</v>
      </c>
      <c r="F63" t="s">
        <v>3948</v>
      </c>
    </row>
    <row r="64" spans="1:6" hidden="1" x14ac:dyDescent="0.2">
      <c r="A64" t="s">
        <v>3784</v>
      </c>
      <c r="B64" t="s">
        <v>3949</v>
      </c>
      <c r="C64" t="str">
        <f t="shared" si="0"/>
        <v>AntioquiaLA CEJA</v>
      </c>
      <c r="D64" t="s">
        <v>3786</v>
      </c>
      <c r="E64" t="s">
        <v>3951</v>
      </c>
      <c r="F64" t="s">
        <v>3950</v>
      </c>
    </row>
    <row r="65" spans="1:6" hidden="1" x14ac:dyDescent="0.2">
      <c r="A65" t="s">
        <v>3784</v>
      </c>
      <c r="B65" t="s">
        <v>3952</v>
      </c>
      <c r="C65" t="str">
        <f t="shared" si="0"/>
        <v>AntioquiaLA ESTRELLA</v>
      </c>
      <c r="D65" t="s">
        <v>3786</v>
      </c>
      <c r="E65" t="s">
        <v>3390</v>
      </c>
      <c r="F65" t="s">
        <v>3280</v>
      </c>
    </row>
    <row r="66" spans="1:6" hidden="1" x14ac:dyDescent="0.2">
      <c r="A66" t="s">
        <v>3784</v>
      </c>
      <c r="B66" t="s">
        <v>3953</v>
      </c>
      <c r="C66" t="str">
        <f t="shared" si="0"/>
        <v>AntioquiaLA PINTADA</v>
      </c>
      <c r="D66" t="s">
        <v>3786</v>
      </c>
      <c r="E66" t="s">
        <v>3955</v>
      </c>
      <c r="F66" t="s">
        <v>3954</v>
      </c>
    </row>
    <row r="67" spans="1:6" hidden="1" x14ac:dyDescent="0.2">
      <c r="A67" t="s">
        <v>3784</v>
      </c>
      <c r="B67" t="s">
        <v>3956</v>
      </c>
      <c r="C67" t="str">
        <f t="shared" ref="C67:C130" si="1">D67&amp;E67</f>
        <v>AntioquiaLA UNION</v>
      </c>
      <c r="D67" t="s">
        <v>3786</v>
      </c>
      <c r="E67" t="s">
        <v>3493</v>
      </c>
      <c r="F67" t="s">
        <v>3957</v>
      </c>
    </row>
    <row r="68" spans="1:6" hidden="1" x14ac:dyDescent="0.2">
      <c r="A68" t="s">
        <v>3784</v>
      </c>
      <c r="B68" t="s">
        <v>3958</v>
      </c>
      <c r="C68" t="str">
        <f t="shared" si="1"/>
        <v>AntioquiaLIBORINA</v>
      </c>
      <c r="D68" t="s">
        <v>3786</v>
      </c>
      <c r="E68" t="s">
        <v>3960</v>
      </c>
      <c r="F68" t="s">
        <v>3959</v>
      </c>
    </row>
    <row r="69" spans="1:6" hidden="1" x14ac:dyDescent="0.2">
      <c r="A69" t="s">
        <v>3784</v>
      </c>
      <c r="B69" t="s">
        <v>3961</v>
      </c>
      <c r="C69" t="str">
        <f t="shared" si="1"/>
        <v>AntioquiaMACEO</v>
      </c>
      <c r="D69" t="s">
        <v>3786</v>
      </c>
      <c r="E69" t="s">
        <v>3963</v>
      </c>
      <c r="F69" t="s">
        <v>3962</v>
      </c>
    </row>
    <row r="70" spans="1:6" hidden="1" x14ac:dyDescent="0.2">
      <c r="A70" t="s">
        <v>3784</v>
      </c>
      <c r="B70" t="s">
        <v>3964</v>
      </c>
      <c r="C70" t="str">
        <f t="shared" si="1"/>
        <v>AntioquiaMARINILLA</v>
      </c>
      <c r="D70" t="s">
        <v>3786</v>
      </c>
      <c r="E70" t="s">
        <v>3966</v>
      </c>
      <c r="F70" t="s">
        <v>3965</v>
      </c>
    </row>
    <row r="71" spans="1:6" hidden="1" x14ac:dyDescent="0.2">
      <c r="A71" t="s">
        <v>3784</v>
      </c>
      <c r="B71" t="s">
        <v>3967</v>
      </c>
      <c r="C71" t="str">
        <f t="shared" si="1"/>
        <v>AntioquiaMONTEBELLO</v>
      </c>
      <c r="D71" t="s">
        <v>3786</v>
      </c>
      <c r="E71" t="s">
        <v>3969</v>
      </c>
      <c r="F71" t="s">
        <v>3968</v>
      </c>
    </row>
    <row r="72" spans="1:6" hidden="1" x14ac:dyDescent="0.2">
      <c r="A72" t="s">
        <v>3784</v>
      </c>
      <c r="B72" t="s">
        <v>3970</v>
      </c>
      <c r="C72" t="str">
        <f t="shared" si="1"/>
        <v>AntioquiaMURINDO</v>
      </c>
      <c r="D72" t="s">
        <v>3786</v>
      </c>
      <c r="E72" t="s">
        <v>3972</v>
      </c>
      <c r="F72" t="s">
        <v>3971</v>
      </c>
    </row>
    <row r="73" spans="1:6" hidden="1" x14ac:dyDescent="0.2">
      <c r="A73" t="s">
        <v>3784</v>
      </c>
      <c r="B73" t="s">
        <v>3973</v>
      </c>
      <c r="C73" t="str">
        <f t="shared" si="1"/>
        <v>AntioquiaMUTATA</v>
      </c>
      <c r="D73" t="s">
        <v>3786</v>
      </c>
      <c r="E73" t="s">
        <v>3975</v>
      </c>
      <c r="F73" t="s">
        <v>3974</v>
      </c>
    </row>
    <row r="74" spans="1:6" hidden="1" x14ac:dyDescent="0.2">
      <c r="A74" t="s">
        <v>3784</v>
      </c>
      <c r="B74" t="s">
        <v>3976</v>
      </c>
      <c r="C74" t="str">
        <f t="shared" si="1"/>
        <v>AntioquiaNARIÑO</v>
      </c>
      <c r="D74" t="s">
        <v>3786</v>
      </c>
      <c r="E74" t="s">
        <v>4387</v>
      </c>
      <c r="F74" t="s">
        <v>3977</v>
      </c>
    </row>
    <row r="75" spans="1:6" hidden="1" x14ac:dyDescent="0.2">
      <c r="A75" t="s">
        <v>3784</v>
      </c>
      <c r="B75" t="s">
        <v>3978</v>
      </c>
      <c r="C75" t="str">
        <f t="shared" si="1"/>
        <v>AntioquiaNECOCLI</v>
      </c>
      <c r="D75" t="s">
        <v>3786</v>
      </c>
      <c r="E75" t="s">
        <v>3980</v>
      </c>
      <c r="F75" t="s">
        <v>3979</v>
      </c>
    </row>
    <row r="76" spans="1:6" hidden="1" x14ac:dyDescent="0.2">
      <c r="A76" t="s">
        <v>3784</v>
      </c>
      <c r="B76" t="s">
        <v>3981</v>
      </c>
      <c r="C76" t="str">
        <f t="shared" si="1"/>
        <v>AntioquiaNECHI</v>
      </c>
      <c r="D76" t="s">
        <v>3786</v>
      </c>
      <c r="E76" t="s">
        <v>3983</v>
      </c>
      <c r="F76" t="s">
        <v>3982</v>
      </c>
    </row>
    <row r="77" spans="1:6" hidden="1" x14ac:dyDescent="0.2">
      <c r="A77" t="s">
        <v>3784</v>
      </c>
      <c r="B77" t="s">
        <v>3984</v>
      </c>
      <c r="C77" t="str">
        <f t="shared" si="1"/>
        <v>AntioquiaOLAYA</v>
      </c>
      <c r="D77" t="s">
        <v>3786</v>
      </c>
      <c r="E77" t="s">
        <v>3986</v>
      </c>
      <c r="F77" t="s">
        <v>3985</v>
      </c>
    </row>
    <row r="78" spans="1:6" hidden="1" x14ac:dyDescent="0.2">
      <c r="A78" t="s">
        <v>3784</v>
      </c>
      <c r="B78" t="s">
        <v>3987</v>
      </c>
      <c r="C78" t="str">
        <f t="shared" si="1"/>
        <v>AntioquiaPEÑOL</v>
      </c>
      <c r="D78" t="s">
        <v>3786</v>
      </c>
      <c r="E78" t="s">
        <v>3245</v>
      </c>
      <c r="F78" t="s">
        <v>3988</v>
      </c>
    </row>
    <row r="79" spans="1:6" hidden="1" x14ac:dyDescent="0.2">
      <c r="A79" t="s">
        <v>3784</v>
      </c>
      <c r="B79" t="s">
        <v>3989</v>
      </c>
      <c r="C79" t="str">
        <f t="shared" si="1"/>
        <v>AntioquiaPEQUE</v>
      </c>
      <c r="D79" t="s">
        <v>3786</v>
      </c>
      <c r="E79" t="s">
        <v>3991</v>
      </c>
      <c r="F79" t="s">
        <v>3990</v>
      </c>
    </row>
    <row r="80" spans="1:6" hidden="1" x14ac:dyDescent="0.2">
      <c r="A80" t="s">
        <v>3784</v>
      </c>
      <c r="B80" t="s">
        <v>3992</v>
      </c>
      <c r="C80" t="str">
        <f t="shared" si="1"/>
        <v>AntioquiaPUEBLORRICO</v>
      </c>
      <c r="D80" t="s">
        <v>3786</v>
      </c>
      <c r="E80" t="s">
        <v>3994</v>
      </c>
      <c r="F80" t="s">
        <v>3993</v>
      </c>
    </row>
    <row r="81" spans="1:6" hidden="1" x14ac:dyDescent="0.2">
      <c r="A81" t="s">
        <v>3784</v>
      </c>
      <c r="B81" t="s">
        <v>3995</v>
      </c>
      <c r="C81" t="str">
        <f t="shared" si="1"/>
        <v>AntioquiaPUERTO BERRIO</v>
      </c>
      <c r="D81" t="s">
        <v>3786</v>
      </c>
      <c r="E81" t="s">
        <v>3547</v>
      </c>
      <c r="F81" t="s">
        <v>3996</v>
      </c>
    </row>
    <row r="82" spans="1:6" hidden="1" x14ac:dyDescent="0.2">
      <c r="A82" t="s">
        <v>3784</v>
      </c>
      <c r="B82" t="s">
        <v>3997</v>
      </c>
      <c r="C82" t="str">
        <f t="shared" si="1"/>
        <v>AntioquiaPUERTO NARE</v>
      </c>
      <c r="D82" t="s">
        <v>3786</v>
      </c>
      <c r="E82" t="s">
        <v>4278</v>
      </c>
      <c r="F82" t="s">
        <v>3998</v>
      </c>
    </row>
    <row r="83" spans="1:6" hidden="1" x14ac:dyDescent="0.2">
      <c r="A83" t="s">
        <v>3784</v>
      </c>
      <c r="B83" t="s">
        <v>3999</v>
      </c>
      <c r="C83" t="str">
        <f t="shared" si="1"/>
        <v>AntioquiaPUERTO TRIUNFO</v>
      </c>
      <c r="D83" t="s">
        <v>3786</v>
      </c>
      <c r="E83" t="s">
        <v>3536</v>
      </c>
      <c r="F83" t="s">
        <v>4000</v>
      </c>
    </row>
    <row r="84" spans="1:6" hidden="1" x14ac:dyDescent="0.2">
      <c r="A84" t="s">
        <v>3784</v>
      </c>
      <c r="B84" t="s">
        <v>4001</v>
      </c>
      <c r="C84" t="str">
        <f t="shared" si="1"/>
        <v>AntioquiaREMEDIOS</v>
      </c>
      <c r="D84" t="s">
        <v>3786</v>
      </c>
      <c r="E84" t="s">
        <v>4003</v>
      </c>
      <c r="F84" t="s">
        <v>4002</v>
      </c>
    </row>
    <row r="85" spans="1:6" hidden="1" x14ac:dyDescent="0.2">
      <c r="A85" t="s">
        <v>3784</v>
      </c>
      <c r="B85" t="s">
        <v>4004</v>
      </c>
      <c r="C85" t="str">
        <f t="shared" si="1"/>
        <v>AntioquiaRETIRO</v>
      </c>
      <c r="D85" t="s">
        <v>3786</v>
      </c>
      <c r="E85" t="s">
        <v>4006</v>
      </c>
      <c r="F85" t="s">
        <v>4005</v>
      </c>
    </row>
    <row r="86" spans="1:6" hidden="1" x14ac:dyDescent="0.2">
      <c r="A86" t="s">
        <v>3784</v>
      </c>
      <c r="B86" t="s">
        <v>4007</v>
      </c>
      <c r="C86" t="str">
        <f t="shared" si="1"/>
        <v>AntioquiaRIONEGRO</v>
      </c>
      <c r="D86" t="s">
        <v>3786</v>
      </c>
      <c r="E86" t="s">
        <v>2261</v>
      </c>
      <c r="F86" t="s">
        <v>4008</v>
      </c>
    </row>
    <row r="87" spans="1:6" hidden="1" x14ac:dyDescent="0.2">
      <c r="A87" t="s">
        <v>3784</v>
      </c>
      <c r="B87" t="s">
        <v>4009</v>
      </c>
      <c r="C87" t="str">
        <f t="shared" si="1"/>
        <v>AntioquiaSABANALARGA</v>
      </c>
      <c r="D87" t="s">
        <v>3786</v>
      </c>
      <c r="E87" t="s">
        <v>4011</v>
      </c>
      <c r="F87" t="s">
        <v>4010</v>
      </c>
    </row>
    <row r="88" spans="1:6" hidden="1" x14ac:dyDescent="0.2">
      <c r="A88" t="s">
        <v>3784</v>
      </c>
      <c r="B88" t="s">
        <v>4012</v>
      </c>
      <c r="C88" t="str">
        <f t="shared" si="1"/>
        <v>AntioquiaSABANETA</v>
      </c>
      <c r="D88" t="s">
        <v>3786</v>
      </c>
      <c r="E88" t="s">
        <v>4415</v>
      </c>
      <c r="F88" t="s">
        <v>4013</v>
      </c>
    </row>
    <row r="89" spans="1:6" hidden="1" x14ac:dyDescent="0.2">
      <c r="A89" t="s">
        <v>3784</v>
      </c>
      <c r="B89" t="s">
        <v>4014</v>
      </c>
      <c r="C89" t="str">
        <f t="shared" si="1"/>
        <v>AntioquiaSALGAR</v>
      </c>
      <c r="D89" t="s">
        <v>3786</v>
      </c>
      <c r="E89" t="s">
        <v>4016</v>
      </c>
      <c r="F89" t="s">
        <v>4015</v>
      </c>
    </row>
    <row r="90" spans="1:6" hidden="1" x14ac:dyDescent="0.2">
      <c r="A90" t="s">
        <v>3784</v>
      </c>
      <c r="B90" t="s">
        <v>4017</v>
      </c>
      <c r="C90" t="str">
        <f t="shared" si="1"/>
        <v>AntioquiaSAN ANDRES DE CUERQUIA</v>
      </c>
      <c r="D90" t="s">
        <v>3786</v>
      </c>
      <c r="E90" t="s">
        <v>4379</v>
      </c>
      <c r="F90" t="s">
        <v>4018</v>
      </c>
    </row>
    <row r="91" spans="1:6" hidden="1" x14ac:dyDescent="0.2">
      <c r="A91" t="s">
        <v>3784</v>
      </c>
      <c r="B91" t="s">
        <v>4019</v>
      </c>
      <c r="C91" t="str">
        <f t="shared" si="1"/>
        <v>AntioquiaSAN CARLOS</v>
      </c>
      <c r="D91" t="s">
        <v>3786</v>
      </c>
      <c r="E91" t="s">
        <v>4369</v>
      </c>
      <c r="F91" t="s">
        <v>4020</v>
      </c>
    </row>
    <row r="92" spans="1:6" hidden="1" x14ac:dyDescent="0.2">
      <c r="A92" t="s">
        <v>3784</v>
      </c>
      <c r="B92" t="s">
        <v>4021</v>
      </c>
      <c r="C92" t="str">
        <f t="shared" si="1"/>
        <v>AntioquiaSAN FRANCISCO</v>
      </c>
      <c r="D92" t="s">
        <v>3786</v>
      </c>
      <c r="E92" t="s">
        <v>2277</v>
      </c>
      <c r="F92" t="s">
        <v>4022</v>
      </c>
    </row>
    <row r="93" spans="1:6" hidden="1" x14ac:dyDescent="0.2">
      <c r="A93" t="s">
        <v>3784</v>
      </c>
      <c r="B93" t="s">
        <v>4023</v>
      </c>
      <c r="C93" t="str">
        <f t="shared" si="1"/>
        <v>AntioquiaSAN JERONIMO</v>
      </c>
      <c r="D93" t="s">
        <v>3786</v>
      </c>
      <c r="E93" t="s">
        <v>4025</v>
      </c>
      <c r="F93" t="s">
        <v>4024</v>
      </c>
    </row>
    <row r="94" spans="1:6" hidden="1" x14ac:dyDescent="0.2">
      <c r="A94" t="s">
        <v>3784</v>
      </c>
      <c r="B94" t="s">
        <v>4026</v>
      </c>
      <c r="C94" t="str">
        <f t="shared" si="1"/>
        <v>AntioquiaSAN JOSE DE LA MONTAÑA</v>
      </c>
      <c r="D94" t="s">
        <v>3786</v>
      </c>
      <c r="E94" t="s">
        <v>4028</v>
      </c>
      <c r="F94" t="s">
        <v>4027</v>
      </c>
    </row>
    <row r="95" spans="1:6" hidden="1" x14ac:dyDescent="0.2">
      <c r="A95" t="s">
        <v>3784</v>
      </c>
      <c r="B95" t="s">
        <v>4029</v>
      </c>
      <c r="C95" t="str">
        <f t="shared" si="1"/>
        <v>AntioquiaSAN JUAN DE URABA</v>
      </c>
      <c r="D95" t="s">
        <v>3786</v>
      </c>
      <c r="E95" t="s">
        <v>4031</v>
      </c>
      <c r="F95" t="s">
        <v>4030</v>
      </c>
    </row>
    <row r="96" spans="1:6" hidden="1" x14ac:dyDescent="0.2">
      <c r="A96" t="s">
        <v>3784</v>
      </c>
      <c r="B96" t="s">
        <v>4032</v>
      </c>
      <c r="C96" t="str">
        <f t="shared" si="1"/>
        <v>AntioquiaSAN LUIS</v>
      </c>
      <c r="D96" t="s">
        <v>3786</v>
      </c>
      <c r="E96" t="s">
        <v>2276</v>
      </c>
      <c r="F96" t="s">
        <v>4033</v>
      </c>
    </row>
    <row r="97" spans="1:6" hidden="1" x14ac:dyDescent="0.2">
      <c r="A97" t="s">
        <v>3784</v>
      </c>
      <c r="B97" t="s">
        <v>4034</v>
      </c>
      <c r="C97" t="str">
        <f t="shared" si="1"/>
        <v>AntioquiaSAN PEDRO</v>
      </c>
      <c r="D97" t="s">
        <v>3786</v>
      </c>
      <c r="E97" t="s">
        <v>3492</v>
      </c>
      <c r="F97" t="s">
        <v>4035</v>
      </c>
    </row>
    <row r="98" spans="1:6" hidden="1" x14ac:dyDescent="0.2">
      <c r="A98" t="s">
        <v>3784</v>
      </c>
      <c r="B98" t="s">
        <v>4036</v>
      </c>
      <c r="C98" t="str">
        <f t="shared" si="1"/>
        <v>AntioquiaSAN PEDRO DE URABA</v>
      </c>
      <c r="D98" t="s">
        <v>3786</v>
      </c>
      <c r="E98" t="s">
        <v>4038</v>
      </c>
      <c r="F98" t="s">
        <v>4037</v>
      </c>
    </row>
    <row r="99" spans="1:6" hidden="1" x14ac:dyDescent="0.2">
      <c r="A99" t="s">
        <v>3784</v>
      </c>
      <c r="B99" t="s">
        <v>4039</v>
      </c>
      <c r="C99" t="str">
        <f t="shared" si="1"/>
        <v>AntioquiaSAN RAFAEL</v>
      </c>
      <c r="D99" t="s">
        <v>3786</v>
      </c>
      <c r="E99" t="s">
        <v>4041</v>
      </c>
      <c r="F99" t="s">
        <v>4040</v>
      </c>
    </row>
    <row r="100" spans="1:6" hidden="1" x14ac:dyDescent="0.2">
      <c r="A100" t="s">
        <v>3784</v>
      </c>
      <c r="B100" t="s">
        <v>4042</v>
      </c>
      <c r="C100" t="str">
        <f t="shared" si="1"/>
        <v>AntioquiaSAN ROQUE</v>
      </c>
      <c r="D100" t="s">
        <v>3786</v>
      </c>
      <c r="E100" t="s">
        <v>4416</v>
      </c>
      <c r="F100" t="s">
        <v>4043</v>
      </c>
    </row>
    <row r="101" spans="1:6" hidden="1" x14ac:dyDescent="0.2">
      <c r="A101" t="s">
        <v>3784</v>
      </c>
      <c r="B101" t="s">
        <v>4044</v>
      </c>
      <c r="C101" t="str">
        <f t="shared" si="1"/>
        <v>AntioquiaSAN VICENTE</v>
      </c>
      <c r="D101" t="s">
        <v>3786</v>
      </c>
      <c r="E101" t="s">
        <v>4046</v>
      </c>
      <c r="F101" t="s">
        <v>4045</v>
      </c>
    </row>
    <row r="102" spans="1:6" hidden="1" x14ac:dyDescent="0.2">
      <c r="A102" t="s">
        <v>3784</v>
      </c>
      <c r="B102" t="s">
        <v>4047</v>
      </c>
      <c r="C102" t="str">
        <f t="shared" si="1"/>
        <v>AntioquiaSANTA BARBARA</v>
      </c>
      <c r="D102" t="s">
        <v>3786</v>
      </c>
      <c r="E102" t="s">
        <v>4254</v>
      </c>
      <c r="F102" t="s">
        <v>4048</v>
      </c>
    </row>
    <row r="103" spans="1:6" hidden="1" x14ac:dyDescent="0.2">
      <c r="A103" t="s">
        <v>3784</v>
      </c>
      <c r="B103" t="s">
        <v>4049</v>
      </c>
      <c r="C103" t="str">
        <f t="shared" si="1"/>
        <v>AntioquiaSANTA ROSA DE OSOS</v>
      </c>
      <c r="D103" t="s">
        <v>3786</v>
      </c>
      <c r="E103" t="s">
        <v>4051</v>
      </c>
      <c r="F103" t="s">
        <v>4050</v>
      </c>
    </row>
    <row r="104" spans="1:6" hidden="1" x14ac:dyDescent="0.2">
      <c r="A104" t="s">
        <v>3784</v>
      </c>
      <c r="B104" t="s">
        <v>4052</v>
      </c>
      <c r="C104" t="str">
        <f t="shared" si="1"/>
        <v>AntioquiaSANTO DOMINGO</v>
      </c>
      <c r="D104" t="s">
        <v>3786</v>
      </c>
      <c r="E104" t="s">
        <v>4054</v>
      </c>
      <c r="F104" t="s">
        <v>4053</v>
      </c>
    </row>
    <row r="105" spans="1:6" hidden="1" x14ac:dyDescent="0.2">
      <c r="A105" t="s">
        <v>3784</v>
      </c>
      <c r="B105" t="s">
        <v>4055</v>
      </c>
      <c r="C105" t="str">
        <f t="shared" si="1"/>
        <v>AntioquiaEL SANTUARIO</v>
      </c>
      <c r="D105" t="s">
        <v>3786</v>
      </c>
      <c r="E105" t="s">
        <v>4057</v>
      </c>
      <c r="F105" t="s">
        <v>4056</v>
      </c>
    </row>
    <row r="106" spans="1:6" hidden="1" x14ac:dyDescent="0.2">
      <c r="A106" t="s">
        <v>3784</v>
      </c>
      <c r="B106" t="s">
        <v>4058</v>
      </c>
      <c r="C106" t="str">
        <f t="shared" si="1"/>
        <v>AntioquiaSEGOVIA</v>
      </c>
      <c r="D106" t="s">
        <v>3786</v>
      </c>
      <c r="E106" t="s">
        <v>4391</v>
      </c>
      <c r="F106" t="s">
        <v>2716</v>
      </c>
    </row>
    <row r="107" spans="1:6" hidden="1" x14ac:dyDescent="0.2">
      <c r="A107" t="s">
        <v>3784</v>
      </c>
      <c r="B107" t="s">
        <v>4059</v>
      </c>
      <c r="C107" t="str">
        <f t="shared" si="1"/>
        <v>AntioquiaSONSON</v>
      </c>
      <c r="D107" t="s">
        <v>3786</v>
      </c>
      <c r="E107" t="s">
        <v>3500</v>
      </c>
      <c r="F107" t="s">
        <v>4060</v>
      </c>
    </row>
    <row r="108" spans="1:6" hidden="1" x14ac:dyDescent="0.2">
      <c r="A108" t="s">
        <v>3784</v>
      </c>
      <c r="B108" t="s">
        <v>4061</v>
      </c>
      <c r="C108" t="str">
        <f t="shared" si="1"/>
        <v>AntioquiaSOPETRAN</v>
      </c>
      <c r="D108" t="s">
        <v>3786</v>
      </c>
      <c r="E108" t="s">
        <v>4063</v>
      </c>
      <c r="F108" t="s">
        <v>4062</v>
      </c>
    </row>
    <row r="109" spans="1:6" hidden="1" x14ac:dyDescent="0.2">
      <c r="A109" t="s">
        <v>3784</v>
      </c>
      <c r="B109" t="s">
        <v>4064</v>
      </c>
      <c r="C109" t="str">
        <f t="shared" si="1"/>
        <v>AntioquiaTAMESIS</v>
      </c>
      <c r="D109" t="s">
        <v>3786</v>
      </c>
      <c r="E109" t="s">
        <v>4307</v>
      </c>
      <c r="F109" t="s">
        <v>4065</v>
      </c>
    </row>
    <row r="110" spans="1:6" hidden="1" x14ac:dyDescent="0.2">
      <c r="A110" t="s">
        <v>3784</v>
      </c>
      <c r="B110" t="s">
        <v>4066</v>
      </c>
      <c r="C110" t="str">
        <f t="shared" si="1"/>
        <v>AntioquiaTARAZA</v>
      </c>
      <c r="D110" t="s">
        <v>3786</v>
      </c>
      <c r="E110" t="s">
        <v>4068</v>
      </c>
      <c r="F110" t="s">
        <v>4067</v>
      </c>
    </row>
    <row r="111" spans="1:6" hidden="1" x14ac:dyDescent="0.2">
      <c r="A111" t="s">
        <v>3784</v>
      </c>
      <c r="B111" t="s">
        <v>4069</v>
      </c>
      <c r="C111" t="str">
        <f t="shared" si="1"/>
        <v>AntioquiaTARSO</v>
      </c>
      <c r="D111" t="s">
        <v>3786</v>
      </c>
      <c r="E111" t="s">
        <v>4071</v>
      </c>
      <c r="F111" t="s">
        <v>4070</v>
      </c>
    </row>
    <row r="112" spans="1:6" hidden="1" x14ac:dyDescent="0.2">
      <c r="A112" t="s">
        <v>3784</v>
      </c>
      <c r="B112" t="s">
        <v>4072</v>
      </c>
      <c r="C112" t="str">
        <f t="shared" si="1"/>
        <v>AntioquiaTITIRIBI</v>
      </c>
      <c r="D112" t="s">
        <v>3786</v>
      </c>
      <c r="E112" t="s">
        <v>4074</v>
      </c>
      <c r="F112" t="s">
        <v>4073</v>
      </c>
    </row>
    <row r="113" spans="1:6" hidden="1" x14ac:dyDescent="0.2">
      <c r="A113" t="s">
        <v>3784</v>
      </c>
      <c r="B113" t="s">
        <v>4075</v>
      </c>
      <c r="C113" t="str">
        <f t="shared" si="1"/>
        <v>AntioquiaTOLEDO</v>
      </c>
      <c r="D113" t="s">
        <v>3786</v>
      </c>
      <c r="E113" t="s">
        <v>3362</v>
      </c>
      <c r="F113" t="s">
        <v>4076</v>
      </c>
    </row>
    <row r="114" spans="1:6" hidden="1" x14ac:dyDescent="0.2">
      <c r="A114" t="s">
        <v>3784</v>
      </c>
      <c r="B114" t="s">
        <v>4077</v>
      </c>
      <c r="C114" t="str">
        <f t="shared" si="1"/>
        <v>AntioquiaTURBO</v>
      </c>
      <c r="D114" t="s">
        <v>3786</v>
      </c>
      <c r="E114" t="s">
        <v>4079</v>
      </c>
      <c r="F114" t="s">
        <v>4078</v>
      </c>
    </row>
    <row r="115" spans="1:6" hidden="1" x14ac:dyDescent="0.2">
      <c r="A115" t="s">
        <v>3784</v>
      </c>
      <c r="B115" t="s">
        <v>4080</v>
      </c>
      <c r="C115" t="str">
        <f t="shared" si="1"/>
        <v>AntioquiaURAMITA</v>
      </c>
      <c r="D115" t="s">
        <v>3786</v>
      </c>
      <c r="E115" t="s">
        <v>4082</v>
      </c>
      <c r="F115" t="s">
        <v>4081</v>
      </c>
    </row>
    <row r="116" spans="1:6" hidden="1" x14ac:dyDescent="0.2">
      <c r="A116" t="s">
        <v>3784</v>
      </c>
      <c r="B116" t="s">
        <v>4083</v>
      </c>
      <c r="C116" t="str">
        <f t="shared" si="1"/>
        <v>AntioquiaURRAO</v>
      </c>
      <c r="D116" t="s">
        <v>3786</v>
      </c>
      <c r="E116" t="s">
        <v>4085</v>
      </c>
      <c r="F116" t="s">
        <v>4084</v>
      </c>
    </row>
    <row r="117" spans="1:6" hidden="1" x14ac:dyDescent="0.2">
      <c r="A117" t="s">
        <v>3784</v>
      </c>
      <c r="B117" t="s">
        <v>4086</v>
      </c>
      <c r="C117" t="str">
        <f t="shared" si="1"/>
        <v>AntioquiaVALDIVIA</v>
      </c>
      <c r="D117" t="s">
        <v>3786</v>
      </c>
      <c r="E117" t="s">
        <v>4257</v>
      </c>
      <c r="F117" t="s">
        <v>4087</v>
      </c>
    </row>
    <row r="118" spans="1:6" hidden="1" x14ac:dyDescent="0.2">
      <c r="A118" t="s">
        <v>3784</v>
      </c>
      <c r="B118" t="s">
        <v>4088</v>
      </c>
      <c r="C118" t="str">
        <f t="shared" si="1"/>
        <v>AntioquiaVALPARAISO</v>
      </c>
      <c r="D118" t="s">
        <v>3786</v>
      </c>
      <c r="E118" t="s">
        <v>4090</v>
      </c>
      <c r="F118" t="s">
        <v>4089</v>
      </c>
    </row>
    <row r="119" spans="1:6" hidden="1" x14ac:dyDescent="0.2">
      <c r="A119" t="s">
        <v>3784</v>
      </c>
      <c r="B119" t="s">
        <v>4091</v>
      </c>
      <c r="C119" t="str">
        <f t="shared" si="1"/>
        <v>AntioquiaVEGACHI</v>
      </c>
      <c r="D119" t="s">
        <v>3786</v>
      </c>
      <c r="E119" t="s">
        <v>4093</v>
      </c>
      <c r="F119" t="s">
        <v>4092</v>
      </c>
    </row>
    <row r="120" spans="1:6" hidden="1" x14ac:dyDescent="0.2">
      <c r="A120" t="s">
        <v>3784</v>
      </c>
      <c r="B120" t="s">
        <v>4094</v>
      </c>
      <c r="C120" t="str">
        <f t="shared" si="1"/>
        <v>AntioquiaVENECIA</v>
      </c>
      <c r="D120" t="s">
        <v>3786</v>
      </c>
      <c r="E120" t="s">
        <v>3441</v>
      </c>
      <c r="F120" t="s">
        <v>4095</v>
      </c>
    </row>
    <row r="121" spans="1:6" hidden="1" x14ac:dyDescent="0.2">
      <c r="A121" t="s">
        <v>3784</v>
      </c>
      <c r="B121" t="s">
        <v>4096</v>
      </c>
      <c r="C121" t="str">
        <f t="shared" si="1"/>
        <v>AntioquiaVIGIA DEL FUERTE</v>
      </c>
      <c r="D121" t="s">
        <v>3786</v>
      </c>
      <c r="E121" t="s">
        <v>3335</v>
      </c>
      <c r="F121" t="s">
        <v>4097</v>
      </c>
    </row>
    <row r="122" spans="1:6" hidden="1" x14ac:dyDescent="0.2">
      <c r="A122" t="s">
        <v>3784</v>
      </c>
      <c r="B122" t="s">
        <v>4098</v>
      </c>
      <c r="C122" t="str">
        <f t="shared" si="1"/>
        <v>AntioquiaYALI</v>
      </c>
      <c r="D122" t="s">
        <v>3786</v>
      </c>
      <c r="E122" t="s">
        <v>4100</v>
      </c>
      <c r="F122" t="s">
        <v>4099</v>
      </c>
    </row>
    <row r="123" spans="1:6" hidden="1" x14ac:dyDescent="0.2">
      <c r="A123" t="s">
        <v>3784</v>
      </c>
      <c r="B123" t="s">
        <v>4101</v>
      </c>
      <c r="C123" t="str">
        <f t="shared" si="1"/>
        <v>AntioquiaYARUMAL</v>
      </c>
      <c r="D123" t="s">
        <v>3786</v>
      </c>
      <c r="E123" t="s">
        <v>4103</v>
      </c>
      <c r="F123" t="s">
        <v>4102</v>
      </c>
    </row>
    <row r="124" spans="1:6" hidden="1" x14ac:dyDescent="0.2">
      <c r="A124" t="s">
        <v>3784</v>
      </c>
      <c r="B124" t="s">
        <v>4104</v>
      </c>
      <c r="C124" t="str">
        <f t="shared" si="1"/>
        <v>AntioquiaYOLOMBO</v>
      </c>
      <c r="D124" t="s">
        <v>3786</v>
      </c>
      <c r="E124" t="s">
        <v>4106</v>
      </c>
      <c r="F124" t="s">
        <v>4105</v>
      </c>
    </row>
    <row r="125" spans="1:6" hidden="1" x14ac:dyDescent="0.2">
      <c r="A125" t="s">
        <v>3784</v>
      </c>
      <c r="B125" t="s">
        <v>4107</v>
      </c>
      <c r="C125" t="str">
        <f t="shared" si="1"/>
        <v>AntioquiaYONDO</v>
      </c>
      <c r="D125" t="s">
        <v>3786</v>
      </c>
      <c r="E125" t="s">
        <v>4109</v>
      </c>
      <c r="F125" t="s">
        <v>4108</v>
      </c>
    </row>
    <row r="126" spans="1:6" hidden="1" x14ac:dyDescent="0.2">
      <c r="A126" t="s">
        <v>3784</v>
      </c>
      <c r="B126" t="s">
        <v>4110</v>
      </c>
      <c r="C126" t="str">
        <f t="shared" si="1"/>
        <v>AntioquiaZARAGOZA</v>
      </c>
      <c r="D126" t="s">
        <v>3786</v>
      </c>
      <c r="E126" t="s">
        <v>4112</v>
      </c>
      <c r="F126" t="s">
        <v>4111</v>
      </c>
    </row>
    <row r="127" spans="1:6" hidden="1" x14ac:dyDescent="0.2">
      <c r="A127" t="s">
        <v>4113</v>
      </c>
      <c r="B127" t="s">
        <v>3785</v>
      </c>
      <c r="C127" t="str">
        <f t="shared" si="1"/>
        <v>AtlanticoBARRANQUILLA</v>
      </c>
      <c r="D127" t="s">
        <v>4114</v>
      </c>
      <c r="E127" t="s">
        <v>4338</v>
      </c>
      <c r="F127" t="s">
        <v>2717</v>
      </c>
    </row>
    <row r="128" spans="1:6" hidden="1" x14ac:dyDescent="0.2">
      <c r="A128" t="s">
        <v>4113</v>
      </c>
      <c r="B128" t="s">
        <v>4115</v>
      </c>
      <c r="C128" t="str">
        <f t="shared" si="1"/>
        <v>AtlanticoBARANOA</v>
      </c>
      <c r="D128" t="s">
        <v>4114</v>
      </c>
      <c r="E128" t="s">
        <v>4117</v>
      </c>
      <c r="F128" t="s">
        <v>4116</v>
      </c>
    </row>
    <row r="129" spans="1:6" hidden="1" x14ac:dyDescent="0.2">
      <c r="A129" t="s">
        <v>4113</v>
      </c>
      <c r="B129" t="s">
        <v>4118</v>
      </c>
      <c r="C129" t="str">
        <f t="shared" si="1"/>
        <v>AtlanticoCAMPO DE LA CRUZ</v>
      </c>
      <c r="D129" t="s">
        <v>4114</v>
      </c>
      <c r="E129" t="s">
        <v>4324</v>
      </c>
      <c r="F129" t="s">
        <v>2416</v>
      </c>
    </row>
    <row r="130" spans="1:6" hidden="1" x14ac:dyDescent="0.2">
      <c r="A130" t="s">
        <v>4113</v>
      </c>
      <c r="B130" t="s">
        <v>2417</v>
      </c>
      <c r="C130" t="str">
        <f t="shared" si="1"/>
        <v>AtlanticoCANDELARIA</v>
      </c>
      <c r="D130" t="s">
        <v>4114</v>
      </c>
      <c r="E130" t="s">
        <v>4325</v>
      </c>
      <c r="F130" t="s">
        <v>2418</v>
      </c>
    </row>
    <row r="131" spans="1:6" hidden="1" x14ac:dyDescent="0.2">
      <c r="A131" t="s">
        <v>4113</v>
      </c>
      <c r="B131" t="s">
        <v>2419</v>
      </c>
      <c r="C131" t="str">
        <f t="shared" ref="C131:C194" si="2">D131&amp;E131</f>
        <v>AtlanticoGALAPA</v>
      </c>
      <c r="D131" t="s">
        <v>4114</v>
      </c>
      <c r="E131" t="s">
        <v>2421</v>
      </c>
      <c r="F131" t="s">
        <v>2420</v>
      </c>
    </row>
    <row r="132" spans="1:6" hidden="1" x14ac:dyDescent="0.2">
      <c r="A132" t="s">
        <v>4113</v>
      </c>
      <c r="B132" t="s">
        <v>2422</v>
      </c>
      <c r="C132" t="str">
        <f t="shared" si="2"/>
        <v>AtlanticoJUAN DE ACOSTA</v>
      </c>
      <c r="D132" t="s">
        <v>4114</v>
      </c>
      <c r="E132" t="s">
        <v>2424</v>
      </c>
      <c r="F132" t="s">
        <v>2423</v>
      </c>
    </row>
    <row r="133" spans="1:6" hidden="1" x14ac:dyDescent="0.2">
      <c r="A133" t="s">
        <v>4113</v>
      </c>
      <c r="B133" t="s">
        <v>2425</v>
      </c>
      <c r="C133" t="str">
        <f t="shared" si="2"/>
        <v>AtlanticoLURUACO</v>
      </c>
      <c r="D133" t="s">
        <v>4114</v>
      </c>
      <c r="E133" t="s">
        <v>2427</v>
      </c>
      <c r="F133" t="s">
        <v>2426</v>
      </c>
    </row>
    <row r="134" spans="1:6" hidden="1" x14ac:dyDescent="0.2">
      <c r="A134" t="s">
        <v>4113</v>
      </c>
      <c r="B134" t="s">
        <v>2428</v>
      </c>
      <c r="C134" t="str">
        <f t="shared" si="2"/>
        <v>AtlanticoMALAMBO</v>
      </c>
      <c r="D134" t="s">
        <v>4114</v>
      </c>
      <c r="E134" t="s">
        <v>2430</v>
      </c>
      <c r="F134" t="s">
        <v>2429</v>
      </c>
    </row>
    <row r="135" spans="1:6" hidden="1" x14ac:dyDescent="0.2">
      <c r="A135" t="s">
        <v>4113</v>
      </c>
      <c r="B135" t="s">
        <v>2431</v>
      </c>
      <c r="C135" t="str">
        <f t="shared" si="2"/>
        <v>AtlanticoMANATI</v>
      </c>
      <c r="D135" t="s">
        <v>4114</v>
      </c>
      <c r="E135" t="s">
        <v>2433</v>
      </c>
      <c r="F135" t="s">
        <v>2432</v>
      </c>
    </row>
    <row r="136" spans="1:6" hidden="1" x14ac:dyDescent="0.2">
      <c r="A136" t="s">
        <v>4113</v>
      </c>
      <c r="B136" t="s">
        <v>2434</v>
      </c>
      <c r="C136" t="str">
        <f t="shared" si="2"/>
        <v>AtlanticoPALMAR DE VARELA</v>
      </c>
      <c r="D136" t="s">
        <v>4114</v>
      </c>
      <c r="E136" t="s">
        <v>2436</v>
      </c>
      <c r="F136" t="s">
        <v>2435</v>
      </c>
    </row>
    <row r="137" spans="1:6" hidden="1" x14ac:dyDescent="0.2">
      <c r="A137" t="s">
        <v>4113</v>
      </c>
      <c r="B137" t="s">
        <v>2437</v>
      </c>
      <c r="C137" t="str">
        <f t="shared" si="2"/>
        <v>AtlanticoPIOJO</v>
      </c>
      <c r="D137" t="s">
        <v>4114</v>
      </c>
      <c r="E137" t="s">
        <v>2229</v>
      </c>
      <c r="F137" t="s">
        <v>2438</v>
      </c>
    </row>
    <row r="138" spans="1:6" hidden="1" x14ac:dyDescent="0.2">
      <c r="A138" t="s">
        <v>4113</v>
      </c>
      <c r="B138" t="s">
        <v>2439</v>
      </c>
      <c r="C138" t="str">
        <f t="shared" si="2"/>
        <v>AtlanticoPOLONUEVO</v>
      </c>
      <c r="D138" t="s">
        <v>4114</v>
      </c>
      <c r="E138" t="s">
        <v>2441</v>
      </c>
      <c r="F138" t="s">
        <v>2440</v>
      </c>
    </row>
    <row r="139" spans="1:6" hidden="1" x14ac:dyDescent="0.2">
      <c r="A139" t="s">
        <v>4113</v>
      </c>
      <c r="B139" t="s">
        <v>2442</v>
      </c>
      <c r="C139" t="str">
        <f t="shared" si="2"/>
        <v>AtlanticoPONEDERA</v>
      </c>
      <c r="D139" t="s">
        <v>4114</v>
      </c>
      <c r="E139" t="s">
        <v>2444</v>
      </c>
      <c r="F139" t="s">
        <v>2443</v>
      </c>
    </row>
    <row r="140" spans="1:6" hidden="1" x14ac:dyDescent="0.2">
      <c r="A140" t="s">
        <v>4113</v>
      </c>
      <c r="B140" t="s">
        <v>2445</v>
      </c>
      <c r="C140" t="str">
        <f t="shared" si="2"/>
        <v>AtlanticoPUERTO COLOMBIA</v>
      </c>
      <c r="D140" t="s">
        <v>4114</v>
      </c>
      <c r="E140" t="s">
        <v>2447</v>
      </c>
      <c r="F140" t="s">
        <v>2446</v>
      </c>
    </row>
    <row r="141" spans="1:6" hidden="1" x14ac:dyDescent="0.2">
      <c r="A141" t="s">
        <v>4113</v>
      </c>
      <c r="B141" t="s">
        <v>2448</v>
      </c>
      <c r="C141" t="str">
        <f t="shared" si="2"/>
        <v>AtlanticoREPELON</v>
      </c>
      <c r="D141" t="s">
        <v>4114</v>
      </c>
      <c r="E141" t="s">
        <v>844</v>
      </c>
      <c r="F141" t="s">
        <v>2726</v>
      </c>
    </row>
    <row r="142" spans="1:6" hidden="1" x14ac:dyDescent="0.2">
      <c r="A142" t="s">
        <v>4113</v>
      </c>
      <c r="B142" t="s">
        <v>2449</v>
      </c>
      <c r="C142" t="str">
        <f t="shared" si="2"/>
        <v>AtlanticoSABANAGRANDE</v>
      </c>
      <c r="D142" t="s">
        <v>4114</v>
      </c>
      <c r="E142" t="s">
        <v>2451</v>
      </c>
      <c r="F142" t="s">
        <v>2450</v>
      </c>
    </row>
    <row r="143" spans="1:6" hidden="1" x14ac:dyDescent="0.2">
      <c r="A143" t="s">
        <v>4113</v>
      </c>
      <c r="B143" t="s">
        <v>2452</v>
      </c>
      <c r="C143" t="str">
        <f t="shared" si="2"/>
        <v>AtlanticoSABANALARGA</v>
      </c>
      <c r="D143" t="s">
        <v>4114</v>
      </c>
      <c r="E143" t="s">
        <v>4011</v>
      </c>
      <c r="F143" t="s">
        <v>2453</v>
      </c>
    </row>
    <row r="144" spans="1:6" hidden="1" x14ac:dyDescent="0.2">
      <c r="A144" t="s">
        <v>4113</v>
      </c>
      <c r="B144" t="s">
        <v>2454</v>
      </c>
      <c r="C144" t="str">
        <f t="shared" si="2"/>
        <v>AtlanticoSANTA LUCIA</v>
      </c>
      <c r="D144" t="s">
        <v>4114</v>
      </c>
      <c r="E144" t="s">
        <v>2456</v>
      </c>
      <c r="F144" t="s">
        <v>2455</v>
      </c>
    </row>
    <row r="145" spans="1:6" hidden="1" x14ac:dyDescent="0.2">
      <c r="A145" t="s">
        <v>4113</v>
      </c>
      <c r="B145" t="s">
        <v>2457</v>
      </c>
      <c r="C145" t="str">
        <f t="shared" si="2"/>
        <v>AtlanticoSANTO TOMAS</v>
      </c>
      <c r="D145" t="s">
        <v>4114</v>
      </c>
      <c r="E145" t="s">
        <v>2459</v>
      </c>
      <c r="F145" t="s">
        <v>2458</v>
      </c>
    </row>
    <row r="146" spans="1:6" hidden="1" x14ac:dyDescent="0.2">
      <c r="A146" t="s">
        <v>4113</v>
      </c>
      <c r="B146" t="s">
        <v>2460</v>
      </c>
      <c r="C146" t="str">
        <f t="shared" si="2"/>
        <v>AtlanticoSOLEDAD</v>
      </c>
      <c r="D146" t="s">
        <v>4114</v>
      </c>
      <c r="E146" t="s">
        <v>4239</v>
      </c>
      <c r="F146" t="s">
        <v>2461</v>
      </c>
    </row>
    <row r="147" spans="1:6" hidden="1" x14ac:dyDescent="0.2">
      <c r="A147" t="s">
        <v>4113</v>
      </c>
      <c r="B147" t="s">
        <v>2462</v>
      </c>
      <c r="C147" t="str">
        <f t="shared" si="2"/>
        <v>AtlanticoSUAN</v>
      </c>
      <c r="D147" t="s">
        <v>4114</v>
      </c>
      <c r="E147" t="s">
        <v>2464</v>
      </c>
      <c r="F147" t="s">
        <v>2463</v>
      </c>
    </row>
    <row r="148" spans="1:6" hidden="1" x14ac:dyDescent="0.2">
      <c r="A148" t="s">
        <v>4113</v>
      </c>
      <c r="B148" t="s">
        <v>2465</v>
      </c>
      <c r="C148" t="str">
        <f t="shared" si="2"/>
        <v>AtlanticoTUBARA</v>
      </c>
      <c r="D148" t="s">
        <v>4114</v>
      </c>
      <c r="E148" t="s">
        <v>2467</v>
      </c>
      <c r="F148" t="s">
        <v>2466</v>
      </c>
    </row>
    <row r="149" spans="1:6" hidden="1" x14ac:dyDescent="0.2">
      <c r="A149" t="s">
        <v>4113</v>
      </c>
      <c r="B149" t="s">
        <v>2468</v>
      </c>
      <c r="C149" t="str">
        <f t="shared" si="2"/>
        <v>AtlanticoUSIACURI</v>
      </c>
      <c r="D149" t="s">
        <v>4114</v>
      </c>
      <c r="E149" t="s">
        <v>2470</v>
      </c>
      <c r="F149" t="s">
        <v>2469</v>
      </c>
    </row>
    <row r="150" spans="1:6" hidden="1" x14ac:dyDescent="0.2">
      <c r="A150" t="s">
        <v>2471</v>
      </c>
      <c r="B150" t="s">
        <v>3785</v>
      </c>
      <c r="C150" t="str">
        <f t="shared" si="2"/>
        <v>BOGOTA, D.C.BOGOTA, D.C.</v>
      </c>
      <c r="D150" s="140" t="s">
        <v>1116</v>
      </c>
      <c r="E150" s="140" t="s">
        <v>1116</v>
      </c>
      <c r="F150" t="s">
        <v>2728</v>
      </c>
    </row>
    <row r="151" spans="1:6" x14ac:dyDescent="0.2">
      <c r="A151" t="s">
        <v>2472</v>
      </c>
      <c r="B151" t="s">
        <v>3785</v>
      </c>
      <c r="C151" t="str">
        <f t="shared" si="2"/>
        <v>BolivarCARTAGENA</v>
      </c>
      <c r="D151" t="s">
        <v>2474</v>
      </c>
      <c r="E151" t="s">
        <v>4358</v>
      </c>
      <c r="F151" t="s">
        <v>2473</v>
      </c>
    </row>
    <row r="152" spans="1:6" x14ac:dyDescent="0.2">
      <c r="A152" t="s">
        <v>2472</v>
      </c>
      <c r="B152" t="s">
        <v>2475</v>
      </c>
      <c r="C152" t="str">
        <f t="shared" si="2"/>
        <v>BolivarACHI</v>
      </c>
      <c r="D152" t="s">
        <v>2474</v>
      </c>
      <c r="E152" t="s">
        <v>2477</v>
      </c>
      <c r="F152" t="s">
        <v>2476</v>
      </c>
    </row>
    <row r="153" spans="1:6" x14ac:dyDescent="0.2">
      <c r="A153" t="s">
        <v>2472</v>
      </c>
      <c r="B153" t="s">
        <v>3796</v>
      </c>
      <c r="C153" t="str">
        <f t="shared" si="2"/>
        <v>BolivarALTOS DEL ROSARIO</v>
      </c>
      <c r="D153" t="s">
        <v>2474</v>
      </c>
      <c r="E153" t="s">
        <v>3317</v>
      </c>
      <c r="F153" t="s">
        <v>2478</v>
      </c>
    </row>
    <row r="154" spans="1:6" x14ac:dyDescent="0.2">
      <c r="A154" t="s">
        <v>2472</v>
      </c>
      <c r="B154" t="s">
        <v>3811</v>
      </c>
      <c r="C154" t="str">
        <f t="shared" si="2"/>
        <v>BolivarARENAL</v>
      </c>
      <c r="D154" t="s">
        <v>2474</v>
      </c>
      <c r="E154" t="s">
        <v>2480</v>
      </c>
      <c r="F154" t="s">
        <v>2479</v>
      </c>
    </row>
    <row r="155" spans="1:6" x14ac:dyDescent="0.2">
      <c r="A155" t="s">
        <v>2472</v>
      </c>
      <c r="B155" t="s">
        <v>2481</v>
      </c>
      <c r="C155" t="str">
        <f t="shared" si="2"/>
        <v>BolivarARJONA</v>
      </c>
      <c r="D155" t="s">
        <v>2474</v>
      </c>
      <c r="E155" t="s">
        <v>3504</v>
      </c>
      <c r="F155" t="s">
        <v>2482</v>
      </c>
    </row>
    <row r="156" spans="1:6" x14ac:dyDescent="0.2">
      <c r="A156" t="s">
        <v>2472</v>
      </c>
      <c r="B156" t="s">
        <v>2483</v>
      </c>
      <c r="C156" t="str">
        <f t="shared" si="2"/>
        <v>BolivarARROYOHONDO</v>
      </c>
      <c r="D156" t="s">
        <v>2474</v>
      </c>
      <c r="E156" t="s">
        <v>2485</v>
      </c>
      <c r="F156" t="s">
        <v>2484</v>
      </c>
    </row>
    <row r="157" spans="1:6" x14ac:dyDescent="0.2">
      <c r="A157" t="s">
        <v>2472</v>
      </c>
      <c r="B157" t="s">
        <v>2486</v>
      </c>
      <c r="C157" t="str">
        <f t="shared" si="2"/>
        <v>BolivarBARRANCO DE LOBA</v>
      </c>
      <c r="D157" t="s">
        <v>2474</v>
      </c>
      <c r="E157" t="s">
        <v>4331</v>
      </c>
      <c r="F157" t="s">
        <v>2487</v>
      </c>
    </row>
    <row r="158" spans="1:6" x14ac:dyDescent="0.2">
      <c r="A158" t="s">
        <v>2472</v>
      </c>
      <c r="B158" t="s">
        <v>2488</v>
      </c>
      <c r="C158" t="str">
        <f t="shared" si="2"/>
        <v>BolivarCALAMAR</v>
      </c>
      <c r="D158" t="s">
        <v>2474</v>
      </c>
      <c r="E158" t="s">
        <v>2490</v>
      </c>
      <c r="F158" t="s">
        <v>2489</v>
      </c>
    </row>
    <row r="159" spans="1:6" x14ac:dyDescent="0.2">
      <c r="A159" t="s">
        <v>2472</v>
      </c>
      <c r="B159" t="s">
        <v>2491</v>
      </c>
      <c r="C159" t="str">
        <f t="shared" si="2"/>
        <v>BolivarCANTAGALLO</v>
      </c>
      <c r="D159" t="s">
        <v>2474</v>
      </c>
      <c r="E159" t="s">
        <v>4356</v>
      </c>
      <c r="F159" t="s">
        <v>2492</v>
      </c>
    </row>
    <row r="160" spans="1:6" x14ac:dyDescent="0.2">
      <c r="A160" t="s">
        <v>2472</v>
      </c>
      <c r="B160" t="s">
        <v>2493</v>
      </c>
      <c r="C160" t="str">
        <f t="shared" si="2"/>
        <v>BolivarCICUCO</v>
      </c>
      <c r="D160" t="s">
        <v>2474</v>
      </c>
      <c r="E160" t="s">
        <v>4330</v>
      </c>
      <c r="F160" t="s">
        <v>2494</v>
      </c>
    </row>
    <row r="161" spans="1:6" x14ac:dyDescent="0.2">
      <c r="A161" t="s">
        <v>2472</v>
      </c>
      <c r="B161" t="s">
        <v>3892</v>
      </c>
      <c r="C161" t="str">
        <f t="shared" si="2"/>
        <v>BolivarCORDOBA</v>
      </c>
      <c r="D161" t="s">
        <v>2474</v>
      </c>
      <c r="E161" t="s">
        <v>4282</v>
      </c>
      <c r="F161" t="s">
        <v>2495</v>
      </c>
    </row>
    <row r="162" spans="1:6" x14ac:dyDescent="0.2">
      <c r="A162" t="s">
        <v>2472</v>
      </c>
      <c r="B162" t="s">
        <v>2496</v>
      </c>
      <c r="C162" t="str">
        <f t="shared" si="2"/>
        <v>BolivarCLEMENCIA</v>
      </c>
      <c r="D162" t="s">
        <v>2474</v>
      </c>
      <c r="E162" t="s">
        <v>2498</v>
      </c>
      <c r="F162" t="s">
        <v>2497</v>
      </c>
    </row>
    <row r="163" spans="1:6" x14ac:dyDescent="0.2">
      <c r="A163" t="s">
        <v>2472</v>
      </c>
      <c r="B163" t="s">
        <v>2499</v>
      </c>
      <c r="C163" t="str">
        <f t="shared" si="2"/>
        <v>BolivarEL CARMEN DE BOLIVAR</v>
      </c>
      <c r="D163" t="s">
        <v>2474</v>
      </c>
      <c r="E163" t="s">
        <v>2501</v>
      </c>
      <c r="F163" t="s">
        <v>2500</v>
      </c>
    </row>
    <row r="164" spans="1:6" x14ac:dyDescent="0.2">
      <c r="A164" t="s">
        <v>2472</v>
      </c>
      <c r="B164" t="s">
        <v>2502</v>
      </c>
      <c r="C164" t="str">
        <f t="shared" si="2"/>
        <v>BolivarEL GUAMO</v>
      </c>
      <c r="D164" t="s">
        <v>2474</v>
      </c>
      <c r="E164" t="s">
        <v>2504</v>
      </c>
      <c r="F164" t="s">
        <v>2503</v>
      </c>
    </row>
    <row r="165" spans="1:6" x14ac:dyDescent="0.2">
      <c r="A165" t="s">
        <v>2472</v>
      </c>
      <c r="B165" t="s">
        <v>2505</v>
      </c>
      <c r="C165" t="str">
        <f t="shared" si="2"/>
        <v>BolivarEL PEÑON</v>
      </c>
      <c r="D165" t="s">
        <v>2474</v>
      </c>
      <c r="E165" t="s">
        <v>4310</v>
      </c>
      <c r="F165" t="s">
        <v>2506</v>
      </c>
    </row>
    <row r="166" spans="1:6" x14ac:dyDescent="0.2">
      <c r="A166" t="s">
        <v>2472</v>
      </c>
      <c r="B166" t="s">
        <v>2507</v>
      </c>
      <c r="C166" t="str">
        <f t="shared" si="2"/>
        <v>BolivarHATILLO DE LOBA</v>
      </c>
      <c r="D166" t="s">
        <v>2474</v>
      </c>
      <c r="E166" t="s">
        <v>4247</v>
      </c>
      <c r="F166" t="s">
        <v>2508</v>
      </c>
    </row>
    <row r="167" spans="1:6" x14ac:dyDescent="0.2">
      <c r="A167" t="s">
        <v>2472</v>
      </c>
      <c r="B167" t="s">
        <v>2509</v>
      </c>
      <c r="C167" t="str">
        <f t="shared" si="2"/>
        <v>BolivarMAGANGUE</v>
      </c>
      <c r="D167" t="s">
        <v>2474</v>
      </c>
      <c r="E167" t="s">
        <v>4329</v>
      </c>
      <c r="F167" t="s">
        <v>2729</v>
      </c>
    </row>
    <row r="168" spans="1:6" x14ac:dyDescent="0.2">
      <c r="A168" t="s">
        <v>2472</v>
      </c>
      <c r="B168" t="s">
        <v>2428</v>
      </c>
      <c r="C168" t="str">
        <f t="shared" si="2"/>
        <v>BolivarMAHATES</v>
      </c>
      <c r="D168" t="s">
        <v>2474</v>
      </c>
      <c r="E168" t="s">
        <v>2511</v>
      </c>
      <c r="F168" t="s">
        <v>2510</v>
      </c>
    </row>
    <row r="169" spans="1:6" x14ac:dyDescent="0.2">
      <c r="A169" t="s">
        <v>2472</v>
      </c>
      <c r="B169" t="s">
        <v>3964</v>
      </c>
      <c r="C169" t="str">
        <f t="shared" si="2"/>
        <v>BolivarMARGARITA</v>
      </c>
      <c r="D169" t="s">
        <v>2474</v>
      </c>
      <c r="E169" t="s">
        <v>4316</v>
      </c>
      <c r="F169" t="s">
        <v>2512</v>
      </c>
    </row>
    <row r="170" spans="1:6" x14ac:dyDescent="0.2">
      <c r="A170" t="s">
        <v>2472</v>
      </c>
      <c r="B170" t="s">
        <v>2513</v>
      </c>
      <c r="C170" t="str">
        <f t="shared" si="2"/>
        <v>BolivarMARIA LA BAJA</v>
      </c>
      <c r="D170" t="s">
        <v>2474</v>
      </c>
      <c r="E170" t="s">
        <v>4328</v>
      </c>
      <c r="F170" t="s">
        <v>2514</v>
      </c>
    </row>
    <row r="171" spans="1:6" x14ac:dyDescent="0.2">
      <c r="A171" t="s">
        <v>2472</v>
      </c>
      <c r="B171" t="s">
        <v>2515</v>
      </c>
      <c r="C171" t="str">
        <f t="shared" si="2"/>
        <v>BolivarMONTECRISTO</v>
      </c>
      <c r="D171" t="s">
        <v>2474</v>
      </c>
      <c r="E171" t="s">
        <v>2517</v>
      </c>
      <c r="F171" t="s">
        <v>2516</v>
      </c>
    </row>
    <row r="172" spans="1:6" x14ac:dyDescent="0.2">
      <c r="A172" t="s">
        <v>2472</v>
      </c>
      <c r="B172" t="s">
        <v>2518</v>
      </c>
      <c r="C172" t="str">
        <f t="shared" si="2"/>
        <v>BolivarMOMPOS</v>
      </c>
      <c r="D172" t="s">
        <v>2474</v>
      </c>
      <c r="E172" t="s">
        <v>3246</v>
      </c>
      <c r="F172" t="s">
        <v>2519</v>
      </c>
    </row>
    <row r="173" spans="1:6" x14ac:dyDescent="0.2">
      <c r="A173" t="s">
        <v>2472</v>
      </c>
      <c r="B173" t="s">
        <v>2520</v>
      </c>
      <c r="C173" t="str">
        <f t="shared" si="2"/>
        <v>BolivarMORALES</v>
      </c>
      <c r="D173" t="s">
        <v>2474</v>
      </c>
      <c r="E173" t="s">
        <v>4305</v>
      </c>
      <c r="F173" t="s">
        <v>2521</v>
      </c>
    </row>
    <row r="174" spans="1:6" x14ac:dyDescent="0.2">
      <c r="A174" t="s">
        <v>2472</v>
      </c>
      <c r="B174" t="s">
        <v>3978</v>
      </c>
      <c r="C174" t="str">
        <f t="shared" si="2"/>
        <v>BolivarNOROSI</v>
      </c>
      <c r="D174" t="s">
        <v>2474</v>
      </c>
      <c r="E174" t="s">
        <v>2523</v>
      </c>
      <c r="F174" t="s">
        <v>2522</v>
      </c>
    </row>
    <row r="175" spans="1:6" x14ac:dyDescent="0.2">
      <c r="A175" t="s">
        <v>2472</v>
      </c>
      <c r="B175" t="s">
        <v>2437</v>
      </c>
      <c r="C175" t="str">
        <f t="shared" si="2"/>
        <v>BolivarPINILLOS</v>
      </c>
      <c r="D175" t="s">
        <v>2474</v>
      </c>
      <c r="E175" t="s">
        <v>4318</v>
      </c>
      <c r="F175" t="s">
        <v>2730</v>
      </c>
    </row>
    <row r="176" spans="1:6" x14ac:dyDescent="0.2">
      <c r="A176" t="s">
        <v>2472</v>
      </c>
      <c r="B176" t="s">
        <v>2524</v>
      </c>
      <c r="C176" t="str">
        <f t="shared" si="2"/>
        <v>BolivarREGIDOR</v>
      </c>
      <c r="D176" t="s">
        <v>2474</v>
      </c>
      <c r="E176" t="s">
        <v>3542</v>
      </c>
      <c r="F176" t="s">
        <v>2525</v>
      </c>
    </row>
    <row r="177" spans="1:6" x14ac:dyDescent="0.2">
      <c r="A177" t="s">
        <v>2472</v>
      </c>
      <c r="B177" t="s">
        <v>2526</v>
      </c>
      <c r="C177" t="str">
        <f t="shared" si="2"/>
        <v>BolivarRIO VIEJO</v>
      </c>
      <c r="D177" t="s">
        <v>2474</v>
      </c>
      <c r="E177" t="s">
        <v>3247</v>
      </c>
      <c r="F177" t="s">
        <v>2527</v>
      </c>
    </row>
    <row r="178" spans="1:6" x14ac:dyDescent="0.2">
      <c r="A178" t="s">
        <v>2472</v>
      </c>
      <c r="B178" t="s">
        <v>2528</v>
      </c>
      <c r="C178" t="str">
        <f t="shared" si="2"/>
        <v>BolivarSAN CRISTOBAL</v>
      </c>
      <c r="D178" t="s">
        <v>2474</v>
      </c>
      <c r="E178" t="s">
        <v>2530</v>
      </c>
      <c r="F178" t="s">
        <v>2529</v>
      </c>
    </row>
    <row r="179" spans="1:6" x14ac:dyDescent="0.2">
      <c r="A179" t="s">
        <v>2472</v>
      </c>
      <c r="B179" t="s">
        <v>4017</v>
      </c>
      <c r="C179" t="str">
        <f t="shared" si="2"/>
        <v>BolivarSAN ESTANISLAO</v>
      </c>
      <c r="D179" t="s">
        <v>2474</v>
      </c>
      <c r="E179" t="s">
        <v>2532</v>
      </c>
      <c r="F179" t="s">
        <v>2531</v>
      </c>
    </row>
    <row r="180" spans="1:6" x14ac:dyDescent="0.2">
      <c r="A180" t="s">
        <v>2472</v>
      </c>
      <c r="B180" t="s">
        <v>2533</v>
      </c>
      <c r="C180" t="str">
        <f t="shared" si="2"/>
        <v>BolivarSAN FERNANDO</v>
      </c>
      <c r="D180" t="s">
        <v>2474</v>
      </c>
      <c r="E180" t="s">
        <v>4311</v>
      </c>
      <c r="F180" t="s">
        <v>2534</v>
      </c>
    </row>
    <row r="181" spans="1:6" x14ac:dyDescent="0.2">
      <c r="A181" t="s">
        <v>2472</v>
      </c>
      <c r="B181" t="s">
        <v>2535</v>
      </c>
      <c r="C181" t="str">
        <f t="shared" si="2"/>
        <v>BolivarSAN JACINTO</v>
      </c>
      <c r="D181" t="s">
        <v>2474</v>
      </c>
      <c r="E181" t="s">
        <v>2537</v>
      </c>
      <c r="F181" t="s">
        <v>2536</v>
      </c>
    </row>
    <row r="182" spans="1:6" x14ac:dyDescent="0.2">
      <c r="A182" t="s">
        <v>2472</v>
      </c>
      <c r="B182" t="s">
        <v>2538</v>
      </c>
      <c r="C182" t="str">
        <f t="shared" si="2"/>
        <v>BolivarSAN JACINTO DEL CAUCA</v>
      </c>
      <c r="D182" t="s">
        <v>2474</v>
      </c>
      <c r="E182" t="s">
        <v>2540</v>
      </c>
      <c r="F182" t="s">
        <v>2539</v>
      </c>
    </row>
    <row r="183" spans="1:6" x14ac:dyDescent="0.2">
      <c r="A183" t="s">
        <v>2472</v>
      </c>
      <c r="B183" t="s">
        <v>2541</v>
      </c>
      <c r="C183" t="str">
        <f t="shared" si="2"/>
        <v>BolivarSAN JUAN NEPOMUCENO</v>
      </c>
      <c r="D183" t="s">
        <v>2474</v>
      </c>
      <c r="E183" t="s">
        <v>2236</v>
      </c>
      <c r="F183" t="s">
        <v>2731</v>
      </c>
    </row>
    <row r="184" spans="1:6" x14ac:dyDescent="0.2">
      <c r="A184" t="s">
        <v>2472</v>
      </c>
      <c r="B184" t="s">
        <v>4039</v>
      </c>
      <c r="C184" t="str">
        <f t="shared" si="2"/>
        <v>BolivarSAN MARTIN DE LOBA</v>
      </c>
      <c r="D184" t="s">
        <v>2474</v>
      </c>
      <c r="E184" t="s">
        <v>2543</v>
      </c>
      <c r="F184" t="s">
        <v>2542</v>
      </c>
    </row>
    <row r="185" spans="1:6" x14ac:dyDescent="0.2">
      <c r="A185" t="s">
        <v>2472</v>
      </c>
      <c r="B185" t="s">
        <v>4042</v>
      </c>
      <c r="C185" t="str">
        <f t="shared" si="2"/>
        <v>BolivarSAN PABLO</v>
      </c>
      <c r="D185" t="s">
        <v>2474</v>
      </c>
      <c r="E185" t="s">
        <v>4362</v>
      </c>
      <c r="F185" t="s">
        <v>2544</v>
      </c>
    </row>
    <row r="186" spans="1:6" x14ac:dyDescent="0.2">
      <c r="A186" t="s">
        <v>2472</v>
      </c>
      <c r="B186" t="s">
        <v>2545</v>
      </c>
      <c r="C186" t="str">
        <f t="shared" si="2"/>
        <v>BolivarSANTA CATALINA</v>
      </c>
      <c r="D186" t="s">
        <v>2474</v>
      </c>
      <c r="E186" t="s">
        <v>2547</v>
      </c>
      <c r="F186" t="s">
        <v>2546</v>
      </c>
    </row>
    <row r="187" spans="1:6" x14ac:dyDescent="0.2">
      <c r="A187" t="s">
        <v>2472</v>
      </c>
      <c r="B187" t="s">
        <v>2548</v>
      </c>
      <c r="C187" t="str">
        <f t="shared" si="2"/>
        <v>BolivarSANTA ROSA</v>
      </c>
      <c r="D187" t="s">
        <v>2474</v>
      </c>
      <c r="E187" t="s">
        <v>4237</v>
      </c>
      <c r="F187" t="s">
        <v>2549</v>
      </c>
    </row>
    <row r="188" spans="1:6" x14ac:dyDescent="0.2">
      <c r="A188" t="s">
        <v>2472</v>
      </c>
      <c r="B188" t="s">
        <v>2550</v>
      </c>
      <c r="C188" t="str">
        <f t="shared" si="2"/>
        <v>BolivarSANTA ROSA DEL SUR</v>
      </c>
      <c r="D188" t="s">
        <v>2474</v>
      </c>
      <c r="E188" t="s">
        <v>2552</v>
      </c>
      <c r="F188" t="s">
        <v>2551</v>
      </c>
    </row>
    <row r="189" spans="1:6" x14ac:dyDescent="0.2">
      <c r="A189" t="s">
        <v>2472</v>
      </c>
      <c r="B189" t="s">
        <v>2553</v>
      </c>
      <c r="C189" t="str">
        <f t="shared" si="2"/>
        <v>BolivarSIMITI</v>
      </c>
      <c r="D189" t="s">
        <v>2474</v>
      </c>
      <c r="E189" t="s">
        <v>3543</v>
      </c>
      <c r="F189" t="s">
        <v>2554</v>
      </c>
    </row>
    <row r="190" spans="1:6" x14ac:dyDescent="0.2">
      <c r="A190" t="s">
        <v>2472</v>
      </c>
      <c r="B190" t="s">
        <v>2555</v>
      </c>
      <c r="C190" t="str">
        <f t="shared" si="2"/>
        <v>BolivarSOPLAVIENTO</v>
      </c>
      <c r="D190" t="s">
        <v>2474</v>
      </c>
      <c r="E190" t="s">
        <v>2557</v>
      </c>
      <c r="F190" t="s">
        <v>2556</v>
      </c>
    </row>
    <row r="191" spans="1:6" x14ac:dyDescent="0.2">
      <c r="A191" t="s">
        <v>2472</v>
      </c>
      <c r="B191" t="s">
        <v>2558</v>
      </c>
      <c r="C191" t="str">
        <f t="shared" si="2"/>
        <v>BolivarTALAIGUA NUEVO</v>
      </c>
      <c r="D191" t="s">
        <v>2474</v>
      </c>
      <c r="E191" t="s">
        <v>2560</v>
      </c>
      <c r="F191" t="s">
        <v>2559</v>
      </c>
    </row>
    <row r="192" spans="1:6" x14ac:dyDescent="0.2">
      <c r="A192" t="s">
        <v>2472</v>
      </c>
      <c r="B192" t="s">
        <v>2561</v>
      </c>
      <c r="C192" t="str">
        <f t="shared" si="2"/>
        <v>BolivarTIQUISIO</v>
      </c>
      <c r="D192" t="s">
        <v>2474</v>
      </c>
      <c r="E192" t="s">
        <v>2563</v>
      </c>
      <c r="F192" t="s">
        <v>2562</v>
      </c>
    </row>
    <row r="193" spans="1:6" x14ac:dyDescent="0.2">
      <c r="A193" t="s">
        <v>2472</v>
      </c>
      <c r="B193" t="s">
        <v>2564</v>
      </c>
      <c r="C193" t="str">
        <f t="shared" si="2"/>
        <v>BolivarTURBACO</v>
      </c>
      <c r="D193" t="s">
        <v>2474</v>
      </c>
      <c r="E193" t="s">
        <v>2566</v>
      </c>
      <c r="F193" t="s">
        <v>2565</v>
      </c>
    </row>
    <row r="194" spans="1:6" x14ac:dyDescent="0.2">
      <c r="A194" t="s">
        <v>2472</v>
      </c>
      <c r="B194" t="s">
        <v>2567</v>
      </c>
      <c r="C194" t="str">
        <f t="shared" si="2"/>
        <v>BolivarTURBANA</v>
      </c>
      <c r="D194" t="s">
        <v>2474</v>
      </c>
      <c r="E194" t="s">
        <v>2569</v>
      </c>
      <c r="F194" t="s">
        <v>2568</v>
      </c>
    </row>
    <row r="195" spans="1:6" x14ac:dyDescent="0.2">
      <c r="A195" t="s">
        <v>2472</v>
      </c>
      <c r="B195" t="s">
        <v>4096</v>
      </c>
      <c r="C195" t="str">
        <f t="shared" ref="C195:C258" si="3">D195&amp;E195</f>
        <v>BolivarVILLANUEVA</v>
      </c>
      <c r="D195" t="s">
        <v>2474</v>
      </c>
      <c r="E195" t="s">
        <v>4327</v>
      </c>
      <c r="F195" t="s">
        <v>2570</v>
      </c>
    </row>
    <row r="196" spans="1:6" x14ac:dyDescent="0.2">
      <c r="A196" t="s">
        <v>2472</v>
      </c>
      <c r="B196" t="s">
        <v>2571</v>
      </c>
      <c r="C196" t="str">
        <f t="shared" si="3"/>
        <v>BolivarZAMBRANO</v>
      </c>
      <c r="D196" t="s">
        <v>2474</v>
      </c>
      <c r="E196" t="s">
        <v>2573</v>
      </c>
      <c r="F196" t="s">
        <v>2572</v>
      </c>
    </row>
    <row r="197" spans="1:6" hidden="1" x14ac:dyDescent="0.2">
      <c r="A197" t="s">
        <v>2574</v>
      </c>
      <c r="B197" t="s">
        <v>3785</v>
      </c>
      <c r="C197" t="str">
        <f t="shared" si="3"/>
        <v>BOYACATUNJA</v>
      </c>
      <c r="D197" t="s">
        <v>4261</v>
      </c>
      <c r="E197" t="s">
        <v>4230</v>
      </c>
      <c r="F197" t="s">
        <v>2575</v>
      </c>
    </row>
    <row r="198" spans="1:6" hidden="1" x14ac:dyDescent="0.2">
      <c r="A198" t="s">
        <v>2574</v>
      </c>
      <c r="B198" t="s">
        <v>2576</v>
      </c>
      <c r="C198" t="str">
        <f t="shared" si="3"/>
        <v>BOYACAALMEIDA</v>
      </c>
      <c r="D198" t="s">
        <v>4261</v>
      </c>
      <c r="E198" t="s">
        <v>2578</v>
      </c>
      <c r="F198" t="s">
        <v>2577</v>
      </c>
    </row>
    <row r="199" spans="1:6" hidden="1" x14ac:dyDescent="0.2">
      <c r="A199" t="s">
        <v>2574</v>
      </c>
      <c r="B199" t="s">
        <v>2579</v>
      </c>
      <c r="C199" t="str">
        <f t="shared" si="3"/>
        <v>BOYACAAQUITANIA</v>
      </c>
      <c r="D199" t="s">
        <v>4261</v>
      </c>
      <c r="E199" t="s">
        <v>2581</v>
      </c>
      <c r="F199" t="s">
        <v>2580</v>
      </c>
    </row>
    <row r="200" spans="1:6" hidden="1" x14ac:dyDescent="0.2">
      <c r="A200" t="s">
        <v>2574</v>
      </c>
      <c r="B200" t="s">
        <v>3820</v>
      </c>
      <c r="C200" t="str">
        <f t="shared" si="3"/>
        <v>BOYACAARCABUCO</v>
      </c>
      <c r="D200" t="s">
        <v>4261</v>
      </c>
      <c r="E200" t="s">
        <v>2583</v>
      </c>
      <c r="F200" t="s">
        <v>2582</v>
      </c>
    </row>
    <row r="201" spans="1:6" hidden="1" x14ac:dyDescent="0.2">
      <c r="A201" t="s">
        <v>2574</v>
      </c>
      <c r="B201" t="s">
        <v>2584</v>
      </c>
      <c r="C201" t="str">
        <f t="shared" si="3"/>
        <v>BOYACABELEN</v>
      </c>
      <c r="D201" t="s">
        <v>4261</v>
      </c>
      <c r="E201" t="s">
        <v>2243</v>
      </c>
      <c r="F201" t="s">
        <v>2585</v>
      </c>
    </row>
    <row r="202" spans="1:6" hidden="1" x14ac:dyDescent="0.2">
      <c r="A202" t="s">
        <v>2574</v>
      </c>
      <c r="B202" t="s">
        <v>2586</v>
      </c>
      <c r="C202" t="str">
        <f t="shared" si="3"/>
        <v>BOYACABERBEO</v>
      </c>
      <c r="D202" t="s">
        <v>4261</v>
      </c>
      <c r="E202" t="s">
        <v>2588</v>
      </c>
      <c r="F202" t="s">
        <v>2587</v>
      </c>
    </row>
    <row r="203" spans="1:6" hidden="1" x14ac:dyDescent="0.2">
      <c r="A203" t="s">
        <v>2574</v>
      </c>
      <c r="B203" t="s">
        <v>2589</v>
      </c>
      <c r="C203" t="str">
        <f t="shared" si="3"/>
        <v>BOYACABETEITIVA</v>
      </c>
      <c r="D203" t="s">
        <v>4261</v>
      </c>
      <c r="E203" t="s">
        <v>2591</v>
      </c>
      <c r="F203" t="s">
        <v>2590</v>
      </c>
    </row>
    <row r="204" spans="1:6" hidden="1" x14ac:dyDescent="0.2">
      <c r="A204" t="s">
        <v>2574</v>
      </c>
      <c r="B204" t="s">
        <v>2592</v>
      </c>
      <c r="C204" t="str">
        <f t="shared" si="3"/>
        <v>BOYACABOAVITA</v>
      </c>
      <c r="D204" t="s">
        <v>4261</v>
      </c>
      <c r="E204" t="s">
        <v>70</v>
      </c>
      <c r="F204" t="s">
        <v>2593</v>
      </c>
    </row>
    <row r="205" spans="1:6" hidden="1" x14ac:dyDescent="0.2">
      <c r="A205" t="s">
        <v>2574</v>
      </c>
      <c r="B205" t="s">
        <v>2594</v>
      </c>
      <c r="C205" t="str">
        <f t="shared" si="3"/>
        <v>BOYACABOYACA</v>
      </c>
      <c r="D205" t="s">
        <v>4261</v>
      </c>
      <c r="E205" t="s">
        <v>4261</v>
      </c>
      <c r="F205" t="s">
        <v>2595</v>
      </c>
    </row>
    <row r="206" spans="1:6" hidden="1" x14ac:dyDescent="0.2">
      <c r="A206" t="s">
        <v>2574</v>
      </c>
      <c r="B206" t="s">
        <v>2596</v>
      </c>
      <c r="C206" t="str">
        <f t="shared" si="3"/>
        <v>BOYACABRICEÑO</v>
      </c>
      <c r="D206" t="s">
        <v>4261</v>
      </c>
      <c r="E206" t="s">
        <v>3497</v>
      </c>
      <c r="F206" t="s">
        <v>2597</v>
      </c>
    </row>
    <row r="207" spans="1:6" hidden="1" x14ac:dyDescent="0.2">
      <c r="A207" t="s">
        <v>2574</v>
      </c>
      <c r="B207" t="s">
        <v>2598</v>
      </c>
      <c r="C207" t="str">
        <f t="shared" si="3"/>
        <v>BOYACABUENAVISTA</v>
      </c>
      <c r="D207" t="s">
        <v>4261</v>
      </c>
      <c r="E207" t="s">
        <v>2203</v>
      </c>
      <c r="F207" t="s">
        <v>2599</v>
      </c>
    </row>
    <row r="208" spans="1:6" hidden="1" x14ac:dyDescent="0.2">
      <c r="A208" t="s">
        <v>2574</v>
      </c>
      <c r="B208" t="s">
        <v>2600</v>
      </c>
      <c r="C208" t="str">
        <f t="shared" si="3"/>
        <v>BOYACABUSBANZA</v>
      </c>
      <c r="D208" t="s">
        <v>4261</v>
      </c>
      <c r="E208" t="s">
        <v>2602</v>
      </c>
      <c r="F208" t="s">
        <v>2601</v>
      </c>
    </row>
    <row r="209" spans="1:6" hidden="1" x14ac:dyDescent="0.2">
      <c r="A209" t="s">
        <v>2574</v>
      </c>
      <c r="B209" t="s">
        <v>2603</v>
      </c>
      <c r="C209" t="str">
        <f t="shared" si="3"/>
        <v>BOYACACALDAS</v>
      </c>
      <c r="D209" t="s">
        <v>4261</v>
      </c>
      <c r="E209" t="s">
        <v>3533</v>
      </c>
      <c r="F209" t="s">
        <v>2604</v>
      </c>
    </row>
    <row r="210" spans="1:6" hidden="1" x14ac:dyDescent="0.2">
      <c r="A210" t="s">
        <v>2574</v>
      </c>
      <c r="B210" t="s">
        <v>2605</v>
      </c>
      <c r="C210" t="str">
        <f t="shared" si="3"/>
        <v>BOYACACAMPOHERMOSO</v>
      </c>
      <c r="D210" t="s">
        <v>4261</v>
      </c>
      <c r="E210" t="s">
        <v>2607</v>
      </c>
      <c r="F210" t="s">
        <v>2606</v>
      </c>
    </row>
    <row r="211" spans="1:6" hidden="1" x14ac:dyDescent="0.2">
      <c r="A211" t="s">
        <v>2574</v>
      </c>
      <c r="B211" t="s">
        <v>2608</v>
      </c>
      <c r="C211" t="str">
        <f t="shared" si="3"/>
        <v>BOYACACERINZA</v>
      </c>
      <c r="D211" t="s">
        <v>4261</v>
      </c>
      <c r="E211" t="s">
        <v>2610</v>
      </c>
      <c r="F211" t="s">
        <v>2609</v>
      </c>
    </row>
    <row r="212" spans="1:6" hidden="1" x14ac:dyDescent="0.2">
      <c r="A212" t="s">
        <v>2574</v>
      </c>
      <c r="B212" t="s">
        <v>3877</v>
      </c>
      <c r="C212" t="str">
        <f t="shared" si="3"/>
        <v>BOYACACHINAVITA</v>
      </c>
      <c r="D212" t="s">
        <v>4261</v>
      </c>
      <c r="E212" t="s">
        <v>2612</v>
      </c>
      <c r="F212" t="s">
        <v>2611</v>
      </c>
    </row>
    <row r="213" spans="1:6" hidden="1" x14ac:dyDescent="0.2">
      <c r="A213" t="s">
        <v>2574</v>
      </c>
      <c r="B213" t="s">
        <v>2613</v>
      </c>
      <c r="C213" t="str">
        <f t="shared" si="3"/>
        <v>BOYACACHIQUINQUIRA</v>
      </c>
      <c r="D213" t="s">
        <v>4261</v>
      </c>
      <c r="E213" t="s">
        <v>2861</v>
      </c>
      <c r="F213" t="s">
        <v>2614</v>
      </c>
    </row>
    <row r="214" spans="1:6" hidden="1" x14ac:dyDescent="0.2">
      <c r="A214" t="s">
        <v>2574</v>
      </c>
      <c r="B214" t="s">
        <v>2615</v>
      </c>
      <c r="C214" t="str">
        <f t="shared" si="3"/>
        <v>BOYACACHISCAS</v>
      </c>
      <c r="D214" t="s">
        <v>4261</v>
      </c>
      <c r="E214" t="s">
        <v>2617</v>
      </c>
      <c r="F214" t="s">
        <v>2616</v>
      </c>
    </row>
    <row r="215" spans="1:6" hidden="1" x14ac:dyDescent="0.2">
      <c r="A215" t="s">
        <v>2574</v>
      </c>
      <c r="B215" t="s">
        <v>2618</v>
      </c>
      <c r="C215" t="str">
        <f t="shared" si="3"/>
        <v>BOYACACHITA</v>
      </c>
      <c r="D215" t="s">
        <v>4261</v>
      </c>
      <c r="E215" t="s">
        <v>2620</v>
      </c>
      <c r="F215" t="s">
        <v>2619</v>
      </c>
    </row>
    <row r="216" spans="1:6" hidden="1" x14ac:dyDescent="0.2">
      <c r="A216" t="s">
        <v>2574</v>
      </c>
      <c r="B216" t="s">
        <v>2621</v>
      </c>
      <c r="C216" t="str">
        <f t="shared" si="3"/>
        <v>BOYACACHITARAQUE</v>
      </c>
      <c r="D216" t="s">
        <v>4261</v>
      </c>
      <c r="E216" t="s">
        <v>2623</v>
      </c>
      <c r="F216" t="s">
        <v>2622</v>
      </c>
    </row>
    <row r="217" spans="1:6" hidden="1" x14ac:dyDescent="0.2">
      <c r="A217" t="s">
        <v>2574</v>
      </c>
      <c r="B217" t="s">
        <v>2624</v>
      </c>
      <c r="C217" t="str">
        <f t="shared" si="3"/>
        <v>BOYACACHIVATA</v>
      </c>
      <c r="D217" t="s">
        <v>4261</v>
      </c>
      <c r="E217" t="s">
        <v>2626</v>
      </c>
      <c r="F217" t="s">
        <v>2625</v>
      </c>
    </row>
    <row r="218" spans="1:6" hidden="1" x14ac:dyDescent="0.2">
      <c r="A218" t="s">
        <v>2574</v>
      </c>
      <c r="B218" t="s">
        <v>2627</v>
      </c>
      <c r="C218" t="str">
        <f t="shared" si="3"/>
        <v>BOYACACIENEGA</v>
      </c>
      <c r="D218" t="s">
        <v>4261</v>
      </c>
      <c r="E218" t="s">
        <v>2629</v>
      </c>
      <c r="F218" t="s">
        <v>2628</v>
      </c>
    </row>
    <row r="219" spans="1:6" hidden="1" x14ac:dyDescent="0.2">
      <c r="A219" t="s">
        <v>2574</v>
      </c>
      <c r="B219" t="s">
        <v>2630</v>
      </c>
      <c r="C219" t="str">
        <f t="shared" si="3"/>
        <v>BOYACACOMBITA</v>
      </c>
      <c r="D219" t="s">
        <v>4261</v>
      </c>
      <c r="E219" t="s">
        <v>2632</v>
      </c>
      <c r="F219" t="s">
        <v>2631</v>
      </c>
    </row>
    <row r="220" spans="1:6" hidden="1" x14ac:dyDescent="0.2">
      <c r="A220" t="s">
        <v>2574</v>
      </c>
      <c r="B220" t="s">
        <v>3892</v>
      </c>
      <c r="C220" t="str">
        <f t="shared" si="3"/>
        <v>BOYACACOPER</v>
      </c>
      <c r="D220" t="s">
        <v>4261</v>
      </c>
      <c r="E220" t="s">
        <v>71</v>
      </c>
      <c r="F220" t="s">
        <v>2633</v>
      </c>
    </row>
    <row r="221" spans="1:6" hidden="1" x14ac:dyDescent="0.2">
      <c r="A221" t="s">
        <v>2574</v>
      </c>
      <c r="B221" t="s">
        <v>2634</v>
      </c>
      <c r="C221" t="str">
        <f t="shared" si="3"/>
        <v>BOYACACORRALES</v>
      </c>
      <c r="D221" t="s">
        <v>4261</v>
      </c>
      <c r="E221" t="s">
        <v>2636</v>
      </c>
      <c r="F221" t="s">
        <v>2635</v>
      </c>
    </row>
    <row r="222" spans="1:6" hidden="1" x14ac:dyDescent="0.2">
      <c r="A222" t="s">
        <v>2574</v>
      </c>
      <c r="B222" t="s">
        <v>2637</v>
      </c>
      <c r="C222" t="str">
        <f t="shared" si="3"/>
        <v>BOYACACOVARACHIA</v>
      </c>
      <c r="D222" t="s">
        <v>4261</v>
      </c>
      <c r="E222" t="s">
        <v>2639</v>
      </c>
      <c r="F222" t="s">
        <v>2638</v>
      </c>
    </row>
    <row r="223" spans="1:6" hidden="1" x14ac:dyDescent="0.2">
      <c r="A223" t="s">
        <v>2574</v>
      </c>
      <c r="B223" t="s">
        <v>2640</v>
      </c>
      <c r="C223" t="str">
        <f t="shared" si="3"/>
        <v>BOYACACUBARA</v>
      </c>
      <c r="D223" t="s">
        <v>4261</v>
      </c>
      <c r="E223" t="s">
        <v>2642</v>
      </c>
      <c r="F223" t="s">
        <v>2641</v>
      </c>
    </row>
    <row r="224" spans="1:6" hidden="1" x14ac:dyDescent="0.2">
      <c r="A224" t="s">
        <v>2574</v>
      </c>
      <c r="B224" t="s">
        <v>2643</v>
      </c>
      <c r="C224" t="str">
        <f t="shared" si="3"/>
        <v>BOYACACUCAITA</v>
      </c>
      <c r="D224" t="s">
        <v>4261</v>
      </c>
      <c r="E224" t="s">
        <v>2862</v>
      </c>
      <c r="F224" t="s">
        <v>2644</v>
      </c>
    </row>
    <row r="225" spans="1:6" hidden="1" x14ac:dyDescent="0.2">
      <c r="A225" t="s">
        <v>2574</v>
      </c>
      <c r="B225" t="s">
        <v>2645</v>
      </c>
      <c r="C225" t="str">
        <f t="shared" si="3"/>
        <v>BOYACACUITIVA</v>
      </c>
      <c r="D225" t="s">
        <v>4261</v>
      </c>
      <c r="E225" t="s">
        <v>2647</v>
      </c>
      <c r="F225" t="s">
        <v>2646</v>
      </c>
    </row>
    <row r="226" spans="1:6" hidden="1" x14ac:dyDescent="0.2">
      <c r="A226" t="s">
        <v>2574</v>
      </c>
      <c r="B226" t="s">
        <v>2648</v>
      </c>
      <c r="C226" t="str">
        <f t="shared" si="3"/>
        <v>BOYACACHIQUIZA</v>
      </c>
      <c r="D226" t="s">
        <v>4261</v>
      </c>
      <c r="E226" t="s">
        <v>2650</v>
      </c>
      <c r="F226" t="s">
        <v>2649</v>
      </c>
    </row>
    <row r="227" spans="1:6" hidden="1" x14ac:dyDescent="0.2">
      <c r="A227" t="s">
        <v>2574</v>
      </c>
      <c r="B227" t="s">
        <v>2651</v>
      </c>
      <c r="C227" t="str">
        <f t="shared" si="3"/>
        <v>BOYACACHIVOR</v>
      </c>
      <c r="D227" t="s">
        <v>4261</v>
      </c>
      <c r="E227" t="s">
        <v>2653</v>
      </c>
      <c r="F227" t="s">
        <v>2652</v>
      </c>
    </row>
    <row r="228" spans="1:6" hidden="1" x14ac:dyDescent="0.2">
      <c r="A228" t="s">
        <v>2574</v>
      </c>
      <c r="B228" t="s">
        <v>2654</v>
      </c>
      <c r="C228" t="str">
        <f t="shared" si="3"/>
        <v>BOYACADUITAMA</v>
      </c>
      <c r="D228" t="s">
        <v>4261</v>
      </c>
      <c r="E228" t="s">
        <v>2863</v>
      </c>
      <c r="F228" t="s">
        <v>2655</v>
      </c>
    </row>
    <row r="229" spans="1:6" hidden="1" x14ac:dyDescent="0.2">
      <c r="A229" t="s">
        <v>2574</v>
      </c>
      <c r="B229" t="s">
        <v>2499</v>
      </c>
      <c r="C229" t="str">
        <f t="shared" si="3"/>
        <v>BOYACAEL COCUY</v>
      </c>
      <c r="D229" t="s">
        <v>4261</v>
      </c>
      <c r="E229" t="s">
        <v>2657</v>
      </c>
      <c r="F229" t="s">
        <v>2656</v>
      </c>
    </row>
    <row r="230" spans="1:6" hidden="1" x14ac:dyDescent="0.2">
      <c r="A230" t="s">
        <v>2574</v>
      </c>
      <c r="B230" t="s">
        <v>2502</v>
      </c>
      <c r="C230" t="str">
        <f t="shared" si="3"/>
        <v>BOYACAEL ESPINO</v>
      </c>
      <c r="D230" t="s">
        <v>4261</v>
      </c>
      <c r="E230" t="s">
        <v>2659</v>
      </c>
      <c r="F230" t="s">
        <v>2658</v>
      </c>
    </row>
    <row r="231" spans="1:6" hidden="1" x14ac:dyDescent="0.2">
      <c r="A231" t="s">
        <v>2574</v>
      </c>
      <c r="B231" t="s">
        <v>2660</v>
      </c>
      <c r="C231" t="str">
        <f t="shared" si="3"/>
        <v>BOYACAFIRAVITOBA</v>
      </c>
      <c r="D231" t="s">
        <v>4261</v>
      </c>
      <c r="E231" t="s">
        <v>2662</v>
      </c>
      <c r="F231" t="s">
        <v>2661</v>
      </c>
    </row>
    <row r="232" spans="1:6" hidden="1" x14ac:dyDescent="0.2">
      <c r="A232" t="s">
        <v>2574</v>
      </c>
      <c r="B232" t="s">
        <v>2663</v>
      </c>
      <c r="C232" t="str">
        <f t="shared" si="3"/>
        <v>BOYACAFLORESTA</v>
      </c>
      <c r="D232" t="s">
        <v>4261</v>
      </c>
      <c r="E232" t="s">
        <v>2665</v>
      </c>
      <c r="F232" t="s">
        <v>2664</v>
      </c>
    </row>
    <row r="233" spans="1:6" hidden="1" x14ac:dyDescent="0.2">
      <c r="A233" t="s">
        <v>2574</v>
      </c>
      <c r="B233" t="s">
        <v>2666</v>
      </c>
      <c r="C233" t="str">
        <f t="shared" si="3"/>
        <v>BOYACAGACHANTIVA</v>
      </c>
      <c r="D233" t="s">
        <v>4261</v>
      </c>
      <c r="E233" t="s">
        <v>2668</v>
      </c>
      <c r="F233" t="s">
        <v>2667</v>
      </c>
    </row>
    <row r="234" spans="1:6" hidden="1" x14ac:dyDescent="0.2">
      <c r="A234" t="s">
        <v>2574</v>
      </c>
      <c r="B234" t="s">
        <v>2419</v>
      </c>
      <c r="C234" t="str">
        <f t="shared" si="3"/>
        <v>BOYACAGAMEZA</v>
      </c>
      <c r="D234" t="s">
        <v>4261</v>
      </c>
      <c r="E234" t="s">
        <v>2670</v>
      </c>
      <c r="F234" t="s">
        <v>2669</v>
      </c>
    </row>
    <row r="235" spans="1:6" hidden="1" x14ac:dyDescent="0.2">
      <c r="A235" t="s">
        <v>2574</v>
      </c>
      <c r="B235" t="s">
        <v>2671</v>
      </c>
      <c r="C235" t="str">
        <f t="shared" si="3"/>
        <v>BOYACAGARAGOA</v>
      </c>
      <c r="D235" t="s">
        <v>4261</v>
      </c>
      <c r="E235" t="s">
        <v>2864</v>
      </c>
      <c r="F235" t="s">
        <v>1171</v>
      </c>
    </row>
    <row r="236" spans="1:6" hidden="1" x14ac:dyDescent="0.2">
      <c r="A236" t="s">
        <v>2574</v>
      </c>
      <c r="B236" t="s">
        <v>1172</v>
      </c>
      <c r="C236" t="str">
        <f t="shared" si="3"/>
        <v>BOYACAGUACAMAYAS</v>
      </c>
      <c r="D236" t="s">
        <v>4261</v>
      </c>
      <c r="E236" t="s">
        <v>1174</v>
      </c>
      <c r="F236" t="s">
        <v>1173</v>
      </c>
    </row>
    <row r="237" spans="1:6" hidden="1" x14ac:dyDescent="0.2">
      <c r="A237" t="s">
        <v>2574</v>
      </c>
      <c r="B237" t="s">
        <v>1175</v>
      </c>
      <c r="C237" t="str">
        <f t="shared" si="3"/>
        <v>BOYACAGUATEQUE</v>
      </c>
      <c r="D237" t="s">
        <v>4261</v>
      </c>
      <c r="E237" t="s">
        <v>1177</v>
      </c>
      <c r="F237" t="s">
        <v>1176</v>
      </c>
    </row>
    <row r="238" spans="1:6" hidden="1" x14ac:dyDescent="0.2">
      <c r="A238" t="s">
        <v>2574</v>
      </c>
      <c r="B238" t="s">
        <v>1178</v>
      </c>
      <c r="C238" t="str">
        <f t="shared" si="3"/>
        <v>BOYACAGUAYATA</v>
      </c>
      <c r="D238" t="s">
        <v>4261</v>
      </c>
      <c r="E238" t="s">
        <v>1180</v>
      </c>
      <c r="F238" t="s">
        <v>1179</v>
      </c>
    </row>
    <row r="239" spans="1:6" hidden="1" x14ac:dyDescent="0.2">
      <c r="A239" t="s">
        <v>2574</v>
      </c>
      <c r="B239" t="s">
        <v>1181</v>
      </c>
      <c r="C239" t="str">
        <f t="shared" si="3"/>
        <v>BOYACAGUICAN</v>
      </c>
      <c r="D239" t="s">
        <v>4261</v>
      </c>
      <c r="E239" t="s">
        <v>2245</v>
      </c>
      <c r="F239" t="s">
        <v>2732</v>
      </c>
    </row>
    <row r="240" spans="1:6" hidden="1" x14ac:dyDescent="0.2">
      <c r="A240" t="s">
        <v>2574</v>
      </c>
      <c r="B240" t="s">
        <v>1182</v>
      </c>
      <c r="C240" t="str">
        <f t="shared" si="3"/>
        <v>BOYACAIZA</v>
      </c>
      <c r="D240" t="s">
        <v>4261</v>
      </c>
      <c r="E240" t="s">
        <v>1184</v>
      </c>
      <c r="F240" t="s">
        <v>1183</v>
      </c>
    </row>
    <row r="241" spans="1:6" hidden="1" x14ac:dyDescent="0.2">
      <c r="A241" t="s">
        <v>2574</v>
      </c>
      <c r="B241" t="s">
        <v>1185</v>
      </c>
      <c r="C241" t="str">
        <f t="shared" si="3"/>
        <v>BOYACAJENESANO</v>
      </c>
      <c r="D241" t="s">
        <v>4261</v>
      </c>
      <c r="E241" t="s">
        <v>1187</v>
      </c>
      <c r="F241" t="s">
        <v>1186</v>
      </c>
    </row>
    <row r="242" spans="1:6" hidden="1" x14ac:dyDescent="0.2">
      <c r="A242" t="s">
        <v>2574</v>
      </c>
      <c r="B242" t="s">
        <v>3947</v>
      </c>
      <c r="C242" t="str">
        <f t="shared" si="3"/>
        <v>BOYACAJERICO</v>
      </c>
      <c r="D242" t="s">
        <v>4261</v>
      </c>
      <c r="E242" t="s">
        <v>2866</v>
      </c>
      <c r="F242" t="s">
        <v>1188</v>
      </c>
    </row>
    <row r="243" spans="1:6" hidden="1" x14ac:dyDescent="0.2">
      <c r="A243" t="s">
        <v>2574</v>
      </c>
      <c r="B243" t="s">
        <v>1189</v>
      </c>
      <c r="C243" t="str">
        <f t="shared" si="3"/>
        <v>BOYACALABRANZAGRANDE</v>
      </c>
      <c r="D243" t="s">
        <v>4261</v>
      </c>
      <c r="E243" t="s">
        <v>1191</v>
      </c>
      <c r="F243" t="s">
        <v>1190</v>
      </c>
    </row>
    <row r="244" spans="1:6" hidden="1" x14ac:dyDescent="0.2">
      <c r="A244" t="s">
        <v>2574</v>
      </c>
      <c r="B244" t="s">
        <v>3952</v>
      </c>
      <c r="C244" t="str">
        <f t="shared" si="3"/>
        <v>BOYACALA CAPILLA</v>
      </c>
      <c r="D244" t="s">
        <v>4261</v>
      </c>
      <c r="E244" t="s">
        <v>1193</v>
      </c>
      <c r="F244" t="s">
        <v>1192</v>
      </c>
    </row>
    <row r="245" spans="1:6" hidden="1" x14ac:dyDescent="0.2">
      <c r="A245" t="s">
        <v>2574</v>
      </c>
      <c r="B245" t="s">
        <v>1194</v>
      </c>
      <c r="C245" t="str">
        <f t="shared" si="3"/>
        <v>BOYACALA VICTORIA</v>
      </c>
      <c r="D245" t="s">
        <v>4261</v>
      </c>
      <c r="E245" t="s">
        <v>2867</v>
      </c>
      <c r="F245" t="s">
        <v>1195</v>
      </c>
    </row>
    <row r="246" spans="1:6" hidden="1" x14ac:dyDescent="0.2">
      <c r="A246" t="s">
        <v>2574</v>
      </c>
      <c r="B246" t="s">
        <v>1196</v>
      </c>
      <c r="C246" t="str">
        <f t="shared" si="3"/>
        <v>BOYACALA UVITA</v>
      </c>
      <c r="D246" t="s">
        <v>4261</v>
      </c>
      <c r="E246" t="s">
        <v>1198</v>
      </c>
      <c r="F246" t="s">
        <v>1197</v>
      </c>
    </row>
    <row r="247" spans="1:6" hidden="1" x14ac:dyDescent="0.2">
      <c r="A247" t="s">
        <v>2574</v>
      </c>
      <c r="B247" t="s">
        <v>1199</v>
      </c>
      <c r="C247" t="str">
        <f t="shared" si="3"/>
        <v>BOYACAVILLA DE LEYVA</v>
      </c>
      <c r="D247" t="s">
        <v>4261</v>
      </c>
      <c r="E247" t="s">
        <v>1201</v>
      </c>
      <c r="F247" t="s">
        <v>1200</v>
      </c>
    </row>
    <row r="248" spans="1:6" hidden="1" x14ac:dyDescent="0.2">
      <c r="A248" t="s">
        <v>2574</v>
      </c>
      <c r="B248" t="s">
        <v>3961</v>
      </c>
      <c r="C248" t="str">
        <f t="shared" si="3"/>
        <v>BOYACAMACANAL</v>
      </c>
      <c r="D248" t="s">
        <v>4261</v>
      </c>
      <c r="E248" t="s">
        <v>1203</v>
      </c>
      <c r="F248" t="s">
        <v>1202</v>
      </c>
    </row>
    <row r="249" spans="1:6" hidden="1" x14ac:dyDescent="0.2">
      <c r="A249" t="s">
        <v>2574</v>
      </c>
      <c r="B249" t="s">
        <v>2513</v>
      </c>
      <c r="C249" t="str">
        <f t="shared" si="3"/>
        <v>BOYACAMARIPI</v>
      </c>
      <c r="D249" t="s">
        <v>4261</v>
      </c>
      <c r="E249" t="s">
        <v>2238</v>
      </c>
      <c r="F249" t="s">
        <v>1204</v>
      </c>
    </row>
    <row r="250" spans="1:6" hidden="1" x14ac:dyDescent="0.2">
      <c r="A250" t="s">
        <v>2574</v>
      </c>
      <c r="B250" t="s">
        <v>1205</v>
      </c>
      <c r="C250" t="str">
        <f t="shared" si="3"/>
        <v>BOYACAMIRAFLORES</v>
      </c>
      <c r="D250" t="s">
        <v>4261</v>
      </c>
      <c r="E250" t="s">
        <v>1207</v>
      </c>
      <c r="F250" t="s">
        <v>1206</v>
      </c>
    </row>
    <row r="251" spans="1:6" hidden="1" x14ac:dyDescent="0.2">
      <c r="A251" t="s">
        <v>2574</v>
      </c>
      <c r="B251" t="s">
        <v>1208</v>
      </c>
      <c r="C251" t="str">
        <f t="shared" si="3"/>
        <v>BOYACAMONGUA</v>
      </c>
      <c r="D251" t="s">
        <v>4261</v>
      </c>
      <c r="E251" t="s">
        <v>1210</v>
      </c>
      <c r="F251" t="s">
        <v>1209</v>
      </c>
    </row>
    <row r="252" spans="1:6" hidden="1" x14ac:dyDescent="0.2">
      <c r="A252" t="s">
        <v>2574</v>
      </c>
      <c r="B252" t="s">
        <v>1211</v>
      </c>
      <c r="C252" t="str">
        <f t="shared" si="3"/>
        <v>BOYACAMONGUI</v>
      </c>
      <c r="D252" t="s">
        <v>4261</v>
      </c>
      <c r="E252" t="s">
        <v>1213</v>
      </c>
      <c r="F252" t="s">
        <v>1212</v>
      </c>
    </row>
    <row r="253" spans="1:6" hidden="1" x14ac:dyDescent="0.2">
      <c r="A253" t="s">
        <v>2574</v>
      </c>
      <c r="B253" t="s">
        <v>1214</v>
      </c>
      <c r="C253" t="str">
        <f t="shared" si="3"/>
        <v>BOYACAMONIQUIRA</v>
      </c>
      <c r="D253" t="s">
        <v>4261</v>
      </c>
      <c r="E253" t="s">
        <v>3554</v>
      </c>
      <c r="F253" t="s">
        <v>1215</v>
      </c>
    </row>
    <row r="254" spans="1:6" hidden="1" x14ac:dyDescent="0.2">
      <c r="A254" t="s">
        <v>2574</v>
      </c>
      <c r="B254" t="s">
        <v>1216</v>
      </c>
      <c r="C254" t="str">
        <f t="shared" si="3"/>
        <v>BOYACAMOTAVITA</v>
      </c>
      <c r="D254" t="s">
        <v>4261</v>
      </c>
      <c r="E254" t="s">
        <v>1218</v>
      </c>
      <c r="F254" t="s">
        <v>1217</v>
      </c>
    </row>
    <row r="255" spans="1:6" hidden="1" x14ac:dyDescent="0.2">
      <c r="A255" t="s">
        <v>2574</v>
      </c>
      <c r="B255" t="s">
        <v>3973</v>
      </c>
      <c r="C255" t="str">
        <f t="shared" si="3"/>
        <v>BOYACAMUZO</v>
      </c>
      <c r="D255" t="s">
        <v>4261</v>
      </c>
      <c r="E255" t="s">
        <v>4303</v>
      </c>
      <c r="F255" t="s">
        <v>1219</v>
      </c>
    </row>
    <row r="256" spans="1:6" hidden="1" x14ac:dyDescent="0.2">
      <c r="A256" t="s">
        <v>2574</v>
      </c>
      <c r="B256" t="s">
        <v>1220</v>
      </c>
      <c r="C256" t="str">
        <f t="shared" si="3"/>
        <v>BOYACANOBSA</v>
      </c>
      <c r="D256" t="s">
        <v>4261</v>
      </c>
      <c r="E256" t="s">
        <v>1222</v>
      </c>
      <c r="F256" t="s">
        <v>1221</v>
      </c>
    </row>
    <row r="257" spans="1:6" hidden="1" x14ac:dyDescent="0.2">
      <c r="A257" t="s">
        <v>2574</v>
      </c>
      <c r="B257" t="s">
        <v>1223</v>
      </c>
      <c r="C257" t="str">
        <f t="shared" si="3"/>
        <v>BOYACANUEVO COLON</v>
      </c>
      <c r="D257" t="s">
        <v>4261</v>
      </c>
      <c r="E257" t="s">
        <v>1225</v>
      </c>
      <c r="F257" t="s">
        <v>1224</v>
      </c>
    </row>
    <row r="258" spans="1:6" hidden="1" x14ac:dyDescent="0.2">
      <c r="A258" t="s">
        <v>2574</v>
      </c>
      <c r="B258" t="s">
        <v>1226</v>
      </c>
      <c r="C258" t="str">
        <f t="shared" si="3"/>
        <v>BOYACAOICATA</v>
      </c>
      <c r="D258" t="s">
        <v>4261</v>
      </c>
      <c r="E258" t="s">
        <v>1228</v>
      </c>
      <c r="F258" t="s">
        <v>1227</v>
      </c>
    </row>
    <row r="259" spans="1:6" hidden="1" x14ac:dyDescent="0.2">
      <c r="A259" t="s">
        <v>2574</v>
      </c>
      <c r="B259" t="s">
        <v>1229</v>
      </c>
      <c r="C259" t="str">
        <f t="shared" ref="C259:C322" si="4">D259&amp;E259</f>
        <v>BOYACAOTANCHE</v>
      </c>
      <c r="D259" t="s">
        <v>4261</v>
      </c>
      <c r="E259" t="s">
        <v>1231</v>
      </c>
      <c r="F259" t="s">
        <v>1230</v>
      </c>
    </row>
    <row r="260" spans="1:6" hidden="1" x14ac:dyDescent="0.2">
      <c r="A260" t="s">
        <v>2574</v>
      </c>
      <c r="B260" t="s">
        <v>1232</v>
      </c>
      <c r="C260" t="str">
        <f t="shared" si="4"/>
        <v>BOYACAPACHAVITA</v>
      </c>
      <c r="D260" t="s">
        <v>4261</v>
      </c>
      <c r="E260" t="s">
        <v>1234</v>
      </c>
      <c r="F260" t="s">
        <v>1233</v>
      </c>
    </row>
    <row r="261" spans="1:6" hidden="1" x14ac:dyDescent="0.2">
      <c r="A261" t="s">
        <v>2574</v>
      </c>
      <c r="B261" t="s">
        <v>1235</v>
      </c>
      <c r="C261" t="str">
        <f t="shared" si="4"/>
        <v>BOYACAPAEZ</v>
      </c>
      <c r="D261" t="s">
        <v>4261</v>
      </c>
      <c r="E261" t="s">
        <v>4342</v>
      </c>
      <c r="F261" t="s">
        <v>1236</v>
      </c>
    </row>
    <row r="262" spans="1:6" hidden="1" x14ac:dyDescent="0.2">
      <c r="A262" t="s">
        <v>2574</v>
      </c>
      <c r="B262" t="s">
        <v>1237</v>
      </c>
      <c r="C262" t="str">
        <f t="shared" si="4"/>
        <v>BOYACAPAIPA</v>
      </c>
      <c r="D262" t="s">
        <v>4261</v>
      </c>
      <c r="E262" t="s">
        <v>2868</v>
      </c>
      <c r="F262" t="s">
        <v>1238</v>
      </c>
    </row>
    <row r="263" spans="1:6" hidden="1" x14ac:dyDescent="0.2">
      <c r="A263" t="s">
        <v>2574</v>
      </c>
      <c r="B263" t="s">
        <v>1239</v>
      </c>
      <c r="C263" t="str">
        <f t="shared" si="4"/>
        <v>BOYACAPAJARITO</v>
      </c>
      <c r="D263" t="s">
        <v>4261</v>
      </c>
      <c r="E263" t="s">
        <v>1241</v>
      </c>
      <c r="F263" t="s">
        <v>1240</v>
      </c>
    </row>
    <row r="264" spans="1:6" hidden="1" x14ac:dyDescent="0.2">
      <c r="A264" t="s">
        <v>2574</v>
      </c>
      <c r="B264" t="s">
        <v>1242</v>
      </c>
      <c r="C264" t="str">
        <f t="shared" si="4"/>
        <v>BOYACAPANQUEBA</v>
      </c>
      <c r="D264" t="s">
        <v>4261</v>
      </c>
      <c r="E264" t="s">
        <v>1244</v>
      </c>
      <c r="F264" t="s">
        <v>1243</v>
      </c>
    </row>
    <row r="265" spans="1:6" hidden="1" x14ac:dyDescent="0.2">
      <c r="A265" t="s">
        <v>2574</v>
      </c>
      <c r="B265" t="s">
        <v>1245</v>
      </c>
      <c r="C265" t="str">
        <f t="shared" si="4"/>
        <v>BOYACAPAUNA</v>
      </c>
      <c r="D265" t="s">
        <v>4261</v>
      </c>
      <c r="E265" t="s">
        <v>971</v>
      </c>
      <c r="F265" t="s">
        <v>1246</v>
      </c>
    </row>
    <row r="266" spans="1:6" hidden="1" x14ac:dyDescent="0.2">
      <c r="A266" t="s">
        <v>2574</v>
      </c>
      <c r="B266" t="s">
        <v>1247</v>
      </c>
      <c r="C266" t="str">
        <f t="shared" si="4"/>
        <v>BOYACAPAYA</v>
      </c>
      <c r="D266" t="s">
        <v>4261</v>
      </c>
      <c r="E266" t="s">
        <v>1249</v>
      </c>
      <c r="F266" t="s">
        <v>1248</v>
      </c>
    </row>
    <row r="267" spans="1:6" hidden="1" x14ac:dyDescent="0.2">
      <c r="A267" t="s">
        <v>2574</v>
      </c>
      <c r="B267" t="s">
        <v>1250</v>
      </c>
      <c r="C267" t="str">
        <f t="shared" si="4"/>
        <v>BOYACAPAZ DE RIO</v>
      </c>
      <c r="D267" t="s">
        <v>4261</v>
      </c>
      <c r="E267" t="s">
        <v>1252</v>
      </c>
      <c r="F267" t="s">
        <v>1251</v>
      </c>
    </row>
    <row r="268" spans="1:6" hidden="1" x14ac:dyDescent="0.2">
      <c r="A268" t="s">
        <v>2574</v>
      </c>
      <c r="B268" t="s">
        <v>1253</v>
      </c>
      <c r="C268" t="str">
        <f t="shared" si="4"/>
        <v>BOYACAPESCA</v>
      </c>
      <c r="D268" t="s">
        <v>4261</v>
      </c>
      <c r="E268" t="s">
        <v>1255</v>
      </c>
      <c r="F268" t="s">
        <v>1254</v>
      </c>
    </row>
    <row r="269" spans="1:6" hidden="1" x14ac:dyDescent="0.2">
      <c r="A269" t="s">
        <v>2574</v>
      </c>
      <c r="B269" t="s">
        <v>1256</v>
      </c>
      <c r="C269" t="str">
        <f t="shared" si="4"/>
        <v>BOYACAPISBA</v>
      </c>
      <c r="D269" t="s">
        <v>4261</v>
      </c>
      <c r="E269" t="s">
        <v>1258</v>
      </c>
      <c r="F269" t="s">
        <v>1257</v>
      </c>
    </row>
    <row r="270" spans="1:6" hidden="1" x14ac:dyDescent="0.2">
      <c r="A270" t="s">
        <v>2574</v>
      </c>
      <c r="B270" t="s">
        <v>1259</v>
      </c>
      <c r="C270" t="str">
        <f t="shared" si="4"/>
        <v>BOYACAPUERTO BOYACA</v>
      </c>
      <c r="D270" t="s">
        <v>4261</v>
      </c>
      <c r="E270" t="s">
        <v>2869</v>
      </c>
      <c r="F270" t="s">
        <v>1260</v>
      </c>
    </row>
    <row r="271" spans="1:6" hidden="1" x14ac:dyDescent="0.2">
      <c r="A271" t="s">
        <v>2574</v>
      </c>
      <c r="B271" t="s">
        <v>2524</v>
      </c>
      <c r="C271" t="str">
        <f t="shared" si="4"/>
        <v>BOYACAQUIPAMA</v>
      </c>
      <c r="D271" t="s">
        <v>4261</v>
      </c>
      <c r="E271" t="s">
        <v>2870</v>
      </c>
      <c r="F271" t="s">
        <v>1261</v>
      </c>
    </row>
    <row r="272" spans="1:6" hidden="1" x14ac:dyDescent="0.2">
      <c r="A272" t="s">
        <v>2574</v>
      </c>
      <c r="B272" t="s">
        <v>1262</v>
      </c>
      <c r="C272" t="str">
        <f t="shared" si="4"/>
        <v>BOYACARAMIRIQUI</v>
      </c>
      <c r="D272" t="s">
        <v>4261</v>
      </c>
      <c r="E272" t="s">
        <v>1264</v>
      </c>
      <c r="F272" t="s">
        <v>1263</v>
      </c>
    </row>
    <row r="273" spans="1:6" hidden="1" x14ac:dyDescent="0.2">
      <c r="A273" t="s">
        <v>2574</v>
      </c>
      <c r="B273" t="s">
        <v>2526</v>
      </c>
      <c r="C273" t="str">
        <f t="shared" si="4"/>
        <v>BOYACARAQUIRA</v>
      </c>
      <c r="D273" t="s">
        <v>4261</v>
      </c>
      <c r="E273" t="s">
        <v>4389</v>
      </c>
      <c r="F273" t="s">
        <v>1265</v>
      </c>
    </row>
    <row r="274" spans="1:6" hidden="1" x14ac:dyDescent="0.2">
      <c r="A274" t="s">
        <v>2574</v>
      </c>
      <c r="B274" t="s">
        <v>1266</v>
      </c>
      <c r="C274" t="str">
        <f t="shared" si="4"/>
        <v>BOYACARONDON</v>
      </c>
      <c r="D274" t="s">
        <v>4261</v>
      </c>
      <c r="E274" t="s">
        <v>1268</v>
      </c>
      <c r="F274" t="s">
        <v>1267</v>
      </c>
    </row>
    <row r="275" spans="1:6" hidden="1" x14ac:dyDescent="0.2">
      <c r="A275" t="s">
        <v>2574</v>
      </c>
      <c r="B275" t="s">
        <v>1269</v>
      </c>
      <c r="C275" t="str">
        <f t="shared" si="4"/>
        <v>BOYACASABOYA</v>
      </c>
      <c r="D275" t="s">
        <v>4261</v>
      </c>
      <c r="E275" t="s">
        <v>2871</v>
      </c>
      <c r="F275" t="s">
        <v>1270</v>
      </c>
    </row>
    <row r="276" spans="1:6" hidden="1" x14ac:dyDescent="0.2">
      <c r="A276" t="s">
        <v>2574</v>
      </c>
      <c r="B276" t="s">
        <v>2452</v>
      </c>
      <c r="C276" t="str">
        <f t="shared" si="4"/>
        <v>BOYACASACHICA</v>
      </c>
      <c r="D276" t="s">
        <v>4261</v>
      </c>
      <c r="E276" t="s">
        <v>1272</v>
      </c>
      <c r="F276" t="s">
        <v>1271</v>
      </c>
    </row>
    <row r="277" spans="1:6" hidden="1" x14ac:dyDescent="0.2">
      <c r="A277" t="s">
        <v>2574</v>
      </c>
      <c r="B277" t="s">
        <v>1273</v>
      </c>
      <c r="C277" t="str">
        <f t="shared" si="4"/>
        <v>BOYACASAMACA</v>
      </c>
      <c r="D277" t="s">
        <v>4261</v>
      </c>
      <c r="E277" t="s">
        <v>3248</v>
      </c>
      <c r="F277" t="s">
        <v>1274</v>
      </c>
    </row>
    <row r="278" spans="1:6" hidden="1" x14ac:dyDescent="0.2">
      <c r="A278" t="s">
        <v>2574</v>
      </c>
      <c r="B278" t="s">
        <v>4032</v>
      </c>
      <c r="C278" t="str">
        <f t="shared" si="4"/>
        <v>BOYACASAN EDUARDO</v>
      </c>
      <c r="D278" t="s">
        <v>4261</v>
      </c>
      <c r="E278" t="s">
        <v>1276</v>
      </c>
      <c r="F278" t="s">
        <v>1275</v>
      </c>
    </row>
    <row r="279" spans="1:6" hidden="1" x14ac:dyDescent="0.2">
      <c r="A279" t="s">
        <v>2574</v>
      </c>
      <c r="B279" t="s">
        <v>4034</v>
      </c>
      <c r="C279" t="str">
        <f t="shared" si="4"/>
        <v>BOYACASAN JOSE DE PARE</v>
      </c>
      <c r="D279" t="s">
        <v>4261</v>
      </c>
      <c r="E279" t="s">
        <v>1278</v>
      </c>
      <c r="F279" t="s">
        <v>1277</v>
      </c>
    </row>
    <row r="280" spans="1:6" hidden="1" x14ac:dyDescent="0.2">
      <c r="A280" t="s">
        <v>2574</v>
      </c>
      <c r="B280" t="s">
        <v>4039</v>
      </c>
      <c r="C280" t="str">
        <f t="shared" si="4"/>
        <v>BOYACASAN LUIS DE GACENO</v>
      </c>
      <c r="D280" t="s">
        <v>4261</v>
      </c>
      <c r="E280" t="s">
        <v>1280</v>
      </c>
      <c r="F280" t="s">
        <v>1279</v>
      </c>
    </row>
    <row r="281" spans="1:6" hidden="1" x14ac:dyDescent="0.2">
      <c r="A281" t="s">
        <v>2574</v>
      </c>
      <c r="B281" t="s">
        <v>2545</v>
      </c>
      <c r="C281" t="str">
        <f t="shared" si="4"/>
        <v>BOYACASAN MATEO</v>
      </c>
      <c r="D281" t="s">
        <v>4261</v>
      </c>
      <c r="E281" t="s">
        <v>4260</v>
      </c>
      <c r="F281" t="s">
        <v>2733</v>
      </c>
    </row>
    <row r="282" spans="1:6" hidden="1" x14ac:dyDescent="0.2">
      <c r="A282" t="s">
        <v>2574</v>
      </c>
      <c r="B282" t="s">
        <v>1281</v>
      </c>
      <c r="C282" t="str">
        <f t="shared" si="4"/>
        <v>BOYACASAN MIGUEL DE SEMA</v>
      </c>
      <c r="D282" t="s">
        <v>4261</v>
      </c>
      <c r="E282" t="s">
        <v>2872</v>
      </c>
      <c r="F282" t="s">
        <v>1282</v>
      </c>
    </row>
    <row r="283" spans="1:6" hidden="1" x14ac:dyDescent="0.2">
      <c r="A283" t="s">
        <v>2574</v>
      </c>
      <c r="B283" t="s">
        <v>1283</v>
      </c>
      <c r="C283" t="str">
        <f t="shared" si="4"/>
        <v>BOYACASAN PABLO DE BORBUR</v>
      </c>
      <c r="D283" t="s">
        <v>4261</v>
      </c>
      <c r="E283" t="s">
        <v>3449</v>
      </c>
      <c r="F283" t="s">
        <v>2734</v>
      </c>
    </row>
    <row r="284" spans="1:6" hidden="1" x14ac:dyDescent="0.2">
      <c r="A284" t="s">
        <v>2574</v>
      </c>
      <c r="B284" t="s">
        <v>4049</v>
      </c>
      <c r="C284" t="str">
        <f t="shared" si="4"/>
        <v>BOYACASANTANA</v>
      </c>
      <c r="D284" t="s">
        <v>4261</v>
      </c>
      <c r="E284" t="s">
        <v>1285</v>
      </c>
      <c r="F284" t="s">
        <v>1284</v>
      </c>
    </row>
    <row r="285" spans="1:6" hidden="1" x14ac:dyDescent="0.2">
      <c r="A285" t="s">
        <v>2574</v>
      </c>
      <c r="B285" t="s">
        <v>4052</v>
      </c>
      <c r="C285" t="str">
        <f t="shared" si="4"/>
        <v>BOYACASANTA MARIA</v>
      </c>
      <c r="D285" t="s">
        <v>4261</v>
      </c>
      <c r="E285" t="s">
        <v>3356</v>
      </c>
      <c r="F285" t="s">
        <v>1286</v>
      </c>
    </row>
    <row r="286" spans="1:6" hidden="1" x14ac:dyDescent="0.2">
      <c r="A286" t="s">
        <v>2574</v>
      </c>
      <c r="B286" t="s">
        <v>1287</v>
      </c>
      <c r="C286" t="str">
        <f t="shared" si="4"/>
        <v>BOYACASANTA ROSA DE VITERBO</v>
      </c>
      <c r="D286" t="s">
        <v>4261</v>
      </c>
      <c r="E286" t="s">
        <v>1289</v>
      </c>
      <c r="F286" t="s">
        <v>1288</v>
      </c>
    </row>
    <row r="287" spans="1:6" hidden="1" x14ac:dyDescent="0.2">
      <c r="A287" t="s">
        <v>2574</v>
      </c>
      <c r="B287" t="s">
        <v>1290</v>
      </c>
      <c r="C287" t="str">
        <f t="shared" si="4"/>
        <v>BOYACASANTA SOFIA</v>
      </c>
      <c r="D287" t="s">
        <v>4261</v>
      </c>
      <c r="E287" t="s">
        <v>1292</v>
      </c>
      <c r="F287" t="s">
        <v>1291</v>
      </c>
    </row>
    <row r="288" spans="1:6" hidden="1" x14ac:dyDescent="0.2">
      <c r="A288" t="s">
        <v>2574</v>
      </c>
      <c r="B288" t="s">
        <v>1293</v>
      </c>
      <c r="C288" t="str">
        <f t="shared" si="4"/>
        <v>BOYACASATIVANORTE</v>
      </c>
      <c r="D288" t="s">
        <v>4261</v>
      </c>
      <c r="E288" t="s">
        <v>1295</v>
      </c>
      <c r="F288" t="s">
        <v>1294</v>
      </c>
    </row>
    <row r="289" spans="1:6" hidden="1" x14ac:dyDescent="0.2">
      <c r="A289" t="s">
        <v>2574</v>
      </c>
      <c r="B289" t="s">
        <v>1296</v>
      </c>
      <c r="C289" t="str">
        <f t="shared" si="4"/>
        <v>BOYACASATIVASUR</v>
      </c>
      <c r="D289" t="s">
        <v>4261</v>
      </c>
      <c r="E289" t="s">
        <v>1298</v>
      </c>
      <c r="F289" t="s">
        <v>1297</v>
      </c>
    </row>
    <row r="290" spans="1:6" hidden="1" x14ac:dyDescent="0.2">
      <c r="A290" t="s">
        <v>2574</v>
      </c>
      <c r="B290" t="s">
        <v>1299</v>
      </c>
      <c r="C290" t="str">
        <f t="shared" si="4"/>
        <v>BOYACASIACHOQUE</v>
      </c>
      <c r="D290" t="s">
        <v>4261</v>
      </c>
      <c r="E290" t="s">
        <v>1301</v>
      </c>
      <c r="F290" t="s">
        <v>1300</v>
      </c>
    </row>
    <row r="291" spans="1:6" hidden="1" x14ac:dyDescent="0.2">
      <c r="A291" t="s">
        <v>2574</v>
      </c>
      <c r="B291" t="s">
        <v>1302</v>
      </c>
      <c r="C291" t="str">
        <f t="shared" si="4"/>
        <v>BOYACASOATA</v>
      </c>
      <c r="D291" t="s">
        <v>4261</v>
      </c>
      <c r="E291" t="s">
        <v>1304</v>
      </c>
      <c r="F291" t="s">
        <v>1303</v>
      </c>
    </row>
    <row r="292" spans="1:6" hidden="1" x14ac:dyDescent="0.2">
      <c r="A292" t="s">
        <v>2574</v>
      </c>
      <c r="B292" t="s">
        <v>1305</v>
      </c>
      <c r="C292" t="str">
        <f t="shared" si="4"/>
        <v>BOYACASOCOTA</v>
      </c>
      <c r="D292" t="s">
        <v>4261</v>
      </c>
      <c r="E292" t="s">
        <v>1307</v>
      </c>
      <c r="F292" t="s">
        <v>1306</v>
      </c>
    </row>
    <row r="293" spans="1:6" hidden="1" x14ac:dyDescent="0.2">
      <c r="A293" t="s">
        <v>2574</v>
      </c>
      <c r="B293" t="s">
        <v>1308</v>
      </c>
      <c r="C293" t="str">
        <f t="shared" si="4"/>
        <v>BOYACASOCHA</v>
      </c>
      <c r="D293" t="s">
        <v>4261</v>
      </c>
      <c r="E293" t="s">
        <v>1310</v>
      </c>
      <c r="F293" t="s">
        <v>1309</v>
      </c>
    </row>
    <row r="294" spans="1:6" hidden="1" x14ac:dyDescent="0.2">
      <c r="A294" t="s">
        <v>2574</v>
      </c>
      <c r="B294" t="s">
        <v>1311</v>
      </c>
      <c r="C294" t="str">
        <f t="shared" si="4"/>
        <v>BOYACASOGAMOSO</v>
      </c>
      <c r="D294" t="s">
        <v>4261</v>
      </c>
      <c r="E294" t="s">
        <v>2256</v>
      </c>
      <c r="F294" t="s">
        <v>1312</v>
      </c>
    </row>
    <row r="295" spans="1:6" hidden="1" x14ac:dyDescent="0.2">
      <c r="A295" t="s">
        <v>2574</v>
      </c>
      <c r="B295" t="s">
        <v>4061</v>
      </c>
      <c r="C295" t="str">
        <f t="shared" si="4"/>
        <v>BOYACASOMONDOCO</v>
      </c>
      <c r="D295" t="s">
        <v>4261</v>
      </c>
      <c r="E295" t="s">
        <v>1314</v>
      </c>
      <c r="F295" t="s">
        <v>1313</v>
      </c>
    </row>
    <row r="296" spans="1:6" hidden="1" x14ac:dyDescent="0.2">
      <c r="A296" t="s">
        <v>2574</v>
      </c>
      <c r="B296" t="s">
        <v>1315</v>
      </c>
      <c r="C296" t="str">
        <f t="shared" si="4"/>
        <v>BOYACASORA</v>
      </c>
      <c r="D296" t="s">
        <v>4261</v>
      </c>
      <c r="E296" t="s">
        <v>1317</v>
      </c>
      <c r="F296" t="s">
        <v>1316</v>
      </c>
    </row>
    <row r="297" spans="1:6" hidden="1" x14ac:dyDescent="0.2">
      <c r="A297" t="s">
        <v>2574</v>
      </c>
      <c r="B297" t="s">
        <v>1318</v>
      </c>
      <c r="C297" t="str">
        <f t="shared" si="4"/>
        <v>BOYACASOTAQUIRA</v>
      </c>
      <c r="D297" t="s">
        <v>4261</v>
      </c>
      <c r="E297" t="s">
        <v>1320</v>
      </c>
      <c r="F297" t="s">
        <v>1319</v>
      </c>
    </row>
    <row r="298" spans="1:6" hidden="1" x14ac:dyDescent="0.2">
      <c r="A298" t="s">
        <v>2574</v>
      </c>
      <c r="B298" t="s">
        <v>1321</v>
      </c>
      <c r="C298" t="str">
        <f t="shared" si="4"/>
        <v>BOYACASORACA</v>
      </c>
      <c r="D298" t="s">
        <v>4261</v>
      </c>
      <c r="E298" t="s">
        <v>1323</v>
      </c>
      <c r="F298" t="s">
        <v>1322</v>
      </c>
    </row>
    <row r="299" spans="1:6" hidden="1" x14ac:dyDescent="0.2">
      <c r="A299" t="s">
        <v>2574</v>
      </c>
      <c r="B299" t="s">
        <v>1324</v>
      </c>
      <c r="C299" t="str">
        <f t="shared" si="4"/>
        <v>BOYACASUSACON</v>
      </c>
      <c r="D299" t="s">
        <v>4261</v>
      </c>
      <c r="E299" t="s">
        <v>1326</v>
      </c>
      <c r="F299" t="s">
        <v>1325</v>
      </c>
    </row>
    <row r="300" spans="1:6" hidden="1" x14ac:dyDescent="0.2">
      <c r="A300" t="s">
        <v>2574</v>
      </c>
      <c r="B300" t="s">
        <v>1327</v>
      </c>
      <c r="C300" t="str">
        <f t="shared" si="4"/>
        <v>BOYACASUTAMARCHAN</v>
      </c>
      <c r="D300" t="s">
        <v>4261</v>
      </c>
      <c r="E300" t="s">
        <v>1329</v>
      </c>
      <c r="F300" t="s">
        <v>1328</v>
      </c>
    </row>
    <row r="301" spans="1:6" hidden="1" x14ac:dyDescent="0.2">
      <c r="A301" t="s">
        <v>2574</v>
      </c>
      <c r="B301" t="s">
        <v>1330</v>
      </c>
      <c r="C301" t="str">
        <f t="shared" si="4"/>
        <v>BOYACASUTATENZA</v>
      </c>
      <c r="D301" t="s">
        <v>4261</v>
      </c>
      <c r="E301" t="s">
        <v>1332</v>
      </c>
      <c r="F301" t="s">
        <v>1331</v>
      </c>
    </row>
    <row r="302" spans="1:6" hidden="1" x14ac:dyDescent="0.2">
      <c r="A302" t="s">
        <v>2574</v>
      </c>
      <c r="B302" t="s">
        <v>4066</v>
      </c>
      <c r="C302" t="str">
        <f t="shared" si="4"/>
        <v>BOYACATASCO</v>
      </c>
      <c r="D302" t="s">
        <v>4261</v>
      </c>
      <c r="E302" t="s">
        <v>2260</v>
      </c>
      <c r="F302" t="s">
        <v>2735</v>
      </c>
    </row>
    <row r="303" spans="1:6" hidden="1" x14ac:dyDescent="0.2">
      <c r="A303" t="s">
        <v>2574</v>
      </c>
      <c r="B303" t="s">
        <v>1333</v>
      </c>
      <c r="C303" t="str">
        <f t="shared" si="4"/>
        <v>BOYACATENZA</v>
      </c>
      <c r="D303" t="s">
        <v>4261</v>
      </c>
      <c r="E303" t="s">
        <v>1335</v>
      </c>
      <c r="F303" t="s">
        <v>1334</v>
      </c>
    </row>
    <row r="304" spans="1:6" hidden="1" x14ac:dyDescent="0.2">
      <c r="A304" t="s">
        <v>2574</v>
      </c>
      <c r="B304" t="s">
        <v>1336</v>
      </c>
      <c r="C304" t="str">
        <f t="shared" si="4"/>
        <v>BOYACATIBANA</v>
      </c>
      <c r="D304" t="s">
        <v>4261</v>
      </c>
      <c r="E304" t="s">
        <v>3379</v>
      </c>
      <c r="F304" t="s">
        <v>1337</v>
      </c>
    </row>
    <row r="305" spans="1:6" hidden="1" x14ac:dyDescent="0.2">
      <c r="A305" t="s">
        <v>2574</v>
      </c>
      <c r="B305" t="s">
        <v>1338</v>
      </c>
      <c r="C305" t="str">
        <f t="shared" si="4"/>
        <v>BOYACATIBASOSA</v>
      </c>
      <c r="D305" t="s">
        <v>4261</v>
      </c>
      <c r="E305" t="s">
        <v>1340</v>
      </c>
      <c r="F305" t="s">
        <v>1339</v>
      </c>
    </row>
    <row r="306" spans="1:6" hidden="1" x14ac:dyDescent="0.2">
      <c r="A306" t="s">
        <v>2574</v>
      </c>
      <c r="B306" t="s">
        <v>1341</v>
      </c>
      <c r="C306" t="str">
        <f t="shared" si="4"/>
        <v>BOYACATINJACA</v>
      </c>
      <c r="D306" t="s">
        <v>4261</v>
      </c>
      <c r="E306" t="s">
        <v>1343</v>
      </c>
      <c r="F306" t="s">
        <v>1342</v>
      </c>
    </row>
    <row r="307" spans="1:6" hidden="1" x14ac:dyDescent="0.2">
      <c r="A307" t="s">
        <v>2574</v>
      </c>
      <c r="B307" t="s">
        <v>2561</v>
      </c>
      <c r="C307" t="str">
        <f t="shared" si="4"/>
        <v>BOYACATIPACOQUE</v>
      </c>
      <c r="D307" t="s">
        <v>4261</v>
      </c>
      <c r="E307" t="s">
        <v>1345</v>
      </c>
      <c r="F307" t="s">
        <v>1344</v>
      </c>
    </row>
    <row r="308" spans="1:6" hidden="1" x14ac:dyDescent="0.2">
      <c r="A308" t="s">
        <v>2574</v>
      </c>
      <c r="B308" t="s">
        <v>1346</v>
      </c>
      <c r="C308" t="str">
        <f t="shared" si="4"/>
        <v>BOYACATOCA</v>
      </c>
      <c r="D308" t="s">
        <v>4261</v>
      </c>
      <c r="E308" t="s">
        <v>1348</v>
      </c>
      <c r="F308" t="s">
        <v>1347</v>
      </c>
    </row>
    <row r="309" spans="1:6" hidden="1" x14ac:dyDescent="0.2">
      <c r="A309" t="s">
        <v>2574</v>
      </c>
      <c r="B309" t="s">
        <v>1349</v>
      </c>
      <c r="C309" t="str">
        <f t="shared" si="4"/>
        <v>BOYACATOGUI</v>
      </c>
      <c r="D309" t="s">
        <v>4261</v>
      </c>
      <c r="E309" t="s">
        <v>1351</v>
      </c>
      <c r="F309" t="s">
        <v>1350</v>
      </c>
    </row>
    <row r="310" spans="1:6" hidden="1" x14ac:dyDescent="0.2">
      <c r="A310" t="s">
        <v>2574</v>
      </c>
      <c r="B310" t="s">
        <v>1352</v>
      </c>
      <c r="C310" t="str">
        <f t="shared" si="4"/>
        <v>BOYACATOPAGA</v>
      </c>
      <c r="D310" t="s">
        <v>4261</v>
      </c>
      <c r="E310" t="s">
        <v>1354</v>
      </c>
      <c r="F310" t="s">
        <v>1353</v>
      </c>
    </row>
    <row r="311" spans="1:6" hidden="1" x14ac:dyDescent="0.2">
      <c r="A311" t="s">
        <v>2574</v>
      </c>
      <c r="B311" t="s">
        <v>1355</v>
      </c>
      <c r="C311" t="str">
        <f t="shared" si="4"/>
        <v>BOYACATOTA</v>
      </c>
      <c r="D311" t="s">
        <v>4261</v>
      </c>
      <c r="E311" t="s">
        <v>1357</v>
      </c>
      <c r="F311" t="s">
        <v>1356</v>
      </c>
    </row>
    <row r="312" spans="1:6" hidden="1" x14ac:dyDescent="0.2">
      <c r="A312" t="s">
        <v>2574</v>
      </c>
      <c r="B312" t="s">
        <v>2465</v>
      </c>
      <c r="C312" t="str">
        <f t="shared" si="4"/>
        <v>BOYACATUNUNGUA</v>
      </c>
      <c r="D312" t="s">
        <v>4261</v>
      </c>
      <c r="E312" t="s">
        <v>3249</v>
      </c>
      <c r="F312" t="s">
        <v>1358</v>
      </c>
    </row>
    <row r="313" spans="1:6" hidden="1" x14ac:dyDescent="0.2">
      <c r="A313" t="s">
        <v>2574</v>
      </c>
      <c r="B313" t="s">
        <v>1359</v>
      </c>
      <c r="C313" t="str">
        <f t="shared" si="4"/>
        <v>BOYACATURMEQUE</v>
      </c>
      <c r="D313" t="s">
        <v>4261</v>
      </c>
      <c r="E313" t="s">
        <v>1361</v>
      </c>
      <c r="F313" t="s">
        <v>1360</v>
      </c>
    </row>
    <row r="314" spans="1:6" hidden="1" x14ac:dyDescent="0.2">
      <c r="A314" t="s">
        <v>2574</v>
      </c>
      <c r="B314" t="s">
        <v>4077</v>
      </c>
      <c r="C314" t="str">
        <f t="shared" si="4"/>
        <v>BOYACATUTA</v>
      </c>
      <c r="D314" t="s">
        <v>4261</v>
      </c>
      <c r="E314" t="s">
        <v>4381</v>
      </c>
      <c r="F314" t="s">
        <v>1362</v>
      </c>
    </row>
    <row r="315" spans="1:6" hidden="1" x14ac:dyDescent="0.2">
      <c r="A315" t="s">
        <v>2574</v>
      </c>
      <c r="B315" t="s">
        <v>1363</v>
      </c>
      <c r="C315" t="str">
        <f t="shared" si="4"/>
        <v>BOYACATUTAZA</v>
      </c>
      <c r="D315" t="s">
        <v>4261</v>
      </c>
      <c r="E315" t="s">
        <v>1365</v>
      </c>
      <c r="F315" t="s">
        <v>1364</v>
      </c>
    </row>
    <row r="316" spans="1:6" hidden="1" x14ac:dyDescent="0.2">
      <c r="A316" t="s">
        <v>2574</v>
      </c>
      <c r="B316" t="s">
        <v>4080</v>
      </c>
      <c r="C316" t="str">
        <f t="shared" si="4"/>
        <v>BOYACAUMBITA</v>
      </c>
      <c r="D316" t="s">
        <v>4261</v>
      </c>
      <c r="E316" t="s">
        <v>1367</v>
      </c>
      <c r="F316" t="s">
        <v>1366</v>
      </c>
    </row>
    <row r="317" spans="1:6" hidden="1" x14ac:dyDescent="0.2">
      <c r="A317" t="s">
        <v>2574</v>
      </c>
      <c r="B317" t="s">
        <v>4094</v>
      </c>
      <c r="C317" t="str">
        <f t="shared" si="4"/>
        <v>BOYACAVENTAQUEMADA</v>
      </c>
      <c r="D317" t="s">
        <v>4261</v>
      </c>
      <c r="E317" t="s">
        <v>1369</v>
      </c>
      <c r="F317" t="s">
        <v>1368</v>
      </c>
    </row>
    <row r="318" spans="1:6" hidden="1" x14ac:dyDescent="0.2">
      <c r="A318" t="s">
        <v>2574</v>
      </c>
      <c r="B318" t="s">
        <v>1370</v>
      </c>
      <c r="C318" t="str">
        <f t="shared" si="4"/>
        <v>BOYACAVIRACACHA</v>
      </c>
      <c r="D318" t="s">
        <v>4261</v>
      </c>
      <c r="E318" t="s">
        <v>1372</v>
      </c>
      <c r="F318" t="s">
        <v>1371</v>
      </c>
    </row>
    <row r="319" spans="1:6" hidden="1" x14ac:dyDescent="0.2">
      <c r="A319" t="s">
        <v>2574</v>
      </c>
      <c r="B319" t="s">
        <v>1373</v>
      </c>
      <c r="C319" t="str">
        <f t="shared" si="4"/>
        <v>BOYACAZETAQUIRA</v>
      </c>
      <c r="D319" t="s">
        <v>4261</v>
      </c>
      <c r="E319" t="s">
        <v>1375</v>
      </c>
      <c r="F319" t="s">
        <v>1374</v>
      </c>
    </row>
    <row r="320" spans="1:6" hidden="1" x14ac:dyDescent="0.2">
      <c r="A320" t="s">
        <v>1376</v>
      </c>
      <c r="B320" t="s">
        <v>3785</v>
      </c>
      <c r="C320" t="str">
        <f t="shared" si="4"/>
        <v>CaldasMANIZALES</v>
      </c>
      <c r="D320" t="s">
        <v>1377</v>
      </c>
      <c r="E320" t="s">
        <v>862</v>
      </c>
      <c r="F320" t="s">
        <v>2736</v>
      </c>
    </row>
    <row r="321" spans="1:6" hidden="1" x14ac:dyDescent="0.2">
      <c r="A321" t="s">
        <v>1376</v>
      </c>
      <c r="B321" t="s">
        <v>1378</v>
      </c>
      <c r="C321" t="str">
        <f t="shared" si="4"/>
        <v>CaldasAGUADAS</v>
      </c>
      <c r="D321" t="s">
        <v>1377</v>
      </c>
      <c r="E321" t="s">
        <v>1380</v>
      </c>
      <c r="F321" t="s">
        <v>1379</v>
      </c>
    </row>
    <row r="322" spans="1:6" hidden="1" x14ac:dyDescent="0.2">
      <c r="A322" t="s">
        <v>1376</v>
      </c>
      <c r="B322" t="s">
        <v>3811</v>
      </c>
      <c r="C322" t="str">
        <f t="shared" si="4"/>
        <v>CaldasANSERMA</v>
      </c>
      <c r="D322" t="s">
        <v>1377</v>
      </c>
      <c r="E322" t="s">
        <v>2244</v>
      </c>
      <c r="F322" t="s">
        <v>2737</v>
      </c>
    </row>
    <row r="323" spans="1:6" hidden="1" x14ac:dyDescent="0.2">
      <c r="A323" t="s">
        <v>1376</v>
      </c>
      <c r="B323" t="s">
        <v>1381</v>
      </c>
      <c r="C323" t="str">
        <f t="shared" ref="C323:C386" si="5">D323&amp;E323</f>
        <v>CaldasARANZAZU</v>
      </c>
      <c r="D323" t="s">
        <v>1377</v>
      </c>
      <c r="E323" t="s">
        <v>3331</v>
      </c>
      <c r="F323" t="s">
        <v>1382</v>
      </c>
    </row>
    <row r="324" spans="1:6" hidden="1" x14ac:dyDescent="0.2">
      <c r="A324" t="s">
        <v>1376</v>
      </c>
      <c r="B324" t="s">
        <v>3832</v>
      </c>
      <c r="C324" t="str">
        <f t="shared" si="5"/>
        <v>CaldasBELALCAZAR</v>
      </c>
      <c r="D324" t="s">
        <v>1377</v>
      </c>
      <c r="E324" t="s">
        <v>4207</v>
      </c>
      <c r="F324" t="s">
        <v>1383</v>
      </c>
    </row>
    <row r="325" spans="1:6" hidden="1" x14ac:dyDescent="0.2">
      <c r="A325" t="s">
        <v>1376</v>
      </c>
      <c r="B325" t="s">
        <v>1384</v>
      </c>
      <c r="C325" t="str">
        <f t="shared" si="5"/>
        <v>CaldasCHINCHINA</v>
      </c>
      <c r="D325" t="s">
        <v>1377</v>
      </c>
      <c r="E325" t="s">
        <v>968</v>
      </c>
      <c r="F325" t="s">
        <v>1385</v>
      </c>
    </row>
    <row r="326" spans="1:6" hidden="1" x14ac:dyDescent="0.2">
      <c r="A326" t="s">
        <v>1376</v>
      </c>
      <c r="B326" t="s">
        <v>2660</v>
      </c>
      <c r="C326" t="str">
        <f t="shared" si="5"/>
        <v>CaldasFILADELFIA</v>
      </c>
      <c r="D326" t="s">
        <v>1377</v>
      </c>
      <c r="E326" t="s">
        <v>4208</v>
      </c>
      <c r="F326" t="s">
        <v>2738</v>
      </c>
    </row>
    <row r="327" spans="1:6" hidden="1" x14ac:dyDescent="0.2">
      <c r="A327" t="s">
        <v>1376</v>
      </c>
      <c r="B327" t="s">
        <v>3952</v>
      </c>
      <c r="C327" t="str">
        <f t="shared" si="5"/>
        <v>CaldasLA DORADA</v>
      </c>
      <c r="D327" t="s">
        <v>1377</v>
      </c>
      <c r="E327" t="s">
        <v>4235</v>
      </c>
      <c r="F327" t="s">
        <v>1386</v>
      </c>
    </row>
    <row r="328" spans="1:6" hidden="1" x14ac:dyDescent="0.2">
      <c r="A328" t="s">
        <v>1376</v>
      </c>
      <c r="B328" t="s">
        <v>1387</v>
      </c>
      <c r="C328" t="str">
        <f t="shared" si="5"/>
        <v>CaldasLA MERCED</v>
      </c>
      <c r="D328" t="s">
        <v>1377</v>
      </c>
      <c r="E328" t="s">
        <v>3370</v>
      </c>
      <c r="F328" t="s">
        <v>2739</v>
      </c>
    </row>
    <row r="329" spans="1:6" hidden="1" x14ac:dyDescent="0.2">
      <c r="A329" t="s">
        <v>1376</v>
      </c>
      <c r="B329" t="s">
        <v>2428</v>
      </c>
      <c r="C329" t="str">
        <f t="shared" si="5"/>
        <v>CaldasMANZANARES</v>
      </c>
      <c r="D329" t="s">
        <v>1377</v>
      </c>
      <c r="E329" t="s">
        <v>2219</v>
      </c>
      <c r="F329" t="s">
        <v>1388</v>
      </c>
    </row>
    <row r="330" spans="1:6" hidden="1" x14ac:dyDescent="0.2">
      <c r="A330" t="s">
        <v>1376</v>
      </c>
      <c r="B330" t="s">
        <v>2513</v>
      </c>
      <c r="C330" t="str">
        <f t="shared" si="5"/>
        <v>CaldasMARMATO</v>
      </c>
      <c r="D330" t="s">
        <v>1377</v>
      </c>
      <c r="E330" t="s">
        <v>1390</v>
      </c>
      <c r="F330" t="s">
        <v>1389</v>
      </c>
    </row>
    <row r="331" spans="1:6" hidden="1" x14ac:dyDescent="0.2">
      <c r="A331" t="s">
        <v>1376</v>
      </c>
      <c r="B331" t="s">
        <v>1391</v>
      </c>
      <c r="C331" t="str">
        <f t="shared" si="5"/>
        <v>CaldasMARQUETALIA</v>
      </c>
      <c r="D331" t="s">
        <v>1377</v>
      </c>
      <c r="E331" t="s">
        <v>1393</v>
      </c>
      <c r="F331" t="s">
        <v>1392</v>
      </c>
    </row>
    <row r="332" spans="1:6" hidden="1" x14ac:dyDescent="0.2">
      <c r="A332" t="s">
        <v>1376</v>
      </c>
      <c r="B332" t="s">
        <v>1394</v>
      </c>
      <c r="C332" t="str">
        <f t="shared" si="5"/>
        <v>CaldasMARULANDA</v>
      </c>
      <c r="D332" t="s">
        <v>1377</v>
      </c>
      <c r="E332" t="s">
        <v>1396</v>
      </c>
      <c r="F332" t="s">
        <v>1395</v>
      </c>
    </row>
    <row r="333" spans="1:6" hidden="1" x14ac:dyDescent="0.2">
      <c r="A333" t="s">
        <v>1376</v>
      </c>
      <c r="B333" t="s">
        <v>1397</v>
      </c>
      <c r="C333" t="str">
        <f t="shared" si="5"/>
        <v>CaldasNEIRA</v>
      </c>
      <c r="D333" t="s">
        <v>1377</v>
      </c>
      <c r="E333" t="s">
        <v>1399</v>
      </c>
      <c r="F333" t="s">
        <v>1398</v>
      </c>
    </row>
    <row r="334" spans="1:6" hidden="1" x14ac:dyDescent="0.2">
      <c r="A334" t="s">
        <v>1376</v>
      </c>
      <c r="B334" t="s">
        <v>3981</v>
      </c>
      <c r="C334" t="str">
        <f t="shared" si="5"/>
        <v>CaldasNORCASIA</v>
      </c>
      <c r="D334" t="s">
        <v>1377</v>
      </c>
      <c r="E334" t="s">
        <v>969</v>
      </c>
      <c r="F334" t="s">
        <v>2740</v>
      </c>
    </row>
    <row r="335" spans="1:6" hidden="1" x14ac:dyDescent="0.2">
      <c r="A335" t="s">
        <v>1376</v>
      </c>
      <c r="B335" t="s">
        <v>1400</v>
      </c>
      <c r="C335" t="str">
        <f t="shared" si="5"/>
        <v>CaldasPACORA</v>
      </c>
      <c r="D335" t="s">
        <v>1377</v>
      </c>
      <c r="E335" t="s">
        <v>3558</v>
      </c>
      <c r="F335" t="s">
        <v>1401</v>
      </c>
    </row>
    <row r="336" spans="1:6" hidden="1" x14ac:dyDescent="0.2">
      <c r="A336" t="s">
        <v>1376</v>
      </c>
      <c r="B336" t="s">
        <v>1402</v>
      </c>
      <c r="C336" t="str">
        <f t="shared" si="5"/>
        <v>CaldasPALESTINA</v>
      </c>
      <c r="D336" t="s">
        <v>1377</v>
      </c>
      <c r="E336" t="s">
        <v>3383</v>
      </c>
      <c r="F336" t="s">
        <v>1403</v>
      </c>
    </row>
    <row r="337" spans="1:6" hidden="1" x14ac:dyDescent="0.2">
      <c r="A337" t="s">
        <v>1376</v>
      </c>
      <c r="B337" t="s">
        <v>3987</v>
      </c>
      <c r="C337" t="str">
        <f t="shared" si="5"/>
        <v>CaldasPENSILVANIA</v>
      </c>
      <c r="D337" t="s">
        <v>1377</v>
      </c>
      <c r="E337" t="s">
        <v>1405</v>
      </c>
      <c r="F337" t="s">
        <v>1404</v>
      </c>
    </row>
    <row r="338" spans="1:6" hidden="1" x14ac:dyDescent="0.2">
      <c r="A338" t="s">
        <v>1376</v>
      </c>
      <c r="B338" t="s">
        <v>1406</v>
      </c>
      <c r="C338" t="str">
        <f t="shared" si="5"/>
        <v>CaldasRIOSUCIO</v>
      </c>
      <c r="D338" t="s">
        <v>1377</v>
      </c>
      <c r="E338" t="s">
        <v>3381</v>
      </c>
      <c r="F338" t="s">
        <v>1407</v>
      </c>
    </row>
    <row r="339" spans="1:6" hidden="1" x14ac:dyDescent="0.2">
      <c r="A339" t="s">
        <v>1376</v>
      </c>
      <c r="B339" t="s">
        <v>1408</v>
      </c>
      <c r="C339" t="str">
        <f t="shared" si="5"/>
        <v>CaldasRISARALDA</v>
      </c>
      <c r="D339" t="s">
        <v>1377</v>
      </c>
      <c r="E339" t="s">
        <v>4348</v>
      </c>
      <c r="F339" t="s">
        <v>1409</v>
      </c>
    </row>
    <row r="340" spans="1:6" hidden="1" x14ac:dyDescent="0.2">
      <c r="A340" t="s">
        <v>1376</v>
      </c>
      <c r="B340" t="s">
        <v>1410</v>
      </c>
      <c r="C340" t="str">
        <f t="shared" si="5"/>
        <v>CaldasSALAMINA</v>
      </c>
      <c r="D340" t="s">
        <v>1377</v>
      </c>
      <c r="E340" t="s">
        <v>2248</v>
      </c>
      <c r="F340" t="s">
        <v>1411</v>
      </c>
    </row>
    <row r="341" spans="1:6" hidden="1" x14ac:dyDescent="0.2">
      <c r="A341" t="s">
        <v>1376</v>
      </c>
      <c r="B341" t="s">
        <v>1412</v>
      </c>
      <c r="C341" t="str">
        <f t="shared" si="5"/>
        <v>CaldasSAMANA</v>
      </c>
      <c r="D341" t="s">
        <v>1377</v>
      </c>
      <c r="E341" t="s">
        <v>3394</v>
      </c>
      <c r="F341" t="s">
        <v>1413</v>
      </c>
    </row>
    <row r="342" spans="1:6" hidden="1" x14ac:dyDescent="0.2">
      <c r="A342" t="s">
        <v>1376</v>
      </c>
      <c r="B342" t="s">
        <v>4036</v>
      </c>
      <c r="C342" t="str">
        <f t="shared" si="5"/>
        <v>CaldasSAN JOSE</v>
      </c>
      <c r="D342" t="s">
        <v>1377</v>
      </c>
      <c r="E342" t="s">
        <v>1415</v>
      </c>
      <c r="F342" t="s">
        <v>1414</v>
      </c>
    </row>
    <row r="343" spans="1:6" hidden="1" x14ac:dyDescent="0.2">
      <c r="A343" t="s">
        <v>1376</v>
      </c>
      <c r="B343" t="s">
        <v>1416</v>
      </c>
      <c r="C343" t="str">
        <f t="shared" si="5"/>
        <v>CaldasSUPIA</v>
      </c>
      <c r="D343" t="s">
        <v>1377</v>
      </c>
      <c r="E343" t="s">
        <v>1418</v>
      </c>
      <c r="F343" t="s">
        <v>1417</v>
      </c>
    </row>
    <row r="344" spans="1:6" hidden="1" x14ac:dyDescent="0.2">
      <c r="A344" t="s">
        <v>1376</v>
      </c>
      <c r="B344" t="s">
        <v>1419</v>
      </c>
      <c r="C344" t="str">
        <f t="shared" si="5"/>
        <v>CaldasVICTORIA</v>
      </c>
      <c r="D344" t="s">
        <v>1377</v>
      </c>
      <c r="E344" t="s">
        <v>1421</v>
      </c>
      <c r="F344" t="s">
        <v>1420</v>
      </c>
    </row>
    <row r="345" spans="1:6" hidden="1" x14ac:dyDescent="0.2">
      <c r="A345" t="s">
        <v>1376</v>
      </c>
      <c r="B345" t="s">
        <v>4096</v>
      </c>
      <c r="C345" t="str">
        <f t="shared" si="5"/>
        <v>CaldasVILLAMARIA</v>
      </c>
      <c r="D345" t="s">
        <v>1377</v>
      </c>
      <c r="E345" t="s">
        <v>4242</v>
      </c>
      <c r="F345" t="s">
        <v>2741</v>
      </c>
    </row>
    <row r="346" spans="1:6" hidden="1" x14ac:dyDescent="0.2">
      <c r="A346" t="s">
        <v>1376</v>
      </c>
      <c r="B346" t="s">
        <v>1422</v>
      </c>
      <c r="C346" t="str">
        <f t="shared" si="5"/>
        <v>CaldasVITERBO</v>
      </c>
      <c r="D346" t="s">
        <v>1377</v>
      </c>
      <c r="E346" t="s">
        <v>1424</v>
      </c>
      <c r="F346" t="s">
        <v>1423</v>
      </c>
    </row>
    <row r="347" spans="1:6" hidden="1" x14ac:dyDescent="0.2">
      <c r="A347" t="s">
        <v>1425</v>
      </c>
      <c r="B347" t="s">
        <v>3785</v>
      </c>
      <c r="C347" t="str">
        <f t="shared" si="5"/>
        <v>CAQUETAFLORENCIA</v>
      </c>
      <c r="D347" t="s">
        <v>3358</v>
      </c>
      <c r="E347" t="s">
        <v>4253</v>
      </c>
      <c r="F347" t="s">
        <v>2742</v>
      </c>
    </row>
    <row r="348" spans="1:6" hidden="1" x14ac:dyDescent="0.2">
      <c r="A348" t="s">
        <v>1425</v>
      </c>
      <c r="B348" t="s">
        <v>1426</v>
      </c>
      <c r="C348" t="str">
        <f t="shared" si="5"/>
        <v>CAQUETAALBANIA</v>
      </c>
      <c r="D348" t="s">
        <v>3358</v>
      </c>
      <c r="E348" t="s">
        <v>1428</v>
      </c>
      <c r="F348" t="s">
        <v>1427</v>
      </c>
    </row>
    <row r="349" spans="1:6" hidden="1" x14ac:dyDescent="0.2">
      <c r="A349" t="s">
        <v>1425</v>
      </c>
      <c r="B349" t="s">
        <v>1429</v>
      </c>
      <c r="C349" t="str">
        <f t="shared" si="5"/>
        <v>CAQUETABELEN DE LOS ANDAQUIES</v>
      </c>
      <c r="D349" t="s">
        <v>3358</v>
      </c>
      <c r="E349" t="s">
        <v>3341</v>
      </c>
      <c r="F349" t="s">
        <v>2743</v>
      </c>
    </row>
    <row r="350" spans="1:6" hidden="1" x14ac:dyDescent="0.2">
      <c r="A350" t="s">
        <v>1425</v>
      </c>
      <c r="B350" t="s">
        <v>3871</v>
      </c>
      <c r="C350" t="str">
        <f t="shared" si="5"/>
        <v>CAQUETACARTAGENA DEL CHAIRA</v>
      </c>
      <c r="D350" t="s">
        <v>3358</v>
      </c>
      <c r="E350" t="s">
        <v>1431</v>
      </c>
      <c r="F350" t="s">
        <v>1430</v>
      </c>
    </row>
    <row r="351" spans="1:6" hidden="1" x14ac:dyDescent="0.2">
      <c r="A351" t="s">
        <v>1425</v>
      </c>
      <c r="B351" t="s">
        <v>1432</v>
      </c>
      <c r="C351" t="str">
        <f t="shared" si="5"/>
        <v>CAQUETACURILLO</v>
      </c>
      <c r="D351" t="s">
        <v>3358</v>
      </c>
      <c r="E351" t="s">
        <v>3359</v>
      </c>
      <c r="F351" t="s">
        <v>1433</v>
      </c>
    </row>
    <row r="352" spans="1:6" hidden="1" x14ac:dyDescent="0.2">
      <c r="A352" t="s">
        <v>1425</v>
      </c>
      <c r="B352" t="s">
        <v>1434</v>
      </c>
      <c r="C352" t="str">
        <f t="shared" si="5"/>
        <v>CAQUETAEL DONCELLO</v>
      </c>
      <c r="D352" t="s">
        <v>3358</v>
      </c>
      <c r="E352" t="s">
        <v>1436</v>
      </c>
      <c r="F352" t="s">
        <v>1435</v>
      </c>
    </row>
    <row r="353" spans="1:6" hidden="1" x14ac:dyDescent="0.2">
      <c r="A353" t="s">
        <v>1425</v>
      </c>
      <c r="B353" t="s">
        <v>1437</v>
      </c>
      <c r="C353" t="str">
        <f t="shared" si="5"/>
        <v>CAQUETAEL PAUJIL</v>
      </c>
      <c r="D353" t="s">
        <v>3358</v>
      </c>
      <c r="E353" t="s">
        <v>1439</v>
      </c>
      <c r="F353" t="s">
        <v>1438</v>
      </c>
    </row>
    <row r="354" spans="1:6" hidden="1" x14ac:dyDescent="0.2">
      <c r="A354" t="s">
        <v>1425</v>
      </c>
      <c r="B354" t="s">
        <v>1440</v>
      </c>
      <c r="C354" t="str">
        <f t="shared" si="5"/>
        <v>CAQUETALA MONTAÑITA</v>
      </c>
      <c r="D354" t="s">
        <v>3358</v>
      </c>
      <c r="E354" t="s">
        <v>1442</v>
      </c>
      <c r="F354" t="s">
        <v>1441</v>
      </c>
    </row>
    <row r="355" spans="1:6" hidden="1" x14ac:dyDescent="0.2">
      <c r="A355" t="s">
        <v>1425</v>
      </c>
      <c r="B355" t="s">
        <v>1443</v>
      </c>
      <c r="C355" t="str">
        <f t="shared" si="5"/>
        <v>CAQUETAMILAN</v>
      </c>
      <c r="D355" t="s">
        <v>3358</v>
      </c>
      <c r="E355" t="s">
        <v>2220</v>
      </c>
      <c r="F355" t="s">
        <v>1444</v>
      </c>
    </row>
    <row r="356" spans="1:6" hidden="1" x14ac:dyDescent="0.2">
      <c r="A356" t="s">
        <v>1425</v>
      </c>
      <c r="B356" t="s">
        <v>1445</v>
      </c>
      <c r="C356" t="str">
        <f t="shared" si="5"/>
        <v>CAQUETAMORELIA</v>
      </c>
      <c r="D356" t="s">
        <v>3358</v>
      </c>
      <c r="E356" t="s">
        <v>1447</v>
      </c>
      <c r="F356" t="s">
        <v>1446</v>
      </c>
    </row>
    <row r="357" spans="1:6" hidden="1" x14ac:dyDescent="0.2">
      <c r="A357" t="s">
        <v>1425</v>
      </c>
      <c r="B357" t="s">
        <v>1448</v>
      </c>
      <c r="C357" t="str">
        <f t="shared" si="5"/>
        <v>CAQUETAPUERTO RICO</v>
      </c>
      <c r="D357" t="s">
        <v>3358</v>
      </c>
      <c r="E357" t="s">
        <v>3320</v>
      </c>
      <c r="F357" t="s">
        <v>1449</v>
      </c>
    </row>
    <row r="358" spans="1:6" hidden="1" x14ac:dyDescent="0.2">
      <c r="A358" t="s">
        <v>1425</v>
      </c>
      <c r="B358" t="s">
        <v>1450</v>
      </c>
      <c r="C358" t="str">
        <f t="shared" si="5"/>
        <v>CAQUETASAN JOSE DEL FRAGUA</v>
      </c>
      <c r="D358" t="s">
        <v>3358</v>
      </c>
      <c r="E358" t="s">
        <v>1452</v>
      </c>
      <c r="F358" t="s">
        <v>1451</v>
      </c>
    </row>
    <row r="359" spans="1:6" hidden="1" x14ac:dyDescent="0.2">
      <c r="A359" t="s">
        <v>1425</v>
      </c>
      <c r="B359" t="s">
        <v>1302</v>
      </c>
      <c r="C359" t="str">
        <f t="shared" si="5"/>
        <v>CAQUETASAN VICENTE DEL CAGUAN</v>
      </c>
      <c r="D359" t="s">
        <v>3358</v>
      </c>
      <c r="E359" t="s">
        <v>1454</v>
      </c>
      <c r="F359" t="s">
        <v>1453</v>
      </c>
    </row>
    <row r="360" spans="1:6" hidden="1" x14ac:dyDescent="0.2">
      <c r="A360" t="s">
        <v>1425</v>
      </c>
      <c r="B360" t="s">
        <v>4059</v>
      </c>
      <c r="C360" t="str">
        <f t="shared" si="5"/>
        <v>CAQUETASOLANO</v>
      </c>
      <c r="D360" t="s">
        <v>3358</v>
      </c>
      <c r="E360" t="s">
        <v>1456</v>
      </c>
      <c r="F360" t="s">
        <v>1455</v>
      </c>
    </row>
    <row r="361" spans="1:6" hidden="1" x14ac:dyDescent="0.2">
      <c r="A361" t="s">
        <v>1425</v>
      </c>
      <c r="B361" t="s">
        <v>1457</v>
      </c>
      <c r="C361" t="str">
        <f t="shared" si="5"/>
        <v>CAQUETASOLITA</v>
      </c>
      <c r="D361" t="s">
        <v>3358</v>
      </c>
      <c r="E361" t="s">
        <v>2233</v>
      </c>
      <c r="F361" t="s">
        <v>2744</v>
      </c>
    </row>
    <row r="362" spans="1:6" hidden="1" x14ac:dyDescent="0.2">
      <c r="A362" t="s">
        <v>1425</v>
      </c>
      <c r="B362" t="s">
        <v>1458</v>
      </c>
      <c r="C362" t="str">
        <f t="shared" si="5"/>
        <v>CAQUETAVALPARAISO</v>
      </c>
      <c r="D362" t="s">
        <v>3358</v>
      </c>
      <c r="E362" t="s">
        <v>4090</v>
      </c>
      <c r="F362" t="s">
        <v>1459</v>
      </c>
    </row>
    <row r="363" spans="1:6" hidden="1" x14ac:dyDescent="0.2">
      <c r="A363" t="s">
        <v>1460</v>
      </c>
      <c r="B363" t="s">
        <v>3785</v>
      </c>
      <c r="C363" t="str">
        <f t="shared" si="5"/>
        <v>CaucaPOPAYAN</v>
      </c>
      <c r="D363" t="s">
        <v>1461</v>
      </c>
      <c r="E363" t="s">
        <v>4297</v>
      </c>
      <c r="F363" t="s">
        <v>2745</v>
      </c>
    </row>
    <row r="364" spans="1:6" hidden="1" x14ac:dyDescent="0.2">
      <c r="A364" t="s">
        <v>1460</v>
      </c>
      <c r="B364" t="s">
        <v>2576</v>
      </c>
      <c r="C364" t="str">
        <f t="shared" si="5"/>
        <v>CaucaALMAGUER</v>
      </c>
      <c r="D364" t="s">
        <v>1461</v>
      </c>
      <c r="E364" t="s">
        <v>1463</v>
      </c>
      <c r="F364" t="s">
        <v>1462</v>
      </c>
    </row>
    <row r="365" spans="1:6" hidden="1" x14ac:dyDescent="0.2">
      <c r="A365" t="s">
        <v>1460</v>
      </c>
      <c r="B365" t="s">
        <v>1381</v>
      </c>
      <c r="C365" t="str">
        <f t="shared" si="5"/>
        <v>CaucaARGELIA</v>
      </c>
      <c r="D365" t="s">
        <v>1461</v>
      </c>
      <c r="E365" t="s">
        <v>2227</v>
      </c>
      <c r="F365" t="s">
        <v>1464</v>
      </c>
    </row>
    <row r="366" spans="1:6" hidden="1" x14ac:dyDescent="0.2">
      <c r="A366" t="s">
        <v>1460</v>
      </c>
      <c r="B366" t="s">
        <v>1465</v>
      </c>
      <c r="C366" t="str">
        <f t="shared" si="5"/>
        <v>CaucaBALBOA</v>
      </c>
      <c r="D366" t="s">
        <v>1461</v>
      </c>
      <c r="E366" t="s">
        <v>3553</v>
      </c>
      <c r="F366" t="s">
        <v>1466</v>
      </c>
    </row>
    <row r="367" spans="1:6" hidden="1" x14ac:dyDescent="0.2">
      <c r="A367" t="s">
        <v>1460</v>
      </c>
      <c r="B367" t="s">
        <v>1467</v>
      </c>
      <c r="C367" t="str">
        <f t="shared" si="5"/>
        <v>CaucaBOLIVAR</v>
      </c>
      <c r="D367" t="s">
        <v>1461</v>
      </c>
      <c r="E367" t="s">
        <v>4352</v>
      </c>
      <c r="F367" t="s">
        <v>1468</v>
      </c>
    </row>
    <row r="368" spans="1:6" hidden="1" x14ac:dyDescent="0.2">
      <c r="A368" t="s">
        <v>1460</v>
      </c>
      <c r="B368" t="s">
        <v>1469</v>
      </c>
      <c r="C368" t="str">
        <f t="shared" si="5"/>
        <v>CaucaBUENOS AIRES</v>
      </c>
      <c r="D368" t="s">
        <v>1461</v>
      </c>
      <c r="E368" t="s">
        <v>804</v>
      </c>
      <c r="F368" t="s">
        <v>2746</v>
      </c>
    </row>
    <row r="369" spans="1:6" hidden="1" x14ac:dyDescent="0.2">
      <c r="A369" t="s">
        <v>1460</v>
      </c>
      <c r="B369" t="s">
        <v>1470</v>
      </c>
      <c r="C369" t="str">
        <f t="shared" si="5"/>
        <v>CaucaCAJIBIO</v>
      </c>
      <c r="D369" t="s">
        <v>1461</v>
      </c>
      <c r="E369" t="s">
        <v>3334</v>
      </c>
      <c r="F369" t="s">
        <v>2747</v>
      </c>
    </row>
    <row r="370" spans="1:6" hidden="1" x14ac:dyDescent="0.2">
      <c r="A370" t="s">
        <v>1460</v>
      </c>
      <c r="B370" t="s">
        <v>4118</v>
      </c>
      <c r="C370" t="str">
        <f t="shared" si="5"/>
        <v>CaucaCALDONO</v>
      </c>
      <c r="D370" t="s">
        <v>1461</v>
      </c>
      <c r="E370" t="s">
        <v>1472</v>
      </c>
      <c r="F370" t="s">
        <v>1471</v>
      </c>
    </row>
    <row r="371" spans="1:6" hidden="1" x14ac:dyDescent="0.2">
      <c r="A371" t="s">
        <v>1460</v>
      </c>
      <c r="B371" t="s">
        <v>3859</v>
      </c>
      <c r="C371" t="str">
        <f t="shared" si="5"/>
        <v>CaucaCALOTO</v>
      </c>
      <c r="D371" t="s">
        <v>1461</v>
      </c>
      <c r="E371" t="s">
        <v>864</v>
      </c>
      <c r="F371" t="s">
        <v>1473</v>
      </c>
    </row>
    <row r="372" spans="1:6" hidden="1" x14ac:dyDescent="0.2">
      <c r="A372" t="s">
        <v>1460</v>
      </c>
      <c r="B372" t="s">
        <v>3892</v>
      </c>
      <c r="C372" t="str">
        <f t="shared" si="5"/>
        <v>CaucaCORINTO</v>
      </c>
      <c r="D372" t="s">
        <v>1461</v>
      </c>
      <c r="E372" t="s">
        <v>4246</v>
      </c>
      <c r="F372" t="s">
        <v>1474</v>
      </c>
    </row>
    <row r="373" spans="1:6" hidden="1" x14ac:dyDescent="0.2">
      <c r="A373" t="s">
        <v>1460</v>
      </c>
      <c r="B373" t="s">
        <v>1437</v>
      </c>
      <c r="C373" t="str">
        <f t="shared" si="5"/>
        <v>CaucaEL TAMBO</v>
      </c>
      <c r="D373" t="s">
        <v>1461</v>
      </c>
      <c r="E373" t="s">
        <v>855</v>
      </c>
      <c r="F373" t="s">
        <v>1475</v>
      </c>
    </row>
    <row r="374" spans="1:6" hidden="1" x14ac:dyDescent="0.2">
      <c r="A374" t="s">
        <v>1460</v>
      </c>
      <c r="B374" t="s">
        <v>1476</v>
      </c>
      <c r="C374" t="str">
        <f t="shared" si="5"/>
        <v>CaucaFLORENCIA</v>
      </c>
      <c r="D374" t="s">
        <v>1461</v>
      </c>
      <c r="E374" t="s">
        <v>4253</v>
      </c>
      <c r="F374" t="s">
        <v>1477</v>
      </c>
    </row>
    <row r="375" spans="1:6" hidden="1" x14ac:dyDescent="0.2">
      <c r="A375" t="s">
        <v>1460</v>
      </c>
      <c r="B375" t="s">
        <v>2507</v>
      </c>
      <c r="C375" t="str">
        <f t="shared" si="5"/>
        <v>CaucaGUACHENE</v>
      </c>
      <c r="D375" t="s">
        <v>1461</v>
      </c>
      <c r="E375" t="s">
        <v>866</v>
      </c>
      <c r="F375" t="s">
        <v>1478</v>
      </c>
    </row>
    <row r="376" spans="1:6" hidden="1" x14ac:dyDescent="0.2">
      <c r="A376" t="s">
        <v>1460</v>
      </c>
      <c r="B376" t="s">
        <v>3928</v>
      </c>
      <c r="C376" t="str">
        <f t="shared" si="5"/>
        <v>CaucaGUAPI</v>
      </c>
      <c r="D376" t="s">
        <v>1461</v>
      </c>
      <c r="E376" t="s">
        <v>2258</v>
      </c>
      <c r="F376" t="s">
        <v>1479</v>
      </c>
    </row>
    <row r="377" spans="1:6" hidden="1" x14ac:dyDescent="0.2">
      <c r="A377" t="s">
        <v>1460</v>
      </c>
      <c r="B377" t="s">
        <v>1480</v>
      </c>
      <c r="C377" t="str">
        <f t="shared" si="5"/>
        <v>CaucaINZA</v>
      </c>
      <c r="D377" t="s">
        <v>1461</v>
      </c>
      <c r="E377" t="s">
        <v>4384</v>
      </c>
      <c r="F377" t="s">
        <v>1481</v>
      </c>
    </row>
    <row r="378" spans="1:6" hidden="1" x14ac:dyDescent="0.2">
      <c r="A378" t="s">
        <v>1460</v>
      </c>
      <c r="B378" t="s">
        <v>3944</v>
      </c>
      <c r="C378" t="str">
        <f t="shared" si="5"/>
        <v>CaucaJAMBALO</v>
      </c>
      <c r="D378" t="s">
        <v>1461</v>
      </c>
      <c r="E378" t="s">
        <v>2240</v>
      </c>
      <c r="F378" t="s">
        <v>1482</v>
      </c>
    </row>
    <row r="379" spans="1:6" hidden="1" x14ac:dyDescent="0.2">
      <c r="A379" t="s">
        <v>1460</v>
      </c>
      <c r="B379" t="s">
        <v>1483</v>
      </c>
      <c r="C379" t="str">
        <f t="shared" si="5"/>
        <v>CaucaLA SIERRA</v>
      </c>
      <c r="D379" t="s">
        <v>1461</v>
      </c>
      <c r="E379" t="s">
        <v>1485</v>
      </c>
      <c r="F379" t="s">
        <v>1484</v>
      </c>
    </row>
    <row r="380" spans="1:6" hidden="1" x14ac:dyDescent="0.2">
      <c r="A380" t="s">
        <v>1460</v>
      </c>
      <c r="B380" t="s">
        <v>1486</v>
      </c>
      <c r="C380" t="str">
        <f t="shared" si="5"/>
        <v>CaucaLA VEGA</v>
      </c>
      <c r="D380" t="s">
        <v>1461</v>
      </c>
      <c r="E380" t="s">
        <v>3371</v>
      </c>
      <c r="F380" t="s">
        <v>2748</v>
      </c>
    </row>
    <row r="381" spans="1:6" hidden="1" x14ac:dyDescent="0.2">
      <c r="A381" t="s">
        <v>1460</v>
      </c>
      <c r="B381" t="s">
        <v>1487</v>
      </c>
      <c r="C381" t="str">
        <f t="shared" si="5"/>
        <v>CaucaLOPEZ DE MICAY</v>
      </c>
      <c r="D381" t="s">
        <v>1461</v>
      </c>
      <c r="E381" s="140" t="s">
        <v>936</v>
      </c>
      <c r="F381" t="s">
        <v>2749</v>
      </c>
    </row>
    <row r="382" spans="1:6" hidden="1" x14ac:dyDescent="0.2">
      <c r="A382" t="s">
        <v>1460</v>
      </c>
      <c r="B382" t="s">
        <v>1488</v>
      </c>
      <c r="C382" t="str">
        <f t="shared" si="5"/>
        <v>CaucaMERCADERES</v>
      </c>
      <c r="D382" t="s">
        <v>1461</v>
      </c>
      <c r="E382" t="s">
        <v>1490</v>
      </c>
      <c r="F382" t="s">
        <v>1489</v>
      </c>
    </row>
    <row r="383" spans="1:6" hidden="1" x14ac:dyDescent="0.2">
      <c r="A383" t="s">
        <v>1460</v>
      </c>
      <c r="B383" t="s">
        <v>1205</v>
      </c>
      <c r="C383" t="str">
        <f t="shared" si="5"/>
        <v>CaucaMIRANDA</v>
      </c>
      <c r="D383" t="s">
        <v>1461</v>
      </c>
      <c r="E383" t="s">
        <v>3364</v>
      </c>
      <c r="F383" t="s">
        <v>1491</v>
      </c>
    </row>
    <row r="384" spans="1:6" hidden="1" x14ac:dyDescent="0.2">
      <c r="A384" t="s">
        <v>1460</v>
      </c>
      <c r="B384" t="s">
        <v>2520</v>
      </c>
      <c r="C384" t="str">
        <f t="shared" si="5"/>
        <v>CaucaMORALES</v>
      </c>
      <c r="D384" t="s">
        <v>1461</v>
      </c>
      <c r="E384" t="s">
        <v>4305</v>
      </c>
      <c r="F384" t="s">
        <v>1492</v>
      </c>
    </row>
    <row r="385" spans="1:6" hidden="1" x14ac:dyDescent="0.2">
      <c r="A385" t="s">
        <v>1460</v>
      </c>
      <c r="B385" t="s">
        <v>1400</v>
      </c>
      <c r="C385" t="str">
        <f t="shared" si="5"/>
        <v>CaucaPADILLA</v>
      </c>
      <c r="D385" t="s">
        <v>1461</v>
      </c>
      <c r="E385" t="s">
        <v>2252</v>
      </c>
      <c r="F385" t="s">
        <v>1493</v>
      </c>
    </row>
    <row r="386" spans="1:6" hidden="1" x14ac:dyDescent="0.2">
      <c r="A386" t="s">
        <v>1460</v>
      </c>
      <c r="B386" t="s">
        <v>1494</v>
      </c>
      <c r="C386" t="str">
        <f t="shared" si="5"/>
        <v>CaucaPAEZ</v>
      </c>
      <c r="D386" t="s">
        <v>1461</v>
      </c>
      <c r="E386" t="s">
        <v>4342</v>
      </c>
      <c r="F386" t="s">
        <v>1495</v>
      </c>
    </row>
    <row r="387" spans="1:6" hidden="1" x14ac:dyDescent="0.2">
      <c r="A387" t="s">
        <v>1460</v>
      </c>
      <c r="B387" t="s">
        <v>1496</v>
      </c>
      <c r="C387" t="str">
        <f t="shared" ref="C387:C450" si="6">D387&amp;E387</f>
        <v>CaucaPATIA</v>
      </c>
      <c r="D387" t="s">
        <v>1461</v>
      </c>
      <c r="E387" t="s">
        <v>3352</v>
      </c>
      <c r="F387" t="s">
        <v>1497</v>
      </c>
    </row>
    <row r="388" spans="1:6" hidden="1" x14ac:dyDescent="0.2">
      <c r="A388" t="s">
        <v>1460</v>
      </c>
      <c r="B388" t="s">
        <v>1247</v>
      </c>
      <c r="C388" t="str">
        <f t="shared" si="6"/>
        <v>CaucaPIAMONTE</v>
      </c>
      <c r="D388" t="s">
        <v>1461</v>
      </c>
      <c r="E388" t="s">
        <v>4378</v>
      </c>
      <c r="F388" t="s">
        <v>1498</v>
      </c>
    </row>
    <row r="389" spans="1:6" hidden="1" x14ac:dyDescent="0.2">
      <c r="A389" t="s">
        <v>1460</v>
      </c>
      <c r="B389" t="s">
        <v>1499</v>
      </c>
      <c r="C389" t="str">
        <f t="shared" si="6"/>
        <v>CaucaPIENDAMO</v>
      </c>
      <c r="D389" t="s">
        <v>1461</v>
      </c>
      <c r="E389" t="s">
        <v>3395</v>
      </c>
      <c r="F389" t="s">
        <v>2750</v>
      </c>
    </row>
    <row r="390" spans="1:6" hidden="1" x14ac:dyDescent="0.2">
      <c r="A390" t="s">
        <v>1460</v>
      </c>
      <c r="B390" t="s">
        <v>2445</v>
      </c>
      <c r="C390" t="str">
        <f t="shared" si="6"/>
        <v>CaucaPUERTO TEJADA</v>
      </c>
      <c r="D390" t="s">
        <v>1461</v>
      </c>
      <c r="E390" t="s">
        <v>1501</v>
      </c>
      <c r="F390" t="s">
        <v>1500</v>
      </c>
    </row>
    <row r="391" spans="1:6" hidden="1" x14ac:dyDescent="0.2">
      <c r="A391" t="s">
        <v>1460</v>
      </c>
      <c r="B391" t="s">
        <v>3997</v>
      </c>
      <c r="C391" t="str">
        <f t="shared" si="6"/>
        <v>CaucaPURACE</v>
      </c>
      <c r="D391" t="s">
        <v>1461</v>
      </c>
      <c r="E391" t="s">
        <v>1503</v>
      </c>
      <c r="F391" t="s">
        <v>1502</v>
      </c>
    </row>
    <row r="392" spans="1:6" hidden="1" x14ac:dyDescent="0.2">
      <c r="A392" t="s">
        <v>1460</v>
      </c>
      <c r="B392" t="s">
        <v>1504</v>
      </c>
      <c r="C392" t="str">
        <f t="shared" si="6"/>
        <v>CaucaROSAS</v>
      </c>
      <c r="D392" t="s">
        <v>1461</v>
      </c>
      <c r="E392" t="s">
        <v>1506</v>
      </c>
      <c r="F392" t="s">
        <v>1505</v>
      </c>
    </row>
    <row r="393" spans="1:6" hidden="1" x14ac:dyDescent="0.2">
      <c r="A393" t="s">
        <v>1460</v>
      </c>
      <c r="B393" t="s">
        <v>1287</v>
      </c>
      <c r="C393" t="str">
        <f t="shared" si="6"/>
        <v>CaucaSAN SEBASTIAN</v>
      </c>
      <c r="D393" t="s">
        <v>1461</v>
      </c>
      <c r="E393" t="s">
        <v>1508</v>
      </c>
      <c r="F393" t="s">
        <v>1507</v>
      </c>
    </row>
    <row r="394" spans="1:6" hidden="1" x14ac:dyDescent="0.2">
      <c r="A394" t="s">
        <v>1460</v>
      </c>
      <c r="B394" t="s">
        <v>1509</v>
      </c>
      <c r="C394" t="str">
        <f t="shared" si="6"/>
        <v>CaucaSANTANDER DE QUILICHAO</v>
      </c>
      <c r="D394" t="s">
        <v>1461</v>
      </c>
      <c r="E394" t="s">
        <v>867</v>
      </c>
      <c r="F394" t="s">
        <v>1510</v>
      </c>
    </row>
    <row r="395" spans="1:6" hidden="1" x14ac:dyDescent="0.2">
      <c r="A395" t="s">
        <v>1460</v>
      </c>
      <c r="B395" t="s">
        <v>1511</v>
      </c>
      <c r="C395" t="str">
        <f t="shared" si="6"/>
        <v>CaucaSANTA ROSA</v>
      </c>
      <c r="D395" t="s">
        <v>1461</v>
      </c>
      <c r="E395" t="s">
        <v>4237</v>
      </c>
      <c r="F395" t="s">
        <v>1512</v>
      </c>
    </row>
    <row r="396" spans="1:6" hidden="1" x14ac:dyDescent="0.2">
      <c r="A396" t="s">
        <v>1460</v>
      </c>
      <c r="B396" t="s">
        <v>1513</v>
      </c>
      <c r="C396" t="str">
        <f t="shared" si="6"/>
        <v>CaucaSILVIA</v>
      </c>
      <c r="D396" t="s">
        <v>1461</v>
      </c>
      <c r="E396" t="s">
        <v>4267</v>
      </c>
      <c r="F396" t="s">
        <v>1514</v>
      </c>
    </row>
    <row r="397" spans="1:6" hidden="1" x14ac:dyDescent="0.2">
      <c r="A397" t="s">
        <v>1460</v>
      </c>
      <c r="B397" t="s">
        <v>2555</v>
      </c>
      <c r="C397" t="str">
        <f t="shared" si="6"/>
        <v>CaucaSOTARA</v>
      </c>
      <c r="D397" t="s">
        <v>1461</v>
      </c>
      <c r="E397" t="s">
        <v>1516</v>
      </c>
      <c r="F397" t="s">
        <v>1515</v>
      </c>
    </row>
    <row r="398" spans="1:6" hidden="1" x14ac:dyDescent="0.2">
      <c r="A398" t="s">
        <v>1460</v>
      </c>
      <c r="B398" t="s">
        <v>2558</v>
      </c>
      <c r="C398" t="str">
        <f t="shared" si="6"/>
        <v>CaucaSUAREZ</v>
      </c>
      <c r="D398" t="s">
        <v>1461</v>
      </c>
      <c r="E398" t="s">
        <v>4259</v>
      </c>
      <c r="F398" t="s">
        <v>1517</v>
      </c>
    </row>
    <row r="399" spans="1:6" hidden="1" x14ac:dyDescent="0.2">
      <c r="A399" t="s">
        <v>1460</v>
      </c>
      <c r="B399" t="s">
        <v>1457</v>
      </c>
      <c r="C399" t="str">
        <f t="shared" si="6"/>
        <v>CaucaSUCRE</v>
      </c>
      <c r="D399" t="s">
        <v>1461</v>
      </c>
      <c r="E399" t="s">
        <v>2204</v>
      </c>
      <c r="F399" t="s">
        <v>1518</v>
      </c>
    </row>
    <row r="400" spans="1:6" hidden="1" x14ac:dyDescent="0.2">
      <c r="A400" t="s">
        <v>1460</v>
      </c>
      <c r="B400" t="s">
        <v>1519</v>
      </c>
      <c r="C400" t="str">
        <f t="shared" si="6"/>
        <v>CaucaTIMBIO</v>
      </c>
      <c r="D400" t="s">
        <v>1461</v>
      </c>
      <c r="E400" t="s">
        <v>845</v>
      </c>
      <c r="F400" t="s">
        <v>1520</v>
      </c>
    </row>
    <row r="401" spans="1:6" hidden="1" x14ac:dyDescent="0.2">
      <c r="A401" t="s">
        <v>1460</v>
      </c>
      <c r="B401" t="s">
        <v>4072</v>
      </c>
      <c r="C401" t="str">
        <f t="shared" si="6"/>
        <v>CaucaTIMBIQUI</v>
      </c>
      <c r="D401" t="s">
        <v>1461</v>
      </c>
      <c r="E401" t="s">
        <v>1522</v>
      </c>
      <c r="F401" t="s">
        <v>1521</v>
      </c>
    </row>
    <row r="402" spans="1:6" hidden="1" x14ac:dyDescent="0.2">
      <c r="A402" t="s">
        <v>1460</v>
      </c>
      <c r="B402" t="s">
        <v>1523</v>
      </c>
      <c r="C402" t="str">
        <f t="shared" si="6"/>
        <v>CaucaTORIBIO</v>
      </c>
      <c r="D402" t="s">
        <v>1461</v>
      </c>
      <c r="E402" t="s">
        <v>868</v>
      </c>
      <c r="F402" t="s">
        <v>1524</v>
      </c>
    </row>
    <row r="403" spans="1:6" hidden="1" x14ac:dyDescent="0.2">
      <c r="A403" t="s">
        <v>1460</v>
      </c>
      <c r="B403" t="s">
        <v>1525</v>
      </c>
      <c r="C403" t="str">
        <f t="shared" si="6"/>
        <v>CaucaTOTORO</v>
      </c>
      <c r="D403" t="s">
        <v>1461</v>
      </c>
      <c r="E403" t="s">
        <v>4341</v>
      </c>
      <c r="F403" t="s">
        <v>2751</v>
      </c>
    </row>
    <row r="404" spans="1:6" hidden="1" x14ac:dyDescent="0.2">
      <c r="A404" t="s">
        <v>1460</v>
      </c>
      <c r="B404" t="s">
        <v>1526</v>
      </c>
      <c r="C404" t="str">
        <f t="shared" si="6"/>
        <v>CaucaVILLA RICA</v>
      </c>
      <c r="D404" t="s">
        <v>1461</v>
      </c>
      <c r="E404" t="s">
        <v>3374</v>
      </c>
      <c r="F404" t="s">
        <v>1527</v>
      </c>
    </row>
    <row r="405" spans="1:6" hidden="1" x14ac:dyDescent="0.2">
      <c r="A405" t="s">
        <v>1528</v>
      </c>
      <c r="B405" t="s">
        <v>3785</v>
      </c>
      <c r="C405" t="str">
        <f t="shared" si="6"/>
        <v>CesarVALLEDUPAR</v>
      </c>
      <c r="D405" t="s">
        <v>1530</v>
      </c>
      <c r="E405" t="s">
        <v>3502</v>
      </c>
      <c r="F405" t="s">
        <v>1529</v>
      </c>
    </row>
    <row r="406" spans="1:6" hidden="1" x14ac:dyDescent="0.2">
      <c r="A406" t="s">
        <v>1528</v>
      </c>
      <c r="B406" t="s">
        <v>1531</v>
      </c>
      <c r="C406" t="str">
        <f t="shared" si="6"/>
        <v>CesarAGUACHICA</v>
      </c>
      <c r="D406" t="s">
        <v>1530</v>
      </c>
      <c r="E406" t="s">
        <v>4317</v>
      </c>
      <c r="F406" t="s">
        <v>2752</v>
      </c>
    </row>
    <row r="407" spans="1:6" hidden="1" x14ac:dyDescent="0.2">
      <c r="A407" t="s">
        <v>1528</v>
      </c>
      <c r="B407" t="s">
        <v>1378</v>
      </c>
      <c r="C407" t="str">
        <f t="shared" si="6"/>
        <v>CesarAGUSTIN CODAZZI</v>
      </c>
      <c r="D407" t="s">
        <v>1530</v>
      </c>
      <c r="E407" t="s">
        <v>1533</v>
      </c>
      <c r="F407" t="s">
        <v>1532</v>
      </c>
    </row>
    <row r="408" spans="1:6" hidden="1" x14ac:dyDescent="0.2">
      <c r="A408" t="s">
        <v>1528</v>
      </c>
      <c r="B408" t="s">
        <v>1534</v>
      </c>
      <c r="C408" t="str">
        <f t="shared" si="6"/>
        <v>CesarASTREA</v>
      </c>
      <c r="D408" t="s">
        <v>1530</v>
      </c>
      <c r="E408" t="s">
        <v>1536</v>
      </c>
      <c r="F408" t="s">
        <v>1535</v>
      </c>
    </row>
    <row r="409" spans="1:6" hidden="1" x14ac:dyDescent="0.2">
      <c r="A409" t="s">
        <v>1528</v>
      </c>
      <c r="B409" t="s">
        <v>3817</v>
      </c>
      <c r="C409" t="str">
        <f t="shared" si="6"/>
        <v>CesarBECERRIL</v>
      </c>
      <c r="D409" t="s">
        <v>1530</v>
      </c>
      <c r="E409" t="s">
        <v>1538</v>
      </c>
      <c r="F409" t="s">
        <v>1537</v>
      </c>
    </row>
    <row r="410" spans="1:6" hidden="1" x14ac:dyDescent="0.2">
      <c r="A410" t="s">
        <v>1528</v>
      </c>
      <c r="B410" t="s">
        <v>1539</v>
      </c>
      <c r="C410" t="str">
        <f t="shared" si="6"/>
        <v>CesarBOSCONIA</v>
      </c>
      <c r="D410" t="s">
        <v>1530</v>
      </c>
      <c r="E410" t="s">
        <v>1541</v>
      </c>
      <c r="F410" t="s">
        <v>1540</v>
      </c>
    </row>
    <row r="411" spans="1:6" hidden="1" x14ac:dyDescent="0.2">
      <c r="A411" t="s">
        <v>1528</v>
      </c>
      <c r="B411" t="s">
        <v>1542</v>
      </c>
      <c r="C411" t="str">
        <f t="shared" si="6"/>
        <v>CesarCHIMICHAGUA</v>
      </c>
      <c r="D411" t="s">
        <v>1530</v>
      </c>
      <c r="E411" t="s">
        <v>857</v>
      </c>
      <c r="F411" t="s">
        <v>2753</v>
      </c>
    </row>
    <row r="412" spans="1:6" hidden="1" x14ac:dyDescent="0.2">
      <c r="A412" t="s">
        <v>1528</v>
      </c>
      <c r="B412" t="s">
        <v>1543</v>
      </c>
      <c r="C412" t="str">
        <f t="shared" si="6"/>
        <v>CesarCHIRIGUANA</v>
      </c>
      <c r="D412" t="s">
        <v>1530</v>
      </c>
      <c r="E412" t="s">
        <v>1545</v>
      </c>
      <c r="F412" t="s">
        <v>1544</v>
      </c>
    </row>
    <row r="413" spans="1:6" hidden="1" x14ac:dyDescent="0.2">
      <c r="A413" t="s">
        <v>1528</v>
      </c>
      <c r="B413" t="s">
        <v>1546</v>
      </c>
      <c r="C413" t="str">
        <f t="shared" si="6"/>
        <v>CesarCURUMANI</v>
      </c>
      <c r="D413" t="s">
        <v>1530</v>
      </c>
      <c r="E413" t="s">
        <v>1548</v>
      </c>
      <c r="F413" t="s">
        <v>1547</v>
      </c>
    </row>
    <row r="414" spans="1:6" hidden="1" x14ac:dyDescent="0.2">
      <c r="A414" t="s">
        <v>1528</v>
      </c>
      <c r="B414" t="s">
        <v>2654</v>
      </c>
      <c r="C414" t="str">
        <f t="shared" si="6"/>
        <v>CesarEL COPEY</v>
      </c>
      <c r="D414" t="s">
        <v>1530</v>
      </c>
      <c r="E414" t="s">
        <v>1550</v>
      </c>
      <c r="F414" t="s">
        <v>1549</v>
      </c>
    </row>
    <row r="415" spans="1:6" hidden="1" x14ac:dyDescent="0.2">
      <c r="A415" t="s">
        <v>1528</v>
      </c>
      <c r="B415" t="s">
        <v>3903</v>
      </c>
      <c r="C415" t="str">
        <f t="shared" si="6"/>
        <v>CesarEL PASO</v>
      </c>
      <c r="D415" t="s">
        <v>1530</v>
      </c>
      <c r="E415" t="s">
        <v>1552</v>
      </c>
      <c r="F415" t="s">
        <v>1551</v>
      </c>
    </row>
    <row r="416" spans="1:6" hidden="1" x14ac:dyDescent="0.2">
      <c r="A416" t="s">
        <v>1528</v>
      </c>
      <c r="B416" t="s">
        <v>1553</v>
      </c>
      <c r="C416" t="str">
        <f t="shared" si="6"/>
        <v>CesarGAMARRA</v>
      </c>
      <c r="D416" t="s">
        <v>1530</v>
      </c>
      <c r="E416" t="s">
        <v>4377</v>
      </c>
      <c r="F416" t="s">
        <v>1554</v>
      </c>
    </row>
    <row r="417" spans="1:6" hidden="1" x14ac:dyDescent="0.2">
      <c r="A417" t="s">
        <v>1528</v>
      </c>
      <c r="B417" t="s">
        <v>3921</v>
      </c>
      <c r="C417" t="str">
        <f t="shared" si="6"/>
        <v>CesarGONZALEZ</v>
      </c>
      <c r="D417" t="s">
        <v>1530</v>
      </c>
      <c r="E417" t="s">
        <v>1556</v>
      </c>
      <c r="F417" t="s">
        <v>1555</v>
      </c>
    </row>
    <row r="418" spans="1:6" hidden="1" x14ac:dyDescent="0.2">
      <c r="A418" t="s">
        <v>1528</v>
      </c>
      <c r="B418" t="s">
        <v>1557</v>
      </c>
      <c r="C418" t="str">
        <f t="shared" si="6"/>
        <v>CesarLA GLORIA</v>
      </c>
      <c r="D418" t="s">
        <v>1530</v>
      </c>
      <c r="E418" t="s">
        <v>4376</v>
      </c>
      <c r="F418" t="s">
        <v>1558</v>
      </c>
    </row>
    <row r="419" spans="1:6" hidden="1" x14ac:dyDescent="0.2">
      <c r="A419" t="s">
        <v>1528</v>
      </c>
      <c r="B419" t="s">
        <v>3956</v>
      </c>
      <c r="C419" t="str">
        <f t="shared" si="6"/>
        <v>CesarLA JAGUA DE IBIRICO</v>
      </c>
      <c r="D419" t="s">
        <v>1530</v>
      </c>
      <c r="E419" t="s">
        <v>1560</v>
      </c>
      <c r="F419" t="s">
        <v>1559</v>
      </c>
    </row>
    <row r="420" spans="1:6" hidden="1" x14ac:dyDescent="0.2">
      <c r="A420" t="s">
        <v>1528</v>
      </c>
      <c r="B420" t="s">
        <v>1561</v>
      </c>
      <c r="C420" t="str">
        <f t="shared" si="6"/>
        <v>CesarMANAURE</v>
      </c>
      <c r="D420" t="s">
        <v>1530</v>
      </c>
      <c r="E420" t="s">
        <v>1563</v>
      </c>
      <c r="F420" t="s">
        <v>1562</v>
      </c>
    </row>
    <row r="421" spans="1:6" hidden="1" x14ac:dyDescent="0.2">
      <c r="A421" t="s">
        <v>1528</v>
      </c>
      <c r="B421" t="s">
        <v>1494</v>
      </c>
      <c r="C421" t="str">
        <f t="shared" si="6"/>
        <v>CesarPAILITAS</v>
      </c>
      <c r="D421" t="s">
        <v>1530</v>
      </c>
      <c r="E421" t="s">
        <v>1565</v>
      </c>
      <c r="F421" t="s">
        <v>1564</v>
      </c>
    </row>
    <row r="422" spans="1:6" hidden="1" x14ac:dyDescent="0.2">
      <c r="A422" t="s">
        <v>1528</v>
      </c>
      <c r="B422" t="s">
        <v>1256</v>
      </c>
      <c r="C422" t="str">
        <f t="shared" si="6"/>
        <v>CesarPELAYA</v>
      </c>
      <c r="D422" t="s">
        <v>1530</v>
      </c>
      <c r="E422" t="s">
        <v>1567</v>
      </c>
      <c r="F422" t="s">
        <v>1566</v>
      </c>
    </row>
    <row r="423" spans="1:6" hidden="1" x14ac:dyDescent="0.2">
      <c r="A423" t="s">
        <v>1528</v>
      </c>
      <c r="B423" t="s">
        <v>1568</v>
      </c>
      <c r="C423" t="str">
        <f t="shared" si="6"/>
        <v>CesarPUEBLO BELLO</v>
      </c>
      <c r="D423" t="s">
        <v>1530</v>
      </c>
      <c r="E423" t="s">
        <v>1570</v>
      </c>
      <c r="F423" t="s">
        <v>1569</v>
      </c>
    </row>
    <row r="424" spans="1:6" hidden="1" x14ac:dyDescent="0.2">
      <c r="A424" t="s">
        <v>1528</v>
      </c>
      <c r="B424" t="s">
        <v>1406</v>
      </c>
      <c r="C424" t="str">
        <f t="shared" si="6"/>
        <v>CesarRIO DE ORO</v>
      </c>
      <c r="D424" t="s">
        <v>1530</v>
      </c>
      <c r="E424" t="s">
        <v>1572</v>
      </c>
      <c r="F424" t="s">
        <v>1571</v>
      </c>
    </row>
    <row r="425" spans="1:6" hidden="1" x14ac:dyDescent="0.2">
      <c r="A425" t="s">
        <v>1528</v>
      </c>
      <c r="B425" t="s">
        <v>1266</v>
      </c>
      <c r="C425" t="str">
        <f t="shared" si="6"/>
        <v>CesarLA PAZ</v>
      </c>
      <c r="D425" t="s">
        <v>1530</v>
      </c>
      <c r="E425" t="s">
        <v>1574</v>
      </c>
      <c r="F425" t="s">
        <v>1573</v>
      </c>
    </row>
    <row r="426" spans="1:6" hidden="1" x14ac:dyDescent="0.2">
      <c r="A426" t="s">
        <v>1528</v>
      </c>
      <c r="B426" t="s">
        <v>1575</v>
      </c>
      <c r="C426" t="str">
        <f t="shared" si="6"/>
        <v>CesarSAN ALBERTO</v>
      </c>
      <c r="D426" t="s">
        <v>1530</v>
      </c>
      <c r="E426" t="s">
        <v>1577</v>
      </c>
      <c r="F426" t="s">
        <v>1576</v>
      </c>
    </row>
    <row r="427" spans="1:6" hidden="1" x14ac:dyDescent="0.2">
      <c r="A427" t="s">
        <v>1528</v>
      </c>
      <c r="B427" t="s">
        <v>1578</v>
      </c>
      <c r="C427" t="str">
        <f t="shared" si="6"/>
        <v>CesarSAN DIEGO</v>
      </c>
      <c r="D427" t="s">
        <v>1530</v>
      </c>
      <c r="E427" t="s">
        <v>4281</v>
      </c>
      <c r="F427" t="s">
        <v>1579</v>
      </c>
    </row>
    <row r="428" spans="1:6" hidden="1" x14ac:dyDescent="0.2">
      <c r="A428" t="s">
        <v>1528</v>
      </c>
      <c r="B428" t="s">
        <v>2462</v>
      </c>
      <c r="C428" t="str">
        <f t="shared" si="6"/>
        <v>CesarSAN MARTIN</v>
      </c>
      <c r="D428" t="s">
        <v>1530</v>
      </c>
      <c r="E428" t="s">
        <v>3339</v>
      </c>
      <c r="F428" t="s">
        <v>1580</v>
      </c>
    </row>
    <row r="429" spans="1:6" hidden="1" x14ac:dyDescent="0.2">
      <c r="A429" t="s">
        <v>1528</v>
      </c>
      <c r="B429" t="s">
        <v>1581</v>
      </c>
      <c r="C429" t="str">
        <f t="shared" si="6"/>
        <v>CesarTAMALAMEQUE</v>
      </c>
      <c r="D429" t="s">
        <v>1530</v>
      </c>
      <c r="E429" t="s">
        <v>4357</v>
      </c>
      <c r="F429" t="s">
        <v>1582</v>
      </c>
    </row>
    <row r="430" spans="1:6" hidden="1" x14ac:dyDescent="0.2">
      <c r="A430" t="s">
        <v>1583</v>
      </c>
      <c r="B430" t="s">
        <v>3785</v>
      </c>
      <c r="C430" t="str">
        <f t="shared" si="6"/>
        <v>CordobaMONTERIA</v>
      </c>
      <c r="D430" t="s">
        <v>1585</v>
      </c>
      <c r="E430" t="s">
        <v>4368</v>
      </c>
      <c r="F430" t="s">
        <v>1584</v>
      </c>
    </row>
    <row r="431" spans="1:6" hidden="1" x14ac:dyDescent="0.2">
      <c r="A431" t="s">
        <v>1583</v>
      </c>
      <c r="B431" t="s">
        <v>1586</v>
      </c>
      <c r="C431" t="str">
        <f t="shared" si="6"/>
        <v>CordobaAYAPEL</v>
      </c>
      <c r="D431" t="s">
        <v>1585</v>
      </c>
      <c r="E431" t="s">
        <v>854</v>
      </c>
      <c r="F431" t="s">
        <v>1587</v>
      </c>
    </row>
    <row r="432" spans="1:6" hidden="1" x14ac:dyDescent="0.2">
      <c r="A432" t="s">
        <v>1583</v>
      </c>
      <c r="B432" t="s">
        <v>3827</v>
      </c>
      <c r="C432" t="str">
        <f t="shared" si="6"/>
        <v>CordobaBUENAVISTA</v>
      </c>
      <c r="D432" t="s">
        <v>1585</v>
      </c>
      <c r="E432" t="s">
        <v>2203</v>
      </c>
      <c r="F432" t="s">
        <v>1588</v>
      </c>
    </row>
    <row r="433" spans="1:6" hidden="1" x14ac:dyDescent="0.2">
      <c r="A433" t="s">
        <v>1583</v>
      </c>
      <c r="B433" t="s">
        <v>2586</v>
      </c>
      <c r="C433" t="str">
        <f t="shared" si="6"/>
        <v>CordobaCANALETE</v>
      </c>
      <c r="D433" t="s">
        <v>1585</v>
      </c>
      <c r="E433" t="s">
        <v>1590</v>
      </c>
      <c r="F433" t="s">
        <v>1589</v>
      </c>
    </row>
    <row r="434" spans="1:6" hidden="1" x14ac:dyDescent="0.2">
      <c r="A434" t="s">
        <v>1583</v>
      </c>
      <c r="B434" t="s">
        <v>2608</v>
      </c>
      <c r="C434" t="str">
        <f t="shared" si="6"/>
        <v>CordobaCERETE</v>
      </c>
      <c r="D434" t="s">
        <v>1585</v>
      </c>
      <c r="E434" t="s">
        <v>3537</v>
      </c>
      <c r="F434" t="s">
        <v>1591</v>
      </c>
    </row>
    <row r="435" spans="1:6" hidden="1" x14ac:dyDescent="0.2">
      <c r="A435" t="s">
        <v>1583</v>
      </c>
      <c r="B435" t="s">
        <v>1592</v>
      </c>
      <c r="C435" t="str">
        <f t="shared" si="6"/>
        <v>CordobaCHIMA</v>
      </c>
      <c r="D435" t="s">
        <v>1585</v>
      </c>
      <c r="E435" t="s">
        <v>1594</v>
      </c>
      <c r="F435" t="s">
        <v>1593</v>
      </c>
    </row>
    <row r="436" spans="1:6" hidden="1" x14ac:dyDescent="0.2">
      <c r="A436" t="s">
        <v>1583</v>
      </c>
      <c r="B436" t="s">
        <v>1595</v>
      </c>
      <c r="C436" t="str">
        <f t="shared" si="6"/>
        <v>CordobaCHINU</v>
      </c>
      <c r="D436" t="s">
        <v>1585</v>
      </c>
      <c r="E436" t="s">
        <v>1597</v>
      </c>
      <c r="F436" t="s">
        <v>1596</v>
      </c>
    </row>
    <row r="437" spans="1:6" hidden="1" x14ac:dyDescent="0.2">
      <c r="A437" t="s">
        <v>1583</v>
      </c>
      <c r="B437" t="s">
        <v>2627</v>
      </c>
      <c r="C437" t="str">
        <f t="shared" si="6"/>
        <v>CordobaCIENAGA DE ORO</v>
      </c>
      <c r="D437" t="s">
        <v>1585</v>
      </c>
      <c r="E437" t="s">
        <v>1599</v>
      </c>
      <c r="F437" t="s">
        <v>1598</v>
      </c>
    </row>
    <row r="438" spans="1:6" hidden="1" x14ac:dyDescent="0.2">
      <c r="A438" t="s">
        <v>1583</v>
      </c>
      <c r="B438" t="s">
        <v>2507</v>
      </c>
      <c r="C438" t="str">
        <f t="shared" si="6"/>
        <v>CordobaCOTORRA</v>
      </c>
      <c r="D438" t="s">
        <v>1585</v>
      </c>
      <c r="E438" t="s">
        <v>1601</v>
      </c>
      <c r="F438" t="s">
        <v>1600</v>
      </c>
    </row>
    <row r="439" spans="1:6" hidden="1" x14ac:dyDescent="0.2">
      <c r="A439" t="s">
        <v>1583</v>
      </c>
      <c r="B439" t="s">
        <v>1602</v>
      </c>
      <c r="C439" t="str">
        <f t="shared" si="6"/>
        <v>CordobaLA APARTADA</v>
      </c>
      <c r="D439" t="s">
        <v>1585</v>
      </c>
      <c r="E439" t="s">
        <v>3529</v>
      </c>
      <c r="F439" t="s">
        <v>1603</v>
      </c>
    </row>
    <row r="440" spans="1:6" hidden="1" x14ac:dyDescent="0.2">
      <c r="A440" t="s">
        <v>1583</v>
      </c>
      <c r="B440" t="s">
        <v>1604</v>
      </c>
      <c r="C440" t="str">
        <f t="shared" si="6"/>
        <v>CordobaLORICA</v>
      </c>
      <c r="D440" t="s">
        <v>1585</v>
      </c>
      <c r="E440" t="s">
        <v>1606</v>
      </c>
      <c r="F440" t="s">
        <v>1605</v>
      </c>
    </row>
    <row r="441" spans="1:6" hidden="1" x14ac:dyDescent="0.2">
      <c r="A441" t="s">
        <v>1583</v>
      </c>
      <c r="B441" t="s">
        <v>1607</v>
      </c>
      <c r="C441" t="str">
        <f t="shared" si="6"/>
        <v>CordobaLOS CORDOBAS</v>
      </c>
      <c r="D441" t="s">
        <v>1585</v>
      </c>
      <c r="E441" t="s">
        <v>846</v>
      </c>
      <c r="F441" t="s">
        <v>232</v>
      </c>
    </row>
    <row r="442" spans="1:6" hidden="1" x14ac:dyDescent="0.2">
      <c r="A442" t="s">
        <v>1583</v>
      </c>
      <c r="B442" t="s">
        <v>1208</v>
      </c>
      <c r="C442" t="str">
        <f t="shared" si="6"/>
        <v>CordobaMOMIL</v>
      </c>
      <c r="D442" t="s">
        <v>1585</v>
      </c>
      <c r="E442" t="s">
        <v>1609</v>
      </c>
      <c r="F442" t="s">
        <v>1608</v>
      </c>
    </row>
    <row r="443" spans="1:6" hidden="1" x14ac:dyDescent="0.2">
      <c r="A443" t="s">
        <v>1583</v>
      </c>
      <c r="B443" t="s">
        <v>1211</v>
      </c>
      <c r="C443" t="str">
        <f t="shared" si="6"/>
        <v>CordobaMONTELIBANO</v>
      </c>
      <c r="D443" t="s">
        <v>1585</v>
      </c>
      <c r="E443" t="s">
        <v>1611</v>
      </c>
      <c r="F443" t="s">
        <v>1610</v>
      </c>
    </row>
    <row r="444" spans="1:6" hidden="1" x14ac:dyDescent="0.2">
      <c r="A444" t="s">
        <v>1583</v>
      </c>
      <c r="B444" t="s">
        <v>1226</v>
      </c>
      <c r="C444" t="str">
        <f t="shared" si="6"/>
        <v>CordobaMOÑITOS</v>
      </c>
      <c r="D444" t="s">
        <v>1585</v>
      </c>
      <c r="E444" t="s">
        <v>1613</v>
      </c>
      <c r="F444" t="s">
        <v>1612</v>
      </c>
    </row>
    <row r="445" spans="1:6" hidden="1" x14ac:dyDescent="0.2">
      <c r="A445" t="s">
        <v>1583</v>
      </c>
      <c r="B445" t="s">
        <v>1614</v>
      </c>
      <c r="C445" t="str">
        <f t="shared" si="6"/>
        <v>CordobaPLANETA RICA</v>
      </c>
      <c r="D445" t="s">
        <v>1585</v>
      </c>
      <c r="E445" t="s">
        <v>1616</v>
      </c>
      <c r="F445" t="s">
        <v>1615</v>
      </c>
    </row>
    <row r="446" spans="1:6" hidden="1" x14ac:dyDescent="0.2">
      <c r="A446" t="s">
        <v>1583</v>
      </c>
      <c r="B446" t="s">
        <v>1568</v>
      </c>
      <c r="C446" t="str">
        <f t="shared" si="6"/>
        <v>CordobaPUEBLO NUEVO</v>
      </c>
      <c r="D446" t="s">
        <v>1585</v>
      </c>
      <c r="E446" t="s">
        <v>1618</v>
      </c>
      <c r="F446" t="s">
        <v>1617</v>
      </c>
    </row>
    <row r="447" spans="1:6" hidden="1" x14ac:dyDescent="0.2">
      <c r="A447" t="s">
        <v>1583</v>
      </c>
      <c r="B447" t="s">
        <v>1619</v>
      </c>
      <c r="C447" t="str">
        <f t="shared" si="6"/>
        <v>CordobaPUERTO ESCONDIDO</v>
      </c>
      <c r="D447" t="s">
        <v>1585</v>
      </c>
      <c r="E447" t="s">
        <v>1621</v>
      </c>
      <c r="F447" t="s">
        <v>1620</v>
      </c>
    </row>
    <row r="448" spans="1:6" hidden="1" x14ac:dyDescent="0.2">
      <c r="A448" t="s">
        <v>1583</v>
      </c>
      <c r="B448" t="s">
        <v>2524</v>
      </c>
      <c r="C448" t="str">
        <f t="shared" si="6"/>
        <v>CordobaPUERTO LIBERTADOR</v>
      </c>
      <c r="D448" t="s">
        <v>1585</v>
      </c>
      <c r="E448" t="s">
        <v>4262</v>
      </c>
      <c r="F448" t="s">
        <v>1622</v>
      </c>
    </row>
    <row r="449" spans="1:6" hidden="1" x14ac:dyDescent="0.2">
      <c r="A449" t="s">
        <v>1583</v>
      </c>
      <c r="B449" t="s">
        <v>1623</v>
      </c>
      <c r="C449" t="str">
        <f t="shared" si="6"/>
        <v>CordobaPURISIMA</v>
      </c>
      <c r="D449" t="s">
        <v>1585</v>
      </c>
      <c r="E449" t="s">
        <v>1625</v>
      </c>
      <c r="F449" t="s">
        <v>1624</v>
      </c>
    </row>
    <row r="450" spans="1:6" hidden="1" x14ac:dyDescent="0.2">
      <c r="A450" t="s">
        <v>1583</v>
      </c>
      <c r="B450" t="s">
        <v>4032</v>
      </c>
      <c r="C450" t="str">
        <f t="shared" si="6"/>
        <v>CordobaSAHAGUN</v>
      </c>
      <c r="D450" t="s">
        <v>1585</v>
      </c>
      <c r="E450" t="s">
        <v>1627</v>
      </c>
      <c r="F450" t="s">
        <v>1626</v>
      </c>
    </row>
    <row r="451" spans="1:6" hidden="1" x14ac:dyDescent="0.2">
      <c r="A451" t="s">
        <v>1583</v>
      </c>
      <c r="B451" t="s">
        <v>4042</v>
      </c>
      <c r="C451" t="str">
        <f t="shared" ref="C451:C514" si="7">D451&amp;E451</f>
        <v>CordobaSAN ANDRES SOTAVENTO</v>
      </c>
      <c r="D451" t="s">
        <v>1585</v>
      </c>
      <c r="E451" t="s">
        <v>1629</v>
      </c>
      <c r="F451" t="s">
        <v>1628</v>
      </c>
    </row>
    <row r="452" spans="1:6" hidden="1" x14ac:dyDescent="0.2">
      <c r="A452" t="s">
        <v>1583</v>
      </c>
      <c r="B452" t="s">
        <v>1630</v>
      </c>
      <c r="C452" t="str">
        <f t="shared" si="7"/>
        <v>CordobaSAN ANTERO</v>
      </c>
      <c r="D452" t="s">
        <v>1585</v>
      </c>
      <c r="E452" t="s">
        <v>1632</v>
      </c>
      <c r="F452" t="s">
        <v>1631</v>
      </c>
    </row>
    <row r="453" spans="1:6" hidden="1" x14ac:dyDescent="0.2">
      <c r="A453" t="s">
        <v>1583</v>
      </c>
      <c r="B453" t="s">
        <v>2454</v>
      </c>
      <c r="C453" t="str">
        <f t="shared" si="7"/>
        <v>CordobaSAN BERNARDO DEL VIENTO</v>
      </c>
      <c r="D453" t="s">
        <v>1585</v>
      </c>
      <c r="E453" t="s">
        <v>1634</v>
      </c>
      <c r="F453" t="s">
        <v>1633</v>
      </c>
    </row>
    <row r="454" spans="1:6" hidden="1" x14ac:dyDescent="0.2">
      <c r="A454" t="s">
        <v>1583</v>
      </c>
      <c r="B454" t="s">
        <v>1635</v>
      </c>
      <c r="C454" t="str">
        <f t="shared" si="7"/>
        <v>CordobaSAN CARLOS</v>
      </c>
      <c r="D454" t="s">
        <v>1585</v>
      </c>
      <c r="E454" t="s">
        <v>4369</v>
      </c>
      <c r="F454" t="s">
        <v>1636</v>
      </c>
    </row>
    <row r="455" spans="1:6" hidden="1" x14ac:dyDescent="0.2">
      <c r="A455" s="141" t="s">
        <v>1583</v>
      </c>
      <c r="B455" s="141" t="s">
        <v>1637</v>
      </c>
      <c r="C455" t="str">
        <f t="shared" si="7"/>
        <v>CordobaSAN JOSE DE URE</v>
      </c>
      <c r="D455" t="s">
        <v>1585</v>
      </c>
      <c r="E455" t="s">
        <v>2231</v>
      </c>
      <c r="F455" s="141" t="s">
        <v>1638</v>
      </c>
    </row>
    <row r="456" spans="1:6" hidden="1" x14ac:dyDescent="0.2">
      <c r="A456" t="s">
        <v>1583</v>
      </c>
      <c r="B456" t="s">
        <v>4049</v>
      </c>
      <c r="C456" t="str">
        <f t="shared" si="7"/>
        <v>CordobaSAN PELAYO</v>
      </c>
      <c r="D456" t="s">
        <v>1585</v>
      </c>
      <c r="E456" t="s">
        <v>1640</v>
      </c>
      <c r="F456" t="s">
        <v>1639</v>
      </c>
    </row>
    <row r="457" spans="1:6" hidden="1" x14ac:dyDescent="0.2">
      <c r="A457" t="s">
        <v>1583</v>
      </c>
      <c r="B457" t="s">
        <v>1519</v>
      </c>
      <c r="C457" t="str">
        <f t="shared" si="7"/>
        <v>CordobaTIERRALTA</v>
      </c>
      <c r="D457" t="s">
        <v>1585</v>
      </c>
      <c r="E457" t="s">
        <v>1642</v>
      </c>
      <c r="F457" t="s">
        <v>1641</v>
      </c>
    </row>
    <row r="458" spans="1:6" hidden="1" x14ac:dyDescent="0.2">
      <c r="A458" t="s">
        <v>1583</v>
      </c>
      <c r="B458" t="s">
        <v>1643</v>
      </c>
      <c r="C458" t="str">
        <f t="shared" si="7"/>
        <v>CordobaTUCHIN</v>
      </c>
      <c r="D458" t="s">
        <v>1585</v>
      </c>
      <c r="E458" t="s">
        <v>1645</v>
      </c>
      <c r="F458" t="s">
        <v>1644</v>
      </c>
    </row>
    <row r="459" spans="1:6" hidden="1" x14ac:dyDescent="0.2">
      <c r="A459" t="s">
        <v>1583</v>
      </c>
      <c r="B459" t="s">
        <v>1646</v>
      </c>
      <c r="C459" t="str">
        <f t="shared" si="7"/>
        <v>CordobaVALENCIA</v>
      </c>
      <c r="D459" t="s">
        <v>1585</v>
      </c>
      <c r="E459" t="s">
        <v>1648</v>
      </c>
      <c r="F459" t="s">
        <v>1647</v>
      </c>
    </row>
    <row r="460" spans="1:6" hidden="1" x14ac:dyDescent="0.2">
      <c r="A460" t="s">
        <v>1649</v>
      </c>
      <c r="B460" t="s">
        <v>3785</v>
      </c>
      <c r="C460" t="str">
        <f t="shared" si="7"/>
        <v>CUNDINAMARCAAGUA DE DIOS</v>
      </c>
      <c r="D460" t="s">
        <v>4344</v>
      </c>
      <c r="E460" t="s">
        <v>1651</v>
      </c>
      <c r="F460" t="s">
        <v>1650</v>
      </c>
    </row>
    <row r="461" spans="1:6" hidden="1" x14ac:dyDescent="0.2">
      <c r="A461" t="s">
        <v>1649</v>
      </c>
      <c r="B461" t="s">
        <v>1652</v>
      </c>
      <c r="C461" t="str">
        <f t="shared" si="7"/>
        <v>CUNDINAMARCAALBAN</v>
      </c>
      <c r="D461" t="s">
        <v>4344</v>
      </c>
      <c r="E461" t="s">
        <v>848</v>
      </c>
      <c r="F461" t="s">
        <v>233</v>
      </c>
    </row>
    <row r="462" spans="1:6" hidden="1" x14ac:dyDescent="0.2">
      <c r="A462" t="s">
        <v>1649</v>
      </c>
      <c r="B462" t="s">
        <v>1653</v>
      </c>
      <c r="C462" t="str">
        <f t="shared" si="7"/>
        <v>CUNDINAMARCAANAPOIMA</v>
      </c>
      <c r="D462" t="s">
        <v>4344</v>
      </c>
      <c r="E462" t="s">
        <v>2206</v>
      </c>
      <c r="F462" t="s">
        <v>1654</v>
      </c>
    </row>
    <row r="463" spans="1:6" hidden="1" x14ac:dyDescent="0.2">
      <c r="A463" t="s">
        <v>1649</v>
      </c>
      <c r="B463" t="s">
        <v>3808</v>
      </c>
      <c r="C463" t="str">
        <f t="shared" si="7"/>
        <v>CUNDINAMARCAANOLAIMA</v>
      </c>
      <c r="D463" t="s">
        <v>4344</v>
      </c>
      <c r="E463" t="s">
        <v>838</v>
      </c>
      <c r="F463" t="s">
        <v>234</v>
      </c>
    </row>
    <row r="464" spans="1:6" hidden="1" x14ac:dyDescent="0.2">
      <c r="A464" t="s">
        <v>1649</v>
      </c>
      <c r="B464" t="s">
        <v>1655</v>
      </c>
      <c r="C464" t="str">
        <f t="shared" si="7"/>
        <v>CUNDINAMARCAARBELAEZ</v>
      </c>
      <c r="D464" t="s">
        <v>4344</v>
      </c>
      <c r="E464" t="s">
        <v>4508</v>
      </c>
      <c r="F464" t="s">
        <v>235</v>
      </c>
    </row>
    <row r="465" spans="1:6" hidden="1" x14ac:dyDescent="0.2">
      <c r="A465" t="s">
        <v>1649</v>
      </c>
      <c r="B465" t="s">
        <v>3829</v>
      </c>
      <c r="C465" t="str">
        <f t="shared" si="7"/>
        <v>CUNDINAMARCABELTRAN</v>
      </c>
      <c r="D465" t="s">
        <v>4344</v>
      </c>
      <c r="E465" t="s">
        <v>4509</v>
      </c>
      <c r="F465" t="s">
        <v>1656</v>
      </c>
    </row>
    <row r="466" spans="1:6" hidden="1" x14ac:dyDescent="0.2">
      <c r="A466" t="s">
        <v>1649</v>
      </c>
      <c r="B466" t="s">
        <v>1657</v>
      </c>
      <c r="C466" t="str">
        <f t="shared" si="7"/>
        <v>CUNDINAMARCABITUIMA</v>
      </c>
      <c r="D466" t="s">
        <v>4344</v>
      </c>
      <c r="E466" t="s">
        <v>2207</v>
      </c>
      <c r="F466" t="s">
        <v>1658</v>
      </c>
    </row>
    <row r="467" spans="1:6" hidden="1" x14ac:dyDescent="0.2">
      <c r="A467" t="s">
        <v>1649</v>
      </c>
      <c r="B467" t="s">
        <v>1659</v>
      </c>
      <c r="C467" t="str">
        <f t="shared" si="7"/>
        <v>CUNDINAMARCABOJACA</v>
      </c>
      <c r="D467" t="s">
        <v>4344</v>
      </c>
      <c r="E467" t="s">
        <v>4510</v>
      </c>
      <c r="F467" t="s">
        <v>1660</v>
      </c>
    </row>
    <row r="468" spans="1:6" hidden="1" x14ac:dyDescent="0.2">
      <c r="A468" t="s">
        <v>1649</v>
      </c>
      <c r="B468" t="s">
        <v>3846</v>
      </c>
      <c r="C468" t="str">
        <f t="shared" si="7"/>
        <v>CUNDINAMARCACABRERA</v>
      </c>
      <c r="D468" t="s">
        <v>4344</v>
      </c>
      <c r="E468" t="s">
        <v>4374</v>
      </c>
      <c r="F468" t="s">
        <v>324</v>
      </c>
    </row>
    <row r="469" spans="1:6" hidden="1" x14ac:dyDescent="0.2">
      <c r="A469" t="s">
        <v>1649</v>
      </c>
      <c r="B469" t="s">
        <v>1661</v>
      </c>
      <c r="C469" t="str">
        <f t="shared" si="7"/>
        <v>CUNDINAMARCACACHIPAY</v>
      </c>
      <c r="D469" t="s">
        <v>4344</v>
      </c>
      <c r="E469" t="s">
        <v>1663</v>
      </c>
      <c r="F469" t="s">
        <v>1662</v>
      </c>
    </row>
    <row r="470" spans="1:6" hidden="1" x14ac:dyDescent="0.2">
      <c r="A470" t="s">
        <v>1649</v>
      </c>
      <c r="B470" t="s">
        <v>1664</v>
      </c>
      <c r="C470" t="str">
        <f t="shared" si="7"/>
        <v>CUNDINAMARCACAJICA</v>
      </c>
      <c r="D470" t="s">
        <v>4344</v>
      </c>
      <c r="E470" t="s">
        <v>2257</v>
      </c>
      <c r="F470" t="s">
        <v>1665</v>
      </c>
    </row>
    <row r="471" spans="1:6" hidden="1" x14ac:dyDescent="0.2">
      <c r="A471" t="s">
        <v>1649</v>
      </c>
      <c r="B471" t="s">
        <v>3868</v>
      </c>
      <c r="C471" t="str">
        <f t="shared" si="7"/>
        <v>CUNDINAMARCACAPARRAPI</v>
      </c>
      <c r="D471" t="s">
        <v>4344</v>
      </c>
      <c r="E471" t="s">
        <v>3526</v>
      </c>
      <c r="F471" t="s">
        <v>1666</v>
      </c>
    </row>
    <row r="472" spans="1:6" hidden="1" x14ac:dyDescent="0.2">
      <c r="A472" t="s">
        <v>1649</v>
      </c>
      <c r="B472" t="s">
        <v>1667</v>
      </c>
      <c r="C472" t="str">
        <f t="shared" si="7"/>
        <v>CUNDINAMARCACAQUEZA</v>
      </c>
      <c r="D472" t="s">
        <v>4344</v>
      </c>
      <c r="E472" t="s">
        <v>1669</v>
      </c>
      <c r="F472" t="s">
        <v>1668</v>
      </c>
    </row>
    <row r="473" spans="1:6" hidden="1" x14ac:dyDescent="0.2">
      <c r="A473" t="s">
        <v>1649</v>
      </c>
      <c r="B473" t="s">
        <v>3874</v>
      </c>
      <c r="C473" t="str">
        <f t="shared" si="7"/>
        <v>CUNDINAMARCACARMEN DE CARUPA</v>
      </c>
      <c r="D473" t="s">
        <v>4344</v>
      </c>
      <c r="E473" t="s">
        <v>4367</v>
      </c>
      <c r="F473" t="s">
        <v>1670</v>
      </c>
    </row>
    <row r="474" spans="1:6" hidden="1" x14ac:dyDescent="0.2">
      <c r="A474" t="s">
        <v>1649</v>
      </c>
      <c r="B474" t="s">
        <v>1592</v>
      </c>
      <c r="C474" t="str">
        <f t="shared" si="7"/>
        <v>CUNDINAMARCACHAGUANI</v>
      </c>
      <c r="D474" t="s">
        <v>4344</v>
      </c>
      <c r="E474" t="s">
        <v>1672</v>
      </c>
      <c r="F474" t="s">
        <v>1671</v>
      </c>
    </row>
    <row r="475" spans="1:6" hidden="1" x14ac:dyDescent="0.2">
      <c r="A475" t="s">
        <v>1649</v>
      </c>
      <c r="B475" t="s">
        <v>1542</v>
      </c>
      <c r="C475" t="str">
        <f t="shared" si="7"/>
        <v>CUNDINAMARCACHIA</v>
      </c>
      <c r="D475" t="s">
        <v>4344</v>
      </c>
      <c r="E475" t="s">
        <v>3450</v>
      </c>
      <c r="F475" t="s">
        <v>1673</v>
      </c>
    </row>
    <row r="476" spans="1:6" hidden="1" x14ac:dyDescent="0.2">
      <c r="A476" t="s">
        <v>1649</v>
      </c>
      <c r="B476" t="s">
        <v>1543</v>
      </c>
      <c r="C476" t="str">
        <f t="shared" si="7"/>
        <v>CUNDINAMARCACHIPAQUE</v>
      </c>
      <c r="D476" t="s">
        <v>4344</v>
      </c>
      <c r="E476" t="s">
        <v>1675</v>
      </c>
      <c r="F476" t="s">
        <v>1674</v>
      </c>
    </row>
    <row r="477" spans="1:6" hidden="1" x14ac:dyDescent="0.2">
      <c r="A477" t="s">
        <v>1649</v>
      </c>
      <c r="B477" t="s">
        <v>1676</v>
      </c>
      <c r="C477" t="str">
        <f t="shared" si="7"/>
        <v>CUNDINAMARCACHOACHI</v>
      </c>
      <c r="D477" t="s">
        <v>4344</v>
      </c>
      <c r="E477" t="s">
        <v>3546</v>
      </c>
      <c r="F477" t="s">
        <v>1677</v>
      </c>
    </row>
    <row r="478" spans="1:6" hidden="1" x14ac:dyDescent="0.2">
      <c r="A478" t="s">
        <v>1649</v>
      </c>
      <c r="B478" t="s">
        <v>2618</v>
      </c>
      <c r="C478" t="str">
        <f t="shared" si="7"/>
        <v>CUNDINAMARCACHOCONTA</v>
      </c>
      <c r="D478" t="s">
        <v>4344</v>
      </c>
      <c r="E478" t="s">
        <v>4511</v>
      </c>
      <c r="F478" t="s">
        <v>1678</v>
      </c>
    </row>
    <row r="479" spans="1:6" hidden="1" x14ac:dyDescent="0.2">
      <c r="A479" t="s">
        <v>1649</v>
      </c>
      <c r="B479" t="s">
        <v>1679</v>
      </c>
      <c r="C479" t="str">
        <f t="shared" si="7"/>
        <v>CUNDINAMARCACOGUA</v>
      </c>
      <c r="D479" t="s">
        <v>4344</v>
      </c>
      <c r="E479" t="s">
        <v>2208</v>
      </c>
      <c r="F479" t="s">
        <v>325</v>
      </c>
    </row>
    <row r="480" spans="1:6" hidden="1" x14ac:dyDescent="0.2">
      <c r="A480" t="s">
        <v>1649</v>
      </c>
      <c r="B480" t="s">
        <v>1680</v>
      </c>
      <c r="C480" t="str">
        <f t="shared" si="7"/>
        <v>CUNDINAMARCACOTA</v>
      </c>
      <c r="D480" t="s">
        <v>4344</v>
      </c>
      <c r="E480" t="s">
        <v>2209</v>
      </c>
      <c r="F480" t="s">
        <v>326</v>
      </c>
    </row>
    <row r="481" spans="1:6" hidden="1" x14ac:dyDescent="0.2">
      <c r="A481" t="s">
        <v>1649</v>
      </c>
      <c r="B481" t="s">
        <v>2643</v>
      </c>
      <c r="C481" t="str">
        <f t="shared" si="7"/>
        <v>CUNDINAMARCACUCUNUBA</v>
      </c>
      <c r="D481" t="s">
        <v>4344</v>
      </c>
      <c r="E481" t="s">
        <v>1027</v>
      </c>
      <c r="F481" t="s">
        <v>327</v>
      </c>
    </row>
    <row r="482" spans="1:6" hidden="1" x14ac:dyDescent="0.2">
      <c r="A482" t="s">
        <v>1649</v>
      </c>
      <c r="B482" t="s">
        <v>1681</v>
      </c>
      <c r="C482" t="str">
        <f t="shared" si="7"/>
        <v>CUNDINAMARCAEL COLEGIO</v>
      </c>
      <c r="D482" t="s">
        <v>4344</v>
      </c>
      <c r="E482" t="s">
        <v>1683</v>
      </c>
      <c r="F482" t="s">
        <v>1682</v>
      </c>
    </row>
    <row r="483" spans="1:6" hidden="1" x14ac:dyDescent="0.2">
      <c r="A483" t="s">
        <v>1649</v>
      </c>
      <c r="B483" t="s">
        <v>1684</v>
      </c>
      <c r="C483" t="str">
        <f t="shared" si="7"/>
        <v>CUNDINAMARCAEL PEÑON</v>
      </c>
      <c r="D483" t="s">
        <v>4344</v>
      </c>
      <c r="E483" t="s">
        <v>4310</v>
      </c>
      <c r="F483" t="s">
        <v>1685</v>
      </c>
    </row>
    <row r="484" spans="1:6" hidden="1" x14ac:dyDescent="0.2">
      <c r="A484" t="s">
        <v>1649</v>
      </c>
      <c r="B484" t="s">
        <v>1686</v>
      </c>
      <c r="C484" t="str">
        <f t="shared" si="7"/>
        <v>CUNDINAMARCAEL ROSAL</v>
      </c>
      <c r="D484" t="s">
        <v>4344</v>
      </c>
      <c r="E484" t="s">
        <v>1688</v>
      </c>
      <c r="F484" t="s">
        <v>1687</v>
      </c>
    </row>
    <row r="485" spans="1:6" hidden="1" x14ac:dyDescent="0.2">
      <c r="A485" t="s">
        <v>1649</v>
      </c>
      <c r="B485" t="s">
        <v>1689</v>
      </c>
      <c r="C485" t="str">
        <f t="shared" si="7"/>
        <v>CUNDINAMARCAFACATATIVA</v>
      </c>
      <c r="D485" t="s">
        <v>4344</v>
      </c>
      <c r="E485" t="s">
        <v>3355</v>
      </c>
      <c r="F485" t="s">
        <v>1690</v>
      </c>
    </row>
    <row r="486" spans="1:6" hidden="1" x14ac:dyDescent="0.2">
      <c r="A486" t="s">
        <v>1649</v>
      </c>
      <c r="B486" t="s">
        <v>1691</v>
      </c>
      <c r="C486" t="str">
        <f t="shared" si="7"/>
        <v>CUNDINAMARCAFOMEQUE</v>
      </c>
      <c r="D486" t="s">
        <v>4344</v>
      </c>
      <c r="E486" t="s">
        <v>1693</v>
      </c>
      <c r="F486" t="s">
        <v>1692</v>
      </c>
    </row>
    <row r="487" spans="1:6" hidden="1" x14ac:dyDescent="0.2">
      <c r="A487" t="s">
        <v>1649</v>
      </c>
      <c r="B487" t="s">
        <v>1694</v>
      </c>
      <c r="C487" t="str">
        <f t="shared" si="7"/>
        <v>CUNDINAMARCAFOSCA</v>
      </c>
      <c r="D487" t="s">
        <v>4344</v>
      </c>
      <c r="E487" t="s">
        <v>1696</v>
      </c>
      <c r="F487" t="s">
        <v>1695</v>
      </c>
    </row>
    <row r="488" spans="1:6" hidden="1" x14ac:dyDescent="0.2">
      <c r="A488" t="s">
        <v>1649</v>
      </c>
      <c r="B488" t="s">
        <v>1697</v>
      </c>
      <c r="C488" t="str">
        <f t="shared" si="7"/>
        <v>CUNDINAMARCAFUNZA</v>
      </c>
      <c r="D488" t="s">
        <v>4344</v>
      </c>
      <c r="E488" t="s">
        <v>1699</v>
      </c>
      <c r="F488" t="s">
        <v>1698</v>
      </c>
    </row>
    <row r="489" spans="1:6" hidden="1" x14ac:dyDescent="0.2">
      <c r="A489" t="s">
        <v>1649</v>
      </c>
      <c r="B489" t="s">
        <v>1700</v>
      </c>
      <c r="C489" t="str">
        <f t="shared" si="7"/>
        <v>CUNDINAMARCAFUQUENE</v>
      </c>
      <c r="D489" t="s">
        <v>4344</v>
      </c>
      <c r="E489" t="s">
        <v>2210</v>
      </c>
      <c r="F489" t="s">
        <v>1701</v>
      </c>
    </row>
    <row r="490" spans="1:6" hidden="1" x14ac:dyDescent="0.2">
      <c r="A490" t="s">
        <v>1649</v>
      </c>
      <c r="B490" t="s">
        <v>1476</v>
      </c>
      <c r="C490" t="str">
        <f t="shared" si="7"/>
        <v>CUNDINAMARCAFUSAGASUGA</v>
      </c>
      <c r="D490" t="s">
        <v>4344</v>
      </c>
      <c r="E490" t="s">
        <v>4231</v>
      </c>
      <c r="F490" t="s">
        <v>328</v>
      </c>
    </row>
    <row r="491" spans="1:6" hidden="1" x14ac:dyDescent="0.2">
      <c r="A491" t="s">
        <v>1649</v>
      </c>
      <c r="B491" t="s">
        <v>2666</v>
      </c>
      <c r="C491" t="str">
        <f t="shared" si="7"/>
        <v>CUNDINAMARCAGACHALA</v>
      </c>
      <c r="D491" t="s">
        <v>4344</v>
      </c>
      <c r="E491" t="s">
        <v>1703</v>
      </c>
      <c r="F491" t="s">
        <v>1702</v>
      </c>
    </row>
    <row r="492" spans="1:6" hidden="1" x14ac:dyDescent="0.2">
      <c r="A492" t="s">
        <v>1649</v>
      </c>
      <c r="B492" t="s">
        <v>1553</v>
      </c>
      <c r="C492" t="str">
        <f t="shared" si="7"/>
        <v>CUNDINAMARCAGACHANCIPA</v>
      </c>
      <c r="D492" t="s">
        <v>4344</v>
      </c>
      <c r="E492" t="s">
        <v>1705</v>
      </c>
      <c r="F492" t="s">
        <v>1704</v>
      </c>
    </row>
    <row r="493" spans="1:6" hidden="1" x14ac:dyDescent="0.2">
      <c r="A493" t="s">
        <v>1649</v>
      </c>
      <c r="B493" t="s">
        <v>1706</v>
      </c>
      <c r="C493" t="str">
        <f t="shared" si="7"/>
        <v>CUNDINAMARCAGACHETA</v>
      </c>
      <c r="D493" t="s">
        <v>4344</v>
      </c>
      <c r="E493" t="s">
        <v>2286</v>
      </c>
      <c r="F493" t="s">
        <v>1707</v>
      </c>
    </row>
    <row r="494" spans="1:6" hidden="1" x14ac:dyDescent="0.2">
      <c r="A494" t="s">
        <v>1649</v>
      </c>
      <c r="B494" t="s">
        <v>2671</v>
      </c>
      <c r="C494" t="str">
        <f t="shared" si="7"/>
        <v>CUNDINAMARCAGAMA</v>
      </c>
      <c r="D494" t="s">
        <v>4344</v>
      </c>
      <c r="E494" t="s">
        <v>1709</v>
      </c>
      <c r="F494" t="s">
        <v>1708</v>
      </c>
    </row>
    <row r="495" spans="1:6" hidden="1" x14ac:dyDescent="0.2">
      <c r="A495" t="s">
        <v>1649</v>
      </c>
      <c r="B495" t="s">
        <v>1710</v>
      </c>
      <c r="C495" t="str">
        <f t="shared" si="7"/>
        <v>CUNDINAMARCAGIRARDOT</v>
      </c>
      <c r="D495" t="s">
        <v>4344</v>
      </c>
      <c r="E495" t="s">
        <v>4388</v>
      </c>
      <c r="F495" t="s">
        <v>1711</v>
      </c>
    </row>
    <row r="496" spans="1:6" hidden="1" x14ac:dyDescent="0.2">
      <c r="A496" t="s">
        <v>1649</v>
      </c>
      <c r="B496" t="s">
        <v>1712</v>
      </c>
      <c r="C496" t="str">
        <f t="shared" si="7"/>
        <v>CUNDINAMARCAGRANADA</v>
      </c>
      <c r="D496" t="s">
        <v>4344</v>
      </c>
      <c r="E496" t="s">
        <v>2211</v>
      </c>
      <c r="F496" t="s">
        <v>1713</v>
      </c>
    </row>
    <row r="497" spans="1:6" hidden="1" x14ac:dyDescent="0.2">
      <c r="A497" t="s">
        <v>1649</v>
      </c>
      <c r="B497" t="s">
        <v>1172</v>
      </c>
      <c r="C497" t="str">
        <f t="shared" si="7"/>
        <v>CUNDINAMARCAGUACHETA</v>
      </c>
      <c r="D497" t="s">
        <v>4344</v>
      </c>
      <c r="E497" t="s">
        <v>2212</v>
      </c>
      <c r="F497" t="s">
        <v>1714</v>
      </c>
    </row>
    <row r="498" spans="1:6" hidden="1" x14ac:dyDescent="0.2">
      <c r="A498" t="s">
        <v>1649</v>
      </c>
      <c r="B498" t="s">
        <v>1715</v>
      </c>
      <c r="C498" t="str">
        <f t="shared" si="7"/>
        <v>CUNDINAMARCAGUADUAS</v>
      </c>
      <c r="D498" t="s">
        <v>4344</v>
      </c>
      <c r="E498" t="s">
        <v>3552</v>
      </c>
      <c r="F498" t="s">
        <v>1716</v>
      </c>
    </row>
    <row r="499" spans="1:6" hidden="1" x14ac:dyDescent="0.2">
      <c r="A499" t="s">
        <v>1649</v>
      </c>
      <c r="B499" t="s">
        <v>1175</v>
      </c>
      <c r="C499" t="str">
        <f t="shared" si="7"/>
        <v>CUNDINAMARCAGUASCA</v>
      </c>
      <c r="D499" t="s">
        <v>4344</v>
      </c>
      <c r="E499" t="s">
        <v>2213</v>
      </c>
      <c r="F499" t="s">
        <v>1717</v>
      </c>
    </row>
    <row r="500" spans="1:6" hidden="1" x14ac:dyDescent="0.2">
      <c r="A500" t="s">
        <v>1649</v>
      </c>
      <c r="B500" t="s">
        <v>1718</v>
      </c>
      <c r="C500" t="str">
        <f t="shared" si="7"/>
        <v>CUNDINAMARCAGUATAQUI</v>
      </c>
      <c r="D500" t="s">
        <v>4344</v>
      </c>
      <c r="E500" t="s">
        <v>1720</v>
      </c>
      <c r="F500" t="s">
        <v>1719</v>
      </c>
    </row>
    <row r="501" spans="1:6" hidden="1" x14ac:dyDescent="0.2">
      <c r="A501" t="s">
        <v>1649</v>
      </c>
      <c r="B501" t="s">
        <v>1721</v>
      </c>
      <c r="C501" t="str">
        <f t="shared" si="7"/>
        <v>CUNDINAMARCAGUATAVITA</v>
      </c>
      <c r="D501" t="s">
        <v>4344</v>
      </c>
      <c r="E501" t="s">
        <v>1723</v>
      </c>
      <c r="F501" t="s">
        <v>1722</v>
      </c>
    </row>
    <row r="502" spans="1:6" hidden="1" x14ac:dyDescent="0.2">
      <c r="A502" t="s">
        <v>1649</v>
      </c>
      <c r="B502" t="s">
        <v>1724</v>
      </c>
      <c r="C502" t="str">
        <f t="shared" si="7"/>
        <v>CUNDINAMARCAGUAYABAL DE SIQUIMA</v>
      </c>
      <c r="D502" t="s">
        <v>4344</v>
      </c>
      <c r="E502" s="140" t="s">
        <v>2155</v>
      </c>
      <c r="F502" t="s">
        <v>329</v>
      </c>
    </row>
    <row r="503" spans="1:6" hidden="1" x14ac:dyDescent="0.2">
      <c r="A503" t="s">
        <v>1649</v>
      </c>
      <c r="B503" t="s">
        <v>1725</v>
      </c>
      <c r="C503" t="str">
        <f t="shared" si="7"/>
        <v>CUNDINAMARCAGUAYABETAL</v>
      </c>
      <c r="D503" t="s">
        <v>4344</v>
      </c>
      <c r="E503" t="s">
        <v>2281</v>
      </c>
      <c r="F503" t="s">
        <v>1726</v>
      </c>
    </row>
    <row r="504" spans="1:6" hidden="1" x14ac:dyDescent="0.2">
      <c r="A504" t="s">
        <v>1649</v>
      </c>
      <c r="B504" t="s">
        <v>1727</v>
      </c>
      <c r="C504" t="str">
        <f t="shared" si="7"/>
        <v>CUNDINAMARCAGUTIERREZ</v>
      </c>
      <c r="D504" t="s">
        <v>4344</v>
      </c>
      <c r="E504" t="s">
        <v>1729</v>
      </c>
      <c r="F504" t="s">
        <v>1728</v>
      </c>
    </row>
    <row r="505" spans="1:6" hidden="1" x14ac:dyDescent="0.2">
      <c r="A505" t="s">
        <v>1649</v>
      </c>
      <c r="B505" t="s">
        <v>3947</v>
      </c>
      <c r="C505" t="str">
        <f t="shared" si="7"/>
        <v>CUNDINAMARCAJERUSALEN</v>
      </c>
      <c r="D505" t="s">
        <v>4344</v>
      </c>
      <c r="E505" t="s">
        <v>1731</v>
      </c>
      <c r="F505" t="s">
        <v>1730</v>
      </c>
    </row>
    <row r="506" spans="1:6" hidden="1" x14ac:dyDescent="0.2">
      <c r="A506" t="s">
        <v>1649</v>
      </c>
      <c r="B506" t="s">
        <v>2422</v>
      </c>
      <c r="C506" t="str">
        <f t="shared" si="7"/>
        <v>CUNDINAMARCAJUNIN</v>
      </c>
      <c r="D506" t="s">
        <v>4344</v>
      </c>
      <c r="E506" t="s">
        <v>4512</v>
      </c>
      <c r="F506" t="s">
        <v>1732</v>
      </c>
    </row>
    <row r="507" spans="1:6" hidden="1" x14ac:dyDescent="0.2">
      <c r="A507" t="s">
        <v>1649</v>
      </c>
      <c r="B507" t="s">
        <v>1189</v>
      </c>
      <c r="C507" t="str">
        <f t="shared" si="7"/>
        <v>CUNDINAMARCALA CALERA</v>
      </c>
      <c r="D507" t="s">
        <v>4344</v>
      </c>
      <c r="E507" t="s">
        <v>3501</v>
      </c>
      <c r="F507" t="s">
        <v>1733</v>
      </c>
    </row>
    <row r="508" spans="1:6" hidden="1" x14ac:dyDescent="0.2">
      <c r="A508" t="s">
        <v>1649</v>
      </c>
      <c r="B508" t="s">
        <v>1734</v>
      </c>
      <c r="C508" t="str">
        <f t="shared" si="7"/>
        <v>CUNDINAMARCALA MESA</v>
      </c>
      <c r="D508" t="s">
        <v>4344</v>
      </c>
      <c r="E508" t="s">
        <v>1736</v>
      </c>
      <c r="F508" t="s">
        <v>1735</v>
      </c>
    </row>
    <row r="509" spans="1:6" hidden="1" x14ac:dyDescent="0.2">
      <c r="A509" t="s">
        <v>1649</v>
      </c>
      <c r="B509" t="s">
        <v>1737</v>
      </c>
      <c r="C509" t="str">
        <f t="shared" si="7"/>
        <v>CUNDINAMARCALA PALMA</v>
      </c>
      <c r="D509" t="s">
        <v>4344</v>
      </c>
      <c r="E509" t="s">
        <v>2214</v>
      </c>
      <c r="F509" t="s">
        <v>1738</v>
      </c>
    </row>
    <row r="510" spans="1:6" hidden="1" x14ac:dyDescent="0.2">
      <c r="A510" t="s">
        <v>1649</v>
      </c>
      <c r="B510" t="s">
        <v>1739</v>
      </c>
      <c r="C510" t="str">
        <f t="shared" si="7"/>
        <v>CUNDINAMARCALA PEÑA</v>
      </c>
      <c r="D510" t="s">
        <v>4344</v>
      </c>
      <c r="E510" t="s">
        <v>1741</v>
      </c>
      <c r="F510" t="s">
        <v>1740</v>
      </c>
    </row>
    <row r="511" spans="1:6" hidden="1" x14ac:dyDescent="0.2">
      <c r="A511" t="s">
        <v>1649</v>
      </c>
      <c r="B511" t="s">
        <v>1742</v>
      </c>
      <c r="C511" t="str">
        <f t="shared" si="7"/>
        <v>CUNDINAMARCALA VEGA</v>
      </c>
      <c r="D511" t="s">
        <v>4344</v>
      </c>
      <c r="E511" t="s">
        <v>3371</v>
      </c>
      <c r="F511" t="s">
        <v>1743</v>
      </c>
    </row>
    <row r="512" spans="1:6" hidden="1" x14ac:dyDescent="0.2">
      <c r="A512" t="s">
        <v>1649</v>
      </c>
      <c r="B512" t="s">
        <v>1199</v>
      </c>
      <c r="C512" t="str">
        <f t="shared" si="7"/>
        <v>CUNDINAMARCALENGUAZAQUE</v>
      </c>
      <c r="D512" t="s">
        <v>4344</v>
      </c>
      <c r="E512" t="s">
        <v>2215</v>
      </c>
      <c r="F512" t="s">
        <v>1744</v>
      </c>
    </row>
    <row r="513" spans="1:6" hidden="1" x14ac:dyDescent="0.2">
      <c r="A513" t="s">
        <v>1649</v>
      </c>
      <c r="B513" t="s">
        <v>1745</v>
      </c>
      <c r="C513" t="str">
        <f t="shared" si="7"/>
        <v>CUNDINAMARCAMACHETA</v>
      </c>
      <c r="D513" t="s">
        <v>4344</v>
      </c>
      <c r="E513" t="s">
        <v>1747</v>
      </c>
      <c r="F513" t="s">
        <v>1746</v>
      </c>
    </row>
    <row r="514" spans="1:6" hidden="1" x14ac:dyDescent="0.2">
      <c r="A514" t="s">
        <v>1649</v>
      </c>
      <c r="B514" t="s">
        <v>2509</v>
      </c>
      <c r="C514" t="str">
        <f t="shared" si="7"/>
        <v>CUNDINAMARCAMADRID</v>
      </c>
      <c r="D514" t="s">
        <v>4344</v>
      </c>
      <c r="E514" t="s">
        <v>1749</v>
      </c>
      <c r="F514" t="s">
        <v>1748</v>
      </c>
    </row>
    <row r="515" spans="1:6" hidden="1" x14ac:dyDescent="0.2">
      <c r="A515" t="s">
        <v>1649</v>
      </c>
      <c r="B515" t="s">
        <v>2431</v>
      </c>
      <c r="C515" t="str">
        <f t="shared" ref="C515:C578" si="8">D515&amp;E515</f>
        <v>CUNDINAMARCAMANTA</v>
      </c>
      <c r="D515" t="s">
        <v>4344</v>
      </c>
      <c r="E515" t="s">
        <v>1751</v>
      </c>
      <c r="F515" t="s">
        <v>1750</v>
      </c>
    </row>
    <row r="516" spans="1:6" hidden="1" x14ac:dyDescent="0.2">
      <c r="A516" t="s">
        <v>1649</v>
      </c>
      <c r="B516" t="s">
        <v>1752</v>
      </c>
      <c r="C516" t="str">
        <f t="shared" si="8"/>
        <v>CUNDINAMARCAMEDINA</v>
      </c>
      <c r="D516" t="s">
        <v>4344</v>
      </c>
      <c r="E516" t="s">
        <v>1754</v>
      </c>
      <c r="F516" t="s">
        <v>1753</v>
      </c>
    </row>
    <row r="517" spans="1:6" hidden="1" x14ac:dyDescent="0.2">
      <c r="A517" t="s">
        <v>1649</v>
      </c>
      <c r="B517" t="s">
        <v>2520</v>
      </c>
      <c r="C517" t="str">
        <f t="shared" si="8"/>
        <v>CUNDINAMARCAMOSQUERA</v>
      </c>
      <c r="D517" t="s">
        <v>4344</v>
      </c>
      <c r="E517" t="s">
        <v>1756</v>
      </c>
      <c r="F517" t="s">
        <v>1755</v>
      </c>
    </row>
    <row r="518" spans="1:6" hidden="1" x14ac:dyDescent="0.2">
      <c r="A518" t="s">
        <v>1649</v>
      </c>
      <c r="B518" t="s">
        <v>3976</v>
      </c>
      <c r="C518" t="str">
        <f t="shared" si="8"/>
        <v>CUNDINAMARCANARIÑO</v>
      </c>
      <c r="D518" t="s">
        <v>4344</v>
      </c>
      <c r="E518" t="s">
        <v>4387</v>
      </c>
      <c r="F518" t="s">
        <v>1757</v>
      </c>
    </row>
    <row r="519" spans="1:6" hidden="1" x14ac:dyDescent="0.2">
      <c r="A519" t="s">
        <v>1649</v>
      </c>
      <c r="B519" t="s">
        <v>1397</v>
      </c>
      <c r="C519" t="str">
        <f t="shared" si="8"/>
        <v>CUNDINAMARCANEMOCON</v>
      </c>
      <c r="D519" t="s">
        <v>4344</v>
      </c>
      <c r="E519" t="s">
        <v>4513</v>
      </c>
      <c r="F519" t="s">
        <v>1758</v>
      </c>
    </row>
    <row r="520" spans="1:6" hidden="1" x14ac:dyDescent="0.2">
      <c r="A520" t="s">
        <v>1649</v>
      </c>
      <c r="B520" t="s">
        <v>1759</v>
      </c>
      <c r="C520" t="str">
        <f t="shared" si="8"/>
        <v>CUNDINAMARCANILO</v>
      </c>
      <c r="D520" t="s">
        <v>4344</v>
      </c>
      <c r="E520" t="s">
        <v>1761</v>
      </c>
      <c r="F520" t="s">
        <v>1760</v>
      </c>
    </row>
    <row r="521" spans="1:6" hidden="1" x14ac:dyDescent="0.2">
      <c r="A521" t="s">
        <v>1649</v>
      </c>
      <c r="B521" t="s">
        <v>1762</v>
      </c>
      <c r="C521" t="str">
        <f t="shared" si="8"/>
        <v>CUNDINAMARCANIMAIMA</v>
      </c>
      <c r="D521" t="s">
        <v>4344</v>
      </c>
      <c r="E521" t="s">
        <v>3350</v>
      </c>
      <c r="F521" t="s">
        <v>1763</v>
      </c>
    </row>
    <row r="522" spans="1:6" hidden="1" x14ac:dyDescent="0.2">
      <c r="A522" t="s">
        <v>1649</v>
      </c>
      <c r="B522" t="s">
        <v>1220</v>
      </c>
      <c r="C522" t="str">
        <f t="shared" si="8"/>
        <v>CUNDINAMARCANOCAIMA</v>
      </c>
      <c r="D522" t="s">
        <v>4344</v>
      </c>
      <c r="E522" t="s">
        <v>840</v>
      </c>
      <c r="F522" t="s">
        <v>1764</v>
      </c>
    </row>
    <row r="523" spans="1:6" hidden="1" x14ac:dyDescent="0.2">
      <c r="A523" t="s">
        <v>1649</v>
      </c>
      <c r="B523" t="s">
        <v>1765</v>
      </c>
      <c r="C523" t="str">
        <f t="shared" si="8"/>
        <v>CUNDINAMARCAVENECIA</v>
      </c>
      <c r="D523" t="s">
        <v>4344</v>
      </c>
      <c r="E523" s="140" t="s">
        <v>3441</v>
      </c>
      <c r="F523" t="s">
        <v>1766</v>
      </c>
    </row>
    <row r="524" spans="1:6" hidden="1" x14ac:dyDescent="0.2">
      <c r="A524" t="s">
        <v>1649</v>
      </c>
      <c r="B524" t="s">
        <v>1400</v>
      </c>
      <c r="C524" t="str">
        <f t="shared" si="8"/>
        <v>CUNDINAMARCAPACHO</v>
      </c>
      <c r="D524" t="s">
        <v>4344</v>
      </c>
      <c r="E524" t="s">
        <v>4251</v>
      </c>
      <c r="F524" t="s">
        <v>1767</v>
      </c>
    </row>
    <row r="525" spans="1:6" hidden="1" x14ac:dyDescent="0.2">
      <c r="A525" t="s">
        <v>1649</v>
      </c>
      <c r="B525" t="s">
        <v>1239</v>
      </c>
      <c r="C525" t="str">
        <f t="shared" si="8"/>
        <v>CUNDINAMARCAPAIME</v>
      </c>
      <c r="D525" t="s">
        <v>4344</v>
      </c>
      <c r="E525" t="s">
        <v>851</v>
      </c>
      <c r="F525" t="s">
        <v>1768</v>
      </c>
    </row>
    <row r="526" spans="1:6" hidden="1" x14ac:dyDescent="0.2">
      <c r="A526" t="s">
        <v>1649</v>
      </c>
      <c r="B526" t="s">
        <v>1402</v>
      </c>
      <c r="C526" t="str">
        <f t="shared" si="8"/>
        <v>CUNDINAMARCAPANDI</v>
      </c>
      <c r="D526" t="s">
        <v>4344</v>
      </c>
      <c r="E526" t="s">
        <v>3468</v>
      </c>
      <c r="F526" t="s">
        <v>330</v>
      </c>
    </row>
    <row r="527" spans="1:6" hidden="1" x14ac:dyDescent="0.2">
      <c r="A527" t="s">
        <v>1649</v>
      </c>
      <c r="B527" t="s">
        <v>1769</v>
      </c>
      <c r="C527" t="str">
        <f t="shared" si="8"/>
        <v>CUNDINAMARCAPARATEBUENO</v>
      </c>
      <c r="D527" t="s">
        <v>4344</v>
      </c>
      <c r="E527" t="s">
        <v>1771</v>
      </c>
      <c r="F527" t="s">
        <v>1770</v>
      </c>
    </row>
    <row r="528" spans="1:6" hidden="1" x14ac:dyDescent="0.2">
      <c r="A528" t="s">
        <v>1649</v>
      </c>
      <c r="B528" t="s">
        <v>1772</v>
      </c>
      <c r="C528" t="str">
        <f t="shared" si="8"/>
        <v>CUNDINAMARCAPASCA</v>
      </c>
      <c r="D528" t="s">
        <v>4344</v>
      </c>
      <c r="E528" t="s">
        <v>1774</v>
      </c>
      <c r="F528" t="s">
        <v>1773</v>
      </c>
    </row>
    <row r="529" spans="1:6" hidden="1" x14ac:dyDescent="0.2">
      <c r="A529" t="s">
        <v>1649</v>
      </c>
      <c r="B529" t="s">
        <v>1259</v>
      </c>
      <c r="C529" t="str">
        <f t="shared" si="8"/>
        <v>CUNDINAMARCAPUERTO SALGAR</v>
      </c>
      <c r="D529" t="s">
        <v>4344</v>
      </c>
      <c r="E529" t="s">
        <v>1776</v>
      </c>
      <c r="F529" t="s">
        <v>1775</v>
      </c>
    </row>
    <row r="530" spans="1:6" hidden="1" x14ac:dyDescent="0.2">
      <c r="A530" t="s">
        <v>1649</v>
      </c>
      <c r="B530" t="s">
        <v>2524</v>
      </c>
      <c r="C530" t="str">
        <f t="shared" si="8"/>
        <v>CUNDINAMARCAPULI</v>
      </c>
      <c r="D530" t="s">
        <v>4344</v>
      </c>
      <c r="E530" t="s">
        <v>1778</v>
      </c>
      <c r="F530" t="s">
        <v>1777</v>
      </c>
    </row>
    <row r="531" spans="1:6" hidden="1" x14ac:dyDescent="0.2">
      <c r="A531" t="s">
        <v>1649</v>
      </c>
      <c r="B531" t="s">
        <v>1448</v>
      </c>
      <c r="C531" t="str">
        <f t="shared" si="8"/>
        <v>CUNDINAMARCAQUEBRADANEGRA</v>
      </c>
      <c r="D531" t="s">
        <v>4344</v>
      </c>
      <c r="E531" t="s">
        <v>4514</v>
      </c>
      <c r="F531" t="s">
        <v>1779</v>
      </c>
    </row>
    <row r="532" spans="1:6" hidden="1" x14ac:dyDescent="0.2">
      <c r="A532" t="s">
        <v>1649</v>
      </c>
      <c r="B532" t="s">
        <v>1780</v>
      </c>
      <c r="C532" t="str">
        <f t="shared" si="8"/>
        <v>CUNDINAMARCAQUETAME</v>
      </c>
      <c r="D532" t="s">
        <v>4344</v>
      </c>
      <c r="E532" t="s">
        <v>3469</v>
      </c>
      <c r="F532" t="s">
        <v>1781</v>
      </c>
    </row>
    <row r="533" spans="1:6" hidden="1" x14ac:dyDescent="0.2">
      <c r="A533" t="s">
        <v>1649</v>
      </c>
      <c r="B533" t="s">
        <v>1782</v>
      </c>
      <c r="C533" t="str">
        <f t="shared" si="8"/>
        <v>CUNDINAMARCAQUIPILE</v>
      </c>
      <c r="D533" t="s">
        <v>4344</v>
      </c>
      <c r="E533" t="s">
        <v>1784</v>
      </c>
      <c r="F533" t="s">
        <v>1783</v>
      </c>
    </row>
    <row r="534" spans="1:6" hidden="1" x14ac:dyDescent="0.2">
      <c r="A534" t="s">
        <v>1649</v>
      </c>
      <c r="B534" t="s">
        <v>1262</v>
      </c>
      <c r="C534" t="str">
        <f t="shared" si="8"/>
        <v>CUNDINAMARCAAPULO</v>
      </c>
      <c r="D534" t="s">
        <v>4344</v>
      </c>
      <c r="E534" t="s">
        <v>4224</v>
      </c>
      <c r="F534" t="s">
        <v>1785</v>
      </c>
    </row>
    <row r="535" spans="1:6" hidden="1" x14ac:dyDescent="0.2">
      <c r="A535" t="s">
        <v>1649</v>
      </c>
      <c r="B535" t="s">
        <v>1786</v>
      </c>
      <c r="C535" t="str">
        <f t="shared" si="8"/>
        <v>CUNDINAMARCARICAURTE</v>
      </c>
      <c r="D535" t="s">
        <v>4344</v>
      </c>
      <c r="E535" t="s">
        <v>3445</v>
      </c>
      <c r="F535" t="s">
        <v>1787</v>
      </c>
    </row>
    <row r="536" spans="1:6" hidden="1" x14ac:dyDescent="0.2">
      <c r="A536" t="s">
        <v>1649</v>
      </c>
      <c r="B536" t="s">
        <v>1788</v>
      </c>
      <c r="C536" t="str">
        <f t="shared" si="8"/>
        <v>CUNDINAMARCASAN ANTONIO DEL TEQUENDAMA</v>
      </c>
      <c r="D536" t="s">
        <v>4344</v>
      </c>
      <c r="E536" s="140" t="s">
        <v>2154</v>
      </c>
      <c r="F536" t="s">
        <v>331</v>
      </c>
    </row>
    <row r="537" spans="1:6" hidden="1" x14ac:dyDescent="0.2">
      <c r="A537" t="s">
        <v>1649</v>
      </c>
      <c r="B537" t="s">
        <v>4019</v>
      </c>
      <c r="C537" t="str">
        <f t="shared" si="8"/>
        <v>CUNDINAMARCASAN BERNARDO</v>
      </c>
      <c r="D537" t="s">
        <v>4344</v>
      </c>
      <c r="E537" t="s">
        <v>3470</v>
      </c>
      <c r="F537" t="s">
        <v>332</v>
      </c>
    </row>
    <row r="538" spans="1:6" hidden="1" x14ac:dyDescent="0.2">
      <c r="A538" t="s">
        <v>1649</v>
      </c>
      <c r="B538" t="s">
        <v>1410</v>
      </c>
      <c r="C538" t="str">
        <f t="shared" si="8"/>
        <v>CUNDINAMARCASAN CAYETANO</v>
      </c>
      <c r="D538" t="s">
        <v>4344</v>
      </c>
      <c r="E538" t="s">
        <v>3296</v>
      </c>
      <c r="F538" t="s">
        <v>1789</v>
      </c>
    </row>
    <row r="539" spans="1:6" hidden="1" x14ac:dyDescent="0.2">
      <c r="A539" t="s">
        <v>1649</v>
      </c>
      <c r="B539" t="s">
        <v>4026</v>
      </c>
      <c r="C539" t="str">
        <f t="shared" si="8"/>
        <v>CUNDINAMARCASAN FRANCISCO</v>
      </c>
      <c r="D539" t="s">
        <v>4344</v>
      </c>
      <c r="E539" t="s">
        <v>2277</v>
      </c>
      <c r="F539" t="s">
        <v>1790</v>
      </c>
    </row>
    <row r="540" spans="1:6" hidden="1" x14ac:dyDescent="0.2">
      <c r="A540" t="s">
        <v>1649</v>
      </c>
      <c r="B540" t="s">
        <v>1412</v>
      </c>
      <c r="C540" t="str">
        <f t="shared" si="8"/>
        <v>CUNDINAMARCASAN JUAN DE RIO SECO</v>
      </c>
      <c r="D540" t="s">
        <v>4344</v>
      </c>
      <c r="E540" t="s">
        <v>1792</v>
      </c>
      <c r="F540" t="s">
        <v>1791</v>
      </c>
    </row>
    <row r="541" spans="1:6" hidden="1" x14ac:dyDescent="0.2">
      <c r="A541" t="s">
        <v>1649</v>
      </c>
      <c r="B541" t="s">
        <v>1793</v>
      </c>
      <c r="C541" t="str">
        <f t="shared" si="8"/>
        <v>CUNDINAMARCASASAIMA</v>
      </c>
      <c r="D541" t="s">
        <v>4344</v>
      </c>
      <c r="E541" t="s">
        <v>3336</v>
      </c>
      <c r="F541" t="s">
        <v>1794</v>
      </c>
    </row>
    <row r="542" spans="1:6" hidden="1" x14ac:dyDescent="0.2">
      <c r="A542" t="s">
        <v>1649</v>
      </c>
      <c r="B542" t="s">
        <v>4058</v>
      </c>
      <c r="C542" t="str">
        <f t="shared" si="8"/>
        <v>CUNDINAMARCASESQUILE</v>
      </c>
      <c r="D542" t="s">
        <v>4344</v>
      </c>
      <c r="E542" t="s">
        <v>4515</v>
      </c>
      <c r="F542" t="s">
        <v>1795</v>
      </c>
    </row>
    <row r="543" spans="1:6" hidden="1" x14ac:dyDescent="0.2">
      <c r="A543" t="s">
        <v>1649</v>
      </c>
      <c r="B543" t="s">
        <v>1299</v>
      </c>
      <c r="C543" t="str">
        <f t="shared" si="8"/>
        <v>CUNDINAMARCASIBATE</v>
      </c>
      <c r="D543" t="s">
        <v>4344</v>
      </c>
      <c r="E543" t="s">
        <v>3448</v>
      </c>
      <c r="F543" t="s">
        <v>333</v>
      </c>
    </row>
    <row r="544" spans="1:6" hidden="1" x14ac:dyDescent="0.2">
      <c r="A544" t="s">
        <v>1649</v>
      </c>
      <c r="B544" t="s">
        <v>1513</v>
      </c>
      <c r="C544" t="str">
        <f t="shared" si="8"/>
        <v>CUNDINAMARCASILVANIA</v>
      </c>
      <c r="D544" t="s">
        <v>4344</v>
      </c>
      <c r="E544" t="s">
        <v>1797</v>
      </c>
      <c r="F544" t="s">
        <v>1796</v>
      </c>
    </row>
    <row r="545" spans="1:6" hidden="1" x14ac:dyDescent="0.2">
      <c r="A545" t="s">
        <v>1649</v>
      </c>
      <c r="B545" t="s">
        <v>1798</v>
      </c>
      <c r="C545" t="str">
        <f t="shared" si="8"/>
        <v>CUNDINAMARCASIMIJACA</v>
      </c>
      <c r="D545" t="s">
        <v>4344</v>
      </c>
      <c r="E545" t="s">
        <v>4273</v>
      </c>
      <c r="F545" t="s">
        <v>1799</v>
      </c>
    </row>
    <row r="546" spans="1:6" hidden="1" x14ac:dyDescent="0.2">
      <c r="A546" t="s">
        <v>1649</v>
      </c>
      <c r="B546" t="s">
        <v>1800</v>
      </c>
      <c r="C546" t="str">
        <f t="shared" si="8"/>
        <v>CUNDINAMARCASOACHA</v>
      </c>
      <c r="D546" t="s">
        <v>4344</v>
      </c>
      <c r="E546" t="s">
        <v>3295</v>
      </c>
      <c r="F546" t="s">
        <v>334</v>
      </c>
    </row>
    <row r="547" spans="1:6" hidden="1" x14ac:dyDescent="0.2">
      <c r="A547" t="s">
        <v>1649</v>
      </c>
      <c r="B547" t="s">
        <v>2460</v>
      </c>
      <c r="C547" t="str">
        <f t="shared" si="8"/>
        <v>CUNDINAMARCASOPO</v>
      </c>
      <c r="D547" t="s">
        <v>4344</v>
      </c>
      <c r="E547" t="s">
        <v>3327</v>
      </c>
      <c r="F547" t="s">
        <v>1801</v>
      </c>
    </row>
    <row r="548" spans="1:6" hidden="1" x14ac:dyDescent="0.2">
      <c r="A548" t="s">
        <v>1649</v>
      </c>
      <c r="B548" t="s">
        <v>1802</v>
      </c>
      <c r="C548" t="str">
        <f t="shared" si="8"/>
        <v>CUNDINAMARCASUBACHOQUE</v>
      </c>
      <c r="D548" t="s">
        <v>4344</v>
      </c>
      <c r="E548" t="s">
        <v>1804</v>
      </c>
      <c r="F548" t="s">
        <v>1803</v>
      </c>
    </row>
    <row r="549" spans="1:6" hidden="1" x14ac:dyDescent="0.2">
      <c r="A549" t="s">
        <v>1649</v>
      </c>
      <c r="B549" t="s">
        <v>1805</v>
      </c>
      <c r="C549" t="str">
        <f t="shared" si="8"/>
        <v>CUNDINAMARCASUESCA</v>
      </c>
      <c r="D549" t="s">
        <v>4344</v>
      </c>
      <c r="E549" t="s">
        <v>4516</v>
      </c>
      <c r="F549" t="s">
        <v>1806</v>
      </c>
    </row>
    <row r="550" spans="1:6" hidden="1" x14ac:dyDescent="0.2">
      <c r="A550" t="s">
        <v>1649</v>
      </c>
      <c r="B550" t="s">
        <v>1416</v>
      </c>
      <c r="C550" t="str">
        <f t="shared" si="8"/>
        <v>CUNDINAMARCASUPATA</v>
      </c>
      <c r="D550" t="s">
        <v>4344</v>
      </c>
      <c r="E550" t="s">
        <v>841</v>
      </c>
      <c r="F550" t="s">
        <v>335</v>
      </c>
    </row>
    <row r="551" spans="1:6" hidden="1" x14ac:dyDescent="0.2">
      <c r="A551" t="s">
        <v>1649</v>
      </c>
      <c r="B551" t="s">
        <v>1807</v>
      </c>
      <c r="C551" t="str">
        <f t="shared" si="8"/>
        <v>CUNDINAMARCASUSA</v>
      </c>
      <c r="D551" t="s">
        <v>4344</v>
      </c>
      <c r="E551" t="s">
        <v>1809</v>
      </c>
      <c r="F551" t="s">
        <v>1808</v>
      </c>
    </row>
    <row r="552" spans="1:6" hidden="1" x14ac:dyDescent="0.2">
      <c r="A552" t="s">
        <v>1649</v>
      </c>
      <c r="B552" t="s">
        <v>1810</v>
      </c>
      <c r="C552" t="str">
        <f t="shared" si="8"/>
        <v>CUNDINAMARCASUTATAUSA</v>
      </c>
      <c r="D552" t="s">
        <v>4344</v>
      </c>
      <c r="E552" t="s">
        <v>972</v>
      </c>
      <c r="F552" t="s">
        <v>336</v>
      </c>
    </row>
    <row r="553" spans="1:6" hidden="1" x14ac:dyDescent="0.2">
      <c r="A553" t="s">
        <v>1649</v>
      </c>
      <c r="B553" t="s">
        <v>1457</v>
      </c>
      <c r="C553" t="str">
        <f t="shared" si="8"/>
        <v>CUNDINAMARCATABIO</v>
      </c>
      <c r="D553" t="s">
        <v>4344</v>
      </c>
      <c r="E553" t="s">
        <v>3391</v>
      </c>
      <c r="F553" t="s">
        <v>1811</v>
      </c>
    </row>
    <row r="554" spans="1:6" hidden="1" x14ac:dyDescent="0.2">
      <c r="A554" t="s">
        <v>1649</v>
      </c>
      <c r="B554" t="s">
        <v>1812</v>
      </c>
      <c r="C554" t="str">
        <f t="shared" si="8"/>
        <v>CUNDINAMARCATAUSA</v>
      </c>
      <c r="D554" t="s">
        <v>4344</v>
      </c>
      <c r="E554" t="s">
        <v>1814</v>
      </c>
      <c r="F554" t="s">
        <v>1813</v>
      </c>
    </row>
    <row r="555" spans="1:6" hidden="1" x14ac:dyDescent="0.2">
      <c r="A555" t="s">
        <v>1649</v>
      </c>
      <c r="B555" t="s">
        <v>1815</v>
      </c>
      <c r="C555" t="str">
        <f t="shared" si="8"/>
        <v>CUNDINAMARCATENA</v>
      </c>
      <c r="D555" t="s">
        <v>4344</v>
      </c>
      <c r="E555" t="s">
        <v>1817</v>
      </c>
      <c r="F555" t="s">
        <v>1816</v>
      </c>
    </row>
    <row r="556" spans="1:6" hidden="1" x14ac:dyDescent="0.2">
      <c r="A556" t="s">
        <v>1649</v>
      </c>
      <c r="B556" t="s">
        <v>1818</v>
      </c>
      <c r="C556" t="str">
        <f t="shared" si="8"/>
        <v>CUNDINAMARCATENJO</v>
      </c>
      <c r="D556" t="s">
        <v>4344</v>
      </c>
      <c r="E556" t="s">
        <v>3319</v>
      </c>
      <c r="F556" t="s">
        <v>1819</v>
      </c>
    </row>
    <row r="557" spans="1:6" hidden="1" x14ac:dyDescent="0.2">
      <c r="A557" t="s">
        <v>1649</v>
      </c>
      <c r="B557" t="s">
        <v>1820</v>
      </c>
      <c r="C557" t="str">
        <f t="shared" si="8"/>
        <v>CUNDINAMARCATIBACUY</v>
      </c>
      <c r="D557" t="s">
        <v>4344</v>
      </c>
      <c r="E557" t="s">
        <v>1822</v>
      </c>
      <c r="F557" t="s">
        <v>1821</v>
      </c>
    </row>
    <row r="558" spans="1:6" hidden="1" x14ac:dyDescent="0.2">
      <c r="A558" t="s">
        <v>1649</v>
      </c>
      <c r="B558" t="s">
        <v>1519</v>
      </c>
      <c r="C558" t="str">
        <f t="shared" si="8"/>
        <v>CUNDINAMARCATIBIRITA</v>
      </c>
      <c r="D558" t="s">
        <v>4344</v>
      </c>
      <c r="E558" t="s">
        <v>1824</v>
      </c>
      <c r="F558" t="s">
        <v>1823</v>
      </c>
    </row>
    <row r="559" spans="1:6" hidden="1" x14ac:dyDescent="0.2">
      <c r="A559" t="s">
        <v>1649</v>
      </c>
      <c r="B559" t="s">
        <v>1643</v>
      </c>
      <c r="C559" t="str">
        <f t="shared" si="8"/>
        <v>CUNDINAMARCATOCAIMA</v>
      </c>
      <c r="D559" t="s">
        <v>4344</v>
      </c>
      <c r="E559" t="s">
        <v>4223</v>
      </c>
      <c r="F559" t="s">
        <v>337</v>
      </c>
    </row>
    <row r="560" spans="1:6" hidden="1" x14ac:dyDescent="0.2">
      <c r="A560" t="s">
        <v>1649</v>
      </c>
      <c r="B560" t="s">
        <v>1825</v>
      </c>
      <c r="C560" t="str">
        <f t="shared" si="8"/>
        <v>CUNDINAMARCATOCANCIPA</v>
      </c>
      <c r="D560" t="s">
        <v>4344</v>
      </c>
      <c r="E560" t="s">
        <v>2253</v>
      </c>
      <c r="F560" t="s">
        <v>1826</v>
      </c>
    </row>
    <row r="561" spans="1:6" hidden="1" x14ac:dyDescent="0.2">
      <c r="A561" t="s">
        <v>1649</v>
      </c>
      <c r="B561" t="s">
        <v>1827</v>
      </c>
      <c r="C561" t="str">
        <f t="shared" si="8"/>
        <v>CUNDINAMARCATOPAIPI</v>
      </c>
      <c r="D561" t="s">
        <v>4344</v>
      </c>
      <c r="E561" t="s">
        <v>842</v>
      </c>
      <c r="F561" t="s">
        <v>338</v>
      </c>
    </row>
    <row r="562" spans="1:6" hidden="1" x14ac:dyDescent="0.2">
      <c r="A562" t="s">
        <v>1649</v>
      </c>
      <c r="B562" t="s">
        <v>1363</v>
      </c>
      <c r="C562" t="str">
        <f t="shared" si="8"/>
        <v>CUNDINAMARCAUBALA</v>
      </c>
      <c r="D562" t="s">
        <v>4344</v>
      </c>
      <c r="E562" t="s">
        <v>1829</v>
      </c>
      <c r="F562" t="s">
        <v>1828</v>
      </c>
    </row>
    <row r="563" spans="1:6" hidden="1" x14ac:dyDescent="0.2">
      <c r="A563" t="s">
        <v>1649</v>
      </c>
      <c r="B563" t="s">
        <v>1830</v>
      </c>
      <c r="C563" t="str">
        <f t="shared" si="8"/>
        <v>CUNDINAMARCAUBAQUE</v>
      </c>
      <c r="D563" t="s">
        <v>4344</v>
      </c>
      <c r="E563" t="s">
        <v>4280</v>
      </c>
      <c r="F563" t="s">
        <v>1831</v>
      </c>
    </row>
    <row r="564" spans="1:6" hidden="1" x14ac:dyDescent="0.2">
      <c r="A564" t="s">
        <v>1649</v>
      </c>
      <c r="B564" t="s">
        <v>1832</v>
      </c>
      <c r="C564" t="str">
        <f t="shared" si="8"/>
        <v>CUNDINAMARCAUBATE</v>
      </c>
      <c r="D564" t="s">
        <v>4344</v>
      </c>
      <c r="E564" t="s">
        <v>3324</v>
      </c>
      <c r="F564" t="s">
        <v>1833</v>
      </c>
    </row>
    <row r="565" spans="1:6" hidden="1" x14ac:dyDescent="0.2">
      <c r="A565" t="s">
        <v>1649</v>
      </c>
      <c r="B565" t="s">
        <v>1526</v>
      </c>
      <c r="C565" t="str">
        <f t="shared" si="8"/>
        <v>CUNDINAMARCAUNE</v>
      </c>
      <c r="D565" t="s">
        <v>4344</v>
      </c>
      <c r="E565" t="s">
        <v>3326</v>
      </c>
      <c r="F565" t="s">
        <v>339</v>
      </c>
    </row>
    <row r="566" spans="1:6" hidden="1" x14ac:dyDescent="0.2">
      <c r="A566" t="s">
        <v>1649</v>
      </c>
      <c r="B566" t="s">
        <v>1834</v>
      </c>
      <c r="C566" t="str">
        <f t="shared" si="8"/>
        <v>CUNDINAMARCAUTICA</v>
      </c>
      <c r="D566" t="s">
        <v>4344</v>
      </c>
      <c r="E566" t="s">
        <v>4517</v>
      </c>
      <c r="F566" t="s">
        <v>1835</v>
      </c>
    </row>
    <row r="567" spans="1:6" hidden="1" x14ac:dyDescent="0.2">
      <c r="A567" t="s">
        <v>1649</v>
      </c>
      <c r="B567" t="s">
        <v>1836</v>
      </c>
      <c r="C567" t="str">
        <f t="shared" si="8"/>
        <v>CUNDINAMARCAVERGARA</v>
      </c>
      <c r="D567" t="s">
        <v>4344</v>
      </c>
      <c r="E567" t="s">
        <v>3471</v>
      </c>
      <c r="F567" t="s">
        <v>340</v>
      </c>
    </row>
    <row r="568" spans="1:6" hidden="1" x14ac:dyDescent="0.2">
      <c r="A568" t="s">
        <v>1649</v>
      </c>
      <c r="B568" t="s">
        <v>1419</v>
      </c>
      <c r="C568" t="str">
        <f t="shared" si="8"/>
        <v>CUNDINAMARCAVIANI</v>
      </c>
      <c r="D568" t="s">
        <v>4344</v>
      </c>
      <c r="E568" t="s">
        <v>843</v>
      </c>
      <c r="F568" t="s">
        <v>1837</v>
      </c>
    </row>
    <row r="569" spans="1:6" hidden="1" x14ac:dyDescent="0.2">
      <c r="A569" t="s">
        <v>1649</v>
      </c>
      <c r="B569" t="s">
        <v>1838</v>
      </c>
      <c r="C569" t="str">
        <f t="shared" si="8"/>
        <v>CUNDINAMARCAVILLAGOMEZ</v>
      </c>
      <c r="D569" t="s">
        <v>4344</v>
      </c>
      <c r="E569" t="s">
        <v>1840</v>
      </c>
      <c r="F569" t="s">
        <v>1839</v>
      </c>
    </row>
    <row r="570" spans="1:6" hidden="1" x14ac:dyDescent="0.2">
      <c r="A570" t="s">
        <v>1649</v>
      </c>
      <c r="B570" t="s">
        <v>4096</v>
      </c>
      <c r="C570" t="str">
        <f t="shared" si="8"/>
        <v>CUNDINAMARCAVILLAPINZON</v>
      </c>
      <c r="D570" t="s">
        <v>4344</v>
      </c>
      <c r="E570" t="s">
        <v>4518</v>
      </c>
      <c r="F570" t="s">
        <v>1841</v>
      </c>
    </row>
    <row r="571" spans="1:6" hidden="1" x14ac:dyDescent="0.2">
      <c r="A571" t="s">
        <v>1649</v>
      </c>
      <c r="B571" t="s">
        <v>1842</v>
      </c>
      <c r="C571" t="str">
        <f t="shared" si="8"/>
        <v>CUNDINAMARCAVILLETA</v>
      </c>
      <c r="D571" t="s">
        <v>4344</v>
      </c>
      <c r="E571" t="s">
        <v>3472</v>
      </c>
      <c r="F571" t="s">
        <v>341</v>
      </c>
    </row>
    <row r="572" spans="1:6" hidden="1" x14ac:dyDescent="0.2">
      <c r="A572" t="s">
        <v>1649</v>
      </c>
      <c r="B572" t="s">
        <v>1843</v>
      </c>
      <c r="C572" t="str">
        <f t="shared" si="8"/>
        <v>CUNDINAMARCAVIOTA</v>
      </c>
      <c r="D572" t="s">
        <v>4344</v>
      </c>
      <c r="E572" t="s">
        <v>3473</v>
      </c>
      <c r="F572" t="s">
        <v>342</v>
      </c>
    </row>
    <row r="573" spans="1:6" hidden="1" x14ac:dyDescent="0.2">
      <c r="A573" t="s">
        <v>1649</v>
      </c>
      <c r="B573" t="s">
        <v>4098</v>
      </c>
      <c r="C573" t="str">
        <f t="shared" si="8"/>
        <v>CUNDINAMARCAYACOPI</v>
      </c>
      <c r="D573" t="s">
        <v>4344</v>
      </c>
      <c r="E573" t="s">
        <v>3474</v>
      </c>
      <c r="F573" t="s">
        <v>1844</v>
      </c>
    </row>
    <row r="574" spans="1:6" hidden="1" x14ac:dyDescent="0.2">
      <c r="A574" t="s">
        <v>1649</v>
      </c>
      <c r="B574" t="s">
        <v>1845</v>
      </c>
      <c r="C574" t="str">
        <f t="shared" si="8"/>
        <v>CUNDINAMARCAZIPACON</v>
      </c>
      <c r="D574" t="s">
        <v>4344</v>
      </c>
      <c r="E574" t="s">
        <v>1847</v>
      </c>
      <c r="F574" t="s">
        <v>1846</v>
      </c>
    </row>
    <row r="575" spans="1:6" hidden="1" x14ac:dyDescent="0.2">
      <c r="A575" t="s">
        <v>1649</v>
      </c>
      <c r="B575" t="s">
        <v>1848</v>
      </c>
      <c r="C575" t="str">
        <f t="shared" si="8"/>
        <v>CUNDINAMARCAZIPAQUIRA</v>
      </c>
      <c r="D575" t="s">
        <v>4344</v>
      </c>
      <c r="E575" t="s">
        <v>3475</v>
      </c>
      <c r="F575" t="s">
        <v>1849</v>
      </c>
    </row>
    <row r="576" spans="1:6" hidden="1" x14ac:dyDescent="0.2">
      <c r="A576" t="s">
        <v>1850</v>
      </c>
      <c r="B576" t="s">
        <v>3785</v>
      </c>
      <c r="C576" t="str">
        <f>D576&amp;E576</f>
        <v>ChocoQUIBDO</v>
      </c>
      <c r="D576" t="s">
        <v>1851</v>
      </c>
      <c r="E576" t="s">
        <v>2205</v>
      </c>
      <c r="F576" t="s">
        <v>343</v>
      </c>
    </row>
    <row r="577" spans="1:6" hidden="1" x14ac:dyDescent="0.2">
      <c r="A577" t="s">
        <v>1850</v>
      </c>
      <c r="B577" t="s">
        <v>2475</v>
      </c>
      <c r="C577" t="str">
        <f t="shared" si="8"/>
        <v>ChocoACANDI</v>
      </c>
      <c r="D577" t="s">
        <v>1851</v>
      </c>
      <c r="E577" t="s">
        <v>856</v>
      </c>
      <c r="F577" t="s">
        <v>1852</v>
      </c>
    </row>
    <row r="578" spans="1:6" hidden="1" x14ac:dyDescent="0.2">
      <c r="A578" t="s">
        <v>1850</v>
      </c>
      <c r="B578" t="s">
        <v>1853</v>
      </c>
      <c r="C578" t="str">
        <f t="shared" si="8"/>
        <v>ChocoALTO BAUDO</v>
      </c>
      <c r="D578" t="s">
        <v>1851</v>
      </c>
      <c r="E578" t="s">
        <v>4359</v>
      </c>
      <c r="F578" t="s">
        <v>1854</v>
      </c>
    </row>
    <row r="579" spans="1:6" hidden="1" x14ac:dyDescent="0.2">
      <c r="A579" t="s">
        <v>1850</v>
      </c>
      <c r="B579" t="s">
        <v>1381</v>
      </c>
      <c r="C579" t="str">
        <f t="shared" ref="C579:C642" si="9">D579&amp;E579</f>
        <v>ChocoATRATO</v>
      </c>
      <c r="D579" t="s">
        <v>1851</v>
      </c>
      <c r="E579" t="s">
        <v>3466</v>
      </c>
      <c r="F579" t="s">
        <v>1855</v>
      </c>
    </row>
    <row r="580" spans="1:6" hidden="1" x14ac:dyDescent="0.2">
      <c r="A580" t="s">
        <v>1850</v>
      </c>
      <c r="B580" t="s">
        <v>1856</v>
      </c>
      <c r="C580" t="str">
        <f t="shared" si="9"/>
        <v>ChocoBAGADO</v>
      </c>
      <c r="D580" t="s">
        <v>1851</v>
      </c>
      <c r="E580" t="s">
        <v>3318</v>
      </c>
      <c r="F580" t="s">
        <v>1857</v>
      </c>
    </row>
    <row r="581" spans="1:6" hidden="1" x14ac:dyDescent="0.2">
      <c r="A581" t="s">
        <v>1850</v>
      </c>
      <c r="B581" t="s">
        <v>1465</v>
      </c>
      <c r="C581" t="str">
        <f t="shared" si="9"/>
        <v>ChocoBAHIA SOLANO</v>
      </c>
      <c r="D581" t="s">
        <v>1851</v>
      </c>
      <c r="E581" t="s">
        <v>1859</v>
      </c>
      <c r="F581" t="s">
        <v>1858</v>
      </c>
    </row>
    <row r="582" spans="1:6" hidden="1" x14ac:dyDescent="0.2">
      <c r="A582" t="s">
        <v>1850</v>
      </c>
      <c r="B582" t="s">
        <v>1860</v>
      </c>
      <c r="C582" t="str">
        <f t="shared" si="9"/>
        <v>ChocoBAJO BAUDO</v>
      </c>
      <c r="D582" t="s">
        <v>1851</v>
      </c>
      <c r="E582" t="s">
        <v>1862</v>
      </c>
      <c r="F582" t="s">
        <v>1861</v>
      </c>
    </row>
    <row r="583" spans="1:6" hidden="1" x14ac:dyDescent="0.2">
      <c r="A583" t="s">
        <v>1850</v>
      </c>
      <c r="B583" t="s">
        <v>3829</v>
      </c>
      <c r="C583" t="str">
        <f t="shared" si="9"/>
        <v>ChocoBELEN DE BAJIRA</v>
      </c>
      <c r="D583" t="s">
        <v>1851</v>
      </c>
      <c r="E583" t="s">
        <v>1864</v>
      </c>
      <c r="F583" t="s">
        <v>1863</v>
      </c>
    </row>
    <row r="584" spans="1:6" hidden="1" x14ac:dyDescent="0.2">
      <c r="A584" t="s">
        <v>1850</v>
      </c>
      <c r="B584" t="s">
        <v>1659</v>
      </c>
      <c r="C584" t="str">
        <f t="shared" si="9"/>
        <v>ChocoBOJAYA</v>
      </c>
      <c r="D584" t="s">
        <v>1851</v>
      </c>
      <c r="E584" t="s">
        <v>1866</v>
      </c>
      <c r="F584" t="s">
        <v>1865</v>
      </c>
    </row>
    <row r="585" spans="1:6" hidden="1" x14ac:dyDescent="0.2">
      <c r="A585" t="s">
        <v>1850</v>
      </c>
      <c r="B585" t="s">
        <v>2605</v>
      </c>
      <c r="C585" t="str">
        <f t="shared" si="9"/>
        <v>ChocoCANTON DE SAN PABLO</v>
      </c>
      <c r="D585" t="s">
        <v>1851</v>
      </c>
      <c r="E585" s="140" t="s">
        <v>1985</v>
      </c>
      <c r="F585" t="s">
        <v>1867</v>
      </c>
    </row>
    <row r="586" spans="1:6" hidden="1" x14ac:dyDescent="0.2">
      <c r="A586" t="s">
        <v>1850</v>
      </c>
      <c r="B586" t="s">
        <v>3871</v>
      </c>
      <c r="C586" t="str">
        <f t="shared" si="9"/>
        <v>ChocoCARMEN DEL DARIEN</v>
      </c>
      <c r="D586" t="s">
        <v>1851</v>
      </c>
      <c r="E586" t="s">
        <v>1869</v>
      </c>
      <c r="F586" t="s">
        <v>1868</v>
      </c>
    </row>
    <row r="587" spans="1:6" hidden="1" x14ac:dyDescent="0.2">
      <c r="A587" t="s">
        <v>1850</v>
      </c>
      <c r="B587" t="s">
        <v>2491</v>
      </c>
      <c r="C587" t="str">
        <f t="shared" si="9"/>
        <v>ChocoCERTEGUI</v>
      </c>
      <c r="D587" t="s">
        <v>1851</v>
      </c>
      <c r="E587" t="s">
        <v>1871</v>
      </c>
      <c r="F587" t="s">
        <v>1870</v>
      </c>
    </row>
    <row r="588" spans="1:6" hidden="1" x14ac:dyDescent="0.2">
      <c r="A588" t="s">
        <v>1850</v>
      </c>
      <c r="B588" t="s">
        <v>1432</v>
      </c>
      <c r="C588" t="str">
        <f t="shared" si="9"/>
        <v>ChocoCONDOTO</v>
      </c>
      <c r="D588" t="s">
        <v>1851</v>
      </c>
      <c r="E588" t="s">
        <v>4519</v>
      </c>
      <c r="F588" t="s">
        <v>1872</v>
      </c>
    </row>
    <row r="589" spans="1:6" hidden="1" x14ac:dyDescent="0.2">
      <c r="A589" t="s">
        <v>1850</v>
      </c>
      <c r="B589" t="s">
        <v>1681</v>
      </c>
      <c r="C589" t="str">
        <f t="shared" si="9"/>
        <v>ChocoEL CARMEN DE ATRATO</v>
      </c>
      <c r="D589" t="s">
        <v>1851</v>
      </c>
      <c r="E589" t="s">
        <v>1874</v>
      </c>
      <c r="F589" t="s">
        <v>1873</v>
      </c>
    </row>
    <row r="590" spans="1:6" hidden="1" x14ac:dyDescent="0.2">
      <c r="A590" t="s">
        <v>1850</v>
      </c>
      <c r="B590" t="s">
        <v>3903</v>
      </c>
      <c r="C590" t="str">
        <f t="shared" si="9"/>
        <v>ChocoEL LITORAL DEL SAN JUAN</v>
      </c>
      <c r="D590" t="s">
        <v>1851</v>
      </c>
      <c r="E590" t="s">
        <v>1876</v>
      </c>
      <c r="F590" t="s">
        <v>1875</v>
      </c>
    </row>
    <row r="591" spans="1:6" hidden="1" x14ac:dyDescent="0.2">
      <c r="A591" t="s">
        <v>1850</v>
      </c>
      <c r="B591" t="s">
        <v>3941</v>
      </c>
      <c r="C591" t="str">
        <f t="shared" si="9"/>
        <v>ChocoISTMINA</v>
      </c>
      <c r="D591" t="s">
        <v>1851</v>
      </c>
      <c r="E591" t="s">
        <v>4520</v>
      </c>
      <c r="F591" t="s">
        <v>1877</v>
      </c>
    </row>
    <row r="592" spans="1:6" hidden="1" x14ac:dyDescent="0.2">
      <c r="A592" t="s">
        <v>1850</v>
      </c>
      <c r="B592" t="s">
        <v>2422</v>
      </c>
      <c r="C592" t="str">
        <f t="shared" si="9"/>
        <v>ChocoJURADO</v>
      </c>
      <c r="D592" t="s">
        <v>1851</v>
      </c>
      <c r="E592" t="s">
        <v>1879</v>
      </c>
      <c r="F592" t="s">
        <v>1878</v>
      </c>
    </row>
    <row r="593" spans="1:6" hidden="1" x14ac:dyDescent="0.2">
      <c r="A593" t="s">
        <v>1850</v>
      </c>
      <c r="B593" t="s">
        <v>1880</v>
      </c>
      <c r="C593" t="str">
        <f t="shared" si="9"/>
        <v>ChocoLLORO</v>
      </c>
      <c r="D593" t="s">
        <v>1851</v>
      </c>
      <c r="E593" t="s">
        <v>3365</v>
      </c>
      <c r="F593" t="s">
        <v>344</v>
      </c>
    </row>
    <row r="594" spans="1:6" hidden="1" x14ac:dyDescent="0.2">
      <c r="A594" t="s">
        <v>1850</v>
      </c>
      <c r="B594" t="s">
        <v>3961</v>
      </c>
      <c r="C594" t="str">
        <f t="shared" si="9"/>
        <v>ChocoMEDIO ATRATO</v>
      </c>
      <c r="D594" t="s">
        <v>1851</v>
      </c>
      <c r="E594" t="s">
        <v>1882</v>
      </c>
      <c r="F594" t="s">
        <v>1881</v>
      </c>
    </row>
    <row r="595" spans="1:6" hidden="1" x14ac:dyDescent="0.2">
      <c r="A595" t="s">
        <v>1850</v>
      </c>
      <c r="B595" t="s">
        <v>2509</v>
      </c>
      <c r="C595" t="str">
        <f t="shared" si="9"/>
        <v>ChocoMEDIO BAUDO</v>
      </c>
      <c r="D595" t="s">
        <v>1851</v>
      </c>
      <c r="E595" t="s">
        <v>1884</v>
      </c>
      <c r="F595" t="s">
        <v>1883</v>
      </c>
    </row>
    <row r="596" spans="1:6" hidden="1" x14ac:dyDescent="0.2">
      <c r="A596" t="s">
        <v>1850</v>
      </c>
      <c r="B596" t="s">
        <v>1488</v>
      </c>
      <c r="C596" t="str">
        <f t="shared" si="9"/>
        <v>ChocoMEDIO SAN JUAN</v>
      </c>
      <c r="D596" t="s">
        <v>1851</v>
      </c>
      <c r="E596" t="s">
        <v>1886</v>
      </c>
      <c r="F596" t="s">
        <v>1885</v>
      </c>
    </row>
    <row r="597" spans="1:6" hidden="1" x14ac:dyDescent="0.2">
      <c r="A597" t="s">
        <v>1850</v>
      </c>
      <c r="B597" t="s">
        <v>1220</v>
      </c>
      <c r="C597" t="str">
        <f t="shared" si="9"/>
        <v>ChocoNOVITA</v>
      </c>
      <c r="D597" t="s">
        <v>1851</v>
      </c>
      <c r="E597" t="s">
        <v>3465</v>
      </c>
      <c r="F597" t="s">
        <v>1887</v>
      </c>
    </row>
    <row r="598" spans="1:6" hidden="1" x14ac:dyDescent="0.2">
      <c r="A598" t="s">
        <v>1850</v>
      </c>
      <c r="B598" t="s">
        <v>3981</v>
      </c>
      <c r="C598" t="str">
        <f t="shared" si="9"/>
        <v>ChocoNUQUI</v>
      </c>
      <c r="D598" t="s">
        <v>1851</v>
      </c>
      <c r="E598" t="s">
        <v>1889</v>
      </c>
      <c r="F598" t="s">
        <v>1888</v>
      </c>
    </row>
    <row r="599" spans="1:6" hidden="1" x14ac:dyDescent="0.2">
      <c r="A599" t="s">
        <v>1850</v>
      </c>
      <c r="B599" t="s">
        <v>2524</v>
      </c>
      <c r="C599" t="str">
        <f t="shared" si="9"/>
        <v>ChocoRIO IRO</v>
      </c>
      <c r="D599" t="s">
        <v>1851</v>
      </c>
      <c r="E599" t="s">
        <v>1891</v>
      </c>
      <c r="F599" t="s">
        <v>1890</v>
      </c>
    </row>
    <row r="600" spans="1:6" hidden="1" x14ac:dyDescent="0.2">
      <c r="A600" t="s">
        <v>1850</v>
      </c>
      <c r="B600" t="s">
        <v>2526</v>
      </c>
      <c r="C600" t="str">
        <f t="shared" si="9"/>
        <v>ChocoRIO QUITO</v>
      </c>
      <c r="D600" t="s">
        <v>1851</v>
      </c>
      <c r="E600" t="s">
        <v>1893</v>
      </c>
      <c r="F600" t="s">
        <v>1892</v>
      </c>
    </row>
    <row r="601" spans="1:6" hidden="1" x14ac:dyDescent="0.2">
      <c r="A601" t="s">
        <v>1850</v>
      </c>
      <c r="B601" t="s">
        <v>4007</v>
      </c>
      <c r="C601" t="str">
        <f t="shared" si="9"/>
        <v>ChocoRIOSUCIO</v>
      </c>
      <c r="D601" t="s">
        <v>1851</v>
      </c>
      <c r="E601" t="s">
        <v>3381</v>
      </c>
      <c r="F601" t="s">
        <v>1894</v>
      </c>
    </row>
    <row r="602" spans="1:6" hidden="1" x14ac:dyDescent="0.2">
      <c r="A602" t="s">
        <v>1850</v>
      </c>
      <c r="B602" t="s">
        <v>4032</v>
      </c>
      <c r="C602" t="str">
        <f t="shared" si="9"/>
        <v>ChocoSAN JOSE DEL PALMAR</v>
      </c>
      <c r="D602" t="s">
        <v>1851</v>
      </c>
      <c r="E602" t="s">
        <v>4241</v>
      </c>
      <c r="F602" t="s">
        <v>1895</v>
      </c>
    </row>
    <row r="603" spans="1:6" hidden="1" x14ac:dyDescent="0.2">
      <c r="A603" t="s">
        <v>1850</v>
      </c>
      <c r="B603" t="s">
        <v>1798</v>
      </c>
      <c r="C603" t="str">
        <f t="shared" si="9"/>
        <v>ChocoSIPI</v>
      </c>
      <c r="D603" t="s">
        <v>1851</v>
      </c>
      <c r="E603" t="s">
        <v>194</v>
      </c>
      <c r="F603" t="s">
        <v>1896</v>
      </c>
    </row>
    <row r="604" spans="1:6" hidden="1" x14ac:dyDescent="0.2">
      <c r="A604" t="s">
        <v>1850</v>
      </c>
      <c r="B604" t="s">
        <v>1581</v>
      </c>
      <c r="C604" t="str">
        <f t="shared" si="9"/>
        <v>ChocoTADO</v>
      </c>
      <c r="D604" t="s">
        <v>1851</v>
      </c>
      <c r="E604" t="s">
        <v>4258</v>
      </c>
      <c r="F604" t="s">
        <v>195</v>
      </c>
    </row>
    <row r="605" spans="1:6" hidden="1" x14ac:dyDescent="0.2">
      <c r="A605" t="s">
        <v>1850</v>
      </c>
      <c r="B605" t="s">
        <v>196</v>
      </c>
      <c r="C605" t="str">
        <f t="shared" si="9"/>
        <v>ChocoUNGUIA</v>
      </c>
      <c r="D605" t="s">
        <v>1851</v>
      </c>
      <c r="E605" t="s">
        <v>198</v>
      </c>
      <c r="F605" t="s">
        <v>197</v>
      </c>
    </row>
    <row r="606" spans="1:6" hidden="1" x14ac:dyDescent="0.2">
      <c r="A606" t="s">
        <v>1850</v>
      </c>
      <c r="B606" t="s">
        <v>2561</v>
      </c>
      <c r="C606" t="str">
        <f t="shared" si="9"/>
        <v>ChocoUNION PANAMERICANA</v>
      </c>
      <c r="D606" t="s">
        <v>1851</v>
      </c>
      <c r="E606" t="s">
        <v>200</v>
      </c>
      <c r="F606" t="s">
        <v>199</v>
      </c>
    </row>
    <row r="607" spans="1:6" hidden="1" x14ac:dyDescent="0.2">
      <c r="A607" t="s">
        <v>201</v>
      </c>
      <c r="B607" t="s">
        <v>3785</v>
      </c>
      <c r="C607" t="str">
        <f t="shared" si="9"/>
        <v>HUILANEIVA</v>
      </c>
      <c r="D607" t="s">
        <v>4219</v>
      </c>
      <c r="E607" t="s">
        <v>3503</v>
      </c>
      <c r="F607" t="s">
        <v>345</v>
      </c>
    </row>
    <row r="608" spans="1:6" hidden="1" x14ac:dyDescent="0.2">
      <c r="A608" t="s">
        <v>201</v>
      </c>
      <c r="B608" t="s">
        <v>2475</v>
      </c>
      <c r="C608" t="str">
        <f t="shared" si="9"/>
        <v>HUILAACEVEDO</v>
      </c>
      <c r="D608" t="s">
        <v>4219</v>
      </c>
      <c r="E608" t="s">
        <v>796</v>
      </c>
      <c r="F608" t="s">
        <v>202</v>
      </c>
    </row>
    <row r="609" spans="1:6" hidden="1" x14ac:dyDescent="0.2">
      <c r="A609" t="s">
        <v>201</v>
      </c>
      <c r="B609" t="s">
        <v>1378</v>
      </c>
      <c r="C609" t="str">
        <f t="shared" si="9"/>
        <v>HUILAAGRADO</v>
      </c>
      <c r="D609" t="s">
        <v>4219</v>
      </c>
      <c r="E609" t="s">
        <v>64</v>
      </c>
      <c r="F609" t="s">
        <v>203</v>
      </c>
    </row>
    <row r="610" spans="1:6" hidden="1" x14ac:dyDescent="0.2">
      <c r="A610" t="s">
        <v>201</v>
      </c>
      <c r="B610" t="s">
        <v>204</v>
      </c>
      <c r="C610" t="str">
        <f t="shared" si="9"/>
        <v>HUILAAIPE</v>
      </c>
      <c r="D610" t="s">
        <v>4219</v>
      </c>
      <c r="E610" t="s">
        <v>3467</v>
      </c>
      <c r="F610" t="s">
        <v>346</v>
      </c>
    </row>
    <row r="611" spans="1:6" hidden="1" x14ac:dyDescent="0.2">
      <c r="A611" t="s">
        <v>201</v>
      </c>
      <c r="B611" t="s">
        <v>205</v>
      </c>
      <c r="C611" t="str">
        <f t="shared" si="9"/>
        <v>HUILAALGECIRAS</v>
      </c>
      <c r="D611" t="s">
        <v>4219</v>
      </c>
      <c r="E611" t="s">
        <v>3396</v>
      </c>
      <c r="F611" t="s">
        <v>347</v>
      </c>
    </row>
    <row r="612" spans="1:6" hidden="1" x14ac:dyDescent="0.2">
      <c r="A612" t="s">
        <v>201</v>
      </c>
      <c r="B612" t="s">
        <v>206</v>
      </c>
      <c r="C612" t="str">
        <f t="shared" si="9"/>
        <v>HUILAALTAMIRA</v>
      </c>
      <c r="D612" t="s">
        <v>4219</v>
      </c>
      <c r="E612" t="s">
        <v>65</v>
      </c>
      <c r="F612" t="s">
        <v>348</v>
      </c>
    </row>
    <row r="613" spans="1:6" hidden="1" x14ac:dyDescent="0.2">
      <c r="A613" t="s">
        <v>201</v>
      </c>
      <c r="B613" t="s">
        <v>4115</v>
      </c>
      <c r="C613" t="str">
        <f t="shared" si="9"/>
        <v>HUILABARAYA</v>
      </c>
      <c r="D613" t="s">
        <v>4219</v>
      </c>
      <c r="E613" t="s">
        <v>3495</v>
      </c>
      <c r="F613" t="s">
        <v>349</v>
      </c>
    </row>
    <row r="614" spans="1:6" hidden="1" x14ac:dyDescent="0.2">
      <c r="A614" t="s">
        <v>201</v>
      </c>
      <c r="B614" t="s">
        <v>207</v>
      </c>
      <c r="C614" t="str">
        <f t="shared" si="9"/>
        <v>HUILACAMPOALEGRE</v>
      </c>
      <c r="D614" t="s">
        <v>4219</v>
      </c>
      <c r="E614" t="s">
        <v>4521</v>
      </c>
      <c r="F614" t="s">
        <v>350</v>
      </c>
    </row>
    <row r="615" spans="1:6" hidden="1" x14ac:dyDescent="0.2">
      <c r="A615" t="s">
        <v>201</v>
      </c>
      <c r="B615" t="s">
        <v>3886</v>
      </c>
      <c r="C615" t="str">
        <f t="shared" si="9"/>
        <v>HUILACOLOMBIA</v>
      </c>
      <c r="D615" t="s">
        <v>4219</v>
      </c>
      <c r="E615" t="s">
        <v>209</v>
      </c>
      <c r="F615" t="s">
        <v>208</v>
      </c>
    </row>
    <row r="616" spans="1:6" hidden="1" x14ac:dyDescent="0.2">
      <c r="A616" t="s">
        <v>201</v>
      </c>
      <c r="B616" t="s">
        <v>2499</v>
      </c>
      <c r="C616" t="str">
        <f t="shared" si="9"/>
        <v>HUILAELIAS</v>
      </c>
      <c r="D616" t="s">
        <v>4219</v>
      </c>
      <c r="E616" t="s">
        <v>211</v>
      </c>
      <c r="F616" t="s">
        <v>210</v>
      </c>
    </row>
    <row r="617" spans="1:6" hidden="1" x14ac:dyDescent="0.2">
      <c r="A617" t="s">
        <v>201</v>
      </c>
      <c r="B617" t="s">
        <v>212</v>
      </c>
      <c r="C617" t="str">
        <f t="shared" si="9"/>
        <v>HUILAGARZON</v>
      </c>
      <c r="D617" t="s">
        <v>4219</v>
      </c>
      <c r="E617" t="s">
        <v>956</v>
      </c>
      <c r="F617" t="s">
        <v>351</v>
      </c>
    </row>
    <row r="618" spans="1:6" hidden="1" x14ac:dyDescent="0.2">
      <c r="A618" t="s">
        <v>201</v>
      </c>
      <c r="B618" t="s">
        <v>3916</v>
      </c>
      <c r="C618" t="str">
        <f t="shared" si="9"/>
        <v>HUILAGIGANTE</v>
      </c>
      <c r="D618" t="s">
        <v>4219</v>
      </c>
      <c r="E618" t="s">
        <v>2278</v>
      </c>
      <c r="F618" t="s">
        <v>352</v>
      </c>
    </row>
    <row r="619" spans="1:6" hidden="1" x14ac:dyDescent="0.2">
      <c r="A619" t="s">
        <v>201</v>
      </c>
      <c r="B619" t="s">
        <v>213</v>
      </c>
      <c r="C619" t="str">
        <f t="shared" si="9"/>
        <v>HUILAGUADALUPE</v>
      </c>
      <c r="D619" t="s">
        <v>4219</v>
      </c>
      <c r="E619" t="s">
        <v>3322</v>
      </c>
      <c r="F619" t="s">
        <v>353</v>
      </c>
    </row>
    <row r="620" spans="1:6" hidden="1" x14ac:dyDescent="0.2">
      <c r="A620" t="s">
        <v>201</v>
      </c>
      <c r="B620" t="s">
        <v>214</v>
      </c>
      <c r="C620" t="str">
        <f t="shared" si="9"/>
        <v>HUILAHOBO</v>
      </c>
      <c r="D620" t="s">
        <v>4219</v>
      </c>
      <c r="E620" t="s">
        <v>3351</v>
      </c>
      <c r="F620" t="s">
        <v>215</v>
      </c>
    </row>
    <row r="621" spans="1:6" hidden="1" x14ac:dyDescent="0.2">
      <c r="A621" t="s">
        <v>201</v>
      </c>
      <c r="B621" t="s">
        <v>216</v>
      </c>
      <c r="C621" t="str">
        <f t="shared" si="9"/>
        <v>HUILAIQUIRA</v>
      </c>
      <c r="D621" t="s">
        <v>4219</v>
      </c>
      <c r="E621" t="s">
        <v>3353</v>
      </c>
      <c r="F621" t="s">
        <v>354</v>
      </c>
    </row>
    <row r="622" spans="1:6" hidden="1" x14ac:dyDescent="0.2">
      <c r="A622" t="s">
        <v>201</v>
      </c>
      <c r="B622" t="s">
        <v>217</v>
      </c>
      <c r="C622" t="str">
        <f t="shared" si="9"/>
        <v>HUILAISNOS</v>
      </c>
      <c r="D622" t="s">
        <v>4219</v>
      </c>
      <c r="E622" t="s">
        <v>4383</v>
      </c>
      <c r="F622" t="s">
        <v>218</v>
      </c>
    </row>
    <row r="623" spans="1:6" hidden="1" x14ac:dyDescent="0.2">
      <c r="A623" t="s">
        <v>201</v>
      </c>
      <c r="B623" t="s">
        <v>219</v>
      </c>
      <c r="C623" t="str">
        <f t="shared" si="9"/>
        <v>HUILALA ARGENTINA</v>
      </c>
      <c r="D623" t="s">
        <v>4219</v>
      </c>
      <c r="E623" t="s">
        <v>2246</v>
      </c>
      <c r="F623" t="s">
        <v>355</v>
      </c>
    </row>
    <row r="624" spans="1:6" hidden="1" x14ac:dyDescent="0.2">
      <c r="A624" t="s">
        <v>201</v>
      </c>
      <c r="B624" t="s">
        <v>220</v>
      </c>
      <c r="C624" t="str">
        <f t="shared" si="9"/>
        <v>HUILALA PLATA</v>
      </c>
      <c r="D624" t="s">
        <v>4219</v>
      </c>
      <c r="E624" t="s">
        <v>4255</v>
      </c>
      <c r="F624" t="s">
        <v>221</v>
      </c>
    </row>
    <row r="625" spans="1:6" hidden="1" x14ac:dyDescent="0.2">
      <c r="A625" t="s">
        <v>201</v>
      </c>
      <c r="B625" t="s">
        <v>3976</v>
      </c>
      <c r="C625" t="str">
        <f t="shared" si="9"/>
        <v>HUILANATAGA</v>
      </c>
      <c r="D625" t="s">
        <v>4219</v>
      </c>
      <c r="E625" t="s">
        <v>4220</v>
      </c>
      <c r="F625" t="s">
        <v>222</v>
      </c>
    </row>
    <row r="626" spans="1:6" hidden="1" x14ac:dyDescent="0.2">
      <c r="A626" t="s">
        <v>201</v>
      </c>
      <c r="B626" t="s">
        <v>223</v>
      </c>
      <c r="C626" t="str">
        <f t="shared" si="9"/>
        <v>HUILAOPORAPA</v>
      </c>
      <c r="D626" t="s">
        <v>4219</v>
      </c>
      <c r="E626" t="s">
        <v>66</v>
      </c>
      <c r="F626" t="s">
        <v>3594</v>
      </c>
    </row>
    <row r="627" spans="1:6" hidden="1" x14ac:dyDescent="0.2">
      <c r="A627" t="s">
        <v>201</v>
      </c>
      <c r="B627" t="s">
        <v>1239</v>
      </c>
      <c r="C627" t="str">
        <f t="shared" si="9"/>
        <v>HUILAPAICOL</v>
      </c>
      <c r="D627" t="s">
        <v>4219</v>
      </c>
      <c r="E627" t="s">
        <v>3496</v>
      </c>
      <c r="F627" t="s">
        <v>3595</v>
      </c>
    </row>
    <row r="628" spans="1:6" hidden="1" x14ac:dyDescent="0.2">
      <c r="A628" t="s">
        <v>201</v>
      </c>
      <c r="B628" t="s">
        <v>1402</v>
      </c>
      <c r="C628" t="str">
        <f t="shared" si="9"/>
        <v>HUILAPALERMO</v>
      </c>
      <c r="D628" t="s">
        <v>4219</v>
      </c>
      <c r="E628" t="s">
        <v>63</v>
      </c>
      <c r="F628" t="s">
        <v>685</v>
      </c>
    </row>
    <row r="629" spans="1:6" hidden="1" x14ac:dyDescent="0.2">
      <c r="A629" t="s">
        <v>201</v>
      </c>
      <c r="B629" t="s">
        <v>1769</v>
      </c>
      <c r="C629" t="str">
        <f t="shared" si="9"/>
        <v>HUILAPALESTINA</v>
      </c>
      <c r="D629" t="s">
        <v>4219</v>
      </c>
      <c r="E629" t="s">
        <v>3383</v>
      </c>
      <c r="F629" t="s">
        <v>3596</v>
      </c>
    </row>
    <row r="630" spans="1:6" hidden="1" x14ac:dyDescent="0.2">
      <c r="A630" t="s">
        <v>201</v>
      </c>
      <c r="B630" t="s">
        <v>1499</v>
      </c>
      <c r="C630" t="str">
        <f t="shared" si="9"/>
        <v>HUILAPITAL</v>
      </c>
      <c r="D630" t="s">
        <v>4219</v>
      </c>
      <c r="E630" t="s">
        <v>687</v>
      </c>
      <c r="F630" t="s">
        <v>686</v>
      </c>
    </row>
    <row r="631" spans="1:6" hidden="1" x14ac:dyDescent="0.2">
      <c r="A631" t="s">
        <v>201</v>
      </c>
      <c r="B631" t="s">
        <v>688</v>
      </c>
      <c r="C631" t="str">
        <f t="shared" si="9"/>
        <v>HUILAPITALITO</v>
      </c>
      <c r="D631" t="s">
        <v>4219</v>
      </c>
      <c r="E631" t="s">
        <v>2232</v>
      </c>
      <c r="F631" t="s">
        <v>3597</v>
      </c>
    </row>
    <row r="632" spans="1:6" hidden="1" x14ac:dyDescent="0.2">
      <c r="A632" t="s">
        <v>201</v>
      </c>
      <c r="B632" t="s">
        <v>4007</v>
      </c>
      <c r="C632" t="str">
        <f t="shared" si="9"/>
        <v>HUILARIVERA</v>
      </c>
      <c r="D632" t="s">
        <v>4219</v>
      </c>
      <c r="E632" t="s">
        <v>3376</v>
      </c>
      <c r="F632" t="s">
        <v>3598</v>
      </c>
    </row>
    <row r="633" spans="1:6" hidden="1" x14ac:dyDescent="0.2">
      <c r="A633" t="s">
        <v>201</v>
      </c>
      <c r="B633" t="s">
        <v>4032</v>
      </c>
      <c r="C633" t="str">
        <f t="shared" si="9"/>
        <v>HUILASALADOBLANCO</v>
      </c>
      <c r="D633" t="s">
        <v>4219</v>
      </c>
      <c r="E633" t="s">
        <v>795</v>
      </c>
      <c r="F633" t="s">
        <v>689</v>
      </c>
    </row>
    <row r="634" spans="1:6" hidden="1" x14ac:dyDescent="0.2">
      <c r="A634" t="s">
        <v>201</v>
      </c>
      <c r="B634" t="s">
        <v>690</v>
      </c>
      <c r="C634" t="str">
        <f t="shared" si="9"/>
        <v>HUILASAN AGUSTIN</v>
      </c>
      <c r="D634" t="s">
        <v>4219</v>
      </c>
      <c r="E634" t="s">
        <v>692</v>
      </c>
      <c r="F634" t="s">
        <v>691</v>
      </c>
    </row>
    <row r="635" spans="1:6" hidden="1" x14ac:dyDescent="0.2">
      <c r="A635" t="s">
        <v>201</v>
      </c>
      <c r="B635" t="s">
        <v>1281</v>
      </c>
      <c r="C635" t="str">
        <f t="shared" si="9"/>
        <v>HUILASANTA MARIA</v>
      </c>
      <c r="D635" t="s">
        <v>4219</v>
      </c>
      <c r="E635" t="s">
        <v>3356</v>
      </c>
      <c r="F635" t="s">
        <v>693</v>
      </c>
    </row>
    <row r="636" spans="1:6" hidden="1" x14ac:dyDescent="0.2">
      <c r="A636" t="s">
        <v>201</v>
      </c>
      <c r="B636" t="s">
        <v>2462</v>
      </c>
      <c r="C636" t="str">
        <f t="shared" si="9"/>
        <v>HUILASUAZA</v>
      </c>
      <c r="D636" t="s">
        <v>4219</v>
      </c>
      <c r="E636" t="s">
        <v>2249</v>
      </c>
      <c r="F636" t="s">
        <v>694</v>
      </c>
    </row>
    <row r="637" spans="1:6" hidden="1" x14ac:dyDescent="0.2">
      <c r="A637" t="s">
        <v>201</v>
      </c>
      <c r="B637" t="s">
        <v>695</v>
      </c>
      <c r="C637" t="str">
        <f t="shared" si="9"/>
        <v>HUILATARQUI</v>
      </c>
      <c r="D637" t="s">
        <v>4219</v>
      </c>
      <c r="E637" t="s">
        <v>697</v>
      </c>
      <c r="F637" t="s">
        <v>696</v>
      </c>
    </row>
    <row r="638" spans="1:6" hidden="1" x14ac:dyDescent="0.2">
      <c r="A638" t="s">
        <v>201</v>
      </c>
      <c r="B638" t="s">
        <v>1815</v>
      </c>
      <c r="C638" t="str">
        <f t="shared" si="9"/>
        <v>HUILATESALIA</v>
      </c>
      <c r="D638" t="s">
        <v>4219</v>
      </c>
      <c r="E638" t="s">
        <v>2250</v>
      </c>
      <c r="F638" t="s">
        <v>3599</v>
      </c>
    </row>
    <row r="639" spans="1:6" hidden="1" x14ac:dyDescent="0.2">
      <c r="A639" t="s">
        <v>201</v>
      </c>
      <c r="B639" t="s">
        <v>1818</v>
      </c>
      <c r="C639" t="str">
        <f t="shared" si="9"/>
        <v>HUILATELLO</v>
      </c>
      <c r="D639" t="s">
        <v>4219</v>
      </c>
      <c r="E639" t="s">
        <v>3498</v>
      </c>
      <c r="F639" t="s">
        <v>3600</v>
      </c>
    </row>
    <row r="640" spans="1:6" hidden="1" x14ac:dyDescent="0.2">
      <c r="A640" t="s">
        <v>201</v>
      </c>
      <c r="B640" t="s">
        <v>698</v>
      </c>
      <c r="C640" t="str">
        <f t="shared" si="9"/>
        <v>HUILATERUEL</v>
      </c>
      <c r="D640" t="s">
        <v>4219</v>
      </c>
      <c r="E640" t="s">
        <v>3242</v>
      </c>
      <c r="F640" t="s">
        <v>699</v>
      </c>
    </row>
    <row r="641" spans="1:6" hidden="1" x14ac:dyDescent="0.2">
      <c r="A641" t="s">
        <v>201</v>
      </c>
      <c r="B641" t="s">
        <v>1519</v>
      </c>
      <c r="C641" t="str">
        <f t="shared" si="9"/>
        <v>HUILATIMANA</v>
      </c>
      <c r="D641" t="s">
        <v>4219</v>
      </c>
      <c r="E641" t="s">
        <v>4382</v>
      </c>
      <c r="F641" t="s">
        <v>700</v>
      </c>
    </row>
    <row r="642" spans="1:6" hidden="1" x14ac:dyDescent="0.2">
      <c r="A642" t="s">
        <v>201</v>
      </c>
      <c r="B642" t="s">
        <v>701</v>
      </c>
      <c r="C642" t="str">
        <f t="shared" si="9"/>
        <v>HUILAVILLAVIEJA</v>
      </c>
      <c r="D642" t="s">
        <v>4219</v>
      </c>
      <c r="E642" t="s">
        <v>3298</v>
      </c>
      <c r="F642" t="s">
        <v>702</v>
      </c>
    </row>
    <row r="643" spans="1:6" hidden="1" x14ac:dyDescent="0.2">
      <c r="A643" t="s">
        <v>201</v>
      </c>
      <c r="B643" t="s">
        <v>4098</v>
      </c>
      <c r="C643" t="str">
        <f t="shared" ref="C643:C706" si="10">D643&amp;E643</f>
        <v>HUILAYAGUARA</v>
      </c>
      <c r="D643" t="s">
        <v>4219</v>
      </c>
      <c r="E643" t="s">
        <v>4228</v>
      </c>
      <c r="F643" t="s">
        <v>3601</v>
      </c>
    </row>
    <row r="644" spans="1:6" hidden="1" x14ac:dyDescent="0.2">
      <c r="A644" t="s">
        <v>703</v>
      </c>
      <c r="B644" t="s">
        <v>3785</v>
      </c>
      <c r="C644" t="str">
        <f t="shared" si="10"/>
        <v>La GuajiraRIOHACHA</v>
      </c>
      <c r="D644" t="s">
        <v>705</v>
      </c>
      <c r="E644" t="s">
        <v>3541</v>
      </c>
      <c r="F644" t="s">
        <v>704</v>
      </c>
    </row>
    <row r="645" spans="1:6" hidden="1" x14ac:dyDescent="0.2">
      <c r="A645" t="s">
        <v>703</v>
      </c>
      <c r="B645" t="s">
        <v>1653</v>
      </c>
      <c r="C645" t="str">
        <f t="shared" si="10"/>
        <v>La GuajiraALBANIA</v>
      </c>
      <c r="D645" t="s">
        <v>705</v>
      </c>
      <c r="E645" t="s">
        <v>1428</v>
      </c>
      <c r="F645" t="s">
        <v>706</v>
      </c>
    </row>
    <row r="646" spans="1:6" hidden="1" x14ac:dyDescent="0.2">
      <c r="A646" t="s">
        <v>703</v>
      </c>
      <c r="B646" t="s">
        <v>4115</v>
      </c>
      <c r="C646" t="str">
        <f t="shared" si="10"/>
        <v>La GuajiraBARRANCAS</v>
      </c>
      <c r="D646" t="s">
        <v>705</v>
      </c>
      <c r="E646" t="s">
        <v>708</v>
      </c>
      <c r="F646" t="s">
        <v>707</v>
      </c>
    </row>
    <row r="647" spans="1:6" hidden="1" x14ac:dyDescent="0.2">
      <c r="A647" t="s">
        <v>703</v>
      </c>
      <c r="B647" t="s">
        <v>2586</v>
      </c>
      <c r="C647" t="str">
        <f t="shared" si="10"/>
        <v>La GuajiraDIBULLA</v>
      </c>
      <c r="D647" t="s">
        <v>705</v>
      </c>
      <c r="E647" t="s">
        <v>710</v>
      </c>
      <c r="F647" t="s">
        <v>709</v>
      </c>
    </row>
    <row r="648" spans="1:6" hidden="1" x14ac:dyDescent="0.2">
      <c r="A648" t="s">
        <v>703</v>
      </c>
      <c r="B648" t="s">
        <v>711</v>
      </c>
      <c r="C648" t="str">
        <f t="shared" si="10"/>
        <v>La GuajiraDISTRACCION</v>
      </c>
      <c r="D648" t="s">
        <v>705</v>
      </c>
      <c r="E648" t="s">
        <v>713</v>
      </c>
      <c r="F648" t="s">
        <v>712</v>
      </c>
    </row>
    <row r="649" spans="1:6" hidden="1" x14ac:dyDescent="0.2">
      <c r="A649" t="s">
        <v>703</v>
      </c>
      <c r="B649" t="s">
        <v>1469</v>
      </c>
      <c r="C649" t="str">
        <f t="shared" si="10"/>
        <v>La GuajiraEL MOLINO</v>
      </c>
      <c r="D649" t="s">
        <v>705</v>
      </c>
      <c r="E649" t="s">
        <v>715</v>
      </c>
      <c r="F649" t="s">
        <v>714</v>
      </c>
    </row>
    <row r="650" spans="1:6" hidden="1" x14ac:dyDescent="0.2">
      <c r="A650" t="s">
        <v>703</v>
      </c>
      <c r="B650" t="s">
        <v>1691</v>
      </c>
      <c r="C650" t="str">
        <f t="shared" si="10"/>
        <v>La GuajiraFONSECA</v>
      </c>
      <c r="D650" t="s">
        <v>705</v>
      </c>
      <c r="E650" t="s">
        <v>717</v>
      </c>
      <c r="F650" t="s">
        <v>716</v>
      </c>
    </row>
    <row r="651" spans="1:6" hidden="1" x14ac:dyDescent="0.2">
      <c r="A651" t="s">
        <v>703</v>
      </c>
      <c r="B651" t="s">
        <v>219</v>
      </c>
      <c r="C651" t="str">
        <f t="shared" si="10"/>
        <v>La GuajiraHATONUEVO</v>
      </c>
      <c r="D651" t="s">
        <v>705</v>
      </c>
      <c r="E651" t="s">
        <v>719</v>
      </c>
      <c r="F651" t="s">
        <v>718</v>
      </c>
    </row>
    <row r="652" spans="1:6" hidden="1" x14ac:dyDescent="0.2">
      <c r="A652" t="s">
        <v>703</v>
      </c>
      <c r="B652" t="s">
        <v>720</v>
      </c>
      <c r="C652" t="str">
        <f t="shared" si="10"/>
        <v>La GuajiraLA JAGUA DEL PILAR</v>
      </c>
      <c r="D652" t="s">
        <v>705</v>
      </c>
      <c r="E652" t="s">
        <v>722</v>
      </c>
      <c r="F652" t="s">
        <v>721</v>
      </c>
    </row>
    <row r="653" spans="1:6" hidden="1" x14ac:dyDescent="0.2">
      <c r="A653" t="s">
        <v>703</v>
      </c>
      <c r="B653" t="s">
        <v>2509</v>
      </c>
      <c r="C653" t="str">
        <f t="shared" si="10"/>
        <v>La GuajiraMAICAO</v>
      </c>
      <c r="D653" t="s">
        <v>705</v>
      </c>
      <c r="E653" t="s">
        <v>724</v>
      </c>
      <c r="F653" t="s">
        <v>723</v>
      </c>
    </row>
    <row r="654" spans="1:6" hidden="1" x14ac:dyDescent="0.2">
      <c r="A654" t="s">
        <v>703</v>
      </c>
      <c r="B654" t="s">
        <v>2442</v>
      </c>
      <c r="C654" t="str">
        <f t="shared" si="10"/>
        <v>La GuajiraMANAURE</v>
      </c>
      <c r="D654" t="s">
        <v>705</v>
      </c>
      <c r="E654" t="s">
        <v>1563</v>
      </c>
      <c r="F654" t="s">
        <v>725</v>
      </c>
    </row>
    <row r="655" spans="1:6" hidden="1" x14ac:dyDescent="0.2">
      <c r="A655" t="s">
        <v>703</v>
      </c>
      <c r="B655" t="s">
        <v>2533</v>
      </c>
      <c r="C655" t="str">
        <f t="shared" si="10"/>
        <v>La GuajiraSAN JUAN DEL CESAR</v>
      </c>
      <c r="D655" t="s">
        <v>705</v>
      </c>
      <c r="E655" t="s">
        <v>727</v>
      </c>
      <c r="F655" t="s">
        <v>726</v>
      </c>
    </row>
    <row r="656" spans="1:6" hidden="1" x14ac:dyDescent="0.2">
      <c r="A656" t="s">
        <v>703</v>
      </c>
      <c r="B656" t="s">
        <v>4083</v>
      </c>
      <c r="C656" t="str">
        <f t="shared" si="10"/>
        <v>La GuajiraURIBIA</v>
      </c>
      <c r="D656" t="s">
        <v>705</v>
      </c>
      <c r="E656" t="s">
        <v>729</v>
      </c>
      <c r="F656" t="s">
        <v>728</v>
      </c>
    </row>
    <row r="657" spans="1:6" hidden="1" x14ac:dyDescent="0.2">
      <c r="A657" t="s">
        <v>703</v>
      </c>
      <c r="B657" t="s">
        <v>1646</v>
      </c>
      <c r="C657" t="str">
        <f t="shared" si="10"/>
        <v>La GuajiraURUMITA</v>
      </c>
      <c r="D657" t="s">
        <v>705</v>
      </c>
      <c r="E657" t="s">
        <v>731</v>
      </c>
      <c r="F657" t="s">
        <v>730</v>
      </c>
    </row>
    <row r="658" spans="1:6" hidden="1" x14ac:dyDescent="0.2">
      <c r="A658" t="s">
        <v>703</v>
      </c>
      <c r="B658" t="s">
        <v>732</v>
      </c>
      <c r="C658" t="str">
        <f t="shared" si="10"/>
        <v>La GuajiraVILLANUEVA</v>
      </c>
      <c r="D658" t="s">
        <v>705</v>
      </c>
      <c r="E658" t="s">
        <v>4327</v>
      </c>
      <c r="F658" t="s">
        <v>733</v>
      </c>
    </row>
    <row r="659" spans="1:6" hidden="1" x14ac:dyDescent="0.2">
      <c r="A659" t="s">
        <v>734</v>
      </c>
      <c r="B659" t="s">
        <v>3785</v>
      </c>
      <c r="C659" t="str">
        <f t="shared" si="10"/>
        <v>MagdalenaSANTA MARTA</v>
      </c>
      <c r="D659" t="s">
        <v>735</v>
      </c>
      <c r="E659" t="s">
        <v>4306</v>
      </c>
      <c r="F659" t="s">
        <v>3602</v>
      </c>
    </row>
    <row r="660" spans="1:6" hidden="1" x14ac:dyDescent="0.2">
      <c r="A660" t="s">
        <v>734</v>
      </c>
      <c r="B660" t="s">
        <v>3796</v>
      </c>
      <c r="C660" t="str">
        <f t="shared" si="10"/>
        <v>MagdalenaALGARROBO</v>
      </c>
      <c r="D660" t="s">
        <v>735</v>
      </c>
      <c r="E660" t="s">
        <v>737</v>
      </c>
      <c r="F660" t="s">
        <v>736</v>
      </c>
    </row>
    <row r="661" spans="1:6" hidden="1" x14ac:dyDescent="0.2">
      <c r="A661" t="s">
        <v>734</v>
      </c>
      <c r="B661" t="s">
        <v>1655</v>
      </c>
      <c r="C661" t="str">
        <f t="shared" si="10"/>
        <v>MagdalenaARACATACA</v>
      </c>
      <c r="D661" t="s">
        <v>735</v>
      </c>
      <c r="E661" t="s">
        <v>739</v>
      </c>
      <c r="F661" t="s">
        <v>738</v>
      </c>
    </row>
    <row r="662" spans="1:6" hidden="1" x14ac:dyDescent="0.2">
      <c r="A662" t="s">
        <v>734</v>
      </c>
      <c r="B662" t="s">
        <v>740</v>
      </c>
      <c r="C662" t="str">
        <f t="shared" si="10"/>
        <v>MagdalenaARIGUANI</v>
      </c>
      <c r="D662" t="s">
        <v>735</v>
      </c>
      <c r="E662" t="s">
        <v>742</v>
      </c>
      <c r="F662" t="s">
        <v>741</v>
      </c>
    </row>
    <row r="663" spans="1:6" hidden="1" x14ac:dyDescent="0.2">
      <c r="A663" t="s">
        <v>734</v>
      </c>
      <c r="B663" t="s">
        <v>743</v>
      </c>
      <c r="C663" t="str">
        <f t="shared" si="10"/>
        <v>MagdalenaCERRO SAN ANTONIO</v>
      </c>
      <c r="D663" t="s">
        <v>735</v>
      </c>
      <c r="E663" t="s">
        <v>745</v>
      </c>
      <c r="F663" t="s">
        <v>744</v>
      </c>
    </row>
    <row r="664" spans="1:6" hidden="1" x14ac:dyDescent="0.2">
      <c r="A664" t="s">
        <v>734</v>
      </c>
      <c r="B664" t="s">
        <v>746</v>
      </c>
      <c r="C664" t="str">
        <f t="shared" si="10"/>
        <v>MagdalenaCHIBOLO</v>
      </c>
      <c r="D664" t="s">
        <v>735</v>
      </c>
      <c r="E664" t="s">
        <v>748</v>
      </c>
      <c r="F664" t="s">
        <v>747</v>
      </c>
    </row>
    <row r="665" spans="1:6" hidden="1" x14ac:dyDescent="0.2">
      <c r="A665" t="s">
        <v>734</v>
      </c>
      <c r="B665" t="s">
        <v>2627</v>
      </c>
      <c r="C665" t="str">
        <f t="shared" si="10"/>
        <v>MagdalenaCIENAGA</v>
      </c>
      <c r="D665" t="s">
        <v>735</v>
      </c>
      <c r="E665" t="s">
        <v>750</v>
      </c>
      <c r="F665" t="s">
        <v>749</v>
      </c>
    </row>
    <row r="666" spans="1:6" hidden="1" x14ac:dyDescent="0.2">
      <c r="A666" t="s">
        <v>734</v>
      </c>
      <c r="B666" t="s">
        <v>1432</v>
      </c>
      <c r="C666" t="str">
        <f t="shared" si="10"/>
        <v>MagdalenaCONCORDIA</v>
      </c>
      <c r="D666" t="s">
        <v>735</v>
      </c>
      <c r="E666" t="s">
        <v>3891</v>
      </c>
      <c r="F666" t="s">
        <v>751</v>
      </c>
    </row>
    <row r="667" spans="1:6" hidden="1" x14ac:dyDescent="0.2">
      <c r="A667" t="s">
        <v>734</v>
      </c>
      <c r="B667" t="s">
        <v>1681</v>
      </c>
      <c r="C667" t="str">
        <f t="shared" si="10"/>
        <v>MagdalenaEL BANCO</v>
      </c>
      <c r="D667" t="s">
        <v>735</v>
      </c>
      <c r="E667" t="s">
        <v>4309</v>
      </c>
      <c r="F667" t="s">
        <v>752</v>
      </c>
    </row>
    <row r="668" spans="1:6" hidden="1" x14ac:dyDescent="0.2">
      <c r="A668" t="s">
        <v>734</v>
      </c>
      <c r="B668" t="s">
        <v>1684</v>
      </c>
      <c r="C668" t="str">
        <f t="shared" si="10"/>
        <v>MagdalenaEL PIÑON</v>
      </c>
      <c r="D668" t="s">
        <v>735</v>
      </c>
      <c r="E668" t="s">
        <v>754</v>
      </c>
      <c r="F668" t="s">
        <v>753</v>
      </c>
    </row>
    <row r="669" spans="1:6" hidden="1" x14ac:dyDescent="0.2">
      <c r="A669" t="s">
        <v>734</v>
      </c>
      <c r="B669" t="s">
        <v>2505</v>
      </c>
      <c r="C669" t="str">
        <f t="shared" si="10"/>
        <v>MagdalenaEL RETEN</v>
      </c>
      <c r="D669" t="s">
        <v>735</v>
      </c>
      <c r="E669" t="s">
        <v>756</v>
      </c>
      <c r="F669" t="s">
        <v>755</v>
      </c>
    </row>
    <row r="670" spans="1:6" hidden="1" x14ac:dyDescent="0.2">
      <c r="A670" t="s">
        <v>734</v>
      </c>
      <c r="B670" t="s">
        <v>1700</v>
      </c>
      <c r="C670" t="str">
        <f t="shared" si="10"/>
        <v>MagdalenaFUNDACION</v>
      </c>
      <c r="D670" t="s">
        <v>735</v>
      </c>
      <c r="E670" t="s">
        <v>758</v>
      </c>
      <c r="F670" t="s">
        <v>757</v>
      </c>
    </row>
    <row r="671" spans="1:6" hidden="1" x14ac:dyDescent="0.2">
      <c r="A671" t="s">
        <v>734</v>
      </c>
      <c r="B671" t="s">
        <v>3928</v>
      </c>
      <c r="C671" t="str">
        <f t="shared" si="10"/>
        <v>MagdalenaGUAMAL</v>
      </c>
      <c r="D671" t="s">
        <v>735</v>
      </c>
      <c r="E671" t="s">
        <v>760</v>
      </c>
      <c r="F671" t="s">
        <v>759</v>
      </c>
    </row>
    <row r="672" spans="1:6" hidden="1" x14ac:dyDescent="0.2">
      <c r="A672" t="s">
        <v>734</v>
      </c>
      <c r="B672" t="s">
        <v>1443</v>
      </c>
      <c r="C672" t="str">
        <f t="shared" si="10"/>
        <v>MagdalenaNUEVA GRANADA</v>
      </c>
      <c r="D672" t="s">
        <v>735</v>
      </c>
      <c r="E672" t="s">
        <v>762</v>
      </c>
      <c r="F672" t="s">
        <v>761</v>
      </c>
    </row>
    <row r="673" spans="1:6" hidden="1" x14ac:dyDescent="0.2">
      <c r="A673" t="s">
        <v>734</v>
      </c>
      <c r="B673" t="s">
        <v>3987</v>
      </c>
      <c r="C673" t="str">
        <f t="shared" si="10"/>
        <v>MagdalenaPEDRAZA</v>
      </c>
      <c r="D673" t="s">
        <v>735</v>
      </c>
      <c r="E673" t="s">
        <v>764</v>
      </c>
      <c r="F673" t="s">
        <v>763</v>
      </c>
    </row>
    <row r="674" spans="1:6" hidden="1" x14ac:dyDescent="0.2">
      <c r="A674" t="s">
        <v>734</v>
      </c>
      <c r="B674" t="s">
        <v>765</v>
      </c>
      <c r="C674" t="str">
        <f t="shared" si="10"/>
        <v>MagdalenaPIJIÑO DEL CARMEN</v>
      </c>
      <c r="D674" t="s">
        <v>735</v>
      </c>
      <c r="E674" t="s">
        <v>767</v>
      </c>
      <c r="F674" t="s">
        <v>766</v>
      </c>
    </row>
    <row r="675" spans="1:6" hidden="1" x14ac:dyDescent="0.2">
      <c r="A675" t="s">
        <v>734</v>
      </c>
      <c r="B675" t="s">
        <v>688</v>
      </c>
      <c r="C675" t="str">
        <f t="shared" si="10"/>
        <v>MagdalenaPIVIJAY</v>
      </c>
      <c r="D675" t="s">
        <v>735</v>
      </c>
      <c r="E675" t="s">
        <v>769</v>
      </c>
      <c r="F675" t="s">
        <v>768</v>
      </c>
    </row>
    <row r="676" spans="1:6" hidden="1" x14ac:dyDescent="0.2">
      <c r="A676" t="s">
        <v>734</v>
      </c>
      <c r="B676" t="s">
        <v>1614</v>
      </c>
      <c r="C676" t="str">
        <f t="shared" si="10"/>
        <v>MagdalenaPLATO</v>
      </c>
      <c r="D676" t="s">
        <v>735</v>
      </c>
      <c r="E676" t="s">
        <v>771</v>
      </c>
      <c r="F676" t="s">
        <v>770</v>
      </c>
    </row>
    <row r="677" spans="1:6" hidden="1" x14ac:dyDescent="0.2">
      <c r="A677" t="s">
        <v>734</v>
      </c>
      <c r="B677" t="s">
        <v>1568</v>
      </c>
      <c r="C677" t="str">
        <f t="shared" si="10"/>
        <v>MagdalenaPUEBLOVIEJO</v>
      </c>
      <c r="D677" t="s">
        <v>735</v>
      </c>
      <c r="E677" t="s">
        <v>773</v>
      </c>
      <c r="F677" t="s">
        <v>772</v>
      </c>
    </row>
    <row r="678" spans="1:6" hidden="1" x14ac:dyDescent="0.2">
      <c r="A678" t="s">
        <v>734</v>
      </c>
      <c r="B678" t="s">
        <v>774</v>
      </c>
      <c r="C678" t="str">
        <f t="shared" si="10"/>
        <v>MagdalenaREMOLINO</v>
      </c>
      <c r="D678" t="s">
        <v>735</v>
      </c>
      <c r="E678" t="s">
        <v>776</v>
      </c>
      <c r="F678" t="s">
        <v>775</v>
      </c>
    </row>
    <row r="679" spans="1:6" hidden="1" x14ac:dyDescent="0.2">
      <c r="A679" t="s">
        <v>734</v>
      </c>
      <c r="B679" t="s">
        <v>4032</v>
      </c>
      <c r="C679" t="str">
        <f t="shared" si="10"/>
        <v>MagdalenaSABANAS DE SAN ANGEL</v>
      </c>
      <c r="D679" t="s">
        <v>735</v>
      </c>
      <c r="E679" t="s">
        <v>778</v>
      </c>
      <c r="F679" t="s">
        <v>777</v>
      </c>
    </row>
    <row r="680" spans="1:6" hidden="1" x14ac:dyDescent="0.2">
      <c r="A680" t="s">
        <v>734</v>
      </c>
      <c r="B680" t="s">
        <v>2454</v>
      </c>
      <c r="C680" t="str">
        <f t="shared" si="10"/>
        <v>MagdalenaSALAMINA</v>
      </c>
      <c r="D680" t="s">
        <v>735</v>
      </c>
      <c r="E680" t="s">
        <v>2248</v>
      </c>
      <c r="F680" t="s">
        <v>779</v>
      </c>
    </row>
    <row r="681" spans="1:6" hidden="1" x14ac:dyDescent="0.2">
      <c r="A681" t="s">
        <v>734</v>
      </c>
      <c r="B681" t="s">
        <v>780</v>
      </c>
      <c r="C681" t="str">
        <f t="shared" si="10"/>
        <v>MagdalenaSAN SEBASTIAN DE BUENAVISTA</v>
      </c>
      <c r="D681" t="s">
        <v>735</v>
      </c>
      <c r="E681" t="s">
        <v>782</v>
      </c>
      <c r="F681" t="s">
        <v>781</v>
      </c>
    </row>
    <row r="682" spans="1:6" hidden="1" x14ac:dyDescent="0.2">
      <c r="A682" t="s">
        <v>734</v>
      </c>
      <c r="B682" t="s">
        <v>783</v>
      </c>
      <c r="C682" t="str">
        <f t="shared" si="10"/>
        <v>MagdalenaSAN ZENON</v>
      </c>
      <c r="D682" t="s">
        <v>735</v>
      </c>
      <c r="E682" t="s">
        <v>4314</v>
      </c>
      <c r="F682" t="s">
        <v>784</v>
      </c>
    </row>
    <row r="683" spans="1:6" hidden="1" x14ac:dyDescent="0.2">
      <c r="A683" t="s">
        <v>734</v>
      </c>
      <c r="B683" t="s">
        <v>785</v>
      </c>
      <c r="C683" t="str">
        <f t="shared" si="10"/>
        <v>MagdalenaSANTA ANA</v>
      </c>
      <c r="D683" t="s">
        <v>735</v>
      </c>
      <c r="E683" t="s">
        <v>787</v>
      </c>
      <c r="F683" t="s">
        <v>786</v>
      </c>
    </row>
    <row r="684" spans="1:6" hidden="1" x14ac:dyDescent="0.2">
      <c r="A684" t="s">
        <v>734</v>
      </c>
      <c r="B684" t="s">
        <v>1293</v>
      </c>
      <c r="C684" t="str">
        <f t="shared" si="10"/>
        <v>MagdalenaSANTA BARBARA DE PINTO</v>
      </c>
      <c r="D684" t="s">
        <v>735</v>
      </c>
      <c r="E684" t="s">
        <v>789</v>
      </c>
      <c r="F684" t="s">
        <v>788</v>
      </c>
    </row>
    <row r="685" spans="1:6" hidden="1" x14ac:dyDescent="0.2">
      <c r="A685" t="s">
        <v>734</v>
      </c>
      <c r="B685" t="s">
        <v>1798</v>
      </c>
      <c r="C685" t="str">
        <f t="shared" si="10"/>
        <v>MagdalenaSITIONUEVO</v>
      </c>
      <c r="D685" t="s">
        <v>735</v>
      </c>
      <c r="E685" t="s">
        <v>791</v>
      </c>
      <c r="F685" t="s">
        <v>790</v>
      </c>
    </row>
    <row r="686" spans="1:6" hidden="1" x14ac:dyDescent="0.2">
      <c r="A686" t="s">
        <v>734</v>
      </c>
      <c r="B686" t="s">
        <v>1333</v>
      </c>
      <c r="C686" t="str">
        <f t="shared" si="10"/>
        <v>MagdalenaTENERIFE</v>
      </c>
      <c r="D686" t="s">
        <v>735</v>
      </c>
      <c r="E686" t="s">
        <v>793</v>
      </c>
      <c r="F686" t="s">
        <v>792</v>
      </c>
    </row>
    <row r="687" spans="1:6" hidden="1" x14ac:dyDescent="0.2">
      <c r="A687" t="s">
        <v>734</v>
      </c>
      <c r="B687" t="s">
        <v>794</v>
      </c>
      <c r="C687" t="str">
        <f t="shared" si="10"/>
        <v>MagdalenaZAPAYAN</v>
      </c>
      <c r="D687" t="s">
        <v>735</v>
      </c>
      <c r="E687" t="s">
        <v>2036</v>
      </c>
      <c r="F687" t="s">
        <v>2035</v>
      </c>
    </row>
    <row r="688" spans="1:6" hidden="1" x14ac:dyDescent="0.2">
      <c r="A688" t="s">
        <v>734</v>
      </c>
      <c r="B688" t="s">
        <v>2037</v>
      </c>
      <c r="C688" t="str">
        <f t="shared" si="10"/>
        <v>MagdalenaZONA BANANERA</v>
      </c>
      <c r="D688" t="s">
        <v>735</v>
      </c>
      <c r="E688" t="s">
        <v>2039</v>
      </c>
      <c r="F688" t="s">
        <v>2038</v>
      </c>
    </row>
    <row r="689" spans="1:6" hidden="1" x14ac:dyDescent="0.2">
      <c r="A689" t="s">
        <v>2040</v>
      </c>
      <c r="B689" t="s">
        <v>3785</v>
      </c>
      <c r="C689" t="str">
        <f t="shared" si="10"/>
        <v>METAVILLAVICENCIO</v>
      </c>
      <c r="D689" t="s">
        <v>860</v>
      </c>
      <c r="E689" t="s">
        <v>2859</v>
      </c>
      <c r="F689" t="s">
        <v>3603</v>
      </c>
    </row>
    <row r="690" spans="1:6" hidden="1" x14ac:dyDescent="0.2">
      <c r="A690" t="s">
        <v>2040</v>
      </c>
      <c r="B690" t="s">
        <v>2475</v>
      </c>
      <c r="C690" t="str">
        <f t="shared" si="10"/>
        <v>METAACACIAS</v>
      </c>
      <c r="D690" t="s">
        <v>860</v>
      </c>
      <c r="E690" t="s">
        <v>4361</v>
      </c>
      <c r="F690" t="s">
        <v>2041</v>
      </c>
    </row>
    <row r="691" spans="1:6" hidden="1" x14ac:dyDescent="0.2">
      <c r="A691" t="s">
        <v>2040</v>
      </c>
      <c r="B691" t="s">
        <v>1469</v>
      </c>
      <c r="C691" t="str">
        <f t="shared" si="10"/>
        <v>METABARRANCA DE UPIA</v>
      </c>
      <c r="D691" t="s">
        <v>860</v>
      </c>
      <c r="E691" t="s">
        <v>2043</v>
      </c>
      <c r="F691" t="s">
        <v>2042</v>
      </c>
    </row>
    <row r="692" spans="1:6" hidden="1" x14ac:dyDescent="0.2">
      <c r="A692" t="s">
        <v>2040</v>
      </c>
      <c r="B692" t="s">
        <v>2044</v>
      </c>
      <c r="C692" t="str">
        <f t="shared" si="10"/>
        <v>METACABUYARO</v>
      </c>
      <c r="D692" t="s">
        <v>860</v>
      </c>
      <c r="E692" t="s">
        <v>2046</v>
      </c>
      <c r="F692" t="s">
        <v>2045</v>
      </c>
    </row>
    <row r="693" spans="1:6" hidden="1" x14ac:dyDescent="0.2">
      <c r="A693" t="s">
        <v>2040</v>
      </c>
      <c r="B693" t="s">
        <v>3871</v>
      </c>
      <c r="C693" t="str">
        <f t="shared" si="10"/>
        <v>METACASTILLA LA NUEVA</v>
      </c>
      <c r="D693" t="s">
        <v>860</v>
      </c>
      <c r="E693" t="s">
        <v>2048</v>
      </c>
      <c r="F693" t="s">
        <v>2047</v>
      </c>
    </row>
    <row r="694" spans="1:6" hidden="1" x14ac:dyDescent="0.2">
      <c r="A694" t="s">
        <v>2040</v>
      </c>
      <c r="B694" t="s">
        <v>2640</v>
      </c>
      <c r="C694" t="str">
        <f t="shared" si="10"/>
        <v>METACUBARRAL</v>
      </c>
      <c r="D694" t="s">
        <v>860</v>
      </c>
      <c r="E694" t="s">
        <v>2050</v>
      </c>
      <c r="F694" t="s">
        <v>2049</v>
      </c>
    </row>
    <row r="695" spans="1:6" hidden="1" x14ac:dyDescent="0.2">
      <c r="A695" t="s">
        <v>2040</v>
      </c>
      <c r="B695" t="s">
        <v>2645</v>
      </c>
      <c r="C695" t="str">
        <f t="shared" si="10"/>
        <v>METACUMARAL</v>
      </c>
      <c r="D695" t="s">
        <v>860</v>
      </c>
      <c r="E695" t="s">
        <v>2052</v>
      </c>
      <c r="F695" t="s">
        <v>2051</v>
      </c>
    </row>
    <row r="696" spans="1:6" hidden="1" x14ac:dyDescent="0.2">
      <c r="A696" t="s">
        <v>2040</v>
      </c>
      <c r="B696" t="s">
        <v>1681</v>
      </c>
      <c r="C696" t="str">
        <f t="shared" si="10"/>
        <v>METAEL CALVARIO</v>
      </c>
      <c r="D696" t="s">
        <v>860</v>
      </c>
      <c r="E696" t="s">
        <v>2054</v>
      </c>
      <c r="F696" t="s">
        <v>2053</v>
      </c>
    </row>
    <row r="697" spans="1:6" hidden="1" x14ac:dyDescent="0.2">
      <c r="A697" t="s">
        <v>2040</v>
      </c>
      <c r="B697" t="s">
        <v>2055</v>
      </c>
      <c r="C697" t="str">
        <f t="shared" si="10"/>
        <v>METAEL CASTILLO</v>
      </c>
      <c r="D697" t="s">
        <v>860</v>
      </c>
      <c r="E697" t="s">
        <v>861</v>
      </c>
      <c r="F697" t="s">
        <v>2056</v>
      </c>
    </row>
    <row r="698" spans="1:6" hidden="1" x14ac:dyDescent="0.2">
      <c r="A698" t="s">
        <v>2040</v>
      </c>
      <c r="B698" t="s">
        <v>2057</v>
      </c>
      <c r="C698" t="str">
        <f t="shared" si="10"/>
        <v>METAEL DORADO</v>
      </c>
      <c r="D698" t="s">
        <v>860</v>
      </c>
      <c r="E698" t="s">
        <v>2059</v>
      </c>
      <c r="F698" t="s">
        <v>2058</v>
      </c>
    </row>
    <row r="699" spans="1:6" hidden="1" x14ac:dyDescent="0.2">
      <c r="A699" t="s">
        <v>2040</v>
      </c>
      <c r="B699" t="s">
        <v>2060</v>
      </c>
      <c r="C699" t="str">
        <f t="shared" si="10"/>
        <v>METAFUENTE DE ORO</v>
      </c>
      <c r="D699" t="s">
        <v>860</v>
      </c>
      <c r="E699" t="s">
        <v>398</v>
      </c>
      <c r="F699" t="s">
        <v>2061</v>
      </c>
    </row>
    <row r="700" spans="1:6" hidden="1" x14ac:dyDescent="0.2">
      <c r="A700" t="s">
        <v>2040</v>
      </c>
      <c r="B700" t="s">
        <v>3924</v>
      </c>
      <c r="C700" t="str">
        <f t="shared" si="10"/>
        <v>METAGRANADA</v>
      </c>
      <c r="D700" t="s">
        <v>860</v>
      </c>
      <c r="E700" t="s">
        <v>2211</v>
      </c>
      <c r="F700" t="s">
        <v>399</v>
      </c>
    </row>
    <row r="701" spans="1:6" hidden="1" x14ac:dyDescent="0.2">
      <c r="A701" t="s">
        <v>2040</v>
      </c>
      <c r="B701" t="s">
        <v>3928</v>
      </c>
      <c r="C701" t="str">
        <f t="shared" si="10"/>
        <v>METAGUAMAL</v>
      </c>
      <c r="D701" t="s">
        <v>860</v>
      </c>
      <c r="E701" t="s">
        <v>760</v>
      </c>
      <c r="F701" t="s">
        <v>400</v>
      </c>
    </row>
    <row r="702" spans="1:6" hidden="1" x14ac:dyDescent="0.2">
      <c r="A702" t="s">
        <v>2040</v>
      </c>
      <c r="B702" t="s">
        <v>1178</v>
      </c>
      <c r="C702" t="str">
        <f t="shared" si="10"/>
        <v>METAMAPIRIPAN</v>
      </c>
      <c r="D702" t="s">
        <v>860</v>
      </c>
      <c r="E702" t="s">
        <v>402</v>
      </c>
      <c r="F702" t="s">
        <v>401</v>
      </c>
    </row>
    <row r="703" spans="1:6" hidden="1" x14ac:dyDescent="0.2">
      <c r="A703" t="s">
        <v>2040</v>
      </c>
      <c r="B703" t="s">
        <v>403</v>
      </c>
      <c r="C703" t="str">
        <f t="shared" si="10"/>
        <v>METAMESETAS</v>
      </c>
      <c r="D703" t="s">
        <v>860</v>
      </c>
      <c r="E703" t="s">
        <v>405</v>
      </c>
      <c r="F703" t="s">
        <v>404</v>
      </c>
    </row>
    <row r="704" spans="1:6" hidden="1" x14ac:dyDescent="0.2">
      <c r="A704" t="s">
        <v>2040</v>
      </c>
      <c r="B704" t="s">
        <v>1602</v>
      </c>
      <c r="C704" t="str">
        <f t="shared" si="10"/>
        <v>METALA MACARENA</v>
      </c>
      <c r="D704" t="s">
        <v>860</v>
      </c>
      <c r="E704" t="s">
        <v>407</v>
      </c>
      <c r="F704" t="s">
        <v>406</v>
      </c>
    </row>
    <row r="705" spans="1:6" hidden="1" x14ac:dyDescent="0.2">
      <c r="A705" t="s">
        <v>2040</v>
      </c>
      <c r="B705" t="s">
        <v>408</v>
      </c>
      <c r="C705" t="str">
        <f t="shared" si="10"/>
        <v>METALA URIBE</v>
      </c>
      <c r="D705" t="s">
        <v>860</v>
      </c>
      <c r="E705" t="s">
        <v>410</v>
      </c>
      <c r="F705" t="s">
        <v>409</v>
      </c>
    </row>
    <row r="706" spans="1:6" hidden="1" x14ac:dyDescent="0.2">
      <c r="A706" t="s">
        <v>2040</v>
      </c>
      <c r="B706" t="s">
        <v>3956</v>
      </c>
      <c r="C706" t="str">
        <f t="shared" si="10"/>
        <v>METALEJANIAS</v>
      </c>
      <c r="D706" t="s">
        <v>860</v>
      </c>
      <c r="E706" t="s">
        <v>4302</v>
      </c>
      <c r="F706" t="s">
        <v>411</v>
      </c>
    </row>
    <row r="707" spans="1:6" hidden="1" x14ac:dyDescent="0.2">
      <c r="A707" t="s">
        <v>2040</v>
      </c>
      <c r="B707" t="s">
        <v>1488</v>
      </c>
      <c r="C707" t="str">
        <f t="shared" ref="C707:C770" si="11">D707&amp;E707</f>
        <v>METAPUERTO CONCORDIA</v>
      </c>
      <c r="D707" t="s">
        <v>860</v>
      </c>
      <c r="E707" t="s">
        <v>4417</v>
      </c>
      <c r="F707" t="s">
        <v>412</v>
      </c>
    </row>
    <row r="708" spans="1:6" hidden="1" x14ac:dyDescent="0.2">
      <c r="A708" t="s">
        <v>2040</v>
      </c>
      <c r="B708" t="s">
        <v>413</v>
      </c>
      <c r="C708" t="str">
        <f t="shared" si="11"/>
        <v>METAPUERTO GAITAN</v>
      </c>
      <c r="D708" t="s">
        <v>860</v>
      </c>
      <c r="E708" t="s">
        <v>415</v>
      </c>
      <c r="F708" t="s">
        <v>414</v>
      </c>
    </row>
    <row r="709" spans="1:6" hidden="1" x14ac:dyDescent="0.2">
      <c r="A709" t="s">
        <v>2040</v>
      </c>
      <c r="B709" t="s">
        <v>2445</v>
      </c>
      <c r="C709" t="str">
        <f t="shared" si="11"/>
        <v>METAPUERTO LOPEZ</v>
      </c>
      <c r="D709" t="s">
        <v>860</v>
      </c>
      <c r="E709" t="s">
        <v>417</v>
      </c>
      <c r="F709" t="s">
        <v>416</v>
      </c>
    </row>
    <row r="710" spans="1:6" hidden="1" x14ac:dyDescent="0.2">
      <c r="A710" t="s">
        <v>2040</v>
      </c>
      <c r="B710" t="s">
        <v>418</v>
      </c>
      <c r="C710" t="str">
        <f t="shared" si="11"/>
        <v>METAPUERTO LLERAS</v>
      </c>
      <c r="D710" t="s">
        <v>860</v>
      </c>
      <c r="E710" t="s">
        <v>420</v>
      </c>
      <c r="F710" t="s">
        <v>419</v>
      </c>
    </row>
    <row r="711" spans="1:6" hidden="1" x14ac:dyDescent="0.2">
      <c r="A711" t="s">
        <v>2040</v>
      </c>
      <c r="B711" t="s">
        <v>421</v>
      </c>
      <c r="C711" t="str">
        <f t="shared" si="11"/>
        <v>METAPUERTO RICO</v>
      </c>
      <c r="D711" t="s">
        <v>860</v>
      </c>
      <c r="E711" t="s">
        <v>3320</v>
      </c>
      <c r="F711" t="s">
        <v>422</v>
      </c>
    </row>
    <row r="712" spans="1:6" hidden="1" x14ac:dyDescent="0.2">
      <c r="A712" t="s">
        <v>2040</v>
      </c>
      <c r="B712" t="s">
        <v>2448</v>
      </c>
      <c r="C712" t="str">
        <f t="shared" si="11"/>
        <v>METARESTREPO</v>
      </c>
      <c r="D712" t="s">
        <v>860</v>
      </c>
      <c r="E712" t="s">
        <v>424</v>
      </c>
      <c r="F712" t="s">
        <v>423</v>
      </c>
    </row>
    <row r="713" spans="1:6" hidden="1" x14ac:dyDescent="0.2">
      <c r="A713" t="s">
        <v>2040</v>
      </c>
      <c r="B713" t="s">
        <v>425</v>
      </c>
      <c r="C713" t="str">
        <f t="shared" si="11"/>
        <v>METASAN CARLOS DE GUAROA</v>
      </c>
      <c r="D713" t="s">
        <v>860</v>
      </c>
      <c r="E713" t="s">
        <v>427</v>
      </c>
      <c r="F713" t="s">
        <v>426</v>
      </c>
    </row>
    <row r="714" spans="1:6" hidden="1" x14ac:dyDescent="0.2">
      <c r="A714" t="s">
        <v>2040</v>
      </c>
      <c r="B714" t="s">
        <v>2548</v>
      </c>
      <c r="C714" t="str">
        <f t="shared" si="11"/>
        <v>METASAN JUAN DE ARAMA</v>
      </c>
      <c r="D714" t="s">
        <v>860</v>
      </c>
      <c r="E714" t="s">
        <v>4364</v>
      </c>
      <c r="F714" t="s">
        <v>428</v>
      </c>
    </row>
    <row r="715" spans="1:6" hidden="1" x14ac:dyDescent="0.2">
      <c r="A715" t="s">
        <v>2040</v>
      </c>
      <c r="B715" t="s">
        <v>4049</v>
      </c>
      <c r="C715" t="str">
        <f t="shared" si="11"/>
        <v>METASAN JUANITO</v>
      </c>
      <c r="D715" t="s">
        <v>860</v>
      </c>
      <c r="E715" t="s">
        <v>430</v>
      </c>
      <c r="F715" t="s">
        <v>429</v>
      </c>
    </row>
    <row r="716" spans="1:6" hidden="1" x14ac:dyDescent="0.2">
      <c r="A716" t="s">
        <v>2040</v>
      </c>
      <c r="B716" t="s">
        <v>431</v>
      </c>
      <c r="C716" t="str">
        <f t="shared" si="11"/>
        <v>METASAN MARTIN</v>
      </c>
      <c r="D716" t="s">
        <v>860</v>
      </c>
      <c r="E716" t="s">
        <v>3339</v>
      </c>
      <c r="F716" t="s">
        <v>432</v>
      </c>
    </row>
    <row r="717" spans="1:6" hidden="1" x14ac:dyDescent="0.2">
      <c r="A717" t="s">
        <v>2040</v>
      </c>
      <c r="B717" t="s">
        <v>433</v>
      </c>
      <c r="C717" t="str">
        <f t="shared" si="11"/>
        <v>METAVISTAHERMOSA</v>
      </c>
      <c r="D717" t="s">
        <v>860</v>
      </c>
      <c r="E717" t="s">
        <v>3389</v>
      </c>
      <c r="F717" t="s">
        <v>434</v>
      </c>
    </row>
    <row r="718" spans="1:6" hidden="1" x14ac:dyDescent="0.2">
      <c r="A718" t="s">
        <v>435</v>
      </c>
      <c r="B718" t="s">
        <v>3785</v>
      </c>
      <c r="C718" t="str">
        <f t="shared" si="11"/>
        <v>NariñoPASTO</v>
      </c>
      <c r="D718" t="s">
        <v>436</v>
      </c>
      <c r="E718" t="s">
        <v>3446</v>
      </c>
      <c r="F718" t="s">
        <v>3604</v>
      </c>
    </row>
    <row r="719" spans="1:6" hidden="1" x14ac:dyDescent="0.2">
      <c r="A719" t="s">
        <v>435</v>
      </c>
      <c r="B719" t="s">
        <v>1652</v>
      </c>
      <c r="C719" t="str">
        <f t="shared" si="11"/>
        <v>NariñoALBAN</v>
      </c>
      <c r="D719" t="s">
        <v>436</v>
      </c>
      <c r="E719" t="s">
        <v>848</v>
      </c>
      <c r="F719" t="s">
        <v>437</v>
      </c>
    </row>
    <row r="720" spans="1:6" hidden="1" x14ac:dyDescent="0.2">
      <c r="A720" t="s">
        <v>435</v>
      </c>
      <c r="B720" t="s">
        <v>2576</v>
      </c>
      <c r="C720" t="str">
        <f t="shared" si="11"/>
        <v>NariñoALDANA</v>
      </c>
      <c r="D720" t="s">
        <v>436</v>
      </c>
      <c r="E720" t="s">
        <v>439</v>
      </c>
      <c r="F720" t="s">
        <v>438</v>
      </c>
    </row>
    <row r="721" spans="1:6" hidden="1" x14ac:dyDescent="0.2">
      <c r="A721" t="s">
        <v>435</v>
      </c>
      <c r="B721" t="s">
        <v>3802</v>
      </c>
      <c r="C721" t="str">
        <f t="shared" si="11"/>
        <v>NariñoANCUYA</v>
      </c>
      <c r="D721" t="s">
        <v>436</v>
      </c>
      <c r="E721" t="s">
        <v>441</v>
      </c>
      <c r="F721" t="s">
        <v>440</v>
      </c>
    </row>
    <row r="722" spans="1:6" hidden="1" x14ac:dyDescent="0.2">
      <c r="A722" t="s">
        <v>435</v>
      </c>
      <c r="B722" t="s">
        <v>3820</v>
      </c>
      <c r="C722" t="str">
        <f t="shared" si="11"/>
        <v>NariñoARBOLEDA</v>
      </c>
      <c r="D722" t="s">
        <v>436</v>
      </c>
      <c r="E722" t="s">
        <v>3328</v>
      </c>
      <c r="F722" t="s">
        <v>442</v>
      </c>
    </row>
    <row r="723" spans="1:6" hidden="1" x14ac:dyDescent="0.2">
      <c r="A723" t="s">
        <v>435</v>
      </c>
      <c r="B723" t="s">
        <v>3827</v>
      </c>
      <c r="C723" t="str">
        <f t="shared" si="11"/>
        <v>NariñoBARBACOAS</v>
      </c>
      <c r="D723" t="s">
        <v>436</v>
      </c>
      <c r="E723" t="s">
        <v>4279</v>
      </c>
      <c r="F723" t="s">
        <v>3605</v>
      </c>
    </row>
    <row r="724" spans="1:6" hidden="1" x14ac:dyDescent="0.2">
      <c r="A724" t="s">
        <v>435</v>
      </c>
      <c r="B724" t="s">
        <v>443</v>
      </c>
      <c r="C724" t="str">
        <f t="shared" si="11"/>
        <v>NariñoBELEN</v>
      </c>
      <c r="D724" t="s">
        <v>436</v>
      </c>
      <c r="E724" s="140" t="s">
        <v>2243</v>
      </c>
      <c r="F724" t="s">
        <v>3606</v>
      </c>
    </row>
    <row r="725" spans="1:6" hidden="1" x14ac:dyDescent="0.2">
      <c r="A725" t="s">
        <v>435</v>
      </c>
      <c r="B725" t="s">
        <v>1469</v>
      </c>
      <c r="C725" t="str">
        <f t="shared" si="11"/>
        <v>NariñoBUESACO</v>
      </c>
      <c r="D725" t="s">
        <v>436</v>
      </c>
      <c r="E725" t="s">
        <v>847</v>
      </c>
      <c r="F725" t="s">
        <v>3607</v>
      </c>
    </row>
    <row r="726" spans="1:6" hidden="1" x14ac:dyDescent="0.2">
      <c r="A726" t="s">
        <v>435</v>
      </c>
      <c r="B726" t="s">
        <v>444</v>
      </c>
      <c r="C726" t="str">
        <f t="shared" si="11"/>
        <v>NariñoCOLON</v>
      </c>
      <c r="D726" t="s">
        <v>436</v>
      </c>
      <c r="E726" t="s">
        <v>446</v>
      </c>
      <c r="F726" t="s">
        <v>445</v>
      </c>
    </row>
    <row r="727" spans="1:6" hidden="1" x14ac:dyDescent="0.2">
      <c r="A727" t="s">
        <v>435</v>
      </c>
      <c r="B727" t="s">
        <v>447</v>
      </c>
      <c r="C727" t="str">
        <f t="shared" si="11"/>
        <v>NariñoCONSACA</v>
      </c>
      <c r="D727" t="s">
        <v>436</v>
      </c>
      <c r="E727" t="s">
        <v>69</v>
      </c>
      <c r="F727" t="s">
        <v>448</v>
      </c>
    </row>
    <row r="728" spans="1:6" hidden="1" x14ac:dyDescent="0.2">
      <c r="A728" t="s">
        <v>435</v>
      </c>
      <c r="B728" t="s">
        <v>449</v>
      </c>
      <c r="C728" t="str">
        <f t="shared" si="11"/>
        <v>NariñoEL CONTADERO</v>
      </c>
      <c r="D728" t="s">
        <v>436</v>
      </c>
      <c r="E728" s="140" t="s">
        <v>2900</v>
      </c>
      <c r="F728" t="s">
        <v>450</v>
      </c>
    </row>
    <row r="729" spans="1:6" hidden="1" x14ac:dyDescent="0.2">
      <c r="A729" t="s">
        <v>435</v>
      </c>
      <c r="B729" t="s">
        <v>2634</v>
      </c>
      <c r="C729" t="str">
        <f t="shared" si="11"/>
        <v>NariñoCORDOBA</v>
      </c>
      <c r="D729" t="s">
        <v>436</v>
      </c>
      <c r="E729" t="s">
        <v>4282</v>
      </c>
      <c r="F729" t="s">
        <v>451</v>
      </c>
    </row>
    <row r="730" spans="1:6" hidden="1" x14ac:dyDescent="0.2">
      <c r="A730" t="s">
        <v>435</v>
      </c>
      <c r="B730" t="s">
        <v>2643</v>
      </c>
      <c r="C730" t="str">
        <f t="shared" si="11"/>
        <v>NariñoCUASPUD</v>
      </c>
      <c r="D730" t="s">
        <v>436</v>
      </c>
      <c r="E730" t="s">
        <v>453</v>
      </c>
      <c r="F730" t="s">
        <v>452</v>
      </c>
    </row>
    <row r="731" spans="1:6" hidden="1" x14ac:dyDescent="0.2">
      <c r="A731" t="s">
        <v>435</v>
      </c>
      <c r="B731" t="s">
        <v>454</v>
      </c>
      <c r="C731" t="str">
        <f t="shared" si="11"/>
        <v>NariñoCUMBAL</v>
      </c>
      <c r="D731" t="s">
        <v>436</v>
      </c>
      <c r="E731" t="s">
        <v>456</v>
      </c>
      <c r="F731" t="s">
        <v>455</v>
      </c>
    </row>
    <row r="732" spans="1:6" hidden="1" x14ac:dyDescent="0.2">
      <c r="A732" t="s">
        <v>435</v>
      </c>
      <c r="B732" t="s">
        <v>457</v>
      </c>
      <c r="C732" t="str">
        <f t="shared" si="11"/>
        <v>NariñoCUMBITARA</v>
      </c>
      <c r="D732" t="s">
        <v>436</v>
      </c>
      <c r="E732" t="s">
        <v>852</v>
      </c>
      <c r="F732" t="s">
        <v>3608</v>
      </c>
    </row>
    <row r="733" spans="1:6" hidden="1" x14ac:dyDescent="0.2">
      <c r="A733" t="s">
        <v>435</v>
      </c>
      <c r="B733" t="s">
        <v>3900</v>
      </c>
      <c r="C733" t="str">
        <f t="shared" si="11"/>
        <v>NariñoCHACHAGUI</v>
      </c>
      <c r="D733" t="s">
        <v>436</v>
      </c>
      <c r="E733" t="s">
        <v>459</v>
      </c>
      <c r="F733" t="s">
        <v>458</v>
      </c>
    </row>
    <row r="734" spans="1:6" hidden="1" x14ac:dyDescent="0.2">
      <c r="A734" t="s">
        <v>435</v>
      </c>
      <c r="B734" t="s">
        <v>3903</v>
      </c>
      <c r="C734" t="str">
        <f t="shared" si="11"/>
        <v>NariñoEL CHARCO</v>
      </c>
      <c r="D734" t="s">
        <v>436</v>
      </c>
      <c r="E734" t="s">
        <v>461</v>
      </c>
      <c r="F734" t="s">
        <v>460</v>
      </c>
    </row>
    <row r="735" spans="1:6" hidden="1" x14ac:dyDescent="0.2">
      <c r="A735" t="s">
        <v>435</v>
      </c>
      <c r="B735" t="s">
        <v>462</v>
      </c>
      <c r="C735" t="str">
        <f t="shared" si="11"/>
        <v>NariñoEL PEÑOL</v>
      </c>
      <c r="D735" t="s">
        <v>436</v>
      </c>
      <c r="E735" t="s">
        <v>464</v>
      </c>
      <c r="F735" t="s">
        <v>463</v>
      </c>
    </row>
    <row r="736" spans="1:6" hidden="1" x14ac:dyDescent="0.2">
      <c r="A736" t="s">
        <v>435</v>
      </c>
      <c r="B736" t="s">
        <v>1437</v>
      </c>
      <c r="C736" t="str">
        <f t="shared" si="11"/>
        <v>NariñoEL ROSARIO</v>
      </c>
      <c r="D736" t="s">
        <v>436</v>
      </c>
      <c r="E736" t="s">
        <v>466</v>
      </c>
      <c r="F736" t="s">
        <v>465</v>
      </c>
    </row>
    <row r="737" spans="1:6" hidden="1" x14ac:dyDescent="0.2">
      <c r="A737" t="s">
        <v>435</v>
      </c>
      <c r="B737" t="s">
        <v>1684</v>
      </c>
      <c r="C737" t="str">
        <f t="shared" si="11"/>
        <v>NariñoEL TABLON DE GOMEZ</v>
      </c>
      <c r="D737" t="s">
        <v>436</v>
      </c>
      <c r="E737" t="s">
        <v>468</v>
      </c>
      <c r="F737" t="s">
        <v>467</v>
      </c>
    </row>
    <row r="738" spans="1:6" hidden="1" x14ac:dyDescent="0.2">
      <c r="A738" t="s">
        <v>435</v>
      </c>
      <c r="B738" t="s">
        <v>1686</v>
      </c>
      <c r="C738" t="str">
        <f t="shared" si="11"/>
        <v>NariñoEL TAMBO</v>
      </c>
      <c r="D738" t="s">
        <v>436</v>
      </c>
      <c r="E738" t="s">
        <v>855</v>
      </c>
      <c r="F738" t="s">
        <v>469</v>
      </c>
    </row>
    <row r="739" spans="1:6" hidden="1" x14ac:dyDescent="0.2">
      <c r="A739" t="s">
        <v>435</v>
      </c>
      <c r="B739" t="s">
        <v>2060</v>
      </c>
      <c r="C739" t="str">
        <f t="shared" si="11"/>
        <v>NariñoFUNES</v>
      </c>
      <c r="D739" t="s">
        <v>436</v>
      </c>
      <c r="E739" t="s">
        <v>799</v>
      </c>
      <c r="F739" t="s">
        <v>470</v>
      </c>
    </row>
    <row r="740" spans="1:6" hidden="1" x14ac:dyDescent="0.2">
      <c r="A740" t="s">
        <v>435</v>
      </c>
      <c r="B740" t="s">
        <v>1172</v>
      </c>
      <c r="C740" t="str">
        <f t="shared" si="11"/>
        <v>NariñoGUACHUCAL</v>
      </c>
      <c r="D740" t="s">
        <v>436</v>
      </c>
      <c r="E740" t="s">
        <v>472</v>
      </c>
      <c r="F740" t="s">
        <v>471</v>
      </c>
    </row>
    <row r="741" spans="1:6" hidden="1" x14ac:dyDescent="0.2">
      <c r="A741" t="s">
        <v>435</v>
      </c>
      <c r="B741" t="s">
        <v>1715</v>
      </c>
      <c r="C741" t="str">
        <f t="shared" si="11"/>
        <v>NariñoGUAITARILLA</v>
      </c>
      <c r="D741" t="s">
        <v>436</v>
      </c>
      <c r="E741" t="s">
        <v>3387</v>
      </c>
      <c r="F741" t="s">
        <v>473</v>
      </c>
    </row>
    <row r="742" spans="1:6" hidden="1" x14ac:dyDescent="0.2">
      <c r="A742" t="s">
        <v>435</v>
      </c>
      <c r="B742" t="s">
        <v>474</v>
      </c>
      <c r="C742" t="str">
        <f t="shared" si="11"/>
        <v>NariñoGUALMATAN</v>
      </c>
      <c r="D742" t="s">
        <v>436</v>
      </c>
      <c r="E742" t="s">
        <v>476</v>
      </c>
      <c r="F742" t="s">
        <v>475</v>
      </c>
    </row>
    <row r="743" spans="1:6" hidden="1" x14ac:dyDescent="0.2">
      <c r="A743" t="s">
        <v>435</v>
      </c>
      <c r="B743" t="s">
        <v>477</v>
      </c>
      <c r="C743" t="str">
        <f t="shared" si="11"/>
        <v>NariñoILES</v>
      </c>
      <c r="D743" t="s">
        <v>436</v>
      </c>
      <c r="E743" t="s">
        <v>479</v>
      </c>
      <c r="F743" t="s">
        <v>478</v>
      </c>
    </row>
    <row r="744" spans="1:6" hidden="1" x14ac:dyDescent="0.2">
      <c r="A744" t="s">
        <v>435</v>
      </c>
      <c r="B744" t="s">
        <v>480</v>
      </c>
      <c r="C744" t="str">
        <f t="shared" si="11"/>
        <v>NariñoIMUES</v>
      </c>
      <c r="D744" t="s">
        <v>436</v>
      </c>
      <c r="E744" t="s">
        <v>482</v>
      </c>
      <c r="F744" t="s">
        <v>481</v>
      </c>
    </row>
    <row r="745" spans="1:6" hidden="1" x14ac:dyDescent="0.2">
      <c r="A745" t="s">
        <v>435</v>
      </c>
      <c r="B745" t="s">
        <v>483</v>
      </c>
      <c r="C745" t="str">
        <f t="shared" si="11"/>
        <v>NariñoIPIALES</v>
      </c>
      <c r="D745" t="s">
        <v>436</v>
      </c>
      <c r="E745" t="s">
        <v>485</v>
      </c>
      <c r="F745" t="s">
        <v>484</v>
      </c>
    </row>
    <row r="746" spans="1:6" hidden="1" x14ac:dyDescent="0.2">
      <c r="A746" t="s">
        <v>435</v>
      </c>
      <c r="B746" t="s">
        <v>219</v>
      </c>
      <c r="C746" t="str">
        <f t="shared" si="11"/>
        <v>NariñoLA CRUZ</v>
      </c>
      <c r="D746" t="s">
        <v>436</v>
      </c>
      <c r="E746" t="s">
        <v>487</v>
      </c>
      <c r="F746" t="s">
        <v>486</v>
      </c>
    </row>
    <row r="747" spans="1:6" hidden="1" x14ac:dyDescent="0.2">
      <c r="A747" t="s">
        <v>435</v>
      </c>
      <c r="B747" t="s">
        <v>488</v>
      </c>
      <c r="C747" t="str">
        <f t="shared" si="11"/>
        <v>NariñoLA FLORIDA</v>
      </c>
      <c r="D747" t="s">
        <v>436</v>
      </c>
      <c r="E747" t="s">
        <v>4204</v>
      </c>
      <c r="F747" t="s">
        <v>489</v>
      </c>
    </row>
    <row r="748" spans="1:6" hidden="1" x14ac:dyDescent="0.2">
      <c r="A748" t="s">
        <v>435</v>
      </c>
      <c r="B748" t="s">
        <v>490</v>
      </c>
      <c r="C748" t="str">
        <f t="shared" si="11"/>
        <v>NariñoLA LLANADA</v>
      </c>
      <c r="D748" t="s">
        <v>436</v>
      </c>
      <c r="E748" t="s">
        <v>492</v>
      </c>
      <c r="F748" t="s">
        <v>491</v>
      </c>
    </row>
    <row r="749" spans="1:6" hidden="1" x14ac:dyDescent="0.2">
      <c r="A749" t="s">
        <v>435</v>
      </c>
      <c r="B749" t="s">
        <v>3953</v>
      </c>
      <c r="C749" t="str">
        <f t="shared" si="11"/>
        <v>NariñoLA TOLA</v>
      </c>
      <c r="D749" t="s">
        <v>436</v>
      </c>
      <c r="E749" t="s">
        <v>494</v>
      </c>
      <c r="F749" t="s">
        <v>493</v>
      </c>
    </row>
    <row r="750" spans="1:6" hidden="1" x14ac:dyDescent="0.2">
      <c r="A750" t="s">
        <v>435</v>
      </c>
      <c r="B750" t="s">
        <v>495</v>
      </c>
      <c r="C750" t="str">
        <f t="shared" si="11"/>
        <v>NariñoLA UNION</v>
      </c>
      <c r="D750" t="s">
        <v>436</v>
      </c>
      <c r="E750" t="s">
        <v>3493</v>
      </c>
      <c r="F750" t="s">
        <v>496</v>
      </c>
    </row>
    <row r="751" spans="1:6" hidden="1" x14ac:dyDescent="0.2">
      <c r="A751" t="s">
        <v>435</v>
      </c>
      <c r="B751" t="s">
        <v>497</v>
      </c>
      <c r="C751" t="str">
        <f t="shared" si="11"/>
        <v>NariñoLEIVA</v>
      </c>
      <c r="D751" t="s">
        <v>436</v>
      </c>
      <c r="E751" s="140" t="s">
        <v>499</v>
      </c>
      <c r="F751" t="s">
        <v>498</v>
      </c>
    </row>
    <row r="752" spans="1:6" hidden="1" x14ac:dyDescent="0.2">
      <c r="A752" t="s">
        <v>435</v>
      </c>
      <c r="B752" t="s">
        <v>3958</v>
      </c>
      <c r="C752" t="str">
        <f t="shared" si="11"/>
        <v>NariñoLINARES</v>
      </c>
      <c r="D752" t="s">
        <v>436</v>
      </c>
      <c r="E752" t="s">
        <v>501</v>
      </c>
      <c r="F752" t="s">
        <v>500</v>
      </c>
    </row>
    <row r="753" spans="1:6" hidden="1" x14ac:dyDescent="0.2">
      <c r="A753" t="s">
        <v>435</v>
      </c>
      <c r="B753" t="s">
        <v>1487</v>
      </c>
      <c r="C753" t="str">
        <f t="shared" si="11"/>
        <v>NariñoLOS ANDES</v>
      </c>
      <c r="D753" t="s">
        <v>436</v>
      </c>
      <c r="E753" t="s">
        <v>965</v>
      </c>
      <c r="F753" t="s">
        <v>3609</v>
      </c>
    </row>
    <row r="754" spans="1:6" hidden="1" x14ac:dyDescent="0.2">
      <c r="A754" t="s">
        <v>435</v>
      </c>
      <c r="B754" t="s">
        <v>502</v>
      </c>
      <c r="C754" t="str">
        <f t="shared" si="11"/>
        <v>NariñoMAGUI PAYAN</v>
      </c>
      <c r="D754" t="s">
        <v>436</v>
      </c>
      <c r="E754" s="140" t="s">
        <v>2901</v>
      </c>
      <c r="F754" t="s">
        <v>503</v>
      </c>
    </row>
    <row r="755" spans="1:6" hidden="1" x14ac:dyDescent="0.2">
      <c r="A755" t="s">
        <v>435</v>
      </c>
      <c r="B755" t="s">
        <v>504</v>
      </c>
      <c r="C755" t="str">
        <f t="shared" si="11"/>
        <v>NariñoMALLAMA</v>
      </c>
      <c r="D755" t="s">
        <v>436</v>
      </c>
      <c r="E755" t="s">
        <v>506</v>
      </c>
      <c r="F755" t="s">
        <v>505</v>
      </c>
    </row>
    <row r="756" spans="1:6" hidden="1" x14ac:dyDescent="0.2">
      <c r="A756" t="s">
        <v>435</v>
      </c>
      <c r="B756" t="s">
        <v>2520</v>
      </c>
      <c r="C756" t="str">
        <f t="shared" si="11"/>
        <v>NariñoMOSQUERA</v>
      </c>
      <c r="D756" t="s">
        <v>436</v>
      </c>
      <c r="E756" t="s">
        <v>1756</v>
      </c>
      <c r="F756" t="s">
        <v>507</v>
      </c>
    </row>
    <row r="757" spans="1:6" hidden="1" x14ac:dyDescent="0.2">
      <c r="A757" t="s">
        <v>435</v>
      </c>
      <c r="B757" t="s">
        <v>3973</v>
      </c>
      <c r="C757" t="str">
        <f t="shared" si="11"/>
        <v>NariñoNARIÑO</v>
      </c>
      <c r="D757" t="s">
        <v>436</v>
      </c>
      <c r="E757" t="s">
        <v>4387</v>
      </c>
      <c r="F757" t="s">
        <v>508</v>
      </c>
    </row>
    <row r="758" spans="1:6" hidden="1" x14ac:dyDescent="0.2">
      <c r="A758" t="s">
        <v>435</v>
      </c>
      <c r="B758" t="s">
        <v>3978</v>
      </c>
      <c r="C758" t="str">
        <f t="shared" si="11"/>
        <v>NariñoOLAYA HERRERA</v>
      </c>
      <c r="D758" t="s">
        <v>436</v>
      </c>
      <c r="E758" t="s">
        <v>3382</v>
      </c>
      <c r="F758" t="s">
        <v>3610</v>
      </c>
    </row>
    <row r="759" spans="1:6" hidden="1" x14ac:dyDescent="0.2">
      <c r="A759" t="s">
        <v>435</v>
      </c>
      <c r="B759" t="s">
        <v>1765</v>
      </c>
      <c r="C759" t="str">
        <f t="shared" si="11"/>
        <v>NariñoOSPINA</v>
      </c>
      <c r="D759" t="s">
        <v>436</v>
      </c>
      <c r="E759" t="s">
        <v>849</v>
      </c>
      <c r="F759" t="s">
        <v>509</v>
      </c>
    </row>
    <row r="760" spans="1:6" hidden="1" x14ac:dyDescent="0.2">
      <c r="A760" t="s">
        <v>435</v>
      </c>
      <c r="B760" t="s">
        <v>2434</v>
      </c>
      <c r="C760" t="str">
        <f t="shared" si="11"/>
        <v>NariñoFRANCISCO PIZARRO</v>
      </c>
      <c r="D760" t="s">
        <v>436</v>
      </c>
      <c r="E760" t="s">
        <v>966</v>
      </c>
      <c r="F760" t="s">
        <v>3611</v>
      </c>
    </row>
    <row r="761" spans="1:6" hidden="1" x14ac:dyDescent="0.2">
      <c r="A761" t="s">
        <v>435</v>
      </c>
      <c r="B761" t="s">
        <v>510</v>
      </c>
      <c r="C761" t="str">
        <f t="shared" si="11"/>
        <v>NariñoPOLICARPA</v>
      </c>
      <c r="D761" t="s">
        <v>436</v>
      </c>
      <c r="E761" t="s">
        <v>512</v>
      </c>
      <c r="F761" t="s">
        <v>511</v>
      </c>
    </row>
    <row r="762" spans="1:6" hidden="1" x14ac:dyDescent="0.2">
      <c r="A762" t="s">
        <v>435</v>
      </c>
      <c r="B762" t="s">
        <v>2442</v>
      </c>
      <c r="C762" t="str">
        <f t="shared" si="11"/>
        <v>NariñoPOTOSI</v>
      </c>
      <c r="D762" t="s">
        <v>436</v>
      </c>
      <c r="E762" t="s">
        <v>514</v>
      </c>
      <c r="F762" t="s">
        <v>513</v>
      </c>
    </row>
    <row r="763" spans="1:6" hidden="1" x14ac:dyDescent="0.2">
      <c r="A763" t="s">
        <v>435</v>
      </c>
      <c r="B763" t="s">
        <v>515</v>
      </c>
      <c r="C763" t="str">
        <f t="shared" si="11"/>
        <v>NariñoPROVIDENCIA</v>
      </c>
      <c r="D763" t="s">
        <v>436</v>
      </c>
      <c r="E763" t="s">
        <v>2224</v>
      </c>
      <c r="F763" t="s">
        <v>516</v>
      </c>
    </row>
    <row r="764" spans="1:6" hidden="1" x14ac:dyDescent="0.2">
      <c r="A764" t="s">
        <v>435</v>
      </c>
      <c r="B764" t="s">
        <v>2445</v>
      </c>
      <c r="C764" t="str">
        <f t="shared" si="11"/>
        <v>NariñoPUERRES</v>
      </c>
      <c r="D764" t="s">
        <v>436</v>
      </c>
      <c r="E764" t="s">
        <v>963</v>
      </c>
      <c r="F764" t="s">
        <v>3612</v>
      </c>
    </row>
    <row r="765" spans="1:6" hidden="1" x14ac:dyDescent="0.2">
      <c r="A765" t="s">
        <v>435</v>
      </c>
      <c r="B765" t="s">
        <v>3997</v>
      </c>
      <c r="C765" t="str">
        <f t="shared" si="11"/>
        <v>NariñoPUPIALES</v>
      </c>
      <c r="D765" t="s">
        <v>436</v>
      </c>
      <c r="E765" t="s">
        <v>518</v>
      </c>
      <c r="F765" t="s">
        <v>517</v>
      </c>
    </row>
    <row r="766" spans="1:6" hidden="1" x14ac:dyDescent="0.2">
      <c r="A766" t="s">
        <v>435</v>
      </c>
      <c r="B766" t="s">
        <v>1786</v>
      </c>
      <c r="C766" t="str">
        <f t="shared" si="11"/>
        <v>NariñoRICAURTE</v>
      </c>
      <c r="D766" t="s">
        <v>436</v>
      </c>
      <c r="E766" t="s">
        <v>3445</v>
      </c>
      <c r="F766" t="s">
        <v>519</v>
      </c>
    </row>
    <row r="767" spans="1:6" hidden="1" x14ac:dyDescent="0.2">
      <c r="A767" t="s">
        <v>435</v>
      </c>
      <c r="B767" t="s">
        <v>1266</v>
      </c>
      <c r="C767" t="str">
        <f t="shared" si="11"/>
        <v>NariñoROBERTO PAYAN</v>
      </c>
      <c r="D767" t="s">
        <v>436</v>
      </c>
      <c r="E767" t="s">
        <v>798</v>
      </c>
      <c r="F767" t="s">
        <v>520</v>
      </c>
    </row>
    <row r="768" spans="1:6" hidden="1" x14ac:dyDescent="0.2">
      <c r="A768" t="s">
        <v>435</v>
      </c>
      <c r="B768" t="s">
        <v>1635</v>
      </c>
      <c r="C768" t="str">
        <f t="shared" si="11"/>
        <v>NariñoSAMANIEGO</v>
      </c>
      <c r="D768" t="s">
        <v>436</v>
      </c>
      <c r="E768" t="s">
        <v>3330</v>
      </c>
      <c r="F768" t="s">
        <v>3613</v>
      </c>
    </row>
    <row r="769" spans="1:6" hidden="1" x14ac:dyDescent="0.2">
      <c r="A769" t="s">
        <v>435</v>
      </c>
      <c r="B769" t="s">
        <v>2548</v>
      </c>
      <c r="C769" t="str">
        <f t="shared" si="11"/>
        <v>NariñoSANDONA</v>
      </c>
      <c r="D769" t="s">
        <v>436</v>
      </c>
      <c r="E769" t="s">
        <v>3333</v>
      </c>
      <c r="F769" t="s">
        <v>521</v>
      </c>
    </row>
    <row r="770" spans="1:6" hidden="1" x14ac:dyDescent="0.2">
      <c r="A770" t="s">
        <v>435</v>
      </c>
      <c r="B770" t="s">
        <v>2457</v>
      </c>
      <c r="C770" t="str">
        <f t="shared" si="11"/>
        <v>NariñoSAN BERNARDO</v>
      </c>
      <c r="D770" t="s">
        <v>436</v>
      </c>
      <c r="E770" t="s">
        <v>3470</v>
      </c>
      <c r="F770" t="s">
        <v>522</v>
      </c>
    </row>
    <row r="771" spans="1:6" hidden="1" x14ac:dyDescent="0.2">
      <c r="A771" t="s">
        <v>435</v>
      </c>
      <c r="B771" t="s">
        <v>523</v>
      </c>
      <c r="C771" t="str">
        <f t="shared" ref="C771:C834" si="12">D771&amp;E771</f>
        <v>NariñoSAN LORENZO</v>
      </c>
      <c r="D771" t="s">
        <v>436</v>
      </c>
      <c r="E771" t="s">
        <v>859</v>
      </c>
      <c r="F771" t="s">
        <v>524</v>
      </c>
    </row>
    <row r="772" spans="1:6" hidden="1" x14ac:dyDescent="0.2">
      <c r="A772" t="s">
        <v>435</v>
      </c>
      <c r="B772" t="s">
        <v>1287</v>
      </c>
      <c r="C772" t="str">
        <f t="shared" si="12"/>
        <v>NariñoSAN PABLO</v>
      </c>
      <c r="D772" t="s">
        <v>436</v>
      </c>
      <c r="E772" t="s">
        <v>4362</v>
      </c>
      <c r="F772" t="s">
        <v>525</v>
      </c>
    </row>
    <row r="773" spans="1:6" hidden="1" x14ac:dyDescent="0.2">
      <c r="A773" t="s">
        <v>435</v>
      </c>
      <c r="B773" t="s">
        <v>526</v>
      </c>
      <c r="C773" t="str">
        <f t="shared" si="12"/>
        <v>NariñoSAN PEDRO DE CARTAGO</v>
      </c>
      <c r="D773" t="s">
        <v>436</v>
      </c>
      <c r="E773" t="s">
        <v>528</v>
      </c>
      <c r="F773" t="s">
        <v>527</v>
      </c>
    </row>
    <row r="774" spans="1:6" hidden="1" x14ac:dyDescent="0.2">
      <c r="A774" t="s">
        <v>435</v>
      </c>
      <c r="B774" t="s">
        <v>1290</v>
      </c>
      <c r="C774" t="str">
        <f t="shared" si="12"/>
        <v>NariñoSANTA BARBARA</v>
      </c>
      <c r="D774" t="s">
        <v>436</v>
      </c>
      <c r="E774" t="s">
        <v>4254</v>
      </c>
      <c r="F774" t="s">
        <v>529</v>
      </c>
    </row>
    <row r="775" spans="1:6" hidden="1" x14ac:dyDescent="0.2">
      <c r="A775" t="s">
        <v>435</v>
      </c>
      <c r="B775" t="s">
        <v>530</v>
      </c>
      <c r="C775" t="str">
        <f t="shared" si="12"/>
        <v>NariñoSANTACRUZ</v>
      </c>
      <c r="D775" t="s">
        <v>436</v>
      </c>
      <c r="E775" t="s">
        <v>962</v>
      </c>
      <c r="F775" t="s">
        <v>3614</v>
      </c>
    </row>
    <row r="776" spans="1:6" hidden="1" x14ac:dyDescent="0.2">
      <c r="A776" t="s">
        <v>435</v>
      </c>
      <c r="B776" t="s">
        <v>1293</v>
      </c>
      <c r="C776" t="str">
        <f t="shared" si="12"/>
        <v>NariñoSAPUYES</v>
      </c>
      <c r="D776" t="s">
        <v>436</v>
      </c>
      <c r="E776" t="s">
        <v>3385</v>
      </c>
      <c r="F776" t="s">
        <v>531</v>
      </c>
    </row>
    <row r="777" spans="1:6" hidden="1" x14ac:dyDescent="0.2">
      <c r="A777" t="s">
        <v>435</v>
      </c>
      <c r="B777" t="s">
        <v>532</v>
      </c>
      <c r="C777" t="str">
        <f t="shared" si="12"/>
        <v>NariñoTAMINANGO</v>
      </c>
      <c r="D777" t="s">
        <v>436</v>
      </c>
      <c r="E777" t="s">
        <v>534</v>
      </c>
      <c r="F777" t="s">
        <v>533</v>
      </c>
    </row>
    <row r="778" spans="1:6" hidden="1" x14ac:dyDescent="0.2">
      <c r="A778" t="s">
        <v>435</v>
      </c>
      <c r="B778" t="s">
        <v>535</v>
      </c>
      <c r="C778" t="str">
        <f t="shared" si="12"/>
        <v>NariñoTANGUA</v>
      </c>
      <c r="D778" t="s">
        <v>436</v>
      </c>
      <c r="E778" t="s">
        <v>3329</v>
      </c>
      <c r="F778" t="s">
        <v>536</v>
      </c>
    </row>
    <row r="779" spans="1:6" hidden="1" x14ac:dyDescent="0.2">
      <c r="A779" t="s">
        <v>435</v>
      </c>
      <c r="B779" t="s">
        <v>1359</v>
      </c>
      <c r="C779" t="str">
        <f t="shared" si="12"/>
        <v>NariñoSAN ANDRES DE TUMACO</v>
      </c>
      <c r="D779" t="s">
        <v>436</v>
      </c>
      <c r="E779" t="s">
        <v>4522</v>
      </c>
      <c r="F779" t="s">
        <v>3615</v>
      </c>
    </row>
    <row r="780" spans="1:6" hidden="1" x14ac:dyDescent="0.2">
      <c r="A780" t="s">
        <v>435</v>
      </c>
      <c r="B780" t="s">
        <v>2567</v>
      </c>
      <c r="C780" t="str">
        <f t="shared" si="12"/>
        <v>NariñoTUQUERRES</v>
      </c>
      <c r="D780" t="s">
        <v>436</v>
      </c>
      <c r="E780" t="s">
        <v>3233</v>
      </c>
      <c r="F780" t="s">
        <v>3616</v>
      </c>
    </row>
    <row r="781" spans="1:6" hidden="1" x14ac:dyDescent="0.2">
      <c r="A781" t="s">
        <v>435</v>
      </c>
      <c r="B781" t="s">
        <v>4098</v>
      </c>
      <c r="C781" t="str">
        <f t="shared" si="12"/>
        <v>NariñoYACUANQUER</v>
      </c>
      <c r="D781" t="s">
        <v>436</v>
      </c>
      <c r="E781" t="s">
        <v>4205</v>
      </c>
      <c r="F781" t="s">
        <v>537</v>
      </c>
    </row>
    <row r="782" spans="1:6" hidden="1" x14ac:dyDescent="0.2">
      <c r="A782" t="s">
        <v>538</v>
      </c>
      <c r="B782" t="s">
        <v>3785</v>
      </c>
      <c r="C782" t="str">
        <f t="shared" si="12"/>
        <v>Norte de SantanderCUCUTA</v>
      </c>
      <c r="D782" t="s">
        <v>539</v>
      </c>
      <c r="E782" t="s">
        <v>4299</v>
      </c>
      <c r="F782" t="s">
        <v>3617</v>
      </c>
    </row>
    <row r="783" spans="1:6" hidden="1" x14ac:dyDescent="0.2">
      <c r="A783" t="s">
        <v>538</v>
      </c>
      <c r="B783" t="s">
        <v>540</v>
      </c>
      <c r="C783" t="str">
        <f t="shared" si="12"/>
        <v>Norte de SantanderABREGO</v>
      </c>
      <c r="D783" t="s">
        <v>539</v>
      </c>
      <c r="E783" t="s">
        <v>853</v>
      </c>
      <c r="F783" t="s">
        <v>541</v>
      </c>
    </row>
    <row r="784" spans="1:6" hidden="1" x14ac:dyDescent="0.2">
      <c r="A784" t="s">
        <v>538</v>
      </c>
      <c r="B784" t="s">
        <v>3820</v>
      </c>
      <c r="C784" t="str">
        <f t="shared" si="12"/>
        <v>Norte de SantanderARBOLEDAS</v>
      </c>
      <c r="D784" t="s">
        <v>539</v>
      </c>
      <c r="E784" t="s">
        <v>803</v>
      </c>
      <c r="F784" t="s">
        <v>542</v>
      </c>
    </row>
    <row r="785" spans="1:6" hidden="1" x14ac:dyDescent="0.2">
      <c r="A785" t="s">
        <v>538</v>
      </c>
      <c r="B785" t="s">
        <v>1659</v>
      </c>
      <c r="C785" t="str">
        <f t="shared" si="12"/>
        <v>Norte de SantanderBOCHALEMA</v>
      </c>
      <c r="D785" t="s">
        <v>539</v>
      </c>
      <c r="E785" t="s">
        <v>4225</v>
      </c>
      <c r="F785" t="s">
        <v>543</v>
      </c>
    </row>
    <row r="786" spans="1:6" hidden="1" x14ac:dyDescent="0.2">
      <c r="A786" t="s">
        <v>538</v>
      </c>
      <c r="B786" t="s">
        <v>2598</v>
      </c>
      <c r="C786" t="str">
        <f t="shared" si="12"/>
        <v>Norte de SantanderBUCARASICA</v>
      </c>
      <c r="D786" t="s">
        <v>539</v>
      </c>
      <c r="E786" t="s">
        <v>4236</v>
      </c>
      <c r="F786" t="s">
        <v>544</v>
      </c>
    </row>
    <row r="787" spans="1:6" hidden="1" x14ac:dyDescent="0.2">
      <c r="A787" t="s">
        <v>538</v>
      </c>
      <c r="B787" t="s">
        <v>3848</v>
      </c>
      <c r="C787" t="str">
        <f t="shared" si="12"/>
        <v>Norte de SantanderCACOTA</v>
      </c>
      <c r="D787" t="s">
        <v>539</v>
      </c>
      <c r="E787" t="s">
        <v>67</v>
      </c>
      <c r="F787" t="s">
        <v>545</v>
      </c>
    </row>
    <row r="788" spans="1:6" hidden="1" x14ac:dyDescent="0.2">
      <c r="A788" t="s">
        <v>538</v>
      </c>
      <c r="B788" t="s">
        <v>546</v>
      </c>
      <c r="C788" t="str">
        <f t="shared" si="12"/>
        <v>Norte de SantanderCACHIRA</v>
      </c>
      <c r="D788" t="s">
        <v>539</v>
      </c>
      <c r="E788" t="s">
        <v>850</v>
      </c>
      <c r="F788" t="s">
        <v>547</v>
      </c>
    </row>
    <row r="789" spans="1:6" hidden="1" x14ac:dyDescent="0.2">
      <c r="A789" t="s">
        <v>538</v>
      </c>
      <c r="B789" t="s">
        <v>3877</v>
      </c>
      <c r="C789" t="str">
        <f t="shared" si="12"/>
        <v>Norte de SantanderCHINACOTA</v>
      </c>
      <c r="D789" t="s">
        <v>539</v>
      </c>
      <c r="E789" t="s">
        <v>3392</v>
      </c>
      <c r="F789" t="s">
        <v>3618</v>
      </c>
    </row>
    <row r="790" spans="1:6" hidden="1" x14ac:dyDescent="0.2">
      <c r="A790" t="s">
        <v>538</v>
      </c>
      <c r="B790" t="s">
        <v>1384</v>
      </c>
      <c r="C790" t="str">
        <f t="shared" si="12"/>
        <v>Norte de SantanderCHITAGA</v>
      </c>
      <c r="D790" t="s">
        <v>539</v>
      </c>
      <c r="E790" t="s">
        <v>4373</v>
      </c>
      <c r="F790" t="s">
        <v>548</v>
      </c>
    </row>
    <row r="791" spans="1:6" hidden="1" x14ac:dyDescent="0.2">
      <c r="A791" t="s">
        <v>538</v>
      </c>
      <c r="B791" t="s">
        <v>3886</v>
      </c>
      <c r="C791" t="str">
        <f t="shared" si="12"/>
        <v>Norte de SantanderCONVENCION</v>
      </c>
      <c r="D791" t="s">
        <v>539</v>
      </c>
      <c r="E791" t="s">
        <v>4312</v>
      </c>
      <c r="F791" t="s">
        <v>549</v>
      </c>
    </row>
    <row r="792" spans="1:6" hidden="1" x14ac:dyDescent="0.2">
      <c r="A792" t="s">
        <v>538</v>
      </c>
      <c r="B792" t="s">
        <v>2640</v>
      </c>
      <c r="C792" t="str">
        <f t="shared" si="12"/>
        <v>Norte de SantanderCUCUTILLA</v>
      </c>
      <c r="D792" t="s">
        <v>539</v>
      </c>
      <c r="E792" t="s">
        <v>4222</v>
      </c>
      <c r="F792" t="s">
        <v>550</v>
      </c>
    </row>
    <row r="793" spans="1:6" hidden="1" x14ac:dyDescent="0.2">
      <c r="A793" t="s">
        <v>538</v>
      </c>
      <c r="B793" t="s">
        <v>551</v>
      </c>
      <c r="C793" t="str">
        <f t="shared" si="12"/>
        <v>Norte de SantanderDURANIA</v>
      </c>
      <c r="D793" t="s">
        <v>539</v>
      </c>
      <c r="E793" t="s">
        <v>3354</v>
      </c>
      <c r="F793" t="s">
        <v>552</v>
      </c>
    </row>
    <row r="794" spans="1:6" hidden="1" x14ac:dyDescent="0.2">
      <c r="A794" t="s">
        <v>538</v>
      </c>
      <c r="B794" t="s">
        <v>1681</v>
      </c>
      <c r="C794" t="str">
        <f t="shared" si="12"/>
        <v>Norte de SantanderEL CARMEN</v>
      </c>
      <c r="D794" t="s">
        <v>539</v>
      </c>
      <c r="E794" t="s">
        <v>4238</v>
      </c>
      <c r="F794" t="s">
        <v>553</v>
      </c>
    </row>
    <row r="795" spans="1:6" hidden="1" x14ac:dyDescent="0.2">
      <c r="A795" t="s">
        <v>538</v>
      </c>
      <c r="B795" t="s">
        <v>3903</v>
      </c>
      <c r="C795" t="str">
        <f t="shared" si="12"/>
        <v>Norte de SantanderEL TARRA</v>
      </c>
      <c r="D795" t="s">
        <v>539</v>
      </c>
      <c r="E795" t="s">
        <v>555</v>
      </c>
      <c r="F795" t="s">
        <v>554</v>
      </c>
    </row>
    <row r="796" spans="1:6" hidden="1" x14ac:dyDescent="0.2">
      <c r="A796" t="s">
        <v>538</v>
      </c>
      <c r="B796" t="s">
        <v>556</v>
      </c>
      <c r="C796" t="str">
        <f t="shared" si="12"/>
        <v>Norte de SantanderEL ZULIA</v>
      </c>
      <c r="D796" t="s">
        <v>539</v>
      </c>
      <c r="E796" t="s">
        <v>2237</v>
      </c>
      <c r="F796" t="s">
        <v>3619</v>
      </c>
    </row>
    <row r="797" spans="1:6" hidden="1" x14ac:dyDescent="0.2">
      <c r="A797" t="s">
        <v>538</v>
      </c>
      <c r="B797" t="s">
        <v>3924</v>
      </c>
      <c r="C797" t="str">
        <f t="shared" si="12"/>
        <v>Norte de SantanderGRAMALOTE</v>
      </c>
      <c r="D797" t="s">
        <v>539</v>
      </c>
      <c r="E797" t="s">
        <v>558</v>
      </c>
      <c r="F797" t="s">
        <v>557</v>
      </c>
    </row>
    <row r="798" spans="1:6" hidden="1" x14ac:dyDescent="0.2">
      <c r="A798" t="s">
        <v>538</v>
      </c>
      <c r="B798" t="s">
        <v>559</v>
      </c>
      <c r="C798" t="str">
        <f t="shared" si="12"/>
        <v>Norte de SantanderHACARI</v>
      </c>
      <c r="D798" t="s">
        <v>539</v>
      </c>
      <c r="E798" t="s">
        <v>3540</v>
      </c>
      <c r="F798" t="s">
        <v>560</v>
      </c>
    </row>
    <row r="799" spans="1:6" hidden="1" x14ac:dyDescent="0.2">
      <c r="A799" t="s">
        <v>538</v>
      </c>
      <c r="B799" t="s">
        <v>3933</v>
      </c>
      <c r="C799" t="str">
        <f t="shared" si="12"/>
        <v>Norte de SantanderHERRAN</v>
      </c>
      <c r="D799" t="s">
        <v>539</v>
      </c>
      <c r="E799" t="s">
        <v>4380</v>
      </c>
      <c r="F799" t="s">
        <v>561</v>
      </c>
    </row>
    <row r="800" spans="1:6" hidden="1" x14ac:dyDescent="0.2">
      <c r="A800" t="s">
        <v>538</v>
      </c>
      <c r="B800" t="s">
        <v>1189</v>
      </c>
      <c r="C800" t="str">
        <f t="shared" si="12"/>
        <v>Norte de SantanderLABATECA</v>
      </c>
      <c r="D800" t="s">
        <v>539</v>
      </c>
      <c r="E800" t="s">
        <v>563</v>
      </c>
      <c r="F800" t="s">
        <v>562</v>
      </c>
    </row>
    <row r="801" spans="1:6" hidden="1" x14ac:dyDescent="0.2">
      <c r="A801" t="s">
        <v>538</v>
      </c>
      <c r="B801" t="s">
        <v>490</v>
      </c>
      <c r="C801" t="str">
        <f t="shared" si="12"/>
        <v>Norte de SantanderLA ESPERANZA</v>
      </c>
      <c r="D801" t="s">
        <v>539</v>
      </c>
      <c r="E801" t="s">
        <v>68</v>
      </c>
      <c r="F801" t="s">
        <v>564</v>
      </c>
    </row>
    <row r="802" spans="1:6" hidden="1" x14ac:dyDescent="0.2">
      <c r="A802" t="s">
        <v>538</v>
      </c>
      <c r="B802" t="s">
        <v>1739</v>
      </c>
      <c r="C802" t="str">
        <f t="shared" si="12"/>
        <v>Norte de SantanderLA PLAYA</v>
      </c>
      <c r="D802" t="s">
        <v>539</v>
      </c>
      <c r="E802" t="s">
        <v>3544</v>
      </c>
      <c r="F802" t="s">
        <v>565</v>
      </c>
    </row>
    <row r="803" spans="1:6" hidden="1" x14ac:dyDescent="0.2">
      <c r="A803" t="s">
        <v>538</v>
      </c>
      <c r="B803" t="s">
        <v>497</v>
      </c>
      <c r="C803" t="str">
        <f t="shared" si="12"/>
        <v>Norte de SantanderLOS PATIOS</v>
      </c>
      <c r="D803" t="s">
        <v>539</v>
      </c>
      <c r="E803" t="s">
        <v>4301</v>
      </c>
      <c r="F803" t="s">
        <v>566</v>
      </c>
    </row>
    <row r="804" spans="1:6" hidden="1" x14ac:dyDescent="0.2">
      <c r="A804" t="s">
        <v>538</v>
      </c>
      <c r="B804" t="s">
        <v>1487</v>
      </c>
      <c r="C804" t="str">
        <f t="shared" si="12"/>
        <v>Norte de SantanderLOURDES</v>
      </c>
      <c r="D804" t="s">
        <v>539</v>
      </c>
      <c r="E804" t="s">
        <v>3545</v>
      </c>
      <c r="F804" t="s">
        <v>567</v>
      </c>
    </row>
    <row r="805" spans="1:6" hidden="1" x14ac:dyDescent="0.2">
      <c r="A805" t="s">
        <v>538</v>
      </c>
      <c r="B805" t="s">
        <v>3973</v>
      </c>
      <c r="C805" t="str">
        <f t="shared" si="12"/>
        <v>Norte de SantanderMUTISCUA</v>
      </c>
      <c r="D805" t="s">
        <v>539</v>
      </c>
      <c r="E805" t="s">
        <v>569</v>
      </c>
      <c r="F805" t="s">
        <v>568</v>
      </c>
    </row>
    <row r="806" spans="1:6" hidden="1" x14ac:dyDescent="0.2">
      <c r="A806" t="s">
        <v>538</v>
      </c>
      <c r="B806" t="s">
        <v>570</v>
      </c>
      <c r="C806" t="str">
        <f t="shared" si="12"/>
        <v>Norte de SantanderOCAÑA</v>
      </c>
      <c r="D806" t="s">
        <v>539</v>
      </c>
      <c r="E806" t="s">
        <v>4372</v>
      </c>
      <c r="F806" t="s">
        <v>3620</v>
      </c>
    </row>
    <row r="807" spans="1:6" hidden="1" x14ac:dyDescent="0.2">
      <c r="A807" t="s">
        <v>538</v>
      </c>
      <c r="B807" t="s">
        <v>1239</v>
      </c>
      <c r="C807" t="str">
        <f t="shared" si="12"/>
        <v>Norte de SantanderPAMPLONA</v>
      </c>
      <c r="D807" t="s">
        <v>539</v>
      </c>
      <c r="E807" t="s">
        <v>3357</v>
      </c>
      <c r="F807" t="s">
        <v>3621</v>
      </c>
    </row>
    <row r="808" spans="1:6" hidden="1" x14ac:dyDescent="0.2">
      <c r="A808" t="s">
        <v>538</v>
      </c>
      <c r="B808" t="s">
        <v>2434</v>
      </c>
      <c r="C808" t="str">
        <f t="shared" si="12"/>
        <v>Norte de SantanderPAMPLONITA</v>
      </c>
      <c r="D808" t="s">
        <v>539</v>
      </c>
      <c r="E808" t="s">
        <v>3556</v>
      </c>
      <c r="F808" t="s">
        <v>571</v>
      </c>
    </row>
    <row r="809" spans="1:6" hidden="1" x14ac:dyDescent="0.2">
      <c r="A809" t="s">
        <v>538</v>
      </c>
      <c r="B809" t="s">
        <v>572</v>
      </c>
      <c r="C809" t="str">
        <f t="shared" si="12"/>
        <v>Norte de SantanderPUERTO SANTANDER</v>
      </c>
      <c r="D809" t="s">
        <v>539</v>
      </c>
      <c r="E809" t="s">
        <v>3442</v>
      </c>
      <c r="F809" t="s">
        <v>573</v>
      </c>
    </row>
    <row r="810" spans="1:6" hidden="1" x14ac:dyDescent="0.2">
      <c r="A810" t="s">
        <v>538</v>
      </c>
      <c r="B810" t="s">
        <v>1262</v>
      </c>
      <c r="C810" t="str">
        <f t="shared" si="12"/>
        <v>Norte de SantanderRAGONVALIA</v>
      </c>
      <c r="D810" t="s">
        <v>539</v>
      </c>
      <c r="E810" t="s">
        <v>3388</v>
      </c>
      <c r="F810" t="s">
        <v>574</v>
      </c>
    </row>
    <row r="811" spans="1:6" hidden="1" x14ac:dyDescent="0.2">
      <c r="A811" t="s">
        <v>538</v>
      </c>
      <c r="B811" t="s">
        <v>4032</v>
      </c>
      <c r="C811" t="str">
        <f t="shared" si="12"/>
        <v>Norte de SantanderSALAZAR</v>
      </c>
      <c r="D811" t="s">
        <v>539</v>
      </c>
      <c r="E811" t="s">
        <v>2230</v>
      </c>
      <c r="F811" t="s">
        <v>3622</v>
      </c>
    </row>
    <row r="812" spans="1:6" hidden="1" x14ac:dyDescent="0.2">
      <c r="A812" t="s">
        <v>538</v>
      </c>
      <c r="B812" t="s">
        <v>4042</v>
      </c>
      <c r="C812" t="str">
        <f t="shared" si="12"/>
        <v>Norte de SantanderSAN CALIXTO</v>
      </c>
      <c r="D812" t="s">
        <v>539</v>
      </c>
      <c r="E812" t="s">
        <v>576</v>
      </c>
      <c r="F812" t="s">
        <v>575</v>
      </c>
    </row>
    <row r="813" spans="1:6" hidden="1" x14ac:dyDescent="0.2">
      <c r="A813" t="s">
        <v>538</v>
      </c>
      <c r="B813" t="s">
        <v>2545</v>
      </c>
      <c r="C813" t="str">
        <f t="shared" si="12"/>
        <v>Norte de SantanderSAN CAYETANO</v>
      </c>
      <c r="D813" t="s">
        <v>539</v>
      </c>
      <c r="E813" t="s">
        <v>3296</v>
      </c>
      <c r="F813" t="s">
        <v>577</v>
      </c>
    </row>
    <row r="814" spans="1:6" hidden="1" x14ac:dyDescent="0.2">
      <c r="A814" t="s">
        <v>538</v>
      </c>
      <c r="B814" t="s">
        <v>425</v>
      </c>
      <c r="C814" t="str">
        <f t="shared" si="12"/>
        <v>Norte de SantanderSANTIAGO</v>
      </c>
      <c r="D814" t="s">
        <v>539</v>
      </c>
      <c r="E814" t="s">
        <v>3557</v>
      </c>
      <c r="F814" t="s">
        <v>578</v>
      </c>
    </row>
    <row r="815" spans="1:6" hidden="1" x14ac:dyDescent="0.2">
      <c r="A815" t="s">
        <v>538</v>
      </c>
      <c r="B815" t="s">
        <v>1293</v>
      </c>
      <c r="C815" t="str">
        <f t="shared" si="12"/>
        <v>Norte de SantanderSARDINATA</v>
      </c>
      <c r="D815" t="s">
        <v>539</v>
      </c>
      <c r="E815" t="s">
        <v>802</v>
      </c>
      <c r="F815" t="s">
        <v>3623</v>
      </c>
    </row>
    <row r="816" spans="1:6" hidden="1" x14ac:dyDescent="0.2">
      <c r="A816" t="s">
        <v>538</v>
      </c>
      <c r="B816" t="s">
        <v>1513</v>
      </c>
      <c r="C816" t="str">
        <f t="shared" si="12"/>
        <v>Norte de SantanderSILOS</v>
      </c>
      <c r="D816" t="s">
        <v>539</v>
      </c>
      <c r="E816" t="s">
        <v>580</v>
      </c>
      <c r="F816" t="s">
        <v>579</v>
      </c>
    </row>
    <row r="817" spans="1:6" hidden="1" x14ac:dyDescent="0.2">
      <c r="A817" t="s">
        <v>538</v>
      </c>
      <c r="B817" t="s">
        <v>196</v>
      </c>
      <c r="C817" t="str">
        <f t="shared" si="12"/>
        <v>Norte de SantanderTEORAMA</v>
      </c>
      <c r="D817" t="s">
        <v>539</v>
      </c>
      <c r="E817" t="s">
        <v>3539</v>
      </c>
      <c r="F817" t="s">
        <v>581</v>
      </c>
    </row>
    <row r="818" spans="1:6" hidden="1" x14ac:dyDescent="0.2">
      <c r="A818" t="s">
        <v>538</v>
      </c>
      <c r="B818" t="s">
        <v>2561</v>
      </c>
      <c r="C818" t="str">
        <f t="shared" si="12"/>
        <v>Norte de SantanderTIBU</v>
      </c>
      <c r="D818" t="s">
        <v>539</v>
      </c>
      <c r="E818" t="s">
        <v>2235</v>
      </c>
      <c r="F818" t="s">
        <v>582</v>
      </c>
    </row>
    <row r="819" spans="1:6" hidden="1" x14ac:dyDescent="0.2">
      <c r="A819" t="s">
        <v>538</v>
      </c>
      <c r="B819" t="s">
        <v>1352</v>
      </c>
      <c r="C819" t="str">
        <f t="shared" si="12"/>
        <v>Norte de SantanderTOLEDO</v>
      </c>
      <c r="D819" t="s">
        <v>539</v>
      </c>
      <c r="E819" t="s">
        <v>3362</v>
      </c>
      <c r="F819" t="s">
        <v>583</v>
      </c>
    </row>
    <row r="820" spans="1:6" hidden="1" x14ac:dyDescent="0.2">
      <c r="A820" t="s">
        <v>538</v>
      </c>
      <c r="B820" t="s">
        <v>1838</v>
      </c>
      <c r="C820" t="str">
        <f t="shared" si="12"/>
        <v>Norte de SantanderVILLA CARO</v>
      </c>
      <c r="D820" t="s">
        <v>539</v>
      </c>
      <c r="E820" t="s">
        <v>4523</v>
      </c>
      <c r="F820" t="s">
        <v>584</v>
      </c>
    </row>
    <row r="821" spans="1:6" hidden="1" x14ac:dyDescent="0.2">
      <c r="A821" t="s">
        <v>538</v>
      </c>
      <c r="B821" t="s">
        <v>732</v>
      </c>
      <c r="C821" t="str">
        <f t="shared" si="12"/>
        <v>Norte de SantanderVILLA DEL ROSARIO</v>
      </c>
      <c r="D821" t="s">
        <v>539</v>
      </c>
      <c r="E821" t="s">
        <v>4300</v>
      </c>
      <c r="F821" t="s">
        <v>3624</v>
      </c>
    </row>
    <row r="822" spans="1:6" hidden="1" x14ac:dyDescent="0.2">
      <c r="A822" t="s">
        <v>585</v>
      </c>
      <c r="B822" t="s">
        <v>3785</v>
      </c>
      <c r="C822" t="str">
        <f t="shared" si="12"/>
        <v>QuindioARMENIA</v>
      </c>
      <c r="D822" t="s">
        <v>586</v>
      </c>
      <c r="E822" t="s">
        <v>4351</v>
      </c>
      <c r="F822" t="s">
        <v>3625</v>
      </c>
    </row>
    <row r="823" spans="1:6" hidden="1" x14ac:dyDescent="0.2">
      <c r="A823" t="s">
        <v>585</v>
      </c>
      <c r="B823" t="s">
        <v>587</v>
      </c>
      <c r="C823" t="str">
        <f t="shared" si="12"/>
        <v>QuindioBUENAVISTA</v>
      </c>
      <c r="D823" t="s">
        <v>586</v>
      </c>
      <c r="E823" t="s">
        <v>2203</v>
      </c>
      <c r="F823" t="s">
        <v>588</v>
      </c>
    </row>
    <row r="824" spans="1:6" hidden="1" x14ac:dyDescent="0.2">
      <c r="A824" t="s">
        <v>585</v>
      </c>
      <c r="B824" t="s">
        <v>1470</v>
      </c>
      <c r="C824" t="str">
        <f t="shared" si="12"/>
        <v>QuindioCALARCA</v>
      </c>
      <c r="D824" t="s">
        <v>586</v>
      </c>
      <c r="E824" t="s">
        <v>3535</v>
      </c>
      <c r="F824" t="s">
        <v>3626</v>
      </c>
    </row>
    <row r="825" spans="1:6" hidden="1" x14ac:dyDescent="0.2">
      <c r="A825" t="s">
        <v>585</v>
      </c>
      <c r="B825" t="s">
        <v>3880</v>
      </c>
      <c r="C825" t="str">
        <f t="shared" si="12"/>
        <v>QuindioCIRCASIA</v>
      </c>
      <c r="D825" t="s">
        <v>586</v>
      </c>
      <c r="E825" t="s">
        <v>3349</v>
      </c>
      <c r="F825" t="s">
        <v>589</v>
      </c>
    </row>
    <row r="826" spans="1:6" hidden="1" x14ac:dyDescent="0.2">
      <c r="A826" t="s">
        <v>585</v>
      </c>
      <c r="B826" t="s">
        <v>3892</v>
      </c>
      <c r="C826" t="str">
        <f t="shared" si="12"/>
        <v>QuindioCORDOBA</v>
      </c>
      <c r="D826" t="s">
        <v>586</v>
      </c>
      <c r="E826" t="s">
        <v>4282</v>
      </c>
      <c r="F826" t="s">
        <v>3627</v>
      </c>
    </row>
    <row r="827" spans="1:6" hidden="1" x14ac:dyDescent="0.2">
      <c r="A827" t="s">
        <v>585</v>
      </c>
      <c r="B827" t="s">
        <v>2660</v>
      </c>
      <c r="C827" t="str">
        <f t="shared" si="12"/>
        <v>QuindioFILANDIA</v>
      </c>
      <c r="D827" t="s">
        <v>586</v>
      </c>
      <c r="E827" t="s">
        <v>797</v>
      </c>
      <c r="F827" t="s">
        <v>590</v>
      </c>
    </row>
    <row r="828" spans="1:6" hidden="1" x14ac:dyDescent="0.2">
      <c r="A828" t="s">
        <v>585</v>
      </c>
      <c r="B828" t="s">
        <v>591</v>
      </c>
      <c r="C828" t="str">
        <f t="shared" si="12"/>
        <v>QuindioGENOVA</v>
      </c>
      <c r="D828" t="s">
        <v>586</v>
      </c>
      <c r="E828" t="s">
        <v>858</v>
      </c>
      <c r="F828" t="s">
        <v>3628</v>
      </c>
    </row>
    <row r="829" spans="1:6" hidden="1" x14ac:dyDescent="0.2">
      <c r="A829" t="s">
        <v>585</v>
      </c>
      <c r="B829" t="s">
        <v>1194</v>
      </c>
      <c r="C829" t="str">
        <f t="shared" si="12"/>
        <v>QuindioLA TEBAIDA</v>
      </c>
      <c r="D829" t="s">
        <v>586</v>
      </c>
      <c r="E829" t="s">
        <v>4339</v>
      </c>
      <c r="F829" t="s">
        <v>3629</v>
      </c>
    </row>
    <row r="830" spans="1:6" hidden="1" x14ac:dyDescent="0.2">
      <c r="A830" t="s">
        <v>585</v>
      </c>
      <c r="B830" t="s">
        <v>592</v>
      </c>
      <c r="C830" t="str">
        <f t="shared" si="12"/>
        <v>QuindioMONTENEGRO</v>
      </c>
      <c r="D830" t="s">
        <v>586</v>
      </c>
      <c r="E830" t="s">
        <v>3507</v>
      </c>
      <c r="F830" t="s">
        <v>593</v>
      </c>
    </row>
    <row r="831" spans="1:6" hidden="1" x14ac:dyDescent="0.2">
      <c r="A831" t="s">
        <v>585</v>
      </c>
      <c r="B831" t="s">
        <v>1499</v>
      </c>
      <c r="C831" t="str">
        <f t="shared" si="12"/>
        <v>QuindioPIJAO</v>
      </c>
      <c r="D831" t="s">
        <v>586</v>
      </c>
      <c r="E831" t="s">
        <v>3361</v>
      </c>
      <c r="F831" t="s">
        <v>3630</v>
      </c>
    </row>
    <row r="832" spans="1:6" hidden="1" x14ac:dyDescent="0.2">
      <c r="A832" t="s">
        <v>585</v>
      </c>
      <c r="B832" t="s">
        <v>1780</v>
      </c>
      <c r="C832" t="str">
        <f t="shared" si="12"/>
        <v>QuindioQUIMBAYA</v>
      </c>
      <c r="D832" t="s">
        <v>586</v>
      </c>
      <c r="E832" t="s">
        <v>4333</v>
      </c>
      <c r="F832" t="s">
        <v>3631</v>
      </c>
    </row>
    <row r="833" spans="1:6" hidden="1" x14ac:dyDescent="0.2">
      <c r="A833" t="s">
        <v>585</v>
      </c>
      <c r="B833" t="s">
        <v>4052</v>
      </c>
      <c r="C833" t="str">
        <f t="shared" si="12"/>
        <v>QuindioSALENTO</v>
      </c>
      <c r="D833" t="s">
        <v>586</v>
      </c>
      <c r="E833" t="s">
        <v>4252</v>
      </c>
      <c r="F833" t="s">
        <v>594</v>
      </c>
    </row>
    <row r="834" spans="1:6" hidden="1" x14ac:dyDescent="0.2">
      <c r="A834" t="s">
        <v>595</v>
      </c>
      <c r="B834" t="s">
        <v>3785</v>
      </c>
      <c r="C834" t="str">
        <f t="shared" si="12"/>
        <v>RisaraldaPEREIRA</v>
      </c>
      <c r="D834" t="s">
        <v>596</v>
      </c>
      <c r="E834" t="s">
        <v>2228</v>
      </c>
      <c r="F834" t="s">
        <v>3632</v>
      </c>
    </row>
    <row r="835" spans="1:6" hidden="1" x14ac:dyDescent="0.2">
      <c r="A835" t="s">
        <v>595</v>
      </c>
      <c r="B835" t="s">
        <v>3817</v>
      </c>
      <c r="C835" t="str">
        <f t="shared" ref="C835:C898" si="13">D835&amp;E835</f>
        <v>RisaraldaAPIA</v>
      </c>
      <c r="D835" t="s">
        <v>596</v>
      </c>
      <c r="E835" t="s">
        <v>3302</v>
      </c>
      <c r="F835" t="s">
        <v>597</v>
      </c>
    </row>
    <row r="836" spans="1:6" hidden="1" x14ac:dyDescent="0.2">
      <c r="A836" t="s">
        <v>595</v>
      </c>
      <c r="B836" t="s">
        <v>1465</v>
      </c>
      <c r="C836" t="str">
        <f t="shared" si="13"/>
        <v>RisaraldaBALBOA</v>
      </c>
      <c r="D836" t="s">
        <v>596</v>
      </c>
      <c r="E836" t="s">
        <v>3553</v>
      </c>
      <c r="F836" t="s">
        <v>598</v>
      </c>
    </row>
    <row r="837" spans="1:6" hidden="1" x14ac:dyDescent="0.2">
      <c r="A837" t="s">
        <v>595</v>
      </c>
      <c r="B837" t="s">
        <v>3832</v>
      </c>
      <c r="C837" t="str">
        <f t="shared" si="13"/>
        <v>RisaraldaBELEN DE UMBRIA</v>
      </c>
      <c r="D837" t="s">
        <v>596</v>
      </c>
      <c r="E837" t="s">
        <v>3338</v>
      </c>
      <c r="F837" t="s">
        <v>599</v>
      </c>
    </row>
    <row r="838" spans="1:6" hidden="1" x14ac:dyDescent="0.2">
      <c r="A838" t="s">
        <v>595</v>
      </c>
      <c r="B838" t="s">
        <v>746</v>
      </c>
      <c r="C838" t="str">
        <f t="shared" si="13"/>
        <v>RisaraldaDOSQUEBRADAS</v>
      </c>
      <c r="D838" t="s">
        <v>596</v>
      </c>
      <c r="E838" t="s">
        <v>601</v>
      </c>
      <c r="F838" t="s">
        <v>600</v>
      </c>
    </row>
    <row r="839" spans="1:6" hidden="1" x14ac:dyDescent="0.2">
      <c r="A839" t="s">
        <v>595</v>
      </c>
      <c r="B839" t="s">
        <v>3928</v>
      </c>
      <c r="C839" t="str">
        <f t="shared" si="13"/>
        <v>RisaraldaGUATICA</v>
      </c>
      <c r="D839" t="s">
        <v>596</v>
      </c>
      <c r="E839" t="s">
        <v>4313</v>
      </c>
      <c r="F839" t="s">
        <v>602</v>
      </c>
    </row>
    <row r="840" spans="1:6" hidden="1" x14ac:dyDescent="0.2">
      <c r="A840" t="s">
        <v>595</v>
      </c>
      <c r="B840" t="s">
        <v>1557</v>
      </c>
      <c r="C840" t="str">
        <f t="shared" si="13"/>
        <v>RisaraldaLA CELIA</v>
      </c>
      <c r="D840" t="s">
        <v>596</v>
      </c>
      <c r="E840" t="s">
        <v>3342</v>
      </c>
      <c r="F840" t="s">
        <v>3282</v>
      </c>
    </row>
    <row r="841" spans="1:6" hidden="1" x14ac:dyDescent="0.2">
      <c r="A841" t="s">
        <v>595</v>
      </c>
      <c r="B841" t="s">
        <v>3956</v>
      </c>
      <c r="C841" t="str">
        <f t="shared" si="13"/>
        <v>RisaraldaLA VIRGINIA</v>
      </c>
      <c r="D841" t="s">
        <v>596</v>
      </c>
      <c r="E841" t="s">
        <v>3377</v>
      </c>
      <c r="F841" t="s">
        <v>603</v>
      </c>
    </row>
    <row r="842" spans="1:6" hidden="1" x14ac:dyDescent="0.2">
      <c r="A842" t="s">
        <v>595</v>
      </c>
      <c r="B842" t="s">
        <v>3964</v>
      </c>
      <c r="C842" t="str">
        <f t="shared" si="13"/>
        <v>RisaraldaMARSELLA</v>
      </c>
      <c r="D842" t="s">
        <v>596</v>
      </c>
      <c r="E842" t="s">
        <v>3304</v>
      </c>
      <c r="F842" t="s">
        <v>3283</v>
      </c>
    </row>
    <row r="843" spans="1:6" hidden="1" x14ac:dyDescent="0.2">
      <c r="A843" t="s">
        <v>595</v>
      </c>
      <c r="B843" t="s">
        <v>604</v>
      </c>
      <c r="C843" t="str">
        <f t="shared" si="13"/>
        <v>RisaraldaMISTRATO</v>
      </c>
      <c r="D843" t="s">
        <v>596</v>
      </c>
      <c r="E843" t="s">
        <v>3303</v>
      </c>
      <c r="F843" t="s">
        <v>605</v>
      </c>
    </row>
    <row r="844" spans="1:6" hidden="1" x14ac:dyDescent="0.2">
      <c r="A844" t="s">
        <v>595</v>
      </c>
      <c r="B844" t="s">
        <v>1259</v>
      </c>
      <c r="C844" t="str">
        <f t="shared" si="13"/>
        <v>RisaraldaPUEBLO RICO</v>
      </c>
      <c r="D844" t="s">
        <v>596</v>
      </c>
      <c r="E844" t="s">
        <v>1957</v>
      </c>
      <c r="F844" t="s">
        <v>606</v>
      </c>
    </row>
    <row r="845" spans="1:6" hidden="1" x14ac:dyDescent="0.2">
      <c r="A845" t="s">
        <v>595</v>
      </c>
      <c r="B845" t="s">
        <v>1780</v>
      </c>
      <c r="C845" t="str">
        <f t="shared" si="13"/>
        <v>RisaraldaQUINCHIA</v>
      </c>
      <c r="D845" t="s">
        <v>596</v>
      </c>
      <c r="E845" t="s">
        <v>2251</v>
      </c>
      <c r="F845" t="s">
        <v>607</v>
      </c>
    </row>
    <row r="846" spans="1:6" hidden="1" x14ac:dyDescent="0.2">
      <c r="A846" t="s">
        <v>595</v>
      </c>
      <c r="B846" t="s">
        <v>1637</v>
      </c>
      <c r="C846" t="str">
        <f t="shared" si="13"/>
        <v>RisaraldaSANTA ROSA DE CABAL</v>
      </c>
      <c r="D846" t="s">
        <v>596</v>
      </c>
      <c r="E846" t="s">
        <v>4365</v>
      </c>
      <c r="F846" t="s">
        <v>3284</v>
      </c>
    </row>
    <row r="847" spans="1:6" hidden="1" x14ac:dyDescent="0.2">
      <c r="A847" t="s">
        <v>595</v>
      </c>
      <c r="B847" t="s">
        <v>523</v>
      </c>
      <c r="C847" t="str">
        <f t="shared" si="13"/>
        <v>RisaraldaSANTUARIO</v>
      </c>
      <c r="D847" t="s">
        <v>596</v>
      </c>
      <c r="E847" t="s">
        <v>4320</v>
      </c>
      <c r="F847" t="s">
        <v>608</v>
      </c>
    </row>
    <row r="848" spans="1:6" hidden="1" x14ac:dyDescent="0.2">
      <c r="A848" t="s">
        <v>609</v>
      </c>
      <c r="B848" t="s">
        <v>3785</v>
      </c>
      <c r="C848" t="str">
        <f t="shared" si="13"/>
        <v>SantanderBUCARAMANGA</v>
      </c>
      <c r="D848" t="s">
        <v>610</v>
      </c>
      <c r="E848" t="s">
        <v>4232</v>
      </c>
      <c r="F848" t="s">
        <v>3285</v>
      </c>
    </row>
    <row r="849" spans="1:6" hidden="1" x14ac:dyDescent="0.2">
      <c r="A849" t="s">
        <v>609</v>
      </c>
      <c r="B849" t="s">
        <v>1378</v>
      </c>
      <c r="C849" t="str">
        <f t="shared" si="13"/>
        <v>SantanderAGUADA</v>
      </c>
      <c r="D849" t="s">
        <v>610</v>
      </c>
      <c r="E849" t="s">
        <v>612</v>
      </c>
      <c r="F849" t="s">
        <v>611</v>
      </c>
    </row>
    <row r="850" spans="1:6" hidden="1" x14ac:dyDescent="0.2">
      <c r="A850" t="s">
        <v>609</v>
      </c>
      <c r="B850" t="s">
        <v>205</v>
      </c>
      <c r="C850" t="str">
        <f t="shared" si="13"/>
        <v>SantanderALBANIA</v>
      </c>
      <c r="D850" t="s">
        <v>610</v>
      </c>
      <c r="E850" t="s">
        <v>1428</v>
      </c>
      <c r="F850" t="s">
        <v>613</v>
      </c>
    </row>
    <row r="851" spans="1:6" hidden="1" x14ac:dyDescent="0.2">
      <c r="A851" t="s">
        <v>609</v>
      </c>
      <c r="B851" t="s">
        <v>3820</v>
      </c>
      <c r="C851" t="str">
        <f t="shared" si="13"/>
        <v>SantanderARATOCA</v>
      </c>
      <c r="D851" t="s">
        <v>610</v>
      </c>
      <c r="E851" t="s">
        <v>615</v>
      </c>
      <c r="F851" t="s">
        <v>614</v>
      </c>
    </row>
    <row r="852" spans="1:6" hidden="1" x14ac:dyDescent="0.2">
      <c r="A852" t="s">
        <v>609</v>
      </c>
      <c r="B852" t="s">
        <v>1860</v>
      </c>
      <c r="C852" t="str">
        <f t="shared" si="13"/>
        <v>SantanderBARBOSA</v>
      </c>
      <c r="D852" t="s">
        <v>610</v>
      </c>
      <c r="E852" t="s">
        <v>2259</v>
      </c>
      <c r="F852" t="s">
        <v>616</v>
      </c>
    </row>
    <row r="853" spans="1:6" hidden="1" x14ac:dyDescent="0.2">
      <c r="A853" t="s">
        <v>609</v>
      </c>
      <c r="B853" t="s">
        <v>3827</v>
      </c>
      <c r="C853" t="str">
        <f t="shared" si="13"/>
        <v>SantanderBARICHARA</v>
      </c>
      <c r="D853" t="s">
        <v>610</v>
      </c>
      <c r="E853" t="s">
        <v>618</v>
      </c>
      <c r="F853" t="s">
        <v>617</v>
      </c>
    </row>
    <row r="854" spans="1:6" hidden="1" x14ac:dyDescent="0.2">
      <c r="A854" t="s">
        <v>609</v>
      </c>
      <c r="B854" t="s">
        <v>619</v>
      </c>
      <c r="C854" t="str">
        <f t="shared" si="13"/>
        <v>SantanderBARRANCABERMEJA</v>
      </c>
      <c r="D854" t="s">
        <v>610</v>
      </c>
      <c r="E854" t="s">
        <v>4243</v>
      </c>
      <c r="F854" t="s">
        <v>620</v>
      </c>
    </row>
    <row r="855" spans="1:6" hidden="1" x14ac:dyDescent="0.2">
      <c r="A855" t="s">
        <v>609</v>
      </c>
      <c r="B855" t="s">
        <v>2589</v>
      </c>
      <c r="C855" t="str">
        <f t="shared" si="13"/>
        <v>SantanderBETULIA</v>
      </c>
      <c r="D855" t="s">
        <v>610</v>
      </c>
      <c r="E855" t="s">
        <v>4256</v>
      </c>
      <c r="F855" t="s">
        <v>621</v>
      </c>
    </row>
    <row r="856" spans="1:6" hidden="1" x14ac:dyDescent="0.2">
      <c r="A856" t="s">
        <v>609</v>
      </c>
      <c r="B856" t="s">
        <v>3838</v>
      </c>
      <c r="C856" t="str">
        <f t="shared" si="13"/>
        <v>SantanderBOLIVAR</v>
      </c>
      <c r="D856" t="s">
        <v>610</v>
      </c>
      <c r="E856" t="s">
        <v>4352</v>
      </c>
      <c r="F856" t="s">
        <v>622</v>
      </c>
    </row>
    <row r="857" spans="1:6" hidden="1" x14ac:dyDescent="0.2">
      <c r="A857" t="s">
        <v>609</v>
      </c>
      <c r="B857" t="s">
        <v>623</v>
      </c>
      <c r="C857" t="str">
        <f t="shared" si="13"/>
        <v>SantanderCABRERA</v>
      </c>
      <c r="D857" t="s">
        <v>610</v>
      </c>
      <c r="E857" t="s">
        <v>4374</v>
      </c>
      <c r="F857" t="s">
        <v>624</v>
      </c>
    </row>
    <row r="858" spans="1:6" hidden="1" x14ac:dyDescent="0.2">
      <c r="A858" t="s">
        <v>609</v>
      </c>
      <c r="B858" t="s">
        <v>207</v>
      </c>
      <c r="C858" t="str">
        <f t="shared" si="13"/>
        <v>SantanderCALIFORNIA</v>
      </c>
      <c r="D858" t="s">
        <v>610</v>
      </c>
      <c r="E858" t="s">
        <v>967</v>
      </c>
      <c r="F858" t="s">
        <v>3286</v>
      </c>
    </row>
    <row r="859" spans="1:6" hidden="1" x14ac:dyDescent="0.2">
      <c r="A859" t="s">
        <v>609</v>
      </c>
      <c r="B859" t="s">
        <v>3865</v>
      </c>
      <c r="C859" t="str">
        <f t="shared" si="13"/>
        <v>SantanderCAPITANEJO</v>
      </c>
      <c r="D859" t="s">
        <v>610</v>
      </c>
      <c r="E859" t="s">
        <v>626</v>
      </c>
      <c r="F859" t="s">
        <v>625</v>
      </c>
    </row>
    <row r="860" spans="1:6" hidden="1" x14ac:dyDescent="0.2">
      <c r="A860" t="s">
        <v>609</v>
      </c>
      <c r="B860" t="s">
        <v>627</v>
      </c>
      <c r="C860" t="str">
        <f t="shared" si="13"/>
        <v>SantanderCARCASI</v>
      </c>
      <c r="D860" t="s">
        <v>610</v>
      </c>
      <c r="E860" t="s">
        <v>629</v>
      </c>
      <c r="F860" t="s">
        <v>628</v>
      </c>
    </row>
    <row r="861" spans="1:6" hidden="1" x14ac:dyDescent="0.2">
      <c r="A861" t="s">
        <v>609</v>
      </c>
      <c r="B861" t="s">
        <v>2491</v>
      </c>
      <c r="C861" t="str">
        <f t="shared" si="13"/>
        <v>SantanderCEPITA</v>
      </c>
      <c r="D861" t="s">
        <v>610</v>
      </c>
      <c r="E861" t="s">
        <v>631</v>
      </c>
      <c r="F861" t="s">
        <v>630</v>
      </c>
    </row>
    <row r="862" spans="1:6" hidden="1" x14ac:dyDescent="0.2">
      <c r="A862" t="s">
        <v>609</v>
      </c>
      <c r="B862" t="s">
        <v>2608</v>
      </c>
      <c r="C862" t="str">
        <f t="shared" si="13"/>
        <v>SantanderCERRITO</v>
      </c>
      <c r="D862" t="s">
        <v>610</v>
      </c>
      <c r="E862" t="s">
        <v>4524</v>
      </c>
      <c r="F862" t="s">
        <v>632</v>
      </c>
    </row>
    <row r="863" spans="1:6" hidden="1" x14ac:dyDescent="0.2">
      <c r="A863" t="s">
        <v>609</v>
      </c>
      <c r="B863" t="s">
        <v>633</v>
      </c>
      <c r="C863" t="str">
        <f t="shared" si="13"/>
        <v>SantanderCHARALA</v>
      </c>
      <c r="D863" t="s">
        <v>610</v>
      </c>
      <c r="E863" t="s">
        <v>635</v>
      </c>
      <c r="F863" t="s">
        <v>634</v>
      </c>
    </row>
    <row r="864" spans="1:6" hidden="1" x14ac:dyDescent="0.2">
      <c r="A864" t="s">
        <v>609</v>
      </c>
      <c r="B864" t="s">
        <v>636</v>
      </c>
      <c r="C864" t="str">
        <f t="shared" si="13"/>
        <v>SantanderCHARTA</v>
      </c>
      <c r="D864" t="s">
        <v>610</v>
      </c>
      <c r="E864" t="s">
        <v>4370</v>
      </c>
      <c r="F864" t="s">
        <v>637</v>
      </c>
    </row>
    <row r="865" spans="1:6" hidden="1" x14ac:dyDescent="0.2">
      <c r="A865" t="s">
        <v>609</v>
      </c>
      <c r="B865" t="s">
        <v>2613</v>
      </c>
      <c r="C865" t="str">
        <f t="shared" si="13"/>
        <v>SantanderCHIMA</v>
      </c>
      <c r="D865" t="s">
        <v>610</v>
      </c>
      <c r="E865" t="s">
        <v>1594</v>
      </c>
      <c r="F865" t="s">
        <v>638</v>
      </c>
    </row>
    <row r="866" spans="1:6" hidden="1" x14ac:dyDescent="0.2">
      <c r="A866" t="s">
        <v>609</v>
      </c>
      <c r="B866" t="s">
        <v>639</v>
      </c>
      <c r="C866" t="str">
        <f t="shared" si="13"/>
        <v>SantanderCHIPATA</v>
      </c>
      <c r="D866" t="s">
        <v>610</v>
      </c>
      <c r="E866" t="s">
        <v>641</v>
      </c>
      <c r="F866" t="s">
        <v>640</v>
      </c>
    </row>
    <row r="867" spans="1:6" hidden="1" x14ac:dyDescent="0.2">
      <c r="A867" t="s">
        <v>609</v>
      </c>
      <c r="B867" t="s">
        <v>3880</v>
      </c>
      <c r="C867" t="str">
        <f t="shared" si="13"/>
        <v>SantanderCIMITARRA</v>
      </c>
      <c r="D867" t="s">
        <v>610</v>
      </c>
      <c r="E867" t="s">
        <v>3305</v>
      </c>
      <c r="F867" t="s">
        <v>642</v>
      </c>
    </row>
    <row r="868" spans="1:6" hidden="1" x14ac:dyDescent="0.2">
      <c r="A868" t="s">
        <v>609</v>
      </c>
      <c r="B868" t="s">
        <v>447</v>
      </c>
      <c r="C868" t="str">
        <f t="shared" si="13"/>
        <v>SantanderCONCEPCION</v>
      </c>
      <c r="D868" t="s">
        <v>610</v>
      </c>
      <c r="E868" t="s">
        <v>3888</v>
      </c>
      <c r="F868" t="s">
        <v>643</v>
      </c>
    </row>
    <row r="869" spans="1:6" hidden="1" x14ac:dyDescent="0.2">
      <c r="A869" t="s">
        <v>609</v>
      </c>
      <c r="B869" t="s">
        <v>3889</v>
      </c>
      <c r="C869" t="str">
        <f t="shared" si="13"/>
        <v>SantanderCONFINES</v>
      </c>
      <c r="D869" t="s">
        <v>610</v>
      </c>
      <c r="E869" t="s">
        <v>645</v>
      </c>
      <c r="F869" t="s">
        <v>644</v>
      </c>
    </row>
    <row r="870" spans="1:6" hidden="1" x14ac:dyDescent="0.2">
      <c r="A870" t="s">
        <v>609</v>
      </c>
      <c r="B870" t="s">
        <v>646</v>
      </c>
      <c r="C870" t="str">
        <f t="shared" si="13"/>
        <v>SantanderCONTRATACION</v>
      </c>
      <c r="D870" t="s">
        <v>610</v>
      </c>
      <c r="E870" t="s">
        <v>648</v>
      </c>
      <c r="F870" t="s">
        <v>647</v>
      </c>
    </row>
    <row r="871" spans="1:6" hidden="1" x14ac:dyDescent="0.2">
      <c r="A871" t="s">
        <v>609</v>
      </c>
      <c r="B871" t="s">
        <v>649</v>
      </c>
      <c r="C871" t="str">
        <f t="shared" si="13"/>
        <v>SantanderCOROMORO</v>
      </c>
      <c r="D871" t="s">
        <v>610</v>
      </c>
      <c r="E871" t="s">
        <v>651</v>
      </c>
      <c r="F871" t="s">
        <v>650</v>
      </c>
    </row>
    <row r="872" spans="1:6" hidden="1" x14ac:dyDescent="0.2">
      <c r="A872" t="s">
        <v>609</v>
      </c>
      <c r="B872" t="s">
        <v>652</v>
      </c>
      <c r="C872" t="str">
        <f t="shared" si="13"/>
        <v>SantanderCURITI</v>
      </c>
      <c r="D872" t="s">
        <v>610</v>
      </c>
      <c r="E872" t="s">
        <v>654</v>
      </c>
      <c r="F872" t="s">
        <v>653</v>
      </c>
    </row>
    <row r="873" spans="1:6" hidden="1" x14ac:dyDescent="0.2">
      <c r="A873" t="s">
        <v>609</v>
      </c>
      <c r="B873" t="s">
        <v>655</v>
      </c>
      <c r="C873" t="str">
        <f t="shared" si="13"/>
        <v>SantanderEL CARMEN DE CHUCURI</v>
      </c>
      <c r="D873" t="s">
        <v>610</v>
      </c>
      <c r="E873" t="s">
        <v>657</v>
      </c>
      <c r="F873" t="s">
        <v>656</v>
      </c>
    </row>
    <row r="874" spans="1:6" hidden="1" x14ac:dyDescent="0.2">
      <c r="A874" t="s">
        <v>609</v>
      </c>
      <c r="B874" t="s">
        <v>1681</v>
      </c>
      <c r="C874" t="str">
        <f t="shared" si="13"/>
        <v>SantanderEL GUACAMAYO</v>
      </c>
      <c r="D874" t="s">
        <v>610</v>
      </c>
      <c r="E874" t="s">
        <v>659</v>
      </c>
      <c r="F874" t="s">
        <v>658</v>
      </c>
    </row>
    <row r="875" spans="1:6" hidden="1" x14ac:dyDescent="0.2">
      <c r="A875" t="s">
        <v>609</v>
      </c>
      <c r="B875" t="s">
        <v>3903</v>
      </c>
      <c r="C875" t="str">
        <f t="shared" si="13"/>
        <v>SantanderEL PEÑON</v>
      </c>
      <c r="D875" t="s">
        <v>610</v>
      </c>
      <c r="E875" t="s">
        <v>4310</v>
      </c>
      <c r="F875" t="s">
        <v>660</v>
      </c>
    </row>
    <row r="876" spans="1:6" hidden="1" x14ac:dyDescent="0.2">
      <c r="A876" t="s">
        <v>609</v>
      </c>
      <c r="B876" t="s">
        <v>661</v>
      </c>
      <c r="C876" t="str">
        <f t="shared" si="13"/>
        <v>SantanderEL PLAYON</v>
      </c>
      <c r="D876" t="s">
        <v>610</v>
      </c>
      <c r="E876" t="s">
        <v>663</v>
      </c>
      <c r="F876" t="s">
        <v>662</v>
      </c>
    </row>
    <row r="877" spans="1:6" hidden="1" x14ac:dyDescent="0.2">
      <c r="A877" t="s">
        <v>609</v>
      </c>
      <c r="B877" t="s">
        <v>3906</v>
      </c>
      <c r="C877" t="str">
        <f t="shared" si="13"/>
        <v>SantanderENCINO</v>
      </c>
      <c r="D877" t="s">
        <v>610</v>
      </c>
      <c r="E877" t="s">
        <v>665</v>
      </c>
      <c r="F877" t="s">
        <v>664</v>
      </c>
    </row>
    <row r="878" spans="1:6" hidden="1" x14ac:dyDescent="0.2">
      <c r="A878" t="s">
        <v>609</v>
      </c>
      <c r="B878" t="s">
        <v>3909</v>
      </c>
      <c r="C878" t="str">
        <f t="shared" si="13"/>
        <v>SantanderENCISO</v>
      </c>
      <c r="D878" t="s">
        <v>610</v>
      </c>
      <c r="E878" t="s">
        <v>667</v>
      </c>
      <c r="F878" t="s">
        <v>666</v>
      </c>
    </row>
    <row r="879" spans="1:6" hidden="1" x14ac:dyDescent="0.2">
      <c r="A879" t="s">
        <v>609</v>
      </c>
      <c r="B879" t="s">
        <v>668</v>
      </c>
      <c r="C879" t="str">
        <f t="shared" si="13"/>
        <v>SantanderFLORIAN</v>
      </c>
      <c r="D879" t="s">
        <v>610</v>
      </c>
      <c r="E879" t="s">
        <v>4525</v>
      </c>
      <c r="F879" t="s">
        <v>669</v>
      </c>
    </row>
    <row r="880" spans="1:6" hidden="1" x14ac:dyDescent="0.2">
      <c r="A880" t="s">
        <v>609</v>
      </c>
      <c r="B880" t="s">
        <v>2663</v>
      </c>
      <c r="C880" t="str">
        <f t="shared" si="13"/>
        <v>SantanderFLORIDABLANCA</v>
      </c>
      <c r="D880" t="s">
        <v>610</v>
      </c>
      <c r="E880" t="s">
        <v>3534</v>
      </c>
      <c r="F880" t="s">
        <v>670</v>
      </c>
    </row>
    <row r="881" spans="1:6" hidden="1" x14ac:dyDescent="0.2">
      <c r="A881" t="s">
        <v>609</v>
      </c>
      <c r="B881" t="s">
        <v>2419</v>
      </c>
      <c r="C881" t="str">
        <f t="shared" si="13"/>
        <v>SantanderGALAN</v>
      </c>
      <c r="D881" t="s">
        <v>610</v>
      </c>
      <c r="E881" t="s">
        <v>672</v>
      </c>
      <c r="F881" t="s">
        <v>671</v>
      </c>
    </row>
    <row r="882" spans="1:6" hidden="1" x14ac:dyDescent="0.2">
      <c r="A882" t="s">
        <v>609</v>
      </c>
      <c r="B882" t="s">
        <v>212</v>
      </c>
      <c r="C882" t="str">
        <f t="shared" si="13"/>
        <v>SantanderGAMBITA</v>
      </c>
      <c r="D882" t="s">
        <v>610</v>
      </c>
      <c r="E882" t="s">
        <v>3464</v>
      </c>
      <c r="F882" t="s">
        <v>673</v>
      </c>
    </row>
    <row r="883" spans="1:6" hidden="1" x14ac:dyDescent="0.2">
      <c r="A883" t="s">
        <v>609</v>
      </c>
      <c r="B883" t="s">
        <v>1710</v>
      </c>
      <c r="C883" t="str">
        <f t="shared" si="13"/>
        <v>SantanderGIRON</v>
      </c>
      <c r="D883" t="s">
        <v>610</v>
      </c>
      <c r="E883" t="s">
        <v>4390</v>
      </c>
      <c r="F883" t="s">
        <v>674</v>
      </c>
    </row>
    <row r="884" spans="1:6" hidden="1" x14ac:dyDescent="0.2">
      <c r="A884" t="s">
        <v>609</v>
      </c>
      <c r="B884" t="s">
        <v>3928</v>
      </c>
      <c r="C884" t="str">
        <f t="shared" si="13"/>
        <v>SantanderGUACA</v>
      </c>
      <c r="D884" t="s">
        <v>610</v>
      </c>
      <c r="E884" t="s">
        <v>676</v>
      </c>
      <c r="F884" t="s">
        <v>675</v>
      </c>
    </row>
    <row r="885" spans="1:6" hidden="1" x14ac:dyDescent="0.2">
      <c r="A885" t="s">
        <v>609</v>
      </c>
      <c r="B885" t="s">
        <v>1715</v>
      </c>
      <c r="C885" t="str">
        <f t="shared" si="13"/>
        <v>SantanderGUADALUPE</v>
      </c>
      <c r="D885" t="s">
        <v>610</v>
      </c>
      <c r="E885" t="s">
        <v>3322</v>
      </c>
      <c r="F885" t="s">
        <v>677</v>
      </c>
    </row>
    <row r="886" spans="1:6" hidden="1" x14ac:dyDescent="0.2">
      <c r="A886" t="s">
        <v>609</v>
      </c>
      <c r="B886" t="s">
        <v>1175</v>
      </c>
      <c r="C886" t="str">
        <f t="shared" si="13"/>
        <v>SantanderGUAPOTA</v>
      </c>
      <c r="D886" t="s">
        <v>610</v>
      </c>
      <c r="E886" t="s">
        <v>679</v>
      </c>
      <c r="F886" t="s">
        <v>678</v>
      </c>
    </row>
    <row r="887" spans="1:6" hidden="1" x14ac:dyDescent="0.2">
      <c r="A887" t="s">
        <v>609</v>
      </c>
      <c r="B887" t="s">
        <v>1718</v>
      </c>
      <c r="C887" t="str">
        <f t="shared" si="13"/>
        <v>SantanderGUAVATA</v>
      </c>
      <c r="D887" t="s">
        <v>610</v>
      </c>
      <c r="E887" t="s">
        <v>2931</v>
      </c>
      <c r="F887" t="s">
        <v>680</v>
      </c>
    </row>
    <row r="888" spans="1:6" hidden="1" x14ac:dyDescent="0.2">
      <c r="A888" t="s">
        <v>609</v>
      </c>
      <c r="B888" t="s">
        <v>2932</v>
      </c>
      <c r="C888" t="str">
        <f t="shared" si="13"/>
        <v>SantanderGUEPSA</v>
      </c>
      <c r="D888" t="s">
        <v>610</v>
      </c>
      <c r="E888" t="s">
        <v>2934</v>
      </c>
      <c r="F888" t="s">
        <v>2933</v>
      </c>
    </row>
    <row r="889" spans="1:6" hidden="1" x14ac:dyDescent="0.2">
      <c r="A889" t="s">
        <v>609</v>
      </c>
      <c r="B889" t="s">
        <v>559</v>
      </c>
      <c r="C889" t="str">
        <f t="shared" si="13"/>
        <v>SantanderHATO</v>
      </c>
      <c r="D889" t="s">
        <v>610</v>
      </c>
      <c r="E889" t="s">
        <v>2936</v>
      </c>
      <c r="F889" t="s">
        <v>2935</v>
      </c>
    </row>
    <row r="890" spans="1:6" hidden="1" x14ac:dyDescent="0.2">
      <c r="A890" t="s">
        <v>609</v>
      </c>
      <c r="B890" t="s">
        <v>3947</v>
      </c>
      <c r="C890" t="str">
        <f t="shared" si="13"/>
        <v>SantanderJESUS MARIA</v>
      </c>
      <c r="D890" t="s">
        <v>610</v>
      </c>
      <c r="E890" t="s">
        <v>2938</v>
      </c>
      <c r="F890" t="s">
        <v>2937</v>
      </c>
    </row>
    <row r="891" spans="1:6" hidden="1" x14ac:dyDescent="0.2">
      <c r="A891" t="s">
        <v>609</v>
      </c>
      <c r="B891" t="s">
        <v>408</v>
      </c>
      <c r="C891" t="str">
        <f t="shared" si="13"/>
        <v>SantanderJORDAN</v>
      </c>
      <c r="D891" t="s">
        <v>610</v>
      </c>
      <c r="E891" t="s">
        <v>2940</v>
      </c>
      <c r="F891" t="s">
        <v>2939</v>
      </c>
    </row>
    <row r="892" spans="1:6" hidden="1" x14ac:dyDescent="0.2">
      <c r="A892" t="s">
        <v>609</v>
      </c>
      <c r="B892" t="s">
        <v>1189</v>
      </c>
      <c r="C892" t="str">
        <f t="shared" si="13"/>
        <v>SantanderLA BELLEZA</v>
      </c>
      <c r="D892" t="s">
        <v>610</v>
      </c>
      <c r="E892" t="s">
        <v>2942</v>
      </c>
      <c r="F892" t="s">
        <v>2941</v>
      </c>
    </row>
    <row r="893" spans="1:6" hidden="1" x14ac:dyDescent="0.2">
      <c r="A893" t="s">
        <v>609</v>
      </c>
      <c r="B893" t="s">
        <v>490</v>
      </c>
      <c r="C893" t="str">
        <f t="shared" si="13"/>
        <v>SantanderLANDAZURI</v>
      </c>
      <c r="D893" t="s">
        <v>610</v>
      </c>
      <c r="E893" t="s">
        <v>4526</v>
      </c>
      <c r="F893" t="s">
        <v>2943</v>
      </c>
    </row>
    <row r="894" spans="1:6" hidden="1" x14ac:dyDescent="0.2">
      <c r="A894" t="s">
        <v>609</v>
      </c>
      <c r="B894" t="s">
        <v>1486</v>
      </c>
      <c r="C894" t="str">
        <f t="shared" si="13"/>
        <v>SantanderLA PAZ</v>
      </c>
      <c r="D894" t="s">
        <v>610</v>
      </c>
      <c r="E894" t="s">
        <v>1574</v>
      </c>
      <c r="F894" t="s">
        <v>2944</v>
      </c>
    </row>
    <row r="895" spans="1:6" hidden="1" x14ac:dyDescent="0.2">
      <c r="A895" t="s">
        <v>609</v>
      </c>
      <c r="B895" t="s">
        <v>2945</v>
      </c>
      <c r="C895" t="str">
        <f t="shared" si="13"/>
        <v>SantanderLEBRIJA</v>
      </c>
      <c r="D895" t="s">
        <v>610</v>
      </c>
      <c r="E895" t="s">
        <v>2947</v>
      </c>
      <c r="F895" t="s">
        <v>2946</v>
      </c>
    </row>
    <row r="896" spans="1:6" hidden="1" x14ac:dyDescent="0.2">
      <c r="A896" t="s">
        <v>609</v>
      </c>
      <c r="B896" t="s">
        <v>1487</v>
      </c>
      <c r="C896" t="str">
        <f t="shared" si="13"/>
        <v>SantanderLOS SANTOS</v>
      </c>
      <c r="D896" t="s">
        <v>610</v>
      </c>
      <c r="E896" t="s">
        <v>2949</v>
      </c>
      <c r="F896" t="s">
        <v>2948</v>
      </c>
    </row>
    <row r="897" spans="1:6" hidden="1" x14ac:dyDescent="0.2">
      <c r="A897" t="s">
        <v>609</v>
      </c>
      <c r="B897" t="s">
        <v>3961</v>
      </c>
      <c r="C897" t="str">
        <f t="shared" si="13"/>
        <v>SantanderMACARAVITA</v>
      </c>
      <c r="D897" t="s">
        <v>610</v>
      </c>
      <c r="E897" t="s">
        <v>2951</v>
      </c>
      <c r="F897" t="s">
        <v>2950</v>
      </c>
    </row>
    <row r="898" spans="1:6" hidden="1" x14ac:dyDescent="0.2">
      <c r="A898" t="s">
        <v>609</v>
      </c>
      <c r="B898" t="s">
        <v>2952</v>
      </c>
      <c r="C898" t="str">
        <f t="shared" si="13"/>
        <v>SantanderMALAGA</v>
      </c>
      <c r="D898" t="s">
        <v>610</v>
      </c>
      <c r="E898" t="s">
        <v>2954</v>
      </c>
      <c r="F898" t="s">
        <v>2953</v>
      </c>
    </row>
    <row r="899" spans="1:6" hidden="1" x14ac:dyDescent="0.2">
      <c r="A899" t="s">
        <v>609</v>
      </c>
      <c r="B899" t="s">
        <v>1391</v>
      </c>
      <c r="C899" t="str">
        <f t="shared" ref="C899:C962" si="14">D899&amp;E899</f>
        <v>SantanderMATANZA</v>
      </c>
      <c r="D899" t="s">
        <v>610</v>
      </c>
      <c r="E899" t="s">
        <v>4371</v>
      </c>
      <c r="F899" t="s">
        <v>2955</v>
      </c>
    </row>
    <row r="900" spans="1:6" hidden="1" x14ac:dyDescent="0.2">
      <c r="A900" t="s">
        <v>609</v>
      </c>
      <c r="B900" t="s">
        <v>1208</v>
      </c>
      <c r="C900" t="str">
        <f t="shared" si="14"/>
        <v>SantanderMOGOTES</v>
      </c>
      <c r="D900" t="s">
        <v>610</v>
      </c>
      <c r="E900" t="s">
        <v>2957</v>
      </c>
      <c r="F900" t="s">
        <v>2956</v>
      </c>
    </row>
    <row r="901" spans="1:6" hidden="1" x14ac:dyDescent="0.2">
      <c r="A901" t="s">
        <v>609</v>
      </c>
      <c r="B901" t="s">
        <v>2518</v>
      </c>
      <c r="C901" t="str">
        <f t="shared" si="14"/>
        <v>SantanderMOLAGAVITA</v>
      </c>
      <c r="D901" t="s">
        <v>610</v>
      </c>
      <c r="E901" t="s">
        <v>2959</v>
      </c>
      <c r="F901" t="s">
        <v>2958</v>
      </c>
    </row>
    <row r="902" spans="1:6" hidden="1" x14ac:dyDescent="0.2">
      <c r="A902" t="s">
        <v>609</v>
      </c>
      <c r="B902" t="s">
        <v>570</v>
      </c>
      <c r="C902" t="str">
        <f t="shared" si="14"/>
        <v>SantanderOCAMONTE</v>
      </c>
      <c r="D902" t="s">
        <v>610</v>
      </c>
      <c r="E902" t="s">
        <v>3340</v>
      </c>
      <c r="F902" t="s">
        <v>2960</v>
      </c>
    </row>
    <row r="903" spans="1:6" hidden="1" x14ac:dyDescent="0.2">
      <c r="A903" t="s">
        <v>609</v>
      </c>
      <c r="B903" t="s">
        <v>1226</v>
      </c>
      <c r="C903" t="str">
        <f t="shared" si="14"/>
        <v>SantanderOIBA</v>
      </c>
      <c r="D903" t="s">
        <v>610</v>
      </c>
      <c r="E903" t="s">
        <v>2962</v>
      </c>
      <c r="F903" t="s">
        <v>2961</v>
      </c>
    </row>
    <row r="904" spans="1:6" hidden="1" x14ac:dyDescent="0.2">
      <c r="A904" t="s">
        <v>609</v>
      </c>
      <c r="B904" t="s">
        <v>2963</v>
      </c>
      <c r="C904" t="str">
        <f t="shared" si="14"/>
        <v>SantanderONZAGA</v>
      </c>
      <c r="D904" t="s">
        <v>610</v>
      </c>
      <c r="E904" t="s">
        <v>2965</v>
      </c>
      <c r="F904" t="s">
        <v>2964</v>
      </c>
    </row>
    <row r="905" spans="1:6" hidden="1" x14ac:dyDescent="0.2">
      <c r="A905" t="s">
        <v>609</v>
      </c>
      <c r="B905" t="s">
        <v>1242</v>
      </c>
      <c r="C905" t="str">
        <f t="shared" si="14"/>
        <v>SantanderPALMAR</v>
      </c>
      <c r="D905" t="s">
        <v>610</v>
      </c>
      <c r="E905" t="s">
        <v>2967</v>
      </c>
      <c r="F905" t="s">
        <v>2966</v>
      </c>
    </row>
    <row r="906" spans="1:6" hidden="1" x14ac:dyDescent="0.2">
      <c r="A906" t="s">
        <v>609</v>
      </c>
      <c r="B906" t="s">
        <v>1402</v>
      </c>
      <c r="C906" t="str">
        <f t="shared" si="14"/>
        <v>SantanderPALMAS DEL SOCORRO</v>
      </c>
      <c r="D906" t="s">
        <v>610</v>
      </c>
      <c r="E906" t="s">
        <v>2969</v>
      </c>
      <c r="F906" t="s">
        <v>2968</v>
      </c>
    </row>
    <row r="907" spans="1:6" hidden="1" x14ac:dyDescent="0.2">
      <c r="A907" t="s">
        <v>609</v>
      </c>
      <c r="B907" t="s">
        <v>1247</v>
      </c>
      <c r="C907" t="str">
        <f t="shared" si="14"/>
        <v>SantanderPARAMO</v>
      </c>
      <c r="D907" t="s">
        <v>610</v>
      </c>
      <c r="E907" t="s">
        <v>2971</v>
      </c>
      <c r="F907" t="s">
        <v>2970</v>
      </c>
    </row>
    <row r="908" spans="1:6" hidden="1" x14ac:dyDescent="0.2">
      <c r="A908" t="s">
        <v>609</v>
      </c>
      <c r="B908" t="s">
        <v>2972</v>
      </c>
      <c r="C908" t="str">
        <f t="shared" si="14"/>
        <v>SantanderPIEDECUESTA</v>
      </c>
      <c r="D908" t="s">
        <v>610</v>
      </c>
      <c r="E908" t="s">
        <v>800</v>
      </c>
      <c r="F908" t="s">
        <v>2973</v>
      </c>
    </row>
    <row r="909" spans="1:6" hidden="1" x14ac:dyDescent="0.2">
      <c r="A909" t="s">
        <v>609</v>
      </c>
      <c r="B909" t="s">
        <v>2437</v>
      </c>
      <c r="C909" t="str">
        <f t="shared" si="14"/>
        <v>SantanderPINCHOTE</v>
      </c>
      <c r="D909" t="s">
        <v>610</v>
      </c>
      <c r="E909" t="s">
        <v>2975</v>
      </c>
      <c r="F909" t="s">
        <v>2974</v>
      </c>
    </row>
    <row r="910" spans="1:6" hidden="1" x14ac:dyDescent="0.2">
      <c r="A910" t="s">
        <v>609</v>
      </c>
      <c r="B910" t="s">
        <v>1259</v>
      </c>
      <c r="C910" t="str">
        <f t="shared" si="14"/>
        <v>SantanderPUENTE NACIONAL</v>
      </c>
      <c r="D910" t="s">
        <v>610</v>
      </c>
      <c r="E910" t="s">
        <v>309</v>
      </c>
      <c r="F910" t="s">
        <v>2976</v>
      </c>
    </row>
    <row r="911" spans="1:6" hidden="1" x14ac:dyDescent="0.2">
      <c r="A911" t="s">
        <v>609</v>
      </c>
      <c r="B911" t="s">
        <v>2445</v>
      </c>
      <c r="C911" t="str">
        <f t="shared" si="14"/>
        <v>SantanderPUERTO PARRA</v>
      </c>
      <c r="D911" t="s">
        <v>610</v>
      </c>
      <c r="E911" t="s">
        <v>2978</v>
      </c>
      <c r="F911" t="s">
        <v>2977</v>
      </c>
    </row>
    <row r="912" spans="1:6" hidden="1" x14ac:dyDescent="0.2">
      <c r="A912" t="s">
        <v>609</v>
      </c>
      <c r="B912" t="s">
        <v>2979</v>
      </c>
      <c r="C912" t="str">
        <f t="shared" si="14"/>
        <v>SantanderPUERTO WILCHES</v>
      </c>
      <c r="D912" t="s">
        <v>610</v>
      </c>
      <c r="E912" t="s">
        <v>3380</v>
      </c>
      <c r="F912" t="s">
        <v>2980</v>
      </c>
    </row>
    <row r="913" spans="1:6" hidden="1" x14ac:dyDescent="0.2">
      <c r="A913" t="s">
        <v>609</v>
      </c>
      <c r="B913" t="s">
        <v>4007</v>
      </c>
      <c r="C913" t="str">
        <f t="shared" si="14"/>
        <v>SantanderRIONEGRO</v>
      </c>
      <c r="D913" t="s">
        <v>610</v>
      </c>
      <c r="E913" t="s">
        <v>2261</v>
      </c>
      <c r="F913" t="s">
        <v>3287</v>
      </c>
    </row>
    <row r="914" spans="1:6" hidden="1" x14ac:dyDescent="0.2">
      <c r="A914" t="s">
        <v>609</v>
      </c>
      <c r="B914" t="s">
        <v>2538</v>
      </c>
      <c r="C914" t="str">
        <f t="shared" si="14"/>
        <v>SantanderSABANA DE TORRES</v>
      </c>
      <c r="D914" t="s">
        <v>610</v>
      </c>
      <c r="E914" t="s">
        <v>3499</v>
      </c>
      <c r="F914" t="s">
        <v>2981</v>
      </c>
    </row>
    <row r="915" spans="1:6" hidden="1" x14ac:dyDescent="0.2">
      <c r="A915" t="s">
        <v>609</v>
      </c>
      <c r="B915" t="s">
        <v>2982</v>
      </c>
      <c r="C915" t="str">
        <f t="shared" si="14"/>
        <v>SantanderSAN ANDRES</v>
      </c>
      <c r="D915" t="s">
        <v>610</v>
      </c>
      <c r="E915" t="s">
        <v>2984</v>
      </c>
      <c r="F915" t="s">
        <v>2983</v>
      </c>
    </row>
    <row r="916" spans="1:6" hidden="1" x14ac:dyDescent="0.2">
      <c r="A916" t="s">
        <v>609</v>
      </c>
      <c r="B916" t="s">
        <v>2545</v>
      </c>
      <c r="C916" t="str">
        <f t="shared" si="14"/>
        <v>SantanderSAN BENITO</v>
      </c>
      <c r="D916" t="s">
        <v>610</v>
      </c>
      <c r="E916" t="s">
        <v>2986</v>
      </c>
      <c r="F916" t="s">
        <v>2985</v>
      </c>
    </row>
    <row r="917" spans="1:6" hidden="1" x14ac:dyDescent="0.2">
      <c r="A917" t="s">
        <v>609</v>
      </c>
      <c r="B917" t="s">
        <v>4047</v>
      </c>
      <c r="C917" t="str">
        <f t="shared" si="14"/>
        <v>SantanderSAN GIL</v>
      </c>
      <c r="D917" t="s">
        <v>610</v>
      </c>
      <c r="E917" t="s">
        <v>2988</v>
      </c>
      <c r="F917" t="s">
        <v>2987</v>
      </c>
    </row>
    <row r="918" spans="1:6" hidden="1" x14ac:dyDescent="0.2">
      <c r="A918" t="s">
        <v>609</v>
      </c>
      <c r="B918" t="s">
        <v>1637</v>
      </c>
      <c r="C918" t="str">
        <f t="shared" si="14"/>
        <v>SantanderSAN JOAQUIN</v>
      </c>
      <c r="D918" t="s">
        <v>610</v>
      </c>
      <c r="E918" t="s">
        <v>2990</v>
      </c>
      <c r="F918" t="s">
        <v>2989</v>
      </c>
    </row>
    <row r="919" spans="1:6" hidden="1" x14ac:dyDescent="0.2">
      <c r="A919" t="s">
        <v>609</v>
      </c>
      <c r="B919" t="s">
        <v>2991</v>
      </c>
      <c r="C919" t="str">
        <f t="shared" si="14"/>
        <v>SantanderSAN JOSE DE MIRANDA</v>
      </c>
      <c r="D919" t="s">
        <v>610</v>
      </c>
      <c r="E919" t="s">
        <v>2993</v>
      </c>
      <c r="F919" t="s">
        <v>2992</v>
      </c>
    </row>
    <row r="920" spans="1:6" hidden="1" x14ac:dyDescent="0.2">
      <c r="A920" t="s">
        <v>609</v>
      </c>
      <c r="B920" t="s">
        <v>4049</v>
      </c>
      <c r="C920" t="str">
        <f t="shared" si="14"/>
        <v>SantanderSAN MIGUEL</v>
      </c>
      <c r="D920" t="s">
        <v>610</v>
      </c>
      <c r="E920" t="s">
        <v>970</v>
      </c>
      <c r="F920" t="s">
        <v>2994</v>
      </c>
    </row>
    <row r="921" spans="1:6" hidden="1" x14ac:dyDescent="0.2">
      <c r="A921" t="s">
        <v>609</v>
      </c>
      <c r="B921" t="s">
        <v>431</v>
      </c>
      <c r="C921" t="str">
        <f t="shared" si="14"/>
        <v>SantanderSAN VICENTE DE CHUCURI</v>
      </c>
      <c r="D921" t="s">
        <v>610</v>
      </c>
      <c r="E921" t="s">
        <v>3453</v>
      </c>
      <c r="F921" t="s">
        <v>3288</v>
      </c>
    </row>
    <row r="922" spans="1:6" hidden="1" x14ac:dyDescent="0.2">
      <c r="A922" t="s">
        <v>609</v>
      </c>
      <c r="B922" t="s">
        <v>2995</v>
      </c>
      <c r="C922" t="str">
        <f t="shared" si="14"/>
        <v>SantanderSANTA BARBARA</v>
      </c>
      <c r="D922" t="s">
        <v>610</v>
      </c>
      <c r="E922" t="s">
        <v>4254</v>
      </c>
      <c r="F922" t="s">
        <v>2996</v>
      </c>
    </row>
    <row r="923" spans="1:6" hidden="1" x14ac:dyDescent="0.2">
      <c r="A923" t="s">
        <v>609</v>
      </c>
      <c r="B923" t="s">
        <v>1293</v>
      </c>
      <c r="C923" t="str">
        <f t="shared" si="14"/>
        <v>SantanderSANTA HELENA DEL OPON</v>
      </c>
      <c r="D923" t="s">
        <v>610</v>
      </c>
      <c r="E923" t="s">
        <v>2262</v>
      </c>
      <c r="F923" t="s">
        <v>2997</v>
      </c>
    </row>
    <row r="924" spans="1:6" hidden="1" x14ac:dyDescent="0.2">
      <c r="A924" t="s">
        <v>609</v>
      </c>
      <c r="B924" t="s">
        <v>1798</v>
      </c>
      <c r="C924" t="str">
        <f t="shared" si="14"/>
        <v>SantanderSIMACOTA</v>
      </c>
      <c r="D924" t="s">
        <v>610</v>
      </c>
      <c r="E924" t="s">
        <v>3454</v>
      </c>
      <c r="F924" t="s">
        <v>2998</v>
      </c>
    </row>
    <row r="925" spans="1:6" hidden="1" x14ac:dyDescent="0.2">
      <c r="A925" t="s">
        <v>609</v>
      </c>
      <c r="B925" t="s">
        <v>1305</v>
      </c>
      <c r="C925" t="str">
        <f t="shared" si="14"/>
        <v>SantanderSOCORRO</v>
      </c>
      <c r="D925" t="s">
        <v>610</v>
      </c>
      <c r="E925" t="s">
        <v>3000</v>
      </c>
      <c r="F925" t="s">
        <v>2999</v>
      </c>
    </row>
    <row r="926" spans="1:6" hidden="1" x14ac:dyDescent="0.2">
      <c r="A926" t="s">
        <v>609</v>
      </c>
      <c r="B926" t="s">
        <v>2462</v>
      </c>
      <c r="C926" t="str">
        <f t="shared" si="14"/>
        <v>SantanderSUAITA</v>
      </c>
      <c r="D926" t="s">
        <v>610</v>
      </c>
      <c r="E926" t="s">
        <v>3002</v>
      </c>
      <c r="F926" t="s">
        <v>3001</v>
      </c>
    </row>
    <row r="927" spans="1:6" hidden="1" x14ac:dyDescent="0.2">
      <c r="A927" t="s">
        <v>609</v>
      </c>
      <c r="B927" t="s">
        <v>3003</v>
      </c>
      <c r="C927" t="str">
        <f t="shared" si="14"/>
        <v>SantanderSUCRE</v>
      </c>
      <c r="D927" t="s">
        <v>610</v>
      </c>
      <c r="E927" t="s">
        <v>2204</v>
      </c>
      <c r="F927" t="s">
        <v>3004</v>
      </c>
    </row>
    <row r="928" spans="1:6" hidden="1" x14ac:dyDescent="0.2">
      <c r="A928" t="s">
        <v>609</v>
      </c>
      <c r="B928" t="s">
        <v>2558</v>
      </c>
      <c r="C928" t="str">
        <f t="shared" si="14"/>
        <v>SantanderSURATA</v>
      </c>
      <c r="D928" t="s">
        <v>610</v>
      </c>
      <c r="E928" t="s">
        <v>2263</v>
      </c>
      <c r="F928" t="s">
        <v>3289</v>
      </c>
    </row>
    <row r="929" spans="1:6" hidden="1" x14ac:dyDescent="0.2">
      <c r="A929" t="s">
        <v>609</v>
      </c>
      <c r="B929" t="s">
        <v>1352</v>
      </c>
      <c r="C929" t="str">
        <f t="shared" si="14"/>
        <v>SantanderTONA</v>
      </c>
      <c r="D929" t="s">
        <v>610</v>
      </c>
      <c r="E929" t="s">
        <v>801</v>
      </c>
      <c r="F929" t="s">
        <v>3005</v>
      </c>
    </row>
    <row r="930" spans="1:6" hidden="1" x14ac:dyDescent="0.2">
      <c r="A930" t="s">
        <v>609</v>
      </c>
      <c r="B930" t="s">
        <v>1646</v>
      </c>
      <c r="C930" t="str">
        <f t="shared" si="14"/>
        <v>SantanderVALLE DE SAN JOSE</v>
      </c>
      <c r="D930" t="s">
        <v>610</v>
      </c>
      <c r="E930" t="s">
        <v>3007</v>
      </c>
      <c r="F930" t="s">
        <v>3006</v>
      </c>
    </row>
    <row r="931" spans="1:6" hidden="1" x14ac:dyDescent="0.2">
      <c r="A931" t="s">
        <v>609</v>
      </c>
      <c r="B931" t="s">
        <v>4094</v>
      </c>
      <c r="C931" t="str">
        <f t="shared" si="14"/>
        <v>SantanderVELEZ</v>
      </c>
      <c r="D931" t="s">
        <v>610</v>
      </c>
      <c r="E931" t="s">
        <v>3009</v>
      </c>
      <c r="F931" t="s">
        <v>3008</v>
      </c>
    </row>
    <row r="932" spans="1:6" hidden="1" x14ac:dyDescent="0.2">
      <c r="A932" t="s">
        <v>609</v>
      </c>
      <c r="B932" t="s">
        <v>1419</v>
      </c>
      <c r="C932" t="str">
        <f t="shared" si="14"/>
        <v>SantanderVETAS</v>
      </c>
      <c r="D932" t="s">
        <v>610</v>
      </c>
      <c r="E932" t="s">
        <v>3011</v>
      </c>
      <c r="F932" t="s">
        <v>3010</v>
      </c>
    </row>
    <row r="933" spans="1:6" hidden="1" x14ac:dyDescent="0.2">
      <c r="A933" t="s">
        <v>609</v>
      </c>
      <c r="B933" t="s">
        <v>701</v>
      </c>
      <c r="C933" t="str">
        <f t="shared" si="14"/>
        <v>SantanderVILLANUEVA</v>
      </c>
      <c r="D933" t="s">
        <v>610</v>
      </c>
      <c r="E933" t="s">
        <v>4327</v>
      </c>
      <c r="F933" t="s">
        <v>3012</v>
      </c>
    </row>
    <row r="934" spans="1:6" hidden="1" x14ac:dyDescent="0.2">
      <c r="A934" t="s">
        <v>609</v>
      </c>
      <c r="B934" t="s">
        <v>4110</v>
      </c>
      <c r="C934" t="str">
        <f t="shared" si="14"/>
        <v>SantanderZAPATOCA</v>
      </c>
      <c r="D934" t="s">
        <v>610</v>
      </c>
      <c r="E934" t="s">
        <v>3014</v>
      </c>
      <c r="F934" t="s">
        <v>3013</v>
      </c>
    </row>
    <row r="935" spans="1:6" hidden="1" x14ac:dyDescent="0.2">
      <c r="A935" t="s">
        <v>3015</v>
      </c>
      <c r="B935" t="s">
        <v>3785</v>
      </c>
      <c r="C935" t="str">
        <f t="shared" si="14"/>
        <v>SucreSINCELEJO</v>
      </c>
      <c r="D935" t="s">
        <v>3017</v>
      </c>
      <c r="E935" t="s">
        <v>3018</v>
      </c>
      <c r="F935" t="s">
        <v>3016</v>
      </c>
    </row>
    <row r="936" spans="1:6" hidden="1" x14ac:dyDescent="0.2">
      <c r="A936" t="s">
        <v>3015</v>
      </c>
      <c r="B936" t="s">
        <v>1469</v>
      </c>
      <c r="C936" t="str">
        <f t="shared" si="14"/>
        <v>SucreBUENAVISTA</v>
      </c>
      <c r="D936" t="s">
        <v>3017</v>
      </c>
      <c r="E936" t="s">
        <v>2203</v>
      </c>
      <c r="F936" t="s">
        <v>3019</v>
      </c>
    </row>
    <row r="937" spans="1:6" hidden="1" x14ac:dyDescent="0.2">
      <c r="A937" t="s">
        <v>3015</v>
      </c>
      <c r="B937" t="s">
        <v>2044</v>
      </c>
      <c r="C937" t="str">
        <f t="shared" si="14"/>
        <v>SucreCAIMITO</v>
      </c>
      <c r="D937" t="s">
        <v>3017</v>
      </c>
      <c r="E937" t="s">
        <v>4274</v>
      </c>
      <c r="F937" t="s">
        <v>3020</v>
      </c>
    </row>
    <row r="938" spans="1:6" hidden="1" x14ac:dyDescent="0.2">
      <c r="A938" t="s">
        <v>3015</v>
      </c>
      <c r="B938" t="s">
        <v>2630</v>
      </c>
      <c r="C938" t="str">
        <f t="shared" si="14"/>
        <v>SucreCOLOSO</v>
      </c>
      <c r="D938" t="s">
        <v>3017</v>
      </c>
      <c r="E938" t="s">
        <v>3022</v>
      </c>
      <c r="F938" t="s">
        <v>3021</v>
      </c>
    </row>
    <row r="939" spans="1:6" hidden="1" x14ac:dyDescent="0.2">
      <c r="A939" t="s">
        <v>3015</v>
      </c>
      <c r="B939" t="s">
        <v>2634</v>
      </c>
      <c r="C939" t="str">
        <f t="shared" si="14"/>
        <v>SucreCOROZAL</v>
      </c>
      <c r="D939" t="s">
        <v>3017</v>
      </c>
      <c r="E939" t="s">
        <v>3024</v>
      </c>
      <c r="F939" t="s">
        <v>3023</v>
      </c>
    </row>
    <row r="940" spans="1:6" hidden="1" x14ac:dyDescent="0.2">
      <c r="A940" t="s">
        <v>3015</v>
      </c>
      <c r="B940" t="s">
        <v>3025</v>
      </c>
      <c r="C940" t="str">
        <f t="shared" si="14"/>
        <v>SucreCOVEÑAS</v>
      </c>
      <c r="D940" t="s">
        <v>3017</v>
      </c>
      <c r="E940" t="s">
        <v>3027</v>
      </c>
      <c r="F940" t="s">
        <v>3026</v>
      </c>
    </row>
    <row r="941" spans="1:6" hidden="1" x14ac:dyDescent="0.2">
      <c r="A941" t="s">
        <v>3015</v>
      </c>
      <c r="B941" t="s">
        <v>3028</v>
      </c>
      <c r="C941" t="str">
        <f t="shared" si="14"/>
        <v>SucreCHALAN</v>
      </c>
      <c r="D941" t="s">
        <v>3017</v>
      </c>
      <c r="E941" t="s">
        <v>3030</v>
      </c>
      <c r="F941" t="s">
        <v>3029</v>
      </c>
    </row>
    <row r="942" spans="1:6" hidden="1" x14ac:dyDescent="0.2">
      <c r="A942" t="s">
        <v>3015</v>
      </c>
      <c r="B942" t="s">
        <v>457</v>
      </c>
      <c r="C942" t="str">
        <f t="shared" si="14"/>
        <v>SucreEL ROBLE</v>
      </c>
      <c r="D942" t="s">
        <v>3017</v>
      </c>
      <c r="E942" t="s">
        <v>3032</v>
      </c>
      <c r="F942" t="s">
        <v>3031</v>
      </c>
    </row>
    <row r="943" spans="1:6" hidden="1" x14ac:dyDescent="0.2">
      <c r="A943" t="s">
        <v>3015</v>
      </c>
      <c r="B943" t="s">
        <v>655</v>
      </c>
      <c r="C943" t="str">
        <f t="shared" si="14"/>
        <v>SucreGALERAS</v>
      </c>
      <c r="D943" t="s">
        <v>3017</v>
      </c>
      <c r="E943" t="s">
        <v>3034</v>
      </c>
      <c r="F943" t="s">
        <v>3033</v>
      </c>
    </row>
    <row r="944" spans="1:6" hidden="1" x14ac:dyDescent="0.2">
      <c r="A944" t="s">
        <v>3015</v>
      </c>
      <c r="B944" t="s">
        <v>3035</v>
      </c>
      <c r="C944" t="str">
        <f t="shared" si="14"/>
        <v>SucreGUARANDA</v>
      </c>
      <c r="D944" t="s">
        <v>3017</v>
      </c>
      <c r="E944" t="s">
        <v>3037</v>
      </c>
      <c r="F944" t="s">
        <v>3036</v>
      </c>
    </row>
    <row r="945" spans="1:6" hidden="1" x14ac:dyDescent="0.2">
      <c r="A945" t="s">
        <v>3015</v>
      </c>
      <c r="B945" t="s">
        <v>3956</v>
      </c>
      <c r="C945" t="str">
        <f t="shared" si="14"/>
        <v>SucreLA UNION</v>
      </c>
      <c r="D945" t="s">
        <v>3017</v>
      </c>
      <c r="E945" t="s">
        <v>3493</v>
      </c>
      <c r="F945" t="s">
        <v>3038</v>
      </c>
    </row>
    <row r="946" spans="1:6" hidden="1" x14ac:dyDescent="0.2">
      <c r="A946" t="s">
        <v>3015</v>
      </c>
      <c r="B946" t="s">
        <v>1487</v>
      </c>
      <c r="C946" t="str">
        <f t="shared" si="14"/>
        <v>SucreLOS PALMITOS</v>
      </c>
      <c r="D946" t="s">
        <v>3017</v>
      </c>
      <c r="E946" t="s">
        <v>3040</v>
      </c>
      <c r="F946" t="s">
        <v>3039</v>
      </c>
    </row>
    <row r="947" spans="1:6" hidden="1" x14ac:dyDescent="0.2">
      <c r="A947" t="s">
        <v>3015</v>
      </c>
      <c r="B947" t="s">
        <v>3041</v>
      </c>
      <c r="C947" t="str">
        <f t="shared" si="14"/>
        <v>SucreMAJAGUAL</v>
      </c>
      <c r="D947" t="s">
        <v>3017</v>
      </c>
      <c r="E947" t="s">
        <v>3043</v>
      </c>
      <c r="F947" t="s">
        <v>3042</v>
      </c>
    </row>
    <row r="948" spans="1:6" hidden="1" x14ac:dyDescent="0.2">
      <c r="A948" t="s">
        <v>3015</v>
      </c>
      <c r="B948" t="s">
        <v>2520</v>
      </c>
      <c r="C948" t="str">
        <f t="shared" si="14"/>
        <v>SucreMORROA</v>
      </c>
      <c r="D948" t="s">
        <v>3017</v>
      </c>
      <c r="E948" t="s">
        <v>3045</v>
      </c>
      <c r="F948" t="s">
        <v>3044</v>
      </c>
    </row>
    <row r="949" spans="1:6" hidden="1" x14ac:dyDescent="0.2">
      <c r="A949" t="s">
        <v>3015</v>
      </c>
      <c r="B949" t="s">
        <v>3046</v>
      </c>
      <c r="C949" t="str">
        <f t="shared" si="14"/>
        <v>SucreOVEJAS</v>
      </c>
      <c r="D949" t="s">
        <v>3017</v>
      </c>
      <c r="E949" t="s">
        <v>3048</v>
      </c>
      <c r="F949" t="s">
        <v>3047</v>
      </c>
    </row>
    <row r="950" spans="1:6" hidden="1" x14ac:dyDescent="0.2">
      <c r="A950" t="s">
        <v>3015</v>
      </c>
      <c r="B950" t="s">
        <v>3049</v>
      </c>
      <c r="C950" t="str">
        <f t="shared" si="14"/>
        <v>SucrePALMITO</v>
      </c>
      <c r="D950" t="s">
        <v>3017</v>
      </c>
      <c r="E950" t="s">
        <v>3051</v>
      </c>
      <c r="F950" t="s">
        <v>3050</v>
      </c>
    </row>
    <row r="951" spans="1:6" hidden="1" x14ac:dyDescent="0.2">
      <c r="A951" t="s">
        <v>3015</v>
      </c>
      <c r="B951" t="s">
        <v>4042</v>
      </c>
      <c r="C951" t="str">
        <f t="shared" si="14"/>
        <v>SucreSAMPUES</v>
      </c>
      <c r="D951" t="s">
        <v>3017</v>
      </c>
      <c r="E951" t="s">
        <v>3053</v>
      </c>
      <c r="F951" t="s">
        <v>3052</v>
      </c>
    </row>
    <row r="952" spans="1:6" hidden="1" x14ac:dyDescent="0.2">
      <c r="A952" t="s">
        <v>3015</v>
      </c>
      <c r="B952" t="s">
        <v>1635</v>
      </c>
      <c r="C952" t="str">
        <f t="shared" si="14"/>
        <v>SucreSAN BENITO ABAD</v>
      </c>
      <c r="D952" t="s">
        <v>3017</v>
      </c>
      <c r="E952" t="s">
        <v>4275</v>
      </c>
      <c r="F952" t="s">
        <v>3054</v>
      </c>
    </row>
    <row r="953" spans="1:6" hidden="1" x14ac:dyDescent="0.2">
      <c r="A953" t="s">
        <v>3015</v>
      </c>
      <c r="B953" t="s">
        <v>3055</v>
      </c>
      <c r="C953" t="str">
        <f t="shared" si="14"/>
        <v>SucreSAN JUAN DE BETULIA</v>
      </c>
      <c r="D953" t="s">
        <v>3017</v>
      </c>
      <c r="E953" t="s">
        <v>3057</v>
      </c>
      <c r="F953" t="s">
        <v>3056</v>
      </c>
    </row>
    <row r="954" spans="1:6" hidden="1" x14ac:dyDescent="0.2">
      <c r="A954" t="s">
        <v>3015</v>
      </c>
      <c r="B954" t="s">
        <v>3058</v>
      </c>
      <c r="C954" t="str">
        <f t="shared" si="14"/>
        <v>SucreSAN MARCOS</v>
      </c>
      <c r="D954" t="s">
        <v>3017</v>
      </c>
      <c r="E954" t="s">
        <v>3060</v>
      </c>
      <c r="F954" t="s">
        <v>3059</v>
      </c>
    </row>
    <row r="955" spans="1:6" hidden="1" x14ac:dyDescent="0.2">
      <c r="A955" t="s">
        <v>3015</v>
      </c>
      <c r="B955" t="s">
        <v>3061</v>
      </c>
      <c r="C955" t="str">
        <f t="shared" si="14"/>
        <v>SucreSAN ONOFRE</v>
      </c>
      <c r="D955" t="s">
        <v>3017</v>
      </c>
      <c r="E955" t="s">
        <v>2217</v>
      </c>
      <c r="F955" t="s">
        <v>3290</v>
      </c>
    </row>
    <row r="956" spans="1:6" hidden="1" x14ac:dyDescent="0.2">
      <c r="A956" t="s">
        <v>3015</v>
      </c>
      <c r="B956" t="s">
        <v>3062</v>
      </c>
      <c r="C956" t="str">
        <f t="shared" si="14"/>
        <v>SucreSAN PEDRO</v>
      </c>
      <c r="D956" t="s">
        <v>3017</v>
      </c>
      <c r="E956" t="s">
        <v>3492</v>
      </c>
      <c r="F956" t="s">
        <v>3063</v>
      </c>
    </row>
    <row r="957" spans="1:6" hidden="1" x14ac:dyDescent="0.2">
      <c r="A957" t="s">
        <v>3015</v>
      </c>
      <c r="B957" t="s">
        <v>3064</v>
      </c>
      <c r="C957" t="str">
        <f t="shared" si="14"/>
        <v>SucreSAN LUIS DE SINCE</v>
      </c>
      <c r="D957" t="s">
        <v>3017</v>
      </c>
      <c r="E957" t="s">
        <v>3066</v>
      </c>
      <c r="F957" t="s">
        <v>3065</v>
      </c>
    </row>
    <row r="958" spans="1:6" hidden="1" x14ac:dyDescent="0.2">
      <c r="A958" t="s">
        <v>3015</v>
      </c>
      <c r="B958" t="s">
        <v>3067</v>
      </c>
      <c r="C958" t="str">
        <f t="shared" si="14"/>
        <v>SucreSUCRE</v>
      </c>
      <c r="D958" t="s">
        <v>3017</v>
      </c>
      <c r="E958" t="s">
        <v>2204</v>
      </c>
      <c r="F958" t="s">
        <v>3068</v>
      </c>
    </row>
    <row r="959" spans="1:6" hidden="1" x14ac:dyDescent="0.2">
      <c r="A959" t="s">
        <v>3015</v>
      </c>
      <c r="B959" t="s">
        <v>1352</v>
      </c>
      <c r="C959" t="str">
        <f t="shared" si="14"/>
        <v>SucreSANTIAGO DE TOLU</v>
      </c>
      <c r="D959" t="s">
        <v>3017</v>
      </c>
      <c r="E959" t="s">
        <v>3070</v>
      </c>
      <c r="F959" t="s">
        <v>3069</v>
      </c>
    </row>
    <row r="960" spans="1:6" hidden="1" x14ac:dyDescent="0.2">
      <c r="A960" t="s">
        <v>3015</v>
      </c>
      <c r="B960" t="s">
        <v>1827</v>
      </c>
      <c r="C960" t="str">
        <f t="shared" si="14"/>
        <v>SucreTOLU VIEJO</v>
      </c>
      <c r="D960" t="s">
        <v>3017</v>
      </c>
      <c r="E960" t="s">
        <v>3072</v>
      </c>
      <c r="F960" t="s">
        <v>3071</v>
      </c>
    </row>
    <row r="961" spans="1:6" hidden="1" x14ac:dyDescent="0.2">
      <c r="A961" t="s">
        <v>3073</v>
      </c>
      <c r="B961" t="s">
        <v>3785</v>
      </c>
      <c r="C961" t="str">
        <f t="shared" si="14"/>
        <v>TolimaIBAGUE</v>
      </c>
      <c r="D961" t="s">
        <v>3074</v>
      </c>
      <c r="E961" t="s">
        <v>4323</v>
      </c>
      <c r="F961" t="s">
        <v>3291</v>
      </c>
    </row>
    <row r="962" spans="1:6" hidden="1" x14ac:dyDescent="0.2">
      <c r="A962" t="s">
        <v>3073</v>
      </c>
      <c r="B962" t="s">
        <v>3075</v>
      </c>
      <c r="C962" t="str">
        <f t="shared" si="14"/>
        <v>TolimaALPUJARRA</v>
      </c>
      <c r="D962" t="s">
        <v>3074</v>
      </c>
      <c r="E962" t="s">
        <v>61</v>
      </c>
      <c r="F962" t="s">
        <v>3292</v>
      </c>
    </row>
    <row r="963" spans="1:6" hidden="1" x14ac:dyDescent="0.2">
      <c r="A963" t="s">
        <v>3073</v>
      </c>
      <c r="B963" t="s">
        <v>206</v>
      </c>
      <c r="C963" t="str">
        <f t="shared" ref="C963:C1026" si="15">D963&amp;E963</f>
        <v>TolimaALVARADO</v>
      </c>
      <c r="D963" t="s">
        <v>3074</v>
      </c>
      <c r="E963" t="s">
        <v>3321</v>
      </c>
      <c r="F963" t="s">
        <v>3293</v>
      </c>
    </row>
    <row r="964" spans="1:6" hidden="1" x14ac:dyDescent="0.2">
      <c r="A964" t="s">
        <v>3073</v>
      </c>
      <c r="B964" t="s">
        <v>3796</v>
      </c>
      <c r="C964" t="str">
        <f t="shared" si="15"/>
        <v>TolimaAMBALEMA</v>
      </c>
      <c r="D964" t="s">
        <v>3074</v>
      </c>
      <c r="E964" t="s">
        <v>869</v>
      </c>
      <c r="F964" t="s">
        <v>3076</v>
      </c>
    </row>
    <row r="965" spans="1:6" hidden="1" x14ac:dyDescent="0.2">
      <c r="A965" t="s">
        <v>3073</v>
      </c>
      <c r="B965" t="s">
        <v>3077</v>
      </c>
      <c r="C965" t="str">
        <f t="shared" si="15"/>
        <v>TolimaANZOATEGUI</v>
      </c>
      <c r="D965" t="s">
        <v>3074</v>
      </c>
      <c r="E965" t="s">
        <v>3079</v>
      </c>
      <c r="F965" t="s">
        <v>3078</v>
      </c>
    </row>
    <row r="966" spans="1:6" hidden="1" x14ac:dyDescent="0.2">
      <c r="A966" t="s">
        <v>3073</v>
      </c>
      <c r="B966" t="s">
        <v>3823</v>
      </c>
      <c r="C966" t="str">
        <f t="shared" si="15"/>
        <v>TolimaARMERO</v>
      </c>
      <c r="D966" t="s">
        <v>3074</v>
      </c>
      <c r="E966" t="s">
        <v>2766</v>
      </c>
      <c r="F966" t="s">
        <v>3294</v>
      </c>
    </row>
    <row r="967" spans="1:6" hidden="1" x14ac:dyDescent="0.2">
      <c r="A967" t="s">
        <v>3073</v>
      </c>
      <c r="B967" t="s">
        <v>3080</v>
      </c>
      <c r="C967" t="str">
        <f t="shared" si="15"/>
        <v>TolimaATACO</v>
      </c>
      <c r="D967" t="s">
        <v>3074</v>
      </c>
      <c r="E967" t="s">
        <v>3082</v>
      </c>
      <c r="F967" t="s">
        <v>3081</v>
      </c>
    </row>
    <row r="968" spans="1:6" hidden="1" x14ac:dyDescent="0.2">
      <c r="A968" t="s">
        <v>3073</v>
      </c>
      <c r="B968" t="s">
        <v>2044</v>
      </c>
      <c r="C968" t="str">
        <f t="shared" si="15"/>
        <v>TolimaCAJAMARCA</v>
      </c>
      <c r="D968" t="s">
        <v>3074</v>
      </c>
      <c r="E968" t="s">
        <v>3443</v>
      </c>
      <c r="F968" t="s">
        <v>3083</v>
      </c>
    </row>
    <row r="969" spans="1:6" hidden="1" x14ac:dyDescent="0.2">
      <c r="A969" t="s">
        <v>3073</v>
      </c>
      <c r="B969" t="s">
        <v>3868</v>
      </c>
      <c r="C969" t="str">
        <f t="shared" si="15"/>
        <v>TolimaCARMEN DE APICALA</v>
      </c>
      <c r="D969" t="s">
        <v>3074</v>
      </c>
      <c r="E969" t="s">
        <v>3300</v>
      </c>
      <c r="F969" t="s">
        <v>3084</v>
      </c>
    </row>
    <row r="970" spans="1:6" hidden="1" x14ac:dyDescent="0.2">
      <c r="A970" t="s">
        <v>3073</v>
      </c>
      <c r="B970" t="s">
        <v>627</v>
      </c>
      <c r="C970" t="str">
        <f t="shared" si="15"/>
        <v>TolimaCASABIANCA</v>
      </c>
      <c r="D970" t="s">
        <v>3074</v>
      </c>
      <c r="E970" t="s">
        <v>3550</v>
      </c>
      <c r="F970" t="s">
        <v>3085</v>
      </c>
    </row>
    <row r="971" spans="1:6" hidden="1" x14ac:dyDescent="0.2">
      <c r="A971" t="s">
        <v>3073</v>
      </c>
      <c r="B971" t="s">
        <v>1592</v>
      </c>
      <c r="C971" t="str">
        <f t="shared" si="15"/>
        <v>TolimaCHAPARRAL</v>
      </c>
      <c r="D971" t="s">
        <v>3074</v>
      </c>
      <c r="E971" t="s">
        <v>2285</v>
      </c>
      <c r="F971" t="s">
        <v>3086</v>
      </c>
    </row>
    <row r="972" spans="1:6" hidden="1" x14ac:dyDescent="0.2">
      <c r="A972" t="s">
        <v>3073</v>
      </c>
      <c r="B972" t="s">
        <v>1679</v>
      </c>
      <c r="C972" t="str">
        <f t="shared" si="15"/>
        <v>TolimaCOELLO</v>
      </c>
      <c r="D972" t="s">
        <v>3074</v>
      </c>
      <c r="E972" t="s">
        <v>4363</v>
      </c>
      <c r="F972" t="s">
        <v>3087</v>
      </c>
    </row>
    <row r="973" spans="1:6" hidden="1" x14ac:dyDescent="0.2">
      <c r="A973" t="s">
        <v>3073</v>
      </c>
      <c r="B973" t="s">
        <v>649</v>
      </c>
      <c r="C973" t="str">
        <f t="shared" si="15"/>
        <v>TolimaCOYAIMA</v>
      </c>
      <c r="D973" t="s">
        <v>3074</v>
      </c>
      <c r="E973" t="s">
        <v>4277</v>
      </c>
      <c r="F973" t="s">
        <v>3088</v>
      </c>
    </row>
    <row r="974" spans="1:6" hidden="1" x14ac:dyDescent="0.2">
      <c r="A974" t="s">
        <v>3073</v>
      </c>
      <c r="B974" t="s">
        <v>2645</v>
      </c>
      <c r="C974" t="str">
        <f t="shared" si="15"/>
        <v>TolimaCUNDAY</v>
      </c>
      <c r="D974" t="s">
        <v>3074</v>
      </c>
      <c r="E974" t="s">
        <v>2280</v>
      </c>
      <c r="F974" t="s">
        <v>3089</v>
      </c>
    </row>
    <row r="975" spans="1:6" hidden="1" x14ac:dyDescent="0.2">
      <c r="A975" t="s">
        <v>3073</v>
      </c>
      <c r="B975" t="s">
        <v>2651</v>
      </c>
      <c r="C975" t="str">
        <f t="shared" si="15"/>
        <v>TolimaDOLORES</v>
      </c>
      <c r="D975" t="s">
        <v>3074</v>
      </c>
      <c r="E975" t="s">
        <v>62</v>
      </c>
      <c r="F975" t="s">
        <v>3090</v>
      </c>
    </row>
    <row r="976" spans="1:6" hidden="1" x14ac:dyDescent="0.2">
      <c r="A976" t="s">
        <v>3073</v>
      </c>
      <c r="B976" t="s">
        <v>2505</v>
      </c>
      <c r="C976" t="str">
        <f t="shared" si="15"/>
        <v>TolimaESPINAL</v>
      </c>
      <c r="D976" t="s">
        <v>3074</v>
      </c>
      <c r="E976" t="s">
        <v>3092</v>
      </c>
      <c r="F976" t="s">
        <v>3091</v>
      </c>
    </row>
    <row r="977" spans="1:6" hidden="1" x14ac:dyDescent="0.2">
      <c r="A977" t="s">
        <v>3073</v>
      </c>
      <c r="B977" t="s">
        <v>2057</v>
      </c>
      <c r="C977" t="str">
        <f t="shared" si="15"/>
        <v>TolimaFALAN</v>
      </c>
      <c r="D977" t="s">
        <v>3074</v>
      </c>
      <c r="E977" t="s">
        <v>2283</v>
      </c>
      <c r="F977" t="s">
        <v>3093</v>
      </c>
    </row>
    <row r="978" spans="1:6" hidden="1" x14ac:dyDescent="0.2">
      <c r="A978" t="s">
        <v>3073</v>
      </c>
      <c r="B978" t="s">
        <v>3094</v>
      </c>
      <c r="C978" t="str">
        <f t="shared" si="15"/>
        <v>TolimaFLANDES</v>
      </c>
      <c r="D978" t="s">
        <v>3074</v>
      </c>
      <c r="E978" t="s">
        <v>3323</v>
      </c>
      <c r="F978" t="s">
        <v>3095</v>
      </c>
    </row>
    <row r="979" spans="1:6" hidden="1" x14ac:dyDescent="0.2">
      <c r="A979" t="s">
        <v>3073</v>
      </c>
      <c r="B979" t="s">
        <v>3096</v>
      </c>
      <c r="C979" t="str">
        <f t="shared" si="15"/>
        <v>TolimaFRESNO</v>
      </c>
      <c r="D979" t="s">
        <v>3074</v>
      </c>
      <c r="E979" t="s">
        <v>3551</v>
      </c>
      <c r="F979" t="s">
        <v>3097</v>
      </c>
    </row>
    <row r="980" spans="1:6" hidden="1" x14ac:dyDescent="0.2">
      <c r="A980" t="s">
        <v>3073</v>
      </c>
      <c r="B980" t="s">
        <v>213</v>
      </c>
      <c r="C980" t="str">
        <f t="shared" si="15"/>
        <v>TolimaGUAMO</v>
      </c>
      <c r="D980" t="s">
        <v>3074</v>
      </c>
      <c r="E980" t="s">
        <v>3527</v>
      </c>
      <c r="F980" t="s">
        <v>3098</v>
      </c>
    </row>
    <row r="981" spans="1:6" hidden="1" x14ac:dyDescent="0.2">
      <c r="A981" t="s">
        <v>3073</v>
      </c>
      <c r="B981" t="s">
        <v>3933</v>
      </c>
      <c r="C981" t="str">
        <f t="shared" si="15"/>
        <v>TolimaHERVEO</v>
      </c>
      <c r="D981" t="s">
        <v>3074</v>
      </c>
      <c r="E981" t="s">
        <v>805</v>
      </c>
      <c r="F981" t="s">
        <v>3099</v>
      </c>
    </row>
    <row r="982" spans="1:6" hidden="1" x14ac:dyDescent="0.2">
      <c r="A982" t="s">
        <v>3073</v>
      </c>
      <c r="B982" t="s">
        <v>214</v>
      </c>
      <c r="C982" t="str">
        <f t="shared" si="15"/>
        <v>TolimaHONDA</v>
      </c>
      <c r="D982" t="s">
        <v>3074</v>
      </c>
      <c r="E982" t="s">
        <v>4234</v>
      </c>
      <c r="F982" t="s">
        <v>3100</v>
      </c>
    </row>
    <row r="983" spans="1:6" hidden="1" x14ac:dyDescent="0.2">
      <c r="A983" t="s">
        <v>3073</v>
      </c>
      <c r="B983" t="s">
        <v>477</v>
      </c>
      <c r="C983" t="str">
        <f t="shared" si="15"/>
        <v>TolimaICONONZO</v>
      </c>
      <c r="D983" t="s">
        <v>3074</v>
      </c>
      <c r="E983" t="s">
        <v>4233</v>
      </c>
      <c r="F983" t="s">
        <v>3101</v>
      </c>
    </row>
    <row r="984" spans="1:6" hidden="1" x14ac:dyDescent="0.2">
      <c r="A984" t="s">
        <v>3073</v>
      </c>
      <c r="B984" t="s">
        <v>3102</v>
      </c>
      <c r="C984" t="str">
        <f t="shared" si="15"/>
        <v>TolimaLERIDA</v>
      </c>
      <c r="D984" t="s">
        <v>3074</v>
      </c>
      <c r="E984" t="s">
        <v>3104</v>
      </c>
      <c r="F984" t="s">
        <v>3103</v>
      </c>
    </row>
    <row r="985" spans="1:6" hidden="1" x14ac:dyDescent="0.2">
      <c r="A985" t="s">
        <v>3073</v>
      </c>
      <c r="B985" t="s">
        <v>3958</v>
      </c>
      <c r="C985" t="str">
        <f t="shared" si="15"/>
        <v>TolimaLIBANO</v>
      </c>
      <c r="D985" t="s">
        <v>3074</v>
      </c>
      <c r="E985" t="s">
        <v>3348</v>
      </c>
      <c r="F985" t="s">
        <v>3105</v>
      </c>
    </row>
    <row r="986" spans="1:6" hidden="1" x14ac:dyDescent="0.2">
      <c r="A986" t="s">
        <v>3073</v>
      </c>
      <c r="B986" t="s">
        <v>1561</v>
      </c>
      <c r="C986" t="str">
        <f t="shared" si="15"/>
        <v>TolimaMARIQUITA</v>
      </c>
      <c r="D986" t="s">
        <v>3074</v>
      </c>
      <c r="E986" t="s">
        <v>3107</v>
      </c>
      <c r="F986" t="s">
        <v>3106</v>
      </c>
    </row>
    <row r="987" spans="1:6" hidden="1" x14ac:dyDescent="0.2">
      <c r="A987" t="s">
        <v>3073</v>
      </c>
      <c r="B987" t="s">
        <v>3108</v>
      </c>
      <c r="C987" t="str">
        <f t="shared" si="15"/>
        <v>TolimaMELGAR</v>
      </c>
      <c r="D987" t="s">
        <v>3074</v>
      </c>
      <c r="E987" t="s">
        <v>3299</v>
      </c>
      <c r="F987" t="s">
        <v>2136</v>
      </c>
    </row>
    <row r="988" spans="1:6" hidden="1" x14ac:dyDescent="0.2">
      <c r="A988" t="s">
        <v>3073</v>
      </c>
      <c r="B988" t="s">
        <v>3109</v>
      </c>
      <c r="C988" t="str">
        <f t="shared" si="15"/>
        <v>TolimaMURILLO</v>
      </c>
      <c r="D988" t="s">
        <v>3074</v>
      </c>
      <c r="E988" t="s">
        <v>3111</v>
      </c>
      <c r="F988" t="s">
        <v>3110</v>
      </c>
    </row>
    <row r="989" spans="1:6" hidden="1" x14ac:dyDescent="0.2">
      <c r="A989" t="s">
        <v>3073</v>
      </c>
      <c r="B989" t="s">
        <v>3976</v>
      </c>
      <c r="C989" t="str">
        <f t="shared" si="15"/>
        <v>TolimaNATAGAIMA</v>
      </c>
      <c r="D989" t="s">
        <v>3074</v>
      </c>
      <c r="E989" t="s">
        <v>2275</v>
      </c>
      <c r="F989" t="s">
        <v>3112</v>
      </c>
    </row>
    <row r="990" spans="1:6" hidden="1" x14ac:dyDescent="0.2">
      <c r="A990" t="s">
        <v>3073</v>
      </c>
      <c r="B990" t="s">
        <v>3113</v>
      </c>
      <c r="C990" t="str">
        <f t="shared" si="15"/>
        <v>TolimaORTEGA</v>
      </c>
      <c r="D990" t="s">
        <v>3074</v>
      </c>
      <c r="E990" t="s">
        <v>2216</v>
      </c>
      <c r="F990" t="s">
        <v>3114</v>
      </c>
    </row>
    <row r="991" spans="1:6" hidden="1" x14ac:dyDescent="0.2">
      <c r="A991" t="s">
        <v>3073</v>
      </c>
      <c r="B991" t="s">
        <v>2434</v>
      </c>
      <c r="C991" t="str">
        <f t="shared" si="15"/>
        <v>TolimaPALOCABILDO</v>
      </c>
      <c r="D991" t="s">
        <v>3074</v>
      </c>
      <c r="E991" t="s">
        <v>2284</v>
      </c>
      <c r="F991" t="s">
        <v>3115</v>
      </c>
    </row>
    <row r="992" spans="1:6" hidden="1" x14ac:dyDescent="0.2">
      <c r="A992" t="s">
        <v>3073</v>
      </c>
      <c r="B992" t="s">
        <v>2972</v>
      </c>
      <c r="C992" t="str">
        <f t="shared" si="15"/>
        <v>TolimaPIEDRAS</v>
      </c>
      <c r="D992" t="s">
        <v>3074</v>
      </c>
      <c r="E992" t="s">
        <v>1959</v>
      </c>
      <c r="F992" t="s">
        <v>3116</v>
      </c>
    </row>
    <row r="993" spans="1:6" hidden="1" x14ac:dyDescent="0.2">
      <c r="A993" t="s">
        <v>3073</v>
      </c>
      <c r="B993" t="s">
        <v>1614</v>
      </c>
      <c r="C993" t="str">
        <f t="shared" si="15"/>
        <v>TolimaPLANADAS</v>
      </c>
      <c r="D993" t="s">
        <v>3074</v>
      </c>
      <c r="E993" t="s">
        <v>4304</v>
      </c>
      <c r="F993" t="s">
        <v>3117</v>
      </c>
    </row>
    <row r="994" spans="1:6" hidden="1" x14ac:dyDescent="0.2">
      <c r="A994" t="s">
        <v>3073</v>
      </c>
      <c r="B994" t="s">
        <v>3118</v>
      </c>
      <c r="C994" t="str">
        <f t="shared" si="15"/>
        <v>TolimaPRADO</v>
      </c>
      <c r="D994" t="s">
        <v>3074</v>
      </c>
      <c r="E994" t="s">
        <v>3375</v>
      </c>
      <c r="F994" t="s">
        <v>3119</v>
      </c>
    </row>
    <row r="995" spans="1:6" hidden="1" x14ac:dyDescent="0.2">
      <c r="A995" t="s">
        <v>3073</v>
      </c>
      <c r="B995" t="s">
        <v>3997</v>
      </c>
      <c r="C995" t="str">
        <f t="shared" si="15"/>
        <v>TolimaPURIFICACION</v>
      </c>
      <c r="D995" t="s">
        <v>3074</v>
      </c>
      <c r="E995" t="s">
        <v>4366</v>
      </c>
      <c r="F995" t="s">
        <v>3120</v>
      </c>
    </row>
    <row r="996" spans="1:6" hidden="1" x14ac:dyDescent="0.2">
      <c r="A996" t="s">
        <v>3073</v>
      </c>
      <c r="B996" t="s">
        <v>1408</v>
      </c>
      <c r="C996" t="str">
        <f t="shared" si="15"/>
        <v>TolimaRIOBLANCO</v>
      </c>
      <c r="D996" t="s">
        <v>3074</v>
      </c>
      <c r="E996" t="s">
        <v>3122</v>
      </c>
      <c r="F996" t="s">
        <v>3121</v>
      </c>
    </row>
    <row r="997" spans="1:6" hidden="1" x14ac:dyDescent="0.2">
      <c r="A997" t="s">
        <v>3073</v>
      </c>
      <c r="B997" t="s">
        <v>1504</v>
      </c>
      <c r="C997" t="str">
        <f t="shared" si="15"/>
        <v>TolimaRONCESVALLES</v>
      </c>
      <c r="D997" t="s">
        <v>3074</v>
      </c>
      <c r="E997" t="s">
        <v>3124</v>
      </c>
      <c r="F997" t="s">
        <v>3123</v>
      </c>
    </row>
    <row r="998" spans="1:6" hidden="1" x14ac:dyDescent="0.2">
      <c r="A998" t="s">
        <v>3073</v>
      </c>
      <c r="B998" t="s">
        <v>3125</v>
      </c>
      <c r="C998" t="str">
        <f t="shared" si="15"/>
        <v>TolimaROVIRA</v>
      </c>
      <c r="D998" t="s">
        <v>3074</v>
      </c>
      <c r="E998" t="s">
        <v>3127</v>
      </c>
      <c r="F998" t="s">
        <v>3126</v>
      </c>
    </row>
    <row r="999" spans="1:6" hidden="1" x14ac:dyDescent="0.2">
      <c r="A999" t="s">
        <v>3073</v>
      </c>
      <c r="B999" t="s">
        <v>3128</v>
      </c>
      <c r="C999" t="str">
        <f t="shared" si="15"/>
        <v>TolimaSALDAÑA</v>
      </c>
      <c r="D999" t="s">
        <v>3074</v>
      </c>
      <c r="E999" t="s">
        <v>3130</v>
      </c>
      <c r="F999" t="s">
        <v>3129</v>
      </c>
    </row>
    <row r="1000" spans="1:6" hidden="1" x14ac:dyDescent="0.2">
      <c r="A1000" t="s">
        <v>3073</v>
      </c>
      <c r="B1000" t="s">
        <v>2454</v>
      </c>
      <c r="C1000" t="str">
        <f t="shared" si="15"/>
        <v>TolimaSAN ANTONIO</v>
      </c>
      <c r="D1000" t="s">
        <v>3074</v>
      </c>
      <c r="E1000" t="s">
        <v>3132</v>
      </c>
      <c r="F1000" t="s">
        <v>3131</v>
      </c>
    </row>
    <row r="1001" spans="1:6" hidden="1" x14ac:dyDescent="0.2">
      <c r="A1001" t="s">
        <v>3073</v>
      </c>
      <c r="B1001" t="s">
        <v>1635</v>
      </c>
      <c r="C1001" t="str">
        <f t="shared" si="15"/>
        <v>TolimaSAN LUIS</v>
      </c>
      <c r="D1001" t="s">
        <v>3074</v>
      </c>
      <c r="E1001" t="s">
        <v>2276</v>
      </c>
      <c r="F1001" t="s">
        <v>3133</v>
      </c>
    </row>
    <row r="1002" spans="1:6" hidden="1" x14ac:dyDescent="0.2">
      <c r="A1002" t="s">
        <v>3073</v>
      </c>
      <c r="B1002" t="s">
        <v>4049</v>
      </c>
      <c r="C1002" t="str">
        <f t="shared" si="15"/>
        <v>TolimaSANTA ISABEL</v>
      </c>
      <c r="D1002" t="s">
        <v>3074</v>
      </c>
      <c r="E1002" t="s">
        <v>3135</v>
      </c>
      <c r="F1002" t="s">
        <v>3134</v>
      </c>
    </row>
    <row r="1003" spans="1:6" hidden="1" x14ac:dyDescent="0.2">
      <c r="A1003" t="s">
        <v>3073</v>
      </c>
      <c r="B1003" t="s">
        <v>2462</v>
      </c>
      <c r="C1003" t="str">
        <f t="shared" si="15"/>
        <v>TolimaSUAREZ</v>
      </c>
      <c r="D1003" t="s">
        <v>3074</v>
      </c>
      <c r="E1003" t="s">
        <v>4259</v>
      </c>
      <c r="F1003" t="s">
        <v>3136</v>
      </c>
    </row>
    <row r="1004" spans="1:6" hidden="1" x14ac:dyDescent="0.2">
      <c r="A1004" t="s">
        <v>3073</v>
      </c>
      <c r="B1004" t="s">
        <v>4086</v>
      </c>
      <c r="C1004" t="str">
        <f t="shared" si="15"/>
        <v>TolimaVALLE DE SAN JUAN</v>
      </c>
      <c r="D1004" t="s">
        <v>3074</v>
      </c>
      <c r="E1004" t="s">
        <v>4272</v>
      </c>
      <c r="F1004" t="s">
        <v>3137</v>
      </c>
    </row>
    <row r="1005" spans="1:6" hidden="1" x14ac:dyDescent="0.2">
      <c r="A1005" t="s">
        <v>3073</v>
      </c>
      <c r="B1005" t="s">
        <v>4094</v>
      </c>
      <c r="C1005" t="str">
        <f t="shared" si="15"/>
        <v>TolimaVENADILLO</v>
      </c>
      <c r="D1005" t="s">
        <v>3074</v>
      </c>
      <c r="E1005" t="s">
        <v>3548</v>
      </c>
      <c r="F1005" t="s">
        <v>3138</v>
      </c>
    </row>
    <row r="1006" spans="1:6" hidden="1" x14ac:dyDescent="0.2">
      <c r="A1006" t="s">
        <v>3073</v>
      </c>
      <c r="B1006" t="s">
        <v>3139</v>
      </c>
      <c r="C1006" t="str">
        <f t="shared" si="15"/>
        <v>TolimaVILLAHERMOSA</v>
      </c>
      <c r="D1006" t="s">
        <v>3074</v>
      </c>
      <c r="E1006" t="s">
        <v>1960</v>
      </c>
      <c r="F1006" t="s">
        <v>3140</v>
      </c>
    </row>
    <row r="1007" spans="1:6" hidden="1" x14ac:dyDescent="0.2">
      <c r="A1007" t="s">
        <v>3073</v>
      </c>
      <c r="B1007" t="s">
        <v>4096</v>
      </c>
      <c r="C1007" t="str">
        <f t="shared" si="15"/>
        <v>TolimaVILLARRICA</v>
      </c>
      <c r="D1007" t="s">
        <v>3074</v>
      </c>
      <c r="E1007" t="s">
        <v>2767</v>
      </c>
      <c r="F1007" t="s">
        <v>3141</v>
      </c>
    </row>
    <row r="1008" spans="1:6" hidden="1" x14ac:dyDescent="0.2">
      <c r="A1008" t="s">
        <v>3142</v>
      </c>
      <c r="B1008" t="s">
        <v>3785</v>
      </c>
      <c r="C1008" t="str">
        <f t="shared" si="15"/>
        <v>Valle del CaucaCALI</v>
      </c>
      <c r="D1008" t="s">
        <v>3143</v>
      </c>
      <c r="E1008" t="s">
        <v>2768</v>
      </c>
      <c r="F1008" t="s">
        <v>2137</v>
      </c>
    </row>
    <row r="1009" spans="1:6" hidden="1" x14ac:dyDescent="0.2">
      <c r="A1009" t="s">
        <v>3142</v>
      </c>
      <c r="B1009" t="s">
        <v>205</v>
      </c>
      <c r="C1009" t="str">
        <f t="shared" si="15"/>
        <v>Valle del CaucaALCALA</v>
      </c>
      <c r="D1009" t="s">
        <v>3143</v>
      </c>
      <c r="E1009" t="s">
        <v>3145</v>
      </c>
      <c r="F1009" t="s">
        <v>3144</v>
      </c>
    </row>
    <row r="1010" spans="1:6" hidden="1" x14ac:dyDescent="0.2">
      <c r="A1010" t="s">
        <v>3142</v>
      </c>
      <c r="B1010" t="s">
        <v>3802</v>
      </c>
      <c r="C1010" t="str">
        <f t="shared" si="15"/>
        <v>Valle del CaucaANDALUCIA</v>
      </c>
      <c r="D1010" t="s">
        <v>3143</v>
      </c>
      <c r="E1010" t="s">
        <v>3372</v>
      </c>
      <c r="F1010" t="s">
        <v>3146</v>
      </c>
    </row>
    <row r="1011" spans="1:6" hidden="1" x14ac:dyDescent="0.2">
      <c r="A1011" t="s">
        <v>3142</v>
      </c>
      <c r="B1011" t="s">
        <v>3147</v>
      </c>
      <c r="C1011" t="str">
        <f t="shared" si="15"/>
        <v>Valle del CaucaANSERMANUEVO</v>
      </c>
      <c r="D1011" t="s">
        <v>3143</v>
      </c>
      <c r="E1011" t="s">
        <v>3378</v>
      </c>
      <c r="F1011" t="s">
        <v>3148</v>
      </c>
    </row>
    <row r="1012" spans="1:6" hidden="1" x14ac:dyDescent="0.2">
      <c r="A1012" t="s">
        <v>3142</v>
      </c>
      <c r="B1012" t="s">
        <v>3149</v>
      </c>
      <c r="C1012" t="str">
        <f t="shared" si="15"/>
        <v>Valle del CaucaARGELIA</v>
      </c>
      <c r="D1012" t="s">
        <v>3143</v>
      </c>
      <c r="E1012" t="s">
        <v>2227</v>
      </c>
      <c r="F1012" t="s">
        <v>3150</v>
      </c>
    </row>
    <row r="1013" spans="1:6" hidden="1" x14ac:dyDescent="0.2">
      <c r="A1013" t="s">
        <v>3142</v>
      </c>
      <c r="B1013" t="s">
        <v>1467</v>
      </c>
      <c r="C1013" t="str">
        <f t="shared" si="15"/>
        <v>Valle del CaucaBOLIVAR</v>
      </c>
      <c r="D1013" t="s">
        <v>3143</v>
      </c>
      <c r="E1013" t="s">
        <v>4352</v>
      </c>
      <c r="F1013" t="s">
        <v>3151</v>
      </c>
    </row>
    <row r="1014" spans="1:6" hidden="1" x14ac:dyDescent="0.2">
      <c r="A1014" t="s">
        <v>3142</v>
      </c>
      <c r="B1014" t="s">
        <v>2598</v>
      </c>
      <c r="C1014" t="str">
        <f t="shared" si="15"/>
        <v>Valle del CaucaBUENAVENTURA</v>
      </c>
      <c r="D1014" t="s">
        <v>3143</v>
      </c>
      <c r="E1014" t="s">
        <v>4322</v>
      </c>
      <c r="F1014" t="s">
        <v>3152</v>
      </c>
    </row>
    <row r="1015" spans="1:6" hidden="1" x14ac:dyDescent="0.2">
      <c r="A1015" t="s">
        <v>3142</v>
      </c>
      <c r="B1015" t="s">
        <v>587</v>
      </c>
      <c r="C1015" t="str">
        <f t="shared" si="15"/>
        <v>Valle del CaucaGUADALAJARA DE BUGA</v>
      </c>
      <c r="D1015" t="s">
        <v>3143</v>
      </c>
      <c r="E1015" t="s">
        <v>2282</v>
      </c>
      <c r="F1015" t="s">
        <v>3153</v>
      </c>
    </row>
    <row r="1016" spans="1:6" hidden="1" x14ac:dyDescent="0.2">
      <c r="A1016" t="s">
        <v>3142</v>
      </c>
      <c r="B1016" t="s">
        <v>3843</v>
      </c>
      <c r="C1016" t="str">
        <f t="shared" si="15"/>
        <v>Valle del CaucaBUGALAGRANDE</v>
      </c>
      <c r="D1016" t="s">
        <v>3143</v>
      </c>
      <c r="E1016" t="s">
        <v>4276</v>
      </c>
      <c r="F1016" t="s">
        <v>3154</v>
      </c>
    </row>
    <row r="1017" spans="1:6" hidden="1" x14ac:dyDescent="0.2">
      <c r="A1017" t="s">
        <v>3142</v>
      </c>
      <c r="B1017" t="s">
        <v>3155</v>
      </c>
      <c r="C1017" t="str">
        <f t="shared" si="15"/>
        <v>Valle del CaucaCAICEDONIA</v>
      </c>
      <c r="D1017" t="s">
        <v>3143</v>
      </c>
      <c r="E1017" t="s">
        <v>3157</v>
      </c>
      <c r="F1017" t="s">
        <v>3156</v>
      </c>
    </row>
    <row r="1018" spans="1:6" hidden="1" x14ac:dyDescent="0.2">
      <c r="A1018" t="s">
        <v>3142</v>
      </c>
      <c r="B1018" t="s">
        <v>1664</v>
      </c>
      <c r="C1018" t="str">
        <f t="shared" si="15"/>
        <v>Valle del CaucaCALIMA</v>
      </c>
      <c r="D1018" t="s">
        <v>3143</v>
      </c>
      <c r="E1018" t="s">
        <v>3159</v>
      </c>
      <c r="F1018" t="s">
        <v>3158</v>
      </c>
    </row>
    <row r="1019" spans="1:6" hidden="1" x14ac:dyDescent="0.2">
      <c r="A1019" t="s">
        <v>3142</v>
      </c>
      <c r="B1019" t="s">
        <v>1470</v>
      </c>
      <c r="C1019" t="str">
        <f t="shared" si="15"/>
        <v>Valle del CaucaCANDELARIA</v>
      </c>
      <c r="D1019" t="s">
        <v>3143</v>
      </c>
      <c r="E1019" t="s">
        <v>4325</v>
      </c>
      <c r="F1019" t="s">
        <v>2138</v>
      </c>
    </row>
    <row r="1020" spans="1:6" hidden="1" x14ac:dyDescent="0.2">
      <c r="A1020" t="s">
        <v>3142</v>
      </c>
      <c r="B1020" t="s">
        <v>3865</v>
      </c>
      <c r="C1020" t="str">
        <f t="shared" si="15"/>
        <v>Valle del CaucaCARTAGO</v>
      </c>
      <c r="D1020" t="s">
        <v>3143</v>
      </c>
      <c r="E1020" t="s">
        <v>3393</v>
      </c>
      <c r="F1020" t="s">
        <v>3160</v>
      </c>
    </row>
    <row r="1021" spans="1:6" hidden="1" x14ac:dyDescent="0.2">
      <c r="A1021" t="s">
        <v>3142</v>
      </c>
      <c r="B1021" t="s">
        <v>457</v>
      </c>
      <c r="C1021" t="str">
        <f t="shared" si="15"/>
        <v>Valle del CaucaDAGUA</v>
      </c>
      <c r="D1021" t="s">
        <v>3143</v>
      </c>
      <c r="E1021" t="s">
        <v>3332</v>
      </c>
      <c r="F1021" t="s">
        <v>2139</v>
      </c>
    </row>
    <row r="1022" spans="1:6" hidden="1" x14ac:dyDescent="0.2">
      <c r="A1022" t="s">
        <v>3142</v>
      </c>
      <c r="B1022" t="s">
        <v>3161</v>
      </c>
      <c r="C1022" t="str">
        <f t="shared" si="15"/>
        <v>Valle del CaucaEL AGUILA</v>
      </c>
      <c r="D1022" t="s">
        <v>3143</v>
      </c>
      <c r="E1022" t="s">
        <v>4268</v>
      </c>
      <c r="F1022" t="s">
        <v>3162</v>
      </c>
    </row>
    <row r="1023" spans="1:6" hidden="1" x14ac:dyDescent="0.2">
      <c r="A1023" t="s">
        <v>3142</v>
      </c>
      <c r="B1023" t="s">
        <v>3163</v>
      </c>
      <c r="C1023" t="str">
        <f t="shared" si="15"/>
        <v>Valle del CaucaEL CAIRO</v>
      </c>
      <c r="D1023" t="s">
        <v>3143</v>
      </c>
      <c r="E1023" t="s">
        <v>3555</v>
      </c>
      <c r="F1023" t="s">
        <v>3164</v>
      </c>
    </row>
    <row r="1024" spans="1:6" hidden="1" x14ac:dyDescent="0.2">
      <c r="A1024" t="s">
        <v>3142</v>
      </c>
      <c r="B1024" t="s">
        <v>2502</v>
      </c>
      <c r="C1024" t="str">
        <f t="shared" si="15"/>
        <v>Valle del CaucaEL CERRITO</v>
      </c>
      <c r="D1024" t="s">
        <v>3143</v>
      </c>
      <c r="E1024" t="s">
        <v>3373</v>
      </c>
      <c r="F1024" t="s">
        <v>2140</v>
      </c>
    </row>
    <row r="1025" spans="1:6" hidden="1" x14ac:dyDescent="0.2">
      <c r="A1025" t="s">
        <v>3142</v>
      </c>
      <c r="B1025" t="s">
        <v>3903</v>
      </c>
      <c r="C1025" t="str">
        <f t="shared" si="15"/>
        <v>Valle del CaucaEL DOVIO</v>
      </c>
      <c r="D1025" t="s">
        <v>3143</v>
      </c>
      <c r="E1025" t="s">
        <v>3325</v>
      </c>
      <c r="F1025" t="s">
        <v>3165</v>
      </c>
    </row>
    <row r="1026" spans="1:6" hidden="1" x14ac:dyDescent="0.2">
      <c r="A1026" t="s">
        <v>3142</v>
      </c>
      <c r="B1026" t="s">
        <v>3094</v>
      </c>
      <c r="C1026" t="str">
        <f t="shared" si="15"/>
        <v>Valle del CaucaFLORIDA</v>
      </c>
      <c r="D1026" t="s">
        <v>3143</v>
      </c>
      <c r="E1026" t="s">
        <v>3167</v>
      </c>
      <c r="F1026" t="s">
        <v>3166</v>
      </c>
    </row>
    <row r="1027" spans="1:6" hidden="1" x14ac:dyDescent="0.2">
      <c r="A1027" t="s">
        <v>3142</v>
      </c>
      <c r="B1027" t="s">
        <v>3916</v>
      </c>
      <c r="C1027" t="str">
        <f t="shared" ref="C1027:C1090" si="16">D1027&amp;E1027</f>
        <v>Valle del CaucaGINEBRA</v>
      </c>
      <c r="D1027" t="s">
        <v>3143</v>
      </c>
      <c r="E1027" t="s">
        <v>4332</v>
      </c>
      <c r="F1027" t="s">
        <v>2141</v>
      </c>
    </row>
    <row r="1028" spans="1:6" hidden="1" x14ac:dyDescent="0.2">
      <c r="A1028" t="s">
        <v>3142</v>
      </c>
      <c r="B1028" t="s">
        <v>3928</v>
      </c>
      <c r="C1028" t="str">
        <f t="shared" si="16"/>
        <v>Valle del CaucaGUACARI</v>
      </c>
      <c r="D1028" t="s">
        <v>3143</v>
      </c>
      <c r="E1028" t="s">
        <v>3169</v>
      </c>
      <c r="F1028" t="s">
        <v>3168</v>
      </c>
    </row>
    <row r="1029" spans="1:6" hidden="1" x14ac:dyDescent="0.2">
      <c r="A1029" t="s">
        <v>3142</v>
      </c>
      <c r="B1029" t="s">
        <v>3944</v>
      </c>
      <c r="C1029" t="str">
        <f t="shared" si="16"/>
        <v>Valle del CaucaJAMUNDI</v>
      </c>
      <c r="D1029" t="s">
        <v>3143</v>
      </c>
      <c r="E1029" t="s">
        <v>4226</v>
      </c>
      <c r="F1029" t="s">
        <v>3170</v>
      </c>
    </row>
    <row r="1030" spans="1:6" hidden="1" x14ac:dyDescent="0.2">
      <c r="A1030" t="s">
        <v>3142</v>
      </c>
      <c r="B1030" t="s">
        <v>1189</v>
      </c>
      <c r="C1030" t="str">
        <f t="shared" si="16"/>
        <v>Valle del CaucaLA CUMBRE</v>
      </c>
      <c r="D1030" t="s">
        <v>3143</v>
      </c>
      <c r="E1030" t="s">
        <v>2242</v>
      </c>
      <c r="F1030" t="s">
        <v>3171</v>
      </c>
    </row>
    <row r="1031" spans="1:6" hidden="1" x14ac:dyDescent="0.2">
      <c r="A1031" t="s">
        <v>3142</v>
      </c>
      <c r="B1031" t="s">
        <v>3956</v>
      </c>
      <c r="C1031" t="str">
        <f t="shared" si="16"/>
        <v>Valle del CaucaLA UNION</v>
      </c>
      <c r="D1031" t="s">
        <v>3143</v>
      </c>
      <c r="E1031" t="s">
        <v>3493</v>
      </c>
      <c r="F1031" t="s">
        <v>3172</v>
      </c>
    </row>
    <row r="1032" spans="1:6" hidden="1" x14ac:dyDescent="0.2">
      <c r="A1032" t="s">
        <v>3142</v>
      </c>
      <c r="B1032" t="s">
        <v>1196</v>
      </c>
      <c r="C1032" t="str">
        <f t="shared" si="16"/>
        <v>Valle del CaucaLA VICTORIA</v>
      </c>
      <c r="D1032" t="s">
        <v>3143</v>
      </c>
      <c r="E1032" t="s">
        <v>2867</v>
      </c>
      <c r="F1032" t="s">
        <v>2142</v>
      </c>
    </row>
    <row r="1033" spans="1:6" hidden="1" x14ac:dyDescent="0.2">
      <c r="A1033" t="s">
        <v>3142</v>
      </c>
      <c r="B1033" t="s">
        <v>3173</v>
      </c>
      <c r="C1033" t="str">
        <f t="shared" si="16"/>
        <v>Valle del CaucaOBANDO</v>
      </c>
      <c r="D1033" t="s">
        <v>3143</v>
      </c>
      <c r="E1033" t="s">
        <v>4245</v>
      </c>
      <c r="F1033" t="s">
        <v>3174</v>
      </c>
    </row>
    <row r="1034" spans="1:6" hidden="1" x14ac:dyDescent="0.2">
      <c r="A1034" t="s">
        <v>3142</v>
      </c>
      <c r="B1034" t="s">
        <v>2434</v>
      </c>
      <c r="C1034" t="str">
        <f t="shared" si="16"/>
        <v>Valle del CaucaPALMIRA</v>
      </c>
      <c r="D1034" t="s">
        <v>3143</v>
      </c>
      <c r="E1034" t="s">
        <v>4227</v>
      </c>
      <c r="F1034" t="s">
        <v>2143</v>
      </c>
    </row>
    <row r="1035" spans="1:6" hidden="1" x14ac:dyDescent="0.2">
      <c r="A1035" t="s">
        <v>3142</v>
      </c>
      <c r="B1035" t="s">
        <v>3118</v>
      </c>
      <c r="C1035" t="str">
        <f t="shared" si="16"/>
        <v>Valle del CaucaPRADERA</v>
      </c>
      <c r="D1035" t="s">
        <v>3143</v>
      </c>
      <c r="E1035" t="s">
        <v>3176</v>
      </c>
      <c r="F1035" t="s">
        <v>3175</v>
      </c>
    </row>
    <row r="1036" spans="1:6" hidden="1" x14ac:dyDescent="0.2">
      <c r="A1036" t="s">
        <v>3142</v>
      </c>
      <c r="B1036" t="s">
        <v>2448</v>
      </c>
      <c r="C1036" t="str">
        <f t="shared" si="16"/>
        <v>Valle del CaucaRESTREPO</v>
      </c>
      <c r="D1036" t="s">
        <v>3143</v>
      </c>
      <c r="E1036" t="s">
        <v>424</v>
      </c>
      <c r="F1036" t="s">
        <v>3177</v>
      </c>
    </row>
    <row r="1037" spans="1:6" hidden="1" x14ac:dyDescent="0.2">
      <c r="A1037" t="s">
        <v>3142</v>
      </c>
      <c r="B1037" t="s">
        <v>1408</v>
      </c>
      <c r="C1037" t="str">
        <f t="shared" si="16"/>
        <v>Valle del CaucaRIOFRIO</v>
      </c>
      <c r="D1037" t="s">
        <v>3143</v>
      </c>
      <c r="E1037" t="s">
        <v>3179</v>
      </c>
      <c r="F1037" t="s">
        <v>3178</v>
      </c>
    </row>
    <row r="1038" spans="1:6" hidden="1" x14ac:dyDescent="0.2">
      <c r="A1038" t="s">
        <v>3142</v>
      </c>
      <c r="B1038" t="s">
        <v>1504</v>
      </c>
      <c r="C1038" t="str">
        <f t="shared" si="16"/>
        <v>Valle del CaucaROLDANILLO</v>
      </c>
      <c r="D1038" t="s">
        <v>3143</v>
      </c>
      <c r="E1038" t="s">
        <v>2247</v>
      </c>
      <c r="F1038" t="s">
        <v>3180</v>
      </c>
    </row>
    <row r="1039" spans="1:6" hidden="1" x14ac:dyDescent="0.2">
      <c r="A1039" t="s">
        <v>3142</v>
      </c>
      <c r="B1039" t="s">
        <v>4042</v>
      </c>
      <c r="C1039" t="str">
        <f t="shared" si="16"/>
        <v>Valle del CaucaSAN PEDRO</v>
      </c>
      <c r="D1039" t="s">
        <v>3143</v>
      </c>
      <c r="E1039" t="s">
        <v>3492</v>
      </c>
      <c r="F1039" t="s">
        <v>3181</v>
      </c>
    </row>
    <row r="1040" spans="1:6" hidden="1" x14ac:dyDescent="0.2">
      <c r="A1040" t="s">
        <v>3142</v>
      </c>
      <c r="B1040" t="s">
        <v>4058</v>
      </c>
      <c r="C1040" t="str">
        <f t="shared" si="16"/>
        <v>Valle del CaucaSEVILLA</v>
      </c>
      <c r="D1040" t="s">
        <v>3143</v>
      </c>
      <c r="E1040" t="s">
        <v>4248</v>
      </c>
      <c r="F1040" t="s">
        <v>3182</v>
      </c>
    </row>
    <row r="1041" spans="1:6" hidden="1" x14ac:dyDescent="0.2">
      <c r="A1041" t="s">
        <v>3142</v>
      </c>
      <c r="B1041" t="s">
        <v>1827</v>
      </c>
      <c r="C1041" t="str">
        <f t="shared" si="16"/>
        <v>Valle del CaucaTORO</v>
      </c>
      <c r="D1041" t="s">
        <v>3143</v>
      </c>
      <c r="E1041" t="s">
        <v>3360</v>
      </c>
      <c r="F1041" t="s">
        <v>3183</v>
      </c>
    </row>
    <row r="1042" spans="1:6" hidden="1" x14ac:dyDescent="0.2">
      <c r="A1042" t="s">
        <v>3142</v>
      </c>
      <c r="B1042" t="s">
        <v>3184</v>
      </c>
      <c r="C1042" t="str">
        <f t="shared" si="16"/>
        <v>Valle del CaucaTRUJILLO</v>
      </c>
      <c r="D1042" t="s">
        <v>3143</v>
      </c>
      <c r="E1042" t="s">
        <v>4319</v>
      </c>
      <c r="F1042" t="s">
        <v>3185</v>
      </c>
    </row>
    <row r="1043" spans="1:6" hidden="1" x14ac:dyDescent="0.2">
      <c r="A1043" t="s">
        <v>3142</v>
      </c>
      <c r="B1043" t="s">
        <v>3186</v>
      </c>
      <c r="C1043" t="str">
        <f t="shared" si="16"/>
        <v>Valle del CaucaTULUA</v>
      </c>
      <c r="D1043" t="s">
        <v>3143</v>
      </c>
      <c r="E1043" t="s">
        <v>3451</v>
      </c>
      <c r="F1043" t="s">
        <v>3187</v>
      </c>
    </row>
    <row r="1044" spans="1:6" hidden="1" x14ac:dyDescent="0.2">
      <c r="A1044" t="s">
        <v>3142</v>
      </c>
      <c r="B1044" t="s">
        <v>1526</v>
      </c>
      <c r="C1044" t="str">
        <f t="shared" si="16"/>
        <v>Valle del CaucaULLOA</v>
      </c>
      <c r="D1044" t="s">
        <v>3143</v>
      </c>
      <c r="E1044" t="s">
        <v>3189</v>
      </c>
      <c r="F1044" t="s">
        <v>3188</v>
      </c>
    </row>
    <row r="1045" spans="1:6" hidden="1" x14ac:dyDescent="0.2">
      <c r="A1045" t="s">
        <v>3142</v>
      </c>
      <c r="B1045" t="s">
        <v>3190</v>
      </c>
      <c r="C1045" t="str">
        <f t="shared" si="16"/>
        <v>Valle del CaucaVERSALLES</v>
      </c>
      <c r="D1045" t="s">
        <v>3143</v>
      </c>
      <c r="E1045" t="s">
        <v>3538</v>
      </c>
      <c r="F1045" t="s">
        <v>3191</v>
      </c>
    </row>
    <row r="1046" spans="1:6" hidden="1" x14ac:dyDescent="0.2">
      <c r="A1046" t="s">
        <v>3142</v>
      </c>
      <c r="B1046" t="s">
        <v>3192</v>
      </c>
      <c r="C1046" t="str">
        <f t="shared" si="16"/>
        <v>Valle del CaucaVIJES</v>
      </c>
      <c r="D1046" t="s">
        <v>3143</v>
      </c>
      <c r="E1046" t="s">
        <v>3194</v>
      </c>
      <c r="F1046" t="s">
        <v>3193</v>
      </c>
    </row>
    <row r="1047" spans="1:6" hidden="1" x14ac:dyDescent="0.2">
      <c r="A1047" t="s">
        <v>3142</v>
      </c>
      <c r="B1047" t="s">
        <v>4104</v>
      </c>
      <c r="C1047" t="str">
        <f t="shared" si="16"/>
        <v>Valle del CaucaYOTOCO</v>
      </c>
      <c r="D1047" t="s">
        <v>3143</v>
      </c>
      <c r="E1047" t="s">
        <v>2239</v>
      </c>
      <c r="F1047" t="s">
        <v>2144</v>
      </c>
    </row>
    <row r="1048" spans="1:6" hidden="1" x14ac:dyDescent="0.2">
      <c r="A1048" t="s">
        <v>3142</v>
      </c>
      <c r="B1048" t="s">
        <v>3195</v>
      </c>
      <c r="C1048" t="str">
        <f t="shared" si="16"/>
        <v>Valle del CaucaYUMBO</v>
      </c>
      <c r="D1048" t="s">
        <v>3143</v>
      </c>
      <c r="E1048" t="s">
        <v>3384</v>
      </c>
      <c r="F1048" t="s">
        <v>2145</v>
      </c>
    </row>
    <row r="1049" spans="1:6" hidden="1" x14ac:dyDescent="0.2">
      <c r="A1049" t="s">
        <v>3142</v>
      </c>
      <c r="B1049" t="s">
        <v>4110</v>
      </c>
      <c r="C1049" t="str">
        <f t="shared" si="16"/>
        <v>Valle del CaucaZARZAL</v>
      </c>
      <c r="D1049" t="s">
        <v>3143</v>
      </c>
      <c r="E1049" t="s">
        <v>4375</v>
      </c>
      <c r="F1049" t="s">
        <v>3196</v>
      </c>
    </row>
    <row r="1050" spans="1:6" hidden="1" x14ac:dyDescent="0.2">
      <c r="A1050" t="s">
        <v>3197</v>
      </c>
      <c r="B1050" t="s">
        <v>3785</v>
      </c>
      <c r="C1050" t="str">
        <f t="shared" si="16"/>
        <v>AraucaARAUCA</v>
      </c>
      <c r="D1050" t="s">
        <v>3199</v>
      </c>
      <c r="E1050" t="s">
        <v>3301</v>
      </c>
      <c r="F1050" t="s">
        <v>3198</v>
      </c>
    </row>
    <row r="1051" spans="1:6" hidden="1" x14ac:dyDescent="0.2">
      <c r="A1051" t="s">
        <v>3197</v>
      </c>
      <c r="B1051" t="s">
        <v>3200</v>
      </c>
      <c r="C1051" t="str">
        <f t="shared" si="16"/>
        <v>AraucaARAUQUITA</v>
      </c>
      <c r="D1051" t="s">
        <v>3199</v>
      </c>
      <c r="E1051" t="s">
        <v>2255</v>
      </c>
      <c r="F1051" t="s">
        <v>3201</v>
      </c>
    </row>
    <row r="1052" spans="1:6" hidden="1" x14ac:dyDescent="0.2">
      <c r="A1052" t="s">
        <v>3197</v>
      </c>
      <c r="B1052" t="s">
        <v>3202</v>
      </c>
      <c r="C1052" t="str">
        <f t="shared" si="16"/>
        <v>AraucaCRAVO NORTE</v>
      </c>
      <c r="D1052" t="s">
        <v>3199</v>
      </c>
      <c r="E1052" t="s">
        <v>3204</v>
      </c>
      <c r="F1052" t="s">
        <v>3203</v>
      </c>
    </row>
    <row r="1053" spans="1:6" hidden="1" x14ac:dyDescent="0.2">
      <c r="A1053" t="s">
        <v>3197</v>
      </c>
      <c r="B1053" t="s">
        <v>2507</v>
      </c>
      <c r="C1053" t="str">
        <f t="shared" si="16"/>
        <v>AraucaFORTUL</v>
      </c>
      <c r="D1053" t="s">
        <v>3199</v>
      </c>
      <c r="E1053" t="s">
        <v>2769</v>
      </c>
      <c r="F1053" t="s">
        <v>3205</v>
      </c>
    </row>
    <row r="1054" spans="1:6" hidden="1" x14ac:dyDescent="0.2">
      <c r="A1054" t="s">
        <v>3197</v>
      </c>
      <c r="B1054" t="s">
        <v>3999</v>
      </c>
      <c r="C1054" t="str">
        <f t="shared" si="16"/>
        <v>AraucaPUERTO RONDON</v>
      </c>
      <c r="D1054" t="s">
        <v>3199</v>
      </c>
      <c r="E1054" t="s">
        <v>2254</v>
      </c>
      <c r="F1054" t="s">
        <v>3206</v>
      </c>
    </row>
    <row r="1055" spans="1:6" hidden="1" x14ac:dyDescent="0.2">
      <c r="A1055" t="s">
        <v>3197</v>
      </c>
      <c r="B1055" t="s">
        <v>4058</v>
      </c>
      <c r="C1055" t="str">
        <f t="shared" si="16"/>
        <v>AraucaSARAVENA</v>
      </c>
      <c r="D1055" t="s">
        <v>3199</v>
      </c>
      <c r="E1055" t="s">
        <v>4321</v>
      </c>
      <c r="F1055" t="s">
        <v>2146</v>
      </c>
    </row>
    <row r="1056" spans="1:6" hidden="1" x14ac:dyDescent="0.2">
      <c r="A1056" t="s">
        <v>3197</v>
      </c>
      <c r="B1056" t="s">
        <v>3207</v>
      </c>
      <c r="C1056" t="str">
        <f t="shared" si="16"/>
        <v>AraucaTAME</v>
      </c>
      <c r="D1056" t="s">
        <v>3199</v>
      </c>
      <c r="E1056" t="s">
        <v>4229</v>
      </c>
      <c r="F1056" t="s">
        <v>3208</v>
      </c>
    </row>
    <row r="1057" spans="1:6" hidden="1" x14ac:dyDescent="0.2">
      <c r="A1057" t="s">
        <v>3209</v>
      </c>
      <c r="B1057" t="s">
        <v>3785</v>
      </c>
      <c r="C1057" t="str">
        <f t="shared" si="16"/>
        <v>CASANAREYOPAL</v>
      </c>
      <c r="D1057" t="s">
        <v>4353</v>
      </c>
      <c r="E1057" t="s">
        <v>2223</v>
      </c>
      <c r="F1057" t="s">
        <v>3210</v>
      </c>
    </row>
    <row r="1058" spans="1:6" hidden="1" x14ac:dyDescent="0.2">
      <c r="A1058" t="s">
        <v>3209</v>
      </c>
      <c r="B1058" t="s">
        <v>3211</v>
      </c>
      <c r="C1058" t="str">
        <f t="shared" si="16"/>
        <v>CASANAREAGUAZUL</v>
      </c>
      <c r="D1058" t="s">
        <v>4353</v>
      </c>
      <c r="E1058" t="s">
        <v>3531</v>
      </c>
      <c r="F1058" t="s">
        <v>2147</v>
      </c>
    </row>
    <row r="1059" spans="1:6" hidden="1" x14ac:dyDescent="0.2">
      <c r="A1059" t="s">
        <v>3209</v>
      </c>
      <c r="B1059" t="s">
        <v>3212</v>
      </c>
      <c r="C1059" t="str">
        <f t="shared" si="16"/>
        <v>CASANARECHAMEZA</v>
      </c>
      <c r="D1059" t="s">
        <v>4353</v>
      </c>
      <c r="E1059" t="s">
        <v>3214</v>
      </c>
      <c r="F1059" t="s">
        <v>3213</v>
      </c>
    </row>
    <row r="1060" spans="1:6" hidden="1" x14ac:dyDescent="0.2">
      <c r="A1060" t="s">
        <v>3209</v>
      </c>
      <c r="B1060" t="s">
        <v>3848</v>
      </c>
      <c r="C1060" t="str">
        <f t="shared" si="16"/>
        <v>CASANAREHATO COROZAL</v>
      </c>
      <c r="D1060" t="s">
        <v>4353</v>
      </c>
      <c r="E1060" t="s">
        <v>863</v>
      </c>
      <c r="F1060" t="s">
        <v>3215</v>
      </c>
    </row>
    <row r="1061" spans="1:6" hidden="1" x14ac:dyDescent="0.2">
      <c r="A1061" t="s">
        <v>3209</v>
      </c>
      <c r="B1061" t="s">
        <v>3216</v>
      </c>
      <c r="C1061" t="str">
        <f t="shared" si="16"/>
        <v>CASANARELA SALINA</v>
      </c>
      <c r="D1061" t="s">
        <v>4353</v>
      </c>
      <c r="E1061" t="s">
        <v>3218</v>
      </c>
      <c r="F1061" t="s">
        <v>3217</v>
      </c>
    </row>
    <row r="1062" spans="1:6" hidden="1" x14ac:dyDescent="0.2">
      <c r="A1062" t="s">
        <v>3209</v>
      </c>
      <c r="B1062" t="s">
        <v>3219</v>
      </c>
      <c r="C1062" t="str">
        <f t="shared" si="16"/>
        <v>CASANAREMANI</v>
      </c>
      <c r="D1062" t="s">
        <v>4353</v>
      </c>
      <c r="E1062" t="s">
        <v>2222</v>
      </c>
      <c r="F1062" t="s">
        <v>2148</v>
      </c>
    </row>
    <row r="1063" spans="1:6" hidden="1" x14ac:dyDescent="0.2">
      <c r="A1063" t="s">
        <v>3209</v>
      </c>
      <c r="B1063" t="s">
        <v>2608</v>
      </c>
      <c r="C1063" t="str">
        <f t="shared" si="16"/>
        <v>CASANAREMONTERREY</v>
      </c>
      <c r="D1063" t="s">
        <v>4353</v>
      </c>
      <c r="E1063" t="s">
        <v>3221</v>
      </c>
      <c r="F1063" t="s">
        <v>3220</v>
      </c>
    </row>
    <row r="1064" spans="1:6" hidden="1" x14ac:dyDescent="0.2">
      <c r="A1064" t="s">
        <v>3209</v>
      </c>
      <c r="B1064" t="s">
        <v>3222</v>
      </c>
      <c r="C1064" t="str">
        <f t="shared" si="16"/>
        <v>CASANARENUNCHIA</v>
      </c>
      <c r="D1064" t="s">
        <v>4353</v>
      </c>
      <c r="E1064" t="s">
        <v>3444</v>
      </c>
      <c r="F1064" t="s">
        <v>3223</v>
      </c>
    </row>
    <row r="1065" spans="1:6" hidden="1" x14ac:dyDescent="0.2">
      <c r="A1065" t="s">
        <v>3209</v>
      </c>
      <c r="B1065" t="s">
        <v>3028</v>
      </c>
      <c r="C1065" t="str">
        <f t="shared" si="16"/>
        <v>CASANAREOROCUE</v>
      </c>
      <c r="D1065" t="s">
        <v>4353</v>
      </c>
      <c r="E1065" t="s">
        <v>4354</v>
      </c>
      <c r="F1065" t="s">
        <v>1964</v>
      </c>
    </row>
    <row r="1066" spans="1:6" hidden="1" x14ac:dyDescent="0.2">
      <c r="A1066" t="s">
        <v>3209</v>
      </c>
      <c r="B1066" t="s">
        <v>3903</v>
      </c>
      <c r="C1066" t="str">
        <f t="shared" si="16"/>
        <v>CASANAREPAZ DE ARIPORO</v>
      </c>
      <c r="D1066" t="s">
        <v>4353</v>
      </c>
      <c r="E1066" t="s">
        <v>3549</v>
      </c>
      <c r="F1066" t="s">
        <v>1965</v>
      </c>
    </row>
    <row r="1067" spans="1:6" hidden="1" x14ac:dyDescent="0.2">
      <c r="A1067" t="s">
        <v>3209</v>
      </c>
      <c r="B1067" t="s">
        <v>1966</v>
      </c>
      <c r="C1067" t="str">
        <f t="shared" si="16"/>
        <v>CASANAREPORE</v>
      </c>
      <c r="D1067" t="s">
        <v>4353</v>
      </c>
      <c r="E1067" t="s">
        <v>2221</v>
      </c>
      <c r="F1067" t="s">
        <v>1967</v>
      </c>
    </row>
    <row r="1068" spans="1:6" hidden="1" x14ac:dyDescent="0.2">
      <c r="A1068" t="s">
        <v>3209</v>
      </c>
      <c r="B1068" t="s">
        <v>1691</v>
      </c>
      <c r="C1068" t="str">
        <f t="shared" si="16"/>
        <v>CASANARERECETOR</v>
      </c>
      <c r="D1068" t="s">
        <v>4353</v>
      </c>
      <c r="E1068" t="s">
        <v>1969</v>
      </c>
      <c r="F1068" t="s">
        <v>1968</v>
      </c>
    </row>
    <row r="1069" spans="1:6" hidden="1" x14ac:dyDescent="0.2">
      <c r="A1069" t="s">
        <v>3209</v>
      </c>
      <c r="B1069" t="s">
        <v>2507</v>
      </c>
      <c r="C1069" t="str">
        <f t="shared" si="16"/>
        <v>CASANARESABANALARGA</v>
      </c>
      <c r="D1069" t="s">
        <v>4353</v>
      </c>
      <c r="E1069" t="s">
        <v>4011</v>
      </c>
      <c r="F1069" t="s">
        <v>1970</v>
      </c>
    </row>
    <row r="1070" spans="1:6" hidden="1" x14ac:dyDescent="0.2">
      <c r="A1070" t="s">
        <v>3209</v>
      </c>
      <c r="B1070" t="s">
        <v>3926</v>
      </c>
      <c r="C1070" t="str">
        <f t="shared" si="16"/>
        <v>CASANARESACAMA</v>
      </c>
      <c r="D1070" t="s">
        <v>4353</v>
      </c>
      <c r="E1070" t="s">
        <v>1972</v>
      </c>
      <c r="F1070" t="s">
        <v>1971</v>
      </c>
    </row>
    <row r="1071" spans="1:6" hidden="1" x14ac:dyDescent="0.2">
      <c r="A1071" t="s">
        <v>3209</v>
      </c>
      <c r="B1071" t="s">
        <v>1178</v>
      </c>
      <c r="C1071" t="str">
        <f t="shared" si="16"/>
        <v>CASANARESAN LUIS DE PALENQUE</v>
      </c>
      <c r="D1071" t="s">
        <v>4353</v>
      </c>
      <c r="E1071" t="s">
        <v>3276</v>
      </c>
      <c r="F1071" t="s">
        <v>1973</v>
      </c>
    </row>
    <row r="1072" spans="1:6" hidden="1" x14ac:dyDescent="0.2">
      <c r="A1072" t="s">
        <v>3209</v>
      </c>
      <c r="B1072" t="s">
        <v>3956</v>
      </c>
      <c r="C1072" t="str">
        <f t="shared" si="16"/>
        <v>CASANARETAMARA</v>
      </c>
      <c r="D1072" t="s">
        <v>4353</v>
      </c>
      <c r="E1072" t="s">
        <v>3277</v>
      </c>
      <c r="F1072" t="s">
        <v>1974</v>
      </c>
    </row>
    <row r="1073" spans="1:6" hidden="1" x14ac:dyDescent="0.2">
      <c r="A1073" t="s">
        <v>3209</v>
      </c>
      <c r="B1073" t="s">
        <v>1440</v>
      </c>
      <c r="C1073" t="str">
        <f t="shared" si="16"/>
        <v>CASANARETAURAMENA</v>
      </c>
      <c r="D1073" t="s">
        <v>4353</v>
      </c>
      <c r="E1073" t="s">
        <v>1976</v>
      </c>
      <c r="F1073" t="s">
        <v>1975</v>
      </c>
    </row>
    <row r="1074" spans="1:6" hidden="1" x14ac:dyDescent="0.2">
      <c r="A1074" t="s">
        <v>3209</v>
      </c>
      <c r="B1074" t="s">
        <v>2509</v>
      </c>
      <c r="C1074" t="str">
        <f t="shared" si="16"/>
        <v>CASANARETRINIDAD</v>
      </c>
      <c r="D1074" t="s">
        <v>4353</v>
      </c>
      <c r="E1074" t="s">
        <v>3532</v>
      </c>
      <c r="F1074" t="s">
        <v>1977</v>
      </c>
    </row>
    <row r="1075" spans="1:6" hidden="1" x14ac:dyDescent="0.2">
      <c r="A1075" t="s">
        <v>3209</v>
      </c>
      <c r="B1075" t="s">
        <v>3964</v>
      </c>
      <c r="C1075" t="str">
        <f t="shared" si="16"/>
        <v>CASANAREVILLANUEVA</v>
      </c>
      <c r="D1075" t="s">
        <v>4353</v>
      </c>
      <c r="E1075" t="s">
        <v>4327</v>
      </c>
      <c r="F1075" t="s">
        <v>1978</v>
      </c>
    </row>
    <row r="1076" spans="1:6" hidden="1" x14ac:dyDescent="0.2">
      <c r="A1076" t="s">
        <v>1979</v>
      </c>
      <c r="B1076" t="s">
        <v>3785</v>
      </c>
      <c r="C1076" t="str">
        <f t="shared" si="16"/>
        <v>PutumayoMOCOA</v>
      </c>
      <c r="D1076" t="s">
        <v>1981</v>
      </c>
      <c r="E1076" t="s">
        <v>4315</v>
      </c>
      <c r="F1076" t="s">
        <v>1980</v>
      </c>
    </row>
    <row r="1077" spans="1:6" hidden="1" x14ac:dyDescent="0.2">
      <c r="A1077" t="s">
        <v>1979</v>
      </c>
      <c r="B1077" t="s">
        <v>1982</v>
      </c>
      <c r="C1077" t="str">
        <f t="shared" si="16"/>
        <v>PutumayoCOLON</v>
      </c>
      <c r="D1077" t="s">
        <v>1981</v>
      </c>
      <c r="E1077" t="s">
        <v>446</v>
      </c>
      <c r="F1077" t="s">
        <v>3658</v>
      </c>
    </row>
    <row r="1078" spans="1:6" hidden="1" x14ac:dyDescent="0.2">
      <c r="A1078" t="s">
        <v>1979</v>
      </c>
      <c r="B1078" t="s">
        <v>1715</v>
      </c>
      <c r="C1078" t="str">
        <f t="shared" si="16"/>
        <v>PutumayoORITO</v>
      </c>
      <c r="D1078" t="s">
        <v>1981</v>
      </c>
      <c r="E1078" t="s">
        <v>4250</v>
      </c>
      <c r="F1078" t="s">
        <v>3659</v>
      </c>
    </row>
    <row r="1079" spans="1:6" hidden="1" x14ac:dyDescent="0.2">
      <c r="A1079" t="s">
        <v>1979</v>
      </c>
      <c r="B1079" t="s">
        <v>413</v>
      </c>
      <c r="C1079" t="str">
        <f t="shared" si="16"/>
        <v>PutumayoPUERTO ASIS</v>
      </c>
      <c r="D1079" t="s">
        <v>1981</v>
      </c>
      <c r="E1079" t="s">
        <v>3661</v>
      </c>
      <c r="F1079" t="s">
        <v>3660</v>
      </c>
    </row>
    <row r="1080" spans="1:6" hidden="1" x14ac:dyDescent="0.2">
      <c r="A1080" t="s">
        <v>1979</v>
      </c>
      <c r="B1080" t="s">
        <v>3662</v>
      </c>
      <c r="C1080" t="str">
        <f t="shared" si="16"/>
        <v>PutumayoPUERTO CAICEDO</v>
      </c>
      <c r="D1080" t="s">
        <v>1981</v>
      </c>
      <c r="E1080" t="s">
        <v>3664</v>
      </c>
      <c r="F1080" t="s">
        <v>3663</v>
      </c>
    </row>
    <row r="1081" spans="1:6" hidden="1" x14ac:dyDescent="0.2">
      <c r="A1081" t="s">
        <v>1979</v>
      </c>
      <c r="B1081" t="s">
        <v>3665</v>
      </c>
      <c r="C1081" t="str">
        <f t="shared" si="16"/>
        <v>PutumayoPUERTO GUZMAN</v>
      </c>
      <c r="D1081" t="s">
        <v>1981</v>
      </c>
      <c r="E1081" t="s">
        <v>3667</v>
      </c>
      <c r="F1081" t="s">
        <v>3666</v>
      </c>
    </row>
    <row r="1082" spans="1:6" hidden="1" x14ac:dyDescent="0.2">
      <c r="A1082" t="s">
        <v>1979</v>
      </c>
      <c r="B1082" t="s">
        <v>2445</v>
      </c>
      <c r="C1082" t="str">
        <f t="shared" si="16"/>
        <v>PutumayoPUERTO LEGUIZAMO</v>
      </c>
      <c r="D1082" t="s">
        <v>1981</v>
      </c>
      <c r="E1082" s="140" t="s">
        <v>123</v>
      </c>
      <c r="F1082" t="s">
        <v>2149</v>
      </c>
    </row>
    <row r="1083" spans="1:6" hidden="1" x14ac:dyDescent="0.2">
      <c r="A1083" t="s">
        <v>1979</v>
      </c>
      <c r="B1083" t="s">
        <v>3668</v>
      </c>
      <c r="C1083" t="str">
        <f t="shared" si="16"/>
        <v>PutumayoSIBUNDOY</v>
      </c>
      <c r="D1083" t="s">
        <v>1981</v>
      </c>
      <c r="E1083" t="s">
        <v>3670</v>
      </c>
      <c r="F1083" t="s">
        <v>3669</v>
      </c>
    </row>
    <row r="1084" spans="1:6" hidden="1" x14ac:dyDescent="0.2">
      <c r="A1084" t="s">
        <v>1979</v>
      </c>
      <c r="B1084" t="s">
        <v>1305</v>
      </c>
      <c r="C1084" t="str">
        <f t="shared" si="16"/>
        <v>PutumayoSAN FRANCISCO</v>
      </c>
      <c r="D1084" t="s">
        <v>1981</v>
      </c>
      <c r="E1084" t="s">
        <v>2277</v>
      </c>
      <c r="F1084" t="s">
        <v>3671</v>
      </c>
    </row>
    <row r="1085" spans="1:6" hidden="1" x14ac:dyDescent="0.2">
      <c r="A1085" t="s">
        <v>1979</v>
      </c>
      <c r="B1085" t="s">
        <v>1308</v>
      </c>
      <c r="C1085" t="str">
        <f t="shared" si="16"/>
        <v>PutumayoSAN MIGUEL</v>
      </c>
      <c r="D1085" t="s">
        <v>1981</v>
      </c>
      <c r="E1085" t="s">
        <v>970</v>
      </c>
      <c r="F1085" t="s">
        <v>3672</v>
      </c>
    </row>
    <row r="1086" spans="1:6" hidden="1" x14ac:dyDescent="0.2">
      <c r="A1086" t="s">
        <v>1979</v>
      </c>
      <c r="B1086" t="s">
        <v>2555</v>
      </c>
      <c r="C1086" t="str">
        <f t="shared" si="16"/>
        <v>PutumayoSANTIAGO</v>
      </c>
      <c r="D1086" t="s">
        <v>1981</v>
      </c>
      <c r="E1086" t="s">
        <v>3557</v>
      </c>
      <c r="F1086" t="s">
        <v>3673</v>
      </c>
    </row>
    <row r="1087" spans="1:6" hidden="1" x14ac:dyDescent="0.2">
      <c r="A1087" t="s">
        <v>1979</v>
      </c>
      <c r="B1087" t="s">
        <v>3674</v>
      </c>
      <c r="C1087" t="str">
        <f t="shared" si="16"/>
        <v>PutumayoVALLE DEL GUAMUEZ</v>
      </c>
      <c r="D1087" t="s">
        <v>1981</v>
      </c>
      <c r="E1087" t="s">
        <v>3676</v>
      </c>
      <c r="F1087" t="s">
        <v>3675</v>
      </c>
    </row>
    <row r="1088" spans="1:6" hidden="1" x14ac:dyDescent="0.2">
      <c r="A1088" t="s">
        <v>1979</v>
      </c>
      <c r="B1088" t="s">
        <v>4098</v>
      </c>
      <c r="C1088" t="str">
        <f t="shared" si="16"/>
        <v>PutumayoVILLAGARZON</v>
      </c>
      <c r="D1088" t="s">
        <v>1981</v>
      </c>
      <c r="E1088" t="s">
        <v>3678</v>
      </c>
      <c r="F1088" t="s">
        <v>3677</v>
      </c>
    </row>
    <row r="1089" spans="1:6" hidden="1" x14ac:dyDescent="0.2">
      <c r="A1089" t="s">
        <v>3679</v>
      </c>
      <c r="B1089" t="s">
        <v>3785</v>
      </c>
      <c r="C1089" t="str">
        <f t="shared" si="16"/>
        <v>SAN ANDRESSAN ANDRES</v>
      </c>
      <c r="D1089" t="s">
        <v>2984</v>
      </c>
      <c r="E1089" t="s">
        <v>2984</v>
      </c>
      <c r="F1089" t="s">
        <v>3680</v>
      </c>
    </row>
    <row r="1090" spans="1:6" hidden="1" x14ac:dyDescent="0.2">
      <c r="A1090" t="s">
        <v>3679</v>
      </c>
      <c r="B1090" t="s">
        <v>3681</v>
      </c>
      <c r="C1090" t="str">
        <f t="shared" si="16"/>
        <v>SAN ANDRESPROVIDENCIA</v>
      </c>
      <c r="D1090" t="s">
        <v>2984</v>
      </c>
      <c r="E1090" t="s">
        <v>2224</v>
      </c>
      <c r="F1090" t="s">
        <v>3682</v>
      </c>
    </row>
    <row r="1091" spans="1:6" hidden="1" x14ac:dyDescent="0.2">
      <c r="A1091" t="s">
        <v>3683</v>
      </c>
      <c r="B1091" t="s">
        <v>3785</v>
      </c>
      <c r="C1091" t="str">
        <f t="shared" ref="C1091:C1138" si="17">D1091&amp;E1091</f>
        <v>AMAZONASLETICIA</v>
      </c>
      <c r="D1091" t="s">
        <v>3505</v>
      </c>
      <c r="E1091" t="s">
        <v>3506</v>
      </c>
      <c r="F1091" t="s">
        <v>2150</v>
      </c>
    </row>
    <row r="1092" spans="1:6" hidden="1" x14ac:dyDescent="0.2">
      <c r="A1092" t="s">
        <v>3683</v>
      </c>
      <c r="B1092" t="s">
        <v>510</v>
      </c>
      <c r="C1092" t="str">
        <f t="shared" si="17"/>
        <v>AMAZONASPUERTO NARIÑO</v>
      </c>
      <c r="D1092" t="s">
        <v>3505</v>
      </c>
      <c r="E1092" t="s">
        <v>3685</v>
      </c>
      <c r="F1092" t="s">
        <v>3684</v>
      </c>
    </row>
    <row r="1093" spans="1:6" hidden="1" x14ac:dyDescent="0.2">
      <c r="A1093" t="s">
        <v>3686</v>
      </c>
      <c r="B1093" t="s">
        <v>3785</v>
      </c>
      <c r="C1093" t="str">
        <f t="shared" si="17"/>
        <v>GUAINIAINIRIDA</v>
      </c>
      <c r="D1093" t="s">
        <v>3688</v>
      </c>
      <c r="E1093" t="s">
        <v>3689</v>
      </c>
      <c r="F1093" t="s">
        <v>3687</v>
      </c>
    </row>
    <row r="1094" spans="1:6" hidden="1" x14ac:dyDescent="0.2">
      <c r="A1094" t="s">
        <v>3690</v>
      </c>
      <c r="B1094" t="s">
        <v>3785</v>
      </c>
      <c r="C1094" t="str">
        <f t="shared" si="17"/>
        <v>GUAVIARESAN JOSE DEL GUAVIARE</v>
      </c>
      <c r="D1094" t="s">
        <v>2857</v>
      </c>
      <c r="E1094" t="s">
        <v>2858</v>
      </c>
      <c r="F1094" t="s">
        <v>2151</v>
      </c>
    </row>
    <row r="1095" spans="1:6" hidden="1" x14ac:dyDescent="0.2">
      <c r="A1095" t="s">
        <v>3690</v>
      </c>
      <c r="B1095" t="s">
        <v>3212</v>
      </c>
      <c r="C1095" t="str">
        <f t="shared" si="17"/>
        <v>GUAVIARECALAMAR</v>
      </c>
      <c r="D1095" t="s">
        <v>2857</v>
      </c>
      <c r="E1095" t="s">
        <v>2490</v>
      </c>
      <c r="F1095" t="s">
        <v>3691</v>
      </c>
    </row>
    <row r="1096" spans="1:6" hidden="1" x14ac:dyDescent="0.2">
      <c r="A1096" t="s">
        <v>3690</v>
      </c>
      <c r="B1096" t="s">
        <v>1853</v>
      </c>
      <c r="C1096" t="str">
        <f t="shared" si="17"/>
        <v>GUAVIAREEL RETORNO</v>
      </c>
      <c r="D1096" t="s">
        <v>2857</v>
      </c>
      <c r="E1096" t="s">
        <v>3693</v>
      </c>
      <c r="F1096" t="s">
        <v>3692</v>
      </c>
    </row>
    <row r="1097" spans="1:6" hidden="1" x14ac:dyDescent="0.2">
      <c r="A1097" t="s">
        <v>3690</v>
      </c>
      <c r="B1097" t="s">
        <v>1679</v>
      </c>
      <c r="C1097" t="str">
        <f t="shared" si="17"/>
        <v>GUAVIAREMIRAFLORES</v>
      </c>
      <c r="D1097" t="s">
        <v>2857</v>
      </c>
      <c r="E1097" t="s">
        <v>1207</v>
      </c>
      <c r="F1097" t="s">
        <v>3694</v>
      </c>
    </row>
    <row r="1098" spans="1:6" hidden="1" x14ac:dyDescent="0.2">
      <c r="A1098" t="s">
        <v>3695</v>
      </c>
      <c r="B1098" t="s">
        <v>3785</v>
      </c>
      <c r="C1098" t="str">
        <f t="shared" si="17"/>
        <v>VAUPESMITU</v>
      </c>
      <c r="D1098" t="s">
        <v>3697</v>
      </c>
      <c r="E1098" t="s">
        <v>3698</v>
      </c>
      <c r="F1098" t="s">
        <v>3696</v>
      </c>
    </row>
    <row r="1099" spans="1:6" hidden="1" x14ac:dyDescent="0.2">
      <c r="A1099" t="s">
        <v>3695</v>
      </c>
      <c r="B1099" t="s">
        <v>743</v>
      </c>
      <c r="C1099" t="str">
        <f t="shared" si="17"/>
        <v>VAUPESCARURU</v>
      </c>
      <c r="D1099" t="s">
        <v>3697</v>
      </c>
      <c r="E1099" t="s">
        <v>3700</v>
      </c>
      <c r="F1099" t="s">
        <v>3699</v>
      </c>
    </row>
    <row r="1100" spans="1:6" hidden="1" x14ac:dyDescent="0.2">
      <c r="A1100" t="s">
        <v>3695</v>
      </c>
      <c r="B1100" t="s">
        <v>3701</v>
      </c>
      <c r="C1100" t="str">
        <f t="shared" si="17"/>
        <v>VAUPESTARAIRA</v>
      </c>
      <c r="D1100" t="s">
        <v>3697</v>
      </c>
      <c r="E1100" t="s">
        <v>3703</v>
      </c>
      <c r="F1100" t="s">
        <v>3702</v>
      </c>
    </row>
    <row r="1101" spans="1:6" hidden="1" x14ac:dyDescent="0.2">
      <c r="A1101" t="s">
        <v>3704</v>
      </c>
      <c r="B1101" t="s">
        <v>3785</v>
      </c>
      <c r="C1101" t="str">
        <f t="shared" si="17"/>
        <v>VICHADAPUERTO CARREÑO</v>
      </c>
      <c r="D1101" t="s">
        <v>3706</v>
      </c>
      <c r="E1101" t="s">
        <v>3707</v>
      </c>
      <c r="F1101" t="s">
        <v>3705</v>
      </c>
    </row>
    <row r="1102" spans="1:6" hidden="1" x14ac:dyDescent="0.2">
      <c r="A1102" t="s">
        <v>3704</v>
      </c>
      <c r="B1102" t="s">
        <v>1402</v>
      </c>
      <c r="C1102" t="str">
        <f t="shared" si="17"/>
        <v>VICHADALA PRIMAVERA</v>
      </c>
      <c r="D1102" t="s">
        <v>3706</v>
      </c>
      <c r="E1102" t="s">
        <v>3709</v>
      </c>
      <c r="F1102" t="s">
        <v>3708</v>
      </c>
    </row>
    <row r="1103" spans="1:6" hidden="1" x14ac:dyDescent="0.2">
      <c r="A1103" t="s">
        <v>3704</v>
      </c>
      <c r="B1103" t="s">
        <v>3125</v>
      </c>
      <c r="C1103" t="str">
        <f t="shared" si="17"/>
        <v>VICHADASANTA ROSALIA</v>
      </c>
      <c r="D1103" t="s">
        <v>3706</v>
      </c>
      <c r="E1103" t="s">
        <v>3711</v>
      </c>
      <c r="F1103" t="s">
        <v>3710</v>
      </c>
    </row>
    <row r="1104" spans="1:6" hidden="1" x14ac:dyDescent="0.2">
      <c r="A1104" t="s">
        <v>3704</v>
      </c>
      <c r="B1104" t="s">
        <v>3003</v>
      </c>
      <c r="C1104" t="str">
        <f t="shared" si="17"/>
        <v>VICHADACUMARIBO</v>
      </c>
      <c r="D1104" t="s">
        <v>3706</v>
      </c>
      <c r="E1104" t="s">
        <v>3713</v>
      </c>
      <c r="F1104" t="s">
        <v>3712</v>
      </c>
    </row>
    <row r="1105" spans="1:6" hidden="1" x14ac:dyDescent="0.2">
      <c r="A1105" s="141" t="s">
        <v>3714</v>
      </c>
      <c r="B1105" s="141" t="s">
        <v>3715</v>
      </c>
      <c r="C1105" t="str">
        <f t="shared" si="17"/>
        <v>NACIONNACION</v>
      </c>
      <c r="D1105" t="s">
        <v>4349</v>
      </c>
      <c r="E1105" t="s">
        <v>4349</v>
      </c>
      <c r="F1105" s="141" t="s">
        <v>3716</v>
      </c>
    </row>
    <row r="1106" spans="1:6" hidden="1" x14ac:dyDescent="0.2">
      <c r="A1106" s="142" t="s">
        <v>3784</v>
      </c>
      <c r="B1106" s="142" t="s">
        <v>3785</v>
      </c>
      <c r="C1106" t="str">
        <f t="shared" si="17"/>
        <v>AntioquiaDEPARTAMENTO</v>
      </c>
      <c r="D1106" s="142" t="s">
        <v>3786</v>
      </c>
      <c r="E1106" s="142" t="s">
        <v>4345</v>
      </c>
      <c r="F1106" s="142">
        <v>5</v>
      </c>
    </row>
    <row r="1107" spans="1:6" hidden="1" x14ac:dyDescent="0.2">
      <c r="A1107" s="142" t="s">
        <v>4113</v>
      </c>
      <c r="B1107" s="142" t="s">
        <v>3785</v>
      </c>
      <c r="C1107" t="str">
        <f t="shared" si="17"/>
        <v>AtlanticoDEPARTAMENTO</v>
      </c>
      <c r="D1107" s="142" t="s">
        <v>4114</v>
      </c>
      <c r="E1107" s="142" t="s">
        <v>4345</v>
      </c>
      <c r="F1107" s="142">
        <v>8</v>
      </c>
    </row>
    <row r="1108" spans="1:6" hidden="1" x14ac:dyDescent="0.2">
      <c r="A1108" s="142" t="s">
        <v>2471</v>
      </c>
      <c r="B1108" s="142" t="s">
        <v>3785</v>
      </c>
      <c r="C1108" t="str">
        <f t="shared" si="17"/>
        <v>BOGOTA D.C.DEPARTAMENTO</v>
      </c>
      <c r="D1108" s="142" t="s">
        <v>2279</v>
      </c>
      <c r="E1108" s="142" t="s">
        <v>4345</v>
      </c>
      <c r="F1108" s="142">
        <v>11</v>
      </c>
    </row>
    <row r="1109" spans="1:6" x14ac:dyDescent="0.2">
      <c r="A1109" s="142" t="s">
        <v>2472</v>
      </c>
      <c r="B1109" s="142" t="s">
        <v>3785</v>
      </c>
      <c r="C1109" t="str">
        <f t="shared" si="17"/>
        <v>BolivarDEPARTAMENTO</v>
      </c>
      <c r="D1109" s="142" t="s">
        <v>2474</v>
      </c>
      <c r="E1109" s="142" t="s">
        <v>4345</v>
      </c>
      <c r="F1109" s="142">
        <v>13</v>
      </c>
    </row>
    <row r="1110" spans="1:6" hidden="1" x14ac:dyDescent="0.2">
      <c r="A1110" s="142" t="s">
        <v>2574</v>
      </c>
      <c r="B1110" s="142" t="s">
        <v>3785</v>
      </c>
      <c r="C1110" t="str">
        <f t="shared" si="17"/>
        <v>BOYACADEPARTAMENTO</v>
      </c>
      <c r="D1110" s="142" t="s">
        <v>4261</v>
      </c>
      <c r="E1110" s="142" t="s">
        <v>4345</v>
      </c>
      <c r="F1110" s="142">
        <v>15</v>
      </c>
    </row>
    <row r="1111" spans="1:6" hidden="1" x14ac:dyDescent="0.2">
      <c r="A1111" s="142" t="s">
        <v>1376</v>
      </c>
      <c r="B1111" s="142" t="s">
        <v>3785</v>
      </c>
      <c r="C1111" t="str">
        <f t="shared" si="17"/>
        <v>CaldasDEPARTAMENTO</v>
      </c>
      <c r="D1111" s="142" t="s">
        <v>1377</v>
      </c>
      <c r="E1111" s="142" t="s">
        <v>4345</v>
      </c>
      <c r="F1111" s="142">
        <v>17</v>
      </c>
    </row>
    <row r="1112" spans="1:6" hidden="1" x14ac:dyDescent="0.2">
      <c r="A1112" s="142" t="s">
        <v>1425</v>
      </c>
      <c r="B1112" s="142" t="s">
        <v>3785</v>
      </c>
      <c r="C1112" t="str">
        <f t="shared" si="17"/>
        <v>CAQUETADEPARTAMENTO</v>
      </c>
      <c r="D1112" s="142" t="s">
        <v>3358</v>
      </c>
      <c r="E1112" s="142" t="s">
        <v>4345</v>
      </c>
      <c r="F1112" s="142">
        <v>18</v>
      </c>
    </row>
    <row r="1113" spans="1:6" hidden="1" x14ac:dyDescent="0.2">
      <c r="A1113" s="142" t="s">
        <v>1460</v>
      </c>
      <c r="B1113" s="142" t="s">
        <v>3785</v>
      </c>
      <c r="C1113" t="str">
        <f t="shared" si="17"/>
        <v>CaucaDEPARTAMENTO</v>
      </c>
      <c r="D1113" s="142" t="s">
        <v>1461</v>
      </c>
      <c r="E1113" s="142" t="s">
        <v>4345</v>
      </c>
      <c r="F1113" s="142">
        <v>19</v>
      </c>
    </row>
    <row r="1114" spans="1:6" hidden="1" x14ac:dyDescent="0.2">
      <c r="A1114" s="142" t="s">
        <v>1528</v>
      </c>
      <c r="B1114" s="142" t="s">
        <v>3785</v>
      </c>
      <c r="C1114" t="str">
        <f t="shared" si="17"/>
        <v>CesarDEPARTAMENTO</v>
      </c>
      <c r="D1114" s="142" t="s">
        <v>1530</v>
      </c>
      <c r="E1114" s="142" t="s">
        <v>4345</v>
      </c>
      <c r="F1114" s="142">
        <v>20</v>
      </c>
    </row>
    <row r="1115" spans="1:6" hidden="1" x14ac:dyDescent="0.2">
      <c r="A1115" s="142" t="s">
        <v>1583</v>
      </c>
      <c r="B1115" s="142" t="s">
        <v>3785</v>
      </c>
      <c r="C1115" t="str">
        <f t="shared" si="17"/>
        <v>CordobaDEPARTAMENTO</v>
      </c>
      <c r="D1115" s="142" t="s">
        <v>1585</v>
      </c>
      <c r="E1115" s="142" t="s">
        <v>4345</v>
      </c>
      <c r="F1115" s="142">
        <v>23</v>
      </c>
    </row>
    <row r="1116" spans="1:6" hidden="1" x14ac:dyDescent="0.2">
      <c r="A1116" s="142" t="s">
        <v>1649</v>
      </c>
      <c r="B1116" s="142" t="s">
        <v>3785</v>
      </c>
      <c r="C1116" t="str">
        <f t="shared" si="17"/>
        <v>CUNDINAMARCADEPARTAMENTO</v>
      </c>
      <c r="D1116" s="142" t="s">
        <v>4344</v>
      </c>
      <c r="E1116" s="142" t="s">
        <v>4345</v>
      </c>
      <c r="F1116" s="142">
        <v>25</v>
      </c>
    </row>
    <row r="1117" spans="1:6" hidden="1" x14ac:dyDescent="0.2">
      <c r="A1117" s="142" t="s">
        <v>1850</v>
      </c>
      <c r="B1117" s="142" t="s">
        <v>3785</v>
      </c>
      <c r="C1117" t="str">
        <f t="shared" si="17"/>
        <v>ChocoDEPARTAMENTO</v>
      </c>
      <c r="D1117" s="142" t="s">
        <v>1851</v>
      </c>
      <c r="E1117" s="142" t="s">
        <v>4345</v>
      </c>
      <c r="F1117" s="142">
        <v>27</v>
      </c>
    </row>
    <row r="1118" spans="1:6" hidden="1" x14ac:dyDescent="0.2">
      <c r="A1118" s="142" t="s">
        <v>201</v>
      </c>
      <c r="B1118" s="142" t="s">
        <v>3785</v>
      </c>
      <c r="C1118" t="str">
        <f t="shared" si="17"/>
        <v>HUILADEPARTAMENTO</v>
      </c>
      <c r="D1118" s="142" t="s">
        <v>4219</v>
      </c>
      <c r="E1118" s="142" t="s">
        <v>4345</v>
      </c>
      <c r="F1118" s="142">
        <v>41</v>
      </c>
    </row>
    <row r="1119" spans="1:6" hidden="1" x14ac:dyDescent="0.2">
      <c r="A1119" s="142" t="s">
        <v>703</v>
      </c>
      <c r="B1119" s="142" t="s">
        <v>3785</v>
      </c>
      <c r="C1119" t="str">
        <f t="shared" si="17"/>
        <v>La GuajiraDEPARTAMENTO</v>
      </c>
      <c r="D1119" s="142" t="s">
        <v>705</v>
      </c>
      <c r="E1119" s="142" t="s">
        <v>4345</v>
      </c>
      <c r="F1119" s="142">
        <v>44</v>
      </c>
    </row>
    <row r="1120" spans="1:6" hidden="1" x14ac:dyDescent="0.2">
      <c r="A1120" s="142" t="s">
        <v>734</v>
      </c>
      <c r="B1120" s="142" t="s">
        <v>3785</v>
      </c>
      <c r="C1120" t="str">
        <f t="shared" si="17"/>
        <v>MagdalenaDEPARTAMENTO</v>
      </c>
      <c r="D1120" s="142" t="s">
        <v>735</v>
      </c>
      <c r="E1120" s="142" t="s">
        <v>4345</v>
      </c>
      <c r="F1120" s="142">
        <v>47</v>
      </c>
    </row>
    <row r="1121" spans="1:6" hidden="1" x14ac:dyDescent="0.2">
      <c r="A1121" s="142" t="s">
        <v>2040</v>
      </c>
      <c r="B1121" s="142" t="s">
        <v>3785</v>
      </c>
      <c r="C1121" t="str">
        <f t="shared" si="17"/>
        <v>METADEPARTAMENTO</v>
      </c>
      <c r="D1121" s="142" t="s">
        <v>860</v>
      </c>
      <c r="E1121" s="142" t="s">
        <v>4345</v>
      </c>
      <c r="F1121" s="142">
        <v>50</v>
      </c>
    </row>
    <row r="1122" spans="1:6" hidden="1" x14ac:dyDescent="0.2">
      <c r="A1122" s="142" t="s">
        <v>435</v>
      </c>
      <c r="B1122" s="142" t="s">
        <v>3785</v>
      </c>
      <c r="C1122" t="str">
        <f t="shared" si="17"/>
        <v>NariñoDEPARTAMENTO</v>
      </c>
      <c r="D1122" s="142" t="s">
        <v>436</v>
      </c>
      <c r="E1122" s="142" t="s">
        <v>4345</v>
      </c>
      <c r="F1122" s="142">
        <v>52</v>
      </c>
    </row>
    <row r="1123" spans="1:6" hidden="1" x14ac:dyDescent="0.2">
      <c r="A1123" s="142" t="s">
        <v>538</v>
      </c>
      <c r="B1123" s="142" t="s">
        <v>3785</v>
      </c>
      <c r="C1123" t="str">
        <f t="shared" si="17"/>
        <v>Norte de SantanderDEPARTAMENTO</v>
      </c>
      <c r="D1123" s="142" t="s">
        <v>539</v>
      </c>
      <c r="E1123" s="142" t="s">
        <v>4345</v>
      </c>
      <c r="F1123" s="142">
        <v>54</v>
      </c>
    </row>
    <row r="1124" spans="1:6" hidden="1" x14ac:dyDescent="0.2">
      <c r="A1124" s="142" t="s">
        <v>585</v>
      </c>
      <c r="B1124" s="142" t="s">
        <v>3785</v>
      </c>
      <c r="C1124" t="str">
        <f t="shared" si="17"/>
        <v>QuindioDEPARTAMENTO</v>
      </c>
      <c r="D1124" s="142" t="s">
        <v>586</v>
      </c>
      <c r="E1124" s="142" t="s">
        <v>4345</v>
      </c>
      <c r="F1124" s="142">
        <v>63</v>
      </c>
    </row>
    <row r="1125" spans="1:6" hidden="1" x14ac:dyDescent="0.2">
      <c r="A1125" s="142" t="s">
        <v>595</v>
      </c>
      <c r="B1125" s="142" t="s">
        <v>3785</v>
      </c>
      <c r="C1125" t="str">
        <f t="shared" si="17"/>
        <v>RisaraldaDEPARTAMENTO</v>
      </c>
      <c r="D1125" s="142" t="s">
        <v>596</v>
      </c>
      <c r="E1125" s="142" t="s">
        <v>4345</v>
      </c>
      <c r="F1125" s="142">
        <v>66</v>
      </c>
    </row>
    <row r="1126" spans="1:6" hidden="1" x14ac:dyDescent="0.2">
      <c r="A1126" s="142" t="s">
        <v>609</v>
      </c>
      <c r="B1126" s="142" t="s">
        <v>3785</v>
      </c>
      <c r="C1126" t="str">
        <f t="shared" si="17"/>
        <v>SantanderDEPARTAMENTO</v>
      </c>
      <c r="D1126" s="142" t="s">
        <v>610</v>
      </c>
      <c r="E1126" s="142" t="s">
        <v>4345</v>
      </c>
      <c r="F1126" s="142">
        <v>68</v>
      </c>
    </row>
    <row r="1127" spans="1:6" hidden="1" x14ac:dyDescent="0.2">
      <c r="A1127" s="142" t="s">
        <v>3015</v>
      </c>
      <c r="B1127" s="142" t="s">
        <v>3785</v>
      </c>
      <c r="C1127" t="str">
        <f t="shared" si="17"/>
        <v>SucreDEPARTAMENTO</v>
      </c>
      <c r="D1127" s="142" t="s">
        <v>3017</v>
      </c>
      <c r="E1127" s="142" t="s">
        <v>4345</v>
      </c>
      <c r="F1127" s="142">
        <v>70</v>
      </c>
    </row>
    <row r="1128" spans="1:6" hidden="1" x14ac:dyDescent="0.2">
      <c r="A1128" s="142" t="s">
        <v>3073</v>
      </c>
      <c r="B1128" s="142" t="s">
        <v>3785</v>
      </c>
      <c r="C1128" t="str">
        <f t="shared" si="17"/>
        <v>TolimaDEPARTAMENTO</v>
      </c>
      <c r="D1128" s="142" t="s">
        <v>3074</v>
      </c>
      <c r="E1128" s="142" t="s">
        <v>4345</v>
      </c>
      <c r="F1128" s="142">
        <v>73</v>
      </c>
    </row>
    <row r="1129" spans="1:6" hidden="1" x14ac:dyDescent="0.2">
      <c r="A1129" s="142" t="s">
        <v>3142</v>
      </c>
      <c r="B1129" s="142" t="s">
        <v>3785</v>
      </c>
      <c r="C1129" t="str">
        <f t="shared" si="17"/>
        <v>Valle del CaucaDEPARTAMENTO</v>
      </c>
      <c r="D1129" s="142" t="s">
        <v>3143</v>
      </c>
      <c r="E1129" s="142" t="s">
        <v>4345</v>
      </c>
      <c r="F1129" s="142">
        <v>76</v>
      </c>
    </row>
    <row r="1130" spans="1:6" hidden="1" x14ac:dyDescent="0.2">
      <c r="A1130" s="142" t="s">
        <v>3197</v>
      </c>
      <c r="B1130" s="142" t="s">
        <v>3785</v>
      </c>
      <c r="C1130" t="str">
        <f t="shared" si="17"/>
        <v>AraucaDEPARTAMENTO</v>
      </c>
      <c r="D1130" s="142" t="s">
        <v>3199</v>
      </c>
      <c r="E1130" s="142" t="s">
        <v>4345</v>
      </c>
      <c r="F1130" s="142">
        <v>81</v>
      </c>
    </row>
    <row r="1131" spans="1:6" hidden="1" x14ac:dyDescent="0.2">
      <c r="A1131" s="142" t="s">
        <v>3209</v>
      </c>
      <c r="B1131" s="142" t="s">
        <v>3785</v>
      </c>
      <c r="C1131" t="str">
        <f t="shared" si="17"/>
        <v>CASANAREDEPARTAMENTO</v>
      </c>
      <c r="D1131" s="142" t="s">
        <v>4353</v>
      </c>
      <c r="E1131" s="142" t="s">
        <v>4345</v>
      </c>
      <c r="F1131" s="142">
        <v>85</v>
      </c>
    </row>
    <row r="1132" spans="1:6" hidden="1" x14ac:dyDescent="0.2">
      <c r="A1132" s="142" t="s">
        <v>1979</v>
      </c>
      <c r="B1132" s="142" t="s">
        <v>3785</v>
      </c>
      <c r="C1132" t="str">
        <f t="shared" si="17"/>
        <v>PutumayoDEPARTAMENTO</v>
      </c>
      <c r="D1132" s="142" t="s">
        <v>1981</v>
      </c>
      <c r="E1132" s="142" t="s">
        <v>4345</v>
      </c>
      <c r="F1132" s="142">
        <v>86</v>
      </c>
    </row>
    <row r="1133" spans="1:6" hidden="1" x14ac:dyDescent="0.2">
      <c r="A1133" s="142" t="s">
        <v>3679</v>
      </c>
      <c r="B1133" s="142" t="s">
        <v>3785</v>
      </c>
      <c r="C1133" t="str">
        <f t="shared" si="17"/>
        <v>SAN ANDRESDEPARTAMENTO</v>
      </c>
      <c r="D1133" s="142" t="s">
        <v>2984</v>
      </c>
      <c r="E1133" s="142" t="s">
        <v>4345</v>
      </c>
      <c r="F1133" s="142">
        <v>88</v>
      </c>
    </row>
    <row r="1134" spans="1:6" hidden="1" x14ac:dyDescent="0.2">
      <c r="A1134" s="142" t="s">
        <v>3683</v>
      </c>
      <c r="B1134" s="142" t="s">
        <v>3785</v>
      </c>
      <c r="C1134" t="str">
        <f t="shared" si="17"/>
        <v>AMAZONASDEPARTAMENTO</v>
      </c>
      <c r="D1134" s="142" t="s">
        <v>3505</v>
      </c>
      <c r="E1134" s="142" t="s">
        <v>4345</v>
      </c>
      <c r="F1134" s="142">
        <v>91</v>
      </c>
    </row>
    <row r="1135" spans="1:6" hidden="1" x14ac:dyDescent="0.2">
      <c r="A1135" s="142" t="s">
        <v>3686</v>
      </c>
      <c r="B1135" s="142" t="s">
        <v>3785</v>
      </c>
      <c r="C1135" t="str">
        <f t="shared" si="17"/>
        <v>GUAINIADEPARTAMENTO</v>
      </c>
      <c r="D1135" s="142" t="s">
        <v>3688</v>
      </c>
      <c r="E1135" s="142" t="s">
        <v>4345</v>
      </c>
      <c r="F1135" s="142">
        <v>94</v>
      </c>
    </row>
    <row r="1136" spans="1:6" hidden="1" x14ac:dyDescent="0.2">
      <c r="A1136" s="142" t="s">
        <v>3690</v>
      </c>
      <c r="B1136" s="142" t="s">
        <v>3785</v>
      </c>
      <c r="C1136" t="str">
        <f t="shared" si="17"/>
        <v>GUAVIAREDEPARTAMENTO</v>
      </c>
      <c r="D1136" s="142" t="s">
        <v>2857</v>
      </c>
      <c r="E1136" s="142" t="s">
        <v>4345</v>
      </c>
      <c r="F1136" s="142">
        <v>95</v>
      </c>
    </row>
    <row r="1137" spans="1:6" hidden="1" x14ac:dyDescent="0.2">
      <c r="A1137" s="142" t="s">
        <v>3695</v>
      </c>
      <c r="B1137" s="142" t="s">
        <v>3785</v>
      </c>
      <c r="C1137" t="str">
        <f t="shared" si="17"/>
        <v>VAUPESDEPARTAMENTO</v>
      </c>
      <c r="D1137" s="142" t="s">
        <v>3697</v>
      </c>
      <c r="E1137" s="142" t="s">
        <v>4345</v>
      </c>
      <c r="F1137" s="142">
        <v>97</v>
      </c>
    </row>
    <row r="1138" spans="1:6" hidden="1" x14ac:dyDescent="0.2">
      <c r="A1138" s="142" t="s">
        <v>3704</v>
      </c>
      <c r="B1138" s="142" t="s">
        <v>3785</v>
      </c>
      <c r="C1138" t="str">
        <f t="shared" si="17"/>
        <v>VICHADADEPARTAMENTO</v>
      </c>
      <c r="D1138" s="142" t="s">
        <v>3706</v>
      </c>
      <c r="E1138" s="142" t="s">
        <v>4345</v>
      </c>
      <c r="F1138" s="142">
        <v>99</v>
      </c>
    </row>
  </sheetData>
  <autoFilter ref="A1:F1138">
    <filterColumn colId="3">
      <filters>
        <filter val="Bolivar"/>
      </filters>
    </filterColumn>
  </autoFilter>
  <phoneticPr fontId="1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2012-01-02T14:05:43Z</cp:lastPrinted>
  <dcterms:created xsi:type="dcterms:W3CDTF">1998-07-31T14:15:34Z</dcterms:created>
  <dcterms:modified xsi:type="dcterms:W3CDTF">2015-09-18T16:12:24Z</dcterms:modified>
</cp:coreProperties>
</file>